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updateLinks="never"/>
  <bookViews>
    <workbookView windowHeight="10665" tabRatio="621" firstSheet="2" activeTab="4"/>
  </bookViews>
  <sheets>
    <sheet name="《倍数表》" sheetId="26" state="hidden" r:id="rId1"/>
    <sheet name="型号目录" sheetId="140" state="hidden" r:id="rId2"/>
    <sheet name="各项系数" sheetId="12" r:id="rId3"/>
    <sheet name="TA" sheetId="13" r:id="rId4"/>
    <sheet name="YJV材料参数" sheetId="141" r:id="rId5"/>
    <sheet name="WpsReserved_CellImgList" sheetId="109" state="veryHidden" r:id="rId6"/>
  </sheets>
  <externalReferences>
    <externalReference r:id="rId8"/>
  </externalReferences>
  <definedNames>
    <definedName name="_xlnm._FilterDatabase" localSheetId="3" hidden="1">TA!$D$10:$LN$144</definedName>
    <definedName name="_xlnm.Print_Area" localSheetId="1">型号目录!$AS$3:$AT$50,型号目录!$AU$3:$AV$50,型号目录!#REF!,型号目录!#REF!,型号目录!#REF!,型号目录!$AX$3:$BA$50,型号目录!$BN$3:$BQ$50,型号目录!$BR$3:$BS$50,型号目录!$BV$3:$BW$50,型号目录!$CA$3:$CA$50,型号目录!$CC$3:$CC$50,型号目录!$CE$3:$CE$50,型号目录!#REF!,型号目录!$CF$3:$CF$50</definedName>
    <definedName name="tupian">INDIRECT("c"&amp;MATCH(#REF!,#REF!,0))</definedName>
    <definedName name="tupian" localSheetId="4">INDIRECT("c"&amp;MATCH(#REF!,#REF!,0))</definedName>
  </definedName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<sst xmlns="http://schemas.openxmlformats.org/spreadsheetml/2006/main" count="3157" uniqueCount="950">
  <si>
    <t>原表</t>
  </si>
  <si>
    <t>规格</t>
  </si>
  <si>
    <t>丝根数</t>
  </si>
  <si>
    <t>丝的排列方式</t>
  </si>
  <si>
    <t>丝直径</t>
  </si>
  <si>
    <t>外径</t>
  </si>
  <si>
    <t>等效圆直径</t>
  </si>
  <si>
    <t>外径值</t>
  </si>
  <si>
    <t>外径算法</t>
  </si>
  <si>
    <t>倍数</t>
  </si>
  <si>
    <t>普通线</t>
  </si>
  <si>
    <t>1*D丝</t>
  </si>
  <si>
    <t>火</t>
  </si>
  <si>
    <t>火截面</t>
  </si>
  <si>
    <t>丝数</t>
  </si>
  <si>
    <t>0截面</t>
  </si>
  <si>
    <t>{1,2,3,4,5,6,7,10,14,19,24,30,37,48,61},{1,2,2.1547,2.4198125,2.7159,3,3,3.828,4.3739,4.8637,5.77,6.37,6.818626,7.8658,8.706}</t>
  </si>
  <si>
    <t>2*D丝</t>
  </si>
  <si>
    <t>2.1547*D丝</t>
  </si>
  <si>
    <t>2.4198125*D丝</t>
  </si>
  <si>
    <t>3*D丝</t>
  </si>
  <si>
    <t>1+6</t>
  </si>
  <si>
    <t>2+8</t>
  </si>
  <si>
    <t>3.828*D丝</t>
  </si>
  <si>
    <t>4+10</t>
  </si>
  <si>
    <t>4.3739*D丝</t>
  </si>
  <si>
    <t>1+6+12</t>
  </si>
  <si>
    <r>
      <rPr>
        <sz val="12"/>
        <rFont val="Times New Roman"/>
        <charset val="134"/>
      </rPr>
      <t>4.8637*D</t>
    </r>
    <r>
      <rPr>
        <sz val="12"/>
        <rFont val="宋体"/>
        <charset val="134"/>
      </rPr>
      <t>丝</t>
    </r>
  </si>
  <si>
    <t>2+8+14</t>
  </si>
  <si>
    <r>
      <rPr>
        <sz val="12"/>
        <rFont val="Times New Roman"/>
        <charset val="134"/>
      </rPr>
      <t>5.77*D</t>
    </r>
    <r>
      <rPr>
        <sz val="12"/>
        <rFont val="宋体"/>
        <charset val="134"/>
      </rPr>
      <t>丝</t>
    </r>
  </si>
  <si>
    <t>4+10+16</t>
  </si>
  <si>
    <r>
      <rPr>
        <sz val="12"/>
        <rFont val="Times New Roman"/>
        <charset val="134"/>
      </rPr>
      <t>6.37*D</t>
    </r>
    <r>
      <rPr>
        <sz val="12"/>
        <rFont val="宋体"/>
        <charset val="134"/>
      </rPr>
      <t>丝</t>
    </r>
  </si>
  <si>
    <t>1+6+12+18</t>
  </si>
  <si>
    <r>
      <rPr>
        <sz val="12"/>
        <rFont val="Times New Roman"/>
        <charset val="134"/>
      </rPr>
      <t>6.818626*D</t>
    </r>
    <r>
      <rPr>
        <sz val="12"/>
        <rFont val="宋体"/>
        <charset val="134"/>
      </rPr>
      <t>丝</t>
    </r>
  </si>
  <si>
    <t>3+9+15+21</t>
  </si>
  <si>
    <r>
      <rPr>
        <sz val="12"/>
        <rFont val="Times New Roman"/>
        <charset val="134"/>
      </rPr>
      <t>7.8658*D</t>
    </r>
    <r>
      <rPr>
        <sz val="12"/>
        <rFont val="宋体"/>
        <charset val="134"/>
      </rPr>
      <t>丝</t>
    </r>
  </si>
  <si>
    <t>1+6+12+18+24</t>
  </si>
  <si>
    <r>
      <rPr>
        <sz val="12"/>
        <rFont val="Times New Roman"/>
        <charset val="134"/>
      </rPr>
      <t>8.706*D</t>
    </r>
    <r>
      <rPr>
        <sz val="12"/>
        <rFont val="宋体"/>
        <charset val="134"/>
      </rPr>
      <t>丝</t>
    </r>
  </si>
  <si>
    <t>架空线</t>
  </si>
  <si>
    <t>概况</t>
  </si>
  <si>
    <t>铝+钢丝数</t>
  </si>
  <si>
    <t>丝总数</t>
  </si>
  <si>
    <t>丝总排列</t>
  </si>
  <si>
    <t>绞丝后外径</t>
  </si>
  <si>
    <t>铝</t>
  </si>
  <si>
    <t>钢</t>
  </si>
  <si>
    <t>截面（铝/钢）</t>
  </si>
  <si>
    <t>铝丝根数/直径</t>
  </si>
  <si>
    <t>钢丝根数/直径</t>
  </si>
  <si>
    <t>铝线截面实际值</t>
  </si>
  <si>
    <t>铝线截面</t>
  </si>
  <si>
    <t>铝丝排列</t>
  </si>
  <si>
    <t>铝丝数</t>
  </si>
  <si>
    <t>铝丝直径</t>
  </si>
  <si>
    <t>钢丝截面</t>
  </si>
  <si>
    <t>钢丝排列</t>
  </si>
  <si>
    <t>钢丝数</t>
  </si>
  <si>
    <t>钢丝直径</t>
  </si>
  <si>
    <t>实际计算面积</t>
  </si>
  <si>
    <t>10/2</t>
  </si>
  <si>
    <t>6*150</t>
  </si>
  <si>
    <t>1*150</t>
  </si>
  <si>
    <t>16/3</t>
  </si>
  <si>
    <t>6*185</t>
  </si>
  <si>
    <t>1*185</t>
  </si>
  <si>
    <t>25/4</t>
  </si>
  <si>
    <t>6*232</t>
  </si>
  <si>
    <t>1*232</t>
  </si>
  <si>
    <t>35/6</t>
  </si>
  <si>
    <t>6*272</t>
  </si>
  <si>
    <t>1*272</t>
  </si>
  <si>
    <t>50/8</t>
  </si>
  <si>
    <t>6*320</t>
  </si>
  <si>
    <t>1*320</t>
  </si>
  <si>
    <t>70/10</t>
  </si>
  <si>
    <t>6*380</t>
  </si>
  <si>
    <t>1*380</t>
  </si>
  <si>
    <t>95/15</t>
  </si>
  <si>
    <t>10+16*215</t>
  </si>
  <si>
    <t>1+6*167</t>
  </si>
  <si>
    <t>120/20</t>
  </si>
  <si>
    <t>10+16*238</t>
  </si>
  <si>
    <t>1+6*185</t>
  </si>
  <si>
    <t>150/20</t>
  </si>
  <si>
    <t>9+15*276</t>
  </si>
  <si>
    <t>185/25</t>
  </si>
  <si>
    <t>9+15*315</t>
  </si>
  <si>
    <t>1+6*210</t>
  </si>
  <si>
    <t>240/30</t>
  </si>
  <si>
    <t>9+15*360</t>
  </si>
  <si>
    <t>1+6*240</t>
  </si>
  <si>
    <t>300/40</t>
  </si>
  <si>
    <t>9+15*399</t>
  </si>
  <si>
    <t>1+6*266</t>
  </si>
  <si>
    <t>400/50</t>
  </si>
  <si>
    <t>12+18+24*307</t>
  </si>
  <si>
    <t>1+6*307</t>
  </si>
  <si>
    <t>500/</t>
  </si>
  <si>
    <t>EVALUATE</t>
  </si>
  <si>
    <t>1,7,10,14,19,24,30,37,48,61},{1,3,3.828,4.3739,4.8637,5.77,6.37,6.818626,7.8658,8.706</t>
  </si>
  <si>
    <t>{50,70,95,120,150,185,240,300},{10,14,19,24,30,37,48,61}</t>
  </si>
  <si>
    <t>国标面积对应的丝号：</t>
  </si>
  <si>
    <t>面积</t>
  </si>
  <si>
    <t>软丝丝号/bv</t>
  </si>
  <si>
    <t>0.3,0.5,0.75,1,1.5,2.5,4,6,10,16,25,35,50,70,95,120,150,185,240,300,400,500,600</t>
  </si>
  <si>
    <r>
      <rPr>
        <sz val="12"/>
        <rFont val="宋体"/>
        <charset val="134"/>
      </rPr>
      <t>62,80,98,113,138,178,225,276,133,170,210,250,250,250,250,250,250,250,250,250,285</t>
    </r>
    <r>
      <rPr>
        <sz val="12"/>
        <rFont val="宋体"/>
        <charset val="134"/>
      </rPr>
      <t>,315,355</t>
    </r>
  </si>
  <si>
    <t>泽 洋 电 缆 有 限 公 司</t>
  </si>
  <si>
    <t>标称截面(T)</t>
  </si>
  <si>
    <t>A-YJV</t>
  </si>
  <si>
    <t>A-WDZN</t>
  </si>
  <si>
    <t>A-WDZ</t>
  </si>
  <si>
    <t>A-NH</t>
  </si>
  <si>
    <t>A-KVVP</t>
  </si>
  <si>
    <t>A钢带</t>
  </si>
  <si>
    <t>B钢带</t>
  </si>
  <si>
    <t>G钢带</t>
  </si>
  <si>
    <t>S钢带</t>
  </si>
  <si>
    <t>YJV/YJLV</t>
  </si>
  <si>
    <t>YJV/YJLV/KVV</t>
  </si>
  <si>
    <t>YC</t>
  </si>
  <si>
    <t>BLV</t>
  </si>
  <si>
    <t>BV/BVR</t>
  </si>
  <si>
    <t>RVSP</t>
  </si>
  <si>
    <t>RVS</t>
  </si>
  <si>
    <t>YJV22/YJLV22
8.7/15</t>
  </si>
  <si>
    <t>BTTZ/BTTVZ/BTTRZ/BTTW</t>
  </si>
  <si>
    <t>DJYVP/DJYPVP/DJYPVRP</t>
  </si>
  <si>
    <t>2*10</t>
  </si>
  <si>
    <t>5*10</t>
  </si>
  <si>
    <t>1*10</t>
  </si>
  <si>
    <t>20*1.5</t>
  </si>
  <si>
    <t>5*1</t>
  </si>
  <si>
    <t>4*1</t>
  </si>
  <si>
    <t>3*1</t>
  </si>
  <si>
    <t>2*1</t>
  </si>
  <si>
    <t>RVV</t>
  </si>
  <si>
    <t>RVV/RVVP</t>
  </si>
  <si>
    <t>2*16</t>
  </si>
  <si>
    <t>5*16</t>
  </si>
  <si>
    <t>1*16</t>
  </si>
  <si>
    <t>24*1.5</t>
  </si>
  <si>
    <t>5*1.5</t>
  </si>
  <si>
    <t>4*1.5</t>
  </si>
  <si>
    <t>3*1.5</t>
  </si>
  <si>
    <t>2*1.5</t>
  </si>
  <si>
    <t>1*0.75</t>
  </si>
  <si>
    <t>2*0.5</t>
  </si>
  <si>
    <t>1*2*1</t>
  </si>
  <si>
    <t>2*25</t>
  </si>
  <si>
    <t>5*25</t>
  </si>
  <si>
    <t>1*25</t>
  </si>
  <si>
    <t>30*1.5</t>
  </si>
  <si>
    <t>5*2.5</t>
  </si>
  <si>
    <t>4*2.5</t>
  </si>
  <si>
    <t>3*2.5</t>
  </si>
  <si>
    <t>2*2.5</t>
  </si>
  <si>
    <t>\</t>
  </si>
  <si>
    <t>3*0.5</t>
  </si>
  <si>
    <t>4*0.5</t>
  </si>
  <si>
    <t>2*0.3</t>
  </si>
  <si>
    <t>2*0.75</t>
  </si>
  <si>
    <t>1*1</t>
  </si>
  <si>
    <t>3*25</t>
  </si>
  <si>
    <t>2*2*1</t>
  </si>
  <si>
    <t>2*35</t>
  </si>
  <si>
    <t>5*35</t>
  </si>
  <si>
    <t>1*35</t>
  </si>
  <si>
    <t>37*1.5</t>
  </si>
  <si>
    <t>5*4</t>
  </si>
  <si>
    <t>4*4</t>
  </si>
  <si>
    <t>3*4</t>
  </si>
  <si>
    <t>2*4</t>
  </si>
  <si>
    <t>5*0.5</t>
  </si>
  <si>
    <t>3*0.75</t>
  </si>
  <si>
    <t>4*0.75</t>
  </si>
  <si>
    <t>3*0.3</t>
  </si>
  <si>
    <t>1*1.5</t>
  </si>
  <si>
    <t>3*35</t>
  </si>
  <si>
    <t>3*2*1</t>
  </si>
  <si>
    <t>2*50</t>
  </si>
  <si>
    <t>5*50</t>
  </si>
  <si>
    <t>1*50</t>
  </si>
  <si>
    <t>6*2.5</t>
  </si>
  <si>
    <t>5*6</t>
  </si>
  <si>
    <t>4*6</t>
  </si>
  <si>
    <t>3*6</t>
  </si>
  <si>
    <t>2*6</t>
  </si>
  <si>
    <t>5*0.75</t>
  </si>
  <si>
    <t>4*0.3</t>
  </si>
  <si>
    <t>1*2.5</t>
  </si>
  <si>
    <t>3*50</t>
  </si>
  <si>
    <t>4*2*1</t>
  </si>
  <si>
    <t>2*70</t>
  </si>
  <si>
    <t>5*70</t>
  </si>
  <si>
    <t>1*70</t>
  </si>
  <si>
    <t>7*2.5</t>
  </si>
  <si>
    <t>4*10</t>
  </si>
  <si>
    <t>3*10</t>
  </si>
  <si>
    <t>5*0.3</t>
  </si>
  <si>
    <t>1*4</t>
  </si>
  <si>
    <t>3*70</t>
  </si>
  <si>
    <t>5*2*1</t>
  </si>
  <si>
    <t>2*95</t>
  </si>
  <si>
    <t>5*95</t>
  </si>
  <si>
    <t>1*95</t>
  </si>
  <si>
    <t>8*2.5</t>
  </si>
  <si>
    <t>4*16</t>
  </si>
  <si>
    <t>3*16</t>
  </si>
  <si>
    <t>6*0.3</t>
  </si>
  <si>
    <t>6*0.5</t>
  </si>
  <si>
    <t>6*0.75</t>
  </si>
  <si>
    <t>6*1</t>
  </si>
  <si>
    <t>1*6</t>
  </si>
  <si>
    <t>3*95</t>
  </si>
  <si>
    <t>6*2*1</t>
  </si>
  <si>
    <t>2*120</t>
  </si>
  <si>
    <t>5*120</t>
  </si>
  <si>
    <t>1*120</t>
  </si>
  <si>
    <t>10*2.5</t>
  </si>
  <si>
    <t>4*25</t>
  </si>
  <si>
    <t>7*0.3</t>
  </si>
  <si>
    <t>7*0.5</t>
  </si>
  <si>
    <t>7*0.75</t>
  </si>
  <si>
    <t>7*1</t>
  </si>
  <si>
    <t>3*120</t>
  </si>
  <si>
    <t>7*2*1</t>
  </si>
  <si>
    <t>2*150</t>
  </si>
  <si>
    <t>5*150</t>
  </si>
  <si>
    <t>12*2.5</t>
  </si>
  <si>
    <t>4*35</t>
  </si>
  <si>
    <t>8*0.3</t>
  </si>
  <si>
    <t>8*0.5</t>
  </si>
  <si>
    <t>8*0.75</t>
  </si>
  <si>
    <t>8*1</t>
  </si>
  <si>
    <t>3*150</t>
  </si>
  <si>
    <t>8*2*1</t>
  </si>
  <si>
    <t>14*2.5</t>
  </si>
  <si>
    <t>4*50</t>
  </si>
  <si>
    <t>10*0.3</t>
  </si>
  <si>
    <t>10*0.5</t>
  </si>
  <si>
    <t>10*0.75</t>
  </si>
  <si>
    <t>10*1</t>
  </si>
  <si>
    <t>3*185</t>
  </si>
  <si>
    <t>10*2*1</t>
  </si>
  <si>
    <t>1*240</t>
  </si>
  <si>
    <t>16*2.5</t>
  </si>
  <si>
    <t>4*70</t>
  </si>
  <si>
    <t>12*0.3</t>
  </si>
  <si>
    <t>12*0.5</t>
  </si>
  <si>
    <t>12*0.75</t>
  </si>
  <si>
    <t>12*1</t>
  </si>
  <si>
    <t>3*240</t>
  </si>
  <si>
    <t>12*2*1</t>
  </si>
  <si>
    <t>1*300</t>
  </si>
  <si>
    <t>19*2.5</t>
  </si>
  <si>
    <t>4*95</t>
  </si>
  <si>
    <t>14*0.3</t>
  </si>
  <si>
    <t>14*0.5</t>
  </si>
  <si>
    <t>14*0.75</t>
  </si>
  <si>
    <t>14*1</t>
  </si>
  <si>
    <t>3*300</t>
  </si>
  <si>
    <t>1*3*1</t>
  </si>
  <si>
    <t>1*400</t>
  </si>
  <si>
    <t>20*2.5</t>
  </si>
  <si>
    <t>YH(焊机线)</t>
  </si>
  <si>
    <t>16*0.3</t>
  </si>
  <si>
    <t>16*0.5</t>
  </si>
  <si>
    <t>16*0.75</t>
  </si>
  <si>
    <t>16*1</t>
  </si>
  <si>
    <t>3*400</t>
  </si>
  <si>
    <t>2*3*1</t>
  </si>
  <si>
    <t>1*500</t>
  </si>
  <si>
    <t>24*2.5</t>
  </si>
  <si>
    <t>19*0.3</t>
  </si>
  <si>
    <t>19*0.5</t>
  </si>
  <si>
    <t>19*0.75</t>
  </si>
  <si>
    <t>19*1</t>
  </si>
  <si>
    <t>3*500</t>
  </si>
  <si>
    <t>3*3*1</t>
  </si>
  <si>
    <t>1*630</t>
  </si>
  <si>
    <t>30*2.5</t>
  </si>
  <si>
    <t>4*1+1*0.75</t>
  </si>
  <si>
    <t>3*1+1*0.75</t>
  </si>
  <si>
    <t>3*1+2*0.75</t>
  </si>
  <si>
    <t>20*0.3</t>
  </si>
  <si>
    <t>20*0.5</t>
  </si>
  <si>
    <t>20*0.75</t>
  </si>
  <si>
    <t>20*1</t>
  </si>
  <si>
    <t>3*630</t>
  </si>
  <si>
    <t>4*3*1</t>
  </si>
  <si>
    <t>1*800</t>
  </si>
  <si>
    <t>37*2.5</t>
  </si>
  <si>
    <t>4*1.5+1*1</t>
  </si>
  <si>
    <t>3*1.5+1*1</t>
  </si>
  <si>
    <t>3*1.5+2*1</t>
  </si>
  <si>
    <t>24*0.3</t>
  </si>
  <si>
    <t>24*0.5</t>
  </si>
  <si>
    <t>24*0.75</t>
  </si>
  <si>
    <t>24*1</t>
  </si>
  <si>
    <t>3*10+1*6</t>
  </si>
  <si>
    <t>4*2.5+1*1.5</t>
  </si>
  <si>
    <t>3*2.5+1*1.5</t>
  </si>
  <si>
    <t>3*2.5+2*1.5</t>
  </si>
  <si>
    <t>30*0.3</t>
  </si>
  <si>
    <t>30*0.5</t>
  </si>
  <si>
    <t>30*0.75</t>
  </si>
  <si>
    <t>30*1</t>
  </si>
  <si>
    <t>4*120</t>
  </si>
  <si>
    <t>3*16+1*10</t>
  </si>
  <si>
    <t>4*4+1*2.5</t>
  </si>
  <si>
    <t>3*4+1*2.5</t>
  </si>
  <si>
    <t>3*4+2*2.5</t>
  </si>
  <si>
    <t>37*0.3</t>
  </si>
  <si>
    <t>37*0.5</t>
  </si>
  <si>
    <t>37*0.75</t>
  </si>
  <si>
    <t>37*1</t>
  </si>
  <si>
    <t>4*150</t>
  </si>
  <si>
    <t>3*25+1*16</t>
  </si>
  <si>
    <t>4*6+1*4</t>
  </si>
  <si>
    <t>3*6+1*4</t>
  </si>
  <si>
    <t>3*6+2*4</t>
  </si>
  <si>
    <t>2*185</t>
  </si>
  <si>
    <t>4*185</t>
  </si>
  <si>
    <t>3*35+1*16</t>
  </si>
  <si>
    <t>4*10+1*6</t>
  </si>
  <si>
    <t>3*10+2*6</t>
  </si>
  <si>
    <t>2*240</t>
  </si>
  <si>
    <t>4*240</t>
  </si>
  <si>
    <t>标称截面</t>
  </si>
  <si>
    <t>3*50+1*25</t>
  </si>
  <si>
    <t>4*16+1*6</t>
  </si>
  <si>
    <t>3*16+1*6</t>
  </si>
  <si>
    <t>3*16+2*6</t>
  </si>
  <si>
    <t>2*300</t>
  </si>
  <si>
    <t>4*300</t>
  </si>
  <si>
    <t>3*70+1*35</t>
  </si>
  <si>
    <t>4*25+1*10</t>
  </si>
  <si>
    <t>3*25+1*10</t>
  </si>
  <si>
    <t>3*25+2*10</t>
  </si>
  <si>
    <t>2*400</t>
  </si>
  <si>
    <t>4*400</t>
  </si>
  <si>
    <t>3*95+1*50</t>
  </si>
  <si>
    <t>4*35+1*10</t>
  </si>
  <si>
    <t>3*35+1*10</t>
  </si>
  <si>
    <t>3*35+2*10</t>
  </si>
  <si>
    <t>3*120+1*70</t>
  </si>
  <si>
    <t>4*50+1*16</t>
  </si>
  <si>
    <t>3*50+1*16</t>
  </si>
  <si>
    <t>3*50+2*16</t>
  </si>
  <si>
    <t>3*150+1*70</t>
  </si>
  <si>
    <t>4*70+1*25</t>
  </si>
  <si>
    <t>3*70+1*25</t>
  </si>
  <si>
    <t>3*70+2*25</t>
  </si>
  <si>
    <t>3*185+1*95</t>
  </si>
  <si>
    <t>4*95+1*35</t>
  </si>
  <si>
    <t>3*95+1*35</t>
  </si>
  <si>
    <t>3*95+2*35</t>
  </si>
  <si>
    <t>3*240+1*120</t>
  </si>
  <si>
    <t>4*120+1*50</t>
  </si>
  <si>
    <t>3*120+1*50</t>
  </si>
  <si>
    <t>3*120+2*50</t>
  </si>
  <si>
    <t>3*300+1*150</t>
  </si>
  <si>
    <t>6*1.5</t>
  </si>
  <si>
    <t>4*150+1*50</t>
  </si>
  <si>
    <t>3*150+1*50</t>
  </si>
  <si>
    <t>3*150+2*50</t>
  </si>
  <si>
    <t>6*4</t>
  </si>
  <si>
    <t>6*6</t>
  </si>
  <si>
    <t>3*400+1*185</t>
  </si>
  <si>
    <t>7*1.5</t>
  </si>
  <si>
    <t>4*185+1*70</t>
  </si>
  <si>
    <t>3*185+1*70</t>
  </si>
  <si>
    <t>3*185+2*70</t>
  </si>
  <si>
    <t>7*4</t>
  </si>
  <si>
    <t>7*6</t>
  </si>
  <si>
    <t>8*1.5</t>
  </si>
  <si>
    <t>4*240+1*95</t>
  </si>
  <si>
    <t>3*240+1*95</t>
  </si>
  <si>
    <t>3*240+2*95</t>
  </si>
  <si>
    <t>8*4</t>
  </si>
  <si>
    <t>8*6</t>
  </si>
  <si>
    <t>3*16+2*10</t>
  </si>
  <si>
    <t>4*16+1*10</t>
  </si>
  <si>
    <t>10*1.5</t>
  </si>
  <si>
    <t>10*4</t>
  </si>
  <si>
    <t>10*6</t>
  </si>
  <si>
    <t>3*25+2*16</t>
  </si>
  <si>
    <t>4*25+1*16</t>
  </si>
  <si>
    <t>12*1.5</t>
  </si>
  <si>
    <t>12*4</t>
  </si>
  <si>
    <t>12*6</t>
  </si>
  <si>
    <t>3*35+2*16</t>
  </si>
  <si>
    <t>4*35+1*16</t>
  </si>
  <si>
    <t>14*1.5</t>
  </si>
  <si>
    <t>14*4</t>
  </si>
  <si>
    <t>14*6</t>
  </si>
  <si>
    <t>3*50+2*25</t>
  </si>
  <si>
    <t>4*50+1*25</t>
  </si>
  <si>
    <t>16*1.5</t>
  </si>
  <si>
    <t>16*4</t>
  </si>
  <si>
    <t>16*6</t>
  </si>
  <si>
    <t>3*70+2*35</t>
  </si>
  <si>
    <t>4*70+1*35</t>
  </si>
  <si>
    <t>19*1.5</t>
  </si>
  <si>
    <t>19*4</t>
  </si>
  <si>
    <t>19*6</t>
  </si>
  <si>
    <t>3*95+2*50</t>
  </si>
  <si>
    <t>4*95+1*50</t>
  </si>
  <si>
    <t>20*4</t>
  </si>
  <si>
    <t>20*6</t>
  </si>
  <si>
    <t>3*120+2*70</t>
  </si>
  <si>
    <t>4*120+1*70</t>
  </si>
  <si>
    <t>24*4</t>
  </si>
  <si>
    <t>24*6</t>
  </si>
  <si>
    <t>3*150+2*70</t>
  </si>
  <si>
    <t>4*150+1*70</t>
  </si>
  <si>
    <t>30*4</t>
  </si>
  <si>
    <t>30*6</t>
  </si>
  <si>
    <t>3*185+2*95</t>
  </si>
  <si>
    <t>4*185+1*95</t>
  </si>
  <si>
    <t>37*4</t>
  </si>
  <si>
    <t>37*6</t>
  </si>
  <si>
    <t>3*240+2*120</t>
  </si>
  <si>
    <t>4*240+1*120</t>
  </si>
  <si>
    <t>3*300+2*150</t>
  </si>
  <si>
    <t>4*300+1*150</t>
  </si>
  <si>
    <t>注：以上报价均为不含税价。因铜铝价格不稳定，电话报价为准，欢迎致电询问。</t>
  </si>
  <si>
    <t>3*400+2*185</t>
  </si>
  <si>
    <t>4*400+1*185</t>
  </si>
  <si>
    <t>地址：合肥市国际五金机电商贸城三期B区27栋121号</t>
  </si>
  <si>
    <t xml:space="preserve">手机：184 0551 8866   184 0551 9966      </t>
  </si>
  <si>
    <t>以下名称和位置不能改动</t>
  </si>
  <si>
    <t>每次改变要把截图存相册</t>
  </si>
  <si>
    <t xml:space="preserve"> 原料价格 </t>
  </si>
  <si>
    <t>参数设定</t>
  </si>
  <si>
    <t>品名</t>
  </si>
  <si>
    <t>单价（元/kg）</t>
  </si>
  <si>
    <t>密度（g/cm3）</t>
  </si>
  <si>
    <t xml:space="preserve">(铜)TA标/TG标/TB标
</t>
  </si>
  <si>
    <t>（每米长度）铜长</t>
  </si>
  <si>
    <t>铜出厂利润</t>
  </si>
  <si>
    <t>铜合肥利润</t>
  </si>
  <si>
    <t>实际价+300元</t>
  </si>
  <si>
    <t>YJV/KVV/铜高压/BV/BVVB/</t>
  </si>
  <si>
    <t>导体</t>
  </si>
  <si>
    <t>铜价</t>
  </si>
  <si>
    <t>（厂利润）电费</t>
  </si>
  <si>
    <t>实际价+200元</t>
  </si>
  <si>
    <t>YJLV/铝高压/架空线/BLV//BLVVB</t>
  </si>
  <si>
    <t>铝价</t>
  </si>
  <si>
    <t>（合肥)费用</t>
  </si>
  <si>
    <t>铝出厂利润</t>
  </si>
  <si>
    <t>铝合肥利润</t>
  </si>
  <si>
    <t>BLV铝价</t>
  </si>
  <si>
    <t>LHJ</t>
  </si>
  <si>
    <t>铝合金价</t>
  </si>
  <si>
    <t>出厂运费(千克/元)</t>
  </si>
  <si>
    <t>仓库运费(千克/元)</t>
  </si>
  <si>
    <t>PV1-F1*4(0.3丝52根)</t>
  </si>
  <si>
    <t>镀锡铜</t>
  </si>
  <si>
    <t>橡套/RVV/RVVP/RVS</t>
  </si>
  <si>
    <t>铜价(软丝）</t>
  </si>
  <si>
    <t>弹性体
SC</t>
  </si>
  <si>
    <t>A-（每米长度）铜长</t>
  </si>
  <si>
    <t>实际价+2元</t>
  </si>
  <si>
    <t>YJV/KVV/YJLV/LHJ</t>
  </si>
  <si>
    <t>绝缘</t>
  </si>
  <si>
    <t>纯硅烷(一步法)</t>
  </si>
  <si>
    <t>KVV(1-6平方)</t>
  </si>
  <si>
    <t>纯硅烷(二步法)</t>
  </si>
  <si>
    <t>B-（每米长度）铜长</t>
  </si>
  <si>
    <t>低烟无卤无护套WDZ/WDZN/RVS/BV/BVR</t>
  </si>
  <si>
    <t>低烟无卤绝缘料（RVS+BV+BVR）</t>
  </si>
  <si>
    <t>聚氯乙烯</t>
  </si>
  <si>
    <t>弹性体-G</t>
  </si>
  <si>
    <t>A-每卷米数</t>
  </si>
  <si>
    <t>弹性体-B</t>
  </si>
  <si>
    <t>B-每卷米数</t>
  </si>
  <si>
    <t>(橡套)YC</t>
  </si>
  <si>
    <t>实际价+5元</t>
  </si>
  <si>
    <t>YJV/YJLV/LHJ/铜高压/铝高压(内外护套)/BV/BLV/RVS/BVVB/BLVVB</t>
  </si>
  <si>
    <t>护套</t>
  </si>
  <si>
    <t>ZA聚氯乙烯护套（一代）</t>
  </si>
  <si>
    <t>实际价+0.2元</t>
  </si>
  <si>
    <t>ZA硅烷护套-低烟无卤</t>
  </si>
  <si>
    <t>WDZ/WDZN</t>
  </si>
  <si>
    <t>聚氯乙烯（一代）</t>
  </si>
  <si>
    <t>橡套/YC/YZ/YH</t>
  </si>
  <si>
    <t>聚氯乙烯（二代）</t>
  </si>
  <si>
    <t>低烟无卤护套料</t>
  </si>
  <si>
    <t>橡胶-B</t>
  </si>
  <si>
    <t>橡胶-A</t>
  </si>
  <si>
    <t>(铜)高压</t>
  </si>
  <si>
    <t>YJV/KVV/YJLV/LHJ/RVV/RVVP</t>
  </si>
  <si>
    <t>WDZ/ZC/ZB</t>
  </si>
  <si>
    <t>填充物</t>
  </si>
  <si>
    <t>填充绳(无阻燃)</t>
  </si>
  <si>
    <t>WDZN/NH</t>
  </si>
  <si>
    <t>填充绳(阻燃)</t>
  </si>
  <si>
    <t>(铜)BV/BVR/BVVB</t>
  </si>
  <si>
    <t>石棉绳</t>
  </si>
  <si>
    <t>纤维绳</t>
  </si>
  <si>
    <t>铜高压/铝高压</t>
  </si>
  <si>
    <t>高压填充物</t>
  </si>
  <si>
    <t>包带</t>
  </si>
  <si>
    <t>云母带</t>
  </si>
  <si>
    <t>（每卷长度）铜长</t>
  </si>
  <si>
    <t>低压钢带铠装电缆</t>
  </si>
  <si>
    <t>无纺布</t>
  </si>
  <si>
    <t>NH</t>
  </si>
  <si>
    <t>铝箔</t>
  </si>
  <si>
    <t>(铜)RVV/RVVP/</t>
  </si>
  <si>
    <t>丙带</t>
  </si>
  <si>
    <t>耐火带</t>
  </si>
  <si>
    <t>PPD绕包带</t>
  </si>
  <si>
    <t>高、低压钢带铠装电缆</t>
  </si>
  <si>
    <t>锁带</t>
  </si>
  <si>
    <t>铜高压/铝高压(高压绝缘内屏)</t>
  </si>
  <si>
    <t>钢带</t>
  </si>
  <si>
    <t>RVS软线</t>
  </si>
  <si>
    <t>KVVP/RVVP</t>
  </si>
  <si>
    <t>磁性钢带</t>
  </si>
  <si>
    <t>铜高压/铝高压(高压绝缘外屏)</t>
  </si>
  <si>
    <t>导体屏蔽</t>
  </si>
  <si>
    <t>铜高压/铝高压（铜带）</t>
  </si>
  <si>
    <t>屏蔽</t>
  </si>
  <si>
    <t>架空</t>
  </si>
  <si>
    <t>绝缘屏蔽</t>
  </si>
  <si>
    <t>金属屏蔽</t>
  </si>
  <si>
    <t>钢丝</t>
  </si>
  <si>
    <t>计算机</t>
  </si>
  <si>
    <t>芯数</t>
  </si>
  <si>
    <t>绞合后外径比</t>
  </si>
  <si>
    <t>防火</t>
  </si>
  <si>
    <t>1、柔性外护套（一代）</t>
  </si>
  <si>
    <t>1、柔性外护套（二代）</t>
  </si>
  <si>
    <t>防火泥</t>
  </si>
  <si>
    <t>硅烷聚乙烯</t>
  </si>
  <si>
    <t>分色隔离层-硅烷聚乙烯绝缘</t>
  </si>
  <si>
    <t>(铝)LA标/LG标/LB标
LHJ</t>
  </si>
  <si>
    <t>（每米长度）铝长</t>
  </si>
  <si>
    <t>5、无卤填充条</t>
  </si>
  <si>
    <t>耐火布</t>
  </si>
  <si>
    <t>高阻燃带-耐火布</t>
  </si>
  <si>
    <t>低烟无卤阻燃护套</t>
  </si>
  <si>
    <t>无机纤维填充物</t>
  </si>
  <si>
    <t>(铝)高压</t>
  </si>
  <si>
    <t>氧化镁</t>
  </si>
  <si>
    <t>(架空)JK</t>
  </si>
  <si>
    <t>（每米长度）架空线长</t>
  </si>
  <si>
    <t>防火芯数</t>
  </si>
  <si>
    <t>无卤填充条直径比（绞合后内切圆直径比</t>
  </si>
  <si>
    <t>(铝)BLV/BLVVB</t>
  </si>
  <si>
    <t>各项系数</t>
  </si>
  <si>
    <t>π</t>
  </si>
  <si>
    <t>防火电缆</t>
  </si>
  <si>
    <t>π/4</t>
  </si>
  <si>
    <t>税率-铜</t>
  </si>
  <si>
    <t>税率-铝</t>
  </si>
  <si>
    <t>根据截面倒求丝号</t>
  </si>
  <si>
    <t>TA表的丝号</t>
  </si>
  <si>
    <t>根据前列丝号得平方数</t>
  </si>
  <si>
    <t>TA绞合系数</t>
  </si>
  <si>
    <t>TA重量（99.5/米）</t>
  </si>
  <si>
    <t>换算成1米的重量</t>
  </si>
  <si>
    <t>根据重量倒求丝号</t>
  </si>
  <si>
    <t>截面差</t>
  </si>
  <si>
    <t>根据截面求丝号</t>
  </si>
  <si>
    <t>根丝丝号和丝数 计算面积</t>
  </si>
  <si>
    <t>根据面积倒求丝号</t>
  </si>
  <si>
    <t>反算面积</t>
  </si>
  <si>
    <t>计算面积</t>
  </si>
  <si>
    <t>国标文件</t>
  </si>
  <si>
    <t>原表倍数</t>
  </si>
  <si>
    <t>1+7</t>
  </si>
  <si>
    <t>1+8</t>
  </si>
  <si>
    <t>2+9</t>
  </si>
  <si>
    <t>3+9</t>
  </si>
  <si>
    <t>4+9</t>
  </si>
  <si>
    <t>1+6+9</t>
  </si>
  <si>
    <t>1+6+13</t>
  </si>
  <si>
    <t>3+9+15</t>
  </si>
  <si>
    <t>合肥销售利润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</si>
  <si>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9芯及其以下+6平方及其以下，保留位数</t>
    </r>
  </si>
  <si>
    <r>
      <rPr>
        <sz val="12"/>
        <rFont val="宋体"/>
        <charset val="134"/>
      </rPr>
      <t>1芯</t>
    </r>
    <r>
      <rPr>
        <sz val="12"/>
        <rFont val="宋体"/>
        <charset val="134"/>
      </rPr>
      <t>+95平方以下保留位数</t>
    </r>
  </si>
  <si>
    <t>BV 火段数</t>
  </si>
  <si>
    <t>运费（元/公斤）</t>
  </si>
  <si>
    <t>手填部分</t>
  </si>
  <si>
    <t>V2  芯数</t>
  </si>
  <si>
    <t>YJV</t>
  </si>
  <si>
    <t>销售部分</t>
  </si>
  <si>
    <t>有+无云母带通用数据（自动计算部分）                                        有+无云母带通用数据（自动计算部分）</t>
  </si>
  <si>
    <t>无云母带                   无云母带                  无云母带                   无云母带                  无云母带                   无云母带                  无云母带                   无云母带                  无云母带                   无云母带                  无云母带                   无云母带                  无云母带                   无云母带</t>
  </si>
  <si>
    <r>
      <rPr>
        <b/>
        <sz val="12"/>
        <color rgb="FFFF0000"/>
        <rFont val="宋体"/>
        <charset val="134"/>
      </rPr>
      <t xml:space="preserve"> 有云母带                   有云母带                   有云母带                   有云母带                   </t>
    </r>
    <r>
      <rPr>
        <b/>
        <sz val="12"/>
        <color indexed="10"/>
        <rFont val="宋体"/>
        <charset val="134"/>
      </rPr>
      <t xml:space="preserve">有云母带                   有云母带                   有云母带                   有云母带                   有云母带                   有云母带                   有云母带                   有云母带                   有云母带                   有云母带                   有云母带                   有云母带                   </t>
    </r>
  </si>
  <si>
    <t xml:space="preserve">外径                              外径                              </t>
  </si>
  <si>
    <t>WDZ-YJV-出厂加价(低烟无卤)</t>
  </si>
  <si>
    <r>
      <rPr>
        <sz val="12"/>
        <rFont val="宋体"/>
        <charset val="134"/>
      </rPr>
      <t>B</t>
    </r>
    <r>
      <rPr>
        <sz val="12"/>
        <rFont val="宋体"/>
        <charset val="134"/>
      </rPr>
      <t>T  火线截面</t>
    </r>
  </si>
  <si>
    <t>s=pi*d*d/4</t>
  </si>
  <si>
    <t>d=s/pi*4</t>
  </si>
  <si>
    <t>NH-YJV-出厂加价(耐火)</t>
  </si>
  <si>
    <t>U4 火线截面</t>
  </si>
  <si>
    <t>NHYJV</t>
  </si>
  <si>
    <t>WDZN-YJV-出厂加价(低烟无卤+耐火)</t>
  </si>
  <si>
    <t>差额</t>
  </si>
  <si>
    <t>（有 + 无） 云 母 带 通 用   数   据</t>
  </si>
  <si>
    <t>无云母带</t>
  </si>
  <si>
    <t>有云母带</t>
  </si>
  <si>
    <t>导体成本</t>
  </si>
  <si>
    <t>自动计算部分（绝缘）</t>
  </si>
  <si>
    <t>自动计算部分（麻绳）（外径不变）</t>
  </si>
  <si>
    <r>
      <rPr>
        <b/>
        <sz val="12"/>
        <rFont val="宋体"/>
        <charset val="134"/>
      </rPr>
      <t>共用参数--自动计算部分--各种绕包布</t>
    </r>
    <r>
      <rPr>
        <b/>
        <sz val="12"/>
        <color indexed="10"/>
        <rFont val="宋体"/>
        <charset val="134"/>
      </rPr>
      <t>（外径加厚度*3 ）</t>
    </r>
  </si>
  <si>
    <t>自动计算部分（钢带）（一层时外径为：加厚度*3/2，二层时外径为加厚度*6/2）</t>
  </si>
  <si>
    <t>自动计算部分（屏蔽）（一层时外径为：加厚度*3/2，二层时外径为加厚度*6/2）</t>
  </si>
  <si>
    <t>ZA-自动计算部分（护套）</t>
  </si>
  <si>
    <t>无阻燃-------自动计算部分（护套）</t>
  </si>
  <si>
    <t>成本自动计算--纤维绳/石棉绳</t>
  </si>
  <si>
    <r>
      <rPr>
        <b/>
        <sz val="12"/>
        <rFont val="宋体"/>
        <charset val="134"/>
      </rPr>
      <t>自动计算部分--各种绕包布</t>
    </r>
    <r>
      <rPr>
        <b/>
        <sz val="12"/>
        <color indexed="10"/>
        <rFont val="宋体"/>
        <charset val="134"/>
      </rPr>
      <t>（外径加厚度*3 ）</t>
    </r>
  </si>
  <si>
    <t>自动计算部分（钢带）</t>
  </si>
  <si>
    <t>自动计算部分（屏蔽）</t>
  </si>
  <si>
    <t>自动计算部分（护套）</t>
  </si>
  <si>
    <t>共用部分</t>
  </si>
  <si>
    <t>有云母带（NH）</t>
  </si>
  <si>
    <t>无云母带--总金额</t>
  </si>
  <si>
    <t>有云母带--总金额</t>
  </si>
  <si>
    <t>火丝号
(单位：毫米/100)</t>
  </si>
  <si>
    <t>火线过模</t>
  </si>
  <si>
    <t>火线压型</t>
  </si>
  <si>
    <r>
      <rPr>
        <b/>
        <sz val="18"/>
        <rFont val="宋体"/>
        <charset val="134"/>
      </rPr>
      <t>o</t>
    </r>
    <r>
      <rPr>
        <b/>
        <sz val="12"/>
        <color indexed="0"/>
        <rFont val="宋体"/>
        <charset val="134"/>
      </rPr>
      <t>丝号</t>
    </r>
  </si>
  <si>
    <r>
      <rPr>
        <b/>
        <sz val="18"/>
        <rFont val="宋体"/>
        <charset val="134"/>
      </rPr>
      <t>o</t>
    </r>
    <r>
      <rPr>
        <b/>
        <sz val="12"/>
        <color indexed="0"/>
        <rFont val="宋体"/>
        <charset val="134"/>
      </rPr>
      <t>线过模</t>
    </r>
  </si>
  <si>
    <r>
      <rPr>
        <b/>
        <sz val="20"/>
        <rFont val="宋体"/>
        <charset val="134"/>
      </rPr>
      <t>o</t>
    </r>
    <r>
      <rPr>
        <b/>
        <sz val="12"/>
        <color indexed="0"/>
        <rFont val="宋体"/>
        <charset val="134"/>
      </rPr>
      <t>线压型</t>
    </r>
  </si>
  <si>
    <t>火线</t>
  </si>
  <si>
    <t>零线</t>
  </si>
  <si>
    <t>绕包带</t>
  </si>
  <si>
    <t>屏蔽(KVVP)</t>
  </si>
  <si>
    <t>护套厚度</t>
  </si>
  <si>
    <t>云母带厚度</t>
  </si>
  <si>
    <t>O线</t>
  </si>
  <si>
    <t>验证</t>
  </si>
  <si>
    <t>销售-聚氯乙烯(A-YJV)</t>
  </si>
  <si>
    <t>销售-（低烟无卤）(A-WDZ-YJY)</t>
  </si>
  <si>
    <t>销售-聚氯乙烯(A-NH-YJV)</t>
  </si>
  <si>
    <t>销售-（低烟无卤+耐火）(A-WDZN-YJY)</t>
  </si>
  <si>
    <t>火丝结构</t>
  </si>
  <si>
    <t>o丝结构</t>
  </si>
  <si>
    <t>火+0</t>
  </si>
  <si>
    <t>绝缘材质见K列</t>
  </si>
  <si>
    <t>绝缘使用重量</t>
  </si>
  <si>
    <t>绝缘金额</t>
  </si>
  <si>
    <t>（外径加厚度*3）</t>
  </si>
  <si>
    <t>包带使用重量</t>
  </si>
  <si>
    <t>包带金额</t>
  </si>
  <si>
    <t>无屏蔽</t>
  </si>
  <si>
    <t>有屏蔽</t>
  </si>
  <si>
    <r>
      <rPr>
        <b/>
        <sz val="12"/>
        <rFont val="宋体"/>
        <charset val="134"/>
      </rPr>
      <t xml:space="preserve">聚氯乙烯 </t>
    </r>
    <r>
      <rPr>
        <b/>
        <sz val="12"/>
        <color rgb="FFFF0000"/>
        <rFont val="宋体"/>
        <charset val="134"/>
      </rPr>
      <t>材质见AH列</t>
    </r>
  </si>
  <si>
    <r>
      <rPr>
        <b/>
        <sz val="12"/>
        <rFont val="宋体"/>
        <charset val="134"/>
      </rPr>
      <t>聚氯乙烯(带屏蔽)</t>
    </r>
    <r>
      <rPr>
        <b/>
        <sz val="12"/>
        <color rgb="FFFF0000"/>
        <rFont val="宋体"/>
        <charset val="134"/>
      </rPr>
      <t>材质见AH列</t>
    </r>
  </si>
  <si>
    <t>（直径*3）</t>
  </si>
  <si>
    <r>
      <rPr>
        <b/>
        <sz val="12"/>
        <color rgb="FFFF0000"/>
        <rFont val="宋体"/>
        <charset val="134"/>
      </rPr>
      <t>实际</t>
    </r>
    <r>
      <rPr>
        <b/>
        <sz val="12"/>
        <color indexed="0"/>
        <rFont val="宋体"/>
        <charset val="134"/>
      </rPr>
      <t>填充面积cm2</t>
    </r>
  </si>
  <si>
    <t>绳使用重量</t>
  </si>
  <si>
    <t>绳金额</t>
  </si>
  <si>
    <t>（一层时外径为：加厚度*1.5/2，二层时外径为加厚度*3/2）</t>
  </si>
  <si>
    <t>（一层时外径为：加厚度*3/2，二层时外径为加厚度*6/2）</t>
  </si>
  <si>
    <r>
      <rPr>
        <b/>
        <sz val="12"/>
        <rFont val="宋体"/>
        <charset val="134"/>
      </rPr>
      <t>聚氯乙烯-</t>
    </r>
    <r>
      <rPr>
        <b/>
        <sz val="12"/>
        <color rgb="FFFF0000"/>
        <rFont val="宋体"/>
        <charset val="134"/>
      </rPr>
      <t>材质见AH列</t>
    </r>
  </si>
  <si>
    <t>0线</t>
  </si>
  <si>
    <t>火过模后单根导体外径(绞丝后)（mm)</t>
  </si>
  <si>
    <r>
      <rPr>
        <b/>
        <sz val="11"/>
        <rFont val="宋体"/>
        <charset val="134"/>
      </rPr>
      <t>火</t>
    </r>
    <r>
      <rPr>
        <b/>
        <sz val="11"/>
        <color rgb="FFFF0000"/>
        <rFont val="宋体"/>
        <charset val="134"/>
      </rPr>
      <t>压型</t>
    </r>
    <r>
      <rPr>
        <b/>
        <sz val="11"/>
        <rFont val="宋体"/>
        <charset val="134"/>
      </rPr>
      <t>后单根导体外径(绞丝后)（mm)</t>
    </r>
  </si>
  <si>
    <t>0过模后单根导体外径(mm)</t>
  </si>
  <si>
    <t>0压型后单根导体外径(mm)</t>
  </si>
  <si>
    <t>火单根绝缘外径（mm）</t>
  </si>
  <si>
    <r>
      <rPr>
        <b/>
        <sz val="12"/>
        <color rgb="FFFF0000"/>
        <rFont val="宋体"/>
        <charset val="134"/>
      </rPr>
      <t>零</t>
    </r>
    <r>
      <rPr>
        <b/>
        <sz val="12"/>
        <rFont val="宋体"/>
        <charset val="134"/>
      </rPr>
      <t>单根绝缘外径（mm）</t>
    </r>
  </si>
  <si>
    <r>
      <rPr>
        <b/>
        <sz val="12"/>
        <rFont val="宋体"/>
        <charset val="134"/>
      </rPr>
      <t>火+0（</t>
    </r>
    <r>
      <rPr>
        <b/>
        <sz val="11"/>
        <color indexed="10"/>
        <rFont val="宋体"/>
        <charset val="134"/>
      </rPr>
      <t>绝缘）</t>
    </r>
    <r>
      <rPr>
        <b/>
        <sz val="11"/>
        <rFont val="宋体"/>
        <charset val="134"/>
      </rPr>
      <t>绞合后的外径（0也按火算）</t>
    </r>
  </si>
  <si>
    <t>填充绳后的外径-理论（mm）</t>
  </si>
  <si>
    <t>按照实际填充率的外径（mm）</t>
  </si>
  <si>
    <t>包带后的外径（mm）</t>
  </si>
  <si>
    <t>屏蔽后的外径</t>
  </si>
  <si>
    <t>钢带后的外径（mm）</t>
  </si>
  <si>
    <t>护套后的外径（mm）</t>
  </si>
  <si>
    <t>（带屏蔽）护套后的外径（mm</t>
  </si>
  <si>
    <r>
      <rPr>
        <b/>
        <sz val="12"/>
        <color rgb="FFFF0000"/>
        <rFont val="宋体"/>
        <charset val="134"/>
      </rPr>
      <t>火+</t>
    </r>
    <r>
      <rPr>
        <b/>
        <sz val="12"/>
        <rFont val="宋体"/>
        <charset val="134"/>
      </rPr>
      <t>云母带后外径</t>
    </r>
  </si>
  <si>
    <r>
      <rPr>
        <b/>
        <sz val="12"/>
        <color rgb="FFFF0000"/>
        <rFont val="宋体"/>
        <charset val="134"/>
      </rPr>
      <t>零+</t>
    </r>
    <r>
      <rPr>
        <b/>
        <sz val="12"/>
        <rFont val="宋体"/>
        <charset val="134"/>
      </rPr>
      <t>云母带后外径</t>
    </r>
  </si>
  <si>
    <r>
      <rPr>
        <b/>
        <sz val="12"/>
        <color rgb="FFFF0000"/>
        <rFont val="宋体"/>
        <charset val="134"/>
      </rPr>
      <t>火</t>
    </r>
    <r>
      <rPr>
        <b/>
        <sz val="12"/>
        <rFont val="宋体"/>
        <charset val="134"/>
      </rPr>
      <t>单根绝缘外径（mm）</t>
    </r>
  </si>
  <si>
    <r>
      <rPr>
        <b/>
        <sz val="12"/>
        <rFont val="宋体"/>
        <charset val="134"/>
      </rPr>
      <t>火+0</t>
    </r>
    <r>
      <rPr>
        <b/>
        <sz val="11"/>
        <color indexed="10"/>
        <rFont val="宋体"/>
        <charset val="134"/>
      </rPr>
      <t>绝缘</t>
    </r>
    <r>
      <rPr>
        <b/>
        <sz val="11"/>
        <rFont val="宋体"/>
        <charset val="134"/>
      </rPr>
      <t>绞合后的外径（0也按火算）</t>
    </r>
  </si>
  <si>
    <r>
      <rPr>
        <b/>
        <sz val="12"/>
        <rFont val="宋体"/>
        <charset val="134"/>
      </rPr>
      <t>填充绳后的外径-</t>
    </r>
    <r>
      <rPr>
        <b/>
        <sz val="12"/>
        <color rgb="FFFF0000"/>
        <rFont val="宋体"/>
        <charset val="134"/>
      </rPr>
      <t>理论</t>
    </r>
    <r>
      <rPr>
        <b/>
        <sz val="12"/>
        <rFont val="宋体"/>
        <charset val="134"/>
      </rPr>
      <t>（mm）</t>
    </r>
  </si>
  <si>
    <t>聚氯乙烯-</t>
  </si>
  <si>
    <t>低烟无卤</t>
  </si>
  <si>
    <t xml:space="preserve">低烟无卤
</t>
  </si>
  <si>
    <t>平方数</t>
  </si>
  <si>
    <t>加点</t>
  </si>
  <si>
    <t>绝缘厚度</t>
  </si>
  <si>
    <t>最大外径</t>
  </si>
  <si>
    <t>材质</t>
  </si>
  <si>
    <t>厚度</t>
  </si>
  <si>
    <t>重叠率</t>
  </si>
  <si>
    <t>网密度</t>
  </si>
  <si>
    <t>钢带种类</t>
  </si>
  <si>
    <t>层数</t>
  </si>
  <si>
    <t>火线绞合系数</t>
  </si>
  <si>
    <t>本表重量-单根火线</t>
  </si>
  <si>
    <t>本表丝号</t>
  </si>
  <si>
    <t>倒求截面</t>
  </si>
  <si>
    <t>倒求丝号+绞合</t>
  </si>
  <si>
    <t>O线绞合系数</t>
  </si>
  <si>
    <t>本表重量-单根零线</t>
  </si>
  <si>
    <t>导体重量</t>
  </si>
  <si>
    <t>金额</t>
  </si>
  <si>
    <t>火线截面提取</t>
  </si>
  <si>
    <t>护套材质（空白=聚氯乙烯（一代））</t>
  </si>
  <si>
    <t>售价-HY</t>
  </si>
  <si>
    <t>售价-BH</t>
  </si>
  <si>
    <t>出厂价-HY</t>
  </si>
  <si>
    <t>出厂价-BH</t>
  </si>
  <si>
    <t>成本</t>
  </si>
  <si>
    <t>带屏蔽售价-HY</t>
  </si>
  <si>
    <t>带屏蔽售价-BH</t>
  </si>
  <si>
    <t>带屏蔽出厂价HY</t>
  </si>
  <si>
    <t>带屏蔽出厂价BH</t>
  </si>
  <si>
    <t>带屏蔽的成本</t>
  </si>
  <si>
    <t>售价加价</t>
  </si>
  <si>
    <t>出厂价加价</t>
  </si>
  <si>
    <r>
      <rPr>
        <b/>
        <sz val="12"/>
        <color indexed="0"/>
        <rFont val="宋体"/>
        <charset val="134"/>
      </rPr>
      <t>带屏蔽出厂价B</t>
    </r>
    <r>
      <rPr>
        <b/>
        <sz val="12"/>
        <color indexed="0"/>
        <rFont val="宋体"/>
        <charset val="134"/>
      </rPr>
      <t>H</t>
    </r>
  </si>
  <si>
    <t>护套材质（空白=一代）</t>
  </si>
  <si>
    <t>填充绳</t>
  </si>
  <si>
    <t>总线型</t>
  </si>
  <si>
    <t>火线型</t>
  </si>
  <si>
    <t>火丝排列</t>
  </si>
  <si>
    <t>火段数</t>
  </si>
  <si>
    <t>火丝数</t>
  </si>
  <si>
    <t>火单根导体外径为丝外径的倍数</t>
  </si>
  <si>
    <t>过模后平均丝直径</t>
  </si>
  <si>
    <t>0线型</t>
  </si>
  <si>
    <t>0数字提取</t>
  </si>
  <si>
    <t>0丝排列</t>
  </si>
  <si>
    <t>0段数</t>
  </si>
  <si>
    <r>
      <rPr>
        <b/>
        <sz val="12"/>
        <rFont val="宋体"/>
        <charset val="134"/>
      </rPr>
      <t>o</t>
    </r>
    <r>
      <rPr>
        <b/>
        <sz val="12"/>
        <color indexed="0"/>
        <rFont val="宋体"/>
        <charset val="134"/>
      </rPr>
      <t>丝数</t>
    </r>
  </si>
  <si>
    <t>0单根导体外径为丝外径的倍数</t>
  </si>
  <si>
    <r>
      <rPr>
        <b/>
        <sz val="12"/>
        <color indexed="0"/>
        <rFont val="宋体"/>
        <charset val="134"/>
      </rPr>
      <t>过模后平均</t>
    </r>
    <r>
      <rPr>
        <b/>
        <sz val="16"/>
        <rFont val="宋体"/>
        <charset val="134"/>
      </rPr>
      <t>0</t>
    </r>
    <r>
      <rPr>
        <b/>
        <sz val="12"/>
        <color indexed="0"/>
        <rFont val="宋体"/>
        <charset val="134"/>
      </rPr>
      <t>丝直径</t>
    </r>
  </si>
  <si>
    <t>火+0段数</t>
  </si>
  <si>
    <t>火+0绞合后外径为火倍数</t>
  </si>
  <si>
    <t>铜重（kg/m）</t>
  </si>
  <si>
    <t>修正系数</t>
  </si>
  <si>
    <r>
      <rPr>
        <b/>
        <sz val="12"/>
        <color indexed="10"/>
        <rFont val="宋体"/>
        <charset val="134"/>
      </rPr>
      <t>导体使用</t>
    </r>
    <r>
      <rPr>
        <b/>
        <sz val="12"/>
        <color indexed="0"/>
        <rFont val="宋体"/>
        <charset val="134"/>
      </rPr>
      <t>重量（kg/m）</t>
    </r>
  </si>
  <si>
    <t>导体金额</t>
  </si>
  <si>
    <t>火线绝缘重量</t>
  </si>
  <si>
    <t>火线绝缘金额</t>
  </si>
  <si>
    <t>零线绝缘重量</t>
  </si>
  <si>
    <t>零线绝缘金额</t>
  </si>
  <si>
    <t>重量</t>
  </si>
  <si>
    <t>纯硅烷使用重量</t>
  </si>
  <si>
    <t>纯硅烷金额</t>
  </si>
  <si>
    <t>理论填充面积cm2</t>
  </si>
  <si>
    <t>实际填充率</t>
  </si>
  <si>
    <t>实际填充面积cm2</t>
  </si>
  <si>
    <t>重量(kg)</t>
  </si>
  <si>
    <t>填充绳(无阻燃)使用重量(kg)</t>
  </si>
  <si>
    <t>填充绳(无阻燃)使用金额</t>
  </si>
  <si>
    <t>无纺布使用重量</t>
  </si>
  <si>
    <t>无纺布金额</t>
  </si>
  <si>
    <t>重量（kg)</t>
  </si>
  <si>
    <r>
      <rPr>
        <b/>
        <sz val="12"/>
        <color indexed="0"/>
        <rFont val="宋体"/>
        <charset val="134"/>
      </rPr>
      <t>P</t>
    </r>
    <r>
      <rPr>
        <b/>
        <sz val="12"/>
        <color indexed="0"/>
        <rFont val="宋体"/>
        <charset val="134"/>
      </rPr>
      <t>P带</t>
    </r>
    <r>
      <rPr>
        <b/>
        <sz val="12"/>
        <color indexed="0"/>
        <rFont val="宋体"/>
        <charset val="134"/>
      </rPr>
      <t>使用重量</t>
    </r>
  </si>
  <si>
    <t>PP带金额</t>
  </si>
  <si>
    <t>丙带使用重量</t>
  </si>
  <si>
    <t>丙带金额</t>
  </si>
  <si>
    <t>锁带使用重量</t>
  </si>
  <si>
    <t>锁带金额</t>
  </si>
  <si>
    <t>钢带使用重量</t>
  </si>
  <si>
    <t>钢带保留小数</t>
  </si>
  <si>
    <t>钢带金额</t>
  </si>
  <si>
    <t>屏蔽使用重量</t>
  </si>
  <si>
    <t>屏蔽金额</t>
  </si>
  <si>
    <t>重量-无屏蔽（kg)</t>
  </si>
  <si>
    <t>护套使用重量</t>
  </si>
  <si>
    <t>护套金额</t>
  </si>
  <si>
    <t>重量-带屏蔽（kg)</t>
  </si>
  <si>
    <t>云母带使用重量</t>
  </si>
  <si>
    <t>云母带金额</t>
  </si>
  <si>
    <t>粗芯云母带重量</t>
  </si>
  <si>
    <t>粗芯云母带金额</t>
  </si>
  <si>
    <t>细芯云母带重量</t>
  </si>
  <si>
    <t>细芯云母带金额</t>
  </si>
  <si>
    <r>
      <rPr>
        <b/>
        <sz val="12"/>
        <color rgb="FFFF0000"/>
        <rFont val="宋体"/>
        <charset val="134"/>
      </rPr>
      <t>理论</t>
    </r>
    <r>
      <rPr>
        <b/>
        <sz val="12"/>
        <color indexed="0"/>
        <rFont val="宋体"/>
        <charset val="134"/>
      </rPr>
      <t>填充面积</t>
    </r>
    <r>
      <rPr>
        <b/>
        <sz val="12"/>
        <rFont val="宋体"/>
        <charset val="134"/>
      </rPr>
      <t>cm2</t>
    </r>
  </si>
  <si>
    <t>石棉绳使用重量(kg)</t>
  </si>
  <si>
    <t>石棉绳金额</t>
  </si>
  <si>
    <t>纤维绳使用重量(kg)</t>
  </si>
  <si>
    <t>纤维绳金额</t>
  </si>
  <si>
    <t>耐火带使用重量</t>
  </si>
  <si>
    <t>耐火带金额</t>
  </si>
  <si>
    <t>（无屏蔽）重量（kg)</t>
  </si>
  <si>
    <r>
      <rPr>
        <b/>
        <sz val="12"/>
        <rFont val="宋体"/>
        <charset val="134"/>
      </rPr>
      <t>不带屏蔽</t>
    </r>
    <r>
      <rPr>
        <sz val="12"/>
        <color indexed="0"/>
        <rFont val="宋体"/>
        <charset val="134"/>
      </rPr>
      <t>重量（kg)</t>
    </r>
  </si>
  <si>
    <t>带屏蔽-重量（kg)</t>
  </si>
  <si>
    <t>非紧压粗芯面积-含铜丝空隙(单根面积*根数)</t>
  </si>
  <si>
    <t>紧压粗芯面积-0空隙(单根面积*根数)</t>
  </si>
  <si>
    <t>紧压粗芯直径-0空隙(单根面积*根数)</t>
  </si>
  <si>
    <t>非紧压-0空隙的截面差（丝间总空隙）</t>
  </si>
  <si>
    <t>丝空率-实际核算时-丝间空隙率取值</t>
  </si>
  <si>
    <t>按照实际丝空率-计算导体面积</t>
  </si>
  <si>
    <t>按照实际丝空率的计算导体外径</t>
  </si>
  <si>
    <t>非紧压细芯面积</t>
  </si>
  <si>
    <t>紧压细芯面积-0空隙</t>
  </si>
  <si>
    <t>紧压细芯直径-0空隙</t>
  </si>
  <si>
    <t>非紧压-0空隙的截面差</t>
  </si>
  <si>
    <t>重量-无钢带</t>
  </si>
  <si>
    <t>金额-无钢带</t>
  </si>
  <si>
    <t>YJV22重量</t>
  </si>
  <si>
    <t>运费：元/米</t>
  </si>
  <si>
    <t>保留位数</t>
  </si>
  <si>
    <t>截面</t>
  </si>
  <si>
    <t>下丝丝号</t>
  </si>
  <si>
    <t>实际重量倒求丝号</t>
  </si>
  <si>
    <t>下丝计算面积</t>
  </si>
  <si>
    <t>实际重量倒求面积</t>
  </si>
  <si>
    <t>小河庄质诚线材</t>
  </si>
  <si>
    <t>平方差</t>
  </si>
  <si>
    <t>HY-A-YJV</t>
  </si>
  <si>
    <t>BH-A-YJV</t>
  </si>
  <si>
    <t>HY-AC-YJV</t>
  </si>
  <si>
    <t>BH-AC-YJV</t>
  </si>
  <si>
    <t>BH-AB-YJV</t>
  </si>
  <si>
    <t>HY-A-ZA-YJV</t>
  </si>
  <si>
    <t>BH-A-ZA-YJV</t>
  </si>
  <si>
    <t>HY-AC-ZA-YJV</t>
  </si>
  <si>
    <t>BH-AC-ZA-YJV</t>
  </si>
  <si>
    <t>BH-AB-ZA-YJV</t>
  </si>
  <si>
    <t>HY-A-KVVP</t>
  </si>
  <si>
    <t>BH-A-KVVP</t>
  </si>
  <si>
    <t>HY-AC-KVVP</t>
  </si>
  <si>
    <t>BH-AC-KVVP</t>
  </si>
  <si>
    <t>BH-AB-KVVP</t>
  </si>
  <si>
    <t>HY-A-ZA-KVVP</t>
  </si>
  <si>
    <t>BH-A-ZA-KVVP</t>
  </si>
  <si>
    <t>HY-AC-ZA-KVVP</t>
  </si>
  <si>
    <t>BH-AC-ZA-KVVP</t>
  </si>
  <si>
    <t>BH-AC-ZB-KVVP</t>
  </si>
  <si>
    <t>HY-A-WDZ-YJY</t>
  </si>
  <si>
    <r>
      <rPr>
        <b/>
        <sz val="9"/>
        <color rgb="FFFF0000"/>
        <rFont val="宋体"/>
        <charset val="134"/>
      </rPr>
      <t>BH</t>
    </r>
    <r>
      <rPr>
        <b/>
        <sz val="9"/>
        <color rgb="FF000000"/>
        <rFont val="宋体"/>
        <charset val="134"/>
      </rPr>
      <t>-A-WDZ-YJY</t>
    </r>
  </si>
  <si>
    <t>HY-AC-WDZ-YJY</t>
  </si>
  <si>
    <r>
      <rPr>
        <b/>
        <sz val="9"/>
        <color rgb="FFFF0000"/>
        <rFont val="宋体"/>
        <charset val="134"/>
      </rPr>
      <t>BH</t>
    </r>
    <r>
      <rPr>
        <b/>
        <sz val="9"/>
        <color rgb="FF000000"/>
        <rFont val="宋体"/>
        <charset val="134"/>
      </rPr>
      <t>-AC-WDZ-YJY</t>
    </r>
  </si>
  <si>
    <r>
      <rPr>
        <b/>
        <sz val="9"/>
        <color rgb="FFFF0000"/>
        <rFont val="宋体"/>
        <charset val="134"/>
      </rPr>
      <t>BH</t>
    </r>
    <r>
      <rPr>
        <b/>
        <sz val="9"/>
        <color rgb="FF000000"/>
        <rFont val="宋体"/>
        <charset val="134"/>
      </rPr>
      <t>-AB-WDZ-YJY</t>
    </r>
  </si>
  <si>
    <t>HY-A-WDZA-YJY</t>
  </si>
  <si>
    <r>
      <rPr>
        <b/>
        <sz val="10"/>
        <color rgb="FFFF0000"/>
        <rFont val="宋体"/>
        <charset val="134"/>
      </rPr>
      <t>BH</t>
    </r>
    <r>
      <rPr>
        <b/>
        <sz val="9"/>
        <color rgb="FF000000"/>
        <rFont val="宋体"/>
        <charset val="134"/>
      </rPr>
      <t>-A-WDZA-YJY</t>
    </r>
  </si>
  <si>
    <t>HY-AC-WDZA-YJY</t>
  </si>
  <si>
    <r>
      <rPr>
        <b/>
        <sz val="10"/>
        <color rgb="FFFF0000"/>
        <rFont val="宋体"/>
        <charset val="134"/>
      </rPr>
      <t>BH</t>
    </r>
    <r>
      <rPr>
        <b/>
        <sz val="9"/>
        <color rgb="FF000000"/>
        <rFont val="宋体"/>
        <charset val="134"/>
      </rPr>
      <t>-AC-WDZA-YJY</t>
    </r>
  </si>
  <si>
    <r>
      <rPr>
        <b/>
        <sz val="10"/>
        <color rgb="FFFF0000"/>
        <rFont val="宋体"/>
        <charset val="134"/>
      </rPr>
      <t>BH</t>
    </r>
    <r>
      <rPr>
        <b/>
        <sz val="9"/>
        <color rgb="FF000000"/>
        <rFont val="宋体"/>
        <charset val="134"/>
      </rPr>
      <t>-AB-WDZA-YJY</t>
    </r>
  </si>
  <si>
    <t>HY-A-WDZ-KVVP</t>
  </si>
  <si>
    <t>BH-A-WDZ-KVVP</t>
  </si>
  <si>
    <t>HY-AC-WDZ-KVVP</t>
  </si>
  <si>
    <t>BH-AC-WDZ-KVVP</t>
  </si>
  <si>
    <t>BH-AB-WDZ-KVVP</t>
  </si>
  <si>
    <t>HY-A-WDZA-KVVP</t>
  </si>
  <si>
    <t>BH-A-WDZA-KVVP</t>
  </si>
  <si>
    <t>HY-AC-WDZA-KVVP</t>
  </si>
  <si>
    <t>BH-AC-WDZA-KVVP</t>
  </si>
  <si>
    <t>BH-AB-WDZA-KVVP</t>
  </si>
  <si>
    <t>HY-A-NH-YJV</t>
  </si>
  <si>
    <t>BH-A-NH-YJV</t>
  </si>
  <si>
    <t>HY-AC-NH-YJV</t>
  </si>
  <si>
    <t>BH-AC-NH-YJV</t>
  </si>
  <si>
    <t>BH-AB-NH-YJV</t>
  </si>
  <si>
    <t>HY-A-ZA-NH-YJV</t>
  </si>
  <si>
    <t>BH-A-ZA-NH-YJV</t>
  </si>
  <si>
    <t>HY-AC-ZA-NH-YJV</t>
  </si>
  <si>
    <t>BH-AC-ZA-NH-YJV</t>
  </si>
  <si>
    <t>BH-AB-ZA-NH-YJV</t>
  </si>
  <si>
    <t>HY-A-NH-KVVP</t>
  </si>
  <si>
    <t>BH-A-NH-KVVP</t>
  </si>
  <si>
    <t>HY-AC-NH-KVVP</t>
  </si>
  <si>
    <t>BH-AC-NH-KVVP</t>
  </si>
  <si>
    <t>BH-AB-NH-KVVP</t>
  </si>
  <si>
    <t>HY-A-ZA-NH-KVVP</t>
  </si>
  <si>
    <t>BH-A-ZA-NH-KVVP</t>
  </si>
  <si>
    <t>HY-AC-ZA-NH-KVVP</t>
  </si>
  <si>
    <t>BH-AC-ZA-NH-KVVP</t>
  </si>
  <si>
    <t>BH-AB-ZA-NH-KVVP</t>
  </si>
  <si>
    <t>HY-A-WDZN-YJY</t>
  </si>
  <si>
    <t>BH-A-WDZN-YJY</t>
  </si>
  <si>
    <t>HY-AC-WDZN-YJY</t>
  </si>
  <si>
    <t>BH-AC-WDZN-YJY</t>
  </si>
  <si>
    <t>BH-AB-WDZN-YJY</t>
  </si>
  <si>
    <t>HY-A-WDZAN-YJY</t>
  </si>
  <si>
    <t>BH-A-WDZAN-YJY</t>
  </si>
  <si>
    <t>HY-AC-WDZAN-YJY</t>
  </si>
  <si>
    <t>BH-AC-WDZAN-YJY</t>
  </si>
  <si>
    <t>BH-AB-WDZAN-YJY</t>
  </si>
  <si>
    <t>HY-A-WDZN-KVVP</t>
  </si>
  <si>
    <t>BH-A-WDZN-KVVP</t>
  </si>
  <si>
    <t>HY-AC-WDZN-KVVP</t>
  </si>
  <si>
    <t>BH-AC-WDZN-KVVP</t>
  </si>
  <si>
    <t>BH-AB-WDZN-KVVP</t>
  </si>
  <si>
    <t>HY-A-WDZAN-KVVP</t>
  </si>
  <si>
    <t>BH-A-WDZAN-KVVP</t>
  </si>
  <si>
    <t>HY-AC-WDZAN-KVVP</t>
  </si>
  <si>
    <t>BH-AC-WDZAN-KVVP</t>
  </si>
  <si>
    <t>BH-AB-WDZAN-KVVP</t>
  </si>
  <si>
    <t>火线重量</t>
  </si>
  <si>
    <t>火线金额</t>
  </si>
  <si>
    <t>零线重量</t>
  </si>
  <si>
    <t>零线金额</t>
  </si>
  <si>
    <t>A-铜钢带重量</t>
  </si>
  <si>
    <t>A-铜钢带</t>
  </si>
  <si>
    <t>A-NH-铜钢带</t>
  </si>
  <si>
    <t>A-YJV导体外径</t>
  </si>
  <si>
    <t>A-YJV导体+绝缘外径</t>
  </si>
  <si>
    <t>A-YJV总外径</t>
  </si>
  <si>
    <t>A-YJV重量</t>
  </si>
  <si>
    <t>A-WDZ-YJY重量</t>
  </si>
  <si>
    <t>A-NH-YJV重量</t>
  </si>
  <si>
    <t>A-WDZN-YJY重量</t>
  </si>
  <si>
    <t>A-KVVP重量</t>
  </si>
  <si>
    <t>A-WDZ-KVVP重量</t>
  </si>
  <si>
    <t>A-NH-KVVP重量</t>
  </si>
  <si>
    <t>A-WDZN-KVVP重量</t>
  </si>
  <si>
    <t>SQRT根号倒求丝号</t>
  </si>
  <si>
    <t>1*0.3</t>
  </si>
  <si>
    <t>1*0.5</t>
  </si>
  <si>
    <t>线型(芯数)</t>
  </si>
  <si>
    <t>填充绳实际填充率</t>
  </si>
  <si>
    <t>3+1</t>
  </si>
  <si>
    <t>3+2</t>
  </si>
  <si>
    <t>4+1</t>
  </si>
  <si>
    <t>2*500</t>
  </si>
  <si>
    <t>2*630</t>
  </si>
  <si>
    <t>2*800</t>
  </si>
  <si>
    <t>3*800</t>
  </si>
  <si>
    <t>4*500</t>
  </si>
  <si>
    <t>4*630</t>
  </si>
  <si>
    <t>4*800</t>
  </si>
  <si>
    <t>5*185</t>
  </si>
  <si>
    <t>5*240</t>
  </si>
  <si>
    <t>5*300</t>
  </si>
  <si>
    <t>5*400</t>
  </si>
  <si>
    <t>5*500</t>
  </si>
  <si>
    <t>5*630</t>
  </si>
  <si>
    <t>5*800</t>
  </si>
  <si>
    <r>
      <rPr>
        <sz val="12"/>
        <rFont val="宋体"/>
        <charset val="134"/>
      </rPr>
      <t>3*</t>
    </r>
    <r>
      <rPr>
        <sz val="12"/>
        <rFont val="宋体"/>
        <charset val="134"/>
      </rPr>
      <t>5</t>
    </r>
    <r>
      <rPr>
        <sz val="12"/>
        <rFont val="宋体"/>
        <charset val="134"/>
      </rPr>
      <t>00+1*</t>
    </r>
    <r>
      <rPr>
        <sz val="12"/>
        <rFont val="宋体"/>
        <charset val="134"/>
      </rPr>
      <t>240</t>
    </r>
  </si>
  <si>
    <t>3*630+1*300</t>
  </si>
  <si>
    <t>3*800+1*400</t>
  </si>
  <si>
    <r>
      <rPr>
        <sz val="12"/>
        <rFont val="宋体"/>
        <charset val="134"/>
      </rPr>
      <t>3*5</t>
    </r>
    <r>
      <rPr>
        <sz val="12"/>
        <rFont val="宋体"/>
        <charset val="134"/>
      </rPr>
      <t>00+</t>
    </r>
    <r>
      <rPr>
        <sz val="12"/>
        <rFont val="宋体"/>
        <charset val="134"/>
      </rPr>
      <t>2</t>
    </r>
    <r>
      <rPr>
        <sz val="12"/>
        <rFont val="宋体"/>
        <charset val="134"/>
      </rPr>
      <t>*</t>
    </r>
    <r>
      <rPr>
        <sz val="12"/>
        <rFont val="宋体"/>
        <charset val="134"/>
      </rPr>
      <t>240</t>
    </r>
  </si>
  <si>
    <t>3*630+2*300</t>
  </si>
  <si>
    <t>3*800+2*400</t>
  </si>
  <si>
    <r>
      <rPr>
        <sz val="12"/>
        <rFont val="宋体"/>
        <charset val="134"/>
      </rPr>
      <t>4*5</t>
    </r>
    <r>
      <rPr>
        <sz val="12"/>
        <rFont val="宋体"/>
        <charset val="134"/>
      </rPr>
      <t>00+</t>
    </r>
    <r>
      <rPr>
        <sz val="12"/>
        <rFont val="宋体"/>
        <charset val="134"/>
      </rPr>
      <t>1</t>
    </r>
    <r>
      <rPr>
        <sz val="12"/>
        <rFont val="宋体"/>
        <charset val="134"/>
      </rPr>
      <t>*</t>
    </r>
    <r>
      <rPr>
        <sz val="12"/>
        <rFont val="宋体"/>
        <charset val="134"/>
      </rPr>
      <t>240</t>
    </r>
  </si>
  <si>
    <t>4*630+1*300</t>
  </si>
  <si>
    <t>4*800+1*400</t>
  </si>
  <si>
    <t>27*1</t>
  </si>
  <si>
    <t>27*1.5</t>
  </si>
  <si>
    <t>27*2.5</t>
  </si>
  <si>
    <t>型号</t>
  </si>
  <si>
    <t>粗芯</t>
  </si>
  <si>
    <t>细芯</t>
  </si>
  <si>
    <t>粗+细</t>
  </si>
  <si>
    <t>丝空率</t>
  </si>
  <si>
    <t>导体合计重量</t>
  </si>
  <si>
    <t>导体合计金额</t>
  </si>
</sst>
</file>

<file path=xl/styles.xml><?xml version="1.0" encoding="utf-8"?>
<styleSheet xmlns="http://schemas.openxmlformats.org/spreadsheetml/2006/main">
  <numFmts count="2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  <numFmt numFmtId="177" formatCode="0.00000_ "/>
    <numFmt numFmtId="178" formatCode="_(&quot;$&quot;* #,##0_);_(&quot;$&quot;* \(#,##0\);_(&quot;$&quot;* &quot;-&quot;??_);_(@_)"/>
    <numFmt numFmtId="179" formatCode="_([$€-2]* #,##0.00_);_([$€-2]* \(#,##0.00\);_([$€-2]* &quot;-&quot;??_)"/>
    <numFmt numFmtId="180" formatCode="mmm\ dd\,\ yy"/>
    <numFmt numFmtId="181" formatCode="_(&quot;$&quot;* #,##0.0_);_(&quot;$&quot;* \(#,##0.0\);_(&quot;$&quot;* &quot;-&quot;??_);_(@_)"/>
    <numFmt numFmtId="182" formatCode="0.00_ "/>
    <numFmt numFmtId="183" formatCode="mm/dd/yy_)"/>
    <numFmt numFmtId="184" formatCode="0.00_);[Red]\(0.00\)"/>
    <numFmt numFmtId="185" formatCode="0.0%"/>
    <numFmt numFmtId="186" formatCode="0_ "/>
    <numFmt numFmtId="187" formatCode="0.00000000_ "/>
    <numFmt numFmtId="188" formatCode="0.000000000_ "/>
    <numFmt numFmtId="189" formatCode="0.0000000_ "/>
    <numFmt numFmtId="190" formatCode="0.000000_ "/>
    <numFmt numFmtId="191" formatCode="yyyy&quot;年&quot;m&quot;月&quot;d&quot;日&quot;;@"/>
    <numFmt numFmtId="192" formatCode="0_);[Red]\(0\)"/>
    <numFmt numFmtId="193" formatCode="yyyy/mm/dd"/>
    <numFmt numFmtId="194" formatCode="0.0_);[Red]\(0.0\)"/>
  </numFmts>
  <fonts count="102">
    <font>
      <sz val="12"/>
      <name val="宋体"/>
      <charset val="134"/>
    </font>
    <font>
      <sz val="14"/>
      <name val="宋体"/>
      <charset val="134"/>
    </font>
    <font>
      <sz val="12"/>
      <color indexed="0"/>
      <name val="宋体"/>
      <charset val="134"/>
    </font>
    <font>
      <b/>
      <sz val="14"/>
      <name val="宋体"/>
      <charset val="134"/>
    </font>
    <font>
      <b/>
      <sz val="12"/>
      <color indexed="8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b/>
      <sz val="12"/>
      <color indexed="0"/>
      <name val="宋体"/>
      <charset val="134"/>
    </font>
    <font>
      <b/>
      <sz val="9"/>
      <color indexed="0"/>
      <name val="宋体"/>
      <charset val="134"/>
    </font>
    <font>
      <sz val="9"/>
      <color indexed="0"/>
      <name val="宋体"/>
      <charset val="134"/>
    </font>
    <font>
      <sz val="11"/>
      <name val="宋体"/>
      <charset val="134"/>
    </font>
    <font>
      <b/>
      <sz val="14"/>
      <color indexed="0"/>
      <name val="宋体"/>
      <charset val="134"/>
    </font>
    <font>
      <b/>
      <sz val="9"/>
      <color indexed="8"/>
      <name val="宋体"/>
      <charset val="134"/>
    </font>
    <font>
      <sz val="12"/>
      <color indexed="8"/>
      <name val="宋体"/>
      <charset val="134"/>
    </font>
    <font>
      <sz val="14"/>
      <color indexed="0"/>
      <name val="宋体"/>
      <charset val="134"/>
    </font>
    <font>
      <b/>
      <sz val="10"/>
      <color indexed="0"/>
      <name val="宋体"/>
      <charset val="134"/>
    </font>
    <font>
      <b/>
      <sz val="10"/>
      <color rgb="FFFF0000"/>
      <name val="宋体"/>
      <charset val="134"/>
    </font>
    <font>
      <sz val="12"/>
      <color rgb="FFFF0000"/>
      <name val="宋体"/>
      <charset val="134"/>
    </font>
    <font>
      <b/>
      <sz val="9"/>
      <color rgb="FFFF0000"/>
      <name val="宋体"/>
      <charset val="134"/>
    </font>
    <font>
      <sz val="9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</font>
    <font>
      <b/>
      <sz val="9"/>
      <name val="宋体"/>
      <charset val="134"/>
    </font>
    <font>
      <b/>
      <sz val="12"/>
      <color rgb="FFFFFF00"/>
      <name val="宋体"/>
      <charset val="134"/>
    </font>
    <font>
      <sz val="10"/>
      <color theme="1"/>
      <name val="宋体"/>
      <charset val="134"/>
    </font>
    <font>
      <sz val="10"/>
      <color rgb="FFFFFF00"/>
      <name val="宋体"/>
      <charset val="134"/>
    </font>
    <font>
      <sz val="12"/>
      <color theme="1"/>
      <name val="宋体"/>
      <charset val="134"/>
    </font>
    <font>
      <sz val="12"/>
      <name val="Times New Roman"/>
      <charset val="134"/>
    </font>
    <font>
      <b/>
      <sz val="22"/>
      <name val="宋体"/>
      <charset val="134"/>
      <scheme val="major"/>
    </font>
    <font>
      <sz val="10"/>
      <name val="宋体"/>
      <charset val="134"/>
    </font>
    <font>
      <b/>
      <sz val="22"/>
      <name val="宋体"/>
      <charset val="134"/>
    </font>
    <font>
      <b/>
      <sz val="10"/>
      <name val="宋体"/>
      <charset val="134"/>
    </font>
    <font>
      <sz val="12"/>
      <name val="宋体"/>
      <charset val="134"/>
      <scheme val="major"/>
    </font>
    <font>
      <sz val="12"/>
      <name val="宋体"/>
      <charset val="134"/>
      <scheme val="minor"/>
    </font>
    <font>
      <sz val="12"/>
      <color theme="1"/>
      <name val="宋体"/>
      <charset val="134"/>
      <scheme val="minor"/>
    </font>
    <font>
      <sz val="18"/>
      <name val="宋体"/>
      <charset val="134"/>
    </font>
    <font>
      <sz val="14"/>
      <color rgb="FFFF0000"/>
      <name val="宋体"/>
      <charset val="134"/>
    </font>
    <font>
      <b/>
      <sz val="11"/>
      <color indexed="63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sz val="11"/>
      <color theme="1"/>
      <name val="宋体"/>
      <charset val="134"/>
      <scheme val="minor"/>
    </font>
    <font>
      <sz val="11"/>
      <color indexed="62"/>
      <name val="宋体"/>
      <charset val="134"/>
    </font>
    <font>
      <sz val="11"/>
      <color theme="1"/>
      <name val="宋体"/>
      <charset val="0"/>
      <scheme val="minor"/>
    </font>
    <font>
      <sz val="11"/>
      <color indexed="8"/>
      <name val="宋体"/>
      <charset val="134"/>
    </font>
    <font>
      <sz val="11"/>
      <color rgb="FF3F3F76"/>
      <name val="宋体"/>
      <charset val="0"/>
      <scheme val="minor"/>
    </font>
    <font>
      <b/>
      <sz val="11"/>
      <color indexed="9"/>
      <name val="宋体"/>
      <charset val="134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indexed="9"/>
      <name val="Tahoma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indexed="8"/>
      <name val="Tahoma"/>
      <charset val="134"/>
    </font>
    <font>
      <sz val="11"/>
      <color rgb="FF9C6500"/>
      <name val="宋体"/>
      <charset val="0"/>
      <scheme val="minor"/>
    </font>
    <font>
      <sz val="11"/>
      <color indexed="9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Tahoma"/>
      <charset val="134"/>
    </font>
    <font>
      <b/>
      <sz val="13"/>
      <color indexed="56"/>
      <name val="宋体"/>
      <charset val="134"/>
    </font>
    <font>
      <b/>
      <sz val="13"/>
      <color indexed="56"/>
      <name val="Tahoma"/>
      <charset val="134"/>
    </font>
    <font>
      <b/>
      <sz val="11"/>
      <color indexed="56"/>
      <name val="宋体"/>
      <charset val="134"/>
    </font>
    <font>
      <b/>
      <sz val="11"/>
      <color indexed="56"/>
      <name val="Tahoma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20"/>
      <name val="Tahoma"/>
      <charset val="134"/>
    </font>
    <font>
      <sz val="11"/>
      <color theme="1"/>
      <name val="Tahoma"/>
      <charset val="134"/>
    </font>
    <font>
      <u/>
      <sz val="9.35"/>
      <color theme="10"/>
      <name val="宋体"/>
      <charset val="134"/>
    </font>
    <font>
      <sz val="11"/>
      <color indexed="17"/>
      <name val="宋体"/>
      <charset val="134"/>
    </font>
    <font>
      <sz val="11"/>
      <color indexed="17"/>
      <name val="Tahoma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Tahoma"/>
      <charset val="134"/>
    </font>
    <font>
      <sz val="11"/>
      <color indexed="10"/>
      <name val="Tahoma"/>
      <charset val="134"/>
    </font>
    <font>
      <sz val="11"/>
      <color indexed="60"/>
      <name val="Tahoma"/>
      <charset val="134"/>
    </font>
    <font>
      <b/>
      <sz val="11"/>
      <color indexed="52"/>
      <name val="Tahoma"/>
      <charset val="134"/>
    </font>
    <font>
      <sz val="10"/>
      <name val="Times New Roman"/>
      <charset val="134"/>
    </font>
    <font>
      <b/>
      <sz val="11"/>
      <color indexed="9"/>
      <name val="Tahoma"/>
      <charset val="134"/>
    </font>
    <font>
      <i/>
      <sz val="11"/>
      <color indexed="23"/>
      <name val="宋体"/>
      <charset val="134"/>
    </font>
    <font>
      <i/>
      <sz val="11"/>
      <color indexed="23"/>
      <name val="Tahoma"/>
      <charset val="134"/>
    </font>
    <font>
      <sz val="11"/>
      <color indexed="10"/>
      <name val="宋体"/>
      <charset val="134"/>
    </font>
    <font>
      <sz val="11"/>
      <color indexed="52"/>
      <name val="Tahoma"/>
      <charset val="134"/>
    </font>
    <font>
      <sz val="11"/>
      <name val="蹈框"/>
      <charset val="134"/>
    </font>
    <font>
      <b/>
      <sz val="11"/>
      <color indexed="63"/>
      <name val="Tahoma"/>
      <charset val="134"/>
    </font>
    <font>
      <sz val="11"/>
      <color indexed="62"/>
      <name val="Tahoma"/>
      <charset val="134"/>
    </font>
    <font>
      <sz val="12"/>
      <name val="바탕체"/>
      <charset val="134"/>
    </font>
    <font>
      <b/>
      <sz val="12"/>
      <color indexed="10"/>
      <name val="宋体"/>
      <charset val="134"/>
    </font>
    <font>
      <b/>
      <sz val="18"/>
      <name val="宋体"/>
      <charset val="134"/>
    </font>
    <font>
      <b/>
      <sz val="20"/>
      <name val="宋体"/>
      <charset val="134"/>
    </font>
    <font>
      <b/>
      <sz val="11"/>
      <color rgb="FFFF0000"/>
      <name val="宋体"/>
      <charset val="134"/>
    </font>
    <font>
      <b/>
      <sz val="11"/>
      <color indexed="10"/>
      <name val="宋体"/>
      <charset val="134"/>
    </font>
    <font>
      <b/>
      <sz val="16"/>
      <name val="宋体"/>
      <charset val="134"/>
    </font>
    <font>
      <b/>
      <sz val="9"/>
      <color rgb="FF000000"/>
      <name val="宋体"/>
      <charset val="134"/>
    </font>
  </fonts>
  <fills count="90">
    <fill>
      <patternFill patternType="none"/>
    </fill>
    <fill>
      <patternFill patternType="gray125"/>
    </fill>
    <fill>
      <patternFill patternType="solid">
        <fgColor theme="6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853511154515"/>
        <bgColor indexed="64"/>
      </patternFill>
    </fill>
    <fill>
      <patternFill patternType="solid">
        <fgColor theme="6" tint="0.396649067659536"/>
        <bgColor indexed="64"/>
      </patternFill>
    </fill>
    <fill>
      <patternFill patternType="solid">
        <fgColor theme="6" tint="0.399761955626087"/>
        <bgColor indexed="64"/>
      </patternFill>
    </fill>
    <fill>
      <patternFill patternType="solid">
        <fgColor theme="0" tint="-0.146855067598498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517807550279"/>
        <bgColor indexed="64"/>
      </patternFill>
    </fill>
    <fill>
      <patternFill patternType="solid">
        <fgColor theme="3" tint="0.79985961485641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6" tint="0.399822992645039"/>
        <bgColor indexed="64"/>
      </patternFill>
    </fill>
    <fill>
      <patternFill patternType="solid">
        <fgColor theme="6" tint="0.39954832605975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83504745628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8968474379711"/>
        <bgColor indexed="64"/>
      </patternFill>
    </fill>
    <fill>
      <patternFill patternType="solid">
        <fgColor theme="3" tint="0.398480178228095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8205511642811"/>
        <bgColor indexed="64"/>
      </patternFill>
    </fill>
    <fill>
      <patternFill patternType="solid">
        <fgColor theme="6" tint="0.398144474623859"/>
        <bgColor indexed="64"/>
      </patternFill>
    </fill>
    <fill>
      <patternFill patternType="solid">
        <fgColor theme="6" tint="0.39808343760490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664906765953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</fills>
  <borders count="8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rgb="FFFF0000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rgb="FFFF0000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Dashed">
        <color rgb="FFFF0000"/>
      </right>
      <top/>
      <bottom style="thin">
        <color auto="1"/>
      </bottom>
      <diagonal/>
    </border>
    <border>
      <left/>
      <right style="mediumDashed">
        <color rgb="FFFF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/>
      <bottom style="thick">
        <color rgb="FFFF0000"/>
      </bottom>
      <diagonal/>
    </border>
    <border>
      <left style="thin">
        <color auto="1"/>
      </left>
      <right style="mediumDashed">
        <color rgb="FFFF0000"/>
      </right>
      <top/>
      <bottom style="thick">
        <color rgb="FFFF0000"/>
      </bottom>
      <diagonal/>
    </border>
    <border>
      <left style="thin">
        <color auto="1"/>
      </left>
      <right style="mediumDashed">
        <color rgb="FFFF0000"/>
      </right>
      <top/>
      <bottom/>
      <diagonal/>
    </border>
    <border>
      <left/>
      <right style="thin">
        <color auto="1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 style="mediumDashed">
        <color rgb="FFFF0000"/>
      </left>
      <right/>
      <top style="thin">
        <color auto="1"/>
      </top>
      <bottom style="thin">
        <color auto="1"/>
      </bottom>
      <diagonal/>
    </border>
    <border>
      <left style="mediumDashed">
        <color rgb="FFFF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Dashed">
        <color rgb="FFFF0000"/>
      </right>
      <top style="thin">
        <color auto="1"/>
      </top>
      <bottom style="thick">
        <color rgb="FFFF0000"/>
      </bottom>
      <diagonal/>
    </border>
    <border>
      <left style="mediumDashed">
        <color rgb="FFFF0000"/>
      </left>
      <right style="thin">
        <color auto="1"/>
      </right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thick">
        <color rgb="FFFF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/>
      <bottom style="thin">
        <color auto="1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55897"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42" fontId="40" fillId="0" borderId="0" applyFon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4" fillId="46" borderId="69" applyNumberFormat="0" applyAlignment="0" applyProtection="0">
      <alignment vertical="center"/>
    </xf>
    <xf numFmtId="44" fontId="40" fillId="0" borderId="0" applyFont="0" applyFill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0" fillId="0" borderId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50" borderId="71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5" fillId="0" borderId="72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6" fillId="0" borderId="72" applyNumberFormat="0" applyFill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51" fillId="0" borderId="73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7" fillId="55" borderId="74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8" fillId="5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9" fillId="57" borderId="7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42" fillId="58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59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0" fillId="0" borderId="7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1" fillId="0" borderId="77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62" fillId="60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63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64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65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2" fillId="66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2" fillId="67" borderId="0" applyNumberFormat="0" applyBorder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68" borderId="0" applyNumberFormat="0" applyBorder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13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6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2" fillId="70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7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72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7" fillId="73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7" fillId="75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77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3" fillId="5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3" fillId="78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63" fillId="56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76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3" fillId="5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3" fillId="7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3" fillId="56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77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80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3" fillId="80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5" fillId="81" borderId="0" applyNumberFormat="0" applyBorder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0" fillId="8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5" fillId="51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5" fillId="7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50" fillId="79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5" fillId="8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50" fillId="8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5" fillId="83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50" fillId="83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5" fillId="84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0" fillId="84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6" fillId="0" borderId="78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7" fillId="0" borderId="78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8" fillId="0" borderId="79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9" fillId="0" borderId="79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70" fillId="0" borderId="80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71" fillId="0" borderId="80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73" fillId="78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74" fillId="78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179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179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0" fillId="85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179" fontId="75" fillId="0" borderId="0"/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0" fillId="0" borderId="0">
      <alignment vertical="center"/>
    </xf>
    <xf numFmtId="0" fontId="0" fillId="0" borderId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179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179" fontId="75" fillId="0" borderId="0"/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0" borderId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179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179" fontId="40" fillId="0" borderId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0"/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179" fontId="76" fillId="0" borderId="0" applyNumberFormat="0" applyFill="0" applyBorder="0" applyAlignment="0" applyProtection="0">
      <alignment vertical="top"/>
      <protection locked="0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77" fillId="6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78" fillId="6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79" fillId="86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0" fillId="0" borderId="81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1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41" fontId="0" fillId="0" borderId="0" applyFont="0" applyFill="0" applyBorder="0" applyAlignment="0" applyProtection="0"/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40" fontId="0" fillId="0" borderId="0" applyFont="0" applyFill="0" applyBorder="0" applyAlignment="0" applyProtection="0"/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41" fontId="0" fillId="0" borderId="0" applyFont="0" applyFill="0" applyBorder="0" applyAlignment="0" applyProtection="0"/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83" fillId="86" borderId="0" applyNumberFormat="0" applyBorder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4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0" fillId="8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0" fillId="88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43" fontId="0" fillId="0" borderId="0" applyFont="0" applyFill="0" applyBorder="0" applyAlignment="0" applyProtection="0"/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5" fillId="0" borderId="0"/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5" fillId="83" borderId="0" applyNumberFormat="0" applyBorder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5" fillId="89" borderId="0" applyNumberFormat="0" applyBorder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65" fillId="87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65" fillId="88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178" fontId="0" fillId="0" borderId="0" applyFont="0" applyFill="0" applyBorder="0" applyAlignment="0" applyProtection="0"/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65" fillId="85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65" fillId="82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50" fillId="82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50" fillId="83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50" fillId="89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45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6" fillId="47" borderId="70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81" applyNumberFormat="0" applyFill="0" applyAlignment="0" applyProtection="0">
      <alignment vertical="center"/>
    </xf>
    <xf numFmtId="180" fontId="0" fillId="0" borderId="0" applyFont="0" applyFill="0" applyBorder="0" applyAlignment="0" applyProtection="0"/>
    <xf numFmtId="0" fontId="0" fillId="43" borderId="68" applyNumberFormat="0" applyFont="0" applyAlignment="0" applyProtection="0">
      <alignment vertical="center"/>
    </xf>
    <xf numFmtId="181" fontId="0" fillId="0" borderId="0" applyFont="0" applyFill="0" applyBorder="0" applyAlignment="0" applyProtection="0"/>
    <xf numFmtId="0" fontId="41" fillId="42" borderId="67" applyNumberFormat="0" applyAlignment="0" applyProtection="0">
      <alignment vertical="center"/>
    </xf>
    <xf numFmtId="183" fontId="0" fillId="0" borderId="0" applyFont="0" applyFill="0" applyBorder="0" applyAlignment="0" applyProtection="0"/>
    <xf numFmtId="0" fontId="41" fillId="42" borderId="67" applyNumberFormat="0" applyAlignment="0" applyProtection="0">
      <alignment vertical="center"/>
    </xf>
    <xf numFmtId="43" fontId="0" fillId="0" borderId="0" applyFont="0" applyFill="0" applyBorder="0" applyAlignment="0" applyProtection="0"/>
    <xf numFmtId="0" fontId="37" fillId="41" borderId="65" applyNumberFormat="0" applyAlignment="0" applyProtection="0">
      <alignment vertical="center"/>
    </xf>
    <xf numFmtId="0" fontId="91" fillId="0" borderId="0"/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92" fillId="41" borderId="65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93" fillId="42" borderId="67" applyNumberForma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40" fillId="50" borderId="71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0" borderId="0" applyFont="0" applyFill="0" applyBorder="0" applyAlignment="0" applyProtection="0"/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0" fontId="0" fillId="43" borderId="68" applyNumberFormat="0" applyFont="0" applyAlignment="0" applyProtection="0">
      <alignment vertical="center"/>
    </xf>
    <xf numFmtId="38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94" fillId="0" borderId="0"/>
  </cellStyleXfs>
  <cellXfs count="968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0" xfId="0" applyAlignment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 shrinkToFit="1"/>
    </xf>
    <xf numFmtId="10" fontId="0" fillId="0" borderId="0" xfId="0" applyNumberFormat="1" applyAlignment="1">
      <alignment vertical="center"/>
    </xf>
    <xf numFmtId="0" fontId="1" fillId="0" borderId="0" xfId="0" applyFont="1" applyAlignment="1">
      <alignment vertical="center" shrinkToFit="1"/>
    </xf>
    <xf numFmtId="0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82" fontId="0" fillId="0" borderId="0" xfId="0" applyNumberFormat="1">
      <alignment vertical="center"/>
    </xf>
    <xf numFmtId="184" fontId="0" fillId="0" borderId="0" xfId="0" applyNumberFormat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vertical="center" wrapText="1"/>
    </xf>
    <xf numFmtId="10" fontId="2" fillId="6" borderId="1" xfId="0" applyNumberFormat="1" applyFont="1" applyFill="1" applyBorder="1" applyAlignment="1">
      <alignment horizontal="left" vertical="center" wrapText="1"/>
    </xf>
    <xf numFmtId="0" fontId="0" fillId="0" borderId="0" xfId="0" applyNumberFormat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85" fontId="2" fillId="6" borderId="1" xfId="0" applyNumberFormat="1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5" borderId="3" xfId="0" applyFont="1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 wrapText="1"/>
    </xf>
    <xf numFmtId="0" fontId="0" fillId="6" borderId="3" xfId="0" applyNumberFormat="1" applyFill="1" applyBorder="1" applyAlignment="1">
      <alignment vertical="center" wrapText="1"/>
    </xf>
    <xf numFmtId="0" fontId="0" fillId="6" borderId="6" xfId="0" applyFill="1" applyBorder="1" applyAlignment="1">
      <alignment vertical="center" wrapText="1"/>
    </xf>
    <xf numFmtId="9" fontId="2" fillId="6" borderId="3" xfId="0" applyNumberFormat="1" applyFont="1" applyFill="1" applyBorder="1" applyAlignment="1">
      <alignment horizontal="left" vertical="center" wrapText="1"/>
    </xf>
    <xf numFmtId="0" fontId="5" fillId="0" borderId="4" xfId="0" applyNumberFormat="1" applyFont="1" applyBorder="1" applyAlignment="1">
      <alignment horizontal="center" vertical="center" wrapText="1"/>
    </xf>
    <xf numFmtId="0" fontId="4" fillId="6" borderId="3" xfId="0" applyFont="1" applyFill="1" applyBorder="1" applyAlignment="1">
      <alignment horizontal="left" vertical="center" wrapText="1"/>
    </xf>
    <xf numFmtId="10" fontId="4" fillId="6" borderId="3" xfId="0" applyNumberFormat="1" applyFont="1" applyFill="1" applyBorder="1" applyAlignment="1">
      <alignment horizontal="left" vertical="center" wrapText="1"/>
    </xf>
    <xf numFmtId="0" fontId="4" fillId="6" borderId="3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6" borderId="8" xfId="0" applyFont="1" applyFill="1" applyBorder="1" applyAlignment="1">
      <alignment horizontal="left" vertical="center" wrapText="1"/>
    </xf>
    <xf numFmtId="10" fontId="6" fillId="6" borderId="8" xfId="0" applyNumberFormat="1" applyFont="1" applyFill="1" applyBorder="1" applyAlignment="1">
      <alignment horizontal="left" vertical="center" wrapText="1"/>
    </xf>
    <xf numFmtId="0" fontId="6" fillId="6" borderId="5" xfId="0" applyNumberFormat="1" applyFont="1" applyFill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7" fillId="7" borderId="10" xfId="0" applyNumberFormat="1" applyFont="1" applyFill="1" applyBorder="1" applyAlignment="1">
      <alignment horizontal="center" vertical="center" wrapText="1"/>
    </xf>
    <xf numFmtId="0" fontId="7" fillId="7" borderId="10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10" fontId="6" fillId="6" borderId="1" xfId="0" applyNumberFormat="1" applyFont="1" applyFill="1" applyBorder="1" applyAlignment="1">
      <alignment horizontal="left" vertical="center" wrapText="1"/>
    </xf>
    <xf numFmtId="0" fontId="6" fillId="6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7" borderId="6" xfId="0" applyNumberFormat="1" applyFont="1" applyFill="1" applyBorder="1" applyAlignment="1">
      <alignment horizontal="center" vertical="center" wrapText="1"/>
    </xf>
    <xf numFmtId="0" fontId="7" fillId="7" borderId="6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left" vertical="center" wrapText="1"/>
    </xf>
    <xf numFmtId="10" fontId="8" fillId="6" borderId="6" xfId="0" applyNumberFormat="1" applyFont="1" applyFill="1" applyBorder="1" applyAlignment="1">
      <alignment horizontal="left" vertical="center" wrapText="1"/>
    </xf>
    <xf numFmtId="0" fontId="8" fillId="6" borderId="6" xfId="0" applyNumberFormat="1" applyFont="1" applyFill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6" xfId="0" applyNumberFormat="1" applyFont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10" fontId="0" fillId="6" borderId="1" xfId="0" applyNumberFormat="1" applyFill="1" applyBorder="1" applyAlignment="1">
      <alignment horizontal="left" vertical="center" wrapText="1"/>
    </xf>
    <xf numFmtId="0" fontId="0" fillId="6" borderId="6" xfId="0" applyNumberForma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 wrapText="1"/>
    </xf>
    <xf numFmtId="0" fontId="0" fillId="0" borderId="5" xfId="0" applyNumberForma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0" fillId="0" borderId="8" xfId="0" applyNumberFormat="1" applyBorder="1" applyAlignment="1">
      <alignment horizontal="left" vertical="center" wrapText="1"/>
    </xf>
    <xf numFmtId="0" fontId="2" fillId="5" borderId="6" xfId="0" applyFont="1" applyFill="1" applyBorder="1" applyAlignment="1">
      <alignment horizontal="left" vertical="center" wrapText="1"/>
    </xf>
    <xf numFmtId="0" fontId="0" fillId="5" borderId="8" xfId="0" applyNumberFormat="1" applyFill="1" applyBorder="1" applyAlignment="1">
      <alignment horizontal="lef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9" borderId="1" xfId="0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vertical="center" wrapText="1"/>
    </xf>
    <xf numFmtId="0" fontId="0" fillId="5" borderId="2" xfId="0" applyNumberFormat="1" applyFill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6" xfId="0" applyNumberFormat="1" applyBorder="1">
      <alignment vertical="center"/>
    </xf>
    <xf numFmtId="0" fontId="0" fillId="5" borderId="1" xfId="2129" applyNumberForma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10" fontId="0" fillId="0" borderId="1" xfId="0" applyNumberFormat="1" applyBorder="1" applyAlignment="1">
      <alignment horizontal="left" vertical="center" wrapText="1"/>
    </xf>
    <xf numFmtId="0" fontId="0" fillId="0" borderId="6" xfId="0" applyNumberForma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10" fontId="10" fillId="0" borderId="1" xfId="0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left" vertical="center" wrapText="1"/>
    </xf>
    <xf numFmtId="0" fontId="0" fillId="3" borderId="6" xfId="0" applyNumberFormat="1" applyFill="1" applyBorder="1">
      <alignment vertical="center"/>
    </xf>
    <xf numFmtId="0" fontId="2" fillId="3" borderId="6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2129" applyNumberFormat="1" applyFill="1" applyBorder="1" applyAlignment="1">
      <alignment horizontal="left" vertical="center" wrapText="1"/>
    </xf>
    <xf numFmtId="10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 shrinkToFit="1"/>
    </xf>
    <xf numFmtId="10" fontId="0" fillId="0" borderId="1" xfId="0" applyNumberFormat="1" applyBorder="1" applyAlignment="1">
      <alignment vertical="center"/>
    </xf>
    <xf numFmtId="10" fontId="4" fillId="0" borderId="1" xfId="0" applyNumberFormat="1" applyFont="1" applyBorder="1" applyAlignment="1">
      <alignment vertical="center" wrapText="1"/>
    </xf>
    <xf numFmtId="10" fontId="4" fillId="0" borderId="7" xfId="0" applyNumberFormat="1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shrinkToFit="1"/>
    </xf>
    <xf numFmtId="10" fontId="5" fillId="0" borderId="2" xfId="0" applyNumberFormat="1" applyFont="1" applyBorder="1" applyAlignment="1">
      <alignment horizontal="center" vertical="center" wrapText="1"/>
    </xf>
    <xf numFmtId="0" fontId="7" fillId="11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shrinkToFit="1"/>
    </xf>
    <xf numFmtId="0" fontId="0" fillId="5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0" fontId="0" fillId="0" borderId="5" xfId="0" applyNumberFormat="1" applyFill="1" applyBorder="1" applyAlignment="1">
      <alignment horizontal="center" vertical="center" wrapText="1"/>
    </xf>
    <xf numFmtId="0" fontId="7" fillId="11" borderId="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shrinkToFit="1"/>
    </xf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0" fontId="6" fillId="7" borderId="1" xfId="0" applyNumberFormat="1" applyFont="1" applyFill="1" applyBorder="1" applyAlignment="1">
      <alignment vertical="center" wrapText="1"/>
    </xf>
    <xf numFmtId="0" fontId="9" fillId="0" borderId="6" xfId="0" applyFont="1" applyBorder="1" applyAlignment="1">
      <alignment horizontal="left" vertical="center" shrinkToFit="1"/>
    </xf>
    <xf numFmtId="0" fontId="9" fillId="5" borderId="6" xfId="0" applyFont="1" applyFill="1" applyBorder="1" applyAlignment="1">
      <alignment horizontal="left" vertical="center" wrapText="1"/>
    </xf>
    <xf numFmtId="10" fontId="8" fillId="0" borderId="6" xfId="0" applyNumberFormat="1" applyFont="1" applyBorder="1" applyAlignment="1">
      <alignment vertical="center" wrapText="1"/>
    </xf>
    <xf numFmtId="0" fontId="2" fillId="0" borderId="6" xfId="0" applyFont="1" applyBorder="1" applyAlignment="1">
      <alignment horizontal="left" vertical="center" shrinkToFit="1"/>
    </xf>
    <xf numFmtId="176" fontId="2" fillId="5" borderId="6" xfId="0" applyNumberFormat="1" applyFont="1" applyFill="1" applyBorder="1" applyAlignment="1">
      <alignment horizontal="left" vertical="center" wrapText="1"/>
    </xf>
    <xf numFmtId="10" fontId="0" fillId="0" borderId="1" xfId="0" applyNumberFormat="1" applyBorder="1" applyAlignment="1">
      <alignment vertical="center" wrapText="1"/>
    </xf>
    <xf numFmtId="0" fontId="2" fillId="5" borderId="6" xfId="0" applyFont="1" applyFill="1" applyBorder="1" applyAlignment="1">
      <alignment horizontal="left" vertical="center" shrinkToFit="1"/>
    </xf>
    <xf numFmtId="10" fontId="0" fillId="5" borderId="1" xfId="0" applyNumberForma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76" fontId="2" fillId="0" borderId="6" xfId="0" applyNumberFormat="1" applyFont="1" applyBorder="1" applyAlignment="1">
      <alignment horizontal="left" vertical="center" wrapText="1"/>
    </xf>
    <xf numFmtId="0" fontId="2" fillId="12" borderId="6" xfId="0" applyFont="1" applyFill="1" applyBorder="1" applyAlignment="1">
      <alignment horizontal="left" vertical="center" wrapText="1"/>
    </xf>
    <xf numFmtId="49" fontId="2" fillId="0" borderId="6" xfId="0" applyNumberFormat="1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shrinkToFit="1"/>
    </xf>
    <xf numFmtId="176" fontId="2" fillId="3" borderId="6" xfId="0" applyNumberFormat="1" applyFont="1" applyFill="1" applyBorder="1" applyAlignment="1">
      <alignment horizontal="left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10" fontId="5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0" fontId="5" fillId="0" borderId="5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0" fontId="5" fillId="0" borderId="5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shrinkToFit="1"/>
    </xf>
    <xf numFmtId="0" fontId="4" fillId="13" borderId="8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0" fontId="5" fillId="0" borderId="1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0" fontId="7" fillId="0" borderId="1" xfId="0" applyNumberFormat="1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shrinkToFit="1"/>
    </xf>
    <xf numFmtId="0" fontId="4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10" fontId="6" fillId="7" borderId="6" xfId="0" applyNumberFormat="1" applyFont="1" applyFill="1" applyBorder="1" applyAlignment="1">
      <alignment vertical="center" wrapText="1"/>
    </xf>
    <xf numFmtId="0" fontId="12" fillId="0" borderId="6" xfId="0" applyFont="1" applyBorder="1" applyAlignment="1">
      <alignment horizontal="left" vertical="center" wrapText="1"/>
    </xf>
    <xf numFmtId="10" fontId="8" fillId="0" borderId="6" xfId="0" applyNumberFormat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 shrinkToFit="1"/>
    </xf>
    <xf numFmtId="0" fontId="8" fillId="0" borderId="4" xfId="0" applyFont="1" applyBorder="1" applyAlignment="1">
      <alignment horizontal="left" vertical="center" wrapText="1"/>
    </xf>
    <xf numFmtId="0" fontId="13" fillId="12" borderId="6" xfId="0" applyFont="1" applyFill="1" applyBorder="1" applyAlignment="1">
      <alignment horizontal="left" vertical="center" wrapText="1"/>
    </xf>
    <xf numFmtId="10" fontId="2" fillId="0" borderId="6" xfId="0" applyNumberFormat="1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shrinkToFit="1"/>
    </xf>
    <xf numFmtId="0" fontId="13" fillId="0" borderId="6" xfId="0" applyFont="1" applyBorder="1" applyAlignment="1">
      <alignment horizontal="left" vertical="center" wrapText="1"/>
    </xf>
    <xf numFmtId="0" fontId="2" fillId="12" borderId="4" xfId="0" applyFont="1" applyFill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3" fillId="5" borderId="6" xfId="0" applyFont="1" applyFill="1" applyBorder="1" applyAlignment="1">
      <alignment horizontal="left" vertical="center" wrapText="1"/>
    </xf>
    <xf numFmtId="10" fontId="2" fillId="5" borderId="6" xfId="0" applyNumberFormat="1" applyFont="1" applyFill="1" applyBorder="1" applyAlignment="1">
      <alignment horizontal="left" vertical="center" wrapText="1"/>
    </xf>
    <xf numFmtId="0" fontId="14" fillId="5" borderId="6" xfId="0" applyFont="1" applyFill="1" applyBorder="1" applyAlignment="1">
      <alignment horizontal="left" vertical="center" shrinkToFit="1"/>
    </xf>
    <xf numFmtId="0" fontId="2" fillId="5" borderId="4" xfId="0" applyFont="1" applyFill="1" applyBorder="1" applyAlignment="1">
      <alignment horizontal="left" vertical="center" wrapText="1"/>
    </xf>
    <xf numFmtId="10" fontId="2" fillId="0" borderId="1" xfId="0" applyNumberFormat="1" applyFont="1" applyBorder="1" applyAlignment="1">
      <alignment horizontal="left" vertical="center" wrapText="1"/>
    </xf>
    <xf numFmtId="176" fontId="2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shrinkToFit="1"/>
    </xf>
    <xf numFmtId="10" fontId="2" fillId="5" borderId="1" xfId="0" applyNumberFormat="1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horizontal="left" vertical="center" shrinkToFit="1"/>
    </xf>
    <xf numFmtId="176" fontId="2" fillId="5" borderId="1" xfId="0" applyNumberFormat="1" applyFont="1" applyFill="1" applyBorder="1" applyAlignment="1">
      <alignment horizontal="left" vertical="center" wrapText="1"/>
    </xf>
    <xf numFmtId="10" fontId="2" fillId="0" borderId="6" xfId="0" applyNumberFormat="1" applyFont="1" applyBorder="1" applyAlignment="1">
      <alignment horizontal="left" vertical="center" wrapText="1"/>
    </xf>
    <xf numFmtId="0" fontId="13" fillId="3" borderId="6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horizontal="left" vertical="center" shrinkToFit="1"/>
    </xf>
    <xf numFmtId="10" fontId="2" fillId="3" borderId="1" xfId="0" applyNumberFormat="1" applyFont="1" applyFill="1" applyBorder="1" applyAlignment="1">
      <alignment horizontal="left" vertical="center" wrapText="1"/>
    </xf>
    <xf numFmtId="176" fontId="2" fillId="3" borderId="1" xfId="0" applyNumberFormat="1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 wrapText="1"/>
    </xf>
    <xf numFmtId="10" fontId="2" fillId="5" borderId="6" xfId="0" applyNumberFormat="1" applyFont="1" applyFill="1" applyBorder="1" applyAlignment="1">
      <alignment horizontal="left" vertical="center" wrapText="1"/>
    </xf>
    <xf numFmtId="10" fontId="0" fillId="5" borderId="1" xfId="0" applyNumberFormat="1" applyFill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0" fontId="0" fillId="0" borderId="2" xfId="0" applyNumberForma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NumberFormat="1" applyBorder="1">
      <alignment vertical="center"/>
    </xf>
    <xf numFmtId="0" fontId="4" fillId="0" borderId="8" xfId="0" applyFont="1" applyBorder="1" applyAlignment="1">
      <alignment horizontal="center" vertical="center" wrapText="1"/>
    </xf>
    <xf numFmtId="10" fontId="4" fillId="0" borderId="8" xfId="0" applyNumberFormat="1" applyFont="1" applyBorder="1" applyAlignment="1">
      <alignment horizontal="center" vertical="center" wrapText="1"/>
    </xf>
    <xf numFmtId="0" fontId="4" fillId="0" borderId="1" xfId="0" applyNumberFormat="1" applyFont="1" applyBorder="1" applyAlignment="1">
      <alignment vertical="center" wrapText="1"/>
    </xf>
    <xf numFmtId="0" fontId="0" fillId="0" borderId="1" xfId="0" applyNumberForma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0" fontId="4" fillId="0" borderId="2" xfId="0" applyNumberFormat="1" applyFont="1" applyBorder="1" applyAlignment="1">
      <alignment horizontal="center" vertical="center" wrapText="1"/>
    </xf>
    <xf numFmtId="0" fontId="4" fillId="0" borderId="7" xfId="0" applyNumberFormat="1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7" xfId="0" applyNumberFormat="1" applyFont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vertical="center" wrapText="1"/>
    </xf>
    <xf numFmtId="10" fontId="4" fillId="13" borderId="2" xfId="0" applyNumberFormat="1" applyFont="1" applyFill="1" applyBorder="1" applyAlignment="1">
      <alignment horizontal="center" vertical="center" wrapText="1"/>
    </xf>
    <xf numFmtId="10" fontId="5" fillId="0" borderId="2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6" fillId="7" borderId="8" xfId="0" applyNumberFormat="1" applyFont="1" applyFill="1" applyBorder="1" applyAlignment="1">
      <alignment horizontal="center" vertical="center" wrapText="1"/>
    </xf>
    <xf numFmtId="0" fontId="3" fillId="11" borderId="8" xfId="0" applyNumberFormat="1" applyFont="1" applyFill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vertical="center" wrapText="1"/>
    </xf>
    <xf numFmtId="0" fontId="6" fillId="7" borderId="1" xfId="0" applyFont="1" applyFill="1" applyBorder="1" applyAlignment="1">
      <alignment vertical="center" wrapText="1"/>
    </xf>
    <xf numFmtId="0" fontId="10" fillId="14" borderId="1" xfId="0" applyFont="1" applyFill="1" applyBorder="1" applyAlignment="1">
      <alignment vertical="center" wrapText="1"/>
    </xf>
    <xf numFmtId="0" fontId="6" fillId="11" borderId="1" xfId="0" applyNumberFormat="1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left" vertical="center" wrapText="1"/>
    </xf>
    <xf numFmtId="10" fontId="8" fillId="0" borderId="4" xfId="0" applyNumberFormat="1" applyFont="1" applyBorder="1" applyAlignment="1">
      <alignment horizontal="left" vertical="center" wrapText="1"/>
    </xf>
    <xf numFmtId="0" fontId="8" fillId="0" borderId="6" xfId="0" applyNumberFormat="1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2" fillId="12" borderId="4" xfId="0" applyFont="1" applyFill="1" applyBorder="1" applyAlignment="1">
      <alignment horizontal="left" vertical="center" wrapText="1"/>
    </xf>
    <xf numFmtId="10" fontId="2" fillId="12" borderId="4" xfId="0" applyNumberFormat="1" applyFont="1" applyFill="1" applyBorder="1" applyAlignment="1">
      <alignment horizontal="left" vertical="center" wrapText="1"/>
    </xf>
    <xf numFmtId="0" fontId="0" fillId="0" borderId="1" xfId="0" applyNumberFormat="1" applyBorder="1" applyAlignment="1">
      <alignment vertical="center" wrapText="1"/>
    </xf>
    <xf numFmtId="0" fontId="0" fillId="0" borderId="1" xfId="0" applyNumberForma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10" fontId="2" fillId="0" borderId="4" xfId="0" applyNumberFormat="1" applyFont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center" wrapText="1"/>
    </xf>
    <xf numFmtId="10" fontId="2" fillId="5" borderId="4" xfId="0" applyNumberFormat="1" applyFont="1" applyFill="1" applyBorder="1" applyAlignment="1">
      <alignment horizontal="left" vertical="center" wrapText="1"/>
    </xf>
    <xf numFmtId="0" fontId="0" fillId="5" borderId="1" xfId="0" applyNumberFormat="1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applyNumberForma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 applyProtection="1">
      <alignment vertical="center" wrapText="1"/>
    </xf>
    <xf numFmtId="0" fontId="2" fillId="3" borderId="4" xfId="0" applyFont="1" applyFill="1" applyBorder="1" applyAlignment="1">
      <alignment horizontal="left" vertical="center" wrapText="1"/>
    </xf>
    <xf numFmtId="10" fontId="2" fillId="3" borderId="4" xfId="0" applyNumberFormat="1" applyFont="1" applyFill="1" applyBorder="1" applyAlignment="1">
      <alignment horizontal="left" vertical="center" wrapText="1"/>
    </xf>
    <xf numFmtId="0" fontId="0" fillId="3" borderId="1" xfId="0" applyNumberForma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NumberFormat="1" applyFill="1" applyBorder="1" applyAlignment="1">
      <alignment horizontal="left" vertical="center" wrapText="1"/>
    </xf>
    <xf numFmtId="0" fontId="0" fillId="0" borderId="1" xfId="0" applyBorder="1" applyAlignment="1">
      <alignment vertical="center" shrinkToFit="1"/>
    </xf>
    <xf numFmtId="0" fontId="5" fillId="0" borderId="1" xfId="0" applyFont="1" applyBorder="1" applyAlignment="1">
      <alignment horizontal="center" vertical="center" shrinkToFit="1"/>
    </xf>
    <xf numFmtId="0" fontId="5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shrinkToFit="1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shrinkToFit="1"/>
    </xf>
    <xf numFmtId="0" fontId="6" fillId="11" borderId="8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 shrinkToFit="1"/>
    </xf>
    <xf numFmtId="0" fontId="8" fillId="0" borderId="10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shrinkToFit="1"/>
    </xf>
    <xf numFmtId="0" fontId="2" fillId="9" borderId="1" xfId="0" applyFont="1" applyFill="1" applyBorder="1" applyAlignment="1">
      <alignment horizontal="left" vertical="center" wrapText="1"/>
    </xf>
    <xf numFmtId="0" fontId="2" fillId="9" borderId="6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left" vertical="center" wrapText="1"/>
    </xf>
    <xf numFmtId="0" fontId="15" fillId="16" borderId="6" xfId="0" applyFont="1" applyFill="1" applyBorder="1" applyAlignment="1">
      <alignment horizontal="left" vertical="center" wrapText="1"/>
    </xf>
    <xf numFmtId="0" fontId="16" fillId="16" borderId="6" xfId="0" applyFont="1" applyFill="1" applyBorder="1" applyAlignment="1">
      <alignment horizontal="left" vertical="center" wrapText="1"/>
    </xf>
    <xf numFmtId="0" fontId="13" fillId="17" borderId="6" xfId="0" applyFont="1" applyFill="1" applyBorder="1" applyAlignment="1">
      <alignment horizontal="left" vertical="center" wrapText="1"/>
    </xf>
    <xf numFmtId="0" fontId="0" fillId="9" borderId="6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13" fillId="0" borderId="1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9" fontId="0" fillId="0" borderId="15" xfId="0" applyNumberFormat="1" applyBorder="1" applyAlignment="1">
      <alignment horizontal="center" vertical="center" wrapText="1"/>
    </xf>
    <xf numFmtId="9" fontId="3" fillId="0" borderId="2" xfId="0" applyNumberFormat="1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9" fontId="7" fillId="0" borderId="1" xfId="0" applyNumberFormat="1" applyFont="1" applyBorder="1" applyAlignment="1">
      <alignment horizontal="center" vertical="center" wrapText="1"/>
    </xf>
    <xf numFmtId="9" fontId="8" fillId="0" borderId="6" xfId="0" applyNumberFormat="1" applyFont="1" applyBorder="1" applyAlignment="1">
      <alignment horizontal="left" vertical="center" wrapText="1"/>
    </xf>
    <xf numFmtId="185" fontId="2" fillId="0" borderId="1" xfId="0" applyNumberFormat="1" applyFont="1" applyBorder="1" applyAlignment="1">
      <alignment horizontal="left" vertical="center" wrapText="1"/>
    </xf>
    <xf numFmtId="185" fontId="2" fillId="5" borderId="1" xfId="0" applyNumberFormat="1" applyFont="1" applyFill="1" applyBorder="1" applyAlignment="1">
      <alignment horizontal="left" vertical="center" wrapText="1"/>
    </xf>
    <xf numFmtId="187" fontId="0" fillId="9" borderId="6" xfId="0" applyNumberFormat="1" applyFill="1" applyBorder="1" applyAlignment="1">
      <alignment horizontal="left" vertical="center" wrapText="1"/>
    </xf>
    <xf numFmtId="185" fontId="17" fillId="0" borderId="6" xfId="0" applyNumberFormat="1" applyFont="1" applyBorder="1" applyAlignment="1">
      <alignment horizontal="left" vertical="center" wrapText="1"/>
    </xf>
    <xf numFmtId="185" fontId="0" fillId="0" borderId="6" xfId="0" applyNumberFormat="1" applyBorder="1" applyAlignment="1">
      <alignment horizontal="left" vertical="center" wrapText="1"/>
    </xf>
    <xf numFmtId="185" fontId="2" fillId="0" borderId="6" xfId="0" applyNumberFormat="1" applyFont="1" applyBorder="1" applyAlignment="1">
      <alignment horizontal="left" vertical="center" wrapText="1"/>
    </xf>
    <xf numFmtId="185" fontId="2" fillId="3" borderId="6" xfId="0" applyNumberFormat="1" applyFont="1" applyFill="1" applyBorder="1" applyAlignment="1">
      <alignment horizontal="left" vertical="center" wrapText="1"/>
    </xf>
    <xf numFmtId="185" fontId="2" fillId="3" borderId="1" xfId="0" applyNumberFormat="1" applyFont="1" applyFill="1" applyBorder="1" applyAlignment="1">
      <alignment horizontal="left" vertical="center" wrapText="1"/>
    </xf>
    <xf numFmtId="0" fontId="18" fillId="0" borderId="6" xfId="0" applyFont="1" applyBorder="1" applyAlignment="1">
      <alignment horizontal="left" vertical="center" wrapText="1"/>
    </xf>
    <xf numFmtId="0" fontId="18" fillId="3" borderId="6" xfId="0" applyFont="1" applyFill="1" applyBorder="1" applyAlignment="1">
      <alignment horizontal="left" vertical="center" wrapText="1"/>
    </xf>
    <xf numFmtId="0" fontId="0" fillId="18" borderId="15" xfId="0" applyFill="1" applyBorder="1" applyAlignment="1">
      <alignment horizontal="center" vertical="center" wrapText="1"/>
    </xf>
    <xf numFmtId="9" fontId="0" fillId="18" borderId="15" xfId="0" applyNumberForma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13" borderId="9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85" fontId="2" fillId="5" borderId="6" xfId="0" applyNumberFormat="1" applyFont="1" applyFill="1" applyBorder="1" applyAlignment="1">
      <alignment horizontal="left" vertical="center" wrapText="1"/>
    </xf>
    <xf numFmtId="0" fontId="4" fillId="13" borderId="2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left" vertical="center" wrapText="1"/>
    </xf>
    <xf numFmtId="0" fontId="8" fillId="16" borderId="6" xfId="0" applyFont="1" applyFill="1" applyBorder="1" applyAlignment="1">
      <alignment horizontal="left" vertical="center" wrapText="1"/>
    </xf>
    <xf numFmtId="0" fontId="18" fillId="16" borderId="6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4" fillId="13" borderId="1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7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left" vertical="center" wrapText="1"/>
    </xf>
    <xf numFmtId="0" fontId="2" fillId="9" borderId="16" xfId="0" applyFont="1" applyFill="1" applyBorder="1" applyAlignment="1">
      <alignment horizontal="left" vertical="center" wrapText="1"/>
    </xf>
    <xf numFmtId="0" fontId="2" fillId="5" borderId="16" xfId="0" applyFont="1" applyFill="1" applyBorder="1" applyAlignment="1">
      <alignment horizontal="left" vertical="center" wrapText="1"/>
    </xf>
    <xf numFmtId="0" fontId="2" fillId="3" borderId="16" xfId="0" applyFont="1" applyFill="1" applyBorder="1" applyAlignment="1">
      <alignment horizontal="left" vertical="center" wrapText="1"/>
    </xf>
    <xf numFmtId="188" fontId="2" fillId="9" borderId="6" xfId="0" applyNumberFormat="1" applyFont="1" applyFill="1" applyBorder="1" applyAlignment="1">
      <alignment horizontal="left" vertical="center" wrapText="1"/>
    </xf>
    <xf numFmtId="188" fontId="2" fillId="5" borderId="6" xfId="0" applyNumberFormat="1" applyFont="1" applyFill="1" applyBorder="1" applyAlignment="1">
      <alignment horizontal="left" vertical="center" wrapText="1"/>
    </xf>
    <xf numFmtId="188" fontId="2" fillId="3" borderId="6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8" fillId="0" borderId="3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2" fillId="14" borderId="6" xfId="0" applyFont="1" applyFill="1" applyBorder="1" applyAlignment="1">
      <alignment horizontal="left" vertical="center" wrapText="1"/>
    </xf>
    <xf numFmtId="0" fontId="2" fillId="14" borderId="17" xfId="0" applyFont="1" applyFill="1" applyBorder="1" applyAlignment="1">
      <alignment horizontal="left" vertical="center" wrapText="1"/>
    </xf>
    <xf numFmtId="0" fontId="2" fillId="5" borderId="17" xfId="0" applyFont="1" applyFill="1" applyBorder="1" applyAlignment="1">
      <alignment horizontal="left" vertical="center" wrapText="1"/>
    </xf>
    <xf numFmtId="0" fontId="2" fillId="3" borderId="17" xfId="0" applyFont="1" applyFill="1" applyBorder="1" applyAlignment="1">
      <alignment horizontal="left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2" xfId="0" applyFont="1" applyBorder="1" applyAlignment="1">
      <alignment vertical="center" wrapText="1"/>
    </xf>
    <xf numFmtId="0" fontId="13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2" fillId="19" borderId="6" xfId="0" applyFont="1" applyFill="1" applyBorder="1" applyAlignment="1">
      <alignment horizontal="left" vertical="center" wrapText="1"/>
    </xf>
    <xf numFmtId="0" fontId="2" fillId="19" borderId="17" xfId="0" applyFont="1" applyFill="1" applyBorder="1" applyAlignment="1">
      <alignment horizontal="left" vertical="center" wrapText="1"/>
    </xf>
    <xf numFmtId="0" fontId="2" fillId="9" borderId="17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5" borderId="5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2" fillId="9" borderId="24" xfId="0" applyFont="1" applyFill="1" applyBorder="1" applyAlignment="1">
      <alignment horizontal="left" vertical="center" wrapText="1"/>
    </xf>
    <xf numFmtId="0" fontId="2" fillId="5" borderId="24" xfId="0" applyFont="1" applyFill="1" applyBorder="1" applyAlignment="1">
      <alignment horizontal="left" vertical="center" wrapText="1"/>
    </xf>
    <xf numFmtId="0" fontId="2" fillId="3" borderId="24" xfId="0" applyFont="1" applyFill="1" applyBorder="1" applyAlignment="1">
      <alignment horizontal="left" vertical="center" wrapText="1"/>
    </xf>
    <xf numFmtId="182" fontId="0" fillId="0" borderId="15" xfId="0" applyNumberFormat="1" applyBorder="1" applyAlignment="1">
      <alignment horizontal="center" vertical="center" wrapText="1"/>
    </xf>
    <xf numFmtId="10" fontId="0" fillId="0" borderId="15" xfId="0" applyNumberFormat="1" applyBorder="1" applyAlignment="1">
      <alignment horizontal="center" vertical="center" wrapText="1"/>
    </xf>
    <xf numFmtId="184" fontId="0" fillId="0" borderId="15" xfId="0" applyNumberFormat="1" applyBorder="1" applyAlignment="1">
      <alignment horizontal="center" vertical="center" wrapText="1"/>
    </xf>
    <xf numFmtId="182" fontId="5" fillId="0" borderId="0" xfId="0" applyNumberFormat="1" applyFont="1" applyAlignment="1">
      <alignment horizontal="center" vertical="center" wrapText="1"/>
    </xf>
    <xf numFmtId="184" fontId="5" fillId="0" borderId="0" xfId="0" applyNumberFormat="1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182" fontId="13" fillId="0" borderId="5" xfId="0" applyNumberFormat="1" applyFont="1" applyBorder="1" applyAlignment="1">
      <alignment horizontal="center" vertical="center" wrapText="1"/>
    </xf>
    <xf numFmtId="10" fontId="13" fillId="0" borderId="5" xfId="0" applyNumberFormat="1" applyFont="1" applyBorder="1" applyAlignment="1">
      <alignment horizontal="center" vertical="center" wrapText="1"/>
    </xf>
    <xf numFmtId="184" fontId="20" fillId="0" borderId="4" xfId="0" applyNumberFormat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82" fontId="0" fillId="0" borderId="2" xfId="0" applyNumberFormat="1" applyBorder="1" applyAlignment="1">
      <alignment horizontal="center" vertical="center" wrapText="1"/>
    </xf>
    <xf numFmtId="10" fontId="0" fillId="0" borderId="2" xfId="0" applyNumberFormat="1" applyBorder="1" applyAlignment="1">
      <alignment horizontal="center" vertical="center" wrapText="1"/>
    </xf>
    <xf numFmtId="184" fontId="5" fillId="0" borderId="8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82" fontId="21" fillId="3" borderId="1" xfId="0" applyNumberFormat="1" applyFont="1" applyFill="1" applyBorder="1" applyAlignment="1">
      <alignment horizontal="center" vertical="center" wrapText="1"/>
    </xf>
    <xf numFmtId="10" fontId="21" fillId="0" borderId="1" xfId="0" applyNumberFormat="1" applyFont="1" applyBorder="1" applyAlignment="1">
      <alignment horizontal="center" vertical="center" wrapText="1"/>
    </xf>
    <xf numFmtId="184" fontId="21" fillId="0" borderId="1" xfId="0" applyNumberFormat="1" applyFont="1" applyBorder="1" applyAlignment="1">
      <alignment horizontal="center" vertical="center" wrapText="1"/>
    </xf>
    <xf numFmtId="0" fontId="19" fillId="0" borderId="13" xfId="0" applyFont="1" applyBorder="1" applyAlignment="1">
      <alignment horizontal="left" vertical="center" wrapText="1"/>
    </xf>
    <xf numFmtId="0" fontId="19" fillId="0" borderId="4" xfId="0" applyFont="1" applyBorder="1" applyAlignment="1">
      <alignment horizontal="left" vertical="center" wrapText="1"/>
    </xf>
    <xf numFmtId="182" fontId="22" fillId="3" borderId="5" xfId="0" applyNumberFormat="1" applyFont="1" applyFill="1" applyBorder="1" applyAlignment="1">
      <alignment horizontal="left" vertical="center" wrapText="1"/>
    </xf>
    <xf numFmtId="10" fontId="8" fillId="3" borderId="4" xfId="0" applyNumberFormat="1" applyFont="1" applyFill="1" applyBorder="1" applyAlignment="1">
      <alignment horizontal="left" vertical="center" wrapText="1"/>
    </xf>
    <xf numFmtId="0" fontId="2" fillId="9" borderId="13" xfId="0" applyFont="1" applyFill="1" applyBorder="1" applyAlignment="1">
      <alignment horizontal="left" vertical="center" wrapText="1"/>
    </xf>
    <xf numFmtId="182" fontId="2" fillId="3" borderId="5" xfId="0" applyNumberFormat="1" applyFont="1" applyFill="1" applyBorder="1" applyAlignment="1">
      <alignment horizontal="left" vertical="center" wrapText="1"/>
    </xf>
    <xf numFmtId="10" fontId="2" fillId="3" borderId="5" xfId="0" applyNumberFormat="1" applyFont="1" applyFill="1" applyBorder="1" applyAlignment="1">
      <alignment horizontal="left" vertical="center" wrapText="1"/>
    </xf>
    <xf numFmtId="184" fontId="2" fillId="9" borderId="24" xfId="0" applyNumberFormat="1" applyFont="1" applyFill="1" applyBorder="1" applyAlignment="1">
      <alignment horizontal="left" vertical="center" wrapText="1"/>
    </xf>
    <xf numFmtId="0" fontId="2" fillId="5" borderId="13" xfId="0" applyFont="1" applyFill="1" applyBorder="1" applyAlignment="1">
      <alignment horizontal="left" vertical="center" wrapText="1"/>
    </xf>
    <xf numFmtId="182" fontId="2" fillId="5" borderId="5" xfId="0" applyNumberFormat="1" applyFont="1" applyFill="1" applyBorder="1" applyAlignment="1">
      <alignment horizontal="left" vertical="center" wrapText="1"/>
    </xf>
    <xf numFmtId="10" fontId="2" fillId="5" borderId="5" xfId="0" applyNumberFormat="1" applyFont="1" applyFill="1" applyBorder="1" applyAlignment="1">
      <alignment horizontal="left" vertical="center" wrapText="1"/>
    </xf>
    <xf numFmtId="0" fontId="2" fillId="3" borderId="13" xfId="0" applyFont="1" applyFill="1" applyBorder="1" applyAlignment="1">
      <alignment horizontal="left" vertical="center" wrapText="1"/>
    </xf>
    <xf numFmtId="184" fontId="2" fillId="3" borderId="24" xfId="0" applyNumberFormat="1" applyFont="1" applyFill="1" applyBorder="1" applyAlignment="1">
      <alignment horizontal="left" vertical="center" wrapText="1"/>
    </xf>
    <xf numFmtId="184" fontId="20" fillId="0" borderId="5" xfId="0" applyNumberFormat="1" applyFont="1" applyBorder="1" applyAlignment="1">
      <alignment horizontal="center" vertical="center" wrapText="1"/>
    </xf>
    <xf numFmtId="184" fontId="20" fillId="0" borderId="13" xfId="0" applyNumberFormat="1" applyFont="1" applyBorder="1" applyAlignment="1">
      <alignment horizontal="center" vertical="center" wrapText="1"/>
    </xf>
    <xf numFmtId="184" fontId="5" fillId="0" borderId="3" xfId="0" applyNumberFormat="1" applyFont="1" applyBorder="1" applyAlignment="1">
      <alignment horizontal="center" vertical="center" wrapText="1"/>
    </xf>
    <xf numFmtId="184" fontId="5" fillId="0" borderId="14" xfId="0" applyNumberFormat="1" applyFont="1" applyBorder="1" applyAlignment="1">
      <alignment horizontal="center" vertical="center" wrapText="1"/>
    </xf>
    <xf numFmtId="184" fontId="5" fillId="0" borderId="25" xfId="0" applyNumberFormat="1" applyFont="1" applyBorder="1" applyAlignment="1">
      <alignment horizontal="center" vertical="center" wrapText="1"/>
    </xf>
    <xf numFmtId="184" fontId="7" fillId="0" borderId="1" xfId="0" applyNumberFormat="1" applyFont="1" applyBorder="1" applyAlignment="1">
      <alignment horizontal="center" vertical="center" wrapText="1"/>
    </xf>
    <xf numFmtId="184" fontId="7" fillId="0" borderId="26" xfId="0" applyNumberFormat="1" applyFont="1" applyBorder="1" applyAlignment="1">
      <alignment horizontal="center" vertical="center" wrapText="1"/>
    </xf>
    <xf numFmtId="184" fontId="7" fillId="0" borderId="27" xfId="0" applyNumberFormat="1" applyFont="1" applyBorder="1" applyAlignment="1">
      <alignment horizontal="center" vertical="center" wrapText="1"/>
    </xf>
    <xf numFmtId="184" fontId="7" fillId="0" borderId="28" xfId="0" applyNumberFormat="1" applyFont="1" applyBorder="1" applyAlignment="1">
      <alignment horizontal="center" vertical="center" wrapText="1"/>
    </xf>
    <xf numFmtId="184" fontId="8" fillId="0" borderId="13" xfId="0" applyNumberFormat="1" applyFont="1" applyBorder="1" applyAlignment="1">
      <alignment horizontal="left" vertical="center" wrapText="1"/>
    </xf>
    <xf numFmtId="184" fontId="8" fillId="0" borderId="6" xfId="0" applyNumberFormat="1" applyFont="1" applyBorder="1" applyAlignment="1">
      <alignment horizontal="left" vertical="center" wrapText="1"/>
    </xf>
    <xf numFmtId="184" fontId="8" fillId="0" borderId="4" xfId="0" applyNumberFormat="1" applyFont="1" applyBorder="1" applyAlignment="1">
      <alignment horizontal="left" vertical="center" wrapText="1"/>
    </xf>
    <xf numFmtId="184" fontId="8" fillId="0" borderId="12" xfId="0" applyNumberFormat="1" applyFont="1" applyBorder="1" applyAlignment="1">
      <alignment horizontal="left" vertical="center" wrapText="1"/>
    </xf>
    <xf numFmtId="184" fontId="8" fillId="0" borderId="10" xfId="0" applyNumberFormat="1" applyFont="1" applyBorder="1" applyAlignment="1">
      <alignment horizontal="left" vertical="center" wrapText="1"/>
    </xf>
    <xf numFmtId="184" fontId="8" fillId="0" borderId="29" xfId="0" applyNumberFormat="1" applyFont="1" applyBorder="1" applyAlignment="1">
      <alignment horizontal="left" vertical="center" wrapText="1"/>
    </xf>
    <xf numFmtId="184" fontId="2" fillId="9" borderId="13" xfId="0" applyNumberFormat="1" applyFont="1" applyFill="1" applyBorder="1" applyAlignment="1">
      <alignment horizontal="left" vertical="center" wrapText="1"/>
    </xf>
    <xf numFmtId="184" fontId="2" fillId="0" borderId="1" xfId="0" applyNumberFormat="1" applyFont="1" applyBorder="1" applyAlignment="1">
      <alignment horizontal="left" vertical="center" wrapText="1"/>
    </xf>
    <xf numFmtId="184" fontId="2" fillId="9" borderId="6" xfId="0" applyNumberFormat="1" applyFont="1" applyFill="1" applyBorder="1" applyAlignment="1">
      <alignment horizontal="left" vertical="center" wrapText="1"/>
    </xf>
    <xf numFmtId="184" fontId="2" fillId="5" borderId="13" xfId="0" applyNumberFormat="1" applyFont="1" applyFill="1" applyBorder="1" applyAlignment="1">
      <alignment horizontal="left" vertical="center" wrapText="1"/>
    </xf>
    <xf numFmtId="184" fontId="2" fillId="5" borderId="1" xfId="0" applyNumberFormat="1" applyFont="1" applyFill="1" applyBorder="1" applyAlignment="1">
      <alignment horizontal="left" vertical="center" wrapText="1"/>
    </xf>
    <xf numFmtId="184" fontId="2" fillId="5" borderId="6" xfId="0" applyNumberFormat="1" applyFont="1" applyFill="1" applyBorder="1" applyAlignment="1">
      <alignment horizontal="left" vertical="center" wrapText="1"/>
    </xf>
    <xf numFmtId="184" fontId="2" fillId="5" borderId="24" xfId="0" applyNumberFormat="1" applyFont="1" applyFill="1" applyBorder="1" applyAlignment="1">
      <alignment horizontal="left" vertical="center" wrapText="1"/>
    </xf>
    <xf numFmtId="184" fontId="2" fillId="3" borderId="13" xfId="0" applyNumberFormat="1" applyFont="1" applyFill="1" applyBorder="1" applyAlignment="1">
      <alignment horizontal="left" vertical="center" wrapText="1"/>
    </xf>
    <xf numFmtId="184" fontId="2" fillId="3" borderId="1" xfId="0" applyNumberFormat="1" applyFont="1" applyFill="1" applyBorder="1" applyAlignment="1">
      <alignment horizontal="left" vertical="center" wrapText="1"/>
    </xf>
    <xf numFmtId="184" fontId="2" fillId="3" borderId="6" xfId="0" applyNumberFormat="1" applyFont="1" applyFill="1" applyBorder="1" applyAlignment="1">
      <alignment horizontal="left" vertical="center" wrapText="1"/>
    </xf>
    <xf numFmtId="184" fontId="0" fillId="0" borderId="1" xfId="0" applyNumberFormat="1" applyBorder="1" applyAlignment="1">
      <alignment horizontal="center" vertical="center" wrapText="1"/>
    </xf>
    <xf numFmtId="184" fontId="5" fillId="0" borderId="12" xfId="0" applyNumberFormat="1" applyFont="1" applyBorder="1" applyAlignment="1">
      <alignment horizontal="center" vertical="center" wrapText="1"/>
    </xf>
    <xf numFmtId="184" fontId="5" fillId="0" borderId="9" xfId="0" applyNumberFormat="1" applyFont="1" applyBorder="1" applyAlignment="1">
      <alignment horizontal="center" vertical="center" wrapText="1"/>
    </xf>
    <xf numFmtId="184" fontId="5" fillId="0" borderId="30" xfId="0" applyNumberFormat="1" applyFont="1" applyBorder="1" applyAlignment="1">
      <alignment horizontal="center" vertical="center" wrapText="1"/>
    </xf>
    <xf numFmtId="184" fontId="5" fillId="0" borderId="31" xfId="0" applyNumberFormat="1" applyFont="1" applyBorder="1" applyAlignment="1">
      <alignment horizontal="center" vertical="center" wrapText="1"/>
    </xf>
    <xf numFmtId="184" fontId="5" fillId="0" borderId="26" xfId="0" applyNumberFormat="1" applyFont="1" applyBorder="1" applyAlignment="1">
      <alignment horizontal="center" vertical="center" wrapText="1"/>
    </xf>
    <xf numFmtId="184" fontId="5" fillId="0" borderId="32" xfId="0" applyNumberFormat="1" applyFont="1" applyBorder="1" applyAlignment="1">
      <alignment horizontal="center" vertical="center" wrapText="1"/>
    </xf>
    <xf numFmtId="184" fontId="22" fillId="0" borderId="0" xfId="0" applyNumberFormat="1" applyFont="1" applyAlignment="1">
      <alignment horizontal="left" vertical="center" wrapText="1"/>
    </xf>
    <xf numFmtId="184" fontId="2" fillId="9" borderId="16" xfId="0" applyNumberFormat="1" applyFont="1" applyFill="1" applyBorder="1" applyAlignment="1">
      <alignment horizontal="left" vertical="center" wrapText="1"/>
    </xf>
    <xf numFmtId="184" fontId="2" fillId="5" borderId="16" xfId="0" applyNumberFormat="1" applyFont="1" applyFill="1" applyBorder="1" applyAlignment="1">
      <alignment horizontal="left" vertical="center" wrapText="1"/>
    </xf>
    <xf numFmtId="184" fontId="2" fillId="3" borderId="16" xfId="0" applyNumberFormat="1" applyFont="1" applyFill="1" applyBorder="1" applyAlignment="1">
      <alignment horizontal="left" vertical="center" wrapText="1"/>
    </xf>
    <xf numFmtId="184" fontId="5" fillId="20" borderId="9" xfId="0" applyNumberFormat="1" applyFont="1" applyFill="1" applyBorder="1" applyAlignment="1">
      <alignment horizontal="center" vertical="center"/>
    </xf>
    <xf numFmtId="184" fontId="5" fillId="20" borderId="9" xfId="0" applyNumberFormat="1" applyFont="1" applyFill="1" applyBorder="1" applyAlignment="1">
      <alignment horizontal="center" vertical="center" wrapText="1"/>
    </xf>
    <xf numFmtId="184" fontId="7" fillId="20" borderId="1" xfId="0" applyNumberFormat="1" applyFont="1" applyFill="1" applyBorder="1" applyAlignment="1">
      <alignment horizontal="center" vertical="center" wrapText="1"/>
    </xf>
    <xf numFmtId="184" fontId="5" fillId="20" borderId="8" xfId="0" applyNumberFormat="1" applyFont="1" applyFill="1" applyBorder="1" applyAlignment="1">
      <alignment horizontal="center" vertical="center"/>
    </xf>
    <xf numFmtId="184" fontId="5" fillId="20" borderId="8" xfId="0" applyNumberFormat="1" applyFont="1" applyFill="1" applyBorder="1" applyAlignment="1">
      <alignment horizontal="center" vertical="center" wrapText="1"/>
    </xf>
    <xf numFmtId="184" fontId="5" fillId="20" borderId="14" xfId="0" applyNumberFormat="1" applyFont="1" applyFill="1" applyBorder="1" applyAlignment="1">
      <alignment horizontal="center" vertical="center" wrapText="1"/>
    </xf>
    <xf numFmtId="184" fontId="21" fillId="20" borderId="1" xfId="0" applyNumberFormat="1" applyFont="1" applyFill="1" applyBorder="1" applyAlignment="1">
      <alignment vertical="center" wrapText="1"/>
    </xf>
    <xf numFmtId="184" fontId="5" fillId="14" borderId="9" xfId="0" applyNumberFormat="1" applyFont="1" applyFill="1" applyBorder="1" applyAlignment="1">
      <alignment horizontal="center" vertical="center"/>
    </xf>
    <xf numFmtId="184" fontId="5" fillId="20" borderId="14" xfId="0" applyNumberFormat="1" applyFont="1" applyFill="1" applyBorder="1" applyAlignment="1">
      <alignment vertical="center" wrapText="1"/>
    </xf>
    <xf numFmtId="184" fontId="5" fillId="0" borderId="1" xfId="0" applyNumberFormat="1" applyFont="1" applyBorder="1" applyAlignment="1">
      <alignment horizontal="center" vertical="center" wrapText="1"/>
    </xf>
    <xf numFmtId="184" fontId="21" fillId="20" borderId="1" xfId="0" applyNumberFormat="1" applyFont="1" applyFill="1" applyBorder="1" applyAlignment="1">
      <alignment horizontal="center" vertical="center" wrapText="1"/>
    </xf>
    <xf numFmtId="184" fontId="2" fillId="0" borderId="6" xfId="0" applyNumberFormat="1" applyFont="1" applyBorder="1" applyAlignment="1">
      <alignment horizontal="left" vertical="center" wrapText="1"/>
    </xf>
    <xf numFmtId="184" fontId="5" fillId="14" borderId="8" xfId="0" applyNumberFormat="1" applyFont="1" applyFill="1" applyBorder="1" applyAlignment="1">
      <alignment horizontal="center" vertical="center"/>
    </xf>
    <xf numFmtId="184" fontId="5" fillId="14" borderId="9" xfId="0" applyNumberFormat="1" applyFont="1" applyFill="1" applyBorder="1" applyAlignment="1">
      <alignment horizontal="center" vertical="center" wrapText="1"/>
    </xf>
    <xf numFmtId="184" fontId="7" fillId="14" borderId="1" xfId="0" applyNumberFormat="1" applyFont="1" applyFill="1" applyBorder="1" applyAlignment="1">
      <alignment horizontal="center" vertical="center" wrapText="1"/>
    </xf>
    <xf numFmtId="184" fontId="5" fillId="0" borderId="8" xfId="0" applyNumberFormat="1" applyFont="1" applyBorder="1" applyAlignment="1">
      <alignment horizontal="center" vertical="center"/>
    </xf>
    <xf numFmtId="184" fontId="5" fillId="14" borderId="8" xfId="0" applyNumberFormat="1" applyFont="1" applyFill="1" applyBorder="1" applyAlignment="1">
      <alignment horizontal="center" vertical="center" wrapText="1"/>
    </xf>
    <xf numFmtId="184" fontId="5" fillId="14" borderId="14" xfId="0" applyNumberFormat="1" applyFont="1" applyFill="1" applyBorder="1" applyAlignment="1">
      <alignment vertical="center" wrapText="1"/>
    </xf>
    <xf numFmtId="184" fontId="21" fillId="14" borderId="1" xfId="0" applyNumberFormat="1" applyFont="1" applyFill="1" applyBorder="1" applyAlignment="1">
      <alignment horizontal="center" vertical="center" wrapText="1"/>
    </xf>
    <xf numFmtId="184" fontId="7" fillId="0" borderId="12" xfId="0" applyNumberFormat="1" applyFont="1" applyBorder="1" applyAlignment="1">
      <alignment horizontal="center" vertical="center" wrapText="1"/>
    </xf>
    <xf numFmtId="184" fontId="2" fillId="0" borderId="13" xfId="0" applyNumberFormat="1" applyFont="1" applyBorder="1" applyAlignment="1">
      <alignment horizontal="left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184" fontId="21" fillId="0" borderId="4" xfId="0" applyNumberFormat="1" applyFont="1" applyBorder="1" applyAlignment="1">
      <alignment horizontal="center" vertical="center" wrapText="1"/>
    </xf>
    <xf numFmtId="184" fontId="21" fillId="0" borderId="5" xfId="0" applyNumberFormat="1" applyFont="1" applyBorder="1" applyAlignment="1">
      <alignment horizontal="center" vertical="center" wrapText="1"/>
    </xf>
    <xf numFmtId="184" fontId="4" fillId="0" borderId="9" xfId="0" applyNumberFormat="1" applyFont="1" applyBorder="1" applyAlignment="1">
      <alignment horizontal="center" vertical="center" wrapText="1"/>
    </xf>
    <xf numFmtId="184" fontId="4" fillId="0" borderId="8" xfId="0" applyNumberFormat="1" applyFont="1" applyBorder="1" applyAlignment="1">
      <alignment horizontal="center" vertical="center" wrapText="1"/>
    </xf>
    <xf numFmtId="184" fontId="7" fillId="3" borderId="1" xfId="0" applyNumberFormat="1" applyFont="1" applyFill="1" applyBorder="1" applyAlignment="1">
      <alignment horizontal="center" vertical="center" wrapText="1"/>
    </xf>
    <xf numFmtId="184" fontId="4" fillId="0" borderId="14" xfId="0" applyNumberFormat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184" fontId="5" fillId="0" borderId="15" xfId="0" applyNumberFormat="1" applyFont="1" applyBorder="1" applyAlignment="1">
      <alignment horizontal="center" vertical="center" wrapText="1"/>
    </xf>
    <xf numFmtId="184" fontId="7" fillId="0" borderId="15" xfId="0" applyNumberFormat="1" applyFont="1" applyBorder="1" applyAlignment="1">
      <alignment horizontal="center" vertical="center" wrapText="1"/>
    </xf>
    <xf numFmtId="184" fontId="5" fillId="0" borderId="6" xfId="0" applyNumberFormat="1" applyFont="1" applyBorder="1" applyAlignment="1">
      <alignment horizontal="center" vertical="center" wrapText="1"/>
    </xf>
    <xf numFmtId="184" fontId="7" fillId="0" borderId="6" xfId="0" applyNumberFormat="1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184" fontId="22" fillId="0" borderId="13" xfId="0" applyNumberFormat="1" applyFont="1" applyBorder="1" applyAlignment="1">
      <alignment horizontal="left" vertical="center" wrapText="1"/>
    </xf>
    <xf numFmtId="184" fontId="22" fillId="3" borderId="5" xfId="0" applyNumberFormat="1" applyFont="1" applyFill="1" applyBorder="1" applyAlignment="1">
      <alignment horizontal="left" vertical="center" wrapText="1"/>
    </xf>
    <xf numFmtId="184" fontId="2" fillId="3" borderId="5" xfId="0" applyNumberFormat="1" applyFont="1" applyFill="1" applyBorder="1" applyAlignment="1">
      <alignment horizontal="left" vertical="center" wrapText="1"/>
    </xf>
    <xf numFmtId="184" fontId="2" fillId="5" borderId="5" xfId="0" applyNumberFormat="1" applyFont="1" applyFill="1" applyBorder="1" applyAlignment="1">
      <alignment horizontal="left" vertical="center" wrapText="1"/>
    </xf>
    <xf numFmtId="0" fontId="21" fillId="0" borderId="0" xfId="0" applyFont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5" fillId="20" borderId="9" xfId="0" applyFont="1" applyFill="1" applyBorder="1" applyAlignment="1">
      <alignment horizontal="center" vertical="center"/>
    </xf>
    <xf numFmtId="0" fontId="5" fillId="20" borderId="8" xfId="0" applyFont="1" applyFill="1" applyBorder="1" applyAlignment="1">
      <alignment horizontal="center" vertical="center"/>
    </xf>
    <xf numFmtId="0" fontId="5" fillId="20" borderId="9" xfId="0" applyFont="1" applyFill="1" applyBorder="1" applyAlignment="1">
      <alignment horizontal="center" vertical="center" wrapText="1"/>
    </xf>
    <xf numFmtId="0" fontId="5" fillId="20" borderId="8" xfId="0" applyFont="1" applyFill="1" applyBorder="1" applyAlignment="1">
      <alignment horizontal="center" vertical="center" wrapText="1"/>
    </xf>
    <xf numFmtId="0" fontId="5" fillId="20" borderId="14" xfId="0" applyFont="1" applyFill="1" applyBorder="1" applyAlignment="1">
      <alignment horizontal="center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21" fillId="20" borderId="1" xfId="0" applyFont="1" applyFill="1" applyBorder="1" applyAlignment="1">
      <alignment vertical="center" wrapText="1"/>
    </xf>
    <xf numFmtId="0" fontId="20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5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1" fillId="0" borderId="13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20" borderId="14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17" fillId="20" borderId="1" xfId="0" applyFont="1" applyFill="1" applyBorder="1" applyAlignment="1">
      <alignment horizontal="center" vertical="center" wrapText="1"/>
    </xf>
    <xf numFmtId="0" fontId="0" fillId="14" borderId="9" xfId="0" applyFill="1" applyBorder="1" applyAlignment="1">
      <alignment horizontal="center" vertical="center" wrapText="1"/>
    </xf>
    <xf numFmtId="0" fontId="0" fillId="14" borderId="8" xfId="0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0" fillId="14" borderId="14" xfId="0" applyFill="1" applyBorder="1" applyAlignment="1">
      <alignment vertical="center" wrapText="1"/>
    </xf>
    <xf numFmtId="0" fontId="0" fillId="21" borderId="3" xfId="0" applyFont="1" applyFill="1" applyBorder="1" applyAlignment="1">
      <alignment horizontal="center" vertical="center"/>
    </xf>
    <xf numFmtId="0" fontId="0" fillId="21" borderId="0" xfId="0" applyFont="1" applyFill="1" applyAlignment="1">
      <alignment horizontal="center" vertical="center"/>
    </xf>
    <xf numFmtId="0" fontId="17" fillId="14" borderId="1" xfId="0" applyFont="1" applyFill="1" applyBorder="1" applyAlignment="1">
      <alignment horizontal="center" vertical="center" wrapText="1"/>
    </xf>
    <xf numFmtId="0" fontId="0" fillId="21" borderId="0" xfId="0" applyFont="1" applyFill="1" applyAlignment="1">
      <alignment vertical="center" wrapText="1"/>
    </xf>
    <xf numFmtId="0" fontId="12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10" fontId="0" fillId="21" borderId="0" xfId="0" applyNumberFormat="1" applyFont="1" applyFill="1">
      <alignment vertical="center"/>
    </xf>
    <xf numFmtId="0" fontId="0" fillId="21" borderId="12" xfId="0" applyFont="1" applyFill="1" applyBorder="1" applyAlignment="1">
      <alignment horizontal="center" vertical="center"/>
    </xf>
    <xf numFmtId="0" fontId="0" fillId="22" borderId="3" xfId="0" applyFont="1" applyFill="1" applyBorder="1" applyAlignment="1">
      <alignment horizontal="center" vertical="center"/>
    </xf>
    <xf numFmtId="0" fontId="0" fillId="22" borderId="0" xfId="0" applyFont="1" applyFill="1" applyAlignment="1">
      <alignment horizontal="center" vertical="center"/>
    </xf>
    <xf numFmtId="0" fontId="0" fillId="21" borderId="0" xfId="0" applyNumberFormat="1" applyFont="1" applyFill="1" applyAlignment="1">
      <alignment vertical="center" wrapText="1"/>
    </xf>
    <xf numFmtId="10" fontId="0" fillId="23" borderId="0" xfId="0" applyNumberFormat="1" applyFont="1" applyFill="1" applyAlignment="1">
      <alignment vertical="center" wrapText="1"/>
    </xf>
    <xf numFmtId="0" fontId="0" fillId="23" borderId="0" xfId="0" applyFont="1" applyFill="1" applyAlignment="1">
      <alignment vertical="center" wrapText="1"/>
    </xf>
    <xf numFmtId="0" fontId="0" fillId="22" borderId="0" xfId="0" applyFont="1" applyFill="1" applyAlignment="1">
      <alignment vertical="center" wrapText="1"/>
    </xf>
    <xf numFmtId="0" fontId="12" fillId="0" borderId="0" xfId="0" applyNumberFormat="1" applyFont="1" applyAlignment="1">
      <alignment horizontal="left" vertical="center" wrapText="1"/>
    </xf>
    <xf numFmtId="10" fontId="12" fillId="23" borderId="0" xfId="0" applyNumberFormat="1" applyFont="1" applyFill="1" applyAlignment="1">
      <alignment horizontal="left" vertical="center" wrapText="1"/>
    </xf>
    <xf numFmtId="0" fontId="12" fillId="23" borderId="0" xfId="0" applyFont="1" applyFill="1" applyAlignment="1">
      <alignment horizontal="left" vertical="center" wrapText="1"/>
    </xf>
    <xf numFmtId="0" fontId="4" fillId="0" borderId="0" xfId="0" applyNumberFormat="1" applyFont="1" applyAlignment="1">
      <alignment horizontal="center" vertical="center" wrapText="1"/>
    </xf>
    <xf numFmtId="10" fontId="4" fillId="23" borderId="0" xfId="0" applyNumberFormat="1" applyFont="1" applyFill="1" applyAlignment="1">
      <alignment horizontal="center" vertical="center" wrapText="1"/>
    </xf>
    <xf numFmtId="0" fontId="4" fillId="23" borderId="0" xfId="0" applyFont="1" applyFill="1" applyAlignment="1">
      <alignment horizontal="center" vertical="center" wrapText="1"/>
    </xf>
    <xf numFmtId="0" fontId="4" fillId="5" borderId="0" xfId="0" applyNumberFormat="1" applyFont="1" applyFill="1" applyAlignment="1">
      <alignment horizontal="center" vertical="center" wrapText="1"/>
    </xf>
    <xf numFmtId="0" fontId="4" fillId="3" borderId="0" xfId="0" applyNumberFormat="1" applyFont="1" applyFill="1" applyAlignment="1">
      <alignment horizontal="center" vertical="center" wrapText="1"/>
    </xf>
    <xf numFmtId="10" fontId="0" fillId="24" borderId="0" xfId="0" applyNumberFormat="1" applyFont="1" applyFill="1">
      <alignment vertical="center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0" fillId="22" borderId="12" xfId="0" applyFont="1" applyFill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0" fontId="4" fillId="5" borderId="0" xfId="0" applyNumberFormat="1" applyFont="1" applyFill="1" applyAlignment="1">
      <alignment horizontal="center" vertical="center" wrapText="1"/>
    </xf>
    <xf numFmtId="10" fontId="4" fillId="3" borderId="0" xfId="0" applyNumberFormat="1" applyFont="1" applyFill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21" fillId="3" borderId="26" xfId="0" applyFont="1" applyFill="1" applyBorder="1" applyAlignment="1">
      <alignment horizontal="center" vertical="center" wrapText="1"/>
    </xf>
    <xf numFmtId="0" fontId="2" fillId="9" borderId="39" xfId="0" applyFont="1" applyFill="1" applyBorder="1" applyAlignment="1">
      <alignment horizontal="left" vertical="center" wrapText="1"/>
    </xf>
    <xf numFmtId="0" fontId="2" fillId="5" borderId="39" xfId="0" applyFont="1" applyFill="1" applyBorder="1" applyAlignment="1">
      <alignment horizontal="left" vertical="center" wrapText="1"/>
    </xf>
    <xf numFmtId="0" fontId="2" fillId="3" borderId="39" xfId="0" applyFont="1" applyFill="1" applyBorder="1" applyAlignment="1">
      <alignment horizontal="left" vertical="center" wrapText="1"/>
    </xf>
    <xf numFmtId="0" fontId="5" fillId="0" borderId="10" xfId="0" applyFont="1" applyBorder="1" applyAlignment="1">
      <alignment horizontal="center" vertical="center" wrapText="1"/>
    </xf>
    <xf numFmtId="0" fontId="22" fillId="3" borderId="0" xfId="0" applyFont="1" applyFill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 wrapText="1"/>
    </xf>
    <xf numFmtId="0" fontId="2" fillId="9" borderId="40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2" fillId="3" borderId="40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9" fillId="0" borderId="0" xfId="0" applyFont="1">
      <alignment vertical="center"/>
    </xf>
    <xf numFmtId="189" fontId="0" fillId="0" borderId="1" xfId="0" applyNumberFormat="1" applyBorder="1" applyAlignment="1">
      <alignment horizontal="left" vertical="center"/>
    </xf>
    <xf numFmtId="177" fontId="0" fillId="0" borderId="1" xfId="0" applyNumberFormat="1" applyBorder="1" applyAlignment="1">
      <alignment horizontal="left" vertical="center"/>
    </xf>
    <xf numFmtId="177" fontId="0" fillId="0" borderId="14" xfId="0" applyNumberFormat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25" borderId="1" xfId="0" applyFill="1" applyBorder="1" applyAlignment="1">
      <alignment horizontal="left" vertical="center" wrapText="1"/>
    </xf>
    <xf numFmtId="0" fontId="0" fillId="5" borderId="1" xfId="0" applyFill="1" applyBorder="1">
      <alignment vertical="center"/>
    </xf>
    <xf numFmtId="0" fontId="0" fillId="5" borderId="6" xfId="0" applyNumberFormat="1" applyFill="1" applyBorder="1">
      <alignment vertical="center"/>
    </xf>
    <xf numFmtId="0" fontId="0" fillId="0" borderId="6" xfId="0" applyBorder="1" applyAlignment="1">
      <alignment horizontal="left" vertical="center" wrapText="1"/>
    </xf>
    <xf numFmtId="185" fontId="17" fillId="3" borderId="6" xfId="0" applyNumberFormat="1" applyFont="1" applyFill="1" applyBorder="1" applyAlignment="1">
      <alignment horizontal="left" vertical="center" wrapText="1"/>
    </xf>
    <xf numFmtId="0" fontId="2" fillId="5" borderId="40" xfId="0" applyFont="1" applyFill="1" applyBorder="1" applyAlignment="1">
      <alignment horizontal="left" vertical="center" wrapText="1"/>
    </xf>
    <xf numFmtId="0" fontId="0" fillId="5" borderId="6" xfId="0" applyNumberFormat="1" applyFill="1" applyBorder="1" applyAlignment="1">
      <alignment horizontal="left" vertical="center" wrapText="1"/>
    </xf>
    <xf numFmtId="0" fontId="0" fillId="26" borderId="1" xfId="0" applyFill="1" applyBorder="1" applyAlignment="1">
      <alignment horizontal="left" vertical="center" wrapText="1"/>
    </xf>
    <xf numFmtId="0" fontId="0" fillId="5" borderId="1" xfId="1260" applyNumberForma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10" fontId="13" fillId="0" borderId="6" xfId="0" applyNumberFormat="1" applyFont="1" applyBorder="1" applyAlignment="1">
      <alignment horizontal="left" vertical="center" wrapText="1"/>
    </xf>
    <xf numFmtId="176" fontId="2" fillId="12" borderId="1" xfId="0" applyNumberFormat="1" applyFont="1" applyFill="1" applyBorder="1" applyAlignment="1">
      <alignment horizontal="left" vertical="center" wrapText="1"/>
    </xf>
    <xf numFmtId="190" fontId="0" fillId="9" borderId="6" xfId="0" applyNumberFormat="1" applyFill="1" applyBorder="1" applyAlignment="1">
      <alignment horizontal="left" vertical="center" wrapText="1"/>
    </xf>
    <xf numFmtId="189" fontId="13" fillId="17" borderId="6" xfId="0" applyNumberFormat="1" applyFont="1" applyFill="1" applyBorder="1" applyAlignment="1">
      <alignment horizontal="left" vertical="center" wrapText="1"/>
    </xf>
    <xf numFmtId="189" fontId="0" fillId="9" borderId="6" xfId="0" applyNumberFormat="1" applyFill="1" applyBorder="1" applyAlignment="1">
      <alignment horizontal="left" vertical="center" wrapText="1"/>
    </xf>
    <xf numFmtId="185" fontId="2" fillId="12" borderId="1" xfId="0" applyNumberFormat="1" applyFont="1" applyFill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10" fontId="13" fillId="5" borderId="6" xfId="0" applyNumberFormat="1" applyFont="1" applyFill="1" applyBorder="1" applyAlignment="1">
      <alignment horizontal="left" vertical="center" wrapText="1"/>
    </xf>
    <xf numFmtId="185" fontId="17" fillId="5" borderId="6" xfId="0" applyNumberFormat="1" applyFont="1" applyFill="1" applyBorder="1" applyAlignment="1">
      <alignment horizontal="left" vertical="center" wrapText="1"/>
    </xf>
    <xf numFmtId="0" fontId="23" fillId="27" borderId="0" xfId="0" applyFont="1" applyFill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24" fillId="0" borderId="0" xfId="0" applyFont="1" applyAlignment="1">
      <alignment horizontal="center" vertical="center" wrapText="1"/>
    </xf>
    <xf numFmtId="0" fontId="25" fillId="27" borderId="0" xfId="0" applyFont="1" applyFill="1" applyAlignment="1">
      <alignment horizontal="center" vertical="center" wrapText="1"/>
    </xf>
    <xf numFmtId="0" fontId="26" fillId="0" borderId="41" xfId="0" applyFont="1" applyBorder="1" applyAlignment="1">
      <alignment horizontal="center" vertical="center" wrapText="1"/>
    </xf>
    <xf numFmtId="0" fontId="26" fillId="0" borderId="42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 shrinkToFit="1"/>
    </xf>
    <xf numFmtId="0" fontId="26" fillId="0" borderId="1" xfId="0" applyFont="1" applyBorder="1" applyAlignment="1">
      <alignment horizontal="left" vertical="center" wrapText="1" shrinkToFit="1"/>
    </xf>
    <xf numFmtId="0" fontId="20" fillId="0" borderId="43" xfId="0" applyFont="1" applyBorder="1" applyAlignment="1">
      <alignment horizontal="left" vertical="center" wrapText="1" shrinkToFit="1"/>
    </xf>
    <xf numFmtId="0" fontId="20" fillId="0" borderId="44" xfId="0" applyFont="1" applyBorder="1" applyAlignment="1">
      <alignment horizontal="left" vertical="center" wrapText="1" shrinkToFit="1"/>
    </xf>
    <xf numFmtId="0" fontId="20" fillId="0" borderId="45" xfId="0" applyFont="1" applyBorder="1" applyAlignment="1">
      <alignment horizontal="left" vertical="center" wrapText="1" shrinkToFit="1"/>
    </xf>
    <xf numFmtId="0" fontId="26" fillId="0" borderId="0" xfId="0" applyFont="1" applyAlignment="1">
      <alignment horizontal="left" vertical="center" wrapText="1" shrinkToFit="1"/>
    </xf>
    <xf numFmtId="0" fontId="26" fillId="0" borderId="15" xfId="0" applyFont="1" applyBorder="1" applyAlignment="1">
      <alignment horizontal="left" vertical="center" wrapText="1" shrinkToFit="1"/>
    </xf>
    <xf numFmtId="0" fontId="26" fillId="0" borderId="14" xfId="0" applyFont="1" applyBorder="1" applyAlignment="1">
      <alignment horizontal="left" vertical="center" wrapText="1" shrinkToFit="1"/>
    </xf>
    <xf numFmtId="0" fontId="26" fillId="0" borderId="10" xfId="0" applyFont="1" applyBorder="1" applyAlignment="1">
      <alignment horizontal="left" vertical="center" wrapText="1" shrinkToFit="1"/>
    </xf>
    <xf numFmtId="0" fontId="26" fillId="9" borderId="1" xfId="0" applyFont="1" applyFill="1" applyBorder="1" applyAlignment="1" applyProtection="1">
      <alignment horizontal="left" vertical="center" wrapText="1" shrinkToFit="1"/>
      <protection locked="0"/>
    </xf>
    <xf numFmtId="0" fontId="26" fillId="28" borderId="1" xfId="0" applyFont="1" applyFill="1" applyBorder="1" applyAlignment="1">
      <alignment horizontal="left" vertical="center" wrapText="1" shrinkToFit="1"/>
    </xf>
    <xf numFmtId="0" fontId="26" fillId="0" borderId="8" xfId="0" applyFont="1" applyBorder="1" applyAlignment="1">
      <alignment horizontal="left" vertical="center" wrapText="1" shrinkToFit="1"/>
    </xf>
    <xf numFmtId="0" fontId="0" fillId="5" borderId="3" xfId="0" applyFill="1" applyBorder="1" applyAlignment="1">
      <alignment vertical="center" wrapText="1"/>
    </xf>
    <xf numFmtId="0" fontId="26" fillId="28" borderId="1" xfId="0" applyFont="1" applyFill="1" applyBorder="1" applyAlignment="1" applyProtection="1">
      <alignment horizontal="left" vertical="center" wrapText="1" shrinkToFit="1"/>
      <protection locked="0"/>
    </xf>
    <xf numFmtId="0" fontId="26" fillId="0" borderId="2" xfId="0" applyFont="1" applyBorder="1" applyAlignment="1">
      <alignment horizontal="left" vertical="center" wrapText="1" shrinkToFit="1"/>
    </xf>
    <xf numFmtId="0" fontId="26" fillId="0" borderId="6" xfId="0" applyFont="1" applyBorder="1" applyAlignment="1">
      <alignment horizontal="left" vertical="center" wrapText="1" shrinkToFit="1"/>
    </xf>
    <xf numFmtId="0" fontId="26" fillId="9" borderId="1" xfId="0" applyFont="1" applyFill="1" applyBorder="1" applyAlignment="1">
      <alignment horizontal="left" vertical="center" wrapText="1" shrinkToFit="1"/>
    </xf>
    <xf numFmtId="0" fontId="26" fillId="5" borderId="1" xfId="0" applyFont="1" applyFill="1" applyBorder="1" applyAlignment="1">
      <alignment horizontal="left" vertical="center" wrapText="1" shrinkToFit="1"/>
    </xf>
    <xf numFmtId="0" fontId="0" fillId="0" borderId="1" xfId="0" applyBorder="1" applyAlignment="1">
      <alignment horizontal="left" vertical="center" wrapText="1" shrinkToFit="1"/>
    </xf>
    <xf numFmtId="0" fontId="26" fillId="0" borderId="10" xfId="0" applyFont="1" applyBorder="1" applyAlignment="1">
      <alignment horizontal="center" vertical="center" wrapText="1" shrinkToFit="1"/>
    </xf>
    <xf numFmtId="0" fontId="0" fillId="28" borderId="1" xfId="0" applyFill="1" applyBorder="1" applyAlignment="1">
      <alignment horizontal="left" vertical="center" wrapText="1" shrinkToFit="1"/>
    </xf>
    <xf numFmtId="0" fontId="26" fillId="5" borderId="15" xfId="0" applyFont="1" applyFill="1" applyBorder="1" applyAlignment="1">
      <alignment horizontal="left" vertical="center" wrapText="1" shrinkToFit="1"/>
    </xf>
    <xf numFmtId="0" fontId="26" fillId="5" borderId="14" xfId="0" applyFont="1" applyFill="1" applyBorder="1" applyAlignment="1">
      <alignment horizontal="left" vertical="center" wrapText="1" shrinkToFit="1"/>
    </xf>
    <xf numFmtId="0" fontId="26" fillId="5" borderId="10" xfId="0" applyFont="1" applyFill="1" applyBorder="1" applyAlignment="1">
      <alignment horizontal="left" vertical="center" wrapText="1" shrinkToFit="1"/>
    </xf>
    <xf numFmtId="0" fontId="26" fillId="0" borderId="46" xfId="0" applyFont="1" applyBorder="1" applyAlignment="1">
      <alignment horizontal="left" vertical="center" wrapText="1" shrinkToFit="1"/>
    </xf>
    <xf numFmtId="0" fontId="26" fillId="0" borderId="47" xfId="0" applyFont="1" applyBorder="1" applyAlignment="1">
      <alignment horizontal="left" vertical="center" wrapText="1" shrinkToFit="1"/>
    </xf>
    <xf numFmtId="0" fontId="26" fillId="5" borderId="6" xfId="0" applyFont="1" applyFill="1" applyBorder="1" applyAlignment="1">
      <alignment horizontal="left" vertical="center" wrapText="1" shrinkToFit="1"/>
    </xf>
    <xf numFmtId="0" fontId="26" fillId="0" borderId="9" xfId="0" applyFont="1" applyBorder="1" applyAlignment="1">
      <alignment horizontal="left" vertical="center" wrapText="1" shrinkToFit="1"/>
    </xf>
    <xf numFmtId="0" fontId="26" fillId="0" borderId="48" xfId="0" applyFont="1" applyBorder="1" applyAlignment="1">
      <alignment horizontal="left" vertical="center" wrapText="1" shrinkToFit="1"/>
    </xf>
    <xf numFmtId="0" fontId="26" fillId="0" borderId="49" xfId="0" applyFont="1" applyBorder="1" applyAlignment="1">
      <alignment horizontal="left" vertical="center" wrapText="1" shrinkToFit="1"/>
    </xf>
    <xf numFmtId="0" fontId="26" fillId="0" borderId="50" xfId="0" applyFont="1" applyBorder="1" applyAlignment="1">
      <alignment horizontal="left" vertical="center" wrapText="1" shrinkToFit="1"/>
    </xf>
    <xf numFmtId="0" fontId="26" fillId="0" borderId="51" xfId="0" applyFont="1" applyBorder="1" applyAlignment="1">
      <alignment horizontal="left" vertical="center" wrapText="1" shrinkToFit="1"/>
    </xf>
    <xf numFmtId="0" fontId="0" fillId="0" borderId="10" xfId="0" applyBorder="1" applyAlignment="1">
      <alignment horizontal="left" vertical="center" wrapText="1" shrinkToFit="1"/>
    </xf>
    <xf numFmtId="0" fontId="26" fillId="0" borderId="12" xfId="0" applyFont="1" applyBorder="1" applyAlignment="1">
      <alignment horizontal="left" vertical="center" wrapText="1" shrinkToFit="1"/>
    </xf>
    <xf numFmtId="0" fontId="26" fillId="0" borderId="5" xfId="0" applyFont="1" applyBorder="1" applyAlignment="1">
      <alignment horizontal="left" vertical="center" wrapText="1" shrinkToFit="1"/>
    </xf>
    <xf numFmtId="0" fontId="26" fillId="0" borderId="2" xfId="0" applyFont="1" applyBorder="1" applyAlignment="1">
      <alignment horizontal="center" vertical="center" wrapText="1" shrinkToFit="1"/>
    </xf>
    <xf numFmtId="0" fontId="26" fillId="29" borderId="14" xfId="0" applyFont="1" applyFill="1" applyBorder="1" applyAlignment="1">
      <alignment horizontal="left" vertical="center" wrapText="1" shrinkToFit="1"/>
    </xf>
    <xf numFmtId="0" fontId="26" fillId="29" borderId="1" xfId="0" applyFont="1" applyFill="1" applyBorder="1" applyAlignment="1">
      <alignment horizontal="left" vertical="center" wrapText="1" shrinkToFit="1"/>
    </xf>
    <xf numFmtId="0" fontId="26" fillId="0" borderId="0" xfId="0" applyFont="1" applyAlignment="1">
      <alignment horizontal="center" vertical="center" wrapText="1" shrinkToFit="1"/>
    </xf>
    <xf numFmtId="0" fontId="0" fillId="3" borderId="14" xfId="0" applyFill="1" applyBorder="1" applyAlignment="1">
      <alignment vertical="center" wrapText="1"/>
    </xf>
    <xf numFmtId="0" fontId="0" fillId="30" borderId="14" xfId="0" applyFill="1" applyBorder="1" applyAlignment="1">
      <alignment vertical="center" wrapText="1"/>
    </xf>
    <xf numFmtId="0" fontId="26" fillId="30" borderId="1" xfId="0" applyFont="1" applyFill="1" applyBorder="1" applyAlignment="1">
      <alignment horizontal="left" vertical="center" wrapText="1" shrinkToFit="1"/>
    </xf>
    <xf numFmtId="0" fontId="0" fillId="30" borderId="1" xfId="0" applyFill="1" applyBorder="1" applyAlignment="1">
      <alignment horizontal="left" vertical="center" wrapText="1"/>
    </xf>
    <xf numFmtId="0" fontId="26" fillId="30" borderId="14" xfId="0" applyFont="1" applyFill="1" applyBorder="1" applyAlignment="1">
      <alignment horizontal="left" vertical="center" wrapText="1" shrinkToFit="1"/>
    </xf>
    <xf numFmtId="0" fontId="26" fillId="3" borderId="14" xfId="0" applyFont="1" applyFill="1" applyBorder="1" applyAlignment="1">
      <alignment horizontal="left" vertical="center" wrapText="1" shrinkToFit="1"/>
    </xf>
    <xf numFmtId="0" fontId="0" fillId="0" borderId="14" xfId="0" applyBorder="1" applyAlignment="1">
      <alignment vertical="center" wrapText="1"/>
    </xf>
    <xf numFmtId="191" fontId="24" fillId="0" borderId="0" xfId="0" applyNumberFormat="1" applyFont="1" applyAlignment="1">
      <alignment horizontal="center" vertical="center" wrapText="1"/>
    </xf>
    <xf numFmtId="0" fontId="20" fillId="31" borderId="0" xfId="0" applyFont="1" applyFill="1" applyAlignment="1">
      <alignment horizontal="left" vertical="center" wrapText="1"/>
    </xf>
    <xf numFmtId="0" fontId="0" fillId="32" borderId="0" xfId="0" applyFill="1" applyAlignment="1">
      <alignment horizontal="left" vertical="center" wrapText="1"/>
    </xf>
    <xf numFmtId="10" fontId="26" fillId="0" borderId="1" xfId="0" applyNumberFormat="1" applyFont="1" applyBorder="1" applyAlignment="1">
      <alignment horizontal="left" vertical="center" wrapText="1" shrinkToFit="1"/>
    </xf>
    <xf numFmtId="10" fontId="0" fillId="31" borderId="0" xfId="0" applyNumberFormat="1" applyFill="1" applyAlignment="1">
      <alignment horizontal="left" vertical="center" wrapText="1"/>
    </xf>
    <xf numFmtId="10" fontId="17" fillId="32" borderId="0" xfId="0" applyNumberFormat="1" applyFont="1" applyFill="1" applyAlignment="1">
      <alignment horizontal="left" vertical="center" wrapText="1"/>
    </xf>
    <xf numFmtId="10" fontId="26" fillId="33" borderId="0" xfId="0" applyNumberFormat="1" applyFont="1" applyFill="1" applyAlignment="1">
      <alignment horizontal="left" vertical="center" wrapText="1"/>
    </xf>
    <xf numFmtId="10" fontId="26" fillId="0" borderId="8" xfId="0" applyNumberFormat="1" applyFont="1" applyBorder="1" applyAlignment="1">
      <alignment horizontal="left" vertical="center" wrapText="1" shrinkToFit="1"/>
    </xf>
    <xf numFmtId="10" fontId="0" fillId="0" borderId="0" xfId="0" applyNumberFormat="1" applyAlignment="1">
      <alignment vertical="center" wrapText="1"/>
    </xf>
    <xf numFmtId="10" fontId="26" fillId="31" borderId="0" xfId="0" applyNumberFormat="1" applyFont="1" applyFill="1" applyAlignment="1">
      <alignment horizontal="left" vertical="center" wrapText="1"/>
    </xf>
    <xf numFmtId="0" fontId="26" fillId="31" borderId="0" xfId="0" applyFont="1" applyFill="1" applyAlignment="1">
      <alignment horizontal="left" vertical="center" wrapText="1"/>
    </xf>
    <xf numFmtId="0" fontId="26" fillId="33" borderId="0" xfId="0" applyFont="1" applyFill="1" applyAlignment="1">
      <alignment horizontal="left" vertical="center" wrapText="1"/>
    </xf>
    <xf numFmtId="0" fontId="26" fillId="0" borderId="0" xfId="0" applyFont="1" applyAlignment="1">
      <alignment vertical="center" wrapText="1"/>
    </xf>
    <xf numFmtId="0" fontId="26" fillId="3" borderId="1" xfId="0" applyFont="1" applyFill="1" applyBorder="1" applyAlignment="1">
      <alignment horizontal="left" vertical="center" wrapText="1" shrinkToFit="1"/>
    </xf>
    <xf numFmtId="10" fontId="17" fillId="0" borderId="1" xfId="0" applyNumberFormat="1" applyFont="1" applyBorder="1" applyAlignment="1">
      <alignment horizontal="left" vertical="center" wrapText="1" shrinkToFit="1"/>
    </xf>
    <xf numFmtId="0" fontId="26" fillId="0" borderId="43" xfId="0" applyFont="1" applyBorder="1" applyAlignment="1">
      <alignment horizontal="left" vertical="center" wrapText="1" shrinkToFit="1"/>
    </xf>
    <xf numFmtId="0" fontId="26" fillId="0" borderId="45" xfId="0" applyFont="1" applyBorder="1" applyAlignment="1">
      <alignment horizontal="left" vertical="center" wrapText="1" shrinkToFit="1"/>
    </xf>
    <xf numFmtId="0" fontId="26" fillId="3" borderId="52" xfId="0" applyFont="1" applyFill="1" applyBorder="1" applyAlignment="1">
      <alignment horizontal="left" vertical="center" wrapText="1" shrinkToFit="1"/>
    </xf>
    <xf numFmtId="0" fontId="26" fillId="3" borderId="23" xfId="0" applyFont="1" applyFill="1" applyBorder="1" applyAlignment="1">
      <alignment horizontal="left" vertical="center" wrapText="1" shrinkToFit="1"/>
    </xf>
    <xf numFmtId="0" fontId="26" fillId="0" borderId="44" xfId="0" applyFont="1" applyBorder="1" applyAlignment="1">
      <alignment horizontal="left" vertical="center" wrapText="1" shrinkToFit="1"/>
    </xf>
    <xf numFmtId="10" fontId="26" fillId="0" borderId="53" xfId="0" applyNumberFormat="1" applyFont="1" applyBorder="1" applyAlignment="1">
      <alignment horizontal="left" vertical="center" wrapText="1" shrinkToFit="1"/>
    </xf>
    <xf numFmtId="10" fontId="26" fillId="34" borderId="1" xfId="0" applyNumberFormat="1" applyFont="1" applyFill="1" applyBorder="1" applyAlignment="1">
      <alignment horizontal="left" vertical="center" wrapText="1" shrinkToFit="1"/>
    </xf>
    <xf numFmtId="0" fontId="26" fillId="0" borderId="12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0" fillId="3" borderId="1" xfId="1260" applyFill="1" applyBorder="1" applyAlignment="1" applyProtection="1">
      <alignment horizontal="left" vertical="center" wrapText="1" shrinkToFit="1"/>
      <protection locked="0"/>
    </xf>
    <xf numFmtId="0" fontId="0" fillId="0" borderId="1" xfId="0" applyBorder="1" applyAlignment="1" applyProtection="1">
      <alignment horizontal="left" vertical="center" wrapText="1" shrinkToFit="1"/>
      <protection locked="0"/>
    </xf>
    <xf numFmtId="0" fontId="0" fillId="0" borderId="1" xfId="1260" applyBorder="1" applyAlignment="1" applyProtection="1">
      <alignment horizontal="left" vertical="center" wrapText="1" shrinkToFit="1"/>
      <protection locked="0"/>
    </xf>
    <xf numFmtId="0" fontId="0" fillId="0" borderId="0" xfId="1260" applyFill="1" applyBorder="1" applyAlignment="1" applyProtection="1">
      <alignment horizontal="center" vertical="center" wrapText="1" shrinkToFit="1"/>
      <protection locked="0"/>
    </xf>
    <xf numFmtId="0" fontId="17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3" borderId="1" xfId="1260" applyFill="1" applyBorder="1" applyAlignment="1">
      <alignment horizontal="left" vertical="center" wrapText="1" shrinkToFit="1"/>
    </xf>
    <xf numFmtId="192" fontId="27" fillId="0" borderId="1" xfId="0" applyNumberFormat="1" applyFont="1" applyBorder="1" applyAlignment="1">
      <alignment horizontal="left" vertical="center" wrapText="1" shrinkToFit="1"/>
    </xf>
    <xf numFmtId="0" fontId="0" fillId="28" borderId="1" xfId="0" applyFill="1" applyBorder="1" applyAlignment="1" applyProtection="1">
      <alignment horizontal="left" vertical="center" wrapText="1" shrinkToFit="1"/>
      <protection locked="0"/>
    </xf>
    <xf numFmtId="10" fontId="0" fillId="0" borderId="0" xfId="0" applyNumberFormat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 shrinkToFit="1"/>
    </xf>
    <xf numFmtId="0" fontId="0" fillId="35" borderId="1" xfId="0" applyFill="1" applyBorder="1" applyAlignment="1" applyProtection="1">
      <alignment horizontal="left" vertical="center" wrapText="1" shrinkToFit="1"/>
      <protection locked="0"/>
    </xf>
    <xf numFmtId="0" fontId="0" fillId="3" borderId="15" xfId="0" applyFill="1" applyBorder="1" applyAlignment="1">
      <alignment horizontal="left" vertical="center" wrapText="1" shrinkToFit="1"/>
    </xf>
    <xf numFmtId="192" fontId="27" fillId="0" borderId="14" xfId="0" applyNumberFormat="1" applyFont="1" applyBorder="1" applyAlignment="1">
      <alignment horizontal="left" vertical="center" wrapText="1" shrinkToFit="1"/>
    </xf>
    <xf numFmtId="0" fontId="13" fillId="3" borderId="1" xfId="0" applyFont="1" applyFill="1" applyBorder="1" applyAlignment="1">
      <alignment horizontal="left" vertical="center" wrapText="1"/>
    </xf>
    <xf numFmtId="0" fontId="13" fillId="0" borderId="12" xfId="0" applyFont="1" applyBorder="1" applyAlignment="1">
      <alignment horizontal="left" vertical="center" wrapText="1"/>
    </xf>
    <xf numFmtId="192" fontId="27" fillId="0" borderId="0" xfId="0" applyNumberFormat="1" applyFont="1" applyAlignment="1">
      <alignment horizontal="left" vertical="center" wrapText="1" shrinkToFit="1"/>
    </xf>
    <xf numFmtId="0" fontId="26" fillId="0" borderId="12" xfId="0" applyFont="1" applyBorder="1" applyAlignment="1">
      <alignment horizontal="center" vertical="center" wrapText="1"/>
    </xf>
    <xf numFmtId="0" fontId="0" fillId="3" borderId="0" xfId="1260" applyFill="1" applyAlignment="1" applyProtection="1">
      <alignment horizontal="center" vertical="center" wrapText="1"/>
      <protection locked="0"/>
    </xf>
    <xf numFmtId="0" fontId="0" fillId="0" borderId="0" xfId="1260" applyAlignment="1" applyProtection="1">
      <alignment horizontal="center" vertical="center" wrapText="1"/>
      <protection locked="0"/>
    </xf>
    <xf numFmtId="0" fontId="0" fillId="3" borderId="0" xfId="1260" applyFill="1" applyAlignment="1">
      <alignment horizontal="left" vertical="center"/>
    </xf>
    <xf numFmtId="0" fontId="0" fillId="3" borderId="0" xfId="0" applyFill="1" applyAlignment="1" applyProtection="1">
      <alignment horizontal="center" vertical="center" wrapText="1"/>
      <protection locked="0"/>
    </xf>
    <xf numFmtId="0" fontId="0" fillId="0" borderId="0" xfId="1260" applyAlignment="1">
      <alignment horizontal="center" vertical="center"/>
    </xf>
    <xf numFmtId="10" fontId="26" fillId="0" borderId="0" xfId="0" applyNumberFormat="1" applyFont="1" applyAlignment="1">
      <alignment horizontal="left" vertical="center" wrapText="1" shrinkToFit="1"/>
    </xf>
    <xf numFmtId="10" fontId="26" fillId="0" borderId="0" xfId="0" applyNumberFormat="1" applyFont="1" applyAlignment="1">
      <alignment vertical="center" wrapText="1"/>
    </xf>
    <xf numFmtId="0" fontId="26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27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10" fontId="0" fillId="5" borderId="0" xfId="0" applyNumberFormat="1" applyFill="1" applyAlignment="1" applyProtection="1">
      <alignment horizontal="left" vertical="center"/>
      <protection locked="0"/>
    </xf>
    <xf numFmtId="0" fontId="0" fillId="5" borderId="0" xfId="0" applyFill="1" applyProtection="1">
      <alignment vertical="center"/>
      <protection locked="0"/>
    </xf>
    <xf numFmtId="0" fontId="28" fillId="0" borderId="0" xfId="0" applyFont="1">
      <alignment vertical="center"/>
    </xf>
    <xf numFmtId="0" fontId="28" fillId="5" borderId="0" xfId="0" applyFont="1" applyFill="1" applyAlignment="1">
      <alignment horizontal="center" vertical="center" wrapText="1"/>
    </xf>
    <xf numFmtId="193" fontId="0" fillId="5" borderId="0" xfId="0" applyNumberFormat="1" applyFill="1" applyAlignment="1">
      <alignment horizontal="left" vertical="center" wrapText="1"/>
    </xf>
    <xf numFmtId="193" fontId="0" fillId="5" borderId="0" xfId="0" applyNumberFormat="1" applyFill="1">
      <alignment vertical="center"/>
    </xf>
    <xf numFmtId="0" fontId="29" fillId="5" borderId="1" xfId="0" applyFont="1" applyFill="1" applyBorder="1" applyAlignment="1">
      <alignment horizontal="center" vertical="center" wrapText="1"/>
    </xf>
    <xf numFmtId="0" fontId="0" fillId="36" borderId="1" xfId="712" applyFill="1" applyBorder="1" applyAlignment="1">
      <alignment horizontal="left" vertical="center" wrapText="1"/>
    </xf>
    <xf numFmtId="0" fontId="0" fillId="5" borderId="1" xfId="712" applyFill="1" applyBorder="1" applyAlignment="1">
      <alignment horizontal="left" vertical="center" wrapText="1"/>
    </xf>
    <xf numFmtId="0" fontId="0" fillId="36" borderId="6" xfId="712" applyFill="1" applyBorder="1" applyAlignment="1">
      <alignment horizontal="left" vertical="center" wrapText="1"/>
    </xf>
    <xf numFmtId="0" fontId="0" fillId="36" borderId="15" xfId="712" applyFill="1" applyBorder="1" applyAlignment="1">
      <alignment horizontal="left" vertical="center" wrapText="1"/>
    </xf>
    <xf numFmtId="0" fontId="0" fillId="5" borderId="15" xfId="712" applyFill="1" applyBorder="1" applyAlignment="1">
      <alignment horizontal="left" vertical="center" wrapText="1"/>
    </xf>
    <xf numFmtId="0" fontId="0" fillId="36" borderId="54" xfId="712" applyFill="1" applyBorder="1" applyAlignment="1">
      <alignment horizontal="left" vertical="center" wrapText="1"/>
    </xf>
    <xf numFmtId="0" fontId="0" fillId="5" borderId="55" xfId="712" applyFill="1" applyBorder="1" applyAlignment="1">
      <alignment horizontal="left" vertical="center" wrapText="1"/>
    </xf>
    <xf numFmtId="0" fontId="0" fillId="5" borderId="6" xfId="712" applyFill="1" applyBorder="1" applyAlignment="1">
      <alignment horizontal="left" vertical="center" wrapText="1"/>
    </xf>
    <xf numFmtId="0" fontId="0" fillId="36" borderId="55" xfId="712" applyFill="1" applyBorder="1" applyAlignment="1">
      <alignment horizontal="left" vertical="center" wrapText="1"/>
    </xf>
    <xf numFmtId="0" fontId="0" fillId="37" borderId="1" xfId="712" applyFill="1" applyBorder="1" applyAlignment="1">
      <alignment horizontal="left" vertical="center" wrapText="1"/>
    </xf>
    <xf numFmtId="0" fontId="0" fillId="37" borderId="15" xfId="712" applyFill="1" applyBorder="1" applyAlignment="1">
      <alignment horizontal="left" vertical="center" wrapText="1"/>
    </xf>
    <xf numFmtId="0" fontId="0" fillId="37" borderId="54" xfId="712" applyFill="1" applyBorder="1" applyAlignment="1">
      <alignment horizontal="left" vertical="center" wrapText="1"/>
    </xf>
    <xf numFmtId="0" fontId="0" fillId="38" borderId="1" xfId="712" applyFill="1" applyBorder="1" applyAlignment="1">
      <alignment horizontal="left" vertical="center" wrapText="1"/>
    </xf>
    <xf numFmtId="0" fontId="0" fillId="5" borderId="2" xfId="0" applyFill="1" applyBorder="1">
      <alignment vertical="center"/>
    </xf>
    <xf numFmtId="0" fontId="0" fillId="5" borderId="2" xfId="0" applyFill="1" applyBorder="1" applyAlignment="1">
      <alignment vertical="center" wrapText="1"/>
    </xf>
    <xf numFmtId="0" fontId="0" fillId="5" borderId="0" xfId="0" applyFill="1" applyAlignment="1">
      <alignment vertical="center" wrapText="1"/>
    </xf>
    <xf numFmtId="193" fontId="0" fillId="0" borderId="0" xfId="0" applyNumberFormat="1">
      <alignment vertical="center"/>
    </xf>
    <xf numFmtId="0" fontId="29" fillId="5" borderId="56" xfId="0" applyFont="1" applyFill="1" applyBorder="1" applyAlignment="1">
      <alignment horizontal="center" vertical="center" wrapText="1"/>
    </xf>
    <xf numFmtId="0" fontId="0" fillId="36" borderId="56" xfId="712" applyFill="1" applyBorder="1" applyAlignment="1">
      <alignment horizontal="left" vertical="center" wrapText="1"/>
    </xf>
    <xf numFmtId="0" fontId="0" fillId="5" borderId="56" xfId="712" applyFill="1" applyBorder="1" applyAlignment="1">
      <alignment horizontal="left" vertical="center" wrapText="1"/>
    </xf>
    <xf numFmtId="0" fontId="0" fillId="36" borderId="57" xfId="712" applyFill="1" applyBorder="1" applyAlignment="1">
      <alignment horizontal="left" vertical="center" wrapText="1"/>
    </xf>
    <xf numFmtId="0" fontId="0" fillId="5" borderId="58" xfId="712" applyFill="1" applyBorder="1" applyAlignment="1">
      <alignment horizontal="left" vertical="center" wrapText="1"/>
    </xf>
    <xf numFmtId="0" fontId="0" fillId="36" borderId="58" xfId="712" applyFill="1" applyBorder="1" applyAlignment="1">
      <alignment horizontal="left" vertical="center" wrapText="1"/>
    </xf>
    <xf numFmtId="0" fontId="0" fillId="5" borderId="59" xfId="712" applyFill="1" applyBorder="1" applyAlignment="1">
      <alignment horizontal="left" vertical="center" wrapText="1"/>
    </xf>
    <xf numFmtId="0" fontId="0" fillId="5" borderId="56" xfId="0" applyFill="1" applyBorder="1">
      <alignment vertical="center"/>
    </xf>
    <xf numFmtId="0" fontId="0" fillId="36" borderId="56" xfId="0" applyFill="1" applyBorder="1">
      <alignment vertical="center"/>
    </xf>
    <xf numFmtId="0" fontId="0" fillId="36" borderId="59" xfId="712" applyFill="1" applyBorder="1" applyAlignment="1">
      <alignment horizontal="left" vertical="center" wrapText="1"/>
    </xf>
    <xf numFmtId="0" fontId="0" fillId="5" borderId="57" xfId="712" applyFill="1" applyBorder="1" applyAlignment="1">
      <alignment horizontal="left" vertical="center" wrapText="1"/>
    </xf>
    <xf numFmtId="0" fontId="0" fillId="37" borderId="56" xfId="712" applyFill="1" applyBorder="1" applyAlignment="1">
      <alignment horizontal="left" vertical="center" wrapText="1"/>
    </xf>
    <xf numFmtId="0" fontId="26" fillId="37" borderId="58" xfId="712" applyFont="1" applyFill="1" applyBorder="1" applyAlignment="1">
      <alignment horizontal="left" vertical="center" wrapText="1"/>
    </xf>
    <xf numFmtId="0" fontId="26" fillId="5" borderId="58" xfId="712" applyFont="1" applyFill="1" applyBorder="1" applyAlignment="1">
      <alignment horizontal="left" vertical="center" wrapText="1"/>
    </xf>
    <xf numFmtId="0" fontId="0" fillId="37" borderId="58" xfId="712" applyFill="1" applyBorder="1" applyAlignment="1">
      <alignment horizontal="left" vertical="center" wrapText="1"/>
    </xf>
    <xf numFmtId="0" fontId="0" fillId="38" borderId="56" xfId="712" applyFill="1" applyBorder="1" applyAlignment="1">
      <alignment horizontal="left" vertical="center" wrapText="1"/>
    </xf>
    <xf numFmtId="0" fontId="28" fillId="5" borderId="0" xfId="0" applyFont="1" applyFill="1" applyAlignment="1">
      <alignment vertical="center" wrapText="1"/>
    </xf>
    <xf numFmtId="193" fontId="0" fillId="5" borderId="0" xfId="0" applyNumberFormat="1" applyFill="1" applyAlignment="1">
      <alignment vertical="center" wrapText="1"/>
    </xf>
    <xf numFmtId="0" fontId="29" fillId="5" borderId="10" xfId="0" applyFont="1" applyFill="1" applyBorder="1" applyAlignment="1">
      <alignment horizontal="center" vertical="center" wrapText="1"/>
    </xf>
    <xf numFmtId="0" fontId="0" fillId="36" borderId="10" xfId="712" applyFill="1" applyBorder="1" applyAlignment="1">
      <alignment horizontal="left" vertical="center" wrapText="1"/>
    </xf>
    <xf numFmtId="0" fontId="0" fillId="36" borderId="1" xfId="1008" applyFill="1" applyBorder="1" applyAlignment="1">
      <alignment horizontal="left" vertical="center" wrapText="1"/>
    </xf>
    <xf numFmtId="0" fontId="0" fillId="5" borderId="10" xfId="712" applyFill="1" applyBorder="1" applyAlignment="1">
      <alignment horizontal="left" vertical="center" wrapText="1"/>
    </xf>
    <xf numFmtId="0" fontId="0" fillId="5" borderId="1" xfId="1008" applyFill="1" applyBorder="1" applyAlignment="1">
      <alignment horizontal="left" vertical="center" wrapText="1"/>
    </xf>
    <xf numFmtId="0" fontId="0" fillId="36" borderId="6" xfId="1008" applyFill="1" applyBorder="1" applyAlignment="1">
      <alignment horizontal="left" vertical="center" wrapText="1"/>
    </xf>
    <xf numFmtId="0" fontId="0" fillId="36" borderId="15" xfId="1008" applyFill="1" applyBorder="1" applyAlignment="1">
      <alignment horizontal="left" vertical="center" wrapText="1"/>
    </xf>
    <xf numFmtId="0" fontId="0" fillId="5" borderId="15" xfId="2310" applyFill="1" applyBorder="1" applyAlignment="1">
      <alignment horizontal="left" vertical="center" wrapText="1"/>
    </xf>
    <xf numFmtId="0" fontId="0" fillId="5" borderId="15" xfId="1008" applyFill="1" applyBorder="1" applyAlignment="1">
      <alignment horizontal="left" vertical="center" wrapText="1"/>
    </xf>
    <xf numFmtId="0" fontId="0" fillId="36" borderId="1" xfId="2310" applyFill="1" applyBorder="1" applyAlignment="1">
      <alignment horizontal="left" vertical="center" wrapText="1"/>
    </xf>
    <xf numFmtId="0" fontId="0" fillId="5" borderId="6" xfId="1008" applyFill="1" applyBorder="1" applyAlignment="1">
      <alignment horizontal="left" vertical="center" wrapText="1"/>
    </xf>
    <xf numFmtId="0" fontId="0" fillId="36" borderId="1" xfId="0" applyFill="1" applyBorder="1">
      <alignment vertical="center"/>
    </xf>
    <xf numFmtId="0" fontId="0" fillId="37" borderId="10" xfId="712" applyFill="1" applyBorder="1" applyAlignment="1">
      <alignment horizontal="left" vertical="center" wrapText="1"/>
    </xf>
    <xf numFmtId="0" fontId="0" fillId="37" borderId="1" xfId="1008" applyFill="1" applyBorder="1" applyAlignment="1">
      <alignment horizontal="left" vertical="center" wrapText="1"/>
    </xf>
    <xf numFmtId="0" fontId="0" fillId="5" borderId="1" xfId="2310" applyFill="1" applyBorder="1" applyAlignment="1">
      <alignment horizontal="left" vertical="center" wrapText="1"/>
    </xf>
    <xf numFmtId="0" fontId="0" fillId="5" borderId="10" xfId="0" applyFill="1" applyBorder="1">
      <alignment vertical="center"/>
    </xf>
    <xf numFmtId="0" fontId="0" fillId="37" borderId="10" xfId="0" applyFill="1" applyBorder="1">
      <alignment vertical="center"/>
    </xf>
    <xf numFmtId="0" fontId="0" fillId="37" borderId="0" xfId="0" applyFill="1">
      <alignment vertical="center"/>
    </xf>
    <xf numFmtId="0" fontId="0" fillId="5" borderId="0" xfId="0" applyFill="1" applyAlignment="1">
      <alignment horizontal="left" vertical="center" wrapText="1"/>
    </xf>
    <xf numFmtId="193" fontId="0" fillId="5" borderId="0" xfId="0" applyNumberFormat="1" applyFill="1" applyAlignment="1">
      <alignment horizontal="right" vertical="center" wrapText="1"/>
    </xf>
    <xf numFmtId="0" fontId="0" fillId="36" borderId="60" xfId="712" applyFill="1" applyBorder="1" applyAlignment="1">
      <alignment horizontal="left" vertical="center" wrapText="1"/>
    </xf>
    <xf numFmtId="0" fontId="0" fillId="5" borderId="56" xfId="2310" applyFill="1" applyBorder="1" applyAlignment="1">
      <alignment horizontal="left" vertical="center" wrapText="1"/>
    </xf>
    <xf numFmtId="0" fontId="0" fillId="36" borderId="56" xfId="1008" applyFill="1" applyBorder="1" applyAlignment="1">
      <alignment horizontal="left" vertical="center" wrapText="1"/>
    </xf>
    <xf numFmtId="0" fontId="0" fillId="5" borderId="56" xfId="1008" applyFill="1" applyBorder="1" applyAlignment="1">
      <alignment horizontal="left" vertical="center" wrapText="1"/>
    </xf>
    <xf numFmtId="0" fontId="0" fillId="36" borderId="56" xfId="1988" applyFill="1" applyBorder="1" applyAlignment="1">
      <alignment horizontal="left" vertical="center" wrapText="1"/>
    </xf>
    <xf numFmtId="0" fontId="0" fillId="5" borderId="56" xfId="1988" applyFill="1" applyBorder="1" applyAlignment="1">
      <alignment horizontal="left" vertical="center" wrapText="1"/>
    </xf>
    <xf numFmtId="0" fontId="0" fillId="5" borderId="9" xfId="712" applyFill="1" applyBorder="1" applyAlignment="1">
      <alignment horizontal="left" vertical="center" wrapText="1"/>
    </xf>
    <xf numFmtId="0" fontId="0" fillId="36" borderId="9" xfId="712" applyFill="1" applyBorder="1" applyAlignment="1">
      <alignment horizontal="left" vertical="center" wrapText="1"/>
    </xf>
    <xf numFmtId="0" fontId="0" fillId="37" borderId="9" xfId="712" applyFill="1" applyBorder="1" applyAlignment="1">
      <alignment horizontal="left" vertical="center" wrapText="1"/>
    </xf>
    <xf numFmtId="0" fontId="0" fillId="37" borderId="56" xfId="1008" applyFill="1" applyBorder="1" applyAlignment="1">
      <alignment horizontal="left" vertical="center" wrapText="1"/>
    </xf>
    <xf numFmtId="0" fontId="0" fillId="37" borderId="56" xfId="1988" applyFill="1" applyBorder="1" applyAlignment="1">
      <alignment horizontal="left" vertical="center" wrapText="1"/>
    </xf>
    <xf numFmtId="0" fontId="0" fillId="37" borderId="56" xfId="0" applyFill="1" applyBorder="1">
      <alignment vertical="center"/>
    </xf>
    <xf numFmtId="0" fontId="0" fillId="28" borderId="56" xfId="0" applyFill="1" applyBorder="1" applyAlignment="1">
      <alignment horizontal="left" vertical="center" wrapText="1"/>
    </xf>
    <xf numFmtId="0" fontId="0" fillId="28" borderId="1" xfId="712" applyFill="1" applyBorder="1" applyAlignment="1">
      <alignment horizontal="left" vertical="center" wrapText="1"/>
    </xf>
    <xf numFmtId="0" fontId="0" fillId="28" borderId="56" xfId="1008" applyFill="1" applyBorder="1" applyAlignment="1">
      <alignment horizontal="left" vertical="center" wrapText="1"/>
    </xf>
    <xf numFmtId="193" fontId="26" fillId="12" borderId="0" xfId="0" applyNumberFormat="1" applyFont="1" applyFill="1" applyProtection="1">
      <alignment vertical="center"/>
      <protection locked="0"/>
    </xf>
    <xf numFmtId="0" fontId="29" fillId="5" borderId="0" xfId="0" applyFont="1" applyFill="1" applyAlignment="1">
      <alignment horizontal="center" vertical="center" wrapText="1"/>
    </xf>
    <xf numFmtId="0" fontId="0" fillId="36" borderId="0" xfId="712" applyFill="1" applyAlignment="1">
      <alignment horizontal="left" vertical="center" wrapText="1"/>
    </xf>
    <xf numFmtId="0" fontId="0" fillId="5" borderId="0" xfId="712" applyFill="1" applyAlignment="1">
      <alignment horizontal="left" vertical="center" wrapText="1"/>
    </xf>
    <xf numFmtId="0" fontId="0" fillId="5" borderId="56" xfId="0" applyFill="1" applyBorder="1" applyAlignment="1">
      <alignment horizontal="left" vertical="center"/>
    </xf>
    <xf numFmtId="0" fontId="0" fillId="36" borderId="56" xfId="0" applyFill="1" applyBorder="1" applyAlignment="1">
      <alignment horizontal="left" vertical="center"/>
    </xf>
    <xf numFmtId="0" fontId="0" fillId="36" borderId="1" xfId="0" applyFill="1" applyBorder="1" applyAlignment="1">
      <alignment horizontal="left" vertical="center"/>
    </xf>
    <xf numFmtId="0" fontId="0" fillId="5" borderId="54" xfId="712" applyFill="1" applyBorder="1" applyAlignment="1">
      <alignment horizontal="left" vertical="center" wrapText="1"/>
    </xf>
    <xf numFmtId="0" fontId="0" fillId="5" borderId="61" xfId="0" applyFill="1" applyBorder="1" applyAlignment="1">
      <alignment horizontal="left" vertical="center"/>
    </xf>
    <xf numFmtId="0" fontId="0" fillId="37" borderId="0" xfId="712" applyFill="1" applyAlignment="1">
      <alignment horizontal="left" vertical="center" wrapText="1"/>
    </xf>
    <xf numFmtId="0" fontId="0" fillId="5" borderId="1" xfId="1008" applyFill="1" applyBorder="1" applyAlignment="1" applyProtection="1">
      <alignment horizontal="left" vertical="center" wrapText="1"/>
      <protection locked="0"/>
    </xf>
    <xf numFmtId="0" fontId="0" fillId="37" borderId="61" xfId="712" applyFill="1" applyBorder="1" applyAlignment="1">
      <alignment horizontal="left" vertical="center" wrapText="1"/>
    </xf>
    <xf numFmtId="0" fontId="0" fillId="37" borderId="1" xfId="0" applyFill="1" applyBorder="1">
      <alignment vertical="center"/>
    </xf>
    <xf numFmtId="0" fontId="0" fillId="28" borderId="1" xfId="0" applyFill="1" applyBorder="1" applyAlignment="1">
      <alignment horizontal="left" vertical="center"/>
    </xf>
    <xf numFmtId="0" fontId="0" fillId="38" borderId="1" xfId="1008" applyFill="1" applyBorder="1" applyAlignment="1">
      <alignment horizontal="left" vertical="center" wrapText="1"/>
    </xf>
    <xf numFmtId="0" fontId="0" fillId="5" borderId="2" xfId="712" applyFill="1" applyBorder="1" applyAlignment="1">
      <alignment horizontal="left" vertical="center" wrapText="1"/>
    </xf>
    <xf numFmtId="0" fontId="0" fillId="37" borderId="0" xfId="0" applyFill="1" applyAlignment="1">
      <alignment horizontal="left" vertical="center" wrapText="1"/>
    </xf>
    <xf numFmtId="0" fontId="0" fillId="37" borderId="6" xfId="712" applyFill="1" applyBorder="1" applyAlignment="1">
      <alignment horizontal="left" vertical="center" wrapText="1"/>
    </xf>
    <xf numFmtId="0" fontId="0" fillId="38" borderId="57" xfId="712" applyFill="1" applyBorder="1" applyAlignment="1">
      <alignment horizontal="left" vertical="center" wrapText="1"/>
    </xf>
    <xf numFmtId="0" fontId="29" fillId="5" borderId="1" xfId="2322" applyFont="1" applyFill="1" applyBorder="1" applyAlignment="1">
      <alignment horizontal="center" vertical="center" wrapText="1"/>
    </xf>
    <xf numFmtId="0" fontId="29" fillId="5" borderId="9" xfId="0" applyFont="1" applyFill="1" applyBorder="1" applyAlignment="1">
      <alignment horizontal="center" vertical="center"/>
    </xf>
    <xf numFmtId="0" fontId="29" fillId="5" borderId="8" xfId="0" applyFont="1" applyFill="1" applyBorder="1" applyAlignment="1">
      <alignment horizontal="center" vertical="center"/>
    </xf>
    <xf numFmtId="0" fontId="0" fillId="36" borderId="1" xfId="2322" applyFill="1" applyBorder="1" applyAlignment="1">
      <alignment horizontal="left" vertical="center" wrapText="1"/>
    </xf>
    <xf numFmtId="0" fontId="0" fillId="36" borderId="56" xfId="2322" applyFill="1" applyBorder="1" applyAlignment="1">
      <alignment horizontal="left" vertical="center" wrapText="1"/>
    </xf>
    <xf numFmtId="0" fontId="0" fillId="36" borderId="15" xfId="0" applyFill="1" applyBorder="1" applyAlignment="1">
      <alignment horizontal="center" vertical="center" wrapText="1"/>
    </xf>
    <xf numFmtId="0" fontId="0" fillId="5" borderId="1" xfId="2322" applyFill="1" applyBorder="1" applyAlignment="1">
      <alignment horizontal="left" vertical="center" wrapText="1"/>
    </xf>
    <xf numFmtId="0" fontId="0" fillId="5" borderId="56" xfId="2322" applyFill="1" applyBorder="1" applyAlignment="1">
      <alignment horizontal="left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36" borderId="1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left" vertical="center" wrapText="1"/>
    </xf>
    <xf numFmtId="0" fontId="0" fillId="5" borderId="56" xfId="0" applyFill="1" applyBorder="1" applyAlignment="1">
      <alignment horizontal="left" vertical="center" wrapText="1"/>
    </xf>
    <xf numFmtId="0" fontId="0" fillId="36" borderId="1" xfId="0" applyFill="1" applyBorder="1" applyAlignment="1">
      <alignment horizontal="left" vertical="center" wrapText="1"/>
    </xf>
    <xf numFmtId="0" fontId="0" fillId="5" borderId="15" xfId="2322" applyFill="1" applyBorder="1" applyAlignment="1">
      <alignment horizontal="left" vertical="center" wrapText="1"/>
    </xf>
    <xf numFmtId="0" fontId="0" fillId="5" borderId="58" xfId="2322" applyFill="1" applyBorder="1" applyAlignment="1">
      <alignment horizontal="left" vertical="center" wrapText="1"/>
    </xf>
    <xf numFmtId="0" fontId="29" fillId="36" borderId="55" xfId="0" applyFont="1" applyFill="1" applyBorder="1" applyAlignment="1">
      <alignment horizontal="center" vertical="center" wrapText="1"/>
    </xf>
    <xf numFmtId="0" fontId="29" fillId="36" borderId="62" xfId="0" applyFont="1" applyFill="1" applyBorder="1" applyAlignment="1">
      <alignment horizontal="center" vertical="center" wrapText="1"/>
    </xf>
    <xf numFmtId="0" fontId="0" fillId="36" borderId="0" xfId="0" applyFill="1">
      <alignment vertical="center"/>
    </xf>
    <xf numFmtId="0" fontId="29" fillId="5" borderId="63" xfId="0" applyFont="1" applyFill="1" applyBorder="1" applyAlignment="1">
      <alignment horizontal="center" vertical="center" wrapText="1"/>
    </xf>
    <xf numFmtId="0" fontId="0" fillId="36" borderId="1" xfId="0" applyFill="1" applyBorder="1" applyAlignment="1">
      <alignment horizontal="center" vertical="center"/>
    </xf>
    <xf numFmtId="0" fontId="13" fillId="36" borderId="56" xfId="0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horizontal="left" vertical="center" wrapText="1"/>
    </xf>
    <xf numFmtId="0" fontId="13" fillId="5" borderId="56" xfId="0" applyFont="1" applyFill="1" applyBorder="1" applyAlignment="1">
      <alignment horizontal="left" vertical="center" wrapText="1"/>
    </xf>
    <xf numFmtId="0" fontId="13" fillId="36" borderId="1" xfId="0" applyFont="1" applyFill="1" applyBorder="1" applyAlignment="1">
      <alignment horizontal="left" vertical="center" wrapText="1"/>
    </xf>
    <xf numFmtId="0" fontId="13" fillId="37" borderId="1" xfId="0" applyFont="1" applyFill="1" applyBorder="1" applyAlignment="1">
      <alignment horizontal="left" vertical="center" wrapText="1"/>
    </xf>
    <xf numFmtId="0" fontId="13" fillId="37" borderId="56" xfId="0" applyFont="1" applyFill="1" applyBorder="1" applyAlignment="1">
      <alignment horizontal="left" vertical="center" wrapText="1"/>
    </xf>
    <xf numFmtId="0" fontId="0" fillId="37" borderId="1" xfId="0" applyFill="1" applyBorder="1" applyAlignment="1">
      <alignment horizontal="left" vertical="center" wrapText="1"/>
    </xf>
    <xf numFmtId="0" fontId="0" fillId="37" borderId="56" xfId="0" applyFill="1" applyBorder="1" applyAlignment="1">
      <alignment horizontal="left" vertical="center" wrapText="1"/>
    </xf>
    <xf numFmtId="0" fontId="0" fillId="37" borderId="1" xfId="2322" applyFill="1" applyBorder="1" applyAlignment="1">
      <alignment horizontal="left" vertical="center" wrapText="1"/>
    </xf>
    <xf numFmtId="0" fontId="0" fillId="5" borderId="54" xfId="2322" applyFill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712" applyAlignment="1">
      <alignment horizontal="left" vertical="center" wrapText="1"/>
    </xf>
    <xf numFmtId="0" fontId="0" fillId="37" borderId="6" xfId="2322" applyFill="1" applyBorder="1" applyAlignment="1">
      <alignment vertical="center" wrapText="1"/>
    </xf>
    <xf numFmtId="0" fontId="0" fillId="5" borderId="1" xfId="2322" applyFill="1" applyBorder="1" applyAlignment="1">
      <alignment vertical="center" wrapText="1"/>
    </xf>
    <xf numFmtId="0" fontId="0" fillId="37" borderId="1" xfId="2322" applyFill="1" applyBorder="1" applyAlignment="1">
      <alignment vertical="center" wrapText="1"/>
    </xf>
    <xf numFmtId="0" fontId="13" fillId="5" borderId="58" xfId="0" applyFont="1" applyFill="1" applyBorder="1" applyAlignment="1">
      <alignment horizontal="left" vertical="center" wrapText="1"/>
    </xf>
    <xf numFmtId="0" fontId="0" fillId="37" borderId="59" xfId="0" applyFill="1" applyBorder="1" applyAlignment="1">
      <alignment horizontal="center" vertical="center"/>
    </xf>
    <xf numFmtId="0" fontId="0" fillId="37" borderId="59" xfId="0" applyFill="1" applyBorder="1" applyAlignment="1">
      <alignment horizontal="center" vertical="center" wrapText="1"/>
    </xf>
    <xf numFmtId="0" fontId="0" fillId="38" borderId="0" xfId="0" applyFill="1">
      <alignment vertical="center"/>
    </xf>
    <xf numFmtId="0" fontId="0" fillId="38" borderId="1" xfId="0" applyFill="1" applyBorder="1">
      <alignment vertical="center"/>
    </xf>
    <xf numFmtId="0" fontId="0" fillId="38" borderId="56" xfId="0" applyFill="1" applyBorder="1">
      <alignment vertical="center"/>
    </xf>
    <xf numFmtId="0" fontId="0" fillId="38" borderId="56" xfId="0" applyFill="1" applyBorder="1" applyAlignment="1">
      <alignment horizontal="left" vertical="center" wrapText="1"/>
    </xf>
    <xf numFmtId="0" fontId="0" fillId="5" borderId="0" xfId="0" applyFill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193" fontId="30" fillId="0" borderId="0" xfId="0" applyNumberFormat="1" applyFont="1" applyAlignment="1">
      <alignment horizontal="center" vertical="center" wrapText="1"/>
    </xf>
    <xf numFmtId="0" fontId="31" fillId="5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5" fillId="36" borderId="12" xfId="0" applyFont="1" applyFill="1" applyBorder="1" applyAlignment="1">
      <alignment horizontal="center" vertical="center" wrapText="1"/>
    </xf>
    <xf numFmtId="0" fontId="0" fillId="0" borderId="12" xfId="0" applyBorder="1">
      <alignment vertical="center"/>
    </xf>
    <xf numFmtId="0" fontId="5" fillId="5" borderId="5" xfId="0" applyFont="1" applyFill="1" applyBorder="1" applyAlignment="1">
      <alignment horizontal="center" vertical="center" wrapText="1"/>
    </xf>
    <xf numFmtId="0" fontId="5" fillId="36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0" fillId="5" borderId="15" xfId="0" applyFill="1" applyBorder="1" applyAlignment="1">
      <alignment horizontal="left" vertical="center" wrapText="1"/>
    </xf>
    <xf numFmtId="0" fontId="0" fillId="5" borderId="58" xfId="0" applyFill="1" applyBorder="1" applyAlignment="1">
      <alignment horizontal="left" vertical="center" wrapText="1"/>
    </xf>
    <xf numFmtId="0" fontId="5" fillId="37" borderId="0" xfId="0" applyFont="1" applyFill="1" applyAlignment="1">
      <alignment horizontal="center" vertical="center" wrapText="1"/>
    </xf>
    <xf numFmtId="0" fontId="0" fillId="37" borderId="1" xfId="0" applyFill="1" applyBorder="1" applyAlignment="1">
      <alignment vertical="center" wrapText="1"/>
    </xf>
    <xf numFmtId="0" fontId="0" fillId="37" borderId="56" xfId="0" applyFill="1" applyBorder="1" applyAlignment="1">
      <alignment vertical="center" wrapText="1"/>
    </xf>
    <xf numFmtId="0" fontId="0" fillId="37" borderId="14" xfId="0" applyFill="1" applyBorder="1" applyAlignment="1">
      <alignment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0" fillId="5" borderId="56" xfId="0" applyFill="1" applyBorder="1" applyAlignment="1">
      <alignment vertical="center" wrapText="1"/>
    </xf>
    <xf numFmtId="0" fontId="0" fillId="5" borderId="14" xfId="0" applyFill="1" applyBorder="1" applyAlignment="1">
      <alignment vertical="center" wrapText="1"/>
    </xf>
    <xf numFmtId="0" fontId="0" fillId="0" borderId="14" xfId="0" applyBorder="1">
      <alignment vertical="center"/>
    </xf>
    <xf numFmtId="0" fontId="5" fillId="37" borderId="14" xfId="0" applyFont="1" applyFill="1" applyBorder="1" applyAlignment="1">
      <alignment horizontal="center" vertical="center" wrapText="1"/>
    </xf>
    <xf numFmtId="0" fontId="5" fillId="37" borderId="5" xfId="0" applyFont="1" applyFill="1" applyBorder="1" applyAlignment="1">
      <alignment horizontal="center" vertical="center" wrapText="1"/>
    </xf>
    <xf numFmtId="0" fontId="0" fillId="37" borderId="54" xfId="0" applyFill="1" applyBorder="1" applyAlignment="1">
      <alignment vertical="center" wrapText="1"/>
    </xf>
    <xf numFmtId="0" fontId="0" fillId="37" borderId="61" xfId="0" applyFill="1" applyBorder="1" applyAlignment="1">
      <alignment vertical="center" wrapText="1"/>
    </xf>
    <xf numFmtId="0" fontId="0" fillId="5" borderId="55" xfId="0" applyFill="1" applyBorder="1" applyAlignment="1">
      <alignment vertical="center" wrapText="1"/>
    </xf>
    <xf numFmtId="0" fontId="0" fillId="5" borderId="59" xfId="0" applyFill="1" applyBorder="1" applyAlignment="1">
      <alignment vertical="center" wrapText="1"/>
    </xf>
    <xf numFmtId="0" fontId="0" fillId="38" borderId="1" xfId="0" applyFill="1" applyBorder="1" applyAlignment="1">
      <alignment vertical="center" wrapText="1"/>
    </xf>
    <xf numFmtId="0" fontId="0" fillId="38" borderId="56" xfId="0" applyFill="1" applyBorder="1" applyAlignment="1">
      <alignment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38" borderId="0" xfId="0" applyFont="1" applyFill="1" applyAlignment="1">
      <alignment horizontal="center" vertical="center" wrapText="1"/>
    </xf>
    <xf numFmtId="193" fontId="0" fillId="0" borderId="0" xfId="0" applyNumberFormat="1" applyAlignment="1">
      <alignment horizontal="right" vertical="center" wrapText="1"/>
    </xf>
    <xf numFmtId="0" fontId="29" fillId="0" borderId="0" xfId="2322" applyFont="1" applyAlignment="1">
      <alignment horizontal="center" vertical="center" wrapText="1"/>
    </xf>
    <xf numFmtId="0" fontId="0" fillId="36" borderId="12" xfId="0" applyFill="1" applyBorder="1">
      <alignment vertical="center"/>
    </xf>
    <xf numFmtId="0" fontId="0" fillId="5" borderId="12" xfId="0" applyFill="1" applyBorder="1">
      <alignment vertical="center"/>
    </xf>
    <xf numFmtId="0" fontId="0" fillId="37" borderId="12" xfId="0" applyFill="1" applyBorder="1">
      <alignment vertical="center"/>
    </xf>
    <xf numFmtId="0" fontId="0" fillId="37" borderId="1" xfId="0" applyFill="1" applyBorder="1" applyAlignment="1">
      <alignment horizontal="left" vertical="center"/>
    </xf>
    <xf numFmtId="0" fontId="0" fillId="37" borderId="56" xfId="0" applyFill="1" applyBorder="1" applyAlignment="1">
      <alignment horizontal="center" vertical="center" wrapText="1"/>
    </xf>
    <xf numFmtId="0" fontId="0" fillId="37" borderId="1" xfId="0" applyFill="1" applyBorder="1" applyAlignment="1">
      <alignment horizontal="center" vertical="center" wrapText="1"/>
    </xf>
    <xf numFmtId="0" fontId="0" fillId="5" borderId="14" xfId="712" applyFill="1" applyBorder="1" applyAlignment="1">
      <alignment horizontal="left" vertical="center" wrapText="1"/>
    </xf>
    <xf numFmtId="0" fontId="0" fillId="37" borderId="14" xfId="712" applyFill="1" applyBorder="1" applyAlignment="1">
      <alignment horizontal="left" vertical="center" wrapText="1"/>
    </xf>
    <xf numFmtId="0" fontId="0" fillId="37" borderId="54" xfId="0" applyFill="1" applyBorder="1" applyAlignment="1">
      <alignment horizontal="left" vertical="center" wrapText="1"/>
    </xf>
    <xf numFmtId="0" fontId="0" fillId="37" borderId="61" xfId="0" applyFill="1" applyBorder="1" applyAlignment="1">
      <alignment horizontal="left" vertical="center" wrapText="1"/>
    </xf>
    <xf numFmtId="0" fontId="0" fillId="5" borderId="57" xfId="0" applyFill="1" applyBorder="1" applyAlignment="1">
      <alignment horizontal="left" vertical="center" wrapText="1"/>
    </xf>
    <xf numFmtId="0" fontId="0" fillId="38" borderId="1" xfId="0" applyFill="1" applyBorder="1" applyAlignment="1">
      <alignment horizontal="left" vertical="center" wrapText="1"/>
    </xf>
    <xf numFmtId="0" fontId="0" fillId="38" borderId="14" xfId="712" applyFill="1" applyBorder="1" applyAlignment="1">
      <alignment horizontal="left" vertical="center" wrapText="1"/>
    </xf>
    <xf numFmtId="0" fontId="0" fillId="38" borderId="12" xfId="0" applyFill="1" applyBorder="1">
      <alignment vertical="center"/>
    </xf>
    <xf numFmtId="0" fontId="32" fillId="0" borderId="0" xfId="0" applyFont="1">
      <alignment vertical="center"/>
    </xf>
    <xf numFmtId="0" fontId="29" fillId="5" borderId="0" xfId="2322" applyFont="1" applyFill="1" applyAlignment="1">
      <alignment horizontal="center" vertical="center" wrapText="1"/>
    </xf>
    <xf numFmtId="0" fontId="29" fillId="5" borderId="15" xfId="0" applyFont="1" applyFill="1" applyBorder="1" applyAlignment="1">
      <alignment horizontal="center" vertical="center" wrapText="1"/>
    </xf>
    <xf numFmtId="0" fontId="29" fillId="5" borderId="12" xfId="2322" applyFont="1" applyFill="1" applyBorder="1" applyAlignment="1">
      <alignment horizontal="center" vertical="center" wrapText="1"/>
    </xf>
    <xf numFmtId="0" fontId="0" fillId="36" borderId="6" xfId="0" applyFill="1" applyBorder="1" applyAlignment="1">
      <alignment horizontal="center" vertical="center" wrapText="1"/>
    </xf>
    <xf numFmtId="0" fontId="0" fillId="36" borderId="0" xfId="0" applyFill="1" applyAlignment="1">
      <alignment horizontal="center" vertical="center" wrapText="1"/>
    </xf>
    <xf numFmtId="0" fontId="0" fillId="36" borderId="10" xfId="0" applyFill="1" applyBorder="1" applyAlignment="1">
      <alignment horizontal="center" vertical="center" wrapText="1"/>
    </xf>
    <xf numFmtId="0" fontId="0" fillId="36" borderId="12" xfId="712" applyFill="1" applyBorder="1" applyAlignment="1">
      <alignment horizontal="left" vertical="center" wrapText="1"/>
    </xf>
    <xf numFmtId="0" fontId="0" fillId="5" borderId="12" xfId="0" applyFill="1" applyBorder="1" applyAlignment="1">
      <alignment horizontal="center" vertical="center"/>
    </xf>
    <xf numFmtId="0" fontId="0" fillId="5" borderId="12" xfId="712" applyFill="1" applyBorder="1" applyAlignment="1">
      <alignment horizontal="left" vertical="center" wrapText="1"/>
    </xf>
    <xf numFmtId="0" fontId="0" fillId="36" borderId="1" xfId="0" applyFill="1" applyBorder="1" applyAlignment="1">
      <alignment vertical="center" wrapText="1"/>
    </xf>
    <xf numFmtId="0" fontId="0" fillId="36" borderId="56" xfId="0" applyFill="1" applyBorder="1" applyAlignment="1">
      <alignment vertical="center" wrapText="1"/>
    </xf>
    <xf numFmtId="0" fontId="0" fillId="36" borderId="12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36" borderId="15" xfId="0" applyFill="1" applyBorder="1" applyAlignment="1">
      <alignment horizontal="left" vertical="center" wrapText="1"/>
    </xf>
    <xf numFmtId="0" fontId="0" fillId="5" borderId="12" xfId="712" applyFill="1" applyBorder="1" applyAlignment="1">
      <alignment horizontal="center" vertical="center" wrapText="1"/>
    </xf>
    <xf numFmtId="0" fontId="0" fillId="5" borderId="55" xfId="0" applyFill="1" applyBorder="1" applyAlignment="1">
      <alignment horizontal="left" vertical="center" wrapText="1"/>
    </xf>
    <xf numFmtId="0" fontId="0" fillId="5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176" fontId="0" fillId="5" borderId="56" xfId="0" applyNumberFormat="1" applyFill="1" applyBorder="1" applyAlignment="1">
      <alignment vertical="center" wrapText="1"/>
    </xf>
    <xf numFmtId="176" fontId="0" fillId="36" borderId="56" xfId="0" applyNumberFormat="1" applyFill="1" applyBorder="1" applyAlignment="1">
      <alignment vertical="center" wrapText="1"/>
    </xf>
    <xf numFmtId="0" fontId="0" fillId="36" borderId="54" xfId="0" applyFill="1" applyBorder="1" applyAlignment="1">
      <alignment horizontal="left" vertical="center" wrapText="1"/>
    </xf>
    <xf numFmtId="186" fontId="0" fillId="5" borderId="56" xfId="0" applyNumberFormat="1" applyFill="1" applyBorder="1" applyAlignment="1">
      <alignment vertical="center" wrapText="1"/>
    </xf>
    <xf numFmtId="186" fontId="0" fillId="36" borderId="56" xfId="0" applyNumberFormat="1" applyFill="1" applyBorder="1" applyAlignment="1">
      <alignment vertical="center" wrapText="1"/>
    </xf>
    <xf numFmtId="0" fontId="0" fillId="5" borderId="15" xfId="0" applyFill="1" applyBorder="1" applyAlignment="1">
      <alignment vertical="center" wrapText="1"/>
    </xf>
    <xf numFmtId="0" fontId="0" fillId="36" borderId="0" xfId="0" applyFill="1" applyAlignment="1">
      <alignment horizontal="left" vertical="center" wrapText="1"/>
    </xf>
    <xf numFmtId="186" fontId="0" fillId="37" borderId="56" xfId="0" applyNumberFormat="1" applyFill="1" applyBorder="1" applyAlignment="1">
      <alignment vertical="center" wrapText="1"/>
    </xf>
    <xf numFmtId="0" fontId="0" fillId="5" borderId="55" xfId="0" applyFill="1" applyBorder="1" applyAlignment="1">
      <alignment horizontal="center" vertical="center" wrapText="1"/>
    </xf>
    <xf numFmtId="186" fontId="0" fillId="5" borderId="58" xfId="0" applyNumberFormat="1" applyFill="1" applyBorder="1" applyAlignment="1">
      <alignment vertical="center" wrapText="1"/>
    </xf>
    <xf numFmtId="0" fontId="0" fillId="37" borderId="64" xfId="0" applyFill="1" applyBorder="1" applyAlignment="1">
      <alignment horizontal="center" vertical="center" wrapText="1"/>
    </xf>
    <xf numFmtId="0" fontId="0" fillId="37" borderId="0" xfId="0" applyFill="1" applyAlignment="1">
      <alignment horizontal="center" vertical="center" wrapText="1"/>
    </xf>
    <xf numFmtId="0" fontId="0" fillId="5" borderId="56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37" borderId="0" xfId="0" applyFill="1" applyAlignment="1">
      <alignment horizontal="center" vertical="center"/>
    </xf>
    <xf numFmtId="0" fontId="0" fillId="37" borderId="0" xfId="0" applyFill="1" applyAlignment="1">
      <alignment horizontal="left" vertical="center"/>
    </xf>
    <xf numFmtId="0" fontId="0" fillId="37" borderId="55" xfId="0" applyFill="1" applyBorder="1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0" fontId="0" fillId="38" borderId="0" xfId="0" applyFill="1" applyAlignment="1">
      <alignment horizontal="left" vertical="center" wrapText="1"/>
    </xf>
    <xf numFmtId="0" fontId="0" fillId="38" borderId="0" xfId="0" applyFill="1" applyAlignment="1">
      <alignment horizontal="center" vertical="center"/>
    </xf>
    <xf numFmtId="0" fontId="0" fillId="38" borderId="54" xfId="0" applyFill="1" applyBorder="1" applyAlignment="1">
      <alignment horizontal="left" vertical="center" wrapText="1"/>
    </xf>
    <xf numFmtId="58" fontId="29" fillId="5" borderId="0" xfId="0" applyNumberFormat="1" applyFont="1" applyFill="1" applyAlignment="1">
      <alignment horizontal="left" vertical="center" wrapText="1"/>
    </xf>
    <xf numFmtId="0" fontId="29" fillId="5" borderId="15" xfId="2075" applyFont="1" applyFill="1" applyBorder="1" applyAlignment="1">
      <alignment horizontal="center" vertical="center" wrapText="1"/>
    </xf>
    <xf numFmtId="0" fontId="33" fillId="36" borderId="0" xfId="2095" applyFont="1" applyFill="1" applyAlignment="1">
      <alignment horizontal="center" vertical="center"/>
    </xf>
    <xf numFmtId="0" fontId="29" fillId="5" borderId="6" xfId="0" applyFont="1" applyFill="1" applyBorder="1" applyAlignment="1">
      <alignment horizontal="center" vertical="center" wrapText="1"/>
    </xf>
    <xf numFmtId="0" fontId="0" fillId="36" borderId="6" xfId="2075" applyFill="1" applyBorder="1" applyAlignment="1">
      <alignment horizontal="center" vertical="center" wrapText="1"/>
    </xf>
    <xf numFmtId="0" fontId="34" fillId="5" borderId="0" xfId="2095" applyFont="1" applyFill="1" applyAlignment="1">
      <alignment horizontal="left" vertical="center"/>
    </xf>
    <xf numFmtId="0" fontId="0" fillId="5" borderId="1" xfId="2075" applyFill="1" applyBorder="1" applyAlignment="1">
      <alignment horizontal="left" vertical="center" wrapText="1"/>
    </xf>
    <xf numFmtId="0" fontId="34" fillId="36" borderId="0" xfId="2095" applyFont="1" applyFill="1" applyAlignment="1">
      <alignment horizontal="left" vertical="center"/>
    </xf>
    <xf numFmtId="0" fontId="0" fillId="36" borderId="1" xfId="2075" applyFill="1" applyBorder="1" applyAlignment="1">
      <alignment horizontal="left" vertical="center" wrapText="1"/>
    </xf>
    <xf numFmtId="0" fontId="0" fillId="36" borderId="15" xfId="2075" applyFill="1" applyBorder="1" applyAlignment="1">
      <alignment horizontal="left" vertical="center" wrapText="1"/>
    </xf>
    <xf numFmtId="0" fontId="0" fillId="5" borderId="55" xfId="2075" applyFill="1" applyBorder="1" applyAlignment="1">
      <alignment horizontal="left" vertical="center" wrapText="1"/>
    </xf>
    <xf numFmtId="0" fontId="0" fillId="5" borderId="64" xfId="1260" applyFill="1" applyBorder="1" applyAlignment="1">
      <alignment horizontal="center" vertical="center" wrapText="1"/>
    </xf>
    <xf numFmtId="0" fontId="0" fillId="36" borderId="6" xfId="126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34" fillId="37" borderId="0" xfId="2095" applyFont="1" applyFill="1" applyAlignment="1">
      <alignment horizontal="left" vertical="center"/>
    </xf>
    <xf numFmtId="0" fontId="0" fillId="37" borderId="1" xfId="2075" applyFill="1" applyBorder="1" applyAlignment="1">
      <alignment horizontal="left" vertical="center" wrapText="1"/>
    </xf>
    <xf numFmtId="0" fontId="34" fillId="37" borderId="0" xfId="2095" applyFont="1" applyFill="1" applyAlignment="1">
      <alignment horizontal="center" vertical="center"/>
    </xf>
    <xf numFmtId="0" fontId="0" fillId="37" borderId="54" xfId="2075" applyFill="1" applyBorder="1" applyAlignment="1">
      <alignment horizontal="left" vertical="center" wrapText="1"/>
    </xf>
    <xf numFmtId="0" fontId="0" fillId="5" borderId="6" xfId="2075" applyFill="1" applyBorder="1" applyAlignment="1">
      <alignment horizontal="left" vertical="center" wrapText="1"/>
    </xf>
    <xf numFmtId="0" fontId="34" fillId="38" borderId="0" xfId="2095" applyFont="1" applyFill="1" applyAlignment="1">
      <alignment horizontal="left" vertical="center"/>
    </xf>
    <xf numFmtId="0" fontId="0" fillId="38" borderId="1" xfId="2075" applyFill="1" applyBorder="1" applyAlignment="1">
      <alignment horizontal="left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vertical="center" wrapText="1"/>
      <protection locked="0"/>
    </xf>
    <xf numFmtId="192" fontId="0" fillId="0" borderId="1" xfId="0" applyNumberFormat="1" applyBorder="1" applyAlignment="1" applyProtection="1">
      <alignment horizontal="center" vertical="center" wrapText="1"/>
      <protection locked="0"/>
    </xf>
    <xf numFmtId="184" fontId="0" fillId="0" borderId="1" xfId="0" applyNumberFormat="1" applyBorder="1" applyAlignment="1" applyProtection="1">
      <alignment horizontal="center" vertical="center" wrapText="1"/>
      <protection locked="0"/>
    </xf>
    <xf numFmtId="192" fontId="27" fillId="0" borderId="1" xfId="0" applyNumberFormat="1" applyFont="1" applyBorder="1" applyAlignment="1">
      <alignment horizontal="center" vertical="center" wrapText="1"/>
    </xf>
    <xf numFmtId="184" fontId="27" fillId="0" borderId="1" xfId="0" applyNumberFormat="1" applyFont="1" applyBorder="1" applyAlignment="1">
      <alignment horizontal="center" vertical="center" wrapText="1"/>
    </xf>
    <xf numFmtId="194" fontId="27" fillId="0" borderId="1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192" fontId="27" fillId="0" borderId="0" xfId="0" applyNumberFormat="1" applyFont="1" applyAlignment="1">
      <alignment horizontal="center" vertical="center" wrapText="1"/>
    </xf>
    <xf numFmtId="184" fontId="27" fillId="0" borderId="0" xfId="0" applyNumberFormat="1" applyFont="1" applyAlignment="1">
      <alignment horizontal="center" vertical="center" wrapText="1"/>
    </xf>
    <xf numFmtId="194" fontId="27" fillId="0" borderId="0" xfId="0" applyNumberFormat="1" applyFont="1" applyAlignment="1">
      <alignment horizontal="center" vertical="center" wrapText="1"/>
    </xf>
    <xf numFmtId="0" fontId="35" fillId="0" borderId="0" xfId="0" applyFont="1" applyAlignment="1">
      <alignment vertical="center" wrapText="1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8" xfId="0" applyBorder="1">
      <alignment vertical="center"/>
    </xf>
    <xf numFmtId="0" fontId="0" fillId="0" borderId="15" xfId="0" applyBorder="1" applyAlignment="1" applyProtection="1">
      <alignment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49" fontId="0" fillId="0" borderId="1" xfId="0" applyNumberFormat="1" applyBorder="1">
      <alignment vertical="center"/>
    </xf>
    <xf numFmtId="0" fontId="17" fillId="0" borderId="1" xfId="0" applyFont="1" applyBorder="1" applyAlignment="1" applyProtection="1">
      <alignment vertical="center" wrapText="1"/>
      <protection locked="0"/>
    </xf>
    <xf numFmtId="0" fontId="1" fillId="0" borderId="1" xfId="0" applyFont="1" applyBorder="1" applyAlignment="1" applyProtection="1">
      <alignment vertical="center" wrapText="1"/>
      <protection locked="0"/>
    </xf>
    <xf numFmtId="49" fontId="0" fillId="0" borderId="0" xfId="0" applyNumberFormat="1">
      <alignment vertical="center"/>
    </xf>
    <xf numFmtId="0" fontId="0" fillId="0" borderId="0" xfId="0" applyAlignment="1" applyProtection="1">
      <alignment vertical="center" wrapText="1"/>
      <protection locked="0"/>
    </xf>
    <xf numFmtId="0" fontId="0" fillId="0" borderId="0" xfId="1260" applyAlignment="1" applyProtection="1">
      <alignment vertical="center" wrapText="1"/>
      <protection locked="0"/>
    </xf>
    <xf numFmtId="0" fontId="0" fillId="0" borderId="0" xfId="1260">
      <alignment vertical="center"/>
    </xf>
    <xf numFmtId="49" fontId="0" fillId="0" borderId="0" xfId="1260" applyNumberFormat="1" applyAlignment="1" applyProtection="1">
      <alignment vertical="center" wrapText="1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39" borderId="5" xfId="0" applyFill="1" applyBorder="1" applyAlignment="1" applyProtection="1">
      <alignment horizontal="center" vertical="center" wrapText="1"/>
      <protection locked="0"/>
    </xf>
    <xf numFmtId="0" fontId="0" fillId="39" borderId="9" xfId="0" applyFill="1" applyBorder="1" applyAlignment="1" applyProtection="1">
      <alignment horizontal="center" vertical="center" wrapText="1"/>
      <protection locked="0"/>
    </xf>
    <xf numFmtId="0" fontId="0" fillId="39" borderId="14" xfId="0" applyFill="1" applyBorder="1" applyAlignment="1" applyProtection="1">
      <alignment horizontal="center" vertical="center" wrapText="1"/>
      <protection locked="0"/>
    </xf>
    <xf numFmtId="0" fontId="0" fillId="39" borderId="8" xfId="0" applyFill="1" applyBorder="1" applyAlignment="1" applyProtection="1">
      <alignment horizontal="center" vertical="center" wrapText="1"/>
      <protection locked="0"/>
    </xf>
    <xf numFmtId="0" fontId="27" fillId="0" borderId="1" xfId="0" applyFont="1" applyBorder="1" applyAlignment="1" applyProtection="1">
      <alignment horizontal="center" vertical="center" wrapText="1"/>
      <protection locked="0"/>
    </xf>
    <xf numFmtId="0" fontId="27" fillId="0" borderId="0" xfId="0" applyFont="1" applyAlignment="1" applyProtection="1">
      <alignment horizontal="center" vertical="center" wrapText="1"/>
      <protection locked="0"/>
    </xf>
    <xf numFmtId="0" fontId="0" fillId="39" borderId="1" xfId="0" applyFill="1" applyBorder="1" applyAlignment="1" applyProtection="1">
      <alignment vertical="center" wrapText="1"/>
      <protection locked="0"/>
    </xf>
    <xf numFmtId="0" fontId="17" fillId="39" borderId="1" xfId="0" applyFont="1" applyFill="1" applyBorder="1" applyAlignment="1" applyProtection="1">
      <alignment vertical="center" wrapText="1"/>
      <protection locked="0"/>
    </xf>
    <xf numFmtId="0" fontId="0" fillId="9" borderId="1" xfId="0" applyFill="1" applyBorder="1" applyAlignment="1" applyProtection="1">
      <alignment horizontal="center" vertical="center" wrapText="1"/>
      <protection locked="0"/>
    </xf>
    <xf numFmtId="0" fontId="0" fillId="40" borderId="1" xfId="0" applyFill="1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28" borderId="9" xfId="0" applyFill="1" applyBorder="1" applyAlignment="1" applyProtection="1">
      <alignment horizontal="center" vertical="center" wrapText="1"/>
      <protection locked="0"/>
    </xf>
    <xf numFmtId="0" fontId="0" fillId="28" borderId="8" xfId="0" applyFill="1" applyBorder="1" applyAlignment="1" applyProtection="1">
      <alignment horizontal="center" vertical="center" wrapText="1"/>
      <protection locked="0"/>
    </xf>
    <xf numFmtId="0" fontId="0" fillId="28" borderId="1" xfId="0" applyFill="1" applyBorder="1" applyAlignment="1" applyProtection="1">
      <alignment vertical="center" wrapText="1"/>
      <protection locked="0"/>
    </xf>
    <xf numFmtId="0" fontId="1" fillId="28" borderId="1" xfId="0" applyFont="1" applyFill="1" applyBorder="1" applyAlignment="1" applyProtection="1">
      <alignment vertical="center" wrapText="1"/>
      <protection locked="0"/>
    </xf>
    <xf numFmtId="0" fontId="0" fillId="28" borderId="9" xfId="0" applyFill="1" applyBorder="1" applyAlignment="1" applyProtection="1">
      <alignment vertical="center" wrapText="1"/>
      <protection locked="0"/>
    </xf>
    <xf numFmtId="0" fontId="36" fillId="0" borderId="1" xfId="0" applyFont="1" applyBorder="1" applyAlignment="1" applyProtection="1">
      <alignment vertical="center" wrapText="1"/>
      <protection locked="0"/>
    </xf>
    <xf numFmtId="186" fontId="1" fillId="28" borderId="1" xfId="0" applyNumberFormat="1" applyFont="1" applyFill="1" applyBorder="1" applyAlignment="1" applyProtection="1">
      <alignment vertical="center" wrapText="1"/>
      <protection locked="0"/>
    </xf>
    <xf numFmtId="0" fontId="36" fillId="28" borderId="9" xfId="0" applyFont="1" applyFill="1" applyBorder="1" applyAlignment="1" applyProtection="1">
      <alignment vertical="center" wrapText="1"/>
      <protection locked="0"/>
    </xf>
    <xf numFmtId="186" fontId="0" fillId="9" borderId="1" xfId="0" applyNumberFormat="1" applyFill="1" applyBorder="1" applyAlignment="1" applyProtection="1">
      <alignment vertical="center" wrapText="1"/>
      <protection locked="0"/>
    </xf>
    <xf numFmtId="0" fontId="0" fillId="9" borderId="1" xfId="0" applyFill="1" applyBorder="1" applyAlignment="1" applyProtection="1">
      <alignment vertical="center" wrapText="1"/>
      <protection locked="0"/>
    </xf>
    <xf numFmtId="0" fontId="0" fillId="40" borderId="1" xfId="0" applyFill="1" applyBorder="1" applyAlignment="1" applyProtection="1">
      <alignment vertical="center" wrapText="1"/>
      <protection locked="0"/>
    </xf>
  </cellXfs>
  <cellStyles count="55897">
    <cellStyle name="常规" xfId="0" builtinId="0"/>
    <cellStyle name="输出 2 6 15 5" xfId="1"/>
    <cellStyle name="汇总 2 5 5 2" xfId="2"/>
    <cellStyle name="计算 2 10 9 4 2 2" xfId="3"/>
    <cellStyle name="货币[0]" xfId="4" builtinId="7"/>
    <cellStyle name="汇总 2 16 4 5" xfId="5"/>
    <cellStyle name="输入 2 7 2 8 5" xfId="6"/>
    <cellStyle name="汇总 2 10 4 5 6" xfId="7"/>
    <cellStyle name="注释 2 6 8 7 3" xfId="8"/>
    <cellStyle name="20% - 强调文字颜色 3" xfId="9" builtinId="38"/>
    <cellStyle name="汇总 2 8 8 7 3 2" xfId="10"/>
    <cellStyle name="汇总 2 12 3 2" xfId="11"/>
    <cellStyle name="汇总 2 11 4 6 2 2" xfId="12"/>
    <cellStyle name="输出 2 6 5 7 5 2" xfId="13"/>
    <cellStyle name="汇总 2 10 11 6 5 2" xfId="14"/>
    <cellStyle name="汇总 2 11 5 10" xfId="15"/>
    <cellStyle name="输出 2 8 8 3 4 2" xfId="16"/>
    <cellStyle name="汇总 2 10 7 3 5" xfId="17"/>
    <cellStyle name="计算 2 9 11 7 4" xfId="18"/>
    <cellStyle name="汇总 2 2 5 14" xfId="19"/>
    <cellStyle name="输出 2 6 3 8" xfId="20"/>
    <cellStyle name="20% - 强调文字颜色 1 2" xfId="21"/>
    <cellStyle name="输入 2 6 2 2 4" xfId="22"/>
    <cellStyle name="汇总 2 12 3 15" xfId="23"/>
    <cellStyle name="输入" xfId="24" builtinId="20"/>
    <cellStyle name="货币" xfId="25" builtinId="4"/>
    <cellStyle name="注释 2 9 10 6" xfId="26"/>
    <cellStyle name="计算 2 10 6 6 5" xfId="27"/>
    <cellStyle name="计算 2 9 14" xfId="28"/>
    <cellStyle name="输出 2 9 11 4 4 2" xfId="29"/>
    <cellStyle name="计算 2 10 10 3 5" xfId="30"/>
    <cellStyle name="汇总 2 11 3 8 3" xfId="31"/>
    <cellStyle name="计算 2 12 2 3 2" xfId="32"/>
    <cellStyle name="常规 39" xfId="33"/>
    <cellStyle name="常规 44" xfId="34"/>
    <cellStyle name="检查单元格 2 5 3 3 4 2" xfId="35"/>
    <cellStyle name="注释 2 7 8 4 5" xfId="36"/>
    <cellStyle name="汇总 2 6 10 3 6" xfId="37"/>
    <cellStyle name="汇总 2 10 6 5 4" xfId="38"/>
    <cellStyle name="计算 2 5 10 8" xfId="39"/>
    <cellStyle name="汇总 2 10 9 11" xfId="40"/>
    <cellStyle name="汇总 2 2 7 3" xfId="41"/>
    <cellStyle name="输出 2 4 3 4 4 2" xfId="42"/>
    <cellStyle name="汇总 2 6 6 4 2 2" xfId="43"/>
    <cellStyle name="汇总 2 13 6 6" xfId="44"/>
    <cellStyle name="注释 2 10 16 2 2" xfId="45"/>
    <cellStyle name="汇总 2 10 10 8 4 2" xfId="46"/>
    <cellStyle name="计算 2 9 9 8 2 2" xfId="47"/>
    <cellStyle name="汇总 2 2 9 2 7" xfId="48"/>
    <cellStyle name="注释 2 3 2 12" xfId="49"/>
    <cellStyle name="计算 2 7 8 3 4" xfId="50"/>
    <cellStyle name="注释 2 4 7 5" xfId="51"/>
    <cellStyle name="注释 2 2 6 3 3 2" xfId="52"/>
    <cellStyle name="计算 2 12 9 3 3" xfId="53"/>
    <cellStyle name="千位分隔[0]" xfId="54" builtinId="6"/>
    <cellStyle name="输出 2 7 4 5 3" xfId="55"/>
    <cellStyle name="注释 2 2 14 5 2" xfId="56"/>
    <cellStyle name="计算 2 7 4 7 6" xfId="57"/>
    <cellStyle name="输出 2 3 5 5 4 2" xfId="58"/>
    <cellStyle name="汇总 2 10 7 7 3" xfId="59"/>
    <cellStyle name="输出 2 6 10 4" xfId="60"/>
    <cellStyle name="输入 2 3 3 3 5 2" xfId="61"/>
    <cellStyle name="输出 2 9 10 8 3 2" xfId="62"/>
    <cellStyle name="汇总 2 5 8 5 2 2" xfId="63"/>
    <cellStyle name="注释 2 3 12 2 2" xfId="64"/>
    <cellStyle name="计算 2 10 11 9" xfId="65"/>
    <cellStyle name="汇总 2 14 8 5" xfId="66"/>
    <cellStyle name="汇总 2 11 6 4 4 2" xfId="67"/>
    <cellStyle name="计算 2 8 10 7 4" xfId="68"/>
    <cellStyle name="常规 2 26" xfId="69"/>
    <cellStyle name="汇总 2 3 9 2" xfId="70"/>
    <cellStyle name="计算 2 6 11 6 6" xfId="71"/>
    <cellStyle name="汇总 2 10 11 3 2 2" xfId="72"/>
    <cellStyle name="汇总 2 12 4 10 2" xfId="73"/>
    <cellStyle name="40% - 强调文字颜色 3" xfId="74" builtinId="39"/>
    <cellStyle name="注释 2 7 14 4 2" xfId="75"/>
    <cellStyle name="汇总 2 12 9 11" xfId="76"/>
    <cellStyle name="计算 2 7 10 8" xfId="77"/>
    <cellStyle name="输出 2 4 5 5 3 2" xfId="78"/>
    <cellStyle name="汇总 2 3 2 7 2" xfId="79"/>
    <cellStyle name="检查单元格 2 9 15" xfId="80"/>
    <cellStyle name="检查单元格 2 9 20" xfId="81"/>
    <cellStyle name="注释 2 10 10 4" xfId="82"/>
    <cellStyle name="汇总 2 10 10 2 6" xfId="83"/>
    <cellStyle name="计算 2 9 9 2 4" xfId="84"/>
    <cellStyle name="汇总 2 7 9 6" xfId="85"/>
    <cellStyle name="输出 2 10 9 2 5 2" xfId="86"/>
    <cellStyle name="差" xfId="87" builtinId="27"/>
    <cellStyle name="注释 2 3 2 5" xfId="88"/>
    <cellStyle name="计算 2 10 6 12 2" xfId="89"/>
    <cellStyle name="计算 2 4 14 3" xfId="90"/>
    <cellStyle name="注释 2 5 3 4 4 2" xfId="91"/>
    <cellStyle name="汇总 2 11 9 3 4" xfId="92"/>
    <cellStyle name="计算 2 5 3 11 2" xfId="93"/>
    <cellStyle name="计算 2 6 10 14" xfId="94"/>
    <cellStyle name="计算 2 12 5 7 3 2" xfId="95"/>
    <cellStyle name="汇总 2 10 7 2 8" xfId="96"/>
    <cellStyle name="注释 2 9 7 5 3 2" xfId="97"/>
    <cellStyle name="汇总 2 10 14 2 2" xfId="98"/>
    <cellStyle name="输出 2 7 7 7 6" xfId="99"/>
    <cellStyle name="汇总 2 12 6 6 3" xfId="100"/>
    <cellStyle name="计算 2 5 3 3 3 2" xfId="101"/>
    <cellStyle name="输入 2 7 9 11 2" xfId="102"/>
    <cellStyle name="计算 2 9 3 6 6" xfId="103"/>
    <cellStyle name="输出 2 3 7 4 3 2" xfId="104"/>
    <cellStyle name="输入 2 3 5 2 4 2" xfId="105"/>
    <cellStyle name="汇总 2 11 10 8 3" xfId="106"/>
    <cellStyle name="千位分隔" xfId="107" builtinId="3"/>
    <cellStyle name="计算 2 5 11 3 6" xfId="108"/>
    <cellStyle name="检查单元格 2 7 3 4 5" xfId="109"/>
    <cellStyle name="计算 2 10 4 2 3 2" xfId="110"/>
    <cellStyle name="检查单元格 2 10 3 3 2 2" xfId="111"/>
    <cellStyle name="汇总 2 7 5 5 5 2" xfId="112"/>
    <cellStyle name="60% - 强调文字颜色 3" xfId="113" builtinId="40"/>
    <cellStyle name="输入 2 6 5 16" xfId="114"/>
    <cellStyle name="输入 2 7 10 4 6" xfId="115"/>
    <cellStyle name="计算 2 2 10 7 4" xfId="116"/>
    <cellStyle name="输出 2 16 7 5 2" xfId="117"/>
    <cellStyle name="注释 2 6 9 7 4 2" xfId="118"/>
    <cellStyle name="输出 2 8 4 4 5" xfId="119"/>
    <cellStyle name="汇总 2 13 3 3 2" xfId="120"/>
    <cellStyle name="汇总 2 11 7 6 5" xfId="121"/>
    <cellStyle name="超链接" xfId="122" builtinId="8"/>
    <cellStyle name="输入 2 10 7 7 5 2" xfId="123"/>
    <cellStyle name="注释 2 2 8 4 6" xfId="124"/>
    <cellStyle name="汇总 2 5 3 6 2" xfId="125"/>
    <cellStyle name="输入 2 4 5 4 3 2" xfId="126"/>
    <cellStyle name="检查单元格 2 4 2 7" xfId="127"/>
    <cellStyle name="计算 2 6 3 5 2 2" xfId="128"/>
    <cellStyle name="汇总 2 6 16 5 2" xfId="129"/>
    <cellStyle name="输出 2 4 7 6 2 2" xfId="130"/>
    <cellStyle name="汇总 2 12 3 7 5 2" xfId="131"/>
    <cellStyle name="计算 2 8 4 11" xfId="132"/>
    <cellStyle name="汇总 2 3 10 8 2 2" xfId="133"/>
    <cellStyle name="输出 2 6 8 16" xfId="134"/>
    <cellStyle name="汇总 2 2 6" xfId="135"/>
    <cellStyle name="汇总 2 10 11 3 4 2" xfId="136"/>
    <cellStyle name="注释 2 7 2 12" xfId="137"/>
    <cellStyle name="计算 2 8 3 3 4" xfId="138"/>
    <cellStyle name="汇总 2 3 4 2 7" xfId="139"/>
    <cellStyle name="检查单元格 2 7 9 5" xfId="140"/>
    <cellStyle name="输出 2 6 7 4 4" xfId="141"/>
    <cellStyle name="百分比" xfId="142" builtinId="5"/>
    <cellStyle name="汇总 2 12 8 4 3 2" xfId="143"/>
    <cellStyle name="检查单元格 2 10 2 5 5" xfId="144"/>
    <cellStyle name="计算 2 3 4 7 4" xfId="145"/>
    <cellStyle name="计算 2 10 3 4 6" xfId="146"/>
    <cellStyle name="输出 2 12 5 8 3 2" xfId="147"/>
    <cellStyle name="注释 2 11 2 7 3 2" xfId="148"/>
    <cellStyle name="输入 2 6 4 3 5" xfId="149"/>
    <cellStyle name="汇总 2 8 9 5 2" xfId="150"/>
    <cellStyle name="汇总 2 10 11 2 5 2" xfId="151"/>
    <cellStyle name="计算 2 12 9 6 3" xfId="152"/>
    <cellStyle name="已访问的超链接" xfId="153" builtinId="9"/>
    <cellStyle name="输出 2 6 11 8 2 2" xfId="154"/>
    <cellStyle name="汇总 2 11 7 4 6" xfId="155"/>
    <cellStyle name="输入 2 8 10 2 5" xfId="156"/>
    <cellStyle name="计算 2 3 10 5 3" xfId="157"/>
    <cellStyle name="注释" xfId="158" builtinId="10"/>
    <cellStyle name="汇总 2 2 11 3 5 2" xfId="159"/>
    <cellStyle name="计算 2 12 3 4 6" xfId="160"/>
    <cellStyle name="计算 2 5 4 7 4" xfId="161"/>
    <cellStyle name="输出 2 12 7 8 3 2" xfId="162"/>
    <cellStyle name="输出 2 11 8 2 3" xfId="163"/>
    <cellStyle name="输出 2 3 8 8 4" xfId="164"/>
    <cellStyle name="输入 2 7 17 3 2" xfId="165"/>
    <cellStyle name="输入 2 3 6 6 5" xfId="166"/>
    <cellStyle name="汇总 2 4 10 4 3 2" xfId="167"/>
    <cellStyle name="输入 2 6 7 16" xfId="168"/>
    <cellStyle name="汇总 2 15 8" xfId="169"/>
    <cellStyle name="注释 2 9 11 7 2 2" xfId="170"/>
    <cellStyle name="60% - 强调文字颜色 2 3" xfId="171"/>
    <cellStyle name="注释 2 4 7 5 6" xfId="172"/>
    <cellStyle name="汇总 2 7 2 7 2" xfId="173"/>
    <cellStyle name="常规 6" xfId="174"/>
    <cellStyle name="输入 2 6 17 5 2" xfId="175"/>
    <cellStyle name="汇总 2 12 5 4 5 2" xfId="176"/>
    <cellStyle name="注释 2 7 2 6 2 2" xfId="177"/>
    <cellStyle name="计算 2 4 9 5 5 2" xfId="178"/>
    <cellStyle name="60% - 强调文字颜色 2" xfId="179" builtinId="36"/>
    <cellStyle name="输入 2 6 5 15" xfId="180"/>
    <cellStyle name="输入 2 7 10 4 5" xfId="181"/>
    <cellStyle name="计算 2 2 10 7 3" xfId="182"/>
    <cellStyle name="汇总 2 11 7 6 4" xfId="183"/>
    <cellStyle name="输入 2 5 4 4 2 2" xfId="184"/>
    <cellStyle name="计算 2 2 8 10 2" xfId="185"/>
    <cellStyle name="汇总 2 9 5 3 6" xfId="186"/>
    <cellStyle name="汇总 2 2 3 4 4 2" xfId="187"/>
    <cellStyle name="计算 2 4 5 3 5" xfId="188"/>
    <cellStyle name="输出 2 2 9 4 5" xfId="189"/>
    <cellStyle name="汇总 2 10 12 5 2" xfId="190"/>
    <cellStyle name="输入 2 10 5 2 5" xfId="191"/>
    <cellStyle name="汇总 2 8 11 12 2" xfId="192"/>
    <cellStyle name="注释 2 5 2 7 5" xfId="193"/>
    <cellStyle name="汇总 2 10 4 15" xfId="194"/>
    <cellStyle name="汇总 2 3 9 5 6" xfId="195"/>
    <cellStyle name="计算 2 8 8 6 3" xfId="196"/>
    <cellStyle name="标题 4" xfId="197" builtinId="19"/>
    <cellStyle name="汇总 2 11 7 3 5 2" xfId="198"/>
    <cellStyle name="汇总 2 5 5 2 3" xfId="199"/>
    <cellStyle name="输出 2 12 8 14" xfId="200"/>
    <cellStyle name="注释 2 5 2 2 2" xfId="201"/>
    <cellStyle name="汇总 2 10 3 12" xfId="202"/>
    <cellStyle name="汇总 2 10 8 7 3" xfId="203"/>
    <cellStyle name="注释 2 2 15 5 2" xfId="204"/>
    <cellStyle name="计算 2 7 5 7 6" xfId="205"/>
    <cellStyle name="输出 2 3 5 6 4 2" xfId="206"/>
    <cellStyle name="输入 2 3 3 4 5 2" xfId="207"/>
    <cellStyle name="汇总 2 5 8 6 2 2" xfId="208"/>
    <cellStyle name="检查单元格 2 9 2 7 2" xfId="209"/>
    <cellStyle name="警告文本" xfId="210" builtinId="11"/>
    <cellStyle name="计算 2 4 4 2 5 2" xfId="211"/>
    <cellStyle name="检查单元格 2 8 7 5" xfId="212"/>
    <cellStyle name="输出 2 2 8 3 5 2" xfId="213"/>
    <cellStyle name="输出 2 6 8 2 4" xfId="214"/>
    <cellStyle name="汇总 2 10 11 4 2 2" xfId="215"/>
    <cellStyle name="输入 2 6 11 9" xfId="216"/>
    <cellStyle name="汇总 2 12 6 15" xfId="217"/>
    <cellStyle name="标题" xfId="218" builtinId="15"/>
    <cellStyle name="注释 2 5 11 2 4 2" xfId="219"/>
    <cellStyle name="汇总 2 2 11 6 3 2" xfId="220"/>
    <cellStyle name="检查单元格 2 3 12 4 2" xfId="221"/>
    <cellStyle name="解释性文本" xfId="222" builtinId="53"/>
    <cellStyle name="计算 2 9 7 7 4 2" xfId="223"/>
    <cellStyle name="输入 2 7 9 6 5 2" xfId="224"/>
    <cellStyle name="计算 2 12 6 2 6" xfId="225"/>
    <cellStyle name="计算 2 5 7 5 4" xfId="226"/>
    <cellStyle name="汇总 2 11 11 2 3 2" xfId="227"/>
    <cellStyle name="计算 2 3 11 8" xfId="228"/>
    <cellStyle name="输出 2 12 4 4 3 2" xfId="229"/>
    <cellStyle name="输出 2 4 26" xfId="230"/>
    <cellStyle name="汇总 2 2 7 8 2" xfId="231"/>
    <cellStyle name="汇总 2 11 10 3 5" xfId="232"/>
    <cellStyle name="输出 2 12 3 5 5" xfId="233"/>
    <cellStyle name="汇总 2 10 17 4 2" xfId="234"/>
    <cellStyle name="注释 2 4 5 15" xfId="235"/>
    <cellStyle name="输出 2 3 10 6 2" xfId="236"/>
    <cellStyle name="汇总 2 3 13 2 2" xfId="237"/>
    <cellStyle name="标题 1" xfId="238" builtinId="16"/>
    <cellStyle name="汇总 2 8 2 4 6" xfId="239"/>
    <cellStyle name="输出 2 5 5 3 2 2" xfId="240"/>
    <cellStyle name="计算 2 3 2 4 5" xfId="241"/>
    <cellStyle name="输入 2 11 5 4 5 2" xfId="242"/>
    <cellStyle name="汇总 2 3 9 5 3" xfId="243"/>
    <cellStyle name="输入 2 6 11 9 2" xfId="244"/>
    <cellStyle name="计算 2 3 2 4 6" xfId="245"/>
    <cellStyle name="汇总 2 3 9 5 4" xfId="246"/>
    <cellStyle name="标题 2" xfId="247" builtinId="17"/>
    <cellStyle name="60% - 强调文字颜色 1" xfId="248" builtinId="32"/>
    <cellStyle name="输入 2 6 5 14" xfId="249"/>
    <cellStyle name="输入 2 7 10 4 4" xfId="250"/>
    <cellStyle name="计算 2 2 10 7 2" xfId="251"/>
    <cellStyle name="检查单元格 2 5 5 9" xfId="252"/>
    <cellStyle name="计算 2 8 4 6 6" xfId="253"/>
    <cellStyle name="输出 2 3 6 5 3 2" xfId="254"/>
    <cellStyle name="汇总 2 11 7 6 3" xfId="255"/>
    <cellStyle name="计算 2 5 2 4 3 2" xfId="256"/>
    <cellStyle name="输出 2 6 8 7 6" xfId="257"/>
    <cellStyle name="标题 3" xfId="258" builtinId="18"/>
    <cellStyle name="汇总 2 16 4 5 2" xfId="259"/>
    <cellStyle name="计算 2 11 6 7 3 2" xfId="260"/>
    <cellStyle name="汇总 2 3 9 5 5" xfId="261"/>
    <cellStyle name="计算 2 8 8 6 2" xfId="262"/>
    <cellStyle name="60% - 强调文字颜色 4" xfId="263" builtinId="44"/>
    <cellStyle name="计算 2 2 10 7 5" xfId="264"/>
    <cellStyle name="注释 2 6 4 8 3" xfId="265"/>
    <cellStyle name="汇总 2 8 8 3 4 2" xfId="266"/>
    <cellStyle name="汇总 2 11 4 2 3 2" xfId="267"/>
    <cellStyle name="计算 2 3 8 3 3 2" xfId="268"/>
    <cellStyle name="汇总 2 11 7 6 6" xfId="269"/>
    <cellStyle name="汇总 2 9 7 2 5 2" xfId="270"/>
    <cellStyle name="输出" xfId="271" builtinId="21"/>
    <cellStyle name="注释 2 9 11 2" xfId="272"/>
    <cellStyle name="汇总 2 10 6 2 5 2" xfId="273"/>
    <cellStyle name="计算" xfId="274" builtinId="22"/>
    <cellStyle name="输入 2 2 7 12 2" xfId="275"/>
    <cellStyle name="输出 2 9 11 15" xfId="276"/>
    <cellStyle name="输出 2 13 3 2" xfId="277"/>
    <cellStyle name="汇总 2 12 4 10" xfId="278"/>
    <cellStyle name="汇总 2 6 9 5" xfId="279"/>
    <cellStyle name="常规 26" xfId="280"/>
    <cellStyle name="常规 31" xfId="281"/>
    <cellStyle name="计算 2 9 8 2 3" xfId="282"/>
    <cellStyle name="40% - 强调文字颜色 4 2" xfId="283"/>
    <cellStyle name="计算 2 5 3 2 9" xfId="284"/>
    <cellStyle name="检查单元格" xfId="285" builtinId="23"/>
    <cellStyle name="汇总 2 11 19 3 2" xfId="286"/>
    <cellStyle name="输出 2 4 12 5 2" xfId="287"/>
    <cellStyle name="常规 18 4 2 2" xfId="288"/>
    <cellStyle name="输出 2 14 3 4 2" xfId="289"/>
    <cellStyle name="20% - 强调文字颜色 6" xfId="290" builtinId="50"/>
    <cellStyle name="注释 2 6 8 7 6" xfId="291"/>
    <cellStyle name="汇总 2 9 3 9 2" xfId="292"/>
    <cellStyle name="汇总 2 12 3 5" xfId="293"/>
    <cellStyle name="汇总 2 7 9 3 4" xfId="294"/>
    <cellStyle name="输出 2 10 2 6 3" xfId="295"/>
    <cellStyle name="计算 2 7 2 2 6" xfId="296"/>
    <cellStyle name="输出 2 3 10 13" xfId="297"/>
    <cellStyle name="汇总 2 10 5 2 3" xfId="298"/>
    <cellStyle name="输出 2 5 6 3 6" xfId="299"/>
    <cellStyle name="计算 2 5 10 6 5" xfId="300"/>
    <cellStyle name="强调文字颜色 2" xfId="301" builtinId="33"/>
    <cellStyle name="计算 2 11 13 3" xfId="302"/>
    <cellStyle name="输入 2 5 3 3 6" xfId="303"/>
    <cellStyle name="输入 2 11 9 3 5 2" xfId="304"/>
    <cellStyle name="输入 2 10 17 2 2" xfId="305"/>
    <cellStyle name="汇总 2 7 8 5 3" xfId="306"/>
    <cellStyle name="注释 2 17 3 2 2" xfId="307"/>
    <cellStyle name="汇总 2 10 4 4 2" xfId="308"/>
    <cellStyle name="输出 2 5 5 5 5" xfId="309"/>
    <cellStyle name="计算 2 10 15 6" xfId="310"/>
    <cellStyle name="汇总 2 7 3 7 6" xfId="311"/>
    <cellStyle name="汇总 2 10 3 3 2 2" xfId="312"/>
    <cellStyle name="输出 2 5 4 4 5 2" xfId="313"/>
    <cellStyle name="汇总 2 7 7 4 3 2" xfId="314"/>
    <cellStyle name="注释 2 18 4 2" xfId="315"/>
    <cellStyle name="汇总 2 11 5 4" xfId="316"/>
    <cellStyle name="计算 2 12 13 4 2" xfId="317"/>
    <cellStyle name="输入 2 2 6 12 2" xfId="318"/>
    <cellStyle name="检查单元格 2 9 3 4 2 2" xfId="319"/>
    <cellStyle name="输出 2 10 6 8 3 2" xfId="320"/>
    <cellStyle name="汇总 2 10 9 4 3 2" xfId="321"/>
    <cellStyle name="链接单元格" xfId="322" builtinId="24"/>
    <cellStyle name="汇总 2 11 7 8 2" xfId="323"/>
    <cellStyle name="注释 2 7 8 13" xfId="324"/>
    <cellStyle name="计算 2 8 4 8 5" xfId="325"/>
    <cellStyle name="汇总" xfId="326" builtinId="25"/>
    <cellStyle name="输出 2 17 11" xfId="327"/>
    <cellStyle name="好" xfId="328" builtinId="26"/>
    <cellStyle name="注释 2 9 7 4 3 2" xfId="329"/>
    <cellStyle name="汇总 2 10 13 2 2" xfId="330"/>
    <cellStyle name="输出 2 7 19 5" xfId="331"/>
    <cellStyle name="注释 2 6 11 2 3" xfId="332"/>
    <cellStyle name="计算 2 12 5 6 3 2" xfId="333"/>
    <cellStyle name="输入 2 3 8 8 2 2" xfId="334"/>
    <cellStyle name="汇总 2 10 6 2 8" xfId="335"/>
    <cellStyle name="汇总 2 2 3 6 2" xfId="336"/>
    <cellStyle name="注释 2 9 7 5 4" xfId="337"/>
    <cellStyle name="汇总 2 10 14 3" xfId="338"/>
    <cellStyle name="输入 2 11 6 9 2" xfId="339"/>
    <cellStyle name="检查单元格 2 3 5 2 8" xfId="340"/>
    <cellStyle name="汇总 2 9 7 3 4" xfId="341"/>
    <cellStyle name="输出 2 7 4 3 6" xfId="342"/>
    <cellStyle name="汇总 2 12 3 2 3" xfId="343"/>
    <cellStyle name="20% - 强调文字颜色 3 3" xfId="344"/>
    <cellStyle name="注释 2 5 4 7 3" xfId="345"/>
    <cellStyle name="汇总 2 8 7 3 3 2" xfId="346"/>
    <cellStyle name="汇总 2 11 3 2 2 2" xfId="347"/>
    <cellStyle name="输出 2 6 4 3 5 2" xfId="348"/>
    <cellStyle name="计算 2 3 7 3 2 2" xfId="349"/>
    <cellStyle name="汇总 2 10 7 5 6" xfId="350"/>
    <cellStyle name="汇总 2 6 11 3" xfId="351"/>
    <cellStyle name="适中" xfId="352" builtinId="28"/>
    <cellStyle name="输入 2 7 4 2 2 2" xfId="353"/>
    <cellStyle name="汇总 2 4 3 2 4 2" xfId="354"/>
    <cellStyle name="输出 2 8 6 4 2" xfId="355"/>
    <cellStyle name="汇总 2 5 3 2 5" xfId="356"/>
    <cellStyle name="汇总 2 11 9 6 2" xfId="357"/>
    <cellStyle name="计算 2 8 6 6 5" xfId="358"/>
    <cellStyle name="计算 2 11 17 5 2" xfId="359"/>
    <cellStyle name="汇总 2 11 4 8 5" xfId="360"/>
    <cellStyle name="汇总 2 14 6" xfId="361"/>
    <cellStyle name="汇总 2 10 4 8 4 2" xfId="362"/>
    <cellStyle name="20% - 强调文字颜色 5" xfId="363" builtinId="46"/>
    <cellStyle name="注释 2 6 8 7 5" xfId="364"/>
    <cellStyle name="汇总 2 12 3 4" xfId="365"/>
    <cellStyle name="输入 2 11 9 4 3 2" xfId="366"/>
    <cellStyle name="汇总 2 7 9 3 3" xfId="367"/>
    <cellStyle name="输出 2 10 2 6 2" xfId="368"/>
    <cellStyle name="计算 2 7 2 2 5" xfId="369"/>
    <cellStyle name="输出 2 3 10 12" xfId="370"/>
    <cellStyle name="汇总 2 10 5 2 2" xfId="371"/>
    <cellStyle name="输出 2 5 6 3 5" xfId="372"/>
    <cellStyle name="计算 2 5 10 6 4" xfId="373"/>
    <cellStyle name="强调文字颜色 1" xfId="374" builtinId="29"/>
    <cellStyle name="汇总 2 10 11 6 5" xfId="375"/>
    <cellStyle name="输入 2 8 9 10 2" xfId="376"/>
    <cellStyle name="汇总 2 2 14 5 2" xfId="377"/>
    <cellStyle name="注释 2 2 4 6 2" xfId="378"/>
    <cellStyle name="计算 2 5 8 3 2 2" xfId="379"/>
    <cellStyle name="汇总 2 11 7 14" xfId="380"/>
    <cellStyle name="输出 2 2 11 9 2" xfId="381"/>
    <cellStyle name="汇总 2 11 8 5 5 2" xfId="382"/>
    <cellStyle name="输入 2 11 8 2 2 2" xfId="383"/>
    <cellStyle name="汇总 2 6 7 2 3" xfId="384"/>
    <cellStyle name="汇总 2 9 9 2 6" xfId="385"/>
    <cellStyle name="汇总 2 2 3 8 3 2" xfId="386"/>
    <cellStyle name="输出 2 12 11 6" xfId="387"/>
    <cellStyle name="输出 2 12 2 5 5" xfId="388"/>
    <cellStyle name="注释 2 7 2 3 2" xfId="389"/>
    <cellStyle name="计算 2 4 9 2 5" xfId="390"/>
    <cellStyle name="汇总 2 3 12 2 2" xfId="391"/>
    <cellStyle name="注释 2 9 7 7 5 2" xfId="392"/>
    <cellStyle name="汇总 2 10 16 4 2" xfId="393"/>
    <cellStyle name="20% - 强调文字颜色 1" xfId="394" builtinId="30"/>
    <cellStyle name="注释 2 5 12" xfId="395"/>
    <cellStyle name="计算 2 7 2 6 5 2" xfId="396"/>
    <cellStyle name="汇总 2 9 6 7 6" xfId="397"/>
    <cellStyle name="汇总 2 10 5 6 2 2" xfId="398"/>
    <cellStyle name="输出 2 5 6 7 5 2" xfId="399"/>
    <cellStyle name="汇总 2 7 9 7 3 2" xfId="400"/>
    <cellStyle name="注释 2 10 10 5 3 2" xfId="401"/>
    <cellStyle name="汇总 2 12 2 6 5" xfId="402"/>
    <cellStyle name="输入 2 12 2 3 2" xfId="403"/>
    <cellStyle name="输入 2 11 11 3 5 2" xfId="404"/>
    <cellStyle name="计算 2 2 9 7 2 2" xfId="405"/>
    <cellStyle name="40% - 强调文字颜色 1" xfId="406" builtinId="31"/>
    <cellStyle name="输入 2 2 8 6 6" xfId="407"/>
    <cellStyle name="计算 2 4 6 7 5" xfId="408"/>
    <cellStyle name="汇总 2 7 9 4" xfId="409"/>
    <cellStyle name="注释 2 10 10 2" xfId="410"/>
    <cellStyle name="汇总 2 10 10 2 4" xfId="411"/>
    <cellStyle name="计算 2 9 9 2 2" xfId="412"/>
    <cellStyle name="20% - 强调文字颜色 2" xfId="413" builtinId="34"/>
    <cellStyle name="注释 2 6 8 7 2" xfId="414"/>
    <cellStyle name="计算 2 4 11 4 5 2" xfId="415"/>
    <cellStyle name="检查单元格 2 2 3 5 4 2" xfId="416"/>
    <cellStyle name="计算 2 2 2 2 5 2" xfId="417"/>
    <cellStyle name="注释 2 5 4 6" xfId="418"/>
    <cellStyle name="汇总 2 2 9 3 3 2" xfId="419"/>
    <cellStyle name="输出 2 8 8 3 5" xfId="420"/>
    <cellStyle name="汇总 2 13 7 2 2" xfId="421"/>
    <cellStyle name="汇总 2 6 10" xfId="422"/>
    <cellStyle name="汇总 2 10 11 6 6" xfId="423"/>
    <cellStyle name="注释 2 2 4 6 3" xfId="424"/>
    <cellStyle name="汇总 2 8 4 3 2 2" xfId="425"/>
    <cellStyle name="汇总 2 11 7 15" xfId="426"/>
    <cellStyle name="汇总 2 12 2 6 6" xfId="427"/>
    <cellStyle name="汇总 2 7 11 5 5 2" xfId="428"/>
    <cellStyle name="40% - 强调文字颜色 2" xfId="429" builtinId="35"/>
    <cellStyle name="检查单元格 2 6 3 7 2" xfId="430"/>
    <cellStyle name="汇总 2 5 5 7 2 2" xfId="431"/>
    <cellStyle name="输入 2 12 2 3 3" xfId="432"/>
    <cellStyle name="输入 2 7 11 2 2 2" xfId="433"/>
    <cellStyle name="输出 2 3 2 7 4 2" xfId="434"/>
    <cellStyle name="汇总 2 9 10 6 3 2" xfId="435"/>
    <cellStyle name="计算 2 4 6 7 6" xfId="436"/>
    <cellStyle name="汇总 2 12 9 10" xfId="437"/>
    <cellStyle name="计算 2 7 10 7" xfId="438"/>
    <cellStyle name="汇总 2 7 9 5" xfId="439"/>
    <cellStyle name="注释 2 10 10 3" xfId="440"/>
    <cellStyle name="输入 2 13 10 2" xfId="441"/>
    <cellStyle name="汇总 2 10 10 2 5" xfId="442"/>
    <cellStyle name="计算 2 9 9 2 3" xfId="443"/>
    <cellStyle name="计算 2 5 10 6 6" xfId="444"/>
    <cellStyle name="强调文字颜色 3" xfId="445" builtinId="37"/>
    <cellStyle name="输出 2 3 4 6" xfId="446"/>
    <cellStyle name="输出 2 11 9 2 8" xfId="447"/>
    <cellStyle name="检查单元格 2 10 3 2 5 2" xfId="448"/>
    <cellStyle name="计算 2 3 5 4 4 2" xfId="449"/>
    <cellStyle name="输出 2 5 5 5 6" xfId="450"/>
    <cellStyle name="汇总 2 10 4 4 3" xfId="451"/>
    <cellStyle name="汇总 2 7 8 5 4" xfId="452"/>
    <cellStyle name="计算 2 11 13 4" xfId="453"/>
    <cellStyle name="强调文字颜色 4" xfId="454" builtinId="41"/>
    <cellStyle name="汇总 2 10 4 4 4" xfId="455"/>
    <cellStyle name="汇总 2 7 8 5 5" xfId="456"/>
    <cellStyle name="计算 2 11 13 5" xfId="457"/>
    <cellStyle name="汇总 2 11 5 6" xfId="458"/>
    <cellStyle name="汇总 2 11 2 12 2" xfId="459"/>
    <cellStyle name="汇总 2 10 10 6 3 2" xfId="460"/>
    <cellStyle name="计算 2 12 11 2" xfId="461"/>
    <cellStyle name="计算 2 7 6 2 4" xfId="462"/>
    <cellStyle name="计算 2 3 9 7" xfId="463"/>
    <cellStyle name="汇总 2 4 6 5 2" xfId="464"/>
    <cellStyle name="汇总 2 10 7 10" xfId="465"/>
    <cellStyle name="输入 2 4 16 4" xfId="466"/>
    <cellStyle name="20% - 强调文字颜色 4" xfId="467" builtinId="42"/>
    <cellStyle name="汇总 2 12 3 3" xfId="468"/>
    <cellStyle name="注释 2 6 8 7 4" xfId="469"/>
    <cellStyle name="汇总 2 6 4 7 2 2" xfId="470"/>
    <cellStyle name="计算 2 3 7 10" xfId="471"/>
    <cellStyle name="计算 2 4 7 4" xfId="472"/>
    <cellStyle name="汇总 2 10 10 2 3 2" xfId="473"/>
    <cellStyle name="汇总 2 7 9 3 2" xfId="474"/>
    <cellStyle name="输出 2 12 9 6 2" xfId="475"/>
    <cellStyle name="汇总 2 11 16 4 2" xfId="476"/>
    <cellStyle name="计算 2 9 9 2 5" xfId="477"/>
    <cellStyle name="汇总 2 10 10 2 7" xfId="478"/>
    <cellStyle name="输入 2 10 10 4 5 2" xfId="479"/>
    <cellStyle name="注释 2 10 10 5" xfId="480"/>
    <cellStyle name="汇总 2 4 12 2 2" xfId="481"/>
    <cellStyle name="汇总 2 7 9 7" xfId="482"/>
    <cellStyle name="输出 2 2 10 5 4" xfId="483"/>
    <cellStyle name="汇总 2 2 8 8 3 2" xfId="484"/>
    <cellStyle name="检查单元格 2 9 16" xfId="485"/>
    <cellStyle name="汇总 2 3 2 7 3" xfId="486"/>
    <cellStyle name="计算 2 7 10 9" xfId="487"/>
    <cellStyle name="汇总 2 12 9 12" xfId="488"/>
    <cellStyle name="40% - 强调文字颜色 4" xfId="489" builtinId="43"/>
    <cellStyle name="汇总 2 3 14 5 2" xfId="490"/>
    <cellStyle name="输入 2 9 9 10 2" xfId="491"/>
    <cellStyle name="汇总 2 12 7 4 5" xfId="492"/>
    <cellStyle name="输出 2 12 4 8 5" xfId="493"/>
    <cellStyle name="计算 2 11 7 13" xfId="494"/>
    <cellStyle name="汇总 2 11 11 6 5" xfId="495"/>
    <cellStyle name="输入 2 5 10 16" xfId="496"/>
    <cellStyle name="输出 2 5 3 5 5 2" xfId="497"/>
    <cellStyle name="输出 2 17 7 3 2" xfId="498"/>
    <cellStyle name="汇总 2 6 4 7 6" xfId="499"/>
    <cellStyle name="汇总 2 10 2 4 2 2" xfId="500"/>
    <cellStyle name="汇总 2 7 6 5 3 2" xfId="501"/>
    <cellStyle name="输入 2 9 5 7 4" xfId="502"/>
    <cellStyle name="计算 2 4 4 2 2" xfId="503"/>
    <cellStyle name="强调文字颜色 5" xfId="504" builtinId="45"/>
    <cellStyle name="输出 2 2 8 3 2" xfId="505"/>
    <cellStyle name="输出 2 11 8 6 5 2" xfId="506"/>
    <cellStyle name="汇总 2 10 4 4 5" xfId="507"/>
    <cellStyle name="汇总 2 7 8 5 6" xfId="508"/>
    <cellStyle name="计算 2 11 13 6" xfId="509"/>
    <cellStyle name="输出 2 10 6 6 2" xfId="510"/>
    <cellStyle name="输入 2 11 9 8 3 2" xfId="511"/>
    <cellStyle name="计算 2 12 11 3" xfId="512"/>
    <cellStyle name="计算 2 3 9 8" xfId="513"/>
    <cellStyle name="汇总 2 10 9 2 2" xfId="514"/>
    <cellStyle name="计算 2 7 6 2 5" xfId="515"/>
    <cellStyle name="汇总 2 2 6 5 3 2" xfId="516"/>
    <cellStyle name="汇总 2 11 5 7" xfId="517"/>
    <cellStyle name="检查单元格 2 5 7 5 4 2" xfId="518"/>
    <cellStyle name="汇总 2 4 6 5 3" xfId="519"/>
    <cellStyle name="汇总 2 10 7 11" xfId="520"/>
    <cellStyle name="输入 2 4 16 5" xfId="521"/>
    <cellStyle name="检查单元格 2 10 2 3 5 2" xfId="522"/>
    <cellStyle name="计算 2 3 4 5 4 2" xfId="523"/>
    <cellStyle name="40% - 强调文字颜色 5" xfId="524" builtinId="47"/>
    <cellStyle name="汇总 2 6 9 5 4" xfId="525"/>
    <cellStyle name="汇总 2 12 10" xfId="526"/>
    <cellStyle name="注释 2 7 5 11 2" xfId="527"/>
    <cellStyle name="输出 2 2 10 5 5" xfId="528"/>
    <cellStyle name="汇总 2 6 10 6 5 2" xfId="529"/>
    <cellStyle name="注释 2 7 8 7 4 2" xfId="530"/>
    <cellStyle name="计算 2 9 9 2 6" xfId="531"/>
    <cellStyle name="计算 2 8 7 10 2" xfId="532"/>
    <cellStyle name="汇总 2 10 10 2 8" xfId="533"/>
    <cellStyle name="输入 2 6 10 3 2 2" xfId="534"/>
    <cellStyle name="注释 2 10 10 6" xfId="535"/>
    <cellStyle name="汇总 2 7 9 8" xfId="536"/>
    <cellStyle name="检查单元格 2 9 17" xfId="537"/>
    <cellStyle name="汇总 2 3 2 7 4" xfId="538"/>
    <cellStyle name="汇总 2 12 9 13" xfId="539"/>
    <cellStyle name="输入 2 6 3 7 2" xfId="540"/>
    <cellStyle name="计算 2 10 10 6 4 2" xfId="541"/>
    <cellStyle name="注释 2 5 8 5 2 2" xfId="542"/>
    <cellStyle name="60% - 强调文字颜色 5" xfId="543" builtinId="48"/>
    <cellStyle name="计算 2 2 10 7 6" xfId="544"/>
    <cellStyle name="汇总 2 2 7 7 2" xfId="545"/>
    <cellStyle name="输出 2 12 4 4 2 2" xfId="546"/>
    <cellStyle name="计算 2 3 10 8" xfId="547"/>
    <cellStyle name="汇总 2 11 11 2 2 2" xfId="548"/>
    <cellStyle name="计算 2 4 4 2 3" xfId="549"/>
    <cellStyle name="强调文字颜色 6" xfId="550" builtinId="49"/>
    <cellStyle name="输出 2 2 8 3 3" xfId="551"/>
    <cellStyle name="检查单元格 2 4 5 5 2" xfId="552"/>
    <cellStyle name="汇总 2 5 10 6 5 2" xfId="553"/>
    <cellStyle name="注释 2 2 8 7 4 2" xfId="554"/>
    <cellStyle name="计算 2 2 8 5 6" xfId="555"/>
    <cellStyle name="检查单元格 2 10 2 10" xfId="556"/>
    <cellStyle name="汇总 2 10 4 4 6" xfId="557"/>
    <cellStyle name="注释 2 11 15 5 2" xfId="558"/>
    <cellStyle name="汇总 2 11 5 8" xfId="559"/>
    <cellStyle name="输出 2 10 6 6 3" xfId="560"/>
    <cellStyle name="检查单元格 2 9 3 2 2" xfId="561"/>
    <cellStyle name="计算 2 12 11 4" xfId="562"/>
    <cellStyle name="计算 2 7 6 2 6" xfId="563"/>
    <cellStyle name="汇总 2 10 9 2 3" xfId="564"/>
    <cellStyle name="计算 2 3 9 9" xfId="565"/>
    <cellStyle name="汇总 2 4 6 5 4" xfId="566"/>
    <cellStyle name="汇总 2 10 7 12" xfId="567"/>
    <cellStyle name="输入 2 4 16 6" xfId="568"/>
    <cellStyle name="汇总 2 6 9 5 5" xfId="569"/>
    <cellStyle name="汇总 2 12 11" xfId="570"/>
    <cellStyle name="计算 2 11 9 7 3 2" xfId="571"/>
    <cellStyle name="40% - 强调文字颜色 6" xfId="572" builtinId="51"/>
    <cellStyle name="输出 2 2 10 5 6" xfId="573"/>
    <cellStyle name="汇总 2 6 11 3 2" xfId="574"/>
    <cellStyle name="计算 2 9 9 2 7" xfId="575"/>
    <cellStyle name="汇总 2 10 10 2 9" xfId="576"/>
    <cellStyle name="注释 2 10 10 7" xfId="577"/>
    <cellStyle name="汇总 2 7 9 9" xfId="578"/>
    <cellStyle name="注释 2 5 4 7 3 2" xfId="579"/>
    <cellStyle name="输出 2 6 5 9 2" xfId="580"/>
    <cellStyle name="检查单元格 2 9 18" xfId="581"/>
    <cellStyle name="汇总 2 3 2 7 5" xfId="582"/>
    <cellStyle name="输入 2 2 9 2 4 2" xfId="583"/>
    <cellStyle name="汇总 2 12 9 14" xfId="584"/>
    <cellStyle name="计算 2 4 7 3 3 2" xfId="585"/>
    <cellStyle name="输入 2 6 3 7 3" xfId="586"/>
    <cellStyle name="汇总 2 12 3 2 3 2" xfId="587"/>
    <cellStyle name="汇总 2 9 7 3 4 2" xfId="588"/>
    <cellStyle name="汇总 2 2 7 7 3" xfId="589"/>
    <cellStyle name="计算 2 3 10 9" xfId="590"/>
    <cellStyle name="60% - 强调文字颜色 6" xfId="591" builtinId="52"/>
    <cellStyle name="汇总 2 9 7 5 4" xfId="592"/>
    <cellStyle name="输出 2 7 4 5 6" xfId="593"/>
    <cellStyle name="汇总 2 12 3 4 3" xfId="594"/>
    <cellStyle name="20% - 强调文字颜色 5 3" xfId="595"/>
    <cellStyle name="汇总 2 8 7 3 5 2" xfId="596"/>
    <cellStyle name="计算 2 5 9 10" xfId="597"/>
    <cellStyle name="汇总 2 11 3 2 4 2" xfId="598"/>
    <cellStyle name="计算 2 3 7 3 4 2" xfId="599"/>
    <cellStyle name="汇总 2 10 7 7 6" xfId="600"/>
    <cellStyle name="输出 2 6 10 7" xfId="601"/>
    <cellStyle name="汇总 2 6 13 3" xfId="602"/>
    <cellStyle name="输出 2 7 9 3 3" xfId="603"/>
    <cellStyle name="常规 2 29" xfId="604"/>
    <cellStyle name="汇总 2 3 9 5" xfId="605"/>
    <cellStyle name="计算 2 9 5 2 3" xfId="606"/>
    <cellStyle name="汇总 2 12 2 6 5 2" xfId="607"/>
    <cellStyle name="计算 2 4 6 7 5 2" xfId="608"/>
    <cellStyle name="40% - 强调文字颜色 1 2" xfId="609"/>
    <cellStyle name="输入 2 5 4 2 5" xfId="610"/>
    <cellStyle name="汇总 2 7 9 4 2" xfId="611"/>
    <cellStyle name="注释 2 10 10 2 2" xfId="612"/>
    <cellStyle name="汇总 2 10 10 2 4 2" xfId="613"/>
    <cellStyle name="计算 2 9 9 2 2 2" xfId="614"/>
    <cellStyle name="计算 2 7 2 3 4" xfId="615"/>
    <cellStyle name="汇总 2 2 3 2 7" xfId="616"/>
    <cellStyle name="输出 2 5 6 4 4" xfId="617"/>
    <cellStyle name="汇总 2 10 10 8" xfId="618"/>
    <cellStyle name="注释 2 11 18 5 2" xfId="619"/>
    <cellStyle name="汇总 2 10 7 4 6" xfId="620"/>
    <cellStyle name="汇总 2 6 10 3" xfId="621"/>
    <cellStyle name="汇总 2 9 7 2 4" xfId="622"/>
    <cellStyle name="输出 2 7 4 2 6" xfId="623"/>
    <cellStyle name="20% - 强调文字颜色 2 3" xfId="624"/>
    <cellStyle name="汇总 2 10 11" xfId="625"/>
    <cellStyle name="汇总 2 3 5 4 3" xfId="626"/>
    <cellStyle name="检查单元格 2 5 6 4 3 2" xfId="627"/>
    <cellStyle name="40% - 强调文字颜色 2 2" xfId="628"/>
    <cellStyle name="汇总 2 12 9 10 2" xfId="629"/>
    <cellStyle name="计算 2 7 10 7 2" xfId="630"/>
    <cellStyle name="输入 2 5 4 3 5" xfId="631"/>
    <cellStyle name="汇总 2 7 9 5 2" xfId="632"/>
    <cellStyle name="注释 2 10 10 3 2" xfId="633"/>
    <cellStyle name="汇总 2 10 10 2 5 2" xfId="634"/>
    <cellStyle name="计算 2 9 9 2 3 2" xfId="635"/>
    <cellStyle name="汇总 2 8 9 15" xfId="636"/>
    <cellStyle name="注释 2 9 7 2 9" xfId="637"/>
    <cellStyle name="注释 2 2 3 2 2 2" xfId="638"/>
    <cellStyle name="汇总 2 10 11 8" xfId="639"/>
    <cellStyle name="计算 2 4 7 6 3" xfId="640"/>
    <cellStyle name="计算 2 11 6 3 5" xfId="641"/>
    <cellStyle name="计算 2 8 4 8" xfId="642"/>
    <cellStyle name="注释 2 4 4 7 5 2" xfId="643"/>
    <cellStyle name="输入 2 2 9 5 4" xfId="644"/>
    <cellStyle name="汇总 2 2 6 15" xfId="645"/>
    <cellStyle name="输出 2 6 8 9" xfId="646"/>
    <cellStyle name="汇总 2 9 7 6 4" xfId="647"/>
    <cellStyle name="输出 2 7 4 6 6" xfId="648"/>
    <cellStyle name="汇总 2 12 3 5 3" xfId="649"/>
    <cellStyle name="20% - 强调文字颜色 6 3" xfId="650"/>
    <cellStyle name="汇总 2 11 3 2 5 2" xfId="651"/>
    <cellStyle name="计算 2 3 7 3 5 2" xfId="652"/>
    <cellStyle name="输出 2 6 11 7" xfId="653"/>
    <cellStyle name="汇总 2 6 14 3" xfId="654"/>
    <cellStyle name="输入 2 5 11 5" xfId="655"/>
    <cellStyle name="汇总 2 11 6 11" xfId="656"/>
    <cellStyle name="汇总 2 3 4 8 4 2" xfId="657"/>
    <cellStyle name="汇总 2 11 5 11" xfId="658"/>
    <cellStyle name="汇总 2 10 7 3 6" xfId="659"/>
    <cellStyle name="注释 2 11 18 4 2" xfId="660"/>
    <cellStyle name="20% - 强调文字颜色 1 3" xfId="661"/>
    <cellStyle name="输出 2 6 3 9" xfId="662"/>
    <cellStyle name="汇总 2 2 5 15" xfId="663"/>
    <cellStyle name="计算 2 9 11 7 5" xfId="664"/>
    <cellStyle name="输出 2 14 3 4" xfId="665"/>
    <cellStyle name="汇总 2 6 9 2 4 2" xfId="666"/>
    <cellStyle name="常规 18 4 2" xfId="667"/>
    <cellStyle name="汇总 2 4 5 2 3 2" xfId="668"/>
    <cellStyle name="输出 2 2 2 2 5 2" xfId="669"/>
    <cellStyle name="计算 2 10 5 8" xfId="670"/>
    <cellStyle name="输出 2 14 3 5" xfId="671"/>
    <cellStyle name="常规 18 4 3" xfId="672"/>
    <cellStyle name="输出 2 5 3 8 5" xfId="673"/>
    <cellStyle name="输出 2 5 10 3" xfId="674"/>
    <cellStyle name="汇总 2 10 2 7 2" xfId="675"/>
    <cellStyle name="汇总 2 5 11 10" xfId="676"/>
    <cellStyle name="汇总 2 7 6 8 3" xfId="677"/>
    <cellStyle name="输入 2 10 15 5 2" xfId="678"/>
    <cellStyle name="汇总 2 4 20 2" xfId="679"/>
    <cellStyle name="汇总 2 4 15 2" xfId="680"/>
    <cellStyle name="输入 2 8 15" xfId="681"/>
    <cellStyle name="输入 2 8 20" xfId="682"/>
    <cellStyle name="输出 2 4 12 6" xfId="683"/>
    <cellStyle name="汇总 2 11 19 4" xfId="684"/>
    <cellStyle name="汇总 2 10 6 8 3 2" xfId="685"/>
    <cellStyle name="输出 2 5 8 6 2" xfId="686"/>
    <cellStyle name="汇总 2 2 5 4 5" xfId="687"/>
    <cellStyle name="计算 2 7 4 5 2" xfId="688"/>
    <cellStyle name="计算 2 11 5 3 2 2" xfId="689"/>
    <cellStyle name="输入 2 5 6 4 3" xfId="690"/>
    <cellStyle name="输出 2 12 3 4 5" xfId="691"/>
    <cellStyle name="汇总 2 11 10 2 5" xfId="692"/>
    <cellStyle name="输出 2 3 10 5 2" xfId="693"/>
    <cellStyle name="汇总 2 10 17 3 2" xfId="694"/>
    <cellStyle name="注释 2 9 7 8 4 2" xfId="695"/>
    <cellStyle name="20% - 强调文字颜色 2 2" xfId="696"/>
    <cellStyle name="输出 2 7 4 2 5" xfId="697"/>
    <cellStyle name="注释 2 6 8 7 2 2" xfId="698"/>
    <cellStyle name="汇总 2 9 7 2 3" xfId="699"/>
    <cellStyle name="输出 2 10 4 8 5" xfId="700"/>
    <cellStyle name="汇总 2 6 10 2" xfId="701"/>
    <cellStyle name="输入 2 3 10 16" xfId="702"/>
    <cellStyle name="汇总 2 10 7 4 5" xfId="703"/>
    <cellStyle name="输出 2 8 8 3 5 2" xfId="704"/>
    <cellStyle name="汇总 2 6 11 2" xfId="705"/>
    <cellStyle name="汇总 2 10 7 5 5" xfId="706"/>
    <cellStyle name="20% - 强调文字颜色 3 2" xfId="707"/>
    <cellStyle name="汇总 2 12 3 2 2" xfId="708"/>
    <cellStyle name="输出 2 7 4 3 5" xfId="709"/>
    <cellStyle name="注释 2 6 8 7 3 2" xfId="710"/>
    <cellStyle name="汇总 2 9 7 3 3" xfId="711"/>
    <cellStyle name="常规 3" xfId="712"/>
    <cellStyle name="注释 2 4 7 5 3" xfId="713"/>
    <cellStyle name="计算 2 8 10 6 6" xfId="714"/>
    <cellStyle name="汇总 2 4 2 5 2 2" xfId="715"/>
    <cellStyle name="汇总 2 10 6 13" xfId="716"/>
    <cellStyle name="输入 2 4 11 7" xfId="717"/>
    <cellStyle name="汇总 2 3 8 4" xfId="718"/>
    <cellStyle name="输出 2 7 9 2 2" xfId="719"/>
    <cellStyle name="汇总 2 6 12 2" xfId="720"/>
    <cellStyle name="汇总 2 10 7 6 5" xfId="721"/>
    <cellStyle name="20% - 强调文字颜色 4 2" xfId="722"/>
    <cellStyle name="汇总 2 12 3 3 2" xfId="723"/>
    <cellStyle name="输出 2 7 4 4 5" xfId="724"/>
    <cellStyle name="注释 2 6 8 7 4 2" xfId="725"/>
    <cellStyle name="汇总 2 9 7 4 3" xfId="726"/>
    <cellStyle name="输入 2 7 2 2 6" xfId="727"/>
    <cellStyle name="计算 2 8 6 7 5" xfId="728"/>
    <cellStyle name="汇总 2 6 8 15" xfId="729"/>
    <cellStyle name="汇总 2 11 9 7 2" xfId="730"/>
    <cellStyle name="计算 2 7 6 6 5 2" xfId="731"/>
    <cellStyle name="汇总 2 10 9 6 2 2" xfId="732"/>
    <cellStyle name="输出 2 10 2 2" xfId="733"/>
    <cellStyle name="计算 2 12 15 3 2" xfId="734"/>
    <cellStyle name="常规 4" xfId="735"/>
    <cellStyle name="注释 2 4 7 5 4" xfId="736"/>
    <cellStyle name="汇总 2 3 8 5" xfId="737"/>
    <cellStyle name="输出 2 7 9 2 3" xfId="738"/>
    <cellStyle name="汇总 2 10 6 14" xfId="739"/>
    <cellStyle name="输入 2 4 11 8" xfId="740"/>
    <cellStyle name="汇总 2 6 12 3" xfId="741"/>
    <cellStyle name="汇总 2 10 7 6 6" xfId="742"/>
    <cellStyle name="计算 2 3 7 3 3 2" xfId="743"/>
    <cellStyle name="汇总 2 11 3 2 3 2" xfId="744"/>
    <cellStyle name="检查单元格 2 8 7 11" xfId="745"/>
    <cellStyle name="汇总 2 8 7 3 4 2" xfId="746"/>
    <cellStyle name="注释 2 5 4 8 3" xfId="747"/>
    <cellStyle name="20% - 强调文字颜色 4 3" xfId="748"/>
    <cellStyle name="汇总 2 12 3 3 3" xfId="749"/>
    <cellStyle name="输出 2 7 4 4 6" xfId="750"/>
    <cellStyle name="汇总 2 9 7 4 4" xfId="751"/>
    <cellStyle name="输入 2 7 2 2 7" xfId="752"/>
    <cellStyle name="计算 2 8 10 7 6" xfId="753"/>
    <cellStyle name="汇总 2 4 2 5 3 2" xfId="754"/>
    <cellStyle name="输入 2 4 12 7" xfId="755"/>
    <cellStyle name="计算 2 9 5 2 2" xfId="756"/>
    <cellStyle name="汇总 2 3 9 4" xfId="757"/>
    <cellStyle name="常规 2 28" xfId="758"/>
    <cellStyle name="输出 2 7 9 3 2" xfId="759"/>
    <cellStyle name="输出 2 3 2 11 2" xfId="760"/>
    <cellStyle name="汇总 2 4 9 8 3" xfId="761"/>
    <cellStyle name="输入 2 2 4 6 6" xfId="762"/>
    <cellStyle name="计算 2 2 9 3 2 2" xfId="763"/>
    <cellStyle name="输出 2 2 6 8 5" xfId="764"/>
    <cellStyle name="输出 2 10 6 2 4" xfId="765"/>
    <cellStyle name="注释 2 14 4 5 2" xfId="766"/>
    <cellStyle name="计算 2 4 2 7 5" xfId="767"/>
    <cellStyle name="输出 2 10 2 6 2 2" xfId="768"/>
    <cellStyle name="汇总 2 7 9 3 3 2" xfId="769"/>
    <cellStyle name="输出 2 5 6 3 5 2" xfId="770"/>
    <cellStyle name="汇总 2 10 5 2 2 2" xfId="771"/>
    <cellStyle name="汇总 2 9 2 7 6" xfId="772"/>
    <cellStyle name="输出 2 3 10 12 2" xfId="773"/>
    <cellStyle name="计算 2 7 2 2 5 2" xfId="774"/>
    <cellStyle name="汇总 2 6 13 2" xfId="775"/>
    <cellStyle name="输出 2 6 10 6" xfId="776"/>
    <cellStyle name="汇总 2 10 7 7 5" xfId="777"/>
    <cellStyle name="20% - 强调文字颜色 5 2" xfId="778"/>
    <cellStyle name="汇总 2 12 3 4 2" xfId="779"/>
    <cellStyle name="输出 2 7 4 5 5" xfId="780"/>
    <cellStyle name="注释 2 6 8 7 5 2" xfId="781"/>
    <cellStyle name="汇总 2 9 7 5 3" xfId="782"/>
    <cellStyle name="输入 2 7 2 3 6" xfId="783"/>
    <cellStyle name="汇总 2 11 2 9" xfId="784"/>
    <cellStyle name="汇总 2 10 5 2 3 2" xfId="785"/>
    <cellStyle name="输出 2 10 2 6 3 2" xfId="786"/>
    <cellStyle name="汇总 2 7 9 3 4 2" xfId="787"/>
    <cellStyle name="汇总 2 11 6 10" xfId="788"/>
    <cellStyle name="输入 2 5 11 4" xfId="789"/>
    <cellStyle name="检查单元格 2 4 5 2 3" xfId="790"/>
    <cellStyle name="汇总 2 2 3 11 2" xfId="791"/>
    <cellStyle name="计算 2 2 8 2 7" xfId="792"/>
    <cellStyle name="注释 2 12 6 3 3 2" xfId="793"/>
    <cellStyle name="汇总 2 6 14 2" xfId="794"/>
    <cellStyle name="输出 2 6 11 6" xfId="795"/>
    <cellStyle name="汇总 2 10 7 8 5" xfId="796"/>
    <cellStyle name="20% - 强调文字颜色 6 2" xfId="797"/>
    <cellStyle name="汇总 2 12 3 5 2" xfId="798"/>
    <cellStyle name="输出 2 7 4 6 5" xfId="799"/>
    <cellStyle name="汇总 2 9 7 6 3" xfId="800"/>
    <cellStyle name="输入 2 7 2 4 6" xfId="801"/>
    <cellStyle name="输出 2 6 8 8" xfId="802"/>
    <cellStyle name="汇总 2 2 6 14" xfId="803"/>
    <cellStyle name="计算 2 11 2 6 3 2" xfId="804"/>
    <cellStyle name="输入 2 2 9 5 3" xfId="805"/>
    <cellStyle name="计算 2 8 4 7" xfId="806"/>
    <cellStyle name="计算 2 3 7 12 2" xfId="807"/>
    <cellStyle name="计算 2 11 6 3 4" xfId="808"/>
    <cellStyle name="计算 2 4 7 6 2" xfId="809"/>
    <cellStyle name="汇总 2 10 10 9" xfId="810"/>
    <cellStyle name="计算 2 2 9 4 2" xfId="811"/>
    <cellStyle name="输出 2 5 6 4 5" xfId="812"/>
    <cellStyle name="汇总 2 10 5 3 2" xfId="813"/>
    <cellStyle name="汇总 2 2 3 2 8" xfId="814"/>
    <cellStyle name="计算 2 7 2 3 5" xfId="815"/>
    <cellStyle name="输出 2 10 2 7 2" xfId="816"/>
    <cellStyle name="汇总 2 7 9 4 3" xfId="817"/>
    <cellStyle name="输入 2 11 9 4 4 2" xfId="818"/>
    <cellStyle name="输入 2 5 4 2 6" xfId="819"/>
    <cellStyle name="汇总 2 2 9 8 2 2" xfId="820"/>
    <cellStyle name="计算 2 2 2 7 4 2" xfId="821"/>
    <cellStyle name="40% - 强调文字颜色 1 3" xfId="822"/>
    <cellStyle name="汇总 2 7 2 7 5 2" xfId="823"/>
    <cellStyle name="输入 2 10 11 4 4 2" xfId="824"/>
    <cellStyle name="汇总 2 3 5 4 4" xfId="825"/>
    <cellStyle name="输入 2 9 6 4 5 2" xfId="826"/>
    <cellStyle name="汇总 2 10 12" xfId="827"/>
    <cellStyle name="输入 2 6 6 4 2" xfId="828"/>
    <cellStyle name="输出 2 5 4 5 5 2" xfId="829"/>
    <cellStyle name="汇总 2 10 3 4 2 2" xfId="830"/>
    <cellStyle name="汇总 2 7 4 7 6" xfId="831"/>
    <cellStyle name="汇总 2 7 7 5 3 2" xfId="832"/>
    <cellStyle name="输出 2 5 9 3 2 2" xfId="833"/>
    <cellStyle name="汇总 2 10 11 9" xfId="834"/>
    <cellStyle name="计算 2 2 9 5 2" xfId="835"/>
    <cellStyle name="计算 2 7 5 2 2 2" xfId="836"/>
    <cellStyle name="汇总 2 8 9 16" xfId="837"/>
    <cellStyle name="输出 2 5 6 5 5" xfId="838"/>
    <cellStyle name="汇总 2 10 5 4 2" xfId="839"/>
    <cellStyle name="注释 2 17 4 2 2" xfId="840"/>
    <cellStyle name="计算 2 7 2 4 5" xfId="841"/>
    <cellStyle name="输出 2 10 2 8 2" xfId="842"/>
    <cellStyle name="汇总 2 7 9 5 3" xfId="843"/>
    <cellStyle name="输入 2 10 18 2 2" xfId="844"/>
    <cellStyle name="输入 2 11 9 4 5 2" xfId="845"/>
    <cellStyle name="输入 2 5 4 3 6" xfId="846"/>
    <cellStyle name="汇总 2 2 9 8 3 2" xfId="847"/>
    <cellStyle name="计算 2 2 2 7 5 2" xfId="848"/>
    <cellStyle name="40% - 强调文字颜色 2 3" xfId="849"/>
    <cellStyle name="汇总 2 10 12 8" xfId="850"/>
    <cellStyle name="输入 2 11 11 2 4" xfId="851"/>
    <cellStyle name="注释 2 2 3 2 3 2" xfId="852"/>
    <cellStyle name="计算 2 7 10 8 2" xfId="853"/>
    <cellStyle name="汇总 2 12 9 11 2" xfId="854"/>
    <cellStyle name="检查单元格 2 9 15 2" xfId="855"/>
    <cellStyle name="汇总 2 3 2 7 2 2" xfId="856"/>
    <cellStyle name="汇总 2 8 11 15" xfId="857"/>
    <cellStyle name="输出 2 3 7 2 9" xfId="858"/>
    <cellStyle name="输入 2 12 2 3 4 2" xfId="859"/>
    <cellStyle name="40% - 强调文字颜色 3 2" xfId="860"/>
    <cellStyle name="输出 2 12 3 8" xfId="861"/>
    <cellStyle name="汇总 2 11 10 6" xfId="862"/>
    <cellStyle name="汇总 2 12 6 4" xfId="863"/>
    <cellStyle name="汇总 2 15 3 2 2" xfId="864"/>
    <cellStyle name="计算 2 7 7 3 2" xfId="865"/>
    <cellStyle name="汇总 2 2 8 2 5" xfId="866"/>
    <cellStyle name="计算 2 11 2 9 2" xfId="867"/>
    <cellStyle name="汇总 2 10 3 4 3 2" xfId="868"/>
    <cellStyle name="汇总 2 7 7 5 4 2" xfId="869"/>
    <cellStyle name="输出 2 5 9 3 3 2" xfId="870"/>
    <cellStyle name="汇总 2 10 12 9" xfId="871"/>
    <cellStyle name="计算 2 2 9 6 2" xfId="872"/>
    <cellStyle name="输入 2 11 11 2 5" xfId="873"/>
    <cellStyle name="计算 2 7 5 2 3 2" xfId="874"/>
    <cellStyle name="输出 2 5 6 6 5" xfId="875"/>
    <cellStyle name="汇总 2 10 5 5 2" xfId="876"/>
    <cellStyle name="注释 2 17 4 3 2" xfId="877"/>
    <cellStyle name="计算 2 7 2 5 5" xfId="878"/>
    <cellStyle name="输出 2 10 2 9 2" xfId="879"/>
    <cellStyle name="汇总 2 7 9 6 3" xfId="880"/>
    <cellStyle name="计算 2 2 8 14" xfId="881"/>
    <cellStyle name="输入 2 10 18 3 2" xfId="882"/>
    <cellStyle name="输入 2 5 4 4 6" xfId="883"/>
    <cellStyle name="检查单元格 2 2 7 2 3" xfId="884"/>
    <cellStyle name="注释 2 5 14 3" xfId="885"/>
    <cellStyle name="汇总 2 2 9 8 4 2" xfId="886"/>
    <cellStyle name="计算 2 6 14 2 2" xfId="887"/>
    <cellStyle name="40% - 强调文字颜色 3 3" xfId="888"/>
    <cellStyle name="汇总 2 12 7 4" xfId="889"/>
    <cellStyle name="汇总 2 15 3 3 2" xfId="890"/>
    <cellStyle name="输出 2 12 4 8" xfId="891"/>
    <cellStyle name="汇总 2 9 9 13" xfId="892"/>
    <cellStyle name="汇总 2 11 11 6" xfId="893"/>
    <cellStyle name="计算 2 7 7 4 2" xfId="894"/>
    <cellStyle name="汇总 2 2 8 3 5" xfId="895"/>
    <cellStyle name="汇总 2 10 3 4 4 2" xfId="896"/>
    <cellStyle name="汇总 2 7 7 5 5 2" xfId="897"/>
    <cellStyle name="计算 2 9 9 2" xfId="898"/>
    <cellStyle name="汇总 2 4 5 5 2 2" xfId="899"/>
    <cellStyle name="注释 2 10 10" xfId="900"/>
    <cellStyle name="输出 2 17 2 5" xfId="901"/>
    <cellStyle name="汇总 2 10 2 10 2" xfId="902"/>
    <cellStyle name="计算 2 6 14 3 2" xfId="903"/>
    <cellStyle name="40% - 强调文字颜色 4 3" xfId="904"/>
    <cellStyle name="输出 2 5 6 7 5" xfId="905"/>
    <cellStyle name="汇总 2 10 5 6 2" xfId="906"/>
    <cellStyle name="注释 2 17 4 4 2" xfId="907"/>
    <cellStyle name="计算 2 7 2 6 5" xfId="908"/>
    <cellStyle name="汇总 2 7 9 7 3" xfId="909"/>
    <cellStyle name="输入 2 10 18 4 2" xfId="910"/>
    <cellStyle name="输入 2 5 4 5 6" xfId="911"/>
    <cellStyle name="40% - 强调文字颜色 5 2" xfId="912"/>
    <cellStyle name="输出 2 17 3 4" xfId="913"/>
    <cellStyle name="汇总 2 6 9 5 4 2" xfId="914"/>
    <cellStyle name="汇总 2 12 10 2" xfId="915"/>
    <cellStyle name="输出 2 12 5 8" xfId="916"/>
    <cellStyle name="汇总 2 11 12 6" xfId="917"/>
    <cellStyle name="输入 2 11 16 2 2" xfId="918"/>
    <cellStyle name="汇总 2 12 8 4" xfId="919"/>
    <cellStyle name="汇总 2 15 3 4 2" xfId="920"/>
    <cellStyle name="计算 2 7 7 5 2" xfId="921"/>
    <cellStyle name="汇总 2 2 8 4 5" xfId="922"/>
    <cellStyle name="计算 2 11 5 6 2 2" xfId="923"/>
    <cellStyle name="计算 2 3 8 11" xfId="924"/>
    <cellStyle name="输入 2 5 9 4 3" xfId="925"/>
    <cellStyle name="汇总 2 10 3 4 5 2" xfId="926"/>
    <cellStyle name="汇总 2 2 4 10" xfId="927"/>
    <cellStyle name="计算 2 2 7 5 5 2" xfId="928"/>
    <cellStyle name="计算 2 6 14 4 2" xfId="929"/>
    <cellStyle name="40% - 强调文字颜色 5 3" xfId="930"/>
    <cellStyle name="汇总 2 4 5 5 3 2" xfId="931"/>
    <cellStyle name="输出 2 17 3 5" xfId="932"/>
    <cellStyle name="汇总 2 10 2 11 2" xfId="933"/>
    <cellStyle name="汇总 2 12 10 3" xfId="934"/>
    <cellStyle name="输出 2 10 5 6 2 2" xfId="935"/>
    <cellStyle name="汇总 2 3 10 7" xfId="936"/>
    <cellStyle name="输出 2 5 9 3 5 2" xfId="937"/>
    <cellStyle name="汇总 2 10 8 2 2 2" xfId="938"/>
    <cellStyle name="计算 2 2 9 8 2" xfId="939"/>
    <cellStyle name="输入 2 11 11 4 5" xfId="940"/>
    <cellStyle name="输入 2 12 3 3" xfId="941"/>
    <cellStyle name="输出 2 3 3 11" xfId="942"/>
    <cellStyle name="计算 2 7 5 2 5 2" xfId="943"/>
    <cellStyle name="输出 2 5 6 8 5" xfId="944"/>
    <cellStyle name="汇总 2 10 5 7 2" xfId="945"/>
    <cellStyle name="注释 2 17 4 5 2" xfId="946"/>
    <cellStyle name="输出 2 3 11 12" xfId="947"/>
    <cellStyle name="计算 2 7 2 7 5" xfId="948"/>
    <cellStyle name="汇总 2 7 9 8 3" xfId="949"/>
    <cellStyle name="输入 2 10 18 5 2" xfId="950"/>
    <cellStyle name="输入 2 5 4 6 6" xfId="951"/>
    <cellStyle name="40% - 强调文字颜色 6 2" xfId="952"/>
    <cellStyle name="输出 2 5 3 2 6" xfId="953"/>
    <cellStyle name="输出 2 17 4 4" xfId="954"/>
    <cellStyle name="汇总 2 6 9 5 5 2" xfId="955"/>
    <cellStyle name="汇总 2 12 11 2" xfId="956"/>
    <cellStyle name="检查单元格 2 11 6" xfId="957"/>
    <cellStyle name="汇总 2 7 6 2 4" xfId="958"/>
    <cellStyle name="计算 2 6 14 5 2" xfId="959"/>
    <cellStyle name="40% - 强调文字颜色 6 3" xfId="960"/>
    <cellStyle name="汇总 2 4 5 5 4 2" xfId="961"/>
    <cellStyle name="计算 2 2 6 2 4" xfId="962"/>
    <cellStyle name="输入 2 7 6 5 2 2" xfId="963"/>
    <cellStyle name="输出 2 5 3 2 7" xfId="964"/>
    <cellStyle name="输出 2 17 4 5" xfId="965"/>
    <cellStyle name="汇总 2 10 2 12 2" xfId="966"/>
    <cellStyle name="汇总 2 12 11 3" xfId="967"/>
    <cellStyle name="检查单元格 2 11 7" xfId="968"/>
    <cellStyle name="汇总 2 7 6 2 5" xfId="969"/>
    <cellStyle name="输出 2 10 5 6 3 2" xfId="970"/>
    <cellStyle name="检查单元格 2 9 2 2 2 2" xfId="971"/>
    <cellStyle name="汇总 2 3 11 7" xfId="972"/>
    <cellStyle name="汇总 2 10 8 2 3 2" xfId="973"/>
    <cellStyle name="计算 2 2 9 9 2" xfId="974"/>
    <cellStyle name="输入 2 11 11 5 5" xfId="975"/>
    <cellStyle name="输入 2 12 4 3" xfId="976"/>
    <cellStyle name="输出 2 11 10 11" xfId="977"/>
    <cellStyle name="计算 2 7 2 8 5" xfId="978"/>
    <cellStyle name="汇总 2 10 5 8 2" xfId="979"/>
    <cellStyle name="汇总 2 11 7 6 3 2" xfId="980"/>
    <cellStyle name="汇总 2 12 18" xfId="981"/>
    <cellStyle name="汇总 2 12 23" xfId="982"/>
    <cellStyle name="60% - 强调文字颜色 1 2" xfId="983"/>
    <cellStyle name="检查单元格 2 5 5 9 2" xfId="984"/>
    <cellStyle name="计算 2 2 10 7 2 2" xfId="985"/>
    <cellStyle name="输入 2 11 4 5 3" xfId="986"/>
    <cellStyle name="输入 2 7 10 4 4 2" xfId="987"/>
    <cellStyle name="汇总 2 14 7" xfId="988"/>
    <cellStyle name="汇总 2 10 14 5 2" xfId="989"/>
    <cellStyle name="汇总 2 3 10 3 2" xfId="990"/>
    <cellStyle name="输入 2 3 4 13" xfId="991"/>
    <cellStyle name="计算 2 4 7 3 5" xfId="992"/>
    <cellStyle name="汇总 2 12 3 2 5" xfId="993"/>
    <cellStyle name="汇总 2 2 3 6 4 2" xfId="994"/>
    <cellStyle name="汇总 2 9 7 3 6" xfId="995"/>
    <cellStyle name="60% - 强调文字颜色 1 3" xfId="996"/>
    <cellStyle name="汇总 2 14 8" xfId="997"/>
    <cellStyle name="计算 2 9 7 4 5 2" xfId="998"/>
    <cellStyle name="汇总 2 4 10 4 2 2" xfId="999"/>
    <cellStyle name="输入 2 3 6 5 5" xfId="1000"/>
    <cellStyle name="输入 2 7 17 2 2" xfId="1001"/>
    <cellStyle name="输出 2 3 8 7 4" xfId="1002"/>
    <cellStyle name="输出 2 12 7 8 2 2" xfId="1003"/>
    <cellStyle name="计算 2 5 4 6 4" xfId="1004"/>
    <cellStyle name="计算 2 12 3 3 6" xfId="1005"/>
    <cellStyle name="汇总 2 2 11 3 4 2" xfId="1006"/>
    <cellStyle name="计算 2 3 10 4 3" xfId="1007"/>
    <cellStyle name="常规 5" xfId="1008"/>
    <cellStyle name="注释 2 4 7 5 5" xfId="1009"/>
    <cellStyle name="汇总 2 11 7 6 4 2" xfId="1010"/>
    <cellStyle name="60% - 强调文字颜色 2 2" xfId="1011"/>
    <cellStyle name="计算 2 2 10 7 3 2" xfId="1012"/>
    <cellStyle name="输入 2 11 4 6 3" xfId="1013"/>
    <cellStyle name="输入 2 7 10 4 5 2" xfId="1014"/>
    <cellStyle name="汇总 2 15 7" xfId="1015"/>
    <cellStyle name="输入 2 6 7 15" xfId="1016"/>
    <cellStyle name="汇总 2 16 7" xfId="1017"/>
    <cellStyle name="注释 2 10 6 7 2 2" xfId="1018"/>
    <cellStyle name="计算 2 12 9 8 2 2" xfId="1019"/>
    <cellStyle name="输入 2 11 4 7 3" xfId="1020"/>
    <cellStyle name="计算 2 2 10 7 4 2" xfId="1021"/>
    <cellStyle name="60% - 强调文字颜色 3 2" xfId="1022"/>
    <cellStyle name="汇总 2 5 8 2 3" xfId="1023"/>
    <cellStyle name="输出 2 9 10 5 4" xfId="1024"/>
    <cellStyle name="输入 2 11 7 3 2 2" xfId="1025"/>
    <cellStyle name="汇总 2 11 7 6 5 2" xfId="1026"/>
    <cellStyle name="汇总 2 16 8" xfId="1027"/>
    <cellStyle name="注释 2 9 11 7 3 2" xfId="1028"/>
    <cellStyle name="60% - 强调文字颜色 3 3" xfId="1029"/>
    <cellStyle name="计算 2 12 9 8 3 2" xfId="1030"/>
    <cellStyle name="注释 2 10 6 7 3 2" xfId="1031"/>
    <cellStyle name="汇总 2 17 7" xfId="1032"/>
    <cellStyle name="输入 2 11 4 8 3" xfId="1033"/>
    <cellStyle name="计算 2 2 10 7 5 2" xfId="1034"/>
    <cellStyle name="60% - 强调文字颜色 4 2" xfId="1035"/>
    <cellStyle name="汇总 2 17 8" xfId="1036"/>
    <cellStyle name="注释 2 9 5 4 6" xfId="1037"/>
    <cellStyle name="计算 2 10 5 8 2 2" xfId="1038"/>
    <cellStyle name="注释 2 9 11 7 4 2" xfId="1039"/>
    <cellStyle name="60% - 强调文字颜色 4 3" xfId="1040"/>
    <cellStyle name="汇总 2 10 4 2 9" xfId="1041"/>
    <cellStyle name="汇总 2 8 9 3" xfId="1042"/>
    <cellStyle name="汇总 2 11 10 2 5 2" xfId="1043"/>
    <cellStyle name="汇总 2 10 11 2 3" xfId="1044"/>
    <cellStyle name="输出 2 12 3 4 5 2" xfId="1045"/>
    <cellStyle name="输入 2 8 10 5 4" xfId="1046"/>
    <cellStyle name="计算 2 3 10 8 2" xfId="1047"/>
    <cellStyle name="汇总 2 2 7 7 2 2" xfId="1048"/>
    <cellStyle name="计算 2 12 9 8 4 2" xfId="1049"/>
    <cellStyle name="输出 2 12 7 16" xfId="1050"/>
    <cellStyle name="注释 2 10 6 7 4 2" xfId="1051"/>
    <cellStyle name="汇总 2 18 7" xfId="1052"/>
    <cellStyle name="60% - 强调文字颜色 5 2" xfId="1053"/>
    <cellStyle name="汇总 2 9 7 7 6" xfId="1054"/>
    <cellStyle name="汇总 2 10 5 7 2 2" xfId="1055"/>
    <cellStyle name="计算 2 7 2 7 5 2" xfId="1056"/>
    <cellStyle name="输出 2 3 11 12 2" xfId="1057"/>
    <cellStyle name="汇总 2 7 9 8 3 2" xfId="1058"/>
    <cellStyle name="注释 2 10 10 6 3 2" xfId="1059"/>
    <cellStyle name="汇总 2 12 3 6 5" xfId="1060"/>
    <cellStyle name="计算 2 4 7 7 5" xfId="1061"/>
    <cellStyle name="汇总 2 3 10 7 2" xfId="1062"/>
    <cellStyle name="输入 2 12 3 3 2" xfId="1063"/>
    <cellStyle name="输入 2 11 11 4 5 2" xfId="1064"/>
    <cellStyle name="计算 2 2 9 8 2 2" xfId="1065"/>
    <cellStyle name="输入 2 2 9 6 6" xfId="1066"/>
    <cellStyle name="输出 2 3 3 11 2" xfId="1067"/>
    <cellStyle name="输入 2 5 12 7" xfId="1068"/>
    <cellStyle name="汇总 2 12 10 3 2" xfId="1069"/>
    <cellStyle name="输出 2 17 3 5 2" xfId="1070"/>
    <cellStyle name="注释 2 11 2 7 2" xfId="1071"/>
    <cellStyle name="汇总 2 8 9 4" xfId="1072"/>
    <cellStyle name="汇总 2 10 11 2 4" xfId="1073"/>
    <cellStyle name="汇总 2 18 8" xfId="1074"/>
    <cellStyle name="注释 2 9 5 5 6" xfId="1075"/>
    <cellStyle name="计算 2 10 5 8 3 2" xfId="1076"/>
    <cellStyle name="注释 2 9 11 7 5 2" xfId="1077"/>
    <cellStyle name="60% - 强调文字颜色 5 3" xfId="1078"/>
    <cellStyle name="汇总 2 10 11 3 3" xfId="1079"/>
    <cellStyle name="输入 2 8 10 6 4" xfId="1080"/>
    <cellStyle name="计算 2 3 10 9 2" xfId="1081"/>
    <cellStyle name="输入 2 5 11" xfId="1082"/>
    <cellStyle name="汇总 2 2 7 7 3 2" xfId="1083"/>
    <cellStyle name="60% - 强调文字颜色 6 2" xfId="1084"/>
    <cellStyle name="汇总 2 7 9 8 4 2" xfId="1085"/>
    <cellStyle name="注释 2 10 10 6 4 2" xfId="1086"/>
    <cellStyle name="汇总 2 12 3 7 5" xfId="1087"/>
    <cellStyle name="汇总 2 16 2 9" xfId="1088"/>
    <cellStyle name="汇总 2 10 5 7 3 2" xfId="1089"/>
    <cellStyle name="计算 2 4 7 8 5" xfId="1090"/>
    <cellStyle name="输入 2 3 5 13" xfId="1091"/>
    <cellStyle name="汇总 2 3 10 8 2" xfId="1092"/>
    <cellStyle name="输入 2 12 3 4 2" xfId="1093"/>
    <cellStyle name="计算 2 2 9 8 3 2" xfId="1094"/>
    <cellStyle name="输入 2 2 9 7 6" xfId="1095"/>
    <cellStyle name="输出 2 3 3 12 2" xfId="1096"/>
    <cellStyle name="检查单元格 2 10 8 2" xfId="1097"/>
    <cellStyle name="汇总 2 17 6 2 2" xfId="1098"/>
    <cellStyle name="输出 2 11 10 8" xfId="1099"/>
    <cellStyle name="汇总 2 12 10 4 2" xfId="1100"/>
    <cellStyle name="输出 2 4 5 15" xfId="1101"/>
    <cellStyle name="汇总 2 10 11 3 4" xfId="1102"/>
    <cellStyle name="注释 2 9 5 6 6" xfId="1103"/>
    <cellStyle name="计算 2 10 5 8 4 2" xfId="1104"/>
    <cellStyle name="60% - 强调文字颜色 6 3" xfId="1105"/>
    <cellStyle name="计算 2 11 16 5 2" xfId="1106"/>
    <cellStyle name="汇总 2 11 3 8 5" xfId="1107"/>
    <cellStyle name="汇总 2 10 4 7 4 2" xfId="1108"/>
    <cellStyle name="计算 2 12 2 3 4" xfId="1109"/>
    <cellStyle name="常规 46" xfId="1110"/>
    <cellStyle name="常规 51" xfId="1111"/>
    <cellStyle name="计算 2 5 3 6 2" xfId="1112"/>
    <cellStyle name="输入 2 2 6 4 2 2" xfId="1113"/>
    <cellStyle name="输出 2 3 7 7 2" xfId="1114"/>
    <cellStyle name="输入 2 3 5 5 3" xfId="1115"/>
    <cellStyle name="计算 2 11 3 2 3 2" xfId="1116"/>
    <cellStyle name="汇总 2 9 6 3 4" xfId="1117"/>
    <cellStyle name="汇总 2 7 10 11" xfId="1118"/>
    <cellStyle name="输出 2 7 3 3 6" xfId="1119"/>
    <cellStyle name="汇总 2 12 2 2 3" xfId="1120"/>
    <cellStyle name="输入 2 11 10 5" xfId="1121"/>
    <cellStyle name="计算 2 8 5 10 2" xfId="1122"/>
    <cellStyle name="计算 2 3 7 2 2 2" xfId="1123"/>
    <cellStyle name="汇总 2 10 6 5 6" xfId="1124"/>
    <cellStyle name="注释 2 5 3 7 3" xfId="1125"/>
    <cellStyle name="汇总 2 8 7 2 3 2" xfId="1126"/>
    <cellStyle name="汇总 2 10 9 13" xfId="1127"/>
    <cellStyle name="标题 1 2" xfId="1128"/>
    <cellStyle name="计算 2 4 4 13" xfId="1129"/>
    <cellStyle name="计算 2 3 2 4 5 2" xfId="1130"/>
    <cellStyle name="汇总 2 3 9 5 3 2" xfId="1131"/>
    <cellStyle name="计算 2 12 2 3 5" xfId="1132"/>
    <cellStyle name="常规 47" xfId="1133"/>
    <cellStyle name="常规 52" xfId="1134"/>
    <cellStyle name="计算 2 5 3 6 3" xfId="1135"/>
    <cellStyle name="输出 2 3 7 7 3" xfId="1136"/>
    <cellStyle name="输出 2 3 10 4" xfId="1137"/>
    <cellStyle name="注释 2 9 7 8 3" xfId="1138"/>
    <cellStyle name="汇总 2 10 22 2" xfId="1139"/>
    <cellStyle name="汇总 2 10 17 2" xfId="1140"/>
    <cellStyle name="输出 2 7 10 2 6" xfId="1141"/>
    <cellStyle name="汇总 2 11 7 5 3 2" xfId="1142"/>
    <cellStyle name="汇总 2 12 4 8 2 2" xfId="1143"/>
    <cellStyle name="输入 2 7 9 6 3" xfId="1144"/>
    <cellStyle name="计算 2 11 7 6 4 2" xfId="1145"/>
    <cellStyle name="汇总 2 4 8 6 5" xfId="1146"/>
    <cellStyle name="计算 2 9 7 7 2" xfId="1147"/>
    <cellStyle name="标题 1 3" xfId="1148"/>
    <cellStyle name="输入 2 8 11 16" xfId="1149"/>
    <cellStyle name="汇总 2 6 4 3 2" xfId="1150"/>
    <cellStyle name="汇总 2 9 6 4 4" xfId="1151"/>
    <cellStyle name="输出 2 7 3 4 6" xfId="1152"/>
    <cellStyle name="汇总 2 12 2 3 3" xfId="1153"/>
    <cellStyle name="输入 2 11 11 5" xfId="1154"/>
    <cellStyle name="计算 2 8 5 11 2" xfId="1155"/>
    <cellStyle name="计算 2 3 7 2 3 2" xfId="1156"/>
    <cellStyle name="汇总 2 10 6 6 6" xfId="1157"/>
    <cellStyle name="标题 2 2" xfId="1158"/>
    <cellStyle name="汇总 2 3 9 5 4 2" xfId="1159"/>
    <cellStyle name="输出 2 3 11 4" xfId="1160"/>
    <cellStyle name="汇总 2 10 23 2" xfId="1161"/>
    <cellStyle name="汇总 2 10 18 2" xfId="1162"/>
    <cellStyle name="输出 2 7 10 3 6" xfId="1163"/>
    <cellStyle name="汇总 2 11 7 5 4 2" xfId="1164"/>
    <cellStyle name="汇总 2 12 4 8 3 2" xfId="1165"/>
    <cellStyle name="输入 2 7 9 7 3" xfId="1166"/>
    <cellStyle name="计算 2 11 7 6 5 2" xfId="1167"/>
    <cellStyle name="汇总 2 4 8 7 5" xfId="1168"/>
    <cellStyle name="计算 2 9 7 8 2" xfId="1169"/>
    <cellStyle name="标题 2 3" xfId="1170"/>
    <cellStyle name="注释 2 3 9 2 6" xfId="1171"/>
    <cellStyle name="汇总 2 6 4 4 2" xfId="1172"/>
    <cellStyle name="计算 2 8 19 2 2" xfId="1173"/>
    <cellStyle name="计算 2 10 7 11" xfId="1174"/>
    <cellStyle name="汇总 2 9 6 5 4" xfId="1175"/>
    <cellStyle name="输出 2 7 3 5 6" xfId="1176"/>
    <cellStyle name="汇总 2 12 2 4 3" xfId="1177"/>
    <cellStyle name="输入 2 11 12 5" xfId="1178"/>
    <cellStyle name="计算 2 8 5 12 2" xfId="1179"/>
    <cellStyle name="计算 2 3 7 2 4 2" xfId="1180"/>
    <cellStyle name="汇总 2 10 6 7 6" xfId="1181"/>
    <cellStyle name="汇总 2 11 6 8 2 2" xfId="1182"/>
    <cellStyle name="标题 3 2" xfId="1183"/>
    <cellStyle name="注释 2 8 2 2 8" xfId="1184"/>
    <cellStyle name="汇总 2 3 9 5 5 2" xfId="1185"/>
    <cellStyle name="汇总 2 2 9 14" xfId="1186"/>
    <cellStyle name="计算 2 8 8 6 2 2" xfId="1187"/>
    <cellStyle name="汇总 2 11 9 10" xfId="1188"/>
    <cellStyle name="计算 2 6 10 7" xfId="1189"/>
    <cellStyle name="输出 2 3 12 4" xfId="1190"/>
    <cellStyle name="汇总 2 10 19 2" xfId="1191"/>
    <cellStyle name="输出 2 7 10 4 6" xfId="1192"/>
    <cellStyle name="汇总 2 11 7 5 5 2" xfId="1193"/>
    <cellStyle name="输入 2 11 7 2 2 2" xfId="1194"/>
    <cellStyle name="汇总 2 5 7 2 3" xfId="1195"/>
    <cellStyle name="汇总 2 12 4 8 4 2" xfId="1196"/>
    <cellStyle name="汇总 2 12 3 10 2" xfId="1197"/>
    <cellStyle name="汇总 2 4 8 8 5" xfId="1198"/>
    <cellStyle name="计算 2 9 7 9 2" xfId="1199"/>
    <cellStyle name="汇总 2 2 9 15" xfId="1200"/>
    <cellStyle name="标题 3 3" xfId="1201"/>
    <cellStyle name="注释 2 3 9 3 6" xfId="1202"/>
    <cellStyle name="汇总 2 6 4 5 2" xfId="1203"/>
    <cellStyle name="计算 2 8 19 3 2" xfId="1204"/>
    <cellStyle name="汇总 2 11 9 11" xfId="1205"/>
    <cellStyle name="计算 2 6 10 8" xfId="1206"/>
    <cellStyle name="标题 4 2" xfId="1207"/>
    <cellStyle name="汇总 2 12 3 11 2" xfId="1208"/>
    <cellStyle name="计算 2 6 4 6 2 2" xfId="1209"/>
    <cellStyle name="标题 4 3" xfId="1210"/>
    <cellStyle name="输出 2 4 8 7 2 2" xfId="1211"/>
    <cellStyle name="注释 2 3 9 4 6" xfId="1212"/>
    <cellStyle name="汇总 2 6 4 6 2" xfId="1213"/>
    <cellStyle name="计算 2 8 19 4 2" xfId="1214"/>
    <cellStyle name="计算 2 4 4 5 5" xfId="1215"/>
    <cellStyle name="计算 2 11 3 2 7" xfId="1216"/>
    <cellStyle name="注释 2 14 6 3 2" xfId="1217"/>
    <cellStyle name="输出 2 2 8 6 5" xfId="1218"/>
    <cellStyle name="汇总 2 10 11 7 2" xfId="1219"/>
    <cellStyle name="标题 5" xfId="1220"/>
    <cellStyle name="汇总 2 11 6 8 4" xfId="1221"/>
    <cellStyle name="计算 2 10 9 6 6" xfId="1222"/>
    <cellStyle name="汇总 2 3 5 4 2 2" xfId="1223"/>
    <cellStyle name="汇总 2 7 9" xfId="1224"/>
    <cellStyle name="汇总 2 10 10 2" xfId="1225"/>
    <cellStyle name="输出 2 2 8 6 6" xfId="1226"/>
    <cellStyle name="计算 2 4 4 5 6" xfId="1227"/>
    <cellStyle name="计算 2 11 3 2 8" xfId="1228"/>
    <cellStyle name="输出 2 3 2 5 2 2" xfId="1229"/>
    <cellStyle name="汇总 2 10 11 7 3" xfId="1230"/>
    <cellStyle name="输入 2 5 17 6" xfId="1231"/>
    <cellStyle name="汇总 2 7 11 3 3 2" xfId="1232"/>
    <cellStyle name="计算 2 5 11 11 2" xfId="1233"/>
    <cellStyle name="计算 2 7 6 8 4 2" xfId="1234"/>
    <cellStyle name="计算 2 12 17 2 2" xfId="1235"/>
    <cellStyle name="标题 6" xfId="1236"/>
    <cellStyle name="汇总 2 10 10 3" xfId="1237"/>
    <cellStyle name="注释 2 2 11 8 3 2" xfId="1238"/>
    <cellStyle name="汇总 2 2 3 2 2" xfId="1239"/>
    <cellStyle name="汇总 2 11 6 8 5" xfId="1240"/>
    <cellStyle name="输出 2 8 3 6 5" xfId="1241"/>
    <cellStyle name="汇总 2 9 4 8 2 2" xfId="1242"/>
    <cellStyle name="汇总 2 13 2 5 2" xfId="1243"/>
    <cellStyle name="输出 2 11 17 2 2" xfId="1244"/>
    <cellStyle name="注释 2 9 7 4" xfId="1245"/>
    <cellStyle name="计算 2 4 14 3 2" xfId="1246"/>
    <cellStyle name="注释 2 3 2 5 2" xfId="1247"/>
    <cellStyle name="差 2" xfId="1248"/>
    <cellStyle name="输入 2 3 4 2 9" xfId="1249"/>
    <cellStyle name="汇总 2 5 9 4 6" xfId="1250"/>
    <cellStyle name="计算 2 12 5 6" xfId="1251"/>
    <cellStyle name="输入 2 11 2 2 8" xfId="1252"/>
    <cellStyle name="输出 2 11 6 7 4 2" xfId="1253"/>
    <cellStyle name="注释 2 10 2 5" xfId="1254"/>
    <cellStyle name="汇总 2 11 9 3 4 2" xfId="1255"/>
    <cellStyle name="注释 2 3 2 5 3" xfId="1256"/>
    <cellStyle name="差 3" xfId="1257"/>
    <cellStyle name="计算 2 2 16 4 2" xfId="1258"/>
    <cellStyle name="计算 2 12 2 2 8" xfId="1259"/>
    <cellStyle name="常规 10" xfId="1260"/>
    <cellStyle name="计算 2 5 3 5 6" xfId="1261"/>
    <cellStyle name="输出 2 3 3 4 2 2" xfId="1262"/>
    <cellStyle name="输入 2 12 3 12 2" xfId="1263"/>
    <cellStyle name="输出 2 3 7 6 6" xfId="1264"/>
    <cellStyle name="输出 2 5 10 5 5 2" xfId="1265"/>
    <cellStyle name="汇总 2 2 3 8 4" xfId="1266"/>
    <cellStyle name="注释 2 9 7 7 6" xfId="1267"/>
    <cellStyle name="汇总 2 10 16 5" xfId="1268"/>
    <cellStyle name="汇总 2 3 12 3" xfId="1269"/>
    <cellStyle name="汇总 2 2 11 16" xfId="1270"/>
    <cellStyle name="常规 10 2" xfId="1271"/>
    <cellStyle name="汇总 2 9 9 3 6" xfId="1272"/>
    <cellStyle name="汇总 2 2 3 8 4 2" xfId="1273"/>
    <cellStyle name="输出 2 12 12 6" xfId="1274"/>
    <cellStyle name="输出 2 12 2 6 5" xfId="1275"/>
    <cellStyle name="输入 2 6 15 5" xfId="1276"/>
    <cellStyle name="汇总 2 2 27" xfId="1277"/>
    <cellStyle name="汇总 2 12 5 2 5" xfId="1278"/>
    <cellStyle name="输入 2 5 4 8 2 2" xfId="1279"/>
    <cellStyle name="计算 2 9 2 2 8" xfId="1280"/>
    <cellStyle name="输出 2 5 10 15" xfId="1281"/>
    <cellStyle name="注释 2 7 2 4 2" xfId="1282"/>
    <cellStyle name="计算 2 4 9 3 5" xfId="1283"/>
    <cellStyle name="汇总 2 3 12 3 2" xfId="1284"/>
    <cellStyle name="汇总 2 10 16 5 2" xfId="1285"/>
    <cellStyle name="汇总 2 10 11 7 5" xfId="1286"/>
    <cellStyle name="汇总 2 11 14 2 2" xfId="1287"/>
    <cellStyle name="输出 2 12 7 4 2" xfId="1288"/>
    <cellStyle name="输入 2 7 13 2" xfId="1289"/>
    <cellStyle name="汇总 2 5 7 7" xfId="1290"/>
    <cellStyle name="输入 2 4 5 8 4" xfId="1291"/>
    <cellStyle name="输入 2 10 10 2 3 2" xfId="1292"/>
    <cellStyle name="输出 2 6 5 10" xfId="1293"/>
    <cellStyle name="汇总 2 10 10 5" xfId="1294"/>
    <cellStyle name="输入 2 9 5 2 3 2" xfId="1295"/>
    <cellStyle name="汇总 2 2 3 2 4" xfId="1296"/>
    <cellStyle name="输出 2 9 7 4 2 2" xfId="1297"/>
    <cellStyle name="汇总 2 6 4 2 5 2" xfId="1298"/>
    <cellStyle name="汇总 2 2 11 5 4 2" xfId="1299"/>
    <cellStyle name="检查单元格 2 3 11 5 2" xfId="1300"/>
    <cellStyle name="计算 2 12 5 3 6" xfId="1301"/>
    <cellStyle name="计算 2 5 6 6 4" xfId="1302"/>
    <cellStyle name="输入 2 7 19 2 2" xfId="1303"/>
    <cellStyle name="输入 2 3 8 5 5" xfId="1304"/>
    <cellStyle name="汇总 2 4 10 6 2 2" xfId="1305"/>
    <cellStyle name="注释 2 10 2 2 6" xfId="1306"/>
    <cellStyle name="计算 2 9 7 6 5 2" xfId="1307"/>
    <cellStyle name="计算 2 3 9 7 4" xfId="1308"/>
    <cellStyle name="计算 2 10 8 4 6" xfId="1309"/>
    <cellStyle name="检查单元格 2 10 7 5 5" xfId="1310"/>
    <cellStyle name="常规 10 2 2" xfId="1311"/>
    <cellStyle name="汇总 2 8 9 7 5" xfId="1312"/>
    <cellStyle name="汇总 2 11 5 6 4" xfId="1313"/>
    <cellStyle name="汇总 2 10 11 7 5 2" xfId="1314"/>
    <cellStyle name="输出 2 8 8 4 4 2" xfId="1315"/>
    <cellStyle name="汇总 2 10 8 3 5" xfId="1316"/>
    <cellStyle name="输入 2 8 6 2 5 2" xfId="1317"/>
    <cellStyle name="输入 2 5 7 2 9" xfId="1318"/>
    <cellStyle name="常规 2 7" xfId="1319"/>
    <cellStyle name="检查单元格 2 9 2 3 4" xfId="1320"/>
    <cellStyle name="输出 2 10 5 7 5" xfId="1321"/>
    <cellStyle name="汇总 2 9 3 3 6" xfId="1322"/>
    <cellStyle name="汇总 2 2 3 2 4 2" xfId="1323"/>
    <cellStyle name="计算 2 4 3 3 5" xfId="1324"/>
    <cellStyle name="输入 2 2 9 13" xfId="1325"/>
    <cellStyle name="输出 2 2 7 4 5" xfId="1326"/>
    <cellStyle name="汇总 2 10 10 5 2" xfId="1327"/>
    <cellStyle name="输出 2 8 19 5" xfId="1328"/>
    <cellStyle name="汇总 2 10 18 2 2" xfId="1329"/>
    <cellStyle name="输出 2 3 11 4 2" xfId="1330"/>
    <cellStyle name="计算 2 12 2 2 9" xfId="1331"/>
    <cellStyle name="计算 2 11 8 8 4 2" xfId="1332"/>
    <cellStyle name="常规 11" xfId="1333"/>
    <cellStyle name="输入 2 5 4 8 3" xfId="1334"/>
    <cellStyle name="计算 2 4 6 4 4 2" xfId="1335"/>
    <cellStyle name="检查单元格 2 5 7 12" xfId="1336"/>
    <cellStyle name="输入 2 2 8 3 5 2" xfId="1337"/>
    <cellStyle name="汇总 2 2 3 8 5" xfId="1338"/>
    <cellStyle name="计算 2 7 2 9 2" xfId="1339"/>
    <cellStyle name="注释 2 7 2 5" xfId="1340"/>
    <cellStyle name="汇总 2 9 6 4 5 2" xfId="1341"/>
    <cellStyle name="汇总 2 3 12 4" xfId="1342"/>
    <cellStyle name="汇总 2 12 2 3 4 2" xfId="1343"/>
    <cellStyle name="输入 2 11 11 6 2" xfId="1344"/>
    <cellStyle name="汇总 2 10 16 6" xfId="1345"/>
    <cellStyle name="常规 12" xfId="1346"/>
    <cellStyle name="汇总 2 5 10 10" xfId="1347"/>
    <cellStyle name="汇总 2 7 6 3 3" xfId="1348"/>
    <cellStyle name="检查单元格 2 12 5" xfId="1349"/>
    <cellStyle name="注释 2 6 6 6 3 2" xfId="1350"/>
    <cellStyle name="汇总 2 10 2 2 2" xfId="1351"/>
    <cellStyle name="输出 2 17 5 3" xfId="1352"/>
    <cellStyle name="输出 2 5 3 3 5" xfId="1353"/>
    <cellStyle name="汇总 2 5 10 11" xfId="1354"/>
    <cellStyle name="汇总 2 7 6 3 4" xfId="1355"/>
    <cellStyle name="检查单元格 2 12 6" xfId="1356"/>
    <cellStyle name="汇总 2 12 12 2" xfId="1357"/>
    <cellStyle name="汇总 2 10 2 2 3" xfId="1358"/>
    <cellStyle name="输出 2 17 5 4" xfId="1359"/>
    <cellStyle name="输出 2 5 3 3 6" xfId="1360"/>
    <cellStyle name="计算 2 3 5 2 2 2" xfId="1361"/>
    <cellStyle name="常规 13" xfId="1362"/>
    <cellStyle name="汇总 2 10 5 9 2" xfId="1363"/>
    <cellStyle name="输入 2 12 5 3" xfId="1364"/>
    <cellStyle name="输入 2 11 11 6 5" xfId="1365"/>
    <cellStyle name="汇总 2 10 8 2 4 2" xfId="1366"/>
    <cellStyle name="汇总 2 3 12 7" xfId="1367"/>
    <cellStyle name="检查单元格 2 9 2 2 3 2" xfId="1368"/>
    <cellStyle name="输出 2 10 5 6 4 2" xfId="1369"/>
    <cellStyle name="输入 2 7 6 5 3 2" xfId="1370"/>
    <cellStyle name="计算 2 2 6 3 4" xfId="1371"/>
    <cellStyle name="输出 2 7 8 7 2 2" xfId="1372"/>
    <cellStyle name="汇总 2 4 5 5 5 2" xfId="1373"/>
    <cellStyle name="注释 2 11 4 7" xfId="1374"/>
    <cellStyle name="计算 2 9 4 6 2 2" xfId="1375"/>
    <cellStyle name="汇总 2 7 6 3 5" xfId="1376"/>
    <cellStyle name="汇总 2 5 10 12" xfId="1377"/>
    <cellStyle name="汇总 2 12 12 3" xfId="1378"/>
    <cellStyle name="汇总 2 10 2 2 4" xfId="1379"/>
    <cellStyle name="输出 2 17 5 5" xfId="1380"/>
    <cellStyle name="常规 14" xfId="1381"/>
    <cellStyle name="汇总 2 7 6 3 6" xfId="1382"/>
    <cellStyle name="汇总 2 17 8 2" xfId="1383"/>
    <cellStyle name="汇总 2 5 10 13" xfId="1384"/>
    <cellStyle name="输入 2 5 2 5 2 2" xfId="1385"/>
    <cellStyle name="汇总 2 12 12 4" xfId="1386"/>
    <cellStyle name="汇总 2 10 2 2 5" xfId="1387"/>
    <cellStyle name="输出 2 17 5 6" xfId="1388"/>
    <cellStyle name="常规 15" xfId="1389"/>
    <cellStyle name="常规 20" xfId="1390"/>
    <cellStyle name="汇总 2 17 8 3" xfId="1391"/>
    <cellStyle name="汇总 2 5 10 14" xfId="1392"/>
    <cellStyle name="汇总 2 3 11 3 5 2" xfId="1393"/>
    <cellStyle name="检查单元格 2 2 2" xfId="1394"/>
    <cellStyle name="注释 2 11 13 3 2" xfId="1395"/>
    <cellStyle name="汇总 2 10 2 2 6" xfId="1396"/>
    <cellStyle name="汇总 2 12 12 5" xfId="1397"/>
    <cellStyle name="检查单元格 2 6 5 3 4 2" xfId="1398"/>
    <cellStyle name="计算 2 4 8 10" xfId="1399"/>
    <cellStyle name="计算 2 2 6 3 6" xfId="1400"/>
    <cellStyle name="注释 2 2 8 5 2 2" xfId="1401"/>
    <cellStyle name="注释 2 11 4 9" xfId="1402"/>
    <cellStyle name="汇总 2 5 10 4 3 2" xfId="1403"/>
    <cellStyle name="检查单元格 2 4 3 3 2" xfId="1404"/>
    <cellStyle name="常规 16" xfId="1405"/>
    <cellStyle name="常规 21" xfId="1406"/>
    <cellStyle name="汇总 2 10 3 11 2" xfId="1407"/>
    <cellStyle name="汇总 2 10 8 7 2 2" xfId="1408"/>
    <cellStyle name="计算 2 7 5 7 5 2" xfId="1409"/>
    <cellStyle name="输出 2 4 3 11" xfId="1410"/>
    <cellStyle name="注释 2 3 10 4 4" xfId="1411"/>
    <cellStyle name="输入 2 7 25" xfId="1412"/>
    <cellStyle name="汇总 2 4 10 7" xfId="1413"/>
    <cellStyle name="汇总 2 17 8 4" xfId="1414"/>
    <cellStyle name="汇总 2 5 10 15" xfId="1415"/>
    <cellStyle name="汇总 2 15 8 4 2" xfId="1416"/>
    <cellStyle name="检查单元格 2 2 3" xfId="1417"/>
    <cellStyle name="检查单元格 2 4 10" xfId="1418"/>
    <cellStyle name="注释 2 11 11 3 3 2" xfId="1419"/>
    <cellStyle name="汇总 2 12 12 6" xfId="1420"/>
    <cellStyle name="汇总 2 10 2 2 7" xfId="1421"/>
    <cellStyle name="常规 17" xfId="1422"/>
    <cellStyle name="常规 22" xfId="1423"/>
    <cellStyle name="注释 2 3 15 2 2" xfId="1424"/>
    <cellStyle name="汇总 2 17 8 5" xfId="1425"/>
    <cellStyle name="汇总 2 5 10 16" xfId="1426"/>
    <cellStyle name="计算 2 12 5 2 3 2" xfId="1427"/>
    <cellStyle name="检查单元格 2 2 4" xfId="1428"/>
    <cellStyle name="检查单元格 2 4 11" xfId="1429"/>
    <cellStyle name="输入 2 3 8 4 2 2" xfId="1430"/>
    <cellStyle name="汇总 2 10 2 2 8" xfId="1431"/>
    <cellStyle name="汇总 2 11 6 7 4 2" xfId="1432"/>
    <cellStyle name="常规 18" xfId="1433"/>
    <cellStyle name="常规 23" xfId="1434"/>
    <cellStyle name="汇总 2 6 9 2" xfId="1435"/>
    <cellStyle name="计算 2 4 4 4 5 2" xfId="1436"/>
    <cellStyle name="输出 2 2 8 5 5 2" xfId="1437"/>
    <cellStyle name="汇总 2 10 11 6 2 2" xfId="1438"/>
    <cellStyle name="输入 2 5 16 5 2" xfId="1439"/>
    <cellStyle name="汇总 2 11 7 11 2" xfId="1440"/>
    <cellStyle name="注释 2 5 9 13" xfId="1441"/>
    <cellStyle name="常规 18 10" xfId="1442"/>
    <cellStyle name="汇总 2 10 18 5" xfId="1443"/>
    <cellStyle name="检查单元格 2 8 7 4 3 2" xfId="1444"/>
    <cellStyle name="输出 2 3 11 7" xfId="1445"/>
    <cellStyle name="汇总 2 3 14 3" xfId="1446"/>
    <cellStyle name="常规 18 2" xfId="1447"/>
    <cellStyle name="汇总 2 6 9 2 2" xfId="1448"/>
    <cellStyle name="常规 24 3" xfId="1449"/>
    <cellStyle name="输入 2 11 8 4 3 2" xfId="1450"/>
    <cellStyle name="汇总 2 6 9 3 3" xfId="1451"/>
    <cellStyle name="汇总 2 7 7 7" xfId="1452"/>
    <cellStyle name="汇总 2 11 16 2 2" xfId="1453"/>
    <cellStyle name="输出 2 12 9 4 2" xfId="1454"/>
    <cellStyle name="汇总 2 12 7 2 5" xfId="1455"/>
    <cellStyle name="输入 2 12 10 7" xfId="1456"/>
    <cellStyle name="计算 2 9 4 2 8" xfId="1457"/>
    <cellStyle name="汇总 2 11 11 4 5" xfId="1458"/>
    <cellStyle name="输出 2 12 4 6 5" xfId="1459"/>
    <cellStyle name="汇总 2 10 18 5 2" xfId="1460"/>
    <cellStyle name="输出 2 3 11 7 2" xfId="1461"/>
    <cellStyle name="汇总 2 3 14 3 2" xfId="1462"/>
    <cellStyle name="注释 2 5 8 7 5" xfId="1463"/>
    <cellStyle name="汇总 2 11 9 15" xfId="1464"/>
    <cellStyle name="常规 18 2 2" xfId="1465"/>
    <cellStyle name="汇总 2 6 9 2 2 2" xfId="1466"/>
    <cellStyle name="输入 2 9 5 5 4 2" xfId="1467"/>
    <cellStyle name="汇总 2 2 6 3 4" xfId="1468"/>
    <cellStyle name="汇总 2 10 7 3" xfId="1469"/>
    <cellStyle name="汇总 2 12 7 2 5 2" xfId="1470"/>
    <cellStyle name="汇总 2 11 11 4 5 2" xfId="1471"/>
    <cellStyle name="输出 2 12 4 6 5 2" xfId="1472"/>
    <cellStyle name="汇总 2 11 6 2 9" xfId="1473"/>
    <cellStyle name="常规 24 3 2" xfId="1474"/>
    <cellStyle name="汇总 2 6 9 3 3 2" xfId="1475"/>
    <cellStyle name="输出 2 15 2 4" xfId="1476"/>
    <cellStyle name="汇总 2 12 8 3 5" xfId="1477"/>
    <cellStyle name="计算 2 8 10 11 2" xfId="1478"/>
    <cellStyle name="汇总 2 3 15 4 2" xfId="1479"/>
    <cellStyle name="检查单元格 2 2 4 2 2 2" xfId="1480"/>
    <cellStyle name="常规 18 2 2 2" xfId="1481"/>
    <cellStyle name="计算 2 10 3 7 2" xfId="1482"/>
    <cellStyle name="输出 2 15 15" xfId="1483"/>
    <cellStyle name="汇总 2 7 12 5" xfId="1484"/>
    <cellStyle name="常规 24 4" xfId="1485"/>
    <cellStyle name="输入 2 9 9 8 4 2" xfId="1486"/>
    <cellStyle name="汇总 2 6 9 3 4" xfId="1487"/>
    <cellStyle name="输入 2 10 15 3 2" xfId="1488"/>
    <cellStyle name="汇总 2 7 6 6 3" xfId="1489"/>
    <cellStyle name="汇总 2 10 2 5 2" xfId="1490"/>
    <cellStyle name="输出 2 17 8 3" xfId="1491"/>
    <cellStyle name="输出 2 5 3 6 5" xfId="1492"/>
    <cellStyle name="常规 18 2 3" xfId="1493"/>
    <cellStyle name="输入 2 9 6 7 4" xfId="1494"/>
    <cellStyle name="汇总 2 7 6 6 3 2" xfId="1495"/>
    <cellStyle name="汇总 2 5 5 11" xfId="1496"/>
    <cellStyle name="汇总 2 10 2 5 2 2" xfId="1497"/>
    <cellStyle name="汇总 2 6 5 7 6" xfId="1498"/>
    <cellStyle name="输出 2 17 8 3 2" xfId="1499"/>
    <cellStyle name="输出 2 5 3 6 5 2" xfId="1500"/>
    <cellStyle name="汇总 2 12 8 4 5" xfId="1501"/>
    <cellStyle name="计算 2 8 10 12 2" xfId="1502"/>
    <cellStyle name="汇总 2 3 15 5 2" xfId="1503"/>
    <cellStyle name="检查单元格 2 2 4 2 3 2" xfId="1504"/>
    <cellStyle name="常规 18 2 3 2" xfId="1505"/>
    <cellStyle name="计算 2 10 3 8 2" xfId="1506"/>
    <cellStyle name="输出 2 7 10 9" xfId="1507"/>
    <cellStyle name="汇总 2 7 13 5" xfId="1508"/>
    <cellStyle name="计算 2 6 8 2 2" xfId="1509"/>
    <cellStyle name="汇总 2 10 7 5 4 2" xfId="1510"/>
    <cellStyle name="常规 24 5" xfId="1511"/>
    <cellStyle name="汇总 2 6 9 3 5" xfId="1512"/>
    <cellStyle name="汇总 2 7 6 6 4" xfId="1513"/>
    <cellStyle name="汇总 2 12 20 2" xfId="1514"/>
    <cellStyle name="汇总 2 12 15 2" xfId="1515"/>
    <cellStyle name="汇总 2 10 2 5 3" xfId="1516"/>
    <cellStyle name="输出 2 17 8 4" xfId="1517"/>
    <cellStyle name="输出 2 5 3 6 6" xfId="1518"/>
    <cellStyle name="计算 2 10 11 3 5 2" xfId="1519"/>
    <cellStyle name="汇总 2 14 4 2" xfId="1520"/>
    <cellStyle name="常规 18 2 4" xfId="1521"/>
    <cellStyle name="汇总 2 11 4 8 3 2" xfId="1522"/>
    <cellStyle name="汇总 2 14 4 3" xfId="1523"/>
    <cellStyle name="常规 18 2 5" xfId="1524"/>
    <cellStyle name="汇总 2 7 6 6 5" xfId="1525"/>
    <cellStyle name="汇总 2 12 15 3" xfId="1526"/>
    <cellStyle name="汇总 2 10 2 5 4" xfId="1527"/>
    <cellStyle name="输出 2 17 8 5" xfId="1528"/>
    <cellStyle name="计算 2 2 6 6 4" xfId="1529"/>
    <cellStyle name="注释 2 9 4 16" xfId="1530"/>
    <cellStyle name="汇总 2 11 11 8 2 2" xfId="1531"/>
    <cellStyle name="输出 2 7 8 7 5 2" xfId="1532"/>
    <cellStyle name="汇总 2 12 7 6 2 2" xfId="1533"/>
    <cellStyle name="注释 2 11 7 7" xfId="1534"/>
    <cellStyle name="输入 2 12 14 4 2" xfId="1535"/>
    <cellStyle name="计算 2 9 4 6 5 2" xfId="1536"/>
    <cellStyle name="注释 2 2 7 12" xfId="1537"/>
    <cellStyle name="计算 2 7 4 3 4" xfId="1538"/>
    <cellStyle name="汇总 2 2 5 2 7" xfId="1539"/>
    <cellStyle name="输出 2 5 8 4 4" xfId="1540"/>
    <cellStyle name="注释 2 10 12 2 2" xfId="1541"/>
    <cellStyle name="汇总 2 10 10 4 4 2" xfId="1542"/>
    <cellStyle name="计算 2 9 9 4 2 2" xfId="1543"/>
    <cellStyle name="汇总 2 2 5 10" xfId="1544"/>
    <cellStyle name="输出 2 6 3 4" xfId="1545"/>
    <cellStyle name="汇总 2 11 17 6" xfId="1546"/>
    <cellStyle name="输出 2 4 10 8" xfId="1547"/>
    <cellStyle name="汇总 2 4 13 4" xfId="1548"/>
    <cellStyle name="常规 24 6" xfId="1549"/>
    <cellStyle name="汇总 2 6 9 3 6" xfId="1550"/>
    <cellStyle name="常规 24 7" xfId="1551"/>
    <cellStyle name="汇总 2 3 10 6 5 2" xfId="1552"/>
    <cellStyle name="汇总 2 2 6 3 4 2" xfId="1553"/>
    <cellStyle name="注释 2 2 7 13" xfId="1554"/>
    <cellStyle name="计算 2 7 4 3 5" xfId="1555"/>
    <cellStyle name="汇总 2 2 5 2 8" xfId="1556"/>
    <cellStyle name="汇总 2 10 7 3 2" xfId="1557"/>
    <cellStyle name="输出 2 5 8 4 5" xfId="1558"/>
    <cellStyle name="汇总 2 2 5 11" xfId="1559"/>
    <cellStyle name="输出 2 6 3 5" xfId="1560"/>
    <cellStyle name="输入 2 5 2 5 5 2" xfId="1561"/>
    <cellStyle name="汇总 2 7 7 7 2 2" xfId="1562"/>
    <cellStyle name="汇总 2 12 15 4" xfId="1563"/>
    <cellStyle name="汇总 2 10 2 5 5" xfId="1564"/>
    <cellStyle name="汇总 2 5 11 2" xfId="1565"/>
    <cellStyle name="汇总 2 7 6 6 6" xfId="1566"/>
    <cellStyle name="输出 2 5 4 7 4 2" xfId="1567"/>
    <cellStyle name="汇总 2 14 4 4" xfId="1568"/>
    <cellStyle name="常规 18 2 6" xfId="1569"/>
    <cellStyle name="输出 2 15 2 4 2" xfId="1570"/>
    <cellStyle name="注释 2 2 7 14" xfId="1571"/>
    <cellStyle name="计算 2 7 4 3 6" xfId="1572"/>
    <cellStyle name="汇总 2 2 5 2 9" xfId="1573"/>
    <cellStyle name="汇总 2 10 7 3 3" xfId="1574"/>
    <cellStyle name="输出 2 5 8 4 6" xfId="1575"/>
    <cellStyle name="计算 2 3 5 7 3 2" xfId="1576"/>
    <cellStyle name="计算 2 10 4 4 5 2" xfId="1577"/>
    <cellStyle name="计算 2 9 11 7 2" xfId="1578"/>
    <cellStyle name="汇总 2 2 5 12" xfId="1579"/>
    <cellStyle name="检查单元格 2 10 3 5 4 2" xfId="1580"/>
    <cellStyle name="输出 2 6 3 6" xfId="1581"/>
    <cellStyle name="汇总 2 12 15 5" xfId="1582"/>
    <cellStyle name="汇总 2 10 2 5 6" xfId="1583"/>
    <cellStyle name="汇总 2 5 11 3" xfId="1584"/>
    <cellStyle name="检查单元格 2 5 2" xfId="1585"/>
    <cellStyle name="汇总 2 14 4 5" xfId="1586"/>
    <cellStyle name="常规 18 2 7" xfId="1587"/>
    <cellStyle name="输出 2 4 11 2 5 2" xfId="1588"/>
    <cellStyle name="输入 2 11 11 8 2" xfId="1589"/>
    <cellStyle name="汇总 2 10 18 6" xfId="1590"/>
    <cellStyle name="输出 2 3 11 8" xfId="1591"/>
    <cellStyle name="汇总 2 3 14 4" xfId="1592"/>
    <cellStyle name="注释 2 2 6 6 2" xfId="1593"/>
    <cellStyle name="计算 2 12 7 2 4 2" xfId="1594"/>
    <cellStyle name="计算 2 5 8 5 2 2" xfId="1595"/>
    <cellStyle name="汇总 2 2 16 5 2" xfId="1596"/>
    <cellStyle name="检查单元格 2 2 4 3" xfId="1597"/>
    <cellStyle name="检查单元格 2 4 11 3" xfId="1598"/>
    <cellStyle name="输入 2 4 7 12" xfId="1599"/>
    <cellStyle name="汇总 2 11 8 7 5 2" xfId="1600"/>
    <cellStyle name="常规 18 3" xfId="1601"/>
    <cellStyle name="输入 2 11 8 4 2 2" xfId="1602"/>
    <cellStyle name="汇总 2 6 9 2 3" xfId="1603"/>
    <cellStyle name="汇总 2 11 11 3 5" xfId="1604"/>
    <cellStyle name="输出 2 12 4 5 5" xfId="1605"/>
    <cellStyle name="汇总 2 10 18 4 2" xfId="1606"/>
    <cellStyle name="输出 2 3 11 6 2" xfId="1607"/>
    <cellStyle name="汇总 2 3 14 2 2" xfId="1608"/>
    <cellStyle name="输入 2 10 15 2 2" xfId="1609"/>
    <cellStyle name="汇总 2 7 6 5 3" xfId="1610"/>
    <cellStyle name="注释 2 6 6 6 5 2" xfId="1611"/>
    <cellStyle name="汇总 2 10 2 4 2" xfId="1612"/>
    <cellStyle name="输出 2 17 7 3" xfId="1613"/>
    <cellStyle name="输出 2 5 3 5 5" xfId="1614"/>
    <cellStyle name="常规 18 4" xfId="1615"/>
    <cellStyle name="输入 2 9 9 8 3 2" xfId="1616"/>
    <cellStyle name="汇总 2 6 9 2 4" xfId="1617"/>
    <cellStyle name="汇总 2 7 6 5 4" xfId="1618"/>
    <cellStyle name="汇总 2 12 14 2" xfId="1619"/>
    <cellStyle name="汇总 2 10 2 4 3" xfId="1620"/>
    <cellStyle name="输出 2 17 7 4" xfId="1621"/>
    <cellStyle name="输出 2 5 3 5 6" xfId="1622"/>
    <cellStyle name="计算 2 10 11 3 4 2" xfId="1623"/>
    <cellStyle name="汇总 2 14 3 2" xfId="1624"/>
    <cellStyle name="汇总 2 11 4 8 2 2" xfId="1625"/>
    <cellStyle name="输出 2 9 19 4" xfId="1626"/>
    <cellStyle name="汇总 2 10 7 5 3 2" xfId="1627"/>
    <cellStyle name="汇总 2 4 4 8 4 2" xfId="1628"/>
    <cellStyle name="常规 18 5" xfId="1629"/>
    <cellStyle name="汇总 2 6 9 2 5" xfId="1630"/>
    <cellStyle name="输入 2 9 5 8 4" xfId="1631"/>
    <cellStyle name="汇总 2 7 6 5 4 2" xfId="1632"/>
    <cellStyle name="汇总 2 12 14 2 2" xfId="1633"/>
    <cellStyle name="汇总 2 10 2 4 3 2" xfId="1634"/>
    <cellStyle name="输出 2 17 7 4 2" xfId="1635"/>
    <cellStyle name="输出 2 9 4 3 5" xfId="1636"/>
    <cellStyle name="汇总 2 14 3 2 2" xfId="1637"/>
    <cellStyle name="汇总 2 12 7 5 5" xfId="1638"/>
    <cellStyle name="汇总 2 11 11 7 5" xfId="1639"/>
    <cellStyle name="计算 2 10 10 4" xfId="1640"/>
    <cellStyle name="汇总 2 7 3 2 4" xfId="1641"/>
    <cellStyle name="常规 18 5 2" xfId="1642"/>
    <cellStyle name="汇总 2 6 9 2 5 2" xfId="1643"/>
    <cellStyle name="输出 2 14 4 4" xfId="1644"/>
    <cellStyle name="汇总 2 7 6 5 5" xfId="1645"/>
    <cellStyle name="汇总 2 12 14 3" xfId="1646"/>
    <cellStyle name="汇总 2 10 2 4 4" xfId="1647"/>
    <cellStyle name="输出 2 17 7 5" xfId="1648"/>
    <cellStyle name="汇总 2 10 10 4 3 2" xfId="1649"/>
    <cellStyle name="汇总 2 2 8 8 5" xfId="1650"/>
    <cellStyle name="计算 2 7 7 9 2" xfId="1651"/>
    <cellStyle name="汇总 2 11 16 6" xfId="1652"/>
    <cellStyle name="汇总 2 12 2 8 4 2" xfId="1653"/>
    <cellStyle name="输出 2 12 9 8" xfId="1654"/>
    <cellStyle name="汇总 2 4 12 4" xfId="1655"/>
    <cellStyle name="常规 18 6" xfId="1656"/>
    <cellStyle name="汇总 2 6 9 2 6" xfId="1657"/>
    <cellStyle name="计算 2 10 11 4" xfId="1658"/>
    <cellStyle name="汇总 2 7 3 3 4" xfId="1659"/>
    <cellStyle name="常规 18 6 2" xfId="1660"/>
    <cellStyle name="输出 2 14 5 4" xfId="1661"/>
    <cellStyle name="常规 2 16" xfId="1662"/>
    <cellStyle name="常规 2 21" xfId="1663"/>
    <cellStyle name="汇总 2 3 19 4" xfId="1664"/>
    <cellStyle name="检查单元格 2 2 4 6 2" xfId="1665"/>
    <cellStyle name="常规 18 7" xfId="1666"/>
    <cellStyle name="汇总 2 3 10 6 4 2" xfId="1667"/>
    <cellStyle name="汇总 2 6 9 2 7" xfId="1668"/>
    <cellStyle name="注释 2 11 2 6 4 2" xfId="1669"/>
    <cellStyle name="输入 2 6 3 4 5" xfId="1670"/>
    <cellStyle name="汇总 2 8 8 6 2" xfId="1671"/>
    <cellStyle name="汇总 2 11 2" xfId="1672"/>
    <cellStyle name="计算 2 7 3 13" xfId="1673"/>
    <cellStyle name="计算 2 11 12 4 2" xfId="1674"/>
    <cellStyle name="汇总 2 7 8 4 4 2" xfId="1675"/>
    <cellStyle name="输出 2 11 6 15" xfId="1676"/>
    <cellStyle name="汇总 2 10 4 3 3 2" xfId="1677"/>
    <cellStyle name="常规 18 8" xfId="1678"/>
    <cellStyle name="输出 2 8 11 11 2" xfId="1679"/>
    <cellStyle name="汇总 2 6 9 2 8" xfId="1680"/>
    <cellStyle name="输入 2 6 3 4 6" xfId="1681"/>
    <cellStyle name="汇总 2 8 8 6 3" xfId="1682"/>
    <cellStyle name="汇总 2 11 3" xfId="1683"/>
    <cellStyle name="计算 2 7 3 14" xfId="1684"/>
    <cellStyle name="汇总 2 11 4 5 2" xfId="1685"/>
    <cellStyle name="输出 2 6 5 6 5" xfId="1686"/>
    <cellStyle name="常规 18 9" xfId="1687"/>
    <cellStyle name="注释 2 10 9 11 2" xfId="1688"/>
    <cellStyle name="计算 2 12 4 5 2 2" xfId="1689"/>
    <cellStyle name="汇总 2 6 9 2 9" xfId="1690"/>
    <cellStyle name="汇总 2 8 11 6 4 2" xfId="1691"/>
    <cellStyle name="汇总 2 11 2 3 5 2" xfId="1692"/>
    <cellStyle name="汇总 2 8 8 6 4" xfId="1693"/>
    <cellStyle name="汇总 2 11 4" xfId="1694"/>
    <cellStyle name="计算 2 7 3 15" xfId="1695"/>
    <cellStyle name="输出 2 3 6 2 2 2" xfId="1696"/>
    <cellStyle name="汇总 2 11 4 5 3" xfId="1697"/>
    <cellStyle name="输出 2 6 5 6 6" xfId="1698"/>
    <cellStyle name="输入 2 9 7 8 2 2" xfId="1699"/>
    <cellStyle name="汇总 2 6 9 3" xfId="1700"/>
    <cellStyle name="常规 19" xfId="1701"/>
    <cellStyle name="常规 24" xfId="1702"/>
    <cellStyle name="输出 2 12 3 2 5 2" xfId="1703"/>
    <cellStyle name="汇总 2 4 11 11 2" xfId="1704"/>
    <cellStyle name="汇总 2 6 6 8 4 2" xfId="1705"/>
    <cellStyle name="汇总 2 10 2 2 9" xfId="1706"/>
    <cellStyle name="注释 2 4 7 5 2" xfId="1707"/>
    <cellStyle name="计算 2 12 9 3 3 2" xfId="1708"/>
    <cellStyle name="常规 2" xfId="1709"/>
    <cellStyle name="注释 2 5 2 3 3 2" xfId="1710"/>
    <cellStyle name="汇总 2 10 8 2 4" xfId="1711"/>
    <cellStyle name="计算 2 7 5 2 7" xfId="1712"/>
    <cellStyle name="汇总 2 10 5 9" xfId="1713"/>
    <cellStyle name="输入 2 7 3 4 5 2" xfId="1714"/>
    <cellStyle name="汇总 2 9 8 6 2 2" xfId="1715"/>
    <cellStyle name="输出 2 7 5 6 4 2" xfId="1716"/>
    <cellStyle name="汇总 2 10 2 13" xfId="1717"/>
    <cellStyle name="输入 2 7 6 5 3" xfId="1718"/>
    <cellStyle name="计算 2 11 7 3 3 2" xfId="1719"/>
    <cellStyle name="输出 2 7 8 7 2" xfId="1720"/>
    <cellStyle name="汇总 2 4 5 5 5" xfId="1721"/>
    <cellStyle name="计算 2 9 4 6 2" xfId="1722"/>
    <cellStyle name="汇总 2 10 8 8 4 2" xfId="1723"/>
    <cellStyle name="计算 2 6 14 6" xfId="1724"/>
    <cellStyle name="检查单元格 2 8 2 6" xfId="1725"/>
    <cellStyle name="输入 2 3 2 4 4" xfId="1726"/>
    <cellStyle name="计算 2 11 10 3 5 2" xfId="1727"/>
    <cellStyle name="强调文字颜色 3 3" xfId="1728"/>
    <cellStyle name="汇总 2 9 12 5 2" xfId="1729"/>
    <cellStyle name="常规 2 10" xfId="1730"/>
    <cellStyle name="输出 2 3 4 6 3" xfId="1731"/>
    <cellStyle name="输出 2 5 11 7 6" xfId="1732"/>
    <cellStyle name="注释 2 11 7 2 8" xfId="1733"/>
    <cellStyle name="计算 2 8 4 2 5 2" xfId="1734"/>
    <cellStyle name="汇总 2 11 7 2 2 2" xfId="1735"/>
    <cellStyle name="输出 2 6 8 3 5 2" xfId="1736"/>
    <cellStyle name="输出 2 8 8 4 3 2" xfId="1737"/>
    <cellStyle name="汇总 2 10 8 2 5" xfId="1738"/>
    <cellStyle name="计算 2 7 5 2 8" xfId="1739"/>
    <cellStyle name="汇总 2 10 2 14" xfId="1740"/>
    <cellStyle name="输出 2 7 8 7 3" xfId="1741"/>
    <cellStyle name="汇总 2 4 5 5 6" xfId="1742"/>
    <cellStyle name="输入 2 12 14 2" xfId="1743"/>
    <cellStyle name="计算 2 9 4 6 3" xfId="1744"/>
    <cellStyle name="汇总 2 9 3 2 6" xfId="1745"/>
    <cellStyle name="汇总 2 2 3 2 3 2" xfId="1746"/>
    <cellStyle name="计算 2 4 3 2 5" xfId="1747"/>
    <cellStyle name="输出 2 2 7 3 5" xfId="1748"/>
    <cellStyle name="汇总 2 10 10 4 2" xfId="1749"/>
    <cellStyle name="常规 2 11" xfId="1750"/>
    <cellStyle name="输出 2 3 4 6 4" xfId="1751"/>
    <cellStyle name="输入 2 3 2 4 5" xfId="1752"/>
    <cellStyle name="汇总 2 5 7 6 2" xfId="1753"/>
    <cellStyle name="输入 2 4 5 8 3 2" xfId="1754"/>
    <cellStyle name="检查单元格 2 8 2 7" xfId="1755"/>
    <cellStyle name="汇总 2 10 11 7 4 2" xfId="1756"/>
    <cellStyle name="汇总 2 3 8 2 7" xfId="1757"/>
    <cellStyle name="计算 2 8 7 3 4" xfId="1758"/>
    <cellStyle name="注释 2 11 19 3 2" xfId="1759"/>
    <cellStyle name="输入 2 12 4 5 5 2" xfId="1760"/>
    <cellStyle name="汇总 2 10 8 2 6" xfId="1761"/>
    <cellStyle name="计算 2 7 5 2 9" xfId="1762"/>
    <cellStyle name="计算 2 8 10 2" xfId="1763"/>
    <cellStyle name="汇总 2 10 2 15" xfId="1764"/>
    <cellStyle name="计算 2 4 3 2 6" xfId="1765"/>
    <cellStyle name="输出 2 2 7 3 6" xfId="1766"/>
    <cellStyle name="汇总 2 10 10 4 3" xfId="1767"/>
    <cellStyle name="注释 2 15 2 3 2" xfId="1768"/>
    <cellStyle name="常规 2 12" xfId="1769"/>
    <cellStyle name="输出 2 10 18 2 2" xfId="1770"/>
    <cellStyle name="输出 2 3 4 6 5" xfId="1771"/>
    <cellStyle name="输入 2 3 2 4 6" xfId="1772"/>
    <cellStyle name="汇总 2 5 7 6 3" xfId="1773"/>
    <cellStyle name="检查单元格 2 8 2 8" xfId="1774"/>
    <cellStyle name="汇总 2 10 8 2 7" xfId="1775"/>
    <cellStyle name="注释 2 3 8 2 3 2" xfId="1776"/>
    <cellStyle name="计算 2 8 10 3" xfId="1777"/>
    <cellStyle name="汇总 2 10 2 16" xfId="1778"/>
    <cellStyle name="计算 2 7 7 4 4 2" xfId="1779"/>
    <cellStyle name="输出 2 7 8 7 5" xfId="1780"/>
    <cellStyle name="汇总 2 12 7 6 2" xfId="1781"/>
    <cellStyle name="输入 2 12 14 4" xfId="1782"/>
    <cellStyle name="计算 2 9 4 6 5" xfId="1783"/>
    <cellStyle name="汇总 2 11 11 8 2" xfId="1784"/>
    <cellStyle name="汇总 2 7 9 7 5 2" xfId="1785"/>
    <cellStyle name="注释 2 10 10 5 5 2" xfId="1786"/>
    <cellStyle name="汇总 2 12 2 8 5" xfId="1787"/>
    <cellStyle name="汇总 2 10 5 6 4 2" xfId="1788"/>
    <cellStyle name="汇总 2 9 3 2 8" xfId="1789"/>
    <cellStyle name="汇总 2 17 5 3 2" xfId="1790"/>
    <cellStyle name="计算 2 4 3 2 7" xfId="1791"/>
    <cellStyle name="注释 2 10 12 2" xfId="1792"/>
    <cellStyle name="汇总 2 10 10 4 4" xfId="1793"/>
    <cellStyle name="计算 2 9 9 4 2" xfId="1794"/>
    <cellStyle name="计算 2 2 13 4 2" xfId="1795"/>
    <cellStyle name="汇总 2 5 7 6 4" xfId="1796"/>
    <cellStyle name="检查单元格 2 8 2 9" xfId="1797"/>
    <cellStyle name="常规 2 13" xfId="1798"/>
    <cellStyle name="输出 2 3 4 6 6" xfId="1799"/>
    <cellStyle name="输出 2 5 10 2 5 2" xfId="1800"/>
    <cellStyle name="计算 2 12 5 8 3 2" xfId="1801"/>
    <cellStyle name="检查单元格 2 9 2 2 7" xfId="1802"/>
    <cellStyle name="汇总 2 10 8 2 8" xfId="1803"/>
    <cellStyle name="注释 2 10 2 7 3 2" xfId="1804"/>
    <cellStyle name="计算 2 8 10 4" xfId="1805"/>
    <cellStyle name="注释 2 9 7 6 3 2" xfId="1806"/>
    <cellStyle name="汇总 2 10 15 2 2" xfId="1807"/>
    <cellStyle name="输出 2 7 8 7 6" xfId="1808"/>
    <cellStyle name="汇总 2 12 7 6 3" xfId="1809"/>
    <cellStyle name="计算 2 5 3 4 3 2" xfId="1810"/>
    <cellStyle name="输入 2 12 14 5" xfId="1811"/>
    <cellStyle name="计算 2 9 4 6 6" xfId="1812"/>
    <cellStyle name="输出 2 3 7 5 3 2" xfId="1813"/>
    <cellStyle name="输入 2 3 5 3 4 2" xfId="1814"/>
    <cellStyle name="汇总 2 11 11 8 3" xfId="1815"/>
    <cellStyle name="注释 2 2 3 4 2" xfId="1816"/>
    <cellStyle name="汇总 2 9 3 2 9" xfId="1817"/>
    <cellStyle name="输出 2 8 11 4 4 2" xfId="1818"/>
    <cellStyle name="汇总 2 2 13 3 2" xfId="1819"/>
    <cellStyle name="计算 2 4 3 2 8" xfId="1820"/>
    <cellStyle name="注释 2 10 12 3" xfId="1821"/>
    <cellStyle name="输入 2 13 12 2" xfId="1822"/>
    <cellStyle name="汇总 2 10 10 4 5" xfId="1823"/>
    <cellStyle name="计算 2 9 9 4 3" xfId="1824"/>
    <cellStyle name="汇总 2 11 8 4 3 2" xfId="1825"/>
    <cellStyle name="汇总 2 9 9 8 3 2" xfId="1826"/>
    <cellStyle name="输出 2 12 17 3 2" xfId="1827"/>
    <cellStyle name="输出 2 3 16 6" xfId="1828"/>
    <cellStyle name="汇总 2 12 5 7 2 2" xfId="1829"/>
    <cellStyle name="汇总 2 3 19 2" xfId="1830"/>
    <cellStyle name="注释 2 7 9 3" xfId="1831"/>
    <cellStyle name="计算 2 9 2 7 5 2" xfId="1832"/>
    <cellStyle name="输出 2 5 11 12 2" xfId="1833"/>
    <cellStyle name="输入 2 8 8 6 3" xfId="1834"/>
    <cellStyle name="计算 2 4 9 8 2 2" xfId="1835"/>
    <cellStyle name="计算 2 11 8 5 4 2" xfId="1836"/>
    <cellStyle name="常规 2 14" xfId="1837"/>
    <cellStyle name="汇总 2 5 7 6 5" xfId="1838"/>
    <cellStyle name="汇总 2 12 6 4 5 2" xfId="1839"/>
    <cellStyle name="汇总 2 11 10 6 5 2" xfId="1840"/>
    <cellStyle name="汇总 2 10 8 2 9" xfId="1841"/>
    <cellStyle name="计算 2 8 10 5" xfId="1842"/>
    <cellStyle name="汇总 2 12 7 6 4" xfId="1843"/>
    <cellStyle name="汇总 2 11 11 8 4" xfId="1844"/>
    <cellStyle name="汇总 2 12 4 12 2" xfId="1845"/>
    <cellStyle name="输入 2 4 4 5 5" xfId="1846"/>
    <cellStyle name="汇总 2 4 11 2 2 2" xfId="1847"/>
    <cellStyle name="汇总 2 6 9 7 2" xfId="1848"/>
    <cellStyle name="常规 28 2" xfId="1849"/>
    <cellStyle name="汇总 2 4 4 8" xfId="1850"/>
    <cellStyle name="计算 2 9 8 2 5 2" xfId="1851"/>
    <cellStyle name="计算 2 4 3 2 9" xfId="1852"/>
    <cellStyle name="注释 2 10 12 4" xfId="1853"/>
    <cellStyle name="汇总 2 10 10 4 6" xfId="1854"/>
    <cellStyle name="计算 2 9 9 4 4" xfId="1855"/>
    <cellStyle name="注释 2 7 9 4" xfId="1856"/>
    <cellStyle name="计算 2 4 12 5 2" xfId="1857"/>
    <cellStyle name="汇总 2 3 19 3" xfId="1858"/>
    <cellStyle name="输出 2 2 8 10 2" xfId="1859"/>
    <cellStyle name="输入 2 8 8 6 4" xfId="1860"/>
    <cellStyle name="汇总 2 7 5 8 2 2" xfId="1861"/>
    <cellStyle name="常规 2 15" xfId="1862"/>
    <cellStyle name="常规 2 20" xfId="1863"/>
    <cellStyle name="汇总 2 5 7 6 6" xfId="1864"/>
    <cellStyle name="输出 2 5 2 8 4 2" xfId="1865"/>
    <cellStyle name="汇总 2 10 2 9 2" xfId="1866"/>
    <cellStyle name="输出 2 5 12 3" xfId="1867"/>
    <cellStyle name="常规 2 17" xfId="1868"/>
    <cellStyle name="常规 2 22" xfId="1869"/>
    <cellStyle name="计算 2 6 11 6 2" xfId="1870"/>
    <cellStyle name="汇总 2 3 19 5" xfId="1871"/>
    <cellStyle name="计算 2 7 8 6 5 2" xfId="1872"/>
    <cellStyle name="汇总 2 7 3 3 6" xfId="1873"/>
    <cellStyle name="计算 2 10 11 6" xfId="1874"/>
    <cellStyle name="汇总 2 14 8 2" xfId="1875"/>
    <cellStyle name="输入 2 3 6 5 5 2" xfId="1876"/>
    <cellStyle name="常规 2 18" xfId="1877"/>
    <cellStyle name="常规 2 23" xfId="1878"/>
    <cellStyle name="计算 2 6 11 6 3" xfId="1879"/>
    <cellStyle name="计算 2 10 11 7" xfId="1880"/>
    <cellStyle name="汇总 2 14 8 3" xfId="1881"/>
    <cellStyle name="常规 2 19" xfId="1882"/>
    <cellStyle name="常规 2 24" xfId="1883"/>
    <cellStyle name="计算 2 6 11 6 4" xfId="1884"/>
    <cellStyle name="计算 2 12 7 13" xfId="1885"/>
    <cellStyle name="输出 2 12 9 8 5" xfId="1886"/>
    <cellStyle name="常规 2 22 2" xfId="1887"/>
    <cellStyle name="计算 2 6 11 6 2 2" xfId="1888"/>
    <cellStyle name="输出 2 6 12" xfId="1889"/>
    <cellStyle name="注释 2 7 9 6 2" xfId="1890"/>
    <cellStyle name="汇总 2 6 11 5 3" xfId="1891"/>
    <cellStyle name="注释 2 17 5 3" xfId="1892"/>
    <cellStyle name="汇总 2 10 6 5" xfId="1893"/>
    <cellStyle name="检查单元格 2 8 4 3 4 2" xfId="1894"/>
    <cellStyle name="计算 2 7 5 3 3" xfId="1895"/>
    <cellStyle name="汇总 2 2 6 2 6" xfId="1896"/>
    <cellStyle name="输出 2 5 9 4 3" xfId="1897"/>
    <cellStyle name="注释 2 4 7 5 2 2" xfId="1898"/>
    <cellStyle name="输入 2 5 7 2 4" xfId="1899"/>
    <cellStyle name="常规 2 2" xfId="1900"/>
    <cellStyle name="汇总 2 7 7 6 4" xfId="1901"/>
    <cellStyle name="汇总 2 10 3 5 3" xfId="1902"/>
    <cellStyle name="输出 2 5 4 6 6" xfId="1903"/>
    <cellStyle name="计算 2 10 10 3 3" xfId="1904"/>
    <cellStyle name="输入 2 6 2 7 5" xfId="1905"/>
    <cellStyle name="汇总 2 8 7 9 2" xfId="1906"/>
    <cellStyle name="汇总 2 12 4 16" xfId="1907"/>
    <cellStyle name="汇总 2 4 11 2 6" xfId="1908"/>
    <cellStyle name="输入 2 10 11 12 2" xfId="1909"/>
    <cellStyle name="常规 37" xfId="1910"/>
    <cellStyle name="常规 42" xfId="1911"/>
    <cellStyle name="计算 2 9 8 2 9" xfId="1912"/>
    <cellStyle name="计算 2 8 2 6 2 2" xfId="1913"/>
    <cellStyle name="注释 2 2 2 2 8" xfId="1914"/>
    <cellStyle name="汇总 2 3 3 5 5 2" xfId="1915"/>
    <cellStyle name="输出 2 6 6 7 2 2" xfId="1916"/>
    <cellStyle name="注释 2 7 8 4 3" xfId="1917"/>
    <cellStyle name="输入 2 6 4 5 3 2" xfId="1918"/>
    <cellStyle name="输入 2 10 8 16" xfId="1919"/>
    <cellStyle name="汇总 2 6 10 3 4" xfId="1920"/>
    <cellStyle name="计算 2 7 3 5 5" xfId="1921"/>
    <cellStyle name="注释 2 17 5 3 2" xfId="1922"/>
    <cellStyle name="汇总 2 10 6 5 2" xfId="1923"/>
    <cellStyle name="输出 2 5 7 6 5" xfId="1924"/>
    <cellStyle name="计算 2 7 5 3 3 2" xfId="1925"/>
    <cellStyle name="计算 2 5 10 6" xfId="1926"/>
    <cellStyle name="输出 2 5 9 4 3 2" xfId="1927"/>
    <cellStyle name="注释 2 15 7 5" xfId="1928"/>
    <cellStyle name="输入 2 5 7 2 4 2" xfId="1929"/>
    <cellStyle name="常规 2 2 2" xfId="1930"/>
    <cellStyle name="输出 2 3 4" xfId="1931"/>
    <cellStyle name="汇总 2 7 7 6 4 2" xfId="1932"/>
    <cellStyle name="汇总 2 10 3 5 3 2" xfId="1933"/>
    <cellStyle name="计算 2 7 4 7 5" xfId="1934"/>
    <cellStyle name="注释 2 17 6 5 2" xfId="1935"/>
    <cellStyle name="汇总 2 10 7 7 2" xfId="1936"/>
    <cellStyle name="输出 2 5 8 8 5" xfId="1937"/>
    <cellStyle name="输出 2 6 10 3" xfId="1938"/>
    <cellStyle name="计算 2 7 5 4 5 2" xfId="1939"/>
    <cellStyle name="汇总 2 10 8 4 2 2" xfId="1940"/>
    <cellStyle name="输出 2 5 9 5 5 2" xfId="1941"/>
    <cellStyle name="汇总 2 10 3 6 5 2" xfId="1942"/>
    <cellStyle name="注释 2 2 10 4 4 2" xfId="1943"/>
    <cellStyle name="汇总 2 5 15 2" xfId="1944"/>
    <cellStyle name="汇总 2 5 20 2" xfId="1945"/>
    <cellStyle name="计算 2 11 5 8 2 2" xfId="1946"/>
    <cellStyle name="汇总 2 2 2 12 2" xfId="1947"/>
    <cellStyle name="计算 2 7 9 5 2" xfId="1948"/>
    <cellStyle name="汇总 2 15 5 4 2" xfId="1949"/>
    <cellStyle name="计算 2 10 11 8" xfId="1950"/>
    <cellStyle name="汇总 2 14 8 4" xfId="1951"/>
    <cellStyle name="常规 2 25" xfId="1952"/>
    <cellStyle name="常规 2 30" xfId="1953"/>
    <cellStyle name="计算 2 6 11 6 5" xfId="1954"/>
    <cellStyle name="汇总 2 10 7 7 4" xfId="1955"/>
    <cellStyle name="输出 2 6 10 5" xfId="1956"/>
    <cellStyle name="输入 2 9 7 5 2 2" xfId="1957"/>
    <cellStyle name="常规 2 27" xfId="1958"/>
    <cellStyle name="汇总 2 3 9 3" xfId="1959"/>
    <cellStyle name="汇总 2 6 6 5 4 2" xfId="1960"/>
    <cellStyle name="注释 2 17 5 4" xfId="1961"/>
    <cellStyle name="汇总 2 10 6 6" xfId="1962"/>
    <cellStyle name="计算 2 7 5 3 4" xfId="1963"/>
    <cellStyle name="汇总 2 2 6 2 7" xfId="1964"/>
    <cellStyle name="输出 2 5 9 4 4" xfId="1965"/>
    <cellStyle name="输入 2 5 7 2 5" xfId="1966"/>
    <cellStyle name="常规 2 3" xfId="1967"/>
    <cellStyle name="注释 2 10 13 2 2" xfId="1968"/>
    <cellStyle name="汇总 2 10 10 5 4 2" xfId="1969"/>
    <cellStyle name="计算 2 9 9 5 2 2" xfId="1970"/>
    <cellStyle name="计算 2 2 7 6 4" xfId="1971"/>
    <cellStyle name="汇总 2 12 7 7 2 2" xfId="1972"/>
    <cellStyle name="注释 2 12 7 7" xfId="1973"/>
    <cellStyle name="输入 2 12 15 4 2" xfId="1974"/>
    <cellStyle name="计算 2 9 4 7 5 2" xfId="1975"/>
    <cellStyle name="汇总 2 7 7 6 5" xfId="1976"/>
    <cellStyle name="汇总 2 10 3 5 4" xfId="1977"/>
    <cellStyle name="汇总 2 2 6 4 4 2" xfId="1978"/>
    <cellStyle name="注释 2 17 5 5" xfId="1979"/>
    <cellStyle name="输入 2 5 7 4 2 2" xfId="1980"/>
    <cellStyle name="汇总 2 10 6 7" xfId="1981"/>
    <cellStyle name="计算 2 7 5 3 5" xfId="1982"/>
    <cellStyle name="汇总 2 2 6 2 8" xfId="1983"/>
    <cellStyle name="汇总 2 10 8 3 2" xfId="1984"/>
    <cellStyle name="输出 2 5 9 4 5" xfId="1985"/>
    <cellStyle name="输入 2 5 7 2 6" xfId="1986"/>
    <cellStyle name="输入 2 11 9 7 4 2" xfId="1987"/>
    <cellStyle name="常规 2 4" xfId="1988"/>
    <cellStyle name="输出 2 10 5 7 2" xfId="1989"/>
    <cellStyle name="注释 2 2 10 3 4" xfId="1990"/>
    <cellStyle name="输入 2 5 2 6 5 2" xfId="1991"/>
    <cellStyle name="汇总 2 7 7 8 2 2" xfId="1992"/>
    <cellStyle name="汇总 2 10 3 5 5" xfId="1993"/>
    <cellStyle name="汇总 2 7 7 6 6" xfId="1994"/>
    <cellStyle name="输出 2 5 4 8 4 2" xfId="1995"/>
    <cellStyle name="注释 2 17 5 6" xfId="1996"/>
    <cellStyle name="汇总 2 10 6 8" xfId="1997"/>
    <cellStyle name="计算 2 7 5 3 6" xfId="1998"/>
    <cellStyle name="汇总 2 2 6 2 9" xfId="1999"/>
    <cellStyle name="汇总 2 10 8 3 3" xfId="2000"/>
    <cellStyle name="输出 2 5 9 4 6" xfId="2001"/>
    <cellStyle name="输入 2 5 7 2 7" xfId="2002"/>
    <cellStyle name="常规 2 5" xfId="2003"/>
    <cellStyle name="检查单元格 2 9 2 3 2" xfId="2004"/>
    <cellStyle name="输出 2 10 5 7 3" xfId="2005"/>
    <cellStyle name="汇总 2 10 3 5 6" xfId="2006"/>
    <cellStyle name="注释 2 2 10 3 5" xfId="2007"/>
    <cellStyle name="计算 2 7 13 2" xfId="2008"/>
    <cellStyle name="汇总 2 10 6 9" xfId="2009"/>
    <cellStyle name="注释 2 5 2 3 4 2" xfId="2010"/>
    <cellStyle name="汇总 2 10 8 3 4" xfId="2011"/>
    <cellStyle name="检查单元格 2 4 6 2 3 2" xfId="2012"/>
    <cellStyle name="输入 2 5 7 2 8" xfId="2013"/>
    <cellStyle name="常规 2 6" xfId="2014"/>
    <cellStyle name="检查单元格 2 9 2 3 3" xfId="2015"/>
    <cellStyle name="输出 2 10 5 7 4" xfId="2016"/>
    <cellStyle name="注释 2 11 19 4 2" xfId="2017"/>
    <cellStyle name="汇总 2 10 8 3 6" xfId="2018"/>
    <cellStyle name="计算 2 8 11 2" xfId="2019"/>
    <cellStyle name="常规 2 8" xfId="2020"/>
    <cellStyle name="检查单元格 2 9 2 3 5" xfId="2021"/>
    <cellStyle name="输出 2 10 5 7 6" xfId="2022"/>
    <cellStyle name="计算 2 4 3 3 6" xfId="2023"/>
    <cellStyle name="输入 2 2 9 14" xfId="2024"/>
    <cellStyle name="输出 2 2 7 4 6" xfId="2025"/>
    <cellStyle name="汇总 2 10 10 5 3" xfId="2026"/>
    <cellStyle name="计算 2 10 8 13" xfId="2027"/>
    <cellStyle name="汇总 2 10 5 6 5 2" xfId="2028"/>
    <cellStyle name="汇总 2 17 5 4 2" xfId="2029"/>
    <cellStyle name="计算 2 11 7 8 2 2" xfId="2030"/>
    <cellStyle name="注释 2 10 13 2" xfId="2031"/>
    <cellStyle name="汇总 2 10 10 5 4" xfId="2032"/>
    <cellStyle name="计算 2 9 9 5 2" xfId="2033"/>
    <cellStyle name="注释 2 6 13 3 2" xfId="2034"/>
    <cellStyle name="常规 2 9" xfId="2035"/>
    <cellStyle name="检查单元格 2 9 2 3 6" xfId="2036"/>
    <cellStyle name="输出 2 7 8 8 5" xfId="2037"/>
    <cellStyle name="汇总 2 12 7 7 2" xfId="2038"/>
    <cellStyle name="输入 2 12 15 4" xfId="2039"/>
    <cellStyle name="计算 2 9 4 7 5" xfId="2040"/>
    <cellStyle name="汇总 2 11 11 9 2" xfId="2041"/>
    <cellStyle name="汇总 2 10 19 5" xfId="2042"/>
    <cellStyle name="检查单元格 2 8 7 4 4 2" xfId="2043"/>
    <cellStyle name="输出 2 3 12 7" xfId="2044"/>
    <cellStyle name="汇总 2 3 15 3" xfId="2045"/>
    <cellStyle name="汇总 2 5 7 2 6" xfId="2046"/>
    <cellStyle name="计算 2 8 10 10" xfId="2047"/>
    <cellStyle name="汇总 2 6 9 3 2" xfId="2048"/>
    <cellStyle name="常规 24 2" xfId="2049"/>
    <cellStyle name="汇总 2 2 9 9 2" xfId="2050"/>
    <cellStyle name="汇总 2 12 7 2 4 2" xfId="2051"/>
    <cellStyle name="输出 2 12 4 6 4 2" xfId="2052"/>
    <cellStyle name="计算 2 2 2 8 4" xfId="2053"/>
    <cellStyle name="汇总 2 11 11 4 4 2" xfId="2054"/>
    <cellStyle name="汇总 2 2 11 8 4 2" xfId="2055"/>
    <cellStyle name="汇总 2 6 4 5 5 2" xfId="2056"/>
    <cellStyle name="输出 2 9 7 7 2 2" xfId="2057"/>
    <cellStyle name="汇总 2 2 6 2 4" xfId="2058"/>
    <cellStyle name="输入 2 9 5 5 3 2" xfId="2059"/>
    <cellStyle name="汇总 2 10 6 3" xfId="2060"/>
    <cellStyle name="汇总 2 6 9 3 2 2" xfId="2061"/>
    <cellStyle name="常规 24 2 2" xfId="2062"/>
    <cellStyle name="计算 2 9 8 2 2" xfId="2063"/>
    <cellStyle name="常规 30" xfId="2064"/>
    <cellStyle name="常规 25" xfId="2065"/>
    <cellStyle name="汇总 2 6 9 4" xfId="2066"/>
    <cellStyle name="汇总 2 4 2 8 3 2" xfId="2067"/>
    <cellStyle name="汇总 2 7 9 6 3 2" xfId="2068"/>
    <cellStyle name="输出 2 5 6 6 5 2" xfId="2069"/>
    <cellStyle name="汇总 2 10 5 5 2 2" xfId="2070"/>
    <cellStyle name="汇总 2 9 5 7 6" xfId="2071"/>
    <cellStyle name="计算 2 7 2 5 5 2" xfId="2072"/>
    <cellStyle name="计算 2 9 8 2 4" xfId="2073"/>
    <cellStyle name="常规 32" xfId="2074"/>
    <cellStyle name="常规 27" xfId="2075"/>
    <cellStyle name="汇总 2 6 9 6" xfId="2076"/>
    <cellStyle name="输出 2 4 5 4 3 2" xfId="2077"/>
    <cellStyle name="汇总 2 12 4 11" xfId="2078"/>
    <cellStyle name="注释 2 7 13 4 2" xfId="2079"/>
    <cellStyle name="汇总 2 12 6 4 4" xfId="2080"/>
    <cellStyle name="输出 2 12 3 8 4" xfId="2081"/>
    <cellStyle name="计算 2 11 2 12" xfId="2082"/>
    <cellStyle name="汇总 2 11 10 6 4" xfId="2083"/>
    <cellStyle name="汇总 2 6 3 7 5" xfId="2084"/>
    <cellStyle name="输出 2 9 6 9 2" xfId="2085"/>
    <cellStyle name="输出 2 12 3 7 3 2" xfId="2086"/>
    <cellStyle name="汇总 2 11 10 5 3 2" xfId="2087"/>
    <cellStyle name="汇总 2 10 10 10 2" xfId="2088"/>
    <cellStyle name="输入 2 3 3 14" xfId="2089"/>
    <cellStyle name="汇总 2 12 6 3 3 2" xfId="2090"/>
    <cellStyle name="输出 2 12 8 6 2" xfId="2091"/>
    <cellStyle name="汇总 2 11 15 4 2" xfId="2092"/>
    <cellStyle name="计算 2 9 8 2 5" xfId="2093"/>
    <cellStyle name="常规 33" xfId="2094"/>
    <cellStyle name="常规 28" xfId="2095"/>
    <cellStyle name="输入 2 10 10 3 5 2" xfId="2096"/>
    <cellStyle name="汇总 2 6 9 7" xfId="2097"/>
    <cellStyle name="汇总 2 4 11 2 2" xfId="2098"/>
    <cellStyle name="汇总 2 2 8 7 3 2" xfId="2099"/>
    <cellStyle name="输入 2 10 8 12" xfId="2100"/>
    <cellStyle name="汇总 2 12 4 12" xfId="2101"/>
    <cellStyle name="汇总 2 3 13 5 2" xfId="2102"/>
    <cellStyle name="计算 2 11 9 2 7" xfId="2103"/>
    <cellStyle name="注释 2 7 3 6 2" xfId="2104"/>
    <cellStyle name="输出 2 12 3 8 5" xfId="2105"/>
    <cellStyle name="计算 2 11 2 13" xfId="2106"/>
    <cellStyle name="汇总 2 11 10 6 5" xfId="2107"/>
    <cellStyle name="汇总 2 12 6 4 5" xfId="2108"/>
    <cellStyle name="计算 2 2 9 12 2" xfId="2109"/>
    <cellStyle name="输出 2 5 3 4 5 2" xfId="2110"/>
    <cellStyle name="输出 2 17 6 3 2" xfId="2111"/>
    <cellStyle name="汇总 2 6 3 7 6" xfId="2112"/>
    <cellStyle name="汇总 2 10 2 3 2 2" xfId="2113"/>
    <cellStyle name="汇总 2 7 6 4 3 2" xfId="2114"/>
    <cellStyle name="输入 2 9 4 7 4" xfId="2115"/>
    <cellStyle name="输出 2 5 10 5" xfId="2116"/>
    <cellStyle name="汇总 2 10 2 7 4" xfId="2117"/>
    <cellStyle name="汇总 2 12 17 3" xfId="2118"/>
    <cellStyle name="汇总 2 5 11 12" xfId="2119"/>
    <cellStyle name="汇总 2 7 6 8 5" xfId="2120"/>
    <cellStyle name="汇总 2 12 7 6 4 2" xfId="2121"/>
    <cellStyle name="汇总 2 11 11 8 4 2" xfId="2122"/>
    <cellStyle name="计算 2 2 6 8 4" xfId="2123"/>
    <cellStyle name="汇总 2 6 9 7 2 2" xfId="2124"/>
    <cellStyle name="输入 2 4 4 5 5 2" xfId="2125"/>
    <cellStyle name="汇总 2 4 4 8 2" xfId="2126"/>
    <cellStyle name="常规 28 2 2" xfId="2127"/>
    <cellStyle name="计算 2 9 8 2 6" xfId="2128"/>
    <cellStyle name="常规 34" xfId="2129"/>
    <cellStyle name="常规 29" xfId="2130"/>
    <cellStyle name="输入 2 6 10 2 2 2" xfId="2131"/>
    <cellStyle name="汇总 2 6 9 8" xfId="2132"/>
    <cellStyle name="汇总 2 4 11 2 3" xfId="2133"/>
    <cellStyle name="汇总 2 6 10 5 5 2" xfId="2134"/>
    <cellStyle name="注释 2 7 8 6 4 2" xfId="2135"/>
    <cellStyle name="汇总 2 12 4 13" xfId="2136"/>
    <cellStyle name="输入 2 6 2 7 2" xfId="2137"/>
    <cellStyle name="计算 2 10 10 5 4 2" xfId="2138"/>
    <cellStyle name="计算 2 9 8 2 7" xfId="2139"/>
    <cellStyle name="常规 40" xfId="2140"/>
    <cellStyle name="常规 35" xfId="2141"/>
    <cellStyle name="汇总 2 6 9 9" xfId="2142"/>
    <cellStyle name="汇总 2 4 11 2 4" xfId="2143"/>
    <cellStyle name="注释 2 5 4 6 3 2" xfId="2144"/>
    <cellStyle name="汇总 2 6 10 3 2" xfId="2145"/>
    <cellStyle name="输入 2 10 8 14" xfId="2146"/>
    <cellStyle name="汇总 2 12 4 14" xfId="2147"/>
    <cellStyle name="计算 2 4 7 2 3 2" xfId="2148"/>
    <cellStyle name="输入 2 6 2 7 3" xfId="2149"/>
    <cellStyle name="汇总 2 11 2 15" xfId="2150"/>
    <cellStyle name="汇总 2 8 4 2 2 2" xfId="2151"/>
    <cellStyle name="注释 2 2 3 6 3" xfId="2152"/>
    <cellStyle name="计算 2 9 9 6 4" xfId="2153"/>
    <cellStyle name="汇总 2 10 10 6 6" xfId="2154"/>
    <cellStyle name="计算 2 12 14" xfId="2155"/>
    <cellStyle name="注释 2 10 14 4" xfId="2156"/>
    <cellStyle name="汇总 2 6 9 9 2" xfId="2157"/>
    <cellStyle name="汇总 2 4 11 2 4 2" xfId="2158"/>
    <cellStyle name="输入 2 4 4 7 5" xfId="2159"/>
    <cellStyle name="汇总 2 4 6 8" xfId="2160"/>
    <cellStyle name="常规 35 2" xfId="2161"/>
    <cellStyle name="汇总 2 6 10 3 2 2" xfId="2162"/>
    <cellStyle name="汇总 2 6 10 3 3" xfId="2163"/>
    <cellStyle name="输入 2 10 8 15" xfId="2164"/>
    <cellStyle name="注释 2 7 8 4 2" xfId="2165"/>
    <cellStyle name="汇总 2 3 18 3 2" xfId="2166"/>
    <cellStyle name="计算 2 9 8 2 8" xfId="2167"/>
    <cellStyle name="常规 41" xfId="2168"/>
    <cellStyle name="常规 36" xfId="2169"/>
    <cellStyle name="汇总 2 4 11 2 5" xfId="2170"/>
    <cellStyle name="汇总 2 12 4 15" xfId="2171"/>
    <cellStyle name="汇总 2 7 3 2 3 2" xfId="2172"/>
    <cellStyle name="输入 2 6 2 7 4" xfId="2173"/>
    <cellStyle name="计算 2 10 10 3 2" xfId="2174"/>
    <cellStyle name="汇总 2 11 3 8 2" xfId="2175"/>
    <cellStyle name="计算 2 10 10 3 4" xfId="2176"/>
    <cellStyle name="检查单元格 2 7 7 3 5 2" xfId="2177"/>
    <cellStyle name="汇总 2 6 10 3 5" xfId="2178"/>
    <cellStyle name="注释 2 7 8 4 4" xfId="2179"/>
    <cellStyle name="汇总 2 5 17 4 2" xfId="2180"/>
    <cellStyle name="常规 43" xfId="2181"/>
    <cellStyle name="常规 38" xfId="2182"/>
    <cellStyle name="计算 2 6 8 5 2 2" xfId="2183"/>
    <cellStyle name="汇总 2 7 16 5 2" xfId="2184"/>
    <cellStyle name="常规 50" xfId="2185"/>
    <cellStyle name="常规 45" xfId="2186"/>
    <cellStyle name="计算 2 12 2 3 3" xfId="2187"/>
    <cellStyle name="汇总 2 11 3 8 4" xfId="2188"/>
    <cellStyle name="计算 2 10 10 3 6" xfId="2189"/>
    <cellStyle name="输入 2 12 8 4 2 2" xfId="2190"/>
    <cellStyle name="汇总 2 12 8 7 5 2" xfId="2191"/>
    <cellStyle name="计算 2 9 20" xfId="2192"/>
    <cellStyle name="计算 2 9 15" xfId="2193"/>
    <cellStyle name="计算 2 10 6 6 6" xfId="2194"/>
    <cellStyle name="汇总 2 6 7 6 3 2" xfId="2195"/>
    <cellStyle name="汇总 2 2 3 9 2" xfId="2196"/>
    <cellStyle name="输出 2 7 10 2 7" xfId="2197"/>
    <cellStyle name="汇总 2 10 17 3" xfId="2198"/>
    <cellStyle name="注释 2 9 7 8 4" xfId="2199"/>
    <cellStyle name="输出 2 3 10 5" xfId="2200"/>
    <cellStyle name="计算 2 9 7 3 5 2" xfId="2201"/>
    <cellStyle name="输入 2 2 10 3" xfId="2202"/>
    <cellStyle name="汇总 2 4 10 3 2 2" xfId="2203"/>
    <cellStyle name="输入 2 3 5 5 5" xfId="2204"/>
    <cellStyle name="输入 2 7 16 2 2" xfId="2205"/>
    <cellStyle name="输出 2 3 7 7 4" xfId="2206"/>
    <cellStyle name="输出 2 12 7 7 2 2" xfId="2207"/>
    <cellStyle name="计算 2 5 3 6 4" xfId="2208"/>
    <cellStyle name="常规 53" xfId="2209"/>
    <cellStyle name="常规 48" xfId="2210"/>
    <cellStyle name="计算 2 12 2 3 6" xfId="2211"/>
    <cellStyle name="汇总 2 2 11 2 4 2" xfId="2212"/>
    <cellStyle name="汇总 2 10 9 15" xfId="2213"/>
    <cellStyle name="注释 2 5 3 7 5" xfId="2214"/>
    <cellStyle name="汇总 2 12 2 2 5" xfId="2215"/>
    <cellStyle name="汇总 2 7 10 13" xfId="2216"/>
    <cellStyle name="汇总 2 2 3 5 4 2" xfId="2217"/>
    <cellStyle name="汇总 2 9 6 3 6" xfId="2218"/>
    <cellStyle name="汇总 2 10 13 5 2" xfId="2219"/>
    <cellStyle name="计算 2 2 10 12" xfId="2220"/>
    <cellStyle name="计算 2 4 6 3 5" xfId="2221"/>
    <cellStyle name="汇总 2 4 3 6 2 2" xfId="2222"/>
    <cellStyle name="汇总 2 3 13 2" xfId="2223"/>
    <cellStyle name="输出 2 7 10 2 8" xfId="2224"/>
    <cellStyle name="汇总 2 10 17 4" xfId="2225"/>
    <cellStyle name="注释 2 9 7 8 5" xfId="2226"/>
    <cellStyle name="输出 2 3 10 6" xfId="2227"/>
    <cellStyle name="输出 2 3 7 7 5" xfId="2228"/>
    <cellStyle name="注释 2 15 5 4 2" xfId="2229"/>
    <cellStyle name="计算 2 5 3 6 5" xfId="2230"/>
    <cellStyle name="常规 54" xfId="2231"/>
    <cellStyle name="常规 49" xfId="2232"/>
    <cellStyle name="汇总 2 3 13 3" xfId="2233"/>
    <cellStyle name="输出 2 7 10 2 9" xfId="2234"/>
    <cellStyle name="汇总 2 10 17 5" xfId="2235"/>
    <cellStyle name="输出 2 3 10 7" xfId="2236"/>
    <cellStyle name="检查单元格 2 8 7 4 2 2" xfId="2237"/>
    <cellStyle name="输出 2 3 7 7 6" xfId="2238"/>
    <cellStyle name="输出 2 3 3 4 3 2" xfId="2239"/>
    <cellStyle name="计算 2 5 3 6 6" xfId="2240"/>
    <cellStyle name="常规 60" xfId="2241"/>
    <cellStyle name="常规 55" xfId="2242"/>
    <cellStyle name="汇总 2 9 11 3 2 2" xfId="2243"/>
    <cellStyle name="计算 2 2 16 5 2" xfId="2244"/>
    <cellStyle name="输出 2 12 4 4 5" xfId="2245"/>
    <cellStyle name="汇总 2 11 11 2 5" xfId="2246"/>
    <cellStyle name="输出 2 3 11 5 2" xfId="2247"/>
    <cellStyle name="汇总 2 10 18 3 2" xfId="2248"/>
    <cellStyle name="汇总 2 3 13 4" xfId="2249"/>
    <cellStyle name="输出 2 3 10 8" xfId="2250"/>
    <cellStyle name="汇总 2 12 2 3 5 2" xfId="2251"/>
    <cellStyle name="汇总 2 10 17 6" xfId="2252"/>
    <cellStyle name="输入 2 11 11 7 2" xfId="2253"/>
    <cellStyle name="常规 56" xfId="2254"/>
    <cellStyle name="输出 2 5 3 4 5" xfId="2255"/>
    <cellStyle name="输出 2 17 6 3" xfId="2256"/>
    <cellStyle name="汇总 2 10 2 3 2" xfId="2257"/>
    <cellStyle name="注释 2 6 6 6 4 2" xfId="2258"/>
    <cellStyle name="汇总 2 7 6 4 3" xfId="2259"/>
    <cellStyle name="常规 57" xfId="2260"/>
    <cellStyle name="常规 58" xfId="2261"/>
    <cellStyle name="计算 2 3 5 2 3 2" xfId="2262"/>
    <cellStyle name="输出 2 5 3 4 6" xfId="2263"/>
    <cellStyle name="输出 2 17 6 4" xfId="2264"/>
    <cellStyle name="汇总 2 10 2 3 3" xfId="2265"/>
    <cellStyle name="汇总 2 12 13 2" xfId="2266"/>
    <cellStyle name="汇总 2 7 6 4 4" xfId="2267"/>
    <cellStyle name="常规 59" xfId="2268"/>
    <cellStyle name="输出 2 17 6 5" xfId="2269"/>
    <cellStyle name="汇总 2 10 2 3 4" xfId="2270"/>
    <cellStyle name="汇总 2 12 13 3" xfId="2271"/>
    <cellStyle name="汇总 2 7 6 4 5" xfId="2272"/>
    <cellStyle name="汇总 2 10 8 2 5 2" xfId="2273"/>
    <cellStyle name="输入 2 11 11 7 5" xfId="2274"/>
    <cellStyle name="输入 2 12 6 3" xfId="2275"/>
    <cellStyle name="汇总 2 14 2 3" xfId="2276"/>
    <cellStyle name="汇总 2 4 11 4" xfId="2277"/>
    <cellStyle name="输出 2 12 8 8" xfId="2278"/>
    <cellStyle name="汇总 2 12 2 8 3 2" xfId="2279"/>
    <cellStyle name="汇总 2 11 15 6" xfId="2280"/>
    <cellStyle name="输入 2 11 16 5 2" xfId="2281"/>
    <cellStyle name="计算 2 7 7 8 2" xfId="2282"/>
    <cellStyle name="汇总 2 2 8 7 5" xfId="2283"/>
    <cellStyle name="输入 2 2 8 8 4 2" xfId="2284"/>
    <cellStyle name="计算 2 11 5 6 5 2" xfId="2285"/>
    <cellStyle name="输入 2 5 9 7 3" xfId="2286"/>
    <cellStyle name="汇总 2 10 10 4 2 2" xfId="2287"/>
    <cellStyle name="输出 2 5 8 2 4" xfId="2288"/>
    <cellStyle name="输出 2 2 7 3 5 2" xfId="2289"/>
    <cellStyle name="计算 2 4 3 2 5 2" xfId="2290"/>
    <cellStyle name="输出 2 5 7 5 5 2" xfId="2291"/>
    <cellStyle name="汇总 2 10 6 4 2 2" xfId="2292"/>
    <cellStyle name="计算 2 3 10 5 4" xfId="2293"/>
    <cellStyle name="输入 2 8 10 2 6" xfId="2294"/>
    <cellStyle name="计算 2 7 3 4 5 2" xfId="2295"/>
    <cellStyle name="输出 2 5 4 5 2" xfId="2296"/>
    <cellStyle name="汇总 2 15 9" xfId="2297"/>
    <cellStyle name="常规 7" xfId="2298"/>
    <cellStyle name="汇总 2 7 2 7 3" xfId="2299"/>
    <cellStyle name="输入 2 10 11 4 2" xfId="2300"/>
    <cellStyle name="输出 2 10 2 6" xfId="2301"/>
    <cellStyle name="输入 2 11 9 4 3" xfId="2302"/>
    <cellStyle name="汇总 2 11 4 4 4 2" xfId="2303"/>
    <cellStyle name="汇总 2 10 5 2" xfId="2304"/>
    <cellStyle name="汇总 2 8 8 5 5 2" xfId="2305"/>
    <cellStyle name="计算 2 2 9 3" xfId="2306"/>
    <cellStyle name="检查单元格 2 10 6 3 5 2" xfId="2307"/>
    <cellStyle name="汇总 2 11 9 7 6" xfId="2308"/>
    <cellStyle name="计算 2 3 8 5 4 2" xfId="2309"/>
    <cellStyle name="常规 8" xfId="2310"/>
    <cellStyle name="汇总 2 7 2 7 4" xfId="2311"/>
    <cellStyle name="输入 2 10 11 4 3" xfId="2312"/>
    <cellStyle name="汇总 2 5 7 2 5 2" xfId="2313"/>
    <cellStyle name="输出 2 7 9 2 8" xfId="2314"/>
    <cellStyle name="汇总 2 3 15 2 2" xfId="2315"/>
    <cellStyle name="汇总 2 10 19 4 2" xfId="2316"/>
    <cellStyle name="汇总 2 2 9 8 2" xfId="2317"/>
    <cellStyle name="汇总 2 12 7 2 3 2" xfId="2318"/>
    <cellStyle name="输出 2 12 4 6 3 2" xfId="2319"/>
    <cellStyle name="计算 2 2 2 7 4" xfId="2320"/>
    <cellStyle name="汇总 2 11 11 4 3 2" xfId="2321"/>
    <cellStyle name="常规 9" xfId="2322"/>
    <cellStyle name="汇总 2 7 2 7 5" xfId="2323"/>
    <cellStyle name="输入 2 10 11 4 4" xfId="2324"/>
    <cellStyle name="汇总 2 6 4 5 4 2" xfId="2325"/>
    <cellStyle name="计算 2 2 9 4" xfId="2326"/>
    <cellStyle name="输入 2 9 5 5 2 2" xfId="2327"/>
    <cellStyle name="汇总 2 10 5 3" xfId="2328"/>
    <cellStyle name="汇总 2 2 11 8 3 2" xfId="2329"/>
    <cellStyle name="输出 2 5 7 5 6" xfId="2330"/>
    <cellStyle name="汇总 2 10 6 4 3" xfId="2331"/>
    <cellStyle name="计算 2 7 3 4 6" xfId="2332"/>
    <cellStyle name="注释 2 2 13 2 2" xfId="2333"/>
    <cellStyle name="检查单元格 2 4 2 7 2" xfId="2334"/>
    <cellStyle name="汇总 2 5 3 6 2 2" xfId="2335"/>
    <cellStyle name="注释 2 10 8 9" xfId="2336"/>
    <cellStyle name="检查单元格 2 7 2 11" xfId="2337"/>
    <cellStyle name="计算 2 2 5 7 6" xfId="2338"/>
    <cellStyle name="检查单元格 2 10 19" xfId="2339"/>
    <cellStyle name="超链接 2" xfId="2340"/>
    <cellStyle name="汇总 2 11 5 13" xfId="2341"/>
    <cellStyle name="输出 2 3 7 4 4 2" xfId="2342"/>
    <cellStyle name="计算 2 9 3 7 6" xfId="2343"/>
    <cellStyle name="输入 2 7 9 12 2" xfId="2344"/>
    <cellStyle name="计算 2 5 3 3 4 2" xfId="2345"/>
    <cellStyle name="汇总 2 12 6 7 3" xfId="2346"/>
    <cellStyle name="汇总 2 8 25" xfId="2347"/>
    <cellStyle name="汇总 2 10 14 3 2" xfId="2348"/>
    <cellStyle name="注释 2 9 7 5 4 2" xfId="2349"/>
    <cellStyle name="汇总 2 2 3 6 2 2" xfId="2350"/>
    <cellStyle name="计算 2 5 3 12 2" xfId="2351"/>
    <cellStyle name="汇总 2 11 9 4 4" xfId="2352"/>
    <cellStyle name="注释 2 5 3 4 5 2" xfId="2353"/>
    <cellStyle name="输出 2 17 11 2" xfId="2354"/>
    <cellStyle name="好 2" xfId="2355"/>
    <cellStyle name="汇总 2 11 9 4 5" xfId="2356"/>
    <cellStyle name="输出 2 8 9 5 5 2" xfId="2357"/>
    <cellStyle name="输出 2 11 6 8 5" xfId="2358"/>
    <cellStyle name="检查单元格 2 10 11 4 2" xfId="2359"/>
    <cellStyle name="输入 2 7 6 14" xfId="2360"/>
    <cellStyle name="计算 2 6 10 3 2 2" xfId="2361"/>
    <cellStyle name="计算 2 2 6 2" xfId="2362"/>
    <cellStyle name="输出 2 13 2 5 2" xfId="2363"/>
    <cellStyle name="好 3" xfId="2364"/>
    <cellStyle name="汇总 2 10 25" xfId="2365"/>
    <cellStyle name="输入 2 5 11 6 3 2" xfId="2366"/>
    <cellStyle name="汇总 2 11 7 5 6" xfId="2367"/>
    <cellStyle name="计算 2 3 8 3 2 2" xfId="2368"/>
    <cellStyle name="输出 2 6 5 3 5 2" xfId="2369"/>
    <cellStyle name="汇总 2 11 4 2 2 2" xfId="2370"/>
    <cellStyle name="输出 2 12 5 12 2" xfId="2371"/>
    <cellStyle name="输入 2 11 7 2 3" xfId="2372"/>
    <cellStyle name="汇总 2 8 8 3 3 2" xfId="2373"/>
    <cellStyle name="注释 2 6 4 7 3" xfId="2374"/>
    <cellStyle name="汇总 2" xfId="2375"/>
    <cellStyle name="汇总 2 2 2 8 4" xfId="2376"/>
    <cellStyle name="输出 2 2 11 4 2" xfId="2377"/>
    <cellStyle name="汇总 2 11 6 14" xfId="2378"/>
    <cellStyle name="输入 2 5 11 8" xfId="2379"/>
    <cellStyle name="汇总 2 10" xfId="2380"/>
    <cellStyle name="汇总 2 8 8 5" xfId="2381"/>
    <cellStyle name="注释 2 11 2 6 3" xfId="2382"/>
    <cellStyle name="汇总 2 10 11 7" xfId="2383"/>
    <cellStyle name="注释 2 9 7 2 8" xfId="2384"/>
    <cellStyle name="汇总 2 8 9 14" xfId="2385"/>
    <cellStyle name="输入 2 11 6 6 6" xfId="2386"/>
    <cellStyle name="输出 2 5 6 5 3" xfId="2387"/>
    <cellStyle name="汇总 2 2 3 3 6" xfId="2388"/>
    <cellStyle name="计算 2 7 2 4 3" xfId="2389"/>
    <cellStyle name="汇总 2 11 5 10 2" xfId="2390"/>
    <cellStyle name="汇总 2 5 8 9" xfId="2391"/>
    <cellStyle name="输入 2 7 14 4" xfId="2392"/>
    <cellStyle name="注释 2 5 4 5 2 2" xfId="2393"/>
    <cellStyle name="汇总 2 10 7 3 5 2" xfId="2394"/>
    <cellStyle name="汇总 2 3 5 4 2" xfId="2395"/>
    <cellStyle name="汇总 2 10 10" xfId="2396"/>
    <cellStyle name="汇总 2 11 3 5 3 2" xfId="2397"/>
    <cellStyle name="汇总 2 8 7 6 4 2" xfId="2398"/>
    <cellStyle name="注释 2 5 7 8 3" xfId="2399"/>
    <cellStyle name="输出 2 12 3 7 3" xfId="2400"/>
    <cellStyle name="输入 2 7 5 2 7" xfId="2401"/>
    <cellStyle name="汇总 2 11 10 5 3" xfId="2402"/>
    <cellStyle name="计算 2 9 3 3 6" xfId="2403"/>
    <cellStyle name="汇总 2 10 10 10" xfId="2404"/>
    <cellStyle name="汇总 2 4 4 2 9" xfId="2405"/>
    <cellStyle name="汇总 2 12 6 3 3" xfId="2406"/>
    <cellStyle name="输出 2 7 7 4 6" xfId="2407"/>
    <cellStyle name="输出 2 12 3 7 4" xfId="2408"/>
    <cellStyle name="输入 2 7 5 2 8" xfId="2409"/>
    <cellStyle name="汇总 2 11 10 5 4" xfId="2410"/>
    <cellStyle name="汇总 2 10 10 11" xfId="2411"/>
    <cellStyle name="汇总 2 12 6 3 4" xfId="2412"/>
    <cellStyle name="汇总 2 6 3 6 5" xfId="2413"/>
    <cellStyle name="输出 2 9 6 8 2" xfId="2414"/>
    <cellStyle name="输出 2 12 3 7 2 2" xfId="2415"/>
    <cellStyle name="汇总 2 11 10 5 2 2" xfId="2416"/>
    <cellStyle name="计算 2 9 3 3 5 2" xfId="2417"/>
    <cellStyle name="汇总 2 12 6 3 2 2" xfId="2418"/>
    <cellStyle name="输出 2 7 7 4 5 2" xfId="2419"/>
    <cellStyle name="汇总 2 11 10 7 4" xfId="2420"/>
    <cellStyle name="汇总 2 12 6 5 4" xfId="2421"/>
    <cellStyle name="汇总 2 6 3 8 5" xfId="2422"/>
    <cellStyle name="输出 2 12 3 7 4 2" xfId="2423"/>
    <cellStyle name="汇总 2 11 10 5 4 2" xfId="2424"/>
    <cellStyle name="汇总 2 10 10 11 2" xfId="2425"/>
    <cellStyle name="汇总 2 12 6 3 4 2" xfId="2426"/>
    <cellStyle name="汇总 2 3 13 4 2" xfId="2427"/>
    <cellStyle name="输出 2 12 3 7 5" xfId="2428"/>
    <cellStyle name="输入 2 7 5 2 9" xfId="2429"/>
    <cellStyle name="汇总 2 11 10 5 5" xfId="2430"/>
    <cellStyle name="汇总 2 10 10 12" xfId="2431"/>
    <cellStyle name="计算 2 2 9 11 2" xfId="2432"/>
    <cellStyle name="汇总 2 12 6 3 5" xfId="2433"/>
    <cellStyle name="汇总 2 11 10 8 4" xfId="2434"/>
    <cellStyle name="汇总 2 12 6 6 4" xfId="2435"/>
    <cellStyle name="汇总 2 10 7 2 9" xfId="2436"/>
    <cellStyle name="输出 2 12 3 7 5 2" xfId="2437"/>
    <cellStyle name="汇总 2 11 10 5 5 2" xfId="2438"/>
    <cellStyle name="汇总 2 10 10 12 2" xfId="2439"/>
    <cellStyle name="汇总 2 12 6 3 5 2" xfId="2440"/>
    <cellStyle name="输出 2 12 3 7 6" xfId="2441"/>
    <cellStyle name="汇总 2 11 10 5 6" xfId="2442"/>
    <cellStyle name="汇总 2 10 10 13" xfId="2443"/>
    <cellStyle name="汇总 2 12 6 3 6" xfId="2444"/>
    <cellStyle name="汇总 2 6 8 9" xfId="2445"/>
    <cellStyle name="注释 2 5 4 6 2 2" xfId="2446"/>
    <cellStyle name="汇总 2 6 10 2 2" xfId="2447"/>
    <cellStyle name="汇总 2 10 7 4 5 2" xfId="2448"/>
    <cellStyle name="输出 2 4 2 2 2 2" xfId="2449"/>
    <cellStyle name="汇总 2 5 12 5 2" xfId="2450"/>
    <cellStyle name="检查单元格 2 6 4 2" xfId="2451"/>
    <cellStyle name="汇总 2 10 10 14" xfId="2452"/>
    <cellStyle name="计算 2 9 9 3 3 2" xfId="2453"/>
    <cellStyle name="汇总 2 10 10 3 5 2" xfId="2454"/>
    <cellStyle name="注释 2 10 11 3 2" xfId="2455"/>
    <cellStyle name="汇总 2 10 10 15" xfId="2456"/>
    <cellStyle name="注释 2 10 4 5 4 2" xfId="2457"/>
    <cellStyle name="检查单元格 2 6 4 3" xfId="2458"/>
    <cellStyle name="计算 2 12 7 6 4 2" xfId="2459"/>
    <cellStyle name="汇总 2 2 5 5 2 2" xfId="2460"/>
    <cellStyle name="检查单元格 2 6 7 4 5" xfId="2461"/>
    <cellStyle name="汇总 2 7 11 6 2" xfId="2462"/>
    <cellStyle name="计算 2 10 3 6 3 2" xfId="2463"/>
    <cellStyle name="注释 2 7 3 5 6" xfId="2464"/>
    <cellStyle name="汇总 2 10 10 16" xfId="2465"/>
    <cellStyle name="汇总 2 10 11 7 2 2" xfId="2466"/>
    <cellStyle name="计算 2 12 2 7 4" xfId="2467"/>
    <cellStyle name="输出 2 2 8 6 5 2" xfId="2468"/>
    <cellStyle name="计算 2 4 4 5 5 2" xfId="2469"/>
    <cellStyle name="汇总 2 11 6 8 4 2" xfId="2470"/>
    <cellStyle name="汇总 2 10 10 2 2" xfId="2471"/>
    <cellStyle name="汇总 2 7 9 2" xfId="2472"/>
    <cellStyle name="计算 2 7 10 4" xfId="2473"/>
    <cellStyle name="注释 2 10 2 2 3 2" xfId="2474"/>
    <cellStyle name="汇总 2 10 3 2 8" xfId="2475"/>
    <cellStyle name="输入 2 3 8 5 2 2" xfId="2476"/>
    <cellStyle name="检查单元格 2 9 11" xfId="2477"/>
    <cellStyle name="计算 2 12 5 3 3 2" xfId="2478"/>
    <cellStyle name="汇总 2 10 10 2 2 2" xfId="2479"/>
    <cellStyle name="汇总 2 7 9 2 2" xfId="2480"/>
    <cellStyle name="输出 2 12 3 3 5 2" xfId="2481"/>
    <cellStyle name="汇总 2 10 10 2 3" xfId="2482"/>
    <cellStyle name="汇总 2 7 9 3" xfId="2483"/>
    <cellStyle name="计算 2 7 10 5" xfId="2484"/>
    <cellStyle name="汇总 2 10 3 2 9" xfId="2485"/>
    <cellStyle name="汇总 2 10 11 7 3 2" xfId="2486"/>
    <cellStyle name="计算 2 12 2 8 4" xfId="2487"/>
    <cellStyle name="汇总 2 10 10 3 2" xfId="2488"/>
    <cellStyle name="汇总 2 2 3 2 2 2" xfId="2489"/>
    <cellStyle name="输入 2 4 27" xfId="2490"/>
    <cellStyle name="汇总 2 10 10 3 2 2" xfId="2491"/>
    <cellStyle name="汇总 2 10 10 3 3" xfId="2492"/>
    <cellStyle name="汇总 2 10 10 3 3 2" xfId="2493"/>
    <cellStyle name="计算 2 9 9 3 2" xfId="2494"/>
    <cellStyle name="汇总 2 10 10 3 4" xfId="2495"/>
    <cellStyle name="注释 2 10 11 2" xfId="2496"/>
    <cellStyle name="汇总 2 17 5 2 2" xfId="2497"/>
    <cellStyle name="汇总 2 7 11 13" xfId="2498"/>
    <cellStyle name="汇总 2 10 5 6 3 2" xfId="2499"/>
    <cellStyle name="汇总 2 15 2 9" xfId="2500"/>
    <cellStyle name="汇总 2 12 2 7 5" xfId="2501"/>
    <cellStyle name="注释 2 10 10 5 4 2" xfId="2502"/>
    <cellStyle name="汇总 2 7 9 7 4 2" xfId="2503"/>
    <cellStyle name="计算 2 9 9 3 2 2" xfId="2504"/>
    <cellStyle name="汇总 2 10 10 3 4 2" xfId="2505"/>
    <cellStyle name="注释 2 10 11 2 2" xfId="2506"/>
    <cellStyle name="输出 2 5 7 4 4" xfId="2507"/>
    <cellStyle name="汇总 2 2 4 2 7" xfId="2508"/>
    <cellStyle name="计算 2 7 3 3 4" xfId="2509"/>
    <cellStyle name="注释 2 2 2 12" xfId="2510"/>
    <cellStyle name="输出 2 6 9 5 5 2" xfId="2511"/>
    <cellStyle name="汇总 2 11 8 4 2 2" xfId="2512"/>
    <cellStyle name="计算 2 8 5 4 5 2" xfId="2513"/>
    <cellStyle name="计算 2 9 9 3 3" xfId="2514"/>
    <cellStyle name="汇总 2 10 10 3 5" xfId="2515"/>
    <cellStyle name="输入 2 13 11 2" xfId="2516"/>
    <cellStyle name="注释 2 10 11 3" xfId="2517"/>
    <cellStyle name="汇总 2 2 13 2 2" xfId="2518"/>
    <cellStyle name="输出 2 8 11 4 3 2" xfId="2519"/>
    <cellStyle name="计算 2 9 9 3 4" xfId="2520"/>
    <cellStyle name="汇总 2 10 10 3 6" xfId="2521"/>
    <cellStyle name="注释 2 10 11 4" xfId="2522"/>
    <cellStyle name="汇总 2 10 11 7 4" xfId="2523"/>
    <cellStyle name="计算 2 11 3 2 9" xfId="2524"/>
    <cellStyle name="汇总 2 11 7 8 3 2" xfId="2525"/>
    <cellStyle name="检查单元格 2 5 7 9 2" xfId="2526"/>
    <cellStyle name="汇总 2 10 10 4" xfId="2527"/>
    <cellStyle name="汇总 2 2 3 2 3" xfId="2528"/>
    <cellStyle name="计算 2 3 8 2 5 2" xfId="2529"/>
    <cellStyle name="汇总 2 12 7 6 3 2" xfId="2530"/>
    <cellStyle name="汇总 2 11 11 8 3 2" xfId="2531"/>
    <cellStyle name="计算 2 2 6 7 4" xfId="2532"/>
    <cellStyle name="汇总 2 10 2 6 4" xfId="2533"/>
    <cellStyle name="汇总 2 12 16 3" xfId="2534"/>
    <cellStyle name="汇总 2 7 6 7 5" xfId="2535"/>
    <cellStyle name="汇总 2 4 14 4" xfId="2536"/>
    <cellStyle name="输出 2 4 11 8" xfId="2537"/>
    <cellStyle name="注释 2 3 5 2 3" xfId="2538"/>
    <cellStyle name="汇总 2 11 18 6" xfId="2539"/>
    <cellStyle name="计算 2 9 9 4 3 2" xfId="2540"/>
    <cellStyle name="汇总 2 10 10 4 5 2" xfId="2541"/>
    <cellStyle name="输入 2 3 10 12" xfId="2542"/>
    <cellStyle name="注释 2 10 12 3 2" xfId="2543"/>
    <cellStyle name="汇总 2 10 3 3 4" xfId="2544"/>
    <cellStyle name="汇总 2 7 7 4 5" xfId="2545"/>
    <cellStyle name="输入 2 5 2 2 8" xfId="2546"/>
    <cellStyle name="计算 2 5 15 6" xfId="2547"/>
    <cellStyle name="汇总 2 10 8 3 5 2" xfId="2548"/>
    <cellStyle name="输入 2 13 6 3" xfId="2549"/>
    <cellStyle name="汇总 2 15 2 3" xfId="2550"/>
    <cellStyle name="汇总 2 10 10 5 2 2" xfId="2551"/>
    <cellStyle name="输出 2 5 9 2 4" xfId="2552"/>
    <cellStyle name="输出 2 2 7 4 5 2" xfId="2553"/>
    <cellStyle name="计算 2 2 8 7" xfId="2554"/>
    <cellStyle name="计算 2 4 3 3 5 2" xfId="2555"/>
    <cellStyle name="汇总 2 10 4 6" xfId="2556"/>
    <cellStyle name="注释 2 17 3 4" xfId="2557"/>
    <cellStyle name="计算 2 9 9" xfId="2558"/>
    <cellStyle name="汇总 2 4 5 5 2" xfId="2559"/>
    <cellStyle name="输出 2 2 2 5 4" xfId="2560"/>
    <cellStyle name="计算 2 2 6 15" xfId="2561"/>
    <cellStyle name="计算 2 5 5 11 2" xfId="2562"/>
    <cellStyle name="汇总 2 10 2 10" xfId="2563"/>
    <cellStyle name="汇总 2 10 10 5 3 2" xfId="2564"/>
    <cellStyle name="输出 2 5 9 3 4" xfId="2565"/>
    <cellStyle name="计算 2 2 9 7" xfId="2566"/>
    <cellStyle name="计算 2 7 5 2 4" xfId="2567"/>
    <cellStyle name="汇总 2 10 5 6" xfId="2568"/>
    <cellStyle name="注释 2 17 4 4" xfId="2569"/>
    <cellStyle name="汇总 2 10 3 4 4" xfId="2570"/>
    <cellStyle name="汇总 2 7 7 5 5" xfId="2571"/>
    <cellStyle name="汇总 2 11 8 4 4 2" xfId="2572"/>
    <cellStyle name="计算 2 9 9 5 3" xfId="2573"/>
    <cellStyle name="汇总 2 10 10 5 5" xfId="2574"/>
    <cellStyle name="注释 2 10 13 3" xfId="2575"/>
    <cellStyle name="汇总 2 2 13 4 2" xfId="2576"/>
    <cellStyle name="输出 2 8 11 4 5 2" xfId="2577"/>
    <cellStyle name="汇总 2 10 15 3 2" xfId="2578"/>
    <cellStyle name="注释 2 9 7 6 4 2" xfId="2579"/>
    <cellStyle name="汇总 2 2 3 7 2 2" xfId="2580"/>
    <cellStyle name="计算 2 9 9 5 3 2" xfId="2581"/>
    <cellStyle name="汇总 2 10 10 5 5 2" xfId="2582"/>
    <cellStyle name="注释 2 10 13 3 2" xfId="2583"/>
    <cellStyle name="输出 2 2 10 8 2 2" xfId="2584"/>
    <cellStyle name="汇总 2 10 7 6" xfId="2585"/>
    <cellStyle name="注释 2 17 6 4" xfId="2586"/>
    <cellStyle name="汇总 2 5 14" xfId="2587"/>
    <cellStyle name="注释 2 2 10 4 3" xfId="2588"/>
    <cellStyle name="汇总 2 10 3 6 4" xfId="2589"/>
    <cellStyle name="汇总 2 7 7 7 5" xfId="2590"/>
    <cellStyle name="汇总 2 12 7 7 3 2" xfId="2591"/>
    <cellStyle name="计算 2 2 7 7 4" xfId="2592"/>
    <cellStyle name="输入 2 10 2 5" xfId="2593"/>
    <cellStyle name="计算 2 9 9 5 4" xfId="2594"/>
    <cellStyle name="汇总 2 10 10 5 6" xfId="2595"/>
    <cellStyle name="注释 2 10 13 4" xfId="2596"/>
    <cellStyle name="汇总 2 10 11 7 6" xfId="2597"/>
    <cellStyle name="输出 2 7 2 11 2" xfId="2598"/>
    <cellStyle name="计算 2 3 4 3 2 2" xfId="2599"/>
    <cellStyle name="汇总 2 10 10 6" xfId="2600"/>
    <cellStyle name="输出 2 5 6 4 2" xfId="2601"/>
    <cellStyle name="汇总 2 2 3 2 5" xfId="2602"/>
    <cellStyle name="计算 2 7 2 3 2" xfId="2603"/>
    <cellStyle name="汇总 2 11 2 11" xfId="2604"/>
    <cellStyle name="输出 2 5 6 4 2 2" xfId="2605"/>
    <cellStyle name="汇总 2 2 3 2 5 2" xfId="2606"/>
    <cellStyle name="汇总 2 9 3 4 6" xfId="2607"/>
    <cellStyle name="计算 2 7 2 3 2 2" xfId="2608"/>
    <cellStyle name="汇总 2 10 10 6 2" xfId="2609"/>
    <cellStyle name="计算 2 12 10" xfId="2610"/>
    <cellStyle name="输出 2 2 7 5 5" xfId="2611"/>
    <cellStyle name="计算 2 3 6 16" xfId="2612"/>
    <cellStyle name="注释 2 14 5 2 2" xfId="2613"/>
    <cellStyle name="计算 2 4 3 4 5" xfId="2614"/>
    <cellStyle name="汇总 2 10 8 4 5 2" xfId="2615"/>
    <cellStyle name="汇总 2 16 2 3" xfId="2616"/>
    <cellStyle name="计算 2 4 8 2 2 2" xfId="2617"/>
    <cellStyle name="输入 2 7 2 6 3" xfId="2618"/>
    <cellStyle name="汇总 2 10 4 3 4" xfId="2619"/>
    <cellStyle name="汇总 2 7 8 4 5" xfId="2620"/>
    <cellStyle name="输入 2 5 3 2 8" xfId="2621"/>
    <cellStyle name="计算 2 11 12 5" xfId="2622"/>
    <cellStyle name="计算 2 7 14 4 2" xfId="2623"/>
    <cellStyle name="汇总 2 5 23 2" xfId="2624"/>
    <cellStyle name="汇总 2 5 18 2" xfId="2625"/>
    <cellStyle name="汇总 2 11 10 14" xfId="2626"/>
    <cellStyle name="汇总 2 11 4 6" xfId="2627"/>
    <cellStyle name="汇总 2 11 2 11 2" xfId="2628"/>
    <cellStyle name="汇总 2 10 10 6 2 2" xfId="2629"/>
    <cellStyle name="计算 2 12 10 2" xfId="2630"/>
    <cellStyle name="输出 2 2 7 5 5 2" xfId="2631"/>
    <cellStyle name="计算 2 3 8 7" xfId="2632"/>
    <cellStyle name="计算 2 4 3 4 5 2" xfId="2633"/>
    <cellStyle name="汇总 2 7 11 2 2 2" xfId="2634"/>
    <cellStyle name="汇总 2 11 2 12" xfId="2635"/>
    <cellStyle name="汇总 2 10 10 6 3" xfId="2636"/>
    <cellStyle name="计算 2 12 11" xfId="2637"/>
    <cellStyle name="输出 2 2 7 5 6" xfId="2638"/>
    <cellStyle name="计算 2 4 3 4 6" xfId="2639"/>
    <cellStyle name="汇总 2 11 2 13" xfId="2640"/>
    <cellStyle name="汇总 2 17 5 5 2" xfId="2641"/>
    <cellStyle name="计算 2 11 7 8 3 2" xfId="2642"/>
    <cellStyle name="计算 2 9 9 6 2" xfId="2643"/>
    <cellStyle name="汇总 2 10 10 6 4" xfId="2644"/>
    <cellStyle name="计算 2 12 12" xfId="2645"/>
    <cellStyle name="注释 2 10 14 2" xfId="2646"/>
    <cellStyle name="汇总 2 10 4 5 4" xfId="2647"/>
    <cellStyle name="汇总 2 7 8 6 5" xfId="2648"/>
    <cellStyle name="计算 2 2 3 16" xfId="2649"/>
    <cellStyle name="计算 2 11 14 5" xfId="2650"/>
    <cellStyle name="汇总 2 12 7 8 2 2" xfId="2651"/>
    <cellStyle name="计算 2 2 8 6 4" xfId="2652"/>
    <cellStyle name="输入 2 11 10 2 7" xfId="2653"/>
    <cellStyle name="汇总 2 11 6 6" xfId="2654"/>
    <cellStyle name="计算 2 9 9 6 2 2" xfId="2655"/>
    <cellStyle name="汇总 2 10 10 6 4 2" xfId="2656"/>
    <cellStyle name="计算 2 12 12 2" xfId="2657"/>
    <cellStyle name="注释 2 10 14 2 2" xfId="2658"/>
    <cellStyle name="计算 2 7 6 3 4" xfId="2659"/>
    <cellStyle name="汇总 2 2 7 2 7" xfId="2660"/>
    <cellStyle name="计算 2 5 10 11" xfId="2661"/>
    <cellStyle name="汇总 2 6 6 2 3" xfId="2662"/>
    <cellStyle name="汇总 2 5 26" xfId="2663"/>
    <cellStyle name="汇总 2 11 8 4 5 2" xfId="2664"/>
    <cellStyle name="输出 2 2 10 9 2" xfId="2665"/>
    <cellStyle name="汇总 2 11 2 14" xfId="2666"/>
    <cellStyle name="计算 2 5 8 2 2 2" xfId="2667"/>
    <cellStyle name="注释 2 2 3 6 2" xfId="2668"/>
    <cellStyle name="汇总 2 2 13 5 2" xfId="2669"/>
    <cellStyle name="计算 2 9 9 6 3" xfId="2670"/>
    <cellStyle name="汇总 2 10 10 6 5" xfId="2671"/>
    <cellStyle name="计算 2 12 13" xfId="2672"/>
    <cellStyle name="注释 2 10 14 3" xfId="2673"/>
    <cellStyle name="汇总 2 10 15 4 2" xfId="2674"/>
    <cellStyle name="注释 2 9 7 6 5 2" xfId="2675"/>
    <cellStyle name="汇总 2 3 11 2 2" xfId="2676"/>
    <cellStyle name="计算 2 4 8 2 5" xfId="2677"/>
    <cellStyle name="汇总 2 2 3 7 3 2" xfId="2678"/>
    <cellStyle name="汇总 2 9 8 2 6" xfId="2679"/>
    <cellStyle name="汇总 2 10 4 6 4" xfId="2680"/>
    <cellStyle name="汇总 2 7 8 7 5" xfId="2681"/>
    <cellStyle name="计算 2 11 15 5" xfId="2682"/>
    <cellStyle name="汇总 2 12 7 8 3 2" xfId="2683"/>
    <cellStyle name="计算 2 2 8 7 4" xfId="2684"/>
    <cellStyle name="输入 2 11 2 5" xfId="2685"/>
    <cellStyle name="汇总 2 11 7 6" xfId="2686"/>
    <cellStyle name="汇总 2 9 4 15" xfId="2687"/>
    <cellStyle name="计算 2 9 9 6 3 2" xfId="2688"/>
    <cellStyle name="汇总 2 10 10 6 5 2" xfId="2689"/>
    <cellStyle name="计算 2 12 13 2" xfId="2690"/>
    <cellStyle name="注释 2 10 14 3 2" xfId="2691"/>
    <cellStyle name="汇总 2 10 10 7" xfId="2692"/>
    <cellStyle name="输出 2 5 6 4 3" xfId="2693"/>
    <cellStyle name="汇总 2 2 3 2 6" xfId="2694"/>
    <cellStyle name="计算 2 7 2 3 3" xfId="2695"/>
    <cellStyle name="汇总 2 10 10 7 2" xfId="2696"/>
    <cellStyle name="输出 2 2 7 6 5" xfId="2697"/>
    <cellStyle name="注释 2 14 5 3 2" xfId="2698"/>
    <cellStyle name="计算 2 11 2 2 7" xfId="2699"/>
    <cellStyle name="计算 2 4 3 5 5" xfId="2700"/>
    <cellStyle name="汇总 2 10 8 5 5 2" xfId="2701"/>
    <cellStyle name="汇总 2 4 2 6 5" xfId="2702"/>
    <cellStyle name="输出 2 7 5 8 2" xfId="2703"/>
    <cellStyle name="汇总 2 17 2 3" xfId="2704"/>
    <cellStyle name="计算 2 4 8 3 2 2" xfId="2705"/>
    <cellStyle name="输入 2 7 3 6 3" xfId="2706"/>
    <cellStyle name="检查单元格 2 7 5 11" xfId="2707"/>
    <cellStyle name="汇总 2 12 4 2 2 2" xfId="2708"/>
    <cellStyle name="输出 2 7 5 3 5 2" xfId="2709"/>
    <cellStyle name="计算 2 9 6 4" xfId="2710"/>
    <cellStyle name="汇总 2 9 8 3 3 2" xfId="2711"/>
    <cellStyle name="汇总 2 10 5 3 4" xfId="2712"/>
    <cellStyle name="输出 2 10 2 7 4" xfId="2713"/>
    <cellStyle name="汇总 2 7 9 4 5" xfId="2714"/>
    <cellStyle name="输入 2 5 4 2 8" xfId="2715"/>
    <cellStyle name="汇总 2 10 10 7 2 2" xfId="2716"/>
    <cellStyle name="计算 2 11 2 7 4" xfId="2717"/>
    <cellStyle name="输出 2 2 7 6 5 2" xfId="2718"/>
    <cellStyle name="计算 2 4 8 7" xfId="2719"/>
    <cellStyle name="计算 2 4 3 5 5 2" xfId="2720"/>
    <cellStyle name="汇总 2 12 4 6" xfId="2721"/>
    <cellStyle name="汇总 2 7 11 2 3 2" xfId="2722"/>
    <cellStyle name="汇总 2 10 10 7 3" xfId="2723"/>
    <cellStyle name="输出 2 3 2 4 2 2" xfId="2724"/>
    <cellStyle name="计算 2 11 2 2 8" xfId="2725"/>
    <cellStyle name="计算 2 4 3 5 6" xfId="2726"/>
    <cellStyle name="输入 2 6 9 10 2" xfId="2727"/>
    <cellStyle name="输出 2 2 7 6 6" xfId="2728"/>
    <cellStyle name="输出 2 6 8 6 3" xfId="2729"/>
    <cellStyle name="汇总 2 3 5 4 6" xfId="2730"/>
    <cellStyle name="计算 2 8 4 5 3" xfId="2731"/>
    <cellStyle name="汇总 2 10 14" xfId="2732"/>
    <cellStyle name="输入 2 6 6 4 4" xfId="2733"/>
    <cellStyle name="注释 2 4 8 4 4 2" xfId="2734"/>
    <cellStyle name="汇总 2 10 5 4 4" xfId="2735"/>
    <cellStyle name="输出 2 10 2 8 4" xfId="2736"/>
    <cellStyle name="汇总 2 7 9 5 5" xfId="2737"/>
    <cellStyle name="汇总 2 10 10 7 3 2" xfId="2738"/>
    <cellStyle name="计算 2 11 2 8 4" xfId="2739"/>
    <cellStyle name="计算 2 7 7 2 4" xfId="2740"/>
    <cellStyle name="计算 2 4 9 7" xfId="2741"/>
    <cellStyle name="汇总 2 12 5 6" xfId="2742"/>
    <cellStyle name="输入 2 6 19" xfId="2743"/>
    <cellStyle name="输入 2 6 24" xfId="2744"/>
    <cellStyle name="计算 2 9 9 7 2" xfId="2745"/>
    <cellStyle name="汇总 2 10 10 7 4" xfId="2746"/>
    <cellStyle name="注释 2 10 15 2" xfId="2747"/>
    <cellStyle name="注释 2 10 20 2" xfId="2748"/>
    <cellStyle name="计算 2 11 2 2 9" xfId="2749"/>
    <cellStyle name="计算 2 11 7 8 4 2" xfId="2750"/>
    <cellStyle name="汇总 2 10 4 11" xfId="2751"/>
    <cellStyle name="计算 2 11 8 10 2" xfId="2752"/>
    <cellStyle name="计算 2 2 9 6 4" xfId="2753"/>
    <cellStyle name="汇总 2 10 5 5 4" xfId="2754"/>
    <cellStyle name="汇总 2 7 9 6 5" xfId="2755"/>
    <cellStyle name="计算 2 2 8 16" xfId="2756"/>
    <cellStyle name="汇总 2 11 10 8" xfId="2757"/>
    <cellStyle name="汇总 2 12 6 6" xfId="2758"/>
    <cellStyle name="计算 2 9 9 7 2 2" xfId="2759"/>
    <cellStyle name="汇总 2 10 10 7 4 2" xfId="2760"/>
    <cellStyle name="注释 2 10 15 2 2" xfId="2761"/>
    <cellStyle name="计算 2 7 7 3 4" xfId="2762"/>
    <cellStyle name="汇总 2 2 8 2 7" xfId="2763"/>
    <cellStyle name="汇总 2 4 7 7" xfId="2764"/>
    <cellStyle name="输出 2 12 6 4 2" xfId="2765"/>
    <cellStyle name="汇总 2 11 13 2 2" xfId="2766"/>
    <cellStyle name="计算 2 9 9 7 3" xfId="2767"/>
    <cellStyle name="汇总 2 10 10 7 5" xfId="2768"/>
    <cellStyle name="注释 2 10 15 3" xfId="2769"/>
    <cellStyle name="汇总 2 10 15 5 2" xfId="2770"/>
    <cellStyle name="汇总 2 3 11 3 2" xfId="2771"/>
    <cellStyle name="输入 2 3 9 13" xfId="2772"/>
    <cellStyle name="计算 2 4 8 3 5" xfId="2773"/>
    <cellStyle name="汇总 2 12 4 2 5" xfId="2774"/>
    <cellStyle name="汇总 2 2 3 7 4 2" xfId="2775"/>
    <cellStyle name="汇总 2 9 8 3 6" xfId="2776"/>
    <cellStyle name="汇总 2 10 5 6 4" xfId="2777"/>
    <cellStyle name="汇总 2 7 9 7 5" xfId="2778"/>
    <cellStyle name="汇总 2 12 7 6" xfId="2779"/>
    <cellStyle name="汇总 2 11 11 8" xfId="2780"/>
    <cellStyle name="注释 2 2 3 7 2 2" xfId="2781"/>
    <cellStyle name="汇总 2 9 9 15" xfId="2782"/>
    <cellStyle name="计算 2 9 9 7 3 2" xfId="2783"/>
    <cellStyle name="汇总 2 10 10 7 5 2" xfId="2784"/>
    <cellStyle name="注释 2 10 15 3 2" xfId="2785"/>
    <cellStyle name="计算 2 9 9 7 4" xfId="2786"/>
    <cellStyle name="汇总 2 10 10 7 6" xfId="2787"/>
    <cellStyle name="注释 2 10 15 4" xfId="2788"/>
    <cellStyle name="计算 2 3 4 2 2 2" xfId="2789"/>
    <cellStyle name="汇总 2 10 10 8 2" xfId="2790"/>
    <cellStyle name="输出 2 2 7 7 5" xfId="2791"/>
    <cellStyle name="注释 2 14 5 4 2" xfId="2792"/>
    <cellStyle name="计算 2 4 3 6 5" xfId="2793"/>
    <cellStyle name="汇总 2 10 8 6 5 2" xfId="2794"/>
    <cellStyle name="计算 2 9 2 7 2" xfId="2795"/>
    <cellStyle name="汇总 2 4 3 6 5" xfId="2796"/>
    <cellStyle name="汇总 2 3 21" xfId="2797"/>
    <cellStyle name="汇总 2 3 16" xfId="2798"/>
    <cellStyle name="输出 2 7 6 8 2" xfId="2799"/>
    <cellStyle name="计算 2 4 8 4 2 2" xfId="2800"/>
    <cellStyle name="输入 2 7 4 6 3" xfId="2801"/>
    <cellStyle name="汇总 2 12 4 3 2 2" xfId="2802"/>
    <cellStyle name="输出 2 7 5 4 5 2" xfId="2803"/>
    <cellStyle name="检查单元格 2 2 12 2" xfId="2804"/>
    <cellStyle name="汇总 2 9 8 4 3 2" xfId="2805"/>
    <cellStyle name="输出 2 10 3 7 4" xfId="2806"/>
    <cellStyle name="汇总 2 3 2 12 2" xfId="2807"/>
    <cellStyle name="输入 2 5 5 2 8" xfId="2808"/>
    <cellStyle name="汇总 2 10 6 3 4" xfId="2809"/>
    <cellStyle name="汇总 2 10 10 8 2 2" xfId="2810"/>
    <cellStyle name="计算 2 11 3 7 4" xfId="2811"/>
    <cellStyle name="输出 2 2 7 7 5 2" xfId="2812"/>
    <cellStyle name="计算 2 5 8 7" xfId="2813"/>
    <cellStyle name="计算 2 4 3 6 5 2" xfId="2814"/>
    <cellStyle name="输出 2 11 19 3" xfId="2815"/>
    <cellStyle name="汇总 2 13 4 6" xfId="2816"/>
    <cellStyle name="输出 2 4 3 4 2 2" xfId="2817"/>
    <cellStyle name="计算 2 6 10 2 7" xfId="2818"/>
    <cellStyle name="汇总 2 2 5 3" xfId="2819"/>
    <cellStyle name="汇总 2 7 11 2 4 2" xfId="2820"/>
    <cellStyle name="汇总 2 10 10 8 3" xfId="2821"/>
    <cellStyle name="输出 2 3 2 4 3 2" xfId="2822"/>
    <cellStyle name="汇总 2 9 10 3 2 2" xfId="2823"/>
    <cellStyle name="计算 2 4 3 6 6" xfId="2824"/>
    <cellStyle name="输入 2 6 9 11 2" xfId="2825"/>
    <cellStyle name="输出 2 2 7 7 6" xfId="2826"/>
    <cellStyle name="汇总 2 10 6 4 4" xfId="2827"/>
    <cellStyle name="汇总 2 10 10 8 3 2" xfId="2828"/>
    <cellStyle name="计算 2 11 3 8 4" xfId="2829"/>
    <cellStyle name="汇总 2 13 5 6" xfId="2830"/>
    <cellStyle name="输出 2 4 3 4 3 2" xfId="2831"/>
    <cellStyle name="汇总 2 2 6 3" xfId="2832"/>
    <cellStyle name="计算 2 9 9 8 2" xfId="2833"/>
    <cellStyle name="汇总 2 10 10 8 4" xfId="2834"/>
    <cellStyle name="注释 2 10 16 2" xfId="2835"/>
    <cellStyle name="注释 2 10 21 2" xfId="2836"/>
    <cellStyle name="汇总 2 4 8 7" xfId="2837"/>
    <cellStyle name="输出 2 12 6 5 2" xfId="2838"/>
    <cellStyle name="汇总 2 11 13 3 2" xfId="2839"/>
    <cellStyle name="汇总 2 2 8 5 2 2" xfId="2840"/>
    <cellStyle name="计算 2 9 9 8 3" xfId="2841"/>
    <cellStyle name="汇总 2 10 10 8 5" xfId="2842"/>
    <cellStyle name="注释 2 10 16 3" xfId="2843"/>
    <cellStyle name="汇总 2 10 10 9 2" xfId="2844"/>
    <cellStyle name="计算 2 2 9 4 2 2" xfId="2845"/>
    <cellStyle name="输出 2 2 7 8 5" xfId="2846"/>
    <cellStyle name="输出 2 10 7 2 4" xfId="2847"/>
    <cellStyle name="注释 2 14 5 5 2" xfId="2848"/>
    <cellStyle name="计算 2 4 3 7 5" xfId="2849"/>
    <cellStyle name="输出 2 10 2 7 2 2" xfId="2850"/>
    <cellStyle name="汇总 2 7 9 4 3 2" xfId="2851"/>
    <cellStyle name="输出 2 5 6 4 5 2" xfId="2852"/>
    <cellStyle name="汇总 2 10 5 3 2 2" xfId="2853"/>
    <cellStyle name="汇总 2 9 3 7 6" xfId="2854"/>
    <cellStyle name="计算 2 7 2 3 5 2" xfId="2855"/>
    <cellStyle name="汇总 2 10 8 7 5" xfId="2856"/>
    <cellStyle name="汇总 2 12 4 4 2" xfId="2857"/>
    <cellStyle name="输出 2 7 5 5 5" xfId="2858"/>
    <cellStyle name="汇总 2 9 8 5 3" xfId="2859"/>
    <cellStyle name="输入 2 7 3 3 6" xfId="2860"/>
    <cellStyle name="汇总 2 10 3 14" xfId="2861"/>
    <cellStyle name="注释 2 12 6 4 2 2" xfId="2862"/>
    <cellStyle name="注释 2 5 2 2 4" xfId="2863"/>
    <cellStyle name="计算 2 2 4 6 5 2" xfId="2864"/>
    <cellStyle name="汇总 2 10 14 4 2" xfId="2865"/>
    <cellStyle name="注释 2 9 7 5 5 2" xfId="2866"/>
    <cellStyle name="汇总 2 3 10 2 2" xfId="2867"/>
    <cellStyle name="计算 2 4 7 2 5" xfId="2868"/>
    <cellStyle name="汇总 2 2 3 6 3 2" xfId="2869"/>
    <cellStyle name="汇总 2 9 7 2 6" xfId="2870"/>
    <cellStyle name="输出 2 3 7 4 5 2" xfId="2871"/>
    <cellStyle name="汇总 2 10 11 10" xfId="2872"/>
    <cellStyle name="计算 2 5 3 3 5 2" xfId="2873"/>
    <cellStyle name="汇总 2 12 6 8 3" xfId="2874"/>
    <cellStyle name="汇总 2 6 8 7 5" xfId="2875"/>
    <cellStyle name="计算 2 11 9 6 5 2" xfId="2876"/>
    <cellStyle name="输入 2 9 9 7 3" xfId="2877"/>
    <cellStyle name="汇总 2 10 11 10 2" xfId="2878"/>
    <cellStyle name="输入 2 4 3 14" xfId="2879"/>
    <cellStyle name="汇总 2 12 6 8 3 2" xfId="2880"/>
    <cellStyle name="汇总 2 15 10 2" xfId="2881"/>
    <cellStyle name="汇总 2 3 6 4 2 2" xfId="2882"/>
    <cellStyle name="计算 2 11 9 6 6" xfId="2883"/>
    <cellStyle name="输入 2 2 10 6 4 2" xfId="2884"/>
    <cellStyle name="汇总 2 10 11 11" xfId="2885"/>
    <cellStyle name="汇总 2 12 6 8 4" xfId="2886"/>
    <cellStyle name="汇总 2 10 2 4" xfId="2887"/>
    <cellStyle name="注释 2 6 6 6 5" xfId="2888"/>
    <cellStyle name="汇总 2 2 4 8 3 2" xfId="2889"/>
    <cellStyle name="汇总 2 6 8 8 5" xfId="2890"/>
    <cellStyle name="汇总 2 10 11 11 2" xfId="2891"/>
    <cellStyle name="汇总 2 12 6 8 4 2" xfId="2892"/>
    <cellStyle name="汇总 2 3 3 2 2" xfId="2893"/>
    <cellStyle name="汇总 2 10 11 12" xfId="2894"/>
    <cellStyle name="汇总 2 12 6 8 5" xfId="2895"/>
    <cellStyle name="汇总 2 10 5 11 2" xfId="2896"/>
    <cellStyle name="输入 2 12 6 5 2" xfId="2897"/>
    <cellStyle name="汇总 2 14 2 5 2" xfId="2898"/>
    <cellStyle name="汇总 2 9 5 8 2 2" xfId="2899"/>
    <cellStyle name="输出 2 9 3 6 5" xfId="2900"/>
    <cellStyle name="汇总 2 3 3 2 2 2" xfId="2901"/>
    <cellStyle name="汇总 2 10 11 12 2" xfId="2902"/>
    <cellStyle name="检查单元格 2 6 9 2" xfId="2903"/>
    <cellStyle name="汇总 2 3 3 2 4" xfId="2904"/>
    <cellStyle name="输入 2 9 6 2 3 2" xfId="2905"/>
    <cellStyle name="汇总 2 5 4 10 2" xfId="2906"/>
    <cellStyle name="汇总 2 6 5 2 5 2" xfId="2907"/>
    <cellStyle name="汇总 2 10 11 14" xfId="2908"/>
    <cellStyle name="输出 2 9 8 4 2 2" xfId="2909"/>
    <cellStyle name="汇总 2 6 10 8" xfId="2910"/>
    <cellStyle name="汇总 2 11 8 8 3 2" xfId="2911"/>
    <cellStyle name="汇总 2 3 10 2 5" xfId="2912"/>
    <cellStyle name="输出 2 8 5 6 3 2" xfId="2913"/>
    <cellStyle name="计算 2 4 7 2 8" xfId="2914"/>
    <cellStyle name="检查单元格 2 3 2 3" xfId="2915"/>
    <cellStyle name="汇总 2 2 17 3 2" xfId="2916"/>
    <cellStyle name="输出 2 8 11 8 4 2" xfId="2917"/>
    <cellStyle name="注释 2 9 15" xfId="2918"/>
    <cellStyle name="注释 2 9 20" xfId="2919"/>
    <cellStyle name="汇总 2 9 7 2 9" xfId="2920"/>
    <cellStyle name="计算 2 12 7 3 2 2" xfId="2921"/>
    <cellStyle name="注释 2 2 7 4 2" xfId="2922"/>
    <cellStyle name="汇总 2 3 3 2 3" xfId="2923"/>
    <cellStyle name="汇总 2 10 11 13" xfId="2924"/>
    <cellStyle name="计算 2 3 9 2 5 2" xfId="2925"/>
    <cellStyle name="注释 2 6 2 3 2 2" xfId="2926"/>
    <cellStyle name="汇总 2 5 7 2 3 2" xfId="2927"/>
    <cellStyle name="输出 2 3 12 4 2" xfId="2928"/>
    <cellStyle name="汇总 2 10 19 2 2" xfId="2929"/>
    <cellStyle name="输出 2 5 11 5 2" xfId="2930"/>
    <cellStyle name="汇总 2 10 2 8 4 2" xfId="2931"/>
    <cellStyle name="输出 2 6 6 4 2" xfId="2932"/>
    <cellStyle name="检查单元格 2 6 9 3" xfId="2933"/>
    <cellStyle name="汇总 2 3 3 2 5" xfId="2934"/>
    <cellStyle name="计算 2 8 2 3 2" xfId="2935"/>
    <cellStyle name="汇总 2 10 11 15" xfId="2936"/>
    <cellStyle name="输出 2 6 6 4 3" xfId="2937"/>
    <cellStyle name="检查单元格 2 6 9 4" xfId="2938"/>
    <cellStyle name="汇总 2 3 3 2 6" xfId="2939"/>
    <cellStyle name="计算 2 8 2 3 3" xfId="2940"/>
    <cellStyle name="汇总 2 10 11 16" xfId="2941"/>
    <cellStyle name="汇总 2 10 11 8 2" xfId="2942"/>
    <cellStyle name="输出 2 2 8 7 5" xfId="2943"/>
    <cellStyle name="注释 2 14 6 4 2" xfId="2944"/>
    <cellStyle name="计算 2 4 4 6 5" xfId="2945"/>
    <cellStyle name="检查单元格 2 5 4 3 2" xfId="2946"/>
    <cellStyle name="汇总 2 5 11 5 3 2" xfId="2947"/>
    <cellStyle name="注释 2 2 9 6 2 2" xfId="2948"/>
    <cellStyle name="计算 2 3 7 3 6" xfId="2949"/>
    <cellStyle name="检查单元格 2 6 6 4 4 2" xfId="2950"/>
    <cellStyle name="汇总 2 11 3 2 6" xfId="2951"/>
    <cellStyle name="汇总 2 10 11 2" xfId="2952"/>
    <cellStyle name="注释 2 9 7 2 3" xfId="2953"/>
    <cellStyle name="汇总 2 8 9" xfId="2954"/>
    <cellStyle name="汇总 2 3 5 4 3 2" xfId="2955"/>
    <cellStyle name="计算 2 10 9 7 6" xfId="2956"/>
    <cellStyle name="汇总 2 10 11 8 2 2" xfId="2957"/>
    <cellStyle name="计算 2 12 3 7 4" xfId="2958"/>
    <cellStyle name="输出 2 2 8 7 5 2" xfId="2959"/>
    <cellStyle name="计算 2 4 4 6 5 2" xfId="2960"/>
    <cellStyle name="汇总 2 18 6" xfId="2961"/>
    <cellStyle name="输入 2 4 2 2 3 2" xfId="2962"/>
    <cellStyle name="汇总 2 10 11 2 2" xfId="2963"/>
    <cellStyle name="注释 2 9 7 2 3 2" xfId="2964"/>
    <cellStyle name="汇总 2 8 9 2" xfId="2965"/>
    <cellStyle name="汇总 2 10 4 2 8" xfId="2966"/>
    <cellStyle name="输入 2 3 8 6 2 2" xfId="2967"/>
    <cellStyle name="计算 2 11 11 9" xfId="2968"/>
    <cellStyle name="注释 2 3 17 2 2" xfId="2969"/>
    <cellStyle name="计算 2 12 5 4 3 2" xfId="2970"/>
    <cellStyle name="汇总 2 10 11 2 2 2" xfId="2971"/>
    <cellStyle name="汇总 2 8 9 2 2" xfId="2972"/>
    <cellStyle name="汇总 2 10 11 2 3 2" xfId="2973"/>
    <cellStyle name="汇总 2 8 9 3 2" xfId="2974"/>
    <cellStyle name="输出 2 6 6 4 4" xfId="2975"/>
    <cellStyle name="检查单元格 2 6 9 5" xfId="2976"/>
    <cellStyle name="汇总 2 3 3 2 7" xfId="2977"/>
    <cellStyle name="计算 2 8 2 3 4" xfId="2978"/>
    <cellStyle name="汇总 2 10 11 2 4 2" xfId="2979"/>
    <cellStyle name="汇总 2 8 9 4 2" xfId="2980"/>
    <cellStyle name="输入 2 6 4 2 5" xfId="2981"/>
    <cellStyle name="注释 2 11 2 7 2 2" xfId="2982"/>
    <cellStyle name="汇总 2 10 11 2 5" xfId="2983"/>
    <cellStyle name="汇总 2 8 9 5" xfId="2984"/>
    <cellStyle name="注释 2 11 2 7 3" xfId="2985"/>
    <cellStyle name="输出 2 10 9 3 5 2" xfId="2986"/>
    <cellStyle name="汇总 2 8 9 6" xfId="2987"/>
    <cellStyle name="注释 2 11 2 7 4" xfId="2988"/>
    <cellStyle name="汇总 2 10 11 2 6" xfId="2989"/>
    <cellStyle name="输出 2 4 6 14" xfId="2990"/>
    <cellStyle name="汇总 2 7 11 3 4 2" xfId="2991"/>
    <cellStyle name="输入 2 5 18 6" xfId="2992"/>
    <cellStyle name="汇总 2 10 11 8 3" xfId="2993"/>
    <cellStyle name="输出 2 3 2 5 3 2" xfId="2994"/>
    <cellStyle name="汇总 2 9 10 4 2 2" xfId="2995"/>
    <cellStyle name="计算 2 4 4 6 6" xfId="2996"/>
    <cellStyle name="输出 2 2 8 7 6" xfId="2997"/>
    <cellStyle name="汇总 2 11 3 2 7" xfId="2998"/>
    <cellStyle name="汇总 2 10 11 3" xfId="2999"/>
    <cellStyle name="注释 2 9 7 2 4" xfId="3000"/>
    <cellStyle name="汇总 2 8 9 10" xfId="3001"/>
    <cellStyle name="输入 2 11 6 6 2" xfId="3002"/>
    <cellStyle name="汇总 2 2 3 3 2" xfId="3003"/>
    <cellStyle name="输入 2 12 6 16" xfId="3004"/>
    <cellStyle name="注释 2 2 11 8 4 2" xfId="3005"/>
    <cellStyle name="汇总 2 10 11 8 3 2" xfId="3006"/>
    <cellStyle name="计算 2 12 3 8 4" xfId="3007"/>
    <cellStyle name="汇总 2 10 11 3 2" xfId="3008"/>
    <cellStyle name="注释 2 9 7 2 4 2" xfId="3009"/>
    <cellStyle name="汇总 2 8 9 10 2" xfId="3010"/>
    <cellStyle name="输入 2 11 6 6 2 2" xfId="3011"/>
    <cellStyle name="输出 2 11 10 6" xfId="3012"/>
    <cellStyle name="汇总 2 2 3 3 2 2" xfId="3013"/>
    <cellStyle name="输入 2 9 27" xfId="3014"/>
    <cellStyle name="汇总 2 10 11 3 3 2" xfId="3015"/>
    <cellStyle name="输出 2 6 9 6 5 2" xfId="3016"/>
    <cellStyle name="汇总 2 11 8 5 2 2" xfId="3017"/>
    <cellStyle name="计算 2 8 5 5 5 2" xfId="3018"/>
    <cellStyle name="注释 2 4 10 2 8" xfId="3019"/>
    <cellStyle name="汇总 2 10 11 3 5" xfId="3020"/>
    <cellStyle name="输出 2 11 10 9" xfId="3021"/>
    <cellStyle name="注释 2 2 4 3 2" xfId="3022"/>
    <cellStyle name="检查单元格 2 10 8 3" xfId="3023"/>
    <cellStyle name="汇总 2 2 14 2 2" xfId="3024"/>
    <cellStyle name="输出 2 8 11 5 3 2" xfId="3025"/>
    <cellStyle name="输出 2 2 11 6 2 2" xfId="3026"/>
    <cellStyle name="汇总 2 3 6" xfId="3027"/>
    <cellStyle name="输出 2 11 10 9 2" xfId="3028"/>
    <cellStyle name="计算 2 10 9 2 3" xfId="3029"/>
    <cellStyle name="注释 2 2 4 3 2 2" xfId="3030"/>
    <cellStyle name="检查单元格 2 10 8 3 2" xfId="3031"/>
    <cellStyle name="汇总 2 10 11 3 5 2" xfId="3032"/>
    <cellStyle name="输入 2 12 5 12" xfId="3033"/>
    <cellStyle name="汇总 2 10 11 3 6" xfId="3034"/>
    <cellStyle name="汇总 2 10 11 8 4" xfId="3035"/>
    <cellStyle name="汇总 2 11 7 8 4 2" xfId="3036"/>
    <cellStyle name="汇总 2 11 3 2 8" xfId="3037"/>
    <cellStyle name="输入 2 3 9 5 2 2" xfId="3038"/>
    <cellStyle name="计算 2 10 10 10 2" xfId="3039"/>
    <cellStyle name="计算 2 12 6 3 3 2" xfId="3040"/>
    <cellStyle name="汇总 2 10 11 4" xfId="3041"/>
    <cellStyle name="注释 2 9 7 2 5" xfId="3042"/>
    <cellStyle name="汇总 2 8 9 11" xfId="3043"/>
    <cellStyle name="输入 2 11 6 6 3" xfId="3044"/>
    <cellStyle name="输入 2 7 10 6 5 2" xfId="3045"/>
    <cellStyle name="检查单元格 2 5 5 2 2 2" xfId="3046"/>
    <cellStyle name="汇总 2 2 3 3 3" xfId="3047"/>
    <cellStyle name="计算 2 8 8 3 4" xfId="3048"/>
    <cellStyle name="注释 2 8 2 12" xfId="3049"/>
    <cellStyle name="汇总 2 3 9 2 7" xfId="3050"/>
    <cellStyle name="汇总 2 10 11 8 4 2" xfId="3051"/>
    <cellStyle name="计算 2 7 6 2 8" xfId="3052"/>
    <cellStyle name="汇总 2 10 9 2 5" xfId="3053"/>
    <cellStyle name="输出 2 8 8 5 3 2" xfId="3054"/>
    <cellStyle name="输出 2 10 6 6 5" xfId="3055"/>
    <cellStyle name="检查单元格 2 9 3 2 4" xfId="3056"/>
    <cellStyle name="输入 2 8 6 3 4 2" xfId="3057"/>
    <cellStyle name="计算 2 12 11 6" xfId="3058"/>
    <cellStyle name="输入 2 6 10 11 2" xfId="3059"/>
    <cellStyle name="计算 2 9 5 6 3" xfId="3060"/>
    <cellStyle name="汇总 2 4 6 5 6" xfId="3061"/>
    <cellStyle name="输出 2 7 9 7 3" xfId="3062"/>
    <cellStyle name="汇总 2 10 7 14" xfId="3063"/>
    <cellStyle name="汇总 2 10 11 4 2" xfId="3064"/>
    <cellStyle name="注释 2 9 7 2 5 2" xfId="3065"/>
    <cellStyle name="汇总 2 8 9 11 2" xfId="3066"/>
    <cellStyle name="输入 2 11 6 6 3 2" xfId="3067"/>
    <cellStyle name="输出 2 2 8 3 5" xfId="3068"/>
    <cellStyle name="计算 2 4 4 2 5" xfId="3069"/>
    <cellStyle name="输出 2 11 11 6" xfId="3070"/>
    <cellStyle name="汇总 2 2 3 3 3 2" xfId="3071"/>
    <cellStyle name="汇总 2 9 4 2 6" xfId="3072"/>
    <cellStyle name="计算 2 7 6 2 9" xfId="3073"/>
    <cellStyle name="汇总 2 10 9 2 6" xfId="3074"/>
    <cellStyle name="输入 2 12 4 6 5 2" xfId="3075"/>
    <cellStyle name="输出 2 11 9 11 2" xfId="3076"/>
    <cellStyle name="注释 2 2 5 5 4 2" xfId="3077"/>
    <cellStyle name="汇总 2 10 7 15" xfId="3078"/>
    <cellStyle name="汇总 2 10 11 4 3" xfId="3079"/>
    <cellStyle name="输出 2 2 8 3 6" xfId="3080"/>
    <cellStyle name="计算 2 7 6 10 2" xfId="3081"/>
    <cellStyle name="计算 2 4 4 2 6" xfId="3082"/>
    <cellStyle name="汇总 2 10 11 4 3 2" xfId="3083"/>
    <cellStyle name="汇总 2 10 9 2 7" xfId="3084"/>
    <cellStyle name="计算 2 9 11 2 2 2" xfId="3085"/>
    <cellStyle name="汇总 2 2 4 12 2" xfId="3086"/>
    <cellStyle name="计算 2 7 7 5 4 2" xfId="3087"/>
    <cellStyle name="汇总 2 10 7 16" xfId="3088"/>
    <cellStyle name="计算 2 9 5 6 5" xfId="3089"/>
    <cellStyle name="汇总 2 12 8 6 2" xfId="3090"/>
    <cellStyle name="输出 2 7 9 7 5" xfId="3091"/>
    <cellStyle name="注释 2 3 10 2 3 2" xfId="3092"/>
    <cellStyle name="汇总 2 10 11 4 4" xfId="3093"/>
    <cellStyle name="计算 2 4 4 2 7" xfId="3094"/>
    <cellStyle name="汇总 2 12 10 5 2" xfId="3095"/>
    <cellStyle name="输出 2 11 11 8" xfId="3096"/>
    <cellStyle name="汇总 2 17 6 3 2" xfId="3097"/>
    <cellStyle name="汇总 2 9 4 2 8" xfId="3098"/>
    <cellStyle name="检查单元格 2 10 9 2" xfId="3099"/>
    <cellStyle name="计算 2 2 9 8 4 2" xfId="3100"/>
    <cellStyle name="输入 2 12 3 5 2" xfId="3101"/>
    <cellStyle name="汇总 2 3 10 9 2" xfId="3102"/>
    <cellStyle name="计算 2 4 2 16" xfId="3103"/>
    <cellStyle name="汇总 2 10 5 7 4 2" xfId="3104"/>
    <cellStyle name="汇总 2 12 3 8 5" xfId="3105"/>
    <cellStyle name="注释 2 10 10 6 5 2" xfId="3106"/>
    <cellStyle name="输出 2 6 8 4 4" xfId="3107"/>
    <cellStyle name="检查单元格 2 8 9 5" xfId="3108"/>
    <cellStyle name="汇总 2 3 5 2 7" xfId="3109"/>
    <cellStyle name="计算 2 8 4 3 4" xfId="3110"/>
    <cellStyle name="注释 2 7 7 12" xfId="3111"/>
    <cellStyle name="汇总 2 10 11 4 4 2" xfId="3112"/>
    <cellStyle name="汇总 2 11 8 5 3 2" xfId="3113"/>
    <cellStyle name="汇总 2 10 11 4 5" xfId="3114"/>
    <cellStyle name="计算 2 4 4 2 8" xfId="3115"/>
    <cellStyle name="输出 2 11 11 9" xfId="3116"/>
    <cellStyle name="汇总 2 9 4 2 9" xfId="3117"/>
    <cellStyle name="注释 2 2 4 4 2" xfId="3118"/>
    <cellStyle name="检查单元格 2 10 9 3" xfId="3119"/>
    <cellStyle name="汇总 2 2 14 3 2" xfId="3120"/>
    <cellStyle name="输出 2 8 11 5 4 2" xfId="3121"/>
    <cellStyle name="汇总 2 10 9 2 8" xfId="3122"/>
    <cellStyle name="汇总 2 10 16 2 2" xfId="3123"/>
    <cellStyle name="注释 2 9 7 7 3 2" xfId="3124"/>
    <cellStyle name="汇总 2 10 11 4 5 2" xfId="3125"/>
    <cellStyle name="输入 2 4 10 12" xfId="3126"/>
    <cellStyle name="汇总 2 10 11 4 6" xfId="3127"/>
    <cellStyle name="计算 2 4 4 2 9" xfId="3128"/>
    <cellStyle name="汇总 2 5 8 7" xfId="3129"/>
    <cellStyle name="输入 2 7 14 2" xfId="3130"/>
    <cellStyle name="输出 2 12 7 5 2" xfId="3131"/>
    <cellStyle name="汇总 2 11 14 3 2" xfId="3132"/>
    <cellStyle name="汇总 2 2 8 6 2 2" xfId="3133"/>
    <cellStyle name="汇总 2 10 11 8 5" xfId="3134"/>
    <cellStyle name="汇总 2 11 3 2 9" xfId="3135"/>
    <cellStyle name="汇总 2 4 10 6 3 2" xfId="3136"/>
    <cellStyle name="输入 2 3 8 6 5" xfId="3137"/>
    <cellStyle name="输入 2 7 19 3 2" xfId="3138"/>
    <cellStyle name="计算 2 5 6 7 4" xfId="3139"/>
    <cellStyle name="计算 2 12 5 4 6" xfId="3140"/>
    <cellStyle name="输入 2 2 11 2 2 2" xfId="3141"/>
    <cellStyle name="汇总 2 2 11 5 5 2" xfId="3142"/>
    <cellStyle name="汇总 2 10 11 5" xfId="3143"/>
    <cellStyle name="注释 2 9 7 2 6" xfId="3144"/>
    <cellStyle name="汇总 2 8 9 12" xfId="3145"/>
    <cellStyle name="输入 2 11 6 6 4" xfId="3146"/>
    <cellStyle name="汇总 2 2 3 3 4" xfId="3147"/>
    <cellStyle name="输入 2 9 5 2 4 2" xfId="3148"/>
    <cellStyle name="汇总 2 10 11 5 2" xfId="3149"/>
    <cellStyle name="汇总 2 8 9 12 2" xfId="3150"/>
    <cellStyle name="输入 2 11 6 6 4 2" xfId="3151"/>
    <cellStyle name="输入 2 2 6 2 6" xfId="3152"/>
    <cellStyle name="输出 2 2 8 4 5" xfId="3153"/>
    <cellStyle name="计算 2 4 4 3 5" xfId="3154"/>
    <cellStyle name="输出 2 11 12 6" xfId="3155"/>
    <cellStyle name="汇总 2 2 3 3 4 2" xfId="3156"/>
    <cellStyle name="汇总 2 9 4 3 6" xfId="3157"/>
    <cellStyle name="汇总 2 10 11 5 2 2" xfId="3158"/>
    <cellStyle name="输出 2 6 9 2 4" xfId="3159"/>
    <cellStyle name="输出 2 2 8 4 5 2" xfId="3160"/>
    <cellStyle name="检查单元格 2 9 7 5" xfId="3161"/>
    <cellStyle name="计算 2 4 4 3 5 2" xfId="3162"/>
    <cellStyle name="输入 2 2 10 2 9" xfId="3163"/>
    <cellStyle name="输出 2 11 12 7" xfId="3164"/>
    <cellStyle name="汇总 2 4 6 10" xfId="3165"/>
    <cellStyle name="汇总 2 10 11 5 3" xfId="3166"/>
    <cellStyle name="输出 2 2 8 4 6" xfId="3167"/>
    <cellStyle name="计算 2 7 6 11 2" xfId="3168"/>
    <cellStyle name="计算 2 4 4 3 6" xfId="3169"/>
    <cellStyle name="输出 2 6 9 3 4" xfId="3170"/>
    <cellStyle name="检查单元格 2 9 8 5" xfId="3171"/>
    <cellStyle name="计算 2 8 5 2 4" xfId="3172"/>
    <cellStyle name="汇总 2 6 2 14" xfId="3173"/>
    <cellStyle name="汇总 2 10 11 5 3 2" xfId="3174"/>
    <cellStyle name="汇总 2 4 6 10 2" xfId="3175"/>
    <cellStyle name="输出 2 11 12 8" xfId="3176"/>
    <cellStyle name="汇总 2 4 6 11" xfId="3177"/>
    <cellStyle name="汇总 2 17 6 4 2" xfId="3178"/>
    <cellStyle name="汇总 2 10 11 5 4" xfId="3179"/>
    <cellStyle name="汇总 2 10 5 7 5 2" xfId="3180"/>
    <cellStyle name="汇总 2 4 6 11 2" xfId="3181"/>
    <cellStyle name="输出 2 6 9 4 4" xfId="3182"/>
    <cellStyle name="检查单元格 2 9 9 5" xfId="3183"/>
    <cellStyle name="汇总 2 3 6 2 7" xfId="3184"/>
    <cellStyle name="计算 2 8 5 3 4" xfId="3185"/>
    <cellStyle name="汇总 2 10 11 5 4 2" xfId="3186"/>
    <cellStyle name="汇总 2 11 8 5 4 2" xfId="3187"/>
    <cellStyle name="输出 2 11 12 9" xfId="3188"/>
    <cellStyle name="汇总 2 4 6 12" xfId="3189"/>
    <cellStyle name="注释 2 2 4 5 2" xfId="3190"/>
    <cellStyle name="汇总 2 2 14 4 2" xfId="3191"/>
    <cellStyle name="输出 2 8 11 5 5 2" xfId="3192"/>
    <cellStyle name="汇总 2 10 11 5 5" xfId="3193"/>
    <cellStyle name="汇总 2 10 16 3 2" xfId="3194"/>
    <cellStyle name="注释 2 9 7 7 4 2" xfId="3195"/>
    <cellStyle name="输出 2 12 2 4 5" xfId="3196"/>
    <cellStyle name="输出 2 12 10 6" xfId="3197"/>
    <cellStyle name="汇总 2 2 3 8 2 2" xfId="3198"/>
    <cellStyle name="汇总 2 4 6 12 2" xfId="3199"/>
    <cellStyle name="注释 2 2 4 5 2 2" xfId="3200"/>
    <cellStyle name="汇总 2 10 11 5 5 2" xfId="3201"/>
    <cellStyle name="输出 2 11 4 10" xfId="3202"/>
    <cellStyle name="汇总 2 4 6 13" xfId="3203"/>
    <cellStyle name="注释 2 2 4 5 3" xfId="3204"/>
    <cellStyle name="汇总 2 10 11 5 6" xfId="3205"/>
    <cellStyle name="输出 2 5 7 7 5 2" xfId="3206"/>
    <cellStyle name="汇总 2 10 6 6 2 2" xfId="3207"/>
    <cellStyle name="计算 2 7 3 6 5 2" xfId="3208"/>
    <cellStyle name="汇总 2 10 11 6" xfId="3209"/>
    <cellStyle name="注释 2 9 7 2 7" xfId="3210"/>
    <cellStyle name="汇总 2 8 9 13" xfId="3211"/>
    <cellStyle name="输出 2 7 3 4 2 2" xfId="3212"/>
    <cellStyle name="输入 2 11 6 6 5" xfId="3213"/>
    <cellStyle name="输出 2 5 6 5 2" xfId="3214"/>
    <cellStyle name="汇总 2 2 3 3 5" xfId="3215"/>
    <cellStyle name="计算 2 7 2 4 2" xfId="3216"/>
    <cellStyle name="汇总 2 11 7 11" xfId="3217"/>
    <cellStyle name="输入 2 5 16 5" xfId="3218"/>
    <cellStyle name="输出 2 5 6 5 2 2" xfId="3219"/>
    <cellStyle name="输出 2 11 13 6" xfId="3220"/>
    <cellStyle name="汇总 2 2 3 3 5 2" xfId="3221"/>
    <cellStyle name="汇总 2 9 4 4 6" xfId="3222"/>
    <cellStyle name="计算 2 7 2 4 2 2" xfId="3223"/>
    <cellStyle name="汇总 2 10 11 6 2" xfId="3224"/>
    <cellStyle name="输出 2 2 8 5 5" xfId="3225"/>
    <cellStyle name="注释 2 14 6 2 2" xfId="3226"/>
    <cellStyle name="计算 2 4 4 4 5" xfId="3227"/>
    <cellStyle name="汇总 2 7 11 3 2 2" xfId="3228"/>
    <cellStyle name="汇总 2 11 7 12" xfId="3229"/>
    <cellStyle name="输入 2 5 16 6" xfId="3230"/>
    <cellStyle name="汇总 2 10 11 6 3" xfId="3231"/>
    <cellStyle name="输出 2 2 8 5 6" xfId="3232"/>
    <cellStyle name="计算 2 7 6 12 2" xfId="3233"/>
    <cellStyle name="计算 2 4 4 4 6" xfId="3234"/>
    <cellStyle name="计算 2 5 2 12 2" xfId="3235"/>
    <cellStyle name="汇总 2 11 4 4 4" xfId="3236"/>
    <cellStyle name="汇总 2 10 5" xfId="3237"/>
    <cellStyle name="汇总 2 8 8 5 5" xfId="3238"/>
    <cellStyle name="输入 2 6 6 13" xfId="3239"/>
    <cellStyle name="计算 2 8 6 2 4" xfId="3240"/>
    <cellStyle name="汇总 2 6 7 14" xfId="3241"/>
    <cellStyle name="汇总 2 10 11 6 3 2" xfId="3242"/>
    <cellStyle name="汇总 2 11 7 12 2" xfId="3243"/>
    <cellStyle name="汇总 2 11 7 13" xfId="3244"/>
    <cellStyle name="汇总 2 17 6 5 2" xfId="3245"/>
    <cellStyle name="汇总 2 10 11 6 4" xfId="3246"/>
    <cellStyle name="计算 2 8 6 3 4" xfId="3247"/>
    <cellStyle name="计算 2 6 10 11" xfId="3248"/>
    <cellStyle name="汇总 2 3 7 2 7" xfId="3249"/>
    <cellStyle name="汇总 2 10 11 6 4 2" xfId="3250"/>
    <cellStyle name="检查单元格 2 6 6 4 5 2" xfId="3251"/>
    <cellStyle name="汇总 2 7 10 6 2 2" xfId="3252"/>
    <cellStyle name="汇总 2 11 3 3 6" xfId="3253"/>
    <cellStyle name="检查单元格 2 5 4 4 2" xfId="3254"/>
    <cellStyle name="汇总 2 5 11 5 4 2" xfId="3255"/>
    <cellStyle name="注释 2 2 9 6 3 2" xfId="3256"/>
    <cellStyle name="检查单元格 2 10 5 2 7" xfId="3257"/>
    <cellStyle name="计算 2 8 22" xfId="3258"/>
    <cellStyle name="计算 2 8 17" xfId="3259"/>
    <cellStyle name="计算 2 3 7 4 6" xfId="3260"/>
    <cellStyle name="汇总 2 3 5 4 4 2" xfId="3261"/>
    <cellStyle name="汇总 2 10 12 2" xfId="3262"/>
    <cellStyle name="输入 2 6 6 4 2 2" xfId="3263"/>
    <cellStyle name="注释 2 9 7 3 3" xfId="3264"/>
    <cellStyle name="汇总 2 9 9" xfId="3265"/>
    <cellStyle name="汇总 2 10 9 7 5" xfId="3266"/>
    <cellStyle name="输出 2 11 5" xfId="3267"/>
    <cellStyle name="计算 2 12 16 6" xfId="3268"/>
    <cellStyle name="计算 2 9 2 4 5" xfId="3269"/>
    <cellStyle name="汇总 2 12 5 4 2" xfId="3270"/>
    <cellStyle name="输出 2 7 6 5 5" xfId="3271"/>
    <cellStyle name="输入 2 6 17 2" xfId="3272"/>
    <cellStyle name="输入 2 6 22 2" xfId="3273"/>
    <cellStyle name="输出 2 12 2 8 2" xfId="3274"/>
    <cellStyle name="输出 2 12 14 3" xfId="3275"/>
    <cellStyle name="汇总 2 9 9 5 3" xfId="3276"/>
    <cellStyle name="输入 2 7 4 3 6" xfId="3277"/>
    <cellStyle name="汇总 2 10 8 14" xfId="3278"/>
    <cellStyle name="注释 2 12 6 5 2 2" xfId="3279"/>
    <cellStyle name="注释 2 5 3 2 4" xfId="3280"/>
    <cellStyle name="计算 2 2 4 7 5 2" xfId="3281"/>
    <cellStyle name="汇总 2 10 11 9 2" xfId="3282"/>
    <cellStyle name="计算 2 2 9 5 2 2" xfId="3283"/>
    <cellStyle name="输出 2 2 8 8 5" xfId="3284"/>
    <cellStyle name="输出 2 10 8 2 4" xfId="3285"/>
    <cellStyle name="注释 2 14 6 5 2" xfId="3286"/>
    <cellStyle name="计算 2 4 4 7 5" xfId="3287"/>
    <cellStyle name="输出 2 10 2 8 2 2" xfId="3288"/>
    <cellStyle name="汇总 2 7 9 5 3 2" xfId="3289"/>
    <cellStyle name="输出 2 5 6 5 5 2" xfId="3290"/>
    <cellStyle name="输出 2 11 16 6" xfId="3291"/>
    <cellStyle name="汇总 2 10 5 4 2 2" xfId="3292"/>
    <cellStyle name="汇总 2 9 4 7 6" xfId="3293"/>
    <cellStyle name="计算 2 7 2 4 5 2" xfId="3294"/>
    <cellStyle name="检查单元格 2 10 3 12" xfId="3295"/>
    <cellStyle name="输入 2 4 2 3 3" xfId="3296"/>
    <cellStyle name="计算 2 5 11 6 5 2" xfId="3297"/>
    <cellStyle name="汇总 2 2 2 6" xfId="3298"/>
    <cellStyle name="输出 2 12 11" xfId="3299"/>
    <cellStyle name="汇总 2 9 9 2" xfId="3300"/>
    <cellStyle name="汇总 2 10 12 2 2" xfId="3301"/>
    <cellStyle name="注释 2 9 7 3 3 2" xfId="3302"/>
    <cellStyle name="汇总 2 10 5 2 8" xfId="3303"/>
    <cellStyle name="输入 2 3 8 7 2 2" xfId="3304"/>
    <cellStyle name="计算 2 12 5 5 3 2" xfId="3305"/>
    <cellStyle name="注释 2 6 10 2 3" xfId="3306"/>
    <cellStyle name="汇总 2 10 12 3" xfId="3307"/>
    <cellStyle name="注释 2 9 7 3 4" xfId="3308"/>
    <cellStyle name="汇总 2 2 3 4 2" xfId="3309"/>
    <cellStyle name="汇总 2 10 12 3 2" xfId="3310"/>
    <cellStyle name="注释 2 9 7 3 4 2" xfId="3311"/>
    <cellStyle name="汇总 2 2 3 4 2 2" xfId="3312"/>
    <cellStyle name="汇总 2 10 12 4" xfId="3313"/>
    <cellStyle name="注释 2 9 7 3 5" xfId="3314"/>
    <cellStyle name="检查单元格 2 5 5 2 3 2" xfId="3315"/>
    <cellStyle name="汇总 2 2 3 4 3" xfId="3316"/>
    <cellStyle name="汇总 2 11 7 5 4" xfId="3317"/>
    <cellStyle name="汇总 2 10 18" xfId="3318"/>
    <cellStyle name="汇总 2 10 23" xfId="3319"/>
    <cellStyle name="汇总 2 10 12 4 2" xfId="3320"/>
    <cellStyle name="注释 2 9 7 3 5 2" xfId="3321"/>
    <cellStyle name="输出 2 2 9 3 5" xfId="3322"/>
    <cellStyle name="计算 2 4 5 2 5" xfId="3323"/>
    <cellStyle name="汇总 2 2 3 4 3 2" xfId="3324"/>
    <cellStyle name="汇总 2 9 5 2 6" xfId="3325"/>
    <cellStyle name="输出 2 5 3 3 5 2" xfId="3326"/>
    <cellStyle name="输出 2 17 5 3 2" xfId="3327"/>
    <cellStyle name="汇总 2 6 2 7 6" xfId="3328"/>
    <cellStyle name="汇总 2 10 2 2 2 2" xfId="3329"/>
    <cellStyle name="检查单元格 2 12 5 2" xfId="3330"/>
    <cellStyle name="汇总 2 7 6 3 3 2" xfId="3331"/>
    <cellStyle name="输入 2 9 3 7 4" xfId="3332"/>
    <cellStyle name="汇总 2 5 10 10 2" xfId="3333"/>
    <cellStyle name="汇总 2 10 12 5" xfId="3334"/>
    <cellStyle name="注释 2 9 7 3 6" xfId="3335"/>
    <cellStyle name="汇总 2 2 3 4 4" xfId="3336"/>
    <cellStyle name="输入 2 9 5 2 5 2" xfId="3337"/>
    <cellStyle name="计算 2 2 8 10" xfId="3338"/>
    <cellStyle name="输入 2 5 4 4 2" xfId="3339"/>
    <cellStyle name="汇总 2 10 6 6 3 2" xfId="3340"/>
    <cellStyle name="汇总 2 8 11 13" xfId="3341"/>
    <cellStyle name="汇总 2 10 12 6" xfId="3342"/>
    <cellStyle name="输入 2 11 11 2 2" xfId="3343"/>
    <cellStyle name="输出 2 5 6 6 2" xfId="3344"/>
    <cellStyle name="汇总 2 2 3 4 5" xfId="3345"/>
    <cellStyle name="计算 2 7 2 5 2" xfId="3346"/>
    <cellStyle name="计算 2 2 8 11" xfId="3347"/>
    <cellStyle name="输入 2 5 4 4 3" xfId="3348"/>
    <cellStyle name="计算 2 8 6 4 5 2" xfId="3349"/>
    <cellStyle name="计算 2 8 27" xfId="3350"/>
    <cellStyle name="汇总 2 11 9 4 2 2" xfId="3351"/>
    <cellStyle name="输出 2 11 6 8 2 2" xfId="3352"/>
    <cellStyle name="输入 2 7 6 11 2" xfId="3353"/>
    <cellStyle name="计算 2 13 3 6" xfId="3354"/>
    <cellStyle name="汇总 2 10 12 7" xfId="3355"/>
    <cellStyle name="输入 2 11 11 2 3" xfId="3356"/>
    <cellStyle name="输出 2 5 6 6 3" xfId="3357"/>
    <cellStyle name="汇总 2 2 3 4 6" xfId="3358"/>
    <cellStyle name="计算 2 7 2 5 3" xfId="3359"/>
    <cellStyle name="计算 2 2 8 12" xfId="3360"/>
    <cellStyle name="输入 2 5 4 4 4" xfId="3361"/>
    <cellStyle name="注释 2 4 7 2 4 2" xfId="3362"/>
    <cellStyle name="输出 2 6 11 4 2" xfId="3363"/>
    <cellStyle name="汇总 2 10 7 8 3 2" xfId="3364"/>
    <cellStyle name="注释 2 3 19" xfId="3365"/>
    <cellStyle name="注释 2 3 24" xfId="3366"/>
    <cellStyle name="输出 2 6 8 6 2" xfId="3367"/>
    <cellStyle name="汇总 2 3 5 4 5" xfId="3368"/>
    <cellStyle name="汇总 2 2 6 12 2" xfId="3369"/>
    <cellStyle name="计算 2 8 4 5 2" xfId="3370"/>
    <cellStyle name="汇总 2 10 13" xfId="3371"/>
    <cellStyle name="计算 2 11 6 3 2 2" xfId="3372"/>
    <cellStyle name="输入 2 6 6 4 3" xfId="3373"/>
    <cellStyle name="汇总 2 7 10 6 3 2" xfId="3374"/>
    <cellStyle name="汇总 2 11 3 4 6" xfId="3375"/>
    <cellStyle name="检查单元格 2 5 4 5 2" xfId="3376"/>
    <cellStyle name="汇总 2 5 11 5 5 2" xfId="3377"/>
    <cellStyle name="注释 2 2 9 6 4 2" xfId="3378"/>
    <cellStyle name="计算 2 10 6 2 8" xfId="3379"/>
    <cellStyle name="计算 2 3 7 5 6" xfId="3380"/>
    <cellStyle name="输出 2 6 8 6 2 2" xfId="3381"/>
    <cellStyle name="汇总 2 3 5 4 5 2" xfId="3382"/>
    <cellStyle name="计算 2 8 4 5 2 2" xfId="3383"/>
    <cellStyle name="汇总 2 10 13 2" xfId="3384"/>
    <cellStyle name="输入 2 6 6 4 3 2" xfId="3385"/>
    <cellStyle name="注释 2 9 7 4 3" xfId="3386"/>
    <cellStyle name="汇总 2 10 13 3" xfId="3387"/>
    <cellStyle name="注释 2 9 7 4 4" xfId="3388"/>
    <cellStyle name="汇总 2 2 3 5 2" xfId="3389"/>
    <cellStyle name="汇总 2 10 15 3" xfId="3390"/>
    <cellStyle name="注释 2 9 7 6 4" xfId="3391"/>
    <cellStyle name="汇总 2 2 3 7 2" xfId="3392"/>
    <cellStyle name="汇总 2 10 13 3 2" xfId="3393"/>
    <cellStyle name="注释 2 9 7 4 4 2" xfId="3394"/>
    <cellStyle name="汇总 2 2 3 5 2 2" xfId="3395"/>
    <cellStyle name="汇总 2 10 13 4" xfId="3396"/>
    <cellStyle name="注释 2 9 7 4 5" xfId="3397"/>
    <cellStyle name="检查单元格 2 5 5 2 4 2" xfId="3398"/>
    <cellStyle name="汇总 2 2 3 5 3" xfId="3399"/>
    <cellStyle name="汇总 2 6 7 6 2 2" xfId="3400"/>
    <cellStyle name="输入 2 4 2 4 5 2" xfId="3401"/>
    <cellStyle name="汇总 2 2 3 8 2" xfId="3402"/>
    <cellStyle name="输入 2 12 7 16" xfId="3403"/>
    <cellStyle name="汇总 2 10 16 3" xfId="3404"/>
    <cellStyle name="注释 2 9 7 7 4" xfId="3405"/>
    <cellStyle name="汇总 2 10 13 4 2" xfId="3406"/>
    <cellStyle name="注释 2 9 7 4 5 2" xfId="3407"/>
    <cellStyle name="计算 2 4 6 2 5" xfId="3408"/>
    <cellStyle name="汇总 2 2 3 5 3 2" xfId="3409"/>
    <cellStyle name="汇总 2 9 6 2 6" xfId="3410"/>
    <cellStyle name="输出 2 17 5 4 2" xfId="3411"/>
    <cellStyle name="汇总 2 10 2 2 3 2" xfId="3412"/>
    <cellStyle name="汇总 2 12 12 2 2" xfId="3413"/>
    <cellStyle name="汇总 2 5 10 11 2" xfId="3414"/>
    <cellStyle name="汇总 2 7 6 3 4 2" xfId="3415"/>
    <cellStyle name="输入 2 9 3 8 4" xfId="3416"/>
    <cellStyle name="汇总 2 10 13 5" xfId="3417"/>
    <cellStyle name="注释 2 9 7 4 6" xfId="3418"/>
    <cellStyle name="汇总 2 2 3 5 4" xfId="3419"/>
    <cellStyle name="汇总 2 10 6 6 4 2" xfId="3420"/>
    <cellStyle name="汇总 2 10 13 6" xfId="3421"/>
    <cellStyle name="输入 2 11 11 3 2" xfId="3422"/>
    <cellStyle name="汇总 2 9 6 4 2 2" xfId="3423"/>
    <cellStyle name="输出 2 5 6 7 2" xfId="3424"/>
    <cellStyle name="汇总 2 2 3 5 5" xfId="3425"/>
    <cellStyle name="输入 2 2 8 3 2 2" xfId="3426"/>
    <cellStyle name="计算 2 7 2 6 2" xfId="3427"/>
    <cellStyle name="汇总 2 7 10 6 4 2" xfId="3428"/>
    <cellStyle name="汇总 2 11 3 5 6" xfId="3429"/>
    <cellStyle name="检查单元格 2 3 5 2 7" xfId="3430"/>
    <cellStyle name="汇总 2 10 14 2" xfId="3431"/>
    <cellStyle name="输入 2 6 6 4 4 2" xfId="3432"/>
    <cellStyle name="注释 2 9 7 5 3" xfId="3433"/>
    <cellStyle name="汇总 2 3 10 2" xfId="3434"/>
    <cellStyle name="检查单元格 2 3 5 2 9" xfId="3435"/>
    <cellStyle name="汇总 2 10 14 4" xfId="3436"/>
    <cellStyle name="注释 2 9 7 5 5" xfId="3437"/>
    <cellStyle name="检查单元格 2 5 5 2 5 2" xfId="3438"/>
    <cellStyle name="汇总 2 2 3 6 3" xfId="3439"/>
    <cellStyle name="输出 2 17 5 5 2" xfId="3440"/>
    <cellStyle name="汇总 2 10 2 2 4 2" xfId="3441"/>
    <cellStyle name="汇总 2 12 12 3 2" xfId="3442"/>
    <cellStyle name="汇总 2 5 10 12 2" xfId="3443"/>
    <cellStyle name="计算 2 10 6 15" xfId="3444"/>
    <cellStyle name="汇总 2 7 6 3 5 2" xfId="3445"/>
    <cellStyle name="汇总 2 3 10 3" xfId="3446"/>
    <cellStyle name="汇总 2 10 14 5" xfId="3447"/>
    <cellStyle name="注释 2 9 7 5 6" xfId="3448"/>
    <cellStyle name="汇总 2 2 3 6 4" xfId="3449"/>
    <cellStyle name="汇总 2 10 6 6 5 2" xfId="3450"/>
    <cellStyle name="汇总 2 10 14 6" xfId="3451"/>
    <cellStyle name="输入 2 11 11 4 2" xfId="3452"/>
    <cellStyle name="汇总 2 12 2 3 2 2" xfId="3453"/>
    <cellStyle name="输出 2 7 3 4 5 2" xfId="3454"/>
    <cellStyle name="汇总 2 3 10 4" xfId="3455"/>
    <cellStyle name="注释 2 14 9 2" xfId="3456"/>
    <cellStyle name="汇总 2 9 6 4 3 2" xfId="3457"/>
    <cellStyle name="输出 2 5 6 8 2" xfId="3458"/>
    <cellStyle name="汇总 2 2 3 6 5" xfId="3459"/>
    <cellStyle name="输入 2 2 8 3 3 2" xfId="3460"/>
    <cellStyle name="计算 2 7 2 7 2" xfId="3461"/>
    <cellStyle name="计算 2 4 6 4 2 2" xfId="3462"/>
    <cellStyle name="输入 2 5 4 6 3" xfId="3463"/>
    <cellStyle name="汇总 2 10 15" xfId="3464"/>
    <cellStyle name="汇总 2 10 20" xfId="3465"/>
    <cellStyle name="输入 2 6 6 4 5" xfId="3466"/>
    <cellStyle name="汇总 2 7 10 6 5 2" xfId="3467"/>
    <cellStyle name="汇总 2 11 3 6 6" xfId="3468"/>
    <cellStyle name="检查单元格 2 5 4 7 2" xfId="3469"/>
    <cellStyle name="汇总 2 5 4 8 2 2" xfId="3470"/>
    <cellStyle name="输入 2 11 3 3 3" xfId="3471"/>
    <cellStyle name="输入 2 7 10 3 2 2" xfId="3472"/>
    <cellStyle name="计算 2 3 7 7 6" xfId="3473"/>
    <cellStyle name="汇总 2 10 15 2" xfId="3474"/>
    <cellStyle name="汇总 2 10 20 2" xfId="3475"/>
    <cellStyle name="输入 2 6 6 4 5 2" xfId="3476"/>
    <cellStyle name="注释 2 9 7 6 3" xfId="3477"/>
    <cellStyle name="汇总 2 3 11 2" xfId="3478"/>
    <cellStyle name="汇总 2 10 15 4" xfId="3479"/>
    <cellStyle name="注释 2 9 7 6 5" xfId="3480"/>
    <cellStyle name="汇总 2 2 3 7 3" xfId="3481"/>
    <cellStyle name="汇总 2 10 2 2 5 2" xfId="3482"/>
    <cellStyle name="汇总 2 12 12 4 2" xfId="3483"/>
    <cellStyle name="汇总 2 17 8 2 2" xfId="3484"/>
    <cellStyle name="汇总 2 3 11 3" xfId="3485"/>
    <cellStyle name="汇总 2 10 15 5" xfId="3486"/>
    <cellStyle name="注释 2 9 7 6 6" xfId="3487"/>
    <cellStyle name="汇总 2 2 3 7 4" xfId="3488"/>
    <cellStyle name="汇总 2 10 15 6" xfId="3489"/>
    <cellStyle name="输入 2 11 11 5 2" xfId="3490"/>
    <cellStyle name="汇总 2 12 2 3 3 2" xfId="3491"/>
    <cellStyle name="汇总 2 3 11 4" xfId="3492"/>
    <cellStyle name="汇总 2 9 6 4 4 2" xfId="3493"/>
    <cellStyle name="输出 2 5 6 9 2" xfId="3494"/>
    <cellStyle name="汇总 2 2 3 7 5" xfId="3495"/>
    <cellStyle name="输入 2 2 8 3 4 2" xfId="3496"/>
    <cellStyle name="计算 2 7 2 8 2" xfId="3497"/>
    <cellStyle name="计算 2 4 6 4 3 2" xfId="3498"/>
    <cellStyle name="输入 2 5 4 7 3" xfId="3499"/>
    <cellStyle name="汇总 2 6 11 13" xfId="3500"/>
    <cellStyle name="注释 2 2 11 4 2 2" xfId="3501"/>
    <cellStyle name="汇总 2 10 4 6 3 2" xfId="3502"/>
    <cellStyle name="汇总 2 11 2 7 5" xfId="3503"/>
    <cellStyle name="计算 2 11 15 4 2" xfId="3504"/>
    <cellStyle name="汇总 2 7 8 7 4 2" xfId="3505"/>
    <cellStyle name="输出 2 6 8 6 5" xfId="3506"/>
    <cellStyle name="汇总 2 11 7 5 2" xfId="3507"/>
    <cellStyle name="计算 2 8 4 5 5" xfId="3508"/>
    <cellStyle name="输出 2 11 4 9 2" xfId="3509"/>
    <cellStyle name="汇总 2 10 16" xfId="3510"/>
    <cellStyle name="汇总 2 10 21" xfId="3511"/>
    <cellStyle name="输入 2 6 6 4 6" xfId="3512"/>
    <cellStyle name="输出 2 6 8 6 5 2" xfId="3513"/>
    <cellStyle name="汇总 2 11 7 5 2 2" xfId="3514"/>
    <cellStyle name="计算 2 8 4 5 5 2" xfId="3515"/>
    <cellStyle name="汇总 2 10 16 2" xfId="3516"/>
    <cellStyle name="汇总 2 10 21 2" xfId="3517"/>
    <cellStyle name="注释 2 9 7 7 3" xfId="3518"/>
    <cellStyle name="检查单元格 2 5 4 8 2" xfId="3519"/>
    <cellStyle name="汇总 2 5 4 8 3 2" xfId="3520"/>
    <cellStyle name="输入 2 11 3 4 3" xfId="3521"/>
    <cellStyle name="输入 2 7 10 3 3 2" xfId="3522"/>
    <cellStyle name="汇总 2 11 3 7 6" xfId="3523"/>
    <cellStyle name="计算 2 10 10 2 8" xfId="3524"/>
    <cellStyle name="汇总 2 3 12 2" xfId="3525"/>
    <cellStyle name="汇总 2 10 16 4" xfId="3526"/>
    <cellStyle name="注释 2 9 7 7 5" xfId="3527"/>
    <cellStyle name="汇总 2 2 3 8 3" xfId="3528"/>
    <cellStyle name="汇总 2 11 2 6 5 2" xfId="3529"/>
    <cellStyle name="输出 2 6 8 6 6" xfId="3530"/>
    <cellStyle name="计算 2 5 2 4 2 2" xfId="3531"/>
    <cellStyle name="汇总 2 11 7 5 3" xfId="3532"/>
    <cellStyle name="输出 2 3 6 5 2 2" xfId="3533"/>
    <cellStyle name="计算 2 8 4 5 6" xfId="3534"/>
    <cellStyle name="汇总 2 10 17" xfId="3535"/>
    <cellStyle name="汇总 2 10 22" xfId="3536"/>
    <cellStyle name="输出 2 3 10 4 2" xfId="3537"/>
    <cellStyle name="汇总 2 10 17 2 2" xfId="3538"/>
    <cellStyle name="注释 2 9 7 8 3 2" xfId="3539"/>
    <cellStyle name="汇总 2 11 4 15" xfId="3540"/>
    <cellStyle name="注释 2 5 7 7 5" xfId="3541"/>
    <cellStyle name="汇总 2 3 13 3 2" xfId="3542"/>
    <cellStyle name="输出 2 3 10 7 2" xfId="3543"/>
    <cellStyle name="汇总 2 10 17 5 2" xfId="3544"/>
    <cellStyle name="输出 2 12 3 6 5" xfId="3545"/>
    <cellStyle name="汇总 2 11 10 4 5" xfId="3546"/>
    <cellStyle name="计算 2 9 3 2 8" xfId="3547"/>
    <cellStyle name="计算 2 2 9 10 2" xfId="3548"/>
    <cellStyle name="汇总 2 12 6 2 5" xfId="3549"/>
    <cellStyle name="汇总 2 7 27" xfId="3550"/>
    <cellStyle name="汇总 2 6 7 6 4 2" xfId="3551"/>
    <cellStyle name="输出 2 3 11 5" xfId="3552"/>
    <cellStyle name="汇总 2 10 18 3" xfId="3553"/>
    <cellStyle name="汇总 2 4 3 6 3 2" xfId="3554"/>
    <cellStyle name="汇总 2 3 14 2" xfId="3555"/>
    <cellStyle name="输出 2 3 11 6" xfId="3556"/>
    <cellStyle name="汇总 2 10 18 4" xfId="3557"/>
    <cellStyle name="输出 2 5 7 4 5 2" xfId="3558"/>
    <cellStyle name="汇总 2 10 6 3 2 2" xfId="3559"/>
    <cellStyle name="计算 2 7 3 3 5 2" xfId="3560"/>
    <cellStyle name="汇总 2 11 7 5 5" xfId="3561"/>
    <cellStyle name="汇总 2 10 19" xfId="3562"/>
    <cellStyle name="汇总 2 10 24" xfId="3563"/>
    <cellStyle name="汇总 2 13 3 2 2" xfId="3564"/>
    <cellStyle name="输出 2 8 4 3 5" xfId="3565"/>
    <cellStyle name="注释 2 6 9 7 3 2" xfId="3566"/>
    <cellStyle name="输出 2 3 4 2 6" xfId="3567"/>
    <cellStyle name="汇总 2 6 7 6 5 2" xfId="3568"/>
    <cellStyle name="汇总 2 5 7 2 4" xfId="3569"/>
    <cellStyle name="输入 2 9 8 6 3 2" xfId="3570"/>
    <cellStyle name="输出 2 3 12 5" xfId="3571"/>
    <cellStyle name="汇总 2 10 19 3" xfId="3572"/>
    <cellStyle name="汇总 2 8 19 2 2" xfId="3573"/>
    <cellStyle name="汇总 2 5 7 2 4 2" xfId="3574"/>
    <cellStyle name="输出 2 3 12 5 2" xfId="3575"/>
    <cellStyle name="输出 2 10 3 14" xfId="3576"/>
    <cellStyle name="汇总 2 10 19 3 2" xfId="3577"/>
    <cellStyle name="汇总 2 5 7 2 5" xfId="3578"/>
    <cellStyle name="汇总 2 4 3 6 4 2" xfId="3579"/>
    <cellStyle name="汇总 2 3 20 2" xfId="3580"/>
    <cellStyle name="汇总 2 3 15 2" xfId="3581"/>
    <cellStyle name="输出 2 3 12 6" xfId="3582"/>
    <cellStyle name="输入 2 7 4 6 2 2" xfId="3583"/>
    <cellStyle name="汇总 2 10 19 4" xfId="3584"/>
    <cellStyle name="汇总 2 10 6 3 3 2" xfId="3585"/>
    <cellStyle name="输出 2 17 6 6" xfId="3586"/>
    <cellStyle name="汇总 2 10 2 3 5" xfId="3587"/>
    <cellStyle name="汇总 2 12 13 4" xfId="3588"/>
    <cellStyle name="输入 2 5 2 5 3 2" xfId="3589"/>
    <cellStyle name="输出 2 5 4 7 2 2" xfId="3590"/>
    <cellStyle name="汇总 2 7 6 4 6" xfId="3591"/>
    <cellStyle name="汇总 2 17 9 2" xfId="3592"/>
    <cellStyle name="汇总 2 5 8 3 5 2" xfId="3593"/>
    <cellStyle name="计算 2 2 9 15" xfId="3594"/>
    <cellStyle name="汇总 2 10 5 10" xfId="3595"/>
    <cellStyle name="输入 2 11 11 7 6" xfId="3596"/>
    <cellStyle name="输入 2 12 6 4" xfId="3597"/>
    <cellStyle name="汇总 2 14 2 4" xfId="3598"/>
    <cellStyle name="汇总 2 10 2" xfId="3599"/>
    <cellStyle name="汇总 2 8 8 5 2" xfId="3600"/>
    <cellStyle name="输入 2 6 3 3 5" xfId="3601"/>
    <cellStyle name="输入 2 6 6 10" xfId="3602"/>
    <cellStyle name="注释 2 11 2 6 3 2" xfId="3603"/>
    <cellStyle name="检查单元格 2 5 7 4 4 2" xfId="3604"/>
    <cellStyle name="汇总 2 4 5 5 3" xfId="3605"/>
    <cellStyle name="输出 2 2 2 5 5" xfId="3606"/>
    <cellStyle name="计算 2 2 6 16" xfId="3607"/>
    <cellStyle name="注释 2 6 3 5 5 2" xfId="3608"/>
    <cellStyle name="汇总 2 10 2 11" xfId="3609"/>
    <cellStyle name="汇总 2 10 5 7" xfId="3610"/>
    <cellStyle name="注释 2 17 4 5" xfId="3611"/>
    <cellStyle name="汇总 2 2 6 4 3 2" xfId="3612"/>
    <cellStyle name="输出 2 5 9 3 5" xfId="3613"/>
    <cellStyle name="汇总 2 10 8 2 2" xfId="3614"/>
    <cellStyle name="计算 2 2 9 8" xfId="3615"/>
    <cellStyle name="计算 2 7 5 2 5" xfId="3616"/>
    <cellStyle name="汇总 2 10 3 4 5" xfId="3617"/>
    <cellStyle name="输出 2 5 4 8 3 2" xfId="3618"/>
    <cellStyle name="汇总 2 7 7 5 6" xfId="3619"/>
    <cellStyle name="汇总 2 4 5 5 4" xfId="3620"/>
    <cellStyle name="汇总 2 10 2 12" xfId="3621"/>
    <cellStyle name="汇总 2 10 5 8" xfId="3622"/>
    <cellStyle name="注释 2 17 4 6" xfId="3623"/>
    <cellStyle name="输出 2 5 9 3 6" xfId="3624"/>
    <cellStyle name="汇总 2 10 8 2 3" xfId="3625"/>
    <cellStyle name="计算 2 2 9 9" xfId="3626"/>
    <cellStyle name="计算 2 7 5 2 6" xfId="3627"/>
    <cellStyle name="检查单元格 2 4 4 5 2" xfId="3628"/>
    <cellStyle name="注释 2 16 12" xfId="3629"/>
    <cellStyle name="汇总 2 5 10 5 5 2" xfId="3630"/>
    <cellStyle name="注释 2 12 6 9" xfId="3631"/>
    <cellStyle name="注释 2 2 8 6 4 2" xfId="3632"/>
    <cellStyle name="计算 2 2 7 5 6" xfId="3633"/>
    <cellStyle name="计算 2 7 12 2" xfId="3634"/>
    <cellStyle name="注释 2 2 10 2 5" xfId="3635"/>
    <cellStyle name="汇总 2 10 3 4 6" xfId="3636"/>
    <cellStyle name="注释 2 11 14 5 2" xfId="3637"/>
    <cellStyle name="汇总 2 10 5 10 2" xfId="3638"/>
    <cellStyle name="输入 2 12 6 4 2" xfId="3639"/>
    <cellStyle name="汇总 2 12 6 7 5" xfId="3640"/>
    <cellStyle name="汇总 2 8 27" xfId="3641"/>
    <cellStyle name="汇总 2 11 5 15" xfId="3642"/>
    <cellStyle name="汇总 2 14 2 4 2" xfId="3643"/>
    <cellStyle name="输出 2 9 3 5 5" xfId="3644"/>
    <cellStyle name="汇总 2 10 2 3 5 2" xfId="3645"/>
    <cellStyle name="汇总 2 12 13 4 2" xfId="3646"/>
    <cellStyle name="检查单元格 2 10 6 3 2 2" xfId="3647"/>
    <cellStyle name="汇总 2 11 9 4 6" xfId="3648"/>
    <cellStyle name="计算 2 10 7 2 3 2" xfId="3649"/>
    <cellStyle name="计算 2 2 6 3" xfId="3650"/>
    <cellStyle name="汇总 2 10 2 2" xfId="3651"/>
    <cellStyle name="汇总 2 8 8 5 2 2" xfId="3652"/>
    <cellStyle name="输入 2 6 3 3 5 2" xfId="3653"/>
    <cellStyle name="输入 2 6 6 10 2" xfId="3654"/>
    <cellStyle name="注释 2 6 6 6 3" xfId="3655"/>
    <cellStyle name="计算 2 6 6" xfId="3656"/>
    <cellStyle name="计算 2 6 10 7 2" xfId="3657"/>
    <cellStyle name="汇总 2 11 9 10 2" xfId="3658"/>
    <cellStyle name="汇总 2 10 2 3" xfId="3659"/>
    <cellStyle name="注释 2 6 6 6 4" xfId="3660"/>
    <cellStyle name="汇总 2 11 10 7 5" xfId="3661"/>
    <cellStyle name="汇总 2 12 6 5 5" xfId="3662"/>
    <cellStyle name="汇总 2 14 2 2 2" xfId="3663"/>
    <cellStyle name="输出 2 9 3 3 5" xfId="3664"/>
    <cellStyle name="汇总 2 9 10 10" xfId="3665"/>
    <cellStyle name="输出 2 17 6 4 2" xfId="3666"/>
    <cellStyle name="汇总 2 10 2 3 3 2" xfId="3667"/>
    <cellStyle name="汇总 2 12 13 2 2" xfId="3668"/>
    <cellStyle name="汇总 2 7 6 4 4 2" xfId="3669"/>
    <cellStyle name="输入 2 9 4 8 4" xfId="3670"/>
    <cellStyle name="汇总 2 11 10 8 5" xfId="3671"/>
    <cellStyle name="汇总 2 12 6 6 5" xfId="3672"/>
    <cellStyle name="输出 2 7 2 8 2 2" xfId="3673"/>
    <cellStyle name="输出 2 11 2 10" xfId="3674"/>
    <cellStyle name="汇总 2 4 4 13" xfId="3675"/>
    <cellStyle name="汇总 2 14 2 3 2" xfId="3676"/>
    <cellStyle name="输出 2 9 3 4 5" xfId="3677"/>
    <cellStyle name="输出 2 17 6 5 2" xfId="3678"/>
    <cellStyle name="汇总 2 10 2 3 4 2" xfId="3679"/>
    <cellStyle name="汇总 2 12 13 3 2" xfId="3680"/>
    <cellStyle name="汇总 2 7 6 4 5 2" xfId="3681"/>
    <cellStyle name="检查单元格 2 4 3 4 2" xfId="3682"/>
    <cellStyle name="汇总 2 5 10 4 4 2" xfId="3683"/>
    <cellStyle name="注释 2 11 5 9" xfId="3684"/>
    <cellStyle name="注释 2 2 8 5 3 2" xfId="3685"/>
    <cellStyle name="计算 2 2 6 4 6" xfId="3686"/>
    <cellStyle name="检查单元格 2 6 5 3 5 2" xfId="3687"/>
    <cellStyle name="汇总 2 12 13 5" xfId="3688"/>
    <cellStyle name="汇总 2 10 2 3 6" xfId="3689"/>
    <cellStyle name="注释 2 11 13 4 2" xfId="3690"/>
    <cellStyle name="汇总 2 3 4 3 4 2" xfId="3691"/>
    <cellStyle name="汇总 2 10 5 11" xfId="3692"/>
    <cellStyle name="输入 2 12 6 5" xfId="3693"/>
    <cellStyle name="汇总 2 3 3 2" xfId="3694"/>
    <cellStyle name="计算 2 2 9 16" xfId="3695"/>
    <cellStyle name="汇总 2 14 2 5" xfId="3696"/>
    <cellStyle name="汇总 2 9 5 8 2" xfId="3697"/>
    <cellStyle name="汇总 2 11 11 8 5" xfId="3698"/>
    <cellStyle name="汇总 2 12 7 6 5" xfId="3699"/>
    <cellStyle name="输出 2 11 7 10" xfId="3700"/>
    <cellStyle name="汇总 2 4 9 13" xfId="3701"/>
    <cellStyle name="汇总 2 14 3 3 2" xfId="3702"/>
    <cellStyle name="输出 2 9 4 4 5" xfId="3703"/>
    <cellStyle name="输出 2 17 7 5 2" xfId="3704"/>
    <cellStyle name="汇总 2 10 2 4 4 2" xfId="3705"/>
    <cellStyle name="汇总 2 12 14 3 2" xfId="3706"/>
    <cellStyle name="汇总 2 7 6 5 5 2" xfId="3707"/>
    <cellStyle name="输出 2 5 8 3 5" xfId="3708"/>
    <cellStyle name="汇总 2 10 7 2 2" xfId="3709"/>
    <cellStyle name="计算 2 7 4 2 5" xfId="3710"/>
    <cellStyle name="汇总 2 2 6 3 3 2" xfId="3711"/>
    <cellStyle name="输出 2 17 7 6" xfId="3712"/>
    <cellStyle name="汇总 2 10 2 4 5" xfId="3713"/>
    <cellStyle name="汇总 2 12 14 4" xfId="3714"/>
    <cellStyle name="输入 2 5 2 5 4 2" xfId="3715"/>
    <cellStyle name="输出 2 5 4 7 3 2" xfId="3716"/>
    <cellStyle name="汇总 2 7 6 5 6" xfId="3717"/>
    <cellStyle name="汇总 2 5 10 2" xfId="3718"/>
    <cellStyle name="汇总 2 6 9 8 3" xfId="3719"/>
    <cellStyle name="输入 2 4 4 6 6" xfId="3720"/>
    <cellStyle name="汇总 2 4 5 9" xfId="3721"/>
    <cellStyle name="输出 2 5 8 3 5 2" xfId="3722"/>
    <cellStyle name="汇总 2 10 7 2 2 2" xfId="3723"/>
    <cellStyle name="计算 2 7 4 2 5 2" xfId="3724"/>
    <cellStyle name="汇总 2 5 10 2 2" xfId="3725"/>
    <cellStyle name="汇总 2 10 2 4 5 2" xfId="3726"/>
    <cellStyle name="汇总 2 12 14 4 2" xfId="3727"/>
    <cellStyle name="输出 2 5 8 3 6" xfId="3728"/>
    <cellStyle name="汇总 2 10 7 2 3" xfId="3729"/>
    <cellStyle name="计算 2 7 4 2 6" xfId="3730"/>
    <cellStyle name="汇总 2 13 12 2" xfId="3731"/>
    <cellStyle name="检查单元格 2 4 3 5 2" xfId="3732"/>
    <cellStyle name="注释 2 11 12" xfId="3733"/>
    <cellStyle name="汇总 2 5 10 4 5 2" xfId="3734"/>
    <cellStyle name="注释 2 11 6 9" xfId="3735"/>
    <cellStyle name="注释 2 2 8 5 4 2" xfId="3736"/>
    <cellStyle name="计算 2 2 6 5 6" xfId="3737"/>
    <cellStyle name="检查单元格 2 4 2" xfId="3738"/>
    <cellStyle name="汇总 2 5 10 3" xfId="3739"/>
    <cellStyle name="汇总 2 10 2 4 6" xfId="3740"/>
    <cellStyle name="注释 2 11 13 5 2" xfId="3741"/>
    <cellStyle name="汇总 2 12 14 5" xfId="3742"/>
    <cellStyle name="汇总 2 10 2 5" xfId="3743"/>
    <cellStyle name="注释 2 6 6 6 6" xfId="3744"/>
    <cellStyle name="输出 2 17 8 4 2" xfId="3745"/>
    <cellStyle name="汇总 2 10 2 5 3 2" xfId="3746"/>
    <cellStyle name="汇总 2 12 15 2 2" xfId="3747"/>
    <cellStyle name="汇总 2 12 6 13" xfId="3748"/>
    <cellStyle name="输入 2 6 11 7" xfId="3749"/>
    <cellStyle name="输出 2 12 2 2 7" xfId="3750"/>
    <cellStyle name="输入 2 7 11 11" xfId="3751"/>
    <cellStyle name="检查单元格 2 6 17" xfId="3752"/>
    <cellStyle name="汇总 2 7 6 6 4 2" xfId="3753"/>
    <cellStyle name="输入 2 9 6 8 4" xfId="3754"/>
    <cellStyle name="汇总 2 10 2 5 4 2" xfId="3755"/>
    <cellStyle name="汇总 2 12 15 3 2" xfId="3756"/>
    <cellStyle name="输入 2 6 12 7" xfId="3757"/>
    <cellStyle name="汇总 2 7 6 6 5 2" xfId="3758"/>
    <cellStyle name="汇总 2 5 5 9" xfId="3759"/>
    <cellStyle name="输入 2 7 11 4" xfId="3760"/>
    <cellStyle name="输出 2 5 8 4 5 2" xfId="3761"/>
    <cellStyle name="汇总 2 10 7 3 2 2" xfId="3762"/>
    <cellStyle name="计算 2 7 4 3 5 2" xfId="3763"/>
    <cellStyle name="输出 2 6 3 5 2" xfId="3764"/>
    <cellStyle name="汇总 2 2 5 11 2" xfId="3765"/>
    <cellStyle name="输出 2 12 10 8" xfId="3766"/>
    <cellStyle name="汇总 2 5 11 2 2" xfId="3767"/>
    <cellStyle name="输出 2 5 5 15" xfId="3768"/>
    <cellStyle name="汇总 2 10 2 5 5 2" xfId="3769"/>
    <cellStyle name="汇总 2 12 15 4 2" xfId="3770"/>
    <cellStyle name="计算 2 7 3 8 5" xfId="3771"/>
    <cellStyle name="注释 2 2 3 13" xfId="3772"/>
    <cellStyle name="汇总 2 10 6 8 2" xfId="3773"/>
    <cellStyle name="计算 2 5 13 6" xfId="3774"/>
    <cellStyle name="汇总 2 10 8 3 3 2" xfId="3775"/>
    <cellStyle name="输入 2 13 4 3" xfId="3776"/>
    <cellStyle name="汇总 2 10 2 6" xfId="3777"/>
    <cellStyle name="汇总 2 9 3 3 4 2" xfId="3778"/>
    <cellStyle name="汇总 2 4 14 2" xfId="3779"/>
    <cellStyle name="输出 2 4 11 6" xfId="3780"/>
    <cellStyle name="汇总 2 11 18 4" xfId="3781"/>
    <cellStyle name="汇总 2 7 7 2 5 2" xfId="3782"/>
    <cellStyle name="汇总 2 10 6 8 2 2" xfId="3783"/>
    <cellStyle name="输出 2 5 8 5 2" xfId="3784"/>
    <cellStyle name="汇总 2 2 5 3 5" xfId="3785"/>
    <cellStyle name="计算 2 7 4 4 2" xfId="3786"/>
    <cellStyle name="输出 2 5 3 7 5" xfId="3787"/>
    <cellStyle name="汇总 2 10 2 6 2" xfId="3788"/>
    <cellStyle name="汇总 2 7 6 7 3" xfId="3789"/>
    <cellStyle name="输入 2 10 15 4 2" xfId="3790"/>
    <cellStyle name="输出 2 5 3 7 5 2" xfId="3791"/>
    <cellStyle name="汇总 2 6 6 7 6" xfId="3792"/>
    <cellStyle name="汇总 2 10 2 6 2 2" xfId="3793"/>
    <cellStyle name="汇总 2 7 6 7 3 2" xfId="3794"/>
    <cellStyle name="输入 2 9 7 7 4" xfId="3795"/>
    <cellStyle name="输出 2 14 2 6" xfId="3796"/>
    <cellStyle name="汇总 2 11 4 8 4 2" xfId="3797"/>
    <cellStyle name="汇总 2 14 5 2" xfId="3798"/>
    <cellStyle name="输出 2 5 3 7 6" xfId="3799"/>
    <cellStyle name="汇总 2 10 2 6 3" xfId="3800"/>
    <cellStyle name="汇总 2 12 16 2" xfId="3801"/>
    <cellStyle name="汇总 2 12 21 2" xfId="3802"/>
    <cellStyle name="汇总 2 7 6 7 4" xfId="3803"/>
    <cellStyle name="汇总 2 4 11 13" xfId="3804"/>
    <cellStyle name="汇总 2 12 16 2 2" xfId="3805"/>
    <cellStyle name="汇总 2 10 2 6 3 2" xfId="3806"/>
    <cellStyle name="输出 2 12 3 2 7" xfId="3807"/>
    <cellStyle name="汇总 2 7 6 7 4 2" xfId="3808"/>
    <cellStyle name="输入 2 9 7 8 4" xfId="3809"/>
    <cellStyle name="汇总 2 10 2 6 4 2" xfId="3810"/>
    <cellStyle name="汇总 2 12 16 3 2" xfId="3811"/>
    <cellStyle name="汇总 2 7 6 7 5 2" xfId="3812"/>
    <cellStyle name="输出 2 5 8 5 5" xfId="3813"/>
    <cellStyle name="汇总 2 10 7 4 2" xfId="3814"/>
    <cellStyle name="注释 2 17 6 2 2" xfId="3815"/>
    <cellStyle name="计算 2 7 4 4 5" xfId="3816"/>
    <cellStyle name="输出 2 5 9 5 2 2" xfId="3817"/>
    <cellStyle name="汇总 2 2 6 3 5 2" xfId="3818"/>
    <cellStyle name="计算 2 7 5 4 2 2" xfId="3819"/>
    <cellStyle name="输出 2 5 4 7 5 2" xfId="3820"/>
    <cellStyle name="汇总 2 10 3 6 2 2" xfId="3821"/>
    <cellStyle name="汇总 2 7 6 7 6" xfId="3822"/>
    <cellStyle name="汇总 2 5 12 2" xfId="3823"/>
    <cellStyle name="汇总 2 10 2 6 5" xfId="3824"/>
    <cellStyle name="汇总 2 12 16 4" xfId="3825"/>
    <cellStyle name="汇总 2 7 7 7 3 2" xfId="3826"/>
    <cellStyle name="汇总 2 6 5 9" xfId="3827"/>
    <cellStyle name="输出 2 5 8 5 5 2" xfId="3828"/>
    <cellStyle name="汇总 2 10 7 4 2 2" xfId="3829"/>
    <cellStyle name="计算 2 7 4 4 5 2" xfId="3830"/>
    <cellStyle name="汇总 2 5 12 2 2" xfId="3831"/>
    <cellStyle name="汇总 2 11 10 2 7" xfId="3832"/>
    <cellStyle name="计算 2 7 6 10" xfId="3833"/>
    <cellStyle name="汇总 2 12 16 4 2" xfId="3834"/>
    <cellStyle name="汇总 2 10 2 6 5 2" xfId="3835"/>
    <cellStyle name="输出 2 5 8 5 6" xfId="3836"/>
    <cellStyle name="汇总 2 10 7 4 3" xfId="3837"/>
    <cellStyle name="计算 2 7 4 4 6" xfId="3838"/>
    <cellStyle name="注释 2 2 14 2 2" xfId="3839"/>
    <cellStyle name="检查单元格 2 4 3 7 2" xfId="3840"/>
    <cellStyle name="汇总 2 5 3 7 2 2" xfId="3841"/>
    <cellStyle name="输入 2 10 2 3 3" xfId="3842"/>
    <cellStyle name="注释 2 11 8 9" xfId="3843"/>
    <cellStyle name="检查单元格 2 7 7 11" xfId="3844"/>
    <cellStyle name="计算 2 2 6 7 6" xfId="3845"/>
    <cellStyle name="检查单元格 2 6 2" xfId="3846"/>
    <cellStyle name="汇总 2 5 12 3" xfId="3847"/>
    <cellStyle name="汇总 2 10 2 6 6" xfId="3848"/>
    <cellStyle name="汇总 2 12 16 5" xfId="3849"/>
    <cellStyle name="汇总 2 5 8 4 3 2" xfId="3850"/>
    <cellStyle name="输出 2 9 10 7 4 2" xfId="3851"/>
    <cellStyle name="注释 2 10 11 7 4" xfId="3852"/>
    <cellStyle name="输出 2 3 5 4 5 2" xfId="3853"/>
    <cellStyle name="注释 2 2 3 14" xfId="3854"/>
    <cellStyle name="汇总 2 10 6 8 3" xfId="3855"/>
    <cellStyle name="计算 2 6 10 7 6" xfId="3856"/>
    <cellStyle name="汇总 2 4 5 2 3" xfId="3857"/>
    <cellStyle name="汇总 2 11 6 3 5 2" xfId="3858"/>
    <cellStyle name="汇总 2 10 2 7" xfId="3859"/>
    <cellStyle name="输出 2 5 10 3 2" xfId="3860"/>
    <cellStyle name="计算 2 9 11 10" xfId="3861"/>
    <cellStyle name="汇总 2 6 7 7 6" xfId="3862"/>
    <cellStyle name="汇总 2 10 2 7 2 2" xfId="3863"/>
    <cellStyle name="汇总 2 5 11 10 2" xfId="3864"/>
    <cellStyle name="汇总 2 7 6 8 3 2" xfId="3865"/>
    <cellStyle name="输入 2 9 8 7 4" xfId="3866"/>
    <cellStyle name="输出 2 5 10 4" xfId="3867"/>
    <cellStyle name="汇总 2 10 2 7 3" xfId="3868"/>
    <cellStyle name="汇总 2 12 17 2" xfId="3869"/>
    <cellStyle name="汇总 2 5 11 11" xfId="3870"/>
    <cellStyle name="输出 2 9 10 3 3 2" xfId="3871"/>
    <cellStyle name="汇总 2 7 6 8 4" xfId="3872"/>
    <cellStyle name="输出 2 5 10 4 2" xfId="3873"/>
    <cellStyle name="汇总 2 10 2 7 3 2" xfId="3874"/>
    <cellStyle name="汇总 2 12 17 2 2" xfId="3875"/>
    <cellStyle name="输出 2 12 4 2 7" xfId="3876"/>
    <cellStyle name="汇总 2 5 11 11 2" xfId="3877"/>
    <cellStyle name="汇总 2 7 6 8 4 2" xfId="3878"/>
    <cellStyle name="输入 2 9 8 8 4" xfId="3879"/>
    <cellStyle name="输出 2 5 10 5 2" xfId="3880"/>
    <cellStyle name="汇总 2 10 2 7 4 2" xfId="3881"/>
    <cellStyle name="汇总 2 12 17 3 2" xfId="3882"/>
    <cellStyle name="汇总 2 5 11 12 2" xfId="3883"/>
    <cellStyle name="计算 2 11 6 15" xfId="3884"/>
    <cellStyle name="输出 2 5 8 6 5" xfId="3885"/>
    <cellStyle name="汇总 2 10 7 5 2" xfId="3886"/>
    <cellStyle name="注释 2 17 6 3 2" xfId="3887"/>
    <cellStyle name="计算 2 7 4 5 5" xfId="3888"/>
    <cellStyle name="汇总 2 5 13 2" xfId="3889"/>
    <cellStyle name="汇总 2 5 11 13" xfId="3890"/>
    <cellStyle name="注释 2 2 10 4 2 2" xfId="3891"/>
    <cellStyle name="汇总 2 10 3 6 3 2" xfId="3892"/>
    <cellStyle name="输出 2 5 10 6" xfId="3893"/>
    <cellStyle name="汇总 2 10 2 7 5" xfId="3894"/>
    <cellStyle name="汇总 2 12 17 4" xfId="3895"/>
    <cellStyle name="汇总 2 7 7 7 4 2" xfId="3896"/>
    <cellStyle name="输出 2 5 8 6 5 2" xfId="3897"/>
    <cellStyle name="汇总 2 10 7 5 2 2" xfId="3898"/>
    <cellStyle name="输出 2 9 18 4" xfId="3899"/>
    <cellStyle name="计算 2 7 4 5 5 2" xfId="3900"/>
    <cellStyle name="汇总 2 5 13 2 2" xfId="3901"/>
    <cellStyle name="输出 2 5 10 6 2" xfId="3902"/>
    <cellStyle name="汇总 2 10 2 7 5 2" xfId="3903"/>
    <cellStyle name="汇总 2 12 17 4 2" xfId="3904"/>
    <cellStyle name="输出 2 5 8 6 6" xfId="3905"/>
    <cellStyle name="汇总 2 10 7 5 3" xfId="3906"/>
    <cellStyle name="输出 2 3 5 5 2 2" xfId="3907"/>
    <cellStyle name="计算 2 7 4 5 6" xfId="3908"/>
    <cellStyle name="注释 2 2 14 3 2" xfId="3909"/>
    <cellStyle name="计算 2 6 11 4 6" xfId="3910"/>
    <cellStyle name="汇总 2 3 7 2" xfId="3911"/>
    <cellStyle name="计算 2 10 9 2 4 2" xfId="3912"/>
    <cellStyle name="输出 2 6 7 5 5 2" xfId="3913"/>
    <cellStyle name="计算 2 8 10 5 4" xfId="3914"/>
    <cellStyle name="汇总 2 11 6 4 2 2" xfId="3915"/>
    <cellStyle name="计算 2 8 3 4 5 2" xfId="3916"/>
    <cellStyle name="输入 2 4 10 5" xfId="3917"/>
    <cellStyle name="注释 2 10 9 2 8" xfId="3918"/>
    <cellStyle name="汇总 2 14 6 5" xfId="3919"/>
    <cellStyle name="输出 2 8 10 13" xfId="3920"/>
    <cellStyle name="检查单元格 2 4 3 8 2" xfId="3921"/>
    <cellStyle name="汇总 2 5 3 7 3 2" xfId="3922"/>
    <cellStyle name="输入 2 10 2 4 3" xfId="3923"/>
    <cellStyle name="注释 2 11 9 9" xfId="3924"/>
    <cellStyle name="计算 2 4 9 10" xfId="3925"/>
    <cellStyle name="检查单元格 2 7 2" xfId="3926"/>
    <cellStyle name="汇总 2 5 13 3" xfId="3927"/>
    <cellStyle name="汇总 2 5 11 14" xfId="3928"/>
    <cellStyle name="输出 2 5 10 7" xfId="3929"/>
    <cellStyle name="汇总 2 10 2 7 6" xfId="3930"/>
    <cellStyle name="汇总 2 12 17 5" xfId="3931"/>
    <cellStyle name="汇总 2 3 4 4 2 2" xfId="3932"/>
    <cellStyle name="汇总 2 10 6 8 4" xfId="3933"/>
    <cellStyle name="汇总 2 4 8 9 2" xfId="3934"/>
    <cellStyle name="输入 2 2 3 7 5" xfId="3935"/>
    <cellStyle name="计算 2 2 6 9" xfId="3936"/>
    <cellStyle name="汇总 2 10 2 8" xfId="3937"/>
    <cellStyle name="汇总 2 10 6 8 4 2" xfId="3938"/>
    <cellStyle name="输出 2 5 8 7 2" xfId="3939"/>
    <cellStyle name="汇总 2 2 5 5 5" xfId="3940"/>
    <cellStyle name="输入 2 2 8 5 2 2" xfId="3941"/>
    <cellStyle name="计算 2 7 4 6 2" xfId="3942"/>
    <cellStyle name="计算 2 11 5 3 3 2" xfId="3943"/>
    <cellStyle name="输入 2 5 6 5 3" xfId="3944"/>
    <cellStyle name="输出 2 5 11 3" xfId="3945"/>
    <cellStyle name="汇总 2 10 2 8 2" xfId="3946"/>
    <cellStyle name="输出 2 5 11 3 2" xfId="3947"/>
    <cellStyle name="汇总 2 6 8 7 6" xfId="3948"/>
    <cellStyle name="汇总 2 10 2 8 2 2" xfId="3949"/>
    <cellStyle name="输出 2 5 11 4" xfId="3950"/>
    <cellStyle name="汇总 2 10 2 8 3" xfId="3951"/>
    <cellStyle name="汇总 2 12 18 2" xfId="3952"/>
    <cellStyle name="输出 2 5 11 4 2" xfId="3953"/>
    <cellStyle name="汇总 2 10 2 8 3 2" xfId="3954"/>
    <cellStyle name="输出 2 5 11 5" xfId="3955"/>
    <cellStyle name="汇总 2 10 2 8 4" xfId="3956"/>
    <cellStyle name="汇总 2 12 7 6 5 2" xfId="3957"/>
    <cellStyle name="输出 2 5 8 7 5" xfId="3958"/>
    <cellStyle name="汇总 2 10 7 6 2" xfId="3959"/>
    <cellStyle name="注释 2 17 6 4 2" xfId="3960"/>
    <cellStyle name="计算 2 7 4 6 5" xfId="3961"/>
    <cellStyle name="汇总 2 5 14 2" xfId="3962"/>
    <cellStyle name="注释 2 2 10 4 3 2" xfId="3963"/>
    <cellStyle name="汇总 2 10 3 6 4 2" xfId="3964"/>
    <cellStyle name="输出 2 5 11 6" xfId="3965"/>
    <cellStyle name="汇总 2 10 2 8 5" xfId="3966"/>
    <cellStyle name="汇总 2 7 7 7 5 2" xfId="3967"/>
    <cellStyle name="计算 2 8 11 4 2 2" xfId="3968"/>
    <cellStyle name="计算 2 8 10 6 3" xfId="3969"/>
    <cellStyle name="汇总 2 10 6 10" xfId="3970"/>
    <cellStyle name="输入 2 4 11 4" xfId="3971"/>
    <cellStyle name="汇总 2 14 7 4" xfId="3972"/>
    <cellStyle name="计算 2 10 10 8" xfId="3973"/>
    <cellStyle name="汇总 2 15 5 3 2" xfId="3974"/>
    <cellStyle name="汇总 2 7 3 2 8" xfId="3975"/>
    <cellStyle name="计算 2 7 9 4 2" xfId="3976"/>
    <cellStyle name="汇总 2 2 2 11 2" xfId="3977"/>
    <cellStyle name="计算 2 2 3 2 7" xfId="3978"/>
    <cellStyle name="汇总 2 10 6 8 5" xfId="3979"/>
    <cellStyle name="汇总 2 12 2 5 2" xfId="3980"/>
    <cellStyle name="汇总 2 9 3 8 2 2" xfId="3981"/>
    <cellStyle name="输出 2 7 3 6 5" xfId="3982"/>
    <cellStyle name="汇总 2 9 6 6 3" xfId="3983"/>
    <cellStyle name="汇总 2 10 2 9" xfId="3984"/>
    <cellStyle name="输出 2 10 2 5 3 2" xfId="3985"/>
    <cellStyle name="汇总 2 7 9 2 4 2" xfId="3986"/>
    <cellStyle name="汇总 2 6 4 3 2 2" xfId="3987"/>
    <cellStyle name="汇总 2 10 26" xfId="3988"/>
    <cellStyle name="汇总 2 10 27" xfId="3989"/>
    <cellStyle name="汇总 2 2 4 6 4 2" xfId="3990"/>
    <cellStyle name="输出 2 5 5 4 5 2" xfId="3991"/>
    <cellStyle name="汇总 2 10 4 3 2 2" xfId="3992"/>
    <cellStyle name="汇总 2 8 3 7 6" xfId="3993"/>
    <cellStyle name="汇总 2 7 8 4 3 2" xfId="3994"/>
    <cellStyle name="计算 2 11 12 3 2" xfId="3995"/>
    <cellStyle name="汇总 2 11 10 12 2" xfId="3996"/>
    <cellStyle name="输出 2 6 5 5 5" xfId="3997"/>
    <cellStyle name="汇总 2 11 4 4 2" xfId="3998"/>
    <cellStyle name="汇总 2 10 3" xfId="3999"/>
    <cellStyle name="汇总 2 8 8 5 3" xfId="4000"/>
    <cellStyle name="输入 2 6 3 3 6" xfId="4001"/>
    <cellStyle name="输入 2 6 6 11" xfId="4002"/>
    <cellStyle name="汇总 2 6 9 8 4 2" xfId="4003"/>
    <cellStyle name="输出 2 12 6 2 5 2" xfId="4004"/>
    <cellStyle name="输出 2 10 2 4 3" xfId="4005"/>
    <cellStyle name="计算 2 2 7 15" xfId="4006"/>
    <cellStyle name="汇总 2 10 3 10" xfId="4007"/>
    <cellStyle name="输出 2 11 10 14" xfId="4008"/>
    <cellStyle name="汇总 2 10 5 8 5" xfId="4009"/>
    <cellStyle name="汇总 2 10 3 10 2" xfId="4010"/>
    <cellStyle name="汇总 2 10 3 7 5 2" xfId="4011"/>
    <cellStyle name="输出 2 5 9 8 5" xfId="4012"/>
    <cellStyle name="汇总 2 10 8 7 2" xfId="4013"/>
    <cellStyle name="注释 2 17 7 5 2" xfId="4014"/>
    <cellStyle name="计算 2 7 5 7 5" xfId="4015"/>
    <cellStyle name="输出 2 5 9 6 5 2" xfId="4016"/>
    <cellStyle name="汇总 2 10 8 5 2 2" xfId="4017"/>
    <cellStyle name="计算 2 7 5 5 5 2" xfId="4018"/>
    <cellStyle name="汇总 2 4 5 8 3 2" xfId="4019"/>
    <cellStyle name="输出 2 10 2 2 4 2" xfId="4020"/>
    <cellStyle name="汇总 2 10 3 11" xfId="4021"/>
    <cellStyle name="汇总 2 3 3 3" xfId="4022"/>
    <cellStyle name="汇总 2 10 5 12" xfId="4023"/>
    <cellStyle name="输入 2 12 6 6" xfId="4024"/>
    <cellStyle name="注释 2 17 12 2" xfId="4025"/>
    <cellStyle name="注释 2 8 4 2 5 2" xfId="4026"/>
    <cellStyle name="输出 2 7 2 8 5" xfId="4027"/>
    <cellStyle name="汇总 2 9 3 7 4 2" xfId="4028"/>
    <cellStyle name="汇总 2 14 2 6" xfId="4029"/>
    <cellStyle name="汇总 2 9 5 8 3" xfId="4030"/>
    <cellStyle name="汇总 2 4 11 7" xfId="4031"/>
    <cellStyle name="注释 2 3 10 5 4" xfId="4032"/>
    <cellStyle name="汇总 2 10 8 7 3 2" xfId="4033"/>
    <cellStyle name="输出 2 5 8 2 7" xfId="4034"/>
    <cellStyle name="汇总 2 10 3 12 2" xfId="4035"/>
    <cellStyle name="注释 2 5 2 2 2 2" xfId="4036"/>
    <cellStyle name="汇总 2 10 8 7 4" xfId="4037"/>
    <cellStyle name="输出 2 10 2 4 6" xfId="4038"/>
    <cellStyle name="汇总 2 3 11 6 3 2" xfId="4039"/>
    <cellStyle name="汇总 2 10 3 13" xfId="4040"/>
    <cellStyle name="注释 2 5 2 2 3" xfId="4041"/>
    <cellStyle name="汇总 2 11 3 3 4 2" xfId="4042"/>
    <cellStyle name="汇总 2 8 7 4 5 2" xfId="4043"/>
    <cellStyle name="检查单元格 2 10 5 2 5 2" xfId="4044"/>
    <cellStyle name="汇总 2 10 8 7 6" xfId="4045"/>
    <cellStyle name="计算 2 8 20 2" xfId="4046"/>
    <cellStyle name="计算 2 8 15 2" xfId="4047"/>
    <cellStyle name="计算 2 3 7 4 4 2" xfId="4048"/>
    <cellStyle name="汇总 2 12 4 4 3" xfId="4049"/>
    <cellStyle name="输出 2 7 5 5 6" xfId="4050"/>
    <cellStyle name="汇总 2 9 8 5 4" xfId="4051"/>
    <cellStyle name="汇总 2 10 3 15" xfId="4052"/>
    <cellStyle name="注释 2 5 2 2 5" xfId="4053"/>
    <cellStyle name="输出 2 12 3 5 3 2" xfId="4054"/>
    <cellStyle name="汇总 2 11 10 3 3 2" xfId="4055"/>
    <cellStyle name="汇总 2 9 7 3" xfId="4056"/>
    <cellStyle name="汇总 2 4 3 11 2" xfId="4057"/>
    <cellStyle name="汇总 2 10 3 16" xfId="4058"/>
    <cellStyle name="注释 2 5 2 2 6" xfId="4059"/>
    <cellStyle name="输出 2 6 5 5 5 2" xfId="4060"/>
    <cellStyle name="汇总 2 11 4 4 2 2" xfId="4061"/>
    <cellStyle name="汇总 2 10 3 2" xfId="4062"/>
    <cellStyle name="汇总 2 8 8 5 3 2" xfId="4063"/>
    <cellStyle name="输入 2 6 6 11 2" xfId="4064"/>
    <cellStyle name="注释 2 6 6 7 3" xfId="4065"/>
    <cellStyle name="计算 2 2 7 3" xfId="4066"/>
    <cellStyle name="检查单元格 2 10 6 3 3 2" xfId="4067"/>
    <cellStyle name="汇总 2 11 9 5 6" xfId="4068"/>
    <cellStyle name="计算 2 10 7 2 4 2" xfId="4069"/>
    <cellStyle name="计算 2 3 8 5 2 2" xfId="4070"/>
    <cellStyle name="汇总 2 10 3 4" xfId="4071"/>
    <cellStyle name="注释 2 17 2 2" xfId="4072"/>
    <cellStyle name="注释 2 6 6 7 5" xfId="4073"/>
    <cellStyle name="汇总 2 2 4 8 4 2" xfId="4074"/>
    <cellStyle name="输出 2 5 4 3 5" xfId="4075"/>
    <cellStyle name="汇总 2 10 3 2 2" xfId="4076"/>
    <cellStyle name="注释 2 6 6 7 3 2" xfId="4077"/>
    <cellStyle name="汇总 2 7 7 3 3" xfId="4078"/>
    <cellStyle name="输入 2 11 9 2 3 2" xfId="4079"/>
    <cellStyle name="计算 2 2 2 7 5" xfId="4080"/>
    <cellStyle name="汇总 2 2 9 8 3" xfId="4081"/>
    <cellStyle name="计算 2 2 7 3 2 2" xfId="4082"/>
    <cellStyle name="输出 2 5 4 3 5 2" xfId="4083"/>
    <cellStyle name="汇总 2 10 3 2 2 2" xfId="4084"/>
    <cellStyle name="汇总 2 7 2 7 6" xfId="4085"/>
    <cellStyle name="输入 2 10 11 4 5" xfId="4086"/>
    <cellStyle name="汇总 2 7 7 3 3 2" xfId="4087"/>
    <cellStyle name="汇总 2 10 5 4" xfId="4088"/>
    <cellStyle name="注释 2 17 4 2" xfId="4089"/>
    <cellStyle name="注释 2 6 6 7 5 2" xfId="4090"/>
    <cellStyle name="注释 2 17 2 2 2" xfId="4091"/>
    <cellStyle name="输出 2 5 4 5 5" xfId="4092"/>
    <cellStyle name="汇总 2 10 3 4 2" xfId="4093"/>
    <cellStyle name="输入 2 10 16 2 2" xfId="4094"/>
    <cellStyle name="汇总 2 7 7 5 3" xfId="4095"/>
    <cellStyle name="输入 2 5 2 3 6" xfId="4096"/>
    <cellStyle name="输入 2 11 9 2 5 2" xfId="4097"/>
    <cellStyle name="注释 2 6 6 7 6" xfId="4098"/>
    <cellStyle name="注释 2 17 2 3" xfId="4099"/>
    <cellStyle name="汇总 2 10 3 5" xfId="4100"/>
    <cellStyle name="汇总 2 7 7 3 4" xfId="4101"/>
    <cellStyle name="汇总 2 10 3 2 3" xfId="4102"/>
    <cellStyle name="输出 2 5 4 3 6" xfId="4103"/>
    <cellStyle name="汇总 2 7 7 3 4 2" xfId="4104"/>
    <cellStyle name="输入 2 10 11 5 5" xfId="4105"/>
    <cellStyle name="汇总 2 10 3 2 3 2" xfId="4106"/>
    <cellStyle name="计算 2 7 5 3 2" xfId="4107"/>
    <cellStyle name="汇总 2 2 6 2 5" xfId="4108"/>
    <cellStyle name="输出 2 5 9 4 2" xfId="4109"/>
    <cellStyle name="注释 2 17 5 2" xfId="4110"/>
    <cellStyle name="汇总 2 10 6 4" xfId="4111"/>
    <cellStyle name="输入 2 5 2 4 6" xfId="4112"/>
    <cellStyle name="输入 2 10 16 3 2" xfId="4113"/>
    <cellStyle name="汇总 2 7 7 6 3" xfId="4114"/>
    <cellStyle name="注释 2 17 2 3 2" xfId="4115"/>
    <cellStyle name="汇总 2 10 3 5 2" xfId="4116"/>
    <cellStyle name="输出 2 5 4 6 5" xfId="4117"/>
    <cellStyle name="汇总 2 7 7 3 5" xfId="4118"/>
    <cellStyle name="汇总 2 10 3 2 4" xfId="4119"/>
    <cellStyle name="输入 2 7 6 6 3 2" xfId="4120"/>
    <cellStyle name="计算 2 2 7 3 4" xfId="4121"/>
    <cellStyle name="输出 2 7 8 8 2 2" xfId="4122"/>
    <cellStyle name="汇总 2 4 5 6 5 2" xfId="4123"/>
    <cellStyle name="注释 2 12 4 7" xfId="4124"/>
    <cellStyle name="计算 2 9 4 7 2 2" xfId="4125"/>
    <cellStyle name="输入 2 13 5 3" xfId="4126"/>
    <cellStyle name="汇总 2 10 8 3 4 2" xfId="4127"/>
    <cellStyle name="计算 2 5 14 6" xfId="4128"/>
    <cellStyle name="汇总 2 10 6 9 2" xfId="4129"/>
    <cellStyle name="汇总 2 9 3 3 5 2" xfId="4130"/>
    <cellStyle name="注释 2 17 2 4" xfId="4131"/>
    <cellStyle name="汇总 2 10 3 6" xfId="4132"/>
    <cellStyle name="汇总 2 7 7 3 5 2" xfId="4133"/>
    <cellStyle name="输入 2 10 11 6 5" xfId="4134"/>
    <cellStyle name="汇总 2 10 3 2 4 2" xfId="4135"/>
    <cellStyle name="计算 2 7 5 4 2" xfId="4136"/>
    <cellStyle name="汇总 2 2 6 3 5" xfId="4137"/>
    <cellStyle name="输出 2 5 9 5 2" xfId="4138"/>
    <cellStyle name="注释 2 17 6 2" xfId="4139"/>
    <cellStyle name="汇总 2 10 7 4" xfId="4140"/>
    <cellStyle name="输入 2 5 2 5 6" xfId="4141"/>
    <cellStyle name="输入 2 10 16 4 2" xfId="4142"/>
    <cellStyle name="汇总 2 7 7 7 3" xfId="4143"/>
    <cellStyle name="汇总 2 5 12" xfId="4144"/>
    <cellStyle name="注释 2 17 2 4 2" xfId="4145"/>
    <cellStyle name="汇总 2 10 3 6 2" xfId="4146"/>
    <cellStyle name="输出 2 5 4 7 5" xfId="4147"/>
    <cellStyle name="注释 2 17 2 5" xfId="4148"/>
    <cellStyle name="汇总 2 10 3 7" xfId="4149"/>
    <cellStyle name="汇总 2 7 7 3 6" xfId="4150"/>
    <cellStyle name="汇总 2 10 3 2 5" xfId="4151"/>
    <cellStyle name="输入 2 10 11 7 5" xfId="4152"/>
    <cellStyle name="汇总 2 10 3 2 5 2" xfId="4153"/>
    <cellStyle name="输入 2 5 7 4 3" xfId="4154"/>
    <cellStyle name="计算 2 11 5 4 2 2" xfId="4155"/>
    <cellStyle name="计算 2 7 5 5 2" xfId="4156"/>
    <cellStyle name="汇总 2 2 6 4 5" xfId="4157"/>
    <cellStyle name="输出 2 5 9 6 2" xfId="4158"/>
    <cellStyle name="注释 2 17 7 2" xfId="4159"/>
    <cellStyle name="汇总 2 10 8 4" xfId="4160"/>
    <cellStyle name="输入 2 5 2 6 6" xfId="4161"/>
    <cellStyle name="输入 2 10 16 5 2" xfId="4162"/>
    <cellStyle name="汇总 2 7 7 8 3" xfId="4163"/>
    <cellStyle name="注释 2 17 2 5 2" xfId="4164"/>
    <cellStyle name="汇总 2 10 3 7 2" xfId="4165"/>
    <cellStyle name="输出 2 5 4 8 5" xfId="4166"/>
    <cellStyle name="注释 2 17 2 6" xfId="4167"/>
    <cellStyle name="汇总 2 10 3 8" xfId="4168"/>
    <cellStyle name="注释 2 11 14 3 2" xfId="4169"/>
    <cellStyle name="汇总 2 10 3 2 6" xfId="4170"/>
    <cellStyle name="计算 2 7 10 2" xfId="4171"/>
    <cellStyle name="检查单元格 2 6 5 4 4 2" xfId="4172"/>
    <cellStyle name="汇总 2 3 11 4 5 2" xfId="4173"/>
    <cellStyle name="计算 2 2 7 3 6" xfId="4174"/>
    <cellStyle name="注释 2 2 8 6 2 2" xfId="4175"/>
    <cellStyle name="注释 2 12 4 9" xfId="4176"/>
    <cellStyle name="汇总 2 5 10 5 3 2" xfId="4177"/>
    <cellStyle name="检查单元格 2 4 4 3 2" xfId="4178"/>
    <cellStyle name="汇总 2 10 8 8 2 2" xfId="4179"/>
    <cellStyle name="计算 2 6 12 6" xfId="4180"/>
    <cellStyle name="输出 2 4 8 11" xfId="4181"/>
    <cellStyle name="汇总 2 7 9 2 5 2" xfId="4182"/>
    <cellStyle name="输出 2 10 2 5 4 2" xfId="4183"/>
    <cellStyle name="汇总 2 10 3 9" xfId="4184"/>
    <cellStyle name="汇总 2 10 3 2 7" xfId="4185"/>
    <cellStyle name="注释 2 11 11 4 3 2" xfId="4186"/>
    <cellStyle name="计算 2 7 10 3" xfId="4187"/>
    <cellStyle name="汇总 2 11 9 11 2" xfId="4188"/>
    <cellStyle name="计算 2 6 10 8 2" xfId="4189"/>
    <cellStyle name="计算 2 7 6" xfId="4190"/>
    <cellStyle name="输出 2 11 3 2 9" xfId="4191"/>
    <cellStyle name="汇总 2 3 11 15" xfId="4192"/>
    <cellStyle name="注释 2 6 6 7 4" xfId="4193"/>
    <cellStyle name="汇总 2 10 3 3" xfId="4194"/>
    <cellStyle name="计算 2 2 7 4" xfId="4195"/>
    <cellStyle name="汇总 2 6 4 5 2 2" xfId="4196"/>
    <cellStyle name="注释 2 6 6 8 5" xfId="4197"/>
    <cellStyle name="注释 2 17 3 2" xfId="4198"/>
    <cellStyle name="汇总 2 10 4 4" xfId="4199"/>
    <cellStyle name="输入 2 5 2 2 6" xfId="4200"/>
    <cellStyle name="输入 2 11 9 2 4 2" xfId="4201"/>
    <cellStyle name="汇总 2 7 7 4 3" xfId="4202"/>
    <cellStyle name="注释 2 6 6 7 4 2" xfId="4203"/>
    <cellStyle name="汇总 2 10 3 3 2" xfId="4204"/>
    <cellStyle name="输出 2 5 4 4 5" xfId="4205"/>
    <cellStyle name="注释 2 17 3 3" xfId="4206"/>
    <cellStyle name="汇总 2 10 4 5" xfId="4207"/>
    <cellStyle name="注释 2 4 11 13" xfId="4208"/>
    <cellStyle name="检查单元格 2 8 4 3 2 2" xfId="4209"/>
    <cellStyle name="输入 2 5 2 2 7" xfId="4210"/>
    <cellStyle name="汇总 2 7 7 4 4" xfId="4211"/>
    <cellStyle name="汇总 2 10 3 3 3" xfId="4212"/>
    <cellStyle name="输出 2 5 4 4 6" xfId="4213"/>
    <cellStyle name="计算 2 11 14 3" xfId="4214"/>
    <cellStyle name="输入 2 5 3 4 6" xfId="4215"/>
    <cellStyle name="输入 2 10 17 3 2" xfId="4216"/>
    <cellStyle name="计算 2 2 3 14" xfId="4217"/>
    <cellStyle name="汇总 2 7 8 6 3" xfId="4218"/>
    <cellStyle name="注释 2 17 3 3 2" xfId="4219"/>
    <cellStyle name="汇总 2 10 4 5 2" xfId="4220"/>
    <cellStyle name="输出 2 5 5 6 5" xfId="4221"/>
    <cellStyle name="汇总 2 2 7 2 5" xfId="4222"/>
    <cellStyle name="计算 2 7 6 3 2" xfId="4223"/>
    <cellStyle name="汇总 2 15 2 2 2" xfId="4224"/>
    <cellStyle name="汇总 2 11 6 4" xfId="4225"/>
    <cellStyle name="计算 2 10 16 6" xfId="4226"/>
    <cellStyle name="汇总 2 10 3 3 3 2" xfId="4227"/>
    <cellStyle name="汇总 2 7 7 4 4 2" xfId="4228"/>
    <cellStyle name="计算 2 11 15 3" xfId="4229"/>
    <cellStyle name="输入 2 5 3 5 6" xfId="4230"/>
    <cellStyle name="输入 2 10 17 4 2" xfId="4231"/>
    <cellStyle name="汇总 2 7 8 7 3" xfId="4232"/>
    <cellStyle name="注释 2 17 3 4 2" xfId="4233"/>
    <cellStyle name="汇总 2 10 4 6 2" xfId="4234"/>
    <cellStyle name="输出 2 5 5 7 5" xfId="4235"/>
    <cellStyle name="汇总 2 2 7 3 5" xfId="4236"/>
    <cellStyle name="计算 2 7 6 4 2" xfId="4237"/>
    <cellStyle name="输出 2 7 3 8 2 2" xfId="4238"/>
    <cellStyle name="汇总 2 9 4 13" xfId="4239"/>
    <cellStyle name="输出 2 11 4 8" xfId="4240"/>
    <cellStyle name="汇总 2 15 2 3 2" xfId="4241"/>
    <cellStyle name="汇总 2 11 7 4" xfId="4242"/>
    <cellStyle name="计算 2 10 17 6" xfId="4243"/>
    <cellStyle name="汇总 2 10 3 3 4 2" xfId="4244"/>
    <cellStyle name="汇总 2 7 7 4 5 2" xfId="4245"/>
    <cellStyle name="汇总 2 2 6 4 2 2" xfId="4246"/>
    <cellStyle name="注释 2 17 3 5" xfId="4247"/>
    <cellStyle name="汇总 2 10 4 7" xfId="4248"/>
    <cellStyle name="输入 2 5 2 2 9" xfId="4249"/>
    <cellStyle name="汇总 2 7 7 4 6" xfId="4250"/>
    <cellStyle name="输出 2 5 4 8 2 2" xfId="4251"/>
    <cellStyle name="汇总 2 10 3 3 5" xfId="4252"/>
    <cellStyle name="计算 2 11 16 3" xfId="4253"/>
    <cellStyle name="输入 2 5 3 6 6" xfId="4254"/>
    <cellStyle name="输入 2 10 17 5 2" xfId="4255"/>
    <cellStyle name="汇总 2 7 8 8 3" xfId="4256"/>
    <cellStyle name="注释 2 17 3 5 2" xfId="4257"/>
    <cellStyle name="汇总 2 10 4 7 2" xfId="4258"/>
    <cellStyle name="输出 2 5 5 8 5" xfId="4259"/>
    <cellStyle name="输入 2 5 8 4 3" xfId="4260"/>
    <cellStyle name="计算 2 3 3 11" xfId="4261"/>
    <cellStyle name="计算 2 11 5 5 2 2" xfId="4262"/>
    <cellStyle name="汇总 2 2 7 4 5" xfId="4263"/>
    <cellStyle name="计算 2 7 6 5 2" xfId="4264"/>
    <cellStyle name="汇总 2 15 2 4 2" xfId="4265"/>
    <cellStyle name="汇总 2 11 8 4" xfId="4266"/>
    <cellStyle name="汇总 2 2 13" xfId="4267"/>
    <cellStyle name="输出 2 5 19 4" xfId="4268"/>
    <cellStyle name="计算 2 10 18 6" xfId="4269"/>
    <cellStyle name="汇总 2 10 3 3 5 2" xfId="4270"/>
    <cellStyle name="注释 2 17 3 6" xfId="4271"/>
    <cellStyle name="汇总 2 10 4 8" xfId="4272"/>
    <cellStyle name="注释 2 11 14 4 2" xfId="4273"/>
    <cellStyle name="汇总 2 10 3 3 6" xfId="4274"/>
    <cellStyle name="计算 2 7 11 2" xfId="4275"/>
    <cellStyle name="检查单元格 2 6 5 4 5 2" xfId="4276"/>
    <cellStyle name="计算 2 2 7 4 6" xfId="4277"/>
    <cellStyle name="注释 2 2 8 6 3 2" xfId="4278"/>
    <cellStyle name="注释 2 12 5 9" xfId="4279"/>
    <cellStyle name="汇总 2 5 10 5 4 2" xfId="4280"/>
    <cellStyle name="检查单元格 2 4 4 4 2" xfId="4281"/>
    <cellStyle name="注释 2 17 4 3" xfId="4282"/>
    <cellStyle name="汇总 2 10 5 5" xfId="4283"/>
    <cellStyle name="检查单元格 2 8 4 3 3 2" xfId="4284"/>
    <cellStyle name="汇总 2 7 7 5 4" xfId="4285"/>
    <cellStyle name="汇总 2 10 3 4 3" xfId="4286"/>
    <cellStyle name="输出 2 5 4 5 6" xfId="4287"/>
    <cellStyle name="计算 2 7 5 3 2 2" xfId="4288"/>
    <cellStyle name="汇总 2 2 6 2 5 2" xfId="4289"/>
    <cellStyle name="输出 2 5 9 4 2 2" xfId="4290"/>
    <cellStyle name="计算 2 7 3 4 5" xfId="4291"/>
    <cellStyle name="注释 2 17 5 2 2" xfId="4292"/>
    <cellStyle name="汇总 2 10 6 4 2" xfId="4293"/>
    <cellStyle name="输出 2 5 7 5 5" xfId="4294"/>
    <cellStyle name="汇总 2 7 7 6 3 2" xfId="4295"/>
    <cellStyle name="汇总 2 7 5 7 6" xfId="4296"/>
    <cellStyle name="汇总 2 10 3 5 2 2" xfId="4297"/>
    <cellStyle name="检查单元格 2 10 18" xfId="4298"/>
    <cellStyle name="输出 2 5 4 6 5 2" xfId="4299"/>
    <cellStyle name="计算 2 7 3 6 5" xfId="4300"/>
    <cellStyle name="注释 2 17 5 4 2" xfId="4301"/>
    <cellStyle name="汇总 2 10 6 6 2" xfId="4302"/>
    <cellStyle name="输出 2 5 7 7 5" xfId="4303"/>
    <cellStyle name="汇总 2 7 7 6 5 2" xfId="4304"/>
    <cellStyle name="汇总 2 10 3 5 4 2" xfId="4305"/>
    <cellStyle name="计算 2 7 5 3 5 2" xfId="4306"/>
    <cellStyle name="输出 2 3 8 11" xfId="4307"/>
    <cellStyle name="输入 2 13 3 3" xfId="4308"/>
    <cellStyle name="汇总 2 10 8 3 2 2" xfId="4309"/>
    <cellStyle name="计算 2 5 12 6" xfId="4310"/>
    <cellStyle name="输出 2 5 9 4 5 2" xfId="4311"/>
    <cellStyle name="计算 2 7 3 7 5" xfId="4312"/>
    <cellStyle name="注释 2 17 5 5 2" xfId="4313"/>
    <cellStyle name="汇总 2 10 6 7 2" xfId="4314"/>
    <cellStyle name="输出 2 5 7 8 5" xfId="4315"/>
    <cellStyle name="汇总 2 10 3 5 5 2" xfId="4316"/>
    <cellStyle name="计算 2 2 7 6 5 2" xfId="4317"/>
    <cellStyle name="汇总 2 2 9 10" xfId="4318"/>
    <cellStyle name="计算 2 7 5 4 3" xfId="4319"/>
    <cellStyle name="汇总 2 2 6 3 6" xfId="4320"/>
    <cellStyle name="输出 2 5 9 5 3" xfId="4321"/>
    <cellStyle name="注释 2 17 6 3" xfId="4322"/>
    <cellStyle name="汇总 2 10 7 5" xfId="4323"/>
    <cellStyle name="检查单元格 2 8 4 3 5 2" xfId="4324"/>
    <cellStyle name="汇总 2 7 7 7 4" xfId="4325"/>
    <cellStyle name="注释 2 2 10 4 2" xfId="4326"/>
    <cellStyle name="汇总 2 5 13" xfId="4327"/>
    <cellStyle name="汇总 2 10 3 6 3" xfId="4328"/>
    <cellStyle name="输出 2 5 4 7 6" xfId="4329"/>
    <cellStyle name="计算 2 7 5 5 2 2" xfId="4330"/>
    <cellStyle name="汇总 2 2 6 4 5 2" xfId="4331"/>
    <cellStyle name="输出 2 5 9 6 2 2" xfId="4332"/>
    <cellStyle name="注释 2 17 6 5" xfId="4333"/>
    <cellStyle name="输入 2 5 7 4 3 2" xfId="4334"/>
    <cellStyle name="汇总 2 10 7 7" xfId="4335"/>
    <cellStyle name="计算 2 7 5 4 5" xfId="4336"/>
    <cellStyle name="注释 2 17 7 2 2" xfId="4337"/>
    <cellStyle name="汇总 2 10 8 4 2" xfId="4338"/>
    <cellStyle name="输出 2 5 9 5 5" xfId="4339"/>
    <cellStyle name="汇总 2 10 3 6 5" xfId="4340"/>
    <cellStyle name="注释 2 2 10 4 4" xfId="4341"/>
    <cellStyle name="汇总 2 7 7 8 3 2" xfId="4342"/>
    <cellStyle name="汇总 2 5 15" xfId="4343"/>
    <cellStyle name="汇总 2 5 20" xfId="4344"/>
    <cellStyle name="汇总 2 7 7 7 6" xfId="4345"/>
    <cellStyle name="汇总 2 10 3 7 2 2" xfId="4346"/>
    <cellStyle name="注释 2 17 6 6" xfId="4347"/>
    <cellStyle name="汇总 2 10 7 8" xfId="4348"/>
    <cellStyle name="注释 2 2 15 2 2" xfId="4349"/>
    <cellStyle name="计算 2 7 5 4 6" xfId="4350"/>
    <cellStyle name="汇总 2 10 8 4 3" xfId="4351"/>
    <cellStyle name="输出 2 5 9 5 6" xfId="4352"/>
    <cellStyle name="汇总 2 10 3 6 6" xfId="4353"/>
    <cellStyle name="注释 2 2 10 4 5" xfId="4354"/>
    <cellStyle name="汇总 2 5 16" xfId="4355"/>
    <cellStyle name="汇总 2 5 21" xfId="4356"/>
    <cellStyle name="计算 2 7 14 2" xfId="4357"/>
    <cellStyle name="输入 2 10 2 7" xfId="4358"/>
    <cellStyle name="计算 2 2 7 7 6" xfId="4359"/>
    <cellStyle name="注释 2 12 8 9" xfId="4360"/>
    <cellStyle name="输入 2 10 3 3 3" xfId="4361"/>
    <cellStyle name="汇总 2 5 3 8 2 2" xfId="4362"/>
    <cellStyle name="检查单元格 2 4 4 7 2" xfId="4363"/>
    <cellStyle name="汇总 2 7 7 8 4" xfId="4364"/>
    <cellStyle name="汇总 2 10 3 7 3" xfId="4365"/>
    <cellStyle name="注释 2 2 10 5 4" xfId="4366"/>
    <cellStyle name="汇总 2 7 7 8 4 2" xfId="4367"/>
    <cellStyle name="汇总 2 10 3 7 5" xfId="4368"/>
    <cellStyle name="汇总 2 10 3 7 3 2" xfId="4369"/>
    <cellStyle name="输入 2 10 3 5" xfId="4370"/>
    <cellStyle name="计算 2 2 7 8 4" xfId="4371"/>
    <cellStyle name="汇总 2 12 7 7 4 2" xfId="4372"/>
    <cellStyle name="汇总 2 7 7 8 5" xfId="4373"/>
    <cellStyle name="汇总 2 10 3 7 4" xfId="4374"/>
    <cellStyle name="汇总 2 10 3 8 5" xfId="4375"/>
    <cellStyle name="汇总 2 10 3 7 4 2" xfId="4376"/>
    <cellStyle name="汇总 2 15 6 5" xfId="4377"/>
    <cellStyle name="计算 2 8 3 5 5 2" xfId="4378"/>
    <cellStyle name="汇总 2 11 6 5 2 2" xfId="4379"/>
    <cellStyle name="计算 2 8 11 5 4" xfId="4380"/>
    <cellStyle name="输出 2 6 7 6 5 2" xfId="4381"/>
    <cellStyle name="计算 2 10 9 3 4 2" xfId="4382"/>
    <cellStyle name="汇总 2 4 7 2" xfId="4383"/>
    <cellStyle name="汇总 2 10 3 7 6" xfId="4384"/>
    <cellStyle name="注释 2 2 10 5 5" xfId="4385"/>
    <cellStyle name="计算 2 7 15 2" xfId="4386"/>
    <cellStyle name="计算 2 7 20 2" xfId="4387"/>
    <cellStyle name="注释 2 12 9 9" xfId="4388"/>
    <cellStyle name="输入 2 10 3 4 3" xfId="4389"/>
    <cellStyle name="汇总 2 5 3 8 3 2" xfId="4390"/>
    <cellStyle name="检查单元格 2 4 4 8 2" xfId="4391"/>
    <cellStyle name="汇总 2 10 3 8 2" xfId="4392"/>
    <cellStyle name="计算 2 11 15 6" xfId="4393"/>
    <cellStyle name="汇总 2 7 8 7 6" xfId="4394"/>
    <cellStyle name="汇总 2 10 3 8 2 2" xfId="4395"/>
    <cellStyle name="汇总 2 10 4 6 5" xfId="4396"/>
    <cellStyle name="汇总 2 10 3 8 3" xfId="4397"/>
    <cellStyle name="注释 2 2 10 6 2 2" xfId="4398"/>
    <cellStyle name="计算 2 11 16 6" xfId="4399"/>
    <cellStyle name="汇总 2 10 3 8 3 2" xfId="4400"/>
    <cellStyle name="汇总 2 10 4 7 5" xfId="4401"/>
    <cellStyle name="汇总 2 12 7 7 5 2" xfId="4402"/>
    <cellStyle name="汇总 2 10 3 8 4" xfId="4403"/>
    <cellStyle name="注释 2 2 10 6 3 2" xfId="4404"/>
    <cellStyle name="计算 2 11 17 6" xfId="4405"/>
    <cellStyle name="汇总 2 10 3 8 4 2" xfId="4406"/>
    <cellStyle name="汇总 2 10 4 8 5" xfId="4407"/>
    <cellStyle name="汇总 2 10 3 9 2" xfId="4408"/>
    <cellStyle name="输入 2 6 6 12" xfId="4409"/>
    <cellStyle name="汇总 2 8 8 5 4" xfId="4410"/>
    <cellStyle name="汇总 2 10 4" xfId="4411"/>
    <cellStyle name="汇总 2 11 4 4 3" xfId="4412"/>
    <cellStyle name="输出 2 6 5 5 6" xfId="4413"/>
    <cellStyle name="汇总 2 8 6 4 5 2" xfId="4414"/>
    <cellStyle name="汇总 2 11 2 3 4 2" xfId="4415"/>
    <cellStyle name="计算 2 2 8 15" xfId="4416"/>
    <cellStyle name="汇总 2 7 9 6 4" xfId="4417"/>
    <cellStyle name="注释 2 2 12 3 2" xfId="4418"/>
    <cellStyle name="计算 2 7 2 5 6" xfId="4419"/>
    <cellStyle name="输出 2 3 5 3 2 2" xfId="4420"/>
    <cellStyle name="汇总 2 10 5 5 3" xfId="4421"/>
    <cellStyle name="输出 2 5 6 6 6" xfId="4422"/>
    <cellStyle name="输入 2 11 11 2 6" xfId="4423"/>
    <cellStyle name="计算 2 2 9 6 3" xfId="4424"/>
    <cellStyle name="汇总 2 10 4 10" xfId="4425"/>
    <cellStyle name="输出 2 7 11 5 3 2" xfId="4426"/>
    <cellStyle name="汇总 2 7 9 6 4 2" xfId="4427"/>
    <cellStyle name="汇总 2 14 2 9" xfId="4428"/>
    <cellStyle name="汇总 2 10 5 5 3 2" xfId="4429"/>
    <cellStyle name="计算 2 4 5 8 5" xfId="4430"/>
    <cellStyle name="输出 2 10 9 3 4" xfId="4431"/>
    <cellStyle name="计算 2 2 9 6 3 2" xfId="4432"/>
    <cellStyle name="汇总 2 10 4 10 2" xfId="4433"/>
    <cellStyle name="输入 2 12 6 9" xfId="4434"/>
    <cellStyle name="汇总 2 10 5 15" xfId="4435"/>
    <cellStyle name="计算 2 7 10 8 4 2" xfId="4436"/>
    <cellStyle name="汇总 2 3 3 6" xfId="4437"/>
    <cellStyle name="输出 2 7 7 7 5" xfId="4438"/>
    <cellStyle name="汇总 2 12 6 6 2" xfId="4439"/>
    <cellStyle name="计算 2 9 3 6 5" xfId="4440"/>
    <cellStyle name="汇总 2 11 10 8 2" xfId="4441"/>
    <cellStyle name="汇总 2 10 7 2 7" xfId="4442"/>
    <cellStyle name="汇总 2 7 9 6 5 2" xfId="4443"/>
    <cellStyle name="汇总 2 10 5 5 4 2" xfId="4444"/>
    <cellStyle name="计算 2 2 9 6 4 2" xfId="4445"/>
    <cellStyle name="汇总 2 10 4 11 2" xfId="4446"/>
    <cellStyle name="汇总 2 7 9 6 6" xfId="4447"/>
    <cellStyle name="汇总 2 10 5 5 5" xfId="4448"/>
    <cellStyle name="注释 2 5 2 7 2" xfId="4449"/>
    <cellStyle name="计算 2 2 9 6 5" xfId="4450"/>
    <cellStyle name="汇总 2 10 4 12" xfId="4451"/>
    <cellStyle name="计算 2 10 3 13" xfId="4452"/>
    <cellStyle name="汇总 2 10 5 5 5 2" xfId="4453"/>
    <cellStyle name="注释 2 5 2 7 2 2" xfId="4454"/>
    <cellStyle name="计算 2 2 9 6 5 2" xfId="4455"/>
    <cellStyle name="汇总 2 10 4 12 2" xfId="4456"/>
    <cellStyle name="注释 2 4 11 4 2 2" xfId="4457"/>
    <cellStyle name="输出 2 14 11" xfId="4458"/>
    <cellStyle name="汇总 2 10 5 5 6" xfId="4459"/>
    <cellStyle name="注释 2 5 2 7 3" xfId="4460"/>
    <cellStyle name="计算 2 2 9 6 6" xfId="4461"/>
    <cellStyle name="汇总 2 10 4 13" xfId="4462"/>
    <cellStyle name="注释 2 5 2 7 4" xfId="4463"/>
    <cellStyle name="汇总 2 10 4 14" xfId="4464"/>
    <cellStyle name="注释 2 5 2 7 6" xfId="4465"/>
    <cellStyle name="计算 2 3 2 8 3 2" xfId="4466"/>
    <cellStyle name="汇总 2 10 4 16" xfId="4467"/>
    <cellStyle name="计算 2 3 8 5 3 2" xfId="4468"/>
    <cellStyle name="计算 2 10 7 2 5 2" xfId="4469"/>
    <cellStyle name="汇总 2 11 9 6 6" xfId="4470"/>
    <cellStyle name="检查单元格 2 10 6 3 4 2" xfId="4471"/>
    <cellStyle name="计算 2 2 8 3" xfId="4472"/>
    <cellStyle name="注释 2 6 6 8 3" xfId="4473"/>
    <cellStyle name="输入 2 6 6 12 2" xfId="4474"/>
    <cellStyle name="汇总 2 8 8 5 4 2" xfId="4475"/>
    <cellStyle name="汇总 2 10 4 2" xfId="4476"/>
    <cellStyle name="汇总 2 11 4 4 3 2" xfId="4477"/>
    <cellStyle name="计算 2 11 11 3" xfId="4478"/>
    <cellStyle name="输入 2 11 9 3 3 2" xfId="4479"/>
    <cellStyle name="汇总 2 7 8 3 3" xfId="4480"/>
    <cellStyle name="注释 2 6 6 8 3 2" xfId="4481"/>
    <cellStyle name="汇总 2 10 4 2 2" xfId="4482"/>
    <cellStyle name="输出 2 5 5 3 5" xfId="4483"/>
    <cellStyle name="计算 2 11 11 3 2" xfId="4484"/>
    <cellStyle name="汇总 2 7 8 3 3 2" xfId="4485"/>
    <cellStyle name="汇总 2 8 2 7 6" xfId="4486"/>
    <cellStyle name="汇总 2 10 4 2 2 2" xfId="4487"/>
    <cellStyle name="输出 2 5 5 3 5 2" xfId="4488"/>
    <cellStyle name="计算 2 3 2 7 5" xfId="4489"/>
    <cellStyle name="计算 2 2 8 3 2 2" xfId="4490"/>
    <cellStyle name="计算 2 12 9 14" xfId="4491"/>
    <cellStyle name="输出 2 8 13" xfId="4492"/>
    <cellStyle name="汇总 2 3 9 8 3" xfId="4493"/>
    <cellStyle name="计算 2 11 11 4" xfId="4494"/>
    <cellStyle name="汇总 2 7 8 3 4" xfId="4495"/>
    <cellStyle name="汇总 2 10 4 2 3" xfId="4496"/>
    <cellStyle name="输出 2 5 5 3 6" xfId="4497"/>
    <cellStyle name="计算 2 11 11 4 2" xfId="4498"/>
    <cellStyle name="汇总 2 7 8 3 4 2" xfId="4499"/>
    <cellStyle name="汇总 2 10 4 2 3 2" xfId="4500"/>
    <cellStyle name="汇总 2 10 7 9 2" xfId="4501"/>
    <cellStyle name="输出 2 6 12 3" xfId="4502"/>
    <cellStyle name="汇总 2 10 8 4 4 2" xfId="4503"/>
    <cellStyle name="计算 2 11 11 5" xfId="4504"/>
    <cellStyle name="汇总 2 7 8 3 5" xfId="4505"/>
    <cellStyle name="汇总 2 10 4 2 4" xfId="4506"/>
    <cellStyle name="输入 2 7 6 7 3 2" xfId="4507"/>
    <cellStyle name="计算 2 2 8 3 4" xfId="4508"/>
    <cellStyle name="汇总 2 4 5 7 5 2" xfId="4509"/>
    <cellStyle name="计算 2 9 4 8 2 2" xfId="4510"/>
    <cellStyle name="计算 2 11 11 5 2" xfId="4511"/>
    <cellStyle name="汇总 2 7 8 3 5 2" xfId="4512"/>
    <cellStyle name="汇总 2 10 4 2 4 2" xfId="4513"/>
    <cellStyle name="计算 2 11 11 6" xfId="4514"/>
    <cellStyle name="汇总 2 7 8 3 6" xfId="4515"/>
    <cellStyle name="汇总 2 10 4 2 5" xfId="4516"/>
    <cellStyle name="计算 2 11 11 6 2" xfId="4517"/>
    <cellStyle name="输入 2 5 2 14" xfId="4518"/>
    <cellStyle name="汇总 2 10 4 2 5 2" xfId="4519"/>
    <cellStyle name="计算 2 11 11 7" xfId="4520"/>
    <cellStyle name="汇总 2 3 11 5 5 2" xfId="4521"/>
    <cellStyle name="注释 2 11 15 3 2" xfId="4522"/>
    <cellStyle name="汇总 2 10 4 2 6" xfId="4523"/>
    <cellStyle name="检查单元格 2 6 5 5 4 2" xfId="4524"/>
    <cellStyle name="计算 2 2 8 3 6" xfId="4525"/>
    <cellStyle name="注释 2 2 8 7 2 2" xfId="4526"/>
    <cellStyle name="汇总 2 5 10 6 3 2" xfId="4527"/>
    <cellStyle name="检查单元格 2 4 5 3 2" xfId="4528"/>
    <cellStyle name="汇总 2 7 9 3 5 2" xfId="4529"/>
    <cellStyle name="输出 2 10 2 6 4 2" xfId="4530"/>
    <cellStyle name="汇总 2 10 5 2 4 2" xfId="4531"/>
    <cellStyle name="汇总 2 11 3 9" xfId="4532"/>
    <cellStyle name="汇总 2 2 3 12 2" xfId="4533"/>
    <cellStyle name="检查单元格 2 4 5 3 3" xfId="4534"/>
    <cellStyle name="计算 2 11 11 8" xfId="4535"/>
    <cellStyle name="汇总 2 10 4 2 7" xfId="4536"/>
    <cellStyle name="注释 2 8 9 16" xfId="4537"/>
    <cellStyle name="汇总 2 11 11 4 2 2" xfId="4538"/>
    <cellStyle name="计算 2 2 2 6 4" xfId="4539"/>
    <cellStyle name="输出 2 12 4 6 2 2" xfId="4540"/>
    <cellStyle name="输出 2 7 8 3 5 2" xfId="4541"/>
    <cellStyle name="汇总 2 12 7 2 2 2" xfId="4542"/>
    <cellStyle name="汇总 2 2 9 7 2" xfId="4543"/>
    <cellStyle name="输入 2 12 10 4 2" xfId="4544"/>
    <cellStyle name="计算 2 9 4 2 5 2" xfId="4545"/>
    <cellStyle name="注释 2 5 8 7 2 2" xfId="4546"/>
    <cellStyle name="汇总 2 11 9 12 2" xfId="4547"/>
    <cellStyle name="计算 2 6 10 9 2" xfId="4548"/>
    <cellStyle name="计算 2 8 6" xfId="4549"/>
    <cellStyle name="汇总 2 2 11 8 2 2" xfId="4550"/>
    <cellStyle name="注释 2 6 6 8 4" xfId="4551"/>
    <cellStyle name="汇总 2 10 4 3" xfId="4552"/>
    <cellStyle name="计算 2 2 8 4" xfId="4553"/>
    <cellStyle name="汇总 2 6 4 5 3 2" xfId="4554"/>
    <cellStyle name="计算 2 11 12 3" xfId="4555"/>
    <cellStyle name="输入 2 5 3 2 6" xfId="4556"/>
    <cellStyle name="输入 2 11 9 3 4 2" xfId="4557"/>
    <cellStyle name="汇总 2 7 8 4 3" xfId="4558"/>
    <cellStyle name="注释 2 6 6 8 4 2" xfId="4559"/>
    <cellStyle name="汇总 2 2 2 2 8" xfId="4560"/>
    <cellStyle name="汇总 2 10 4 3 2" xfId="4561"/>
    <cellStyle name="输出 2 5 5 4 5" xfId="4562"/>
    <cellStyle name="计算 2 11 12 4" xfId="4563"/>
    <cellStyle name="输入 2 5 3 2 7" xfId="4564"/>
    <cellStyle name="汇总 2 7 8 4 4" xfId="4565"/>
    <cellStyle name="汇总 2 2 2 2 9" xfId="4566"/>
    <cellStyle name="汇总 2 10 4 3 3" xfId="4567"/>
    <cellStyle name="输出 2 5 5 4 6" xfId="4568"/>
    <cellStyle name="计算 2 11 12 5 2" xfId="4569"/>
    <cellStyle name="汇总 2 7 8 4 5 2" xfId="4570"/>
    <cellStyle name="汇总 2 10 4 3 4 2" xfId="4571"/>
    <cellStyle name="计算 2 11 12 6" xfId="4572"/>
    <cellStyle name="输入 2 5 3 2 9" xfId="4573"/>
    <cellStyle name="汇总 2 7 8 4 6" xfId="4574"/>
    <cellStyle name="汇总 2 10 4 3 5" xfId="4575"/>
    <cellStyle name="输入 2 5 7 14" xfId="4576"/>
    <cellStyle name="汇总 2 10 4 3 5 2" xfId="4577"/>
    <cellStyle name="计算 2 11 12 7" xfId="4578"/>
    <cellStyle name="注释 2 11 15 4 2" xfId="4579"/>
    <cellStyle name="汇总 2 10 4 3 6" xfId="4580"/>
    <cellStyle name="计算 2 2 8 4 6" xfId="4581"/>
    <cellStyle name="注释 2 2 8 7 3 2" xfId="4582"/>
    <cellStyle name="汇总 2 5 10 6 4 2" xfId="4583"/>
    <cellStyle name="检查单元格 2 4 5 4 2" xfId="4584"/>
    <cellStyle name="计算 2 11 13 3 2" xfId="4585"/>
    <cellStyle name="汇总 2 7 8 5 3 2" xfId="4586"/>
    <cellStyle name="汇总 2 8 4 7 6" xfId="4587"/>
    <cellStyle name="汇总 2 10 4 4 2 2" xfId="4588"/>
    <cellStyle name="输出 2 5 5 5 5 2" xfId="4589"/>
    <cellStyle name="计算 2 11 13 4 2" xfId="4590"/>
    <cellStyle name="汇总 2 7 8 5 4 2" xfId="4591"/>
    <cellStyle name="汇总 2 10 4 4 3 2" xfId="4592"/>
    <cellStyle name="输入 2 6 4 5 6" xfId="4593"/>
    <cellStyle name="汇总 2 8 9 7 3" xfId="4594"/>
    <cellStyle name="计算 2 8 2 6 5" xfId="4595"/>
    <cellStyle name="汇总 2 11 5 6 2" xfId="4596"/>
    <cellStyle name="输出 2 6 6 7 5" xfId="4597"/>
    <cellStyle name="输入 2 4 16 4 2" xfId="4598"/>
    <cellStyle name="汇总 2 10 7 10 2" xfId="4599"/>
    <cellStyle name="检查单元格 2 3 5 8" xfId="4600"/>
    <cellStyle name="汇总 2 4 6 5 2 2" xfId="4601"/>
    <cellStyle name="输出 2 2 19 4" xfId="4602"/>
    <cellStyle name="计算 2 11 13 5 2" xfId="4603"/>
    <cellStyle name="汇总 2 7 8 5 5 2" xfId="4604"/>
    <cellStyle name="汇总 2 10 4 4 4 2" xfId="4605"/>
    <cellStyle name="汇总 2 8 11 3 3" xfId="4606"/>
    <cellStyle name="汇总 2 5 19 3 2" xfId="4607"/>
    <cellStyle name="汇总 2 17" xfId="4608"/>
    <cellStyle name="汇总 2 22" xfId="4609"/>
    <cellStyle name="计算 2 3 9 8 2" xfId="4610"/>
    <cellStyle name="计算 2 10 8 5 4" xfId="4611"/>
    <cellStyle name="汇总 2 10 9 2 2 2" xfId="4612"/>
    <cellStyle name="输出 2 8 3 11" xfId="4613"/>
    <cellStyle name="计算 2 7 6 2 5 2" xfId="4614"/>
    <cellStyle name="计算 2 12 11 3 2" xfId="4615"/>
    <cellStyle name="汇总 2 8 10 7" xfId="4616"/>
    <cellStyle name="输出 2 10 6 6 2 2" xfId="4617"/>
    <cellStyle name="输入 2 6 4 6 6" xfId="4618"/>
    <cellStyle name="汇总 2 8 9 8 3" xfId="4619"/>
    <cellStyle name="计算 2 8 2 7 5" xfId="4620"/>
    <cellStyle name="输出 2 4 11 12" xfId="4621"/>
    <cellStyle name="汇总 2 11 5 7 2" xfId="4622"/>
    <cellStyle name="输出 2 6 6 8 5" xfId="4623"/>
    <cellStyle name="输入 2 4 16 5 2" xfId="4624"/>
    <cellStyle name="汇总 2 10 7 11 2" xfId="4625"/>
    <cellStyle name="检查单元格 2 3 6 8" xfId="4626"/>
    <cellStyle name="汇总 2 4 6 5 3 2" xfId="4627"/>
    <cellStyle name="汇总 2 10 4 4 5 2" xfId="4628"/>
    <cellStyle name="计算 2 5 10 7 5 2" xfId="4629"/>
    <cellStyle name="注释 2 2 14 3" xfId="4630"/>
    <cellStyle name="汇总 2 13 15" xfId="4631"/>
    <cellStyle name="输出 2 3 5 5 2" xfId="4632"/>
    <cellStyle name="注释 2 6 26" xfId="4633"/>
    <cellStyle name="计算 2 11 14 3 2" xfId="4634"/>
    <cellStyle name="汇总 2 7 8 6 3 2" xfId="4635"/>
    <cellStyle name="汇总 2 8 5 7 6" xfId="4636"/>
    <cellStyle name="汇总 2 10 4 5 2 2" xfId="4637"/>
    <cellStyle name="输出 2 5 5 6 5 2" xfId="4638"/>
    <cellStyle name="计算 2 11 14 4" xfId="4639"/>
    <cellStyle name="计算 2 2 3 15" xfId="4640"/>
    <cellStyle name="汇总 2 7 8 6 4" xfId="4641"/>
    <cellStyle name="注释 2 2 11 3 2" xfId="4642"/>
    <cellStyle name="输出 2 3 5 2 2 2" xfId="4643"/>
    <cellStyle name="汇总 2 10 4 5 3" xfId="4644"/>
    <cellStyle name="输出 2 5 5 6 6" xfId="4645"/>
    <cellStyle name="输入 2 9 11 11" xfId="4646"/>
    <cellStyle name="计算 2 11 14 4 2" xfId="4647"/>
    <cellStyle name="汇总 2 7 8 6 4 2" xfId="4648"/>
    <cellStyle name="汇总 2 10 4 5 3 2" xfId="4649"/>
    <cellStyle name="计算 2 11 14 5 2" xfId="4650"/>
    <cellStyle name="注释 2 6 3 16" xfId="4651"/>
    <cellStyle name="汇总 2 7 8 6 5 2" xfId="4652"/>
    <cellStyle name="汇总 2 10 4 5 4 2" xfId="4653"/>
    <cellStyle name="计算 2 11 14 6" xfId="4654"/>
    <cellStyle name="汇总 2 7 8 6 6" xfId="4655"/>
    <cellStyle name="汇总 2 10 4 5 5" xfId="4656"/>
    <cellStyle name="汇总 2 10 4 5 5 2" xfId="4657"/>
    <cellStyle name="汇总 2 7 8 7 3 2" xfId="4658"/>
    <cellStyle name="计算 2 11 15 3 2" xfId="4659"/>
    <cellStyle name="汇总 2 11 2 6 5" xfId="4660"/>
    <cellStyle name="汇总 2 8 6 7 6" xfId="4661"/>
    <cellStyle name="汇总 2 10 4 6 2 2" xfId="4662"/>
    <cellStyle name="输出 2 5 5 7 5 2" xfId="4663"/>
    <cellStyle name="输出 2 9 10 5 2 2" xfId="4664"/>
    <cellStyle name="计算 2 11 15 4" xfId="4665"/>
    <cellStyle name="汇总 2 7 8 7 4" xfId="4666"/>
    <cellStyle name="注释 2 2 11 4 2" xfId="4667"/>
    <cellStyle name="输出 2 3 5 2 3 2" xfId="4668"/>
    <cellStyle name="汇总 2 10 4 6 3" xfId="4669"/>
    <cellStyle name="输出 2 5 5 7 6" xfId="4670"/>
    <cellStyle name="注释 2 6 8 16" xfId="4671"/>
    <cellStyle name="汇总 2 7 8 7 5 2" xfId="4672"/>
    <cellStyle name="计算 2 11 15 5 2" xfId="4673"/>
    <cellStyle name="汇总 2 11 2 8 5" xfId="4674"/>
    <cellStyle name="汇总 2 10 4 6 4 2" xfId="4675"/>
    <cellStyle name="汇总 2 10 4 6 5 2" xfId="4676"/>
    <cellStyle name="汇总 2 10 4 6 6" xfId="4677"/>
    <cellStyle name="汇总 2 7 8 8 3 2" xfId="4678"/>
    <cellStyle name="计算 2 11 16 3 2" xfId="4679"/>
    <cellStyle name="汇总 2 11 3 6 5" xfId="4680"/>
    <cellStyle name="汇总 2 8 7 7 6" xfId="4681"/>
    <cellStyle name="汇总 2 10 4 7 2 2" xfId="4682"/>
    <cellStyle name="汇总 2 7 8 8 4" xfId="4683"/>
    <cellStyle name="输出 2 9 10 5 3 2" xfId="4684"/>
    <cellStyle name="计算 2 11 16 4" xfId="4685"/>
    <cellStyle name="汇总 2 5 8 2 2 2" xfId="4686"/>
    <cellStyle name="汇总 2 10 4 7 3" xfId="4687"/>
    <cellStyle name="注释 2 2 11 5 2" xfId="4688"/>
    <cellStyle name="输出 2 3 5 2 4 2" xfId="4689"/>
    <cellStyle name="汇总 2 7 8 8 4 2" xfId="4690"/>
    <cellStyle name="计算 2 11 16 4 2" xfId="4691"/>
    <cellStyle name="汇总 2 11 3 7 5" xfId="4692"/>
    <cellStyle name="注释 2 2 11 5 2 2" xfId="4693"/>
    <cellStyle name="计算 2 10 10 2 7" xfId="4694"/>
    <cellStyle name="汇总 2 10 4 7 3 2" xfId="4695"/>
    <cellStyle name="输入 2 11 3 5" xfId="4696"/>
    <cellStyle name="计算 2 2 8 8 4" xfId="4697"/>
    <cellStyle name="汇总 2 12 7 8 4 2" xfId="4698"/>
    <cellStyle name="计算 2 11 16 5" xfId="4699"/>
    <cellStyle name="汇总 2 7 8 8 5" xfId="4700"/>
    <cellStyle name="汇总 2 10 4 7 4" xfId="4701"/>
    <cellStyle name="输入 2 6 2 14" xfId="4702"/>
    <cellStyle name="汇总 2 10 4 7 5 2" xfId="4703"/>
    <cellStyle name="汇总 2 16 6 5" xfId="4704"/>
    <cellStyle name="计算 2 8 3 6 5 2" xfId="4705"/>
    <cellStyle name="汇总 2 11 6 6 2 2" xfId="4706"/>
    <cellStyle name="输出 2 6 7 7 5 2" xfId="4707"/>
    <cellStyle name="计算 2 10 9 4 4 2" xfId="4708"/>
    <cellStyle name="汇总 2 5 7 2" xfId="4709"/>
    <cellStyle name="输出 2 6 17 5" xfId="4710"/>
    <cellStyle name="汇总 2 10 4 7 6" xfId="4711"/>
    <cellStyle name="计算 2 11 17 3" xfId="4712"/>
    <cellStyle name="汇总 2 10 4 8 2" xfId="4713"/>
    <cellStyle name="计算 2 11 17 3 2" xfId="4714"/>
    <cellStyle name="汇总 2 11 4 6 5" xfId="4715"/>
    <cellStyle name="汇总 2 8 8 7 6" xfId="4716"/>
    <cellStyle name="汇总 2 12 6" xfId="4717"/>
    <cellStyle name="汇总 2 10 4 8 2 2" xfId="4718"/>
    <cellStyle name="输出 2 9 10 5 4 2" xfId="4719"/>
    <cellStyle name="计算 2 11 17 4" xfId="4720"/>
    <cellStyle name="汇总 2 5 8 2 3 2" xfId="4721"/>
    <cellStyle name="汇总 2 10 4 8 3" xfId="4722"/>
    <cellStyle name="注释 2 2 11 6 2" xfId="4723"/>
    <cellStyle name="输出 2 3 5 2 5 2" xfId="4724"/>
    <cellStyle name="计算 2 11 17 4 2" xfId="4725"/>
    <cellStyle name="汇总 2 11 4 7 5" xfId="4726"/>
    <cellStyle name="输出 2 12 6 15" xfId="4727"/>
    <cellStyle name="汇总 2 13 6" xfId="4728"/>
    <cellStyle name="汇总 2 10 4 8 3 2" xfId="4729"/>
    <cellStyle name="输入 2 12 7 5 2 2" xfId="4730"/>
    <cellStyle name="计算 2 11 17 5" xfId="4731"/>
    <cellStyle name="汇总 2 10 4 8 4" xfId="4732"/>
    <cellStyle name="汇总 2 3 4 2 2 2" xfId="4733"/>
    <cellStyle name="汇总 2 10 8 8 3 2" xfId="4734"/>
    <cellStyle name="计算 2 6 13 6" xfId="4735"/>
    <cellStyle name="汇总 2 10 4 9" xfId="4736"/>
    <cellStyle name="计算 2 11 18 3" xfId="4737"/>
    <cellStyle name="汇总 2 10 4 9 2" xfId="4738"/>
    <cellStyle name="输入 2 12 6 6 2" xfId="4739"/>
    <cellStyle name="汇总 2 10 5 12 2" xfId="4740"/>
    <cellStyle name="计算 2 11 3 13" xfId="4741"/>
    <cellStyle name="汇总 2 3 3 3 2" xfId="4742"/>
    <cellStyle name="汇总 2 11 6 7 5 2" xfId="4743"/>
    <cellStyle name="输入 2 11 6 4 2 2" xfId="4744"/>
    <cellStyle name="汇总 2 4 9 2 3" xfId="4745"/>
    <cellStyle name="汇总 2 9 5 8 4" xfId="4746"/>
    <cellStyle name="汇总 2 14 2 7" xfId="4747"/>
    <cellStyle name="输入 2 12 6 7" xfId="4748"/>
    <cellStyle name="汇总 2 10 5 13" xfId="4749"/>
    <cellStyle name="汇总 2 3 3 4" xfId="4750"/>
    <cellStyle name="汇总 2 9 5 8 5" xfId="4751"/>
    <cellStyle name="汇总 2 14 2 8" xfId="4752"/>
    <cellStyle name="计算 2 4 5 8 4" xfId="4753"/>
    <cellStyle name="计算 2 11 4 5 6" xfId="4754"/>
    <cellStyle name="输出 2 10 9 3 3" xfId="4755"/>
    <cellStyle name="输入 2 2 7 7 5" xfId="4756"/>
    <cellStyle name="汇总 2 12 9 5 4 2" xfId="4757"/>
    <cellStyle name="计算 2 6 6 9" xfId="4758"/>
    <cellStyle name="注释 2 9 10 8 3 2" xfId="4759"/>
    <cellStyle name="输入 2 12 6 8" xfId="4760"/>
    <cellStyle name="汇总 2 10 5 14" xfId="4761"/>
    <cellStyle name="输出 2 9 6 3 4 2" xfId="4762"/>
    <cellStyle name="汇总 2 3 3 5" xfId="4763"/>
    <cellStyle name="注释 2 7 11 7 5 2" xfId="4764"/>
    <cellStyle name="输入 2 4 3 4 2" xfId="4765"/>
    <cellStyle name="输出 2 7 10 11 2" xfId="4766"/>
    <cellStyle name="输出 2 8 11 3 3 2" xfId="4767"/>
    <cellStyle name="汇总 2 2 12 2 2" xfId="4768"/>
    <cellStyle name="汇总 2 4 9 2 6" xfId="4769"/>
    <cellStyle name="计算 2 9 8 3 3" xfId="4770"/>
    <cellStyle name="注释 2 12 8 2 8" xfId="4771"/>
    <cellStyle name="计算 2 8 5 3 5 2" xfId="4772"/>
    <cellStyle name="汇总 2 11 8 3 2 2" xfId="4773"/>
    <cellStyle name="输出 2 6 9 4 5 2" xfId="4774"/>
    <cellStyle name="汇总 2 10 5 16" xfId="4775"/>
    <cellStyle name="输入 2 4 3 4 4" xfId="4776"/>
    <cellStyle name="计算 2 11 11 4 5 2" xfId="4777"/>
    <cellStyle name="汇总 2 3 3 7" xfId="4778"/>
    <cellStyle name="汇总 2 10 8 5 4 2" xfId="4779"/>
    <cellStyle name="汇总 2 10 8 9 2" xfId="4780"/>
    <cellStyle name="汇总 2 7 9 3 5" xfId="4781"/>
    <cellStyle name="输出 2 10 2 6 4" xfId="4782"/>
    <cellStyle name="汇总 2 10 5 2 4" xfId="4783"/>
    <cellStyle name="计算 2 7 2 2 7" xfId="4784"/>
    <cellStyle name="输出 2 3 10 14" xfId="4785"/>
    <cellStyle name="汇总 2 7 9 3 6" xfId="4786"/>
    <cellStyle name="输出 2 10 2 6 5" xfId="4787"/>
    <cellStyle name="汇总 2 10 5 2 5" xfId="4788"/>
    <cellStyle name="输入 2 5 2 8 2 2" xfId="4789"/>
    <cellStyle name="计算 2 7 2 2 8" xfId="4790"/>
    <cellStyle name="输出 2 3 10 15" xfId="4791"/>
    <cellStyle name="汇总 2 10 5 2 5 2" xfId="4792"/>
    <cellStyle name="汇总 2 11 4 9" xfId="4793"/>
    <cellStyle name="注释 2 11 16 3 2" xfId="4794"/>
    <cellStyle name="输入 2 12 4 2 5 2" xfId="4795"/>
    <cellStyle name="汇总 2 10 5 2 6" xfId="4796"/>
    <cellStyle name="计算 2 7 2 2 9" xfId="4797"/>
    <cellStyle name="输出 2 3 10 16" xfId="4798"/>
    <cellStyle name="汇总 2 3 11 6 5 2" xfId="4799"/>
    <cellStyle name="输出 2 10 2 6 6" xfId="4800"/>
    <cellStyle name="注释 2 5 2 4 3" xfId="4801"/>
    <cellStyle name="计算 2 2 9 3 6" xfId="4802"/>
    <cellStyle name="输入 2 3 11 3 2 2" xfId="4803"/>
    <cellStyle name="输出 2 3 2 15" xfId="4804"/>
    <cellStyle name="注释 2 2 8 8 2 2" xfId="4805"/>
    <cellStyle name="汇总 2 5 10 7 3 2" xfId="4806"/>
    <cellStyle name="检查单元格 2 4 6 3 2" xfId="4807"/>
    <cellStyle name="注释 2 10 10 2 5 2" xfId="4808"/>
    <cellStyle name="汇总 2 11 3 11" xfId="4809"/>
    <cellStyle name="汇总 2 7 9 4 5 2" xfId="4810"/>
    <cellStyle name="输出 2 10 2 7 4 2" xfId="4811"/>
    <cellStyle name="汇总 2 12 3 9" xfId="4812"/>
    <cellStyle name="汇总 2 10 5 3 4 2" xfId="4813"/>
    <cellStyle name="汇总 2 10 5 2 7" xfId="4814"/>
    <cellStyle name="汇总 2 10 5 2 9" xfId="4815"/>
    <cellStyle name="汇总 2 9 9 3" xfId="4816"/>
    <cellStyle name="汇总 2 11 10 3 5 2" xfId="4817"/>
    <cellStyle name="输出 2 12 12" xfId="4818"/>
    <cellStyle name="输出 2 12 3 5 5 2" xfId="4819"/>
    <cellStyle name="输入 2 5 4 2 7" xfId="4820"/>
    <cellStyle name="汇总 2 7 9 4 4" xfId="4821"/>
    <cellStyle name="输出 2 10 2 7 3" xfId="4822"/>
    <cellStyle name="计算 2 7 2 3 6" xfId="4823"/>
    <cellStyle name="汇总 2 2 3 2 9" xfId="4824"/>
    <cellStyle name="汇总 2 10 5 3 3" xfId="4825"/>
    <cellStyle name="输出 2 5 6 4 6" xfId="4826"/>
    <cellStyle name="汇总 2 7 9 4 4 2" xfId="4827"/>
    <cellStyle name="输出 2 10 2 7 3 2" xfId="4828"/>
    <cellStyle name="汇总 2 12 2 9" xfId="4829"/>
    <cellStyle name="汇总 2 10 5 3 3 2" xfId="4830"/>
    <cellStyle name="输入 2 5 4 2 9" xfId="4831"/>
    <cellStyle name="汇总 2 7 9 4 6" xfId="4832"/>
    <cellStyle name="输出 2 10 2 7 5" xfId="4833"/>
    <cellStyle name="汇总 2 10 5 3 5" xfId="4834"/>
    <cellStyle name="汇总 2 12 4 9" xfId="4835"/>
    <cellStyle name="汇总 2 10 5 3 5 2" xfId="4836"/>
    <cellStyle name="注释 2 11 16 4 2" xfId="4837"/>
    <cellStyle name="汇总 2 10 5 3 6" xfId="4838"/>
    <cellStyle name="注释 2 5 2 5 3" xfId="4839"/>
    <cellStyle name="计算 2 2 9 4 6" xfId="4840"/>
    <cellStyle name="注释 2 2 8 8 3 2" xfId="4841"/>
    <cellStyle name="汇总 2 5 10 7 4 2" xfId="4842"/>
    <cellStyle name="检查单元格 2 4 6 4 2" xfId="4843"/>
    <cellStyle name="汇总 2 7 9 5 4" xfId="4844"/>
    <cellStyle name="输出 2 10 2 8 3" xfId="4845"/>
    <cellStyle name="注释 2 2 12 2 2" xfId="4846"/>
    <cellStyle name="计算 2 7 2 4 6" xfId="4847"/>
    <cellStyle name="汇总 2 10 5 4 3" xfId="4848"/>
    <cellStyle name="输出 2 5 6 5 6" xfId="4849"/>
    <cellStyle name="汇总 2 2 3 6" xfId="4850"/>
    <cellStyle name="汇总 2 7 9 5 4 2" xfId="4851"/>
    <cellStyle name="输出 2 10 2 8 3 2" xfId="4852"/>
    <cellStyle name="汇总 2 13 2 9" xfId="4853"/>
    <cellStyle name="汇总 2 10 5 4 3 2" xfId="4854"/>
    <cellStyle name="输出 2 11 17 6" xfId="4855"/>
    <cellStyle name="汇总 2 10 6 2 7" xfId="4856"/>
    <cellStyle name="汇总 2 2 4 6" xfId="4857"/>
    <cellStyle name="注释 2 10 10 3 5 2" xfId="4858"/>
    <cellStyle name="汇总 2 11 8 11" xfId="4859"/>
    <cellStyle name="汇总 2 7 9 5 5 2" xfId="4860"/>
    <cellStyle name="输出 2 10 2 8 4 2" xfId="4861"/>
    <cellStyle name="汇总 2 10 5 4 4 2" xfId="4862"/>
    <cellStyle name="输出 2 11 18 6" xfId="4863"/>
    <cellStyle name="汇总 2 7 9 5 6" xfId="4864"/>
    <cellStyle name="输出 2 10 2 8 5" xfId="4865"/>
    <cellStyle name="汇总 2 10 5 4 5" xfId="4866"/>
    <cellStyle name="注释 2 5 2 6 2" xfId="4867"/>
    <cellStyle name="计算 2 2 9 5 5" xfId="4868"/>
    <cellStyle name="汇总 2 3 3 10" xfId="4869"/>
    <cellStyle name="输入 2 4 2 6 3" xfId="4870"/>
    <cellStyle name="计算 2 4 5 2 2 2" xfId="4871"/>
    <cellStyle name="汇总 2 2 5 6" xfId="4872"/>
    <cellStyle name="输出 2 2 9 3 2 2" xfId="4873"/>
    <cellStyle name="汇总 2 10 5 4 5 2" xfId="4874"/>
    <cellStyle name="注释 2 5 2 6 2 2" xfId="4875"/>
    <cellStyle name="计算 2 2 9 5 5 2" xfId="4876"/>
    <cellStyle name="汇总 2 3 3 10 2" xfId="4877"/>
    <cellStyle name="输出 2 10 8 5 4" xfId="4878"/>
    <cellStyle name="注释 2 11 16 5 2" xfId="4879"/>
    <cellStyle name="汇总 2 10 5 4 6" xfId="4880"/>
    <cellStyle name="注释 2 5 2 6 3" xfId="4881"/>
    <cellStyle name="计算 2 2 9 5 6" xfId="4882"/>
    <cellStyle name="注释 2 2 8 8 4 2" xfId="4883"/>
    <cellStyle name="汇总 2 3 3 11" xfId="4884"/>
    <cellStyle name="汇总 2 5 10 7 5 2" xfId="4885"/>
    <cellStyle name="检查单元格 2 4 6 5 2" xfId="4886"/>
    <cellStyle name="汇总 2 7 9 7 4" xfId="4887"/>
    <cellStyle name="注释 2 2 12 4 2" xfId="4888"/>
    <cellStyle name="计算 2 7 2 6 6" xfId="4889"/>
    <cellStyle name="输出 2 3 5 3 3 2" xfId="4890"/>
    <cellStyle name="汇总 2 10 5 6 3" xfId="4891"/>
    <cellStyle name="输出 2 5 6 7 6" xfId="4892"/>
    <cellStyle name="汇总 2 7 9 7 6" xfId="4893"/>
    <cellStyle name="汇总 2 10 5 6 5" xfId="4894"/>
    <cellStyle name="汇总 2 10 5 6 6" xfId="4895"/>
    <cellStyle name="输出 2 3 3 12" xfId="4896"/>
    <cellStyle name="输入 2 12 3 4" xfId="4897"/>
    <cellStyle name="输入 2 11 11 4 6" xfId="4898"/>
    <cellStyle name="计算 2 2 9 8 3" xfId="4899"/>
    <cellStyle name="输出 2 7 11 5 5 2" xfId="4900"/>
    <cellStyle name="汇总 2 3 10 8" xfId="4901"/>
    <cellStyle name="汇总 2 7 9 8 4" xfId="4902"/>
    <cellStyle name="注释 2 10 10 6 4" xfId="4903"/>
    <cellStyle name="输出 2 9 10 6 3 2" xfId="4904"/>
    <cellStyle name="汇总 2 5 8 3 2 2" xfId="4905"/>
    <cellStyle name="汇总 2 10 5 7 3" xfId="4906"/>
    <cellStyle name="注释 2 2 12 5 2" xfId="4907"/>
    <cellStyle name="计算 2 7 2 7 6" xfId="4908"/>
    <cellStyle name="输出 2 3 11 13" xfId="4909"/>
    <cellStyle name="输出 2 3 5 3 4 2" xfId="4910"/>
    <cellStyle name="汇总 2 7 9 8 5" xfId="4911"/>
    <cellStyle name="汇总 2 10 5 7 4" xfId="4912"/>
    <cellStyle name="输出 2 3 11 14" xfId="4913"/>
    <cellStyle name="输入 2 12 3 5" xfId="4914"/>
    <cellStyle name="计算 2 2 9 8 4" xfId="4915"/>
    <cellStyle name="计算 2 11 8 12 2" xfId="4916"/>
    <cellStyle name="输出 2 3 3 13" xfId="4917"/>
    <cellStyle name="汇总 2 3 10 9" xfId="4918"/>
    <cellStyle name="汇总 2 10 5 7 5" xfId="4919"/>
    <cellStyle name="输出 2 3 11 15" xfId="4920"/>
    <cellStyle name="汇总 2 17 6 5" xfId="4921"/>
    <cellStyle name="汇总 2 12 10 7" xfId="4922"/>
    <cellStyle name="汇总 2 11 6 7 2 2" xfId="4923"/>
    <cellStyle name="计算 2 8 3 7 5 2" xfId="4924"/>
    <cellStyle name="输入 2 2 3 13" xfId="4925"/>
    <cellStyle name="计算 2 10 9 5 4 2" xfId="4926"/>
    <cellStyle name="汇总 2 6 7 2" xfId="4927"/>
    <cellStyle name="汇总 2 10 5 7 6" xfId="4928"/>
    <cellStyle name="输出 2 3 11 16" xfId="4929"/>
    <cellStyle name="汇总 2 9 8 7 6" xfId="4930"/>
    <cellStyle name="汇总 2 10 5 8 2 2" xfId="4931"/>
    <cellStyle name="输出 2 11 10 11 2" xfId="4932"/>
    <cellStyle name="注释 2 10 10 7 3 2" xfId="4933"/>
    <cellStyle name="汇总 2 12 4 6 5" xfId="4934"/>
    <cellStyle name="计算 2 4 8 7 5" xfId="4935"/>
    <cellStyle name="汇总 2 3 11 7 2" xfId="4936"/>
    <cellStyle name="汇总 2 3 11 8" xfId="4937"/>
    <cellStyle name="汇总 2 10 5 8 3" xfId="4938"/>
    <cellStyle name="输出 2 11 10 12" xfId="4939"/>
    <cellStyle name="输出 2 3 5 3 5 2" xfId="4940"/>
    <cellStyle name="注释 2 10 10 7 4" xfId="4941"/>
    <cellStyle name="输出 2 9 10 6 4 2" xfId="4942"/>
    <cellStyle name="汇总 2 5 8 3 3 2" xfId="4943"/>
    <cellStyle name="注释 2 10 10 7 4 2" xfId="4944"/>
    <cellStyle name="汇总 2 12 4 7 5" xfId="4945"/>
    <cellStyle name="汇总 2 10 5 8 3 2" xfId="4946"/>
    <cellStyle name="输出 2 11 10 12 2" xfId="4947"/>
    <cellStyle name="计算 2 4 8 8 5" xfId="4948"/>
    <cellStyle name="汇总 2 3 11 8 2" xfId="4949"/>
    <cellStyle name="汇总 2 10 5 8 4" xfId="4950"/>
    <cellStyle name="输出 2 11 10 13" xfId="4951"/>
    <cellStyle name="汇总 2 3 11 9" xfId="4952"/>
    <cellStyle name="汇总 2 3 4 3 2 2" xfId="4953"/>
    <cellStyle name="注释 2 10 10 7 5 2" xfId="4954"/>
    <cellStyle name="汇总 2 12 4 8 5" xfId="4955"/>
    <cellStyle name="汇总 2 12 3 11" xfId="4956"/>
    <cellStyle name="汇总 2 10 5 8 4 2" xfId="4957"/>
    <cellStyle name="检查单元格 2 3 15" xfId="4958"/>
    <cellStyle name="检查单元格 2 3 20" xfId="4959"/>
    <cellStyle name="计算 2 4 7 16" xfId="4960"/>
    <cellStyle name="汇总 2 3 11 9 2" xfId="4961"/>
    <cellStyle name="输入 2 6 6 14" xfId="4962"/>
    <cellStyle name="汇总 2 8 8 5 6" xfId="4963"/>
    <cellStyle name="汇总 2 10 6" xfId="4964"/>
    <cellStyle name="汇总 2 11 4 4 5" xfId="4965"/>
    <cellStyle name="计算 2 7 4 6 5 2" xfId="4966"/>
    <cellStyle name="汇总 2 10 7 6 2 2" xfId="4967"/>
    <cellStyle name="检查单元格 2 10 3 7" xfId="4968"/>
    <cellStyle name="输出 2 5 8 7 5 2" xfId="4969"/>
    <cellStyle name="输出 2 9 8 5 5" xfId="4970"/>
    <cellStyle name="计算 2 10 10 8 2" xfId="4971"/>
    <cellStyle name="汇总 2 14 7 4 2" xfId="4972"/>
    <cellStyle name="输入 2 6 5 5" xfId="4973"/>
    <cellStyle name="汇总 2 12 5 15" xfId="4974"/>
    <cellStyle name="汇总 2 4 11 7 5" xfId="4975"/>
    <cellStyle name="输入 2 4 11 4 2" xfId="4976"/>
    <cellStyle name="汇总 2 10 6 10 2" xfId="4977"/>
    <cellStyle name="计算 2 8 10 6 3 2" xfId="4978"/>
    <cellStyle name="注释 2 8 6 8 2 2" xfId="4979"/>
    <cellStyle name="注释 2 7 8 9 2" xfId="4980"/>
    <cellStyle name="输入 2 10 9 15" xfId="4981"/>
    <cellStyle name="汇总 2 6 10 8 3" xfId="4982"/>
    <cellStyle name="注释 2 2 14 4 2" xfId="4983"/>
    <cellStyle name="计算 2 7 4 6 6" xfId="4984"/>
    <cellStyle name="输出 2 3 5 5 3 2" xfId="4985"/>
    <cellStyle name="汇总 2 10 7 6 3" xfId="4986"/>
    <cellStyle name="输出 2 5 8 7 6" xfId="4987"/>
    <cellStyle name="汇总 2 7 3 2 9" xfId="4988"/>
    <cellStyle name="计算 2 10 10 9" xfId="4989"/>
    <cellStyle name="汇总 2 14 7 5" xfId="4990"/>
    <cellStyle name="输入 2 4 11 5" xfId="4991"/>
    <cellStyle name="汇总 2 10 6 11" xfId="4992"/>
    <cellStyle name="汇总 2 11 6 4 3 2" xfId="4993"/>
    <cellStyle name="计算 2 8 10 6 4" xfId="4994"/>
    <cellStyle name="计算 2 10 9 2 5 2" xfId="4995"/>
    <cellStyle name="汇总 2 3 8 2" xfId="4996"/>
    <cellStyle name="计算 2 6 11 5 6" xfId="4997"/>
    <cellStyle name="汇总 2 9 11 13" xfId="4998"/>
    <cellStyle name="汇总 2 10 7 6 3 2" xfId="4999"/>
    <cellStyle name="检查单元格 2 10 4 7" xfId="5000"/>
    <cellStyle name="输出 2 9 8 6 5" xfId="5001"/>
    <cellStyle name="计算 2 10 10 9 2" xfId="5002"/>
    <cellStyle name="汇总 2 14 7 5 2" xfId="5003"/>
    <cellStyle name="输入 2 4 11 5 2" xfId="5004"/>
    <cellStyle name="汇总 2 10 6 11 2" xfId="5005"/>
    <cellStyle name="计算 2 8 10 6 4 2" xfId="5006"/>
    <cellStyle name="汇总 2 3 8 2 2" xfId="5007"/>
    <cellStyle name="汇总 2 4 11 8 5" xfId="5008"/>
    <cellStyle name="汇总 2 10 7 6 4" xfId="5009"/>
    <cellStyle name="汇总 2 14 7 6" xfId="5010"/>
    <cellStyle name="输入 2 4 11 6" xfId="5011"/>
    <cellStyle name="汇总 2 10 6 12" xfId="5012"/>
    <cellStyle name="计算 2 8 10 6 5" xfId="5013"/>
    <cellStyle name="汇总 2 3 8 3" xfId="5014"/>
    <cellStyle name="输出 2 4 3 5 5 2" xfId="5015"/>
    <cellStyle name="汇总 2 6 6 5 3 2" xfId="5016"/>
    <cellStyle name="输出 2 5 9 12 2" xfId="5017"/>
    <cellStyle name="汇总 2 10 7 6 4 2" xfId="5018"/>
    <cellStyle name="检查单元格 2 10 5 7" xfId="5019"/>
    <cellStyle name="汇总 2 4 5 16" xfId="5020"/>
    <cellStyle name="输出 2 11 3 13" xfId="5021"/>
    <cellStyle name="输入 2 4 11 6 2" xfId="5022"/>
    <cellStyle name="汇总 2 10 6 12 2" xfId="5023"/>
    <cellStyle name="计算 2 8 10 6 5 2" xfId="5024"/>
    <cellStyle name="计算 2 12 3 13" xfId="5025"/>
    <cellStyle name="汇总 2 3 8 3 2" xfId="5026"/>
    <cellStyle name="输出 2 2 12" xfId="5027"/>
    <cellStyle name="输入 2 4 11 9" xfId="5028"/>
    <cellStyle name="汇总 2 10 6 15" xfId="5029"/>
    <cellStyle name="计算 2 4 5 3 5 2" xfId="5030"/>
    <cellStyle name="输出 2 7 9 2 4" xfId="5031"/>
    <cellStyle name="汇总 2 3 8 6" xfId="5032"/>
    <cellStyle name="输出 2 2 9 4 5 2" xfId="5033"/>
    <cellStyle name="汇总 2 2 8 4 2 2" xfId="5034"/>
    <cellStyle name="汇总 2 10 6 16" xfId="5035"/>
    <cellStyle name="汇总 2 11 12 3 2" xfId="5036"/>
    <cellStyle name="输出 2 12 5 5 2" xfId="5037"/>
    <cellStyle name="输出 2 7 9 2 5" xfId="5038"/>
    <cellStyle name="汇总 2 3 8 7" xfId="5039"/>
    <cellStyle name="计算 2 3 8 5 5 2" xfId="5040"/>
    <cellStyle name="计算 2 6 11 16" xfId="5041"/>
    <cellStyle name="汇总 2 2 6 2 3" xfId="5042"/>
    <cellStyle name="汇总 2 10 6 2" xfId="5043"/>
    <cellStyle name="汇总 2 11 4 4 5 2" xfId="5044"/>
    <cellStyle name="输入 2 11 9 5 3" xfId="5045"/>
    <cellStyle name="输出 2 10 3 6" xfId="5046"/>
    <cellStyle name="汇总 2 2 6 2 3 2" xfId="5047"/>
    <cellStyle name="输出 2 3 7 11" xfId="5048"/>
    <cellStyle name="计算 2 7 3 2 5" xfId="5049"/>
    <cellStyle name="汇总 2 10 6 2 2" xfId="5050"/>
    <cellStyle name="输出 2 5 7 3 5" xfId="5051"/>
    <cellStyle name="计算 2 7 3 2 5 2" xfId="5052"/>
    <cellStyle name="汇总 2 10 6 2 2 2" xfId="5053"/>
    <cellStyle name="输出 2 5 7 3 5 2" xfId="5054"/>
    <cellStyle name="输入 2 3 4 6 6" xfId="5055"/>
    <cellStyle name="汇总 2 5 9 8 3" xfId="5056"/>
    <cellStyle name="输出 2 3 7 11 2" xfId="5057"/>
    <cellStyle name="计算 2 7 3 2 6" xfId="5058"/>
    <cellStyle name="汇总 2 10 6 2 3" xfId="5059"/>
    <cellStyle name="输出 2 5 7 3 6" xfId="5060"/>
    <cellStyle name="汇总 2 10 6 2 3 2" xfId="5061"/>
    <cellStyle name="汇总 2 9 5 16" xfId="5062"/>
    <cellStyle name="汇总 2 10 8 6 4 2" xfId="5063"/>
    <cellStyle name="汇总 2 10 9 9 2" xfId="5064"/>
    <cellStyle name="汇总 2 10 6 2 4" xfId="5065"/>
    <cellStyle name="计算 2 7 3 2 7" xfId="5066"/>
    <cellStyle name="汇总 2 3 2 11 2" xfId="5067"/>
    <cellStyle name="输出 2 10 3 6 4" xfId="5068"/>
    <cellStyle name="汇总 2 10 6 2 4 2" xfId="5069"/>
    <cellStyle name="输出 2 8 8 2 3 2" xfId="5070"/>
    <cellStyle name="汇总 2 10 6 2 5" xfId="5071"/>
    <cellStyle name="计算 2 7 3 2 8" xfId="5072"/>
    <cellStyle name="注释 2 11 17 3 2" xfId="5073"/>
    <cellStyle name="输入 2 12 4 3 5 2" xfId="5074"/>
    <cellStyle name="汇总 2 10 6 2 6" xfId="5075"/>
    <cellStyle name="计算 2 7 3 2 9" xfId="5076"/>
    <cellStyle name="汇总 2 3 11 7 5 2" xfId="5077"/>
    <cellStyle name="输出 2 10 3 6 6" xfId="5078"/>
    <cellStyle name="汇总 2 5 10 8 3 2" xfId="5079"/>
    <cellStyle name="检查单元格 2 4 7 3 2" xfId="5080"/>
    <cellStyle name="输出 2 6 4 2 2 2" xfId="5081"/>
    <cellStyle name="汇总 2 12 6 2 5 2" xfId="5082"/>
    <cellStyle name="输出 2 12 3 6 5 2" xfId="5083"/>
    <cellStyle name="汇总 2 11 10 4 5 2" xfId="5084"/>
    <cellStyle name="输出 2 17 12" xfId="5085"/>
    <cellStyle name="汇总 2 10 6 2 9" xfId="5086"/>
    <cellStyle name="汇总 2 2 6 2 4 2" xfId="5087"/>
    <cellStyle name="注释 2 2 2 13" xfId="5088"/>
    <cellStyle name="计算 2 7 3 3 5" xfId="5089"/>
    <cellStyle name="汇总 2 2 4 2 8" xfId="5090"/>
    <cellStyle name="汇总 2 10 6 3 2" xfId="5091"/>
    <cellStyle name="输出 2 5 7 4 5" xfId="5092"/>
    <cellStyle name="注释 2 2 2 14" xfId="5093"/>
    <cellStyle name="计算 2 7 3 3 6" xfId="5094"/>
    <cellStyle name="汇总 2 2 4 2 9" xfId="5095"/>
    <cellStyle name="汇总 2 10 6 3 3" xfId="5096"/>
    <cellStyle name="输出 2 5 7 4 6" xfId="5097"/>
    <cellStyle name="汇总 2 10 6 3 4 2" xfId="5098"/>
    <cellStyle name="输出 2 8 8 2 4 2" xfId="5099"/>
    <cellStyle name="汇总 2 10 6 3 5" xfId="5100"/>
    <cellStyle name="汇总 2 10 6 3 5 2" xfId="5101"/>
    <cellStyle name="注释 2 11 17 4 2" xfId="5102"/>
    <cellStyle name="汇总 2 10 6 3 6" xfId="5103"/>
    <cellStyle name="汇总 2 5 10 8 4 2" xfId="5104"/>
    <cellStyle name="检查单元格 2 4 7 4 2" xfId="5105"/>
    <cellStyle name="输出 2 6 4 2 3 2" xfId="5106"/>
    <cellStyle name="汇总 2 16 9" xfId="5107"/>
    <cellStyle name="计算 2 9 10 8 2 2" xfId="5108"/>
    <cellStyle name="输出 2 5 4 6 2" xfId="5109"/>
    <cellStyle name="输入 2 8 10 3 6" xfId="5110"/>
    <cellStyle name="计算 2 3 10 6 4" xfId="5111"/>
    <cellStyle name="汇总 2 10 6 4 3 2" xfId="5112"/>
    <cellStyle name="汇总 2 17 9" xfId="5113"/>
    <cellStyle name="计算 2 9 10 8 3 2" xfId="5114"/>
    <cellStyle name="输出 2 5 4 7 2" xfId="5115"/>
    <cellStyle name="输入 2 8 10 4 6" xfId="5116"/>
    <cellStyle name="计算 2 3 10 7 4" xfId="5117"/>
    <cellStyle name="汇总 2 10 6 4 4 2" xfId="5118"/>
    <cellStyle name="输出 2 8 8 2 5 2" xfId="5119"/>
    <cellStyle name="汇总 2 10 6 4 5" xfId="5120"/>
    <cellStyle name="汇总 2 3 8 10" xfId="5121"/>
    <cellStyle name="输出 2 2 7" xfId="5122"/>
    <cellStyle name="输入 2 8 10 5 6" xfId="5123"/>
    <cellStyle name="计算 2 3 10 8 4" xfId="5124"/>
    <cellStyle name="汇总 2 10 6 4 5 2" xfId="5125"/>
    <cellStyle name="汇总 2 3 8 10 2" xfId="5126"/>
    <cellStyle name="输出 2 11 8 5 4" xfId="5127"/>
    <cellStyle name="输出 2 2 7 2" xfId="5128"/>
    <cellStyle name="注释 2 11 17 5 2" xfId="5129"/>
    <cellStyle name="汇总 2 10 6 4 6" xfId="5130"/>
    <cellStyle name="注释 2 5 3 6 3" xfId="5131"/>
    <cellStyle name="汇总 2 8 7 2 2 2" xfId="5132"/>
    <cellStyle name="汇总 2 3 8 11" xfId="5133"/>
    <cellStyle name="输出 2 2 8" xfId="5134"/>
    <cellStyle name="检查单元格 2 4 7 5 2" xfId="5135"/>
    <cellStyle name="输出 2 6 4 2 4 2" xfId="5136"/>
    <cellStyle name="汇总 2 2 2 3 5" xfId="5137"/>
    <cellStyle name="输出 2 5 5 5 2" xfId="5138"/>
    <cellStyle name="计算 2 7 3 5 5 2" xfId="5139"/>
    <cellStyle name="输入 2 8 11 2 6" xfId="5140"/>
    <cellStyle name="计算 2 3 11 5 4" xfId="5141"/>
    <cellStyle name="汇总 2 10 6 5 2 2" xfId="5142"/>
    <cellStyle name="输出 2 4 18 4" xfId="5143"/>
    <cellStyle name="输出 2 5 7 6 5 2" xfId="5144"/>
    <cellStyle name="注释 2 2 13 3 2" xfId="5145"/>
    <cellStyle name="计算 2 7 3 5 6" xfId="5146"/>
    <cellStyle name="输出 2 3 5 4 2 2" xfId="5147"/>
    <cellStyle name="汇总 2 10 6 5 3" xfId="5148"/>
    <cellStyle name="输出 2 5 7 6 6" xfId="5149"/>
    <cellStyle name="计算 2 5 10 7" xfId="5150"/>
    <cellStyle name="汇总 2 10 9 10" xfId="5151"/>
    <cellStyle name="输出 2 7 11 6 3 2" xfId="5152"/>
    <cellStyle name="输入 2 5 3 4 3" xfId="5153"/>
    <cellStyle name="计算 2 2 3 11" xfId="5154"/>
    <cellStyle name="汇总 2 2 2 4 5" xfId="5155"/>
    <cellStyle name="输出 2 5 5 6 2" xfId="5156"/>
    <cellStyle name="输入 2 8 11 3 6" xfId="5157"/>
    <cellStyle name="计算 2 3 11 6 4" xfId="5158"/>
    <cellStyle name="汇总 2 10 6 5 3 2" xfId="5159"/>
    <cellStyle name="输出 2 4 19 4" xfId="5160"/>
    <cellStyle name="计算 2 5 10 7 2" xfId="5161"/>
    <cellStyle name="汇总 2 10 9 10 2" xfId="5162"/>
    <cellStyle name="输入 2 2 8 2 2 2" xfId="5163"/>
    <cellStyle name="汇总 2 2 2 5 5" xfId="5164"/>
    <cellStyle name="输出 2 5 5 7 2" xfId="5165"/>
    <cellStyle name="输入 2 8 11 4 6" xfId="5166"/>
    <cellStyle name="计算 2 3 11 7 4" xfId="5167"/>
    <cellStyle name="汇总 2 10 6 5 4 2" xfId="5168"/>
    <cellStyle name="计算 2 5 10 8 2" xfId="5169"/>
    <cellStyle name="汇总 2 10 9 11 2" xfId="5170"/>
    <cellStyle name="汇总 2 9 8 11 2" xfId="5171"/>
    <cellStyle name="汇总 2 9 6 3 3" xfId="5172"/>
    <cellStyle name="注释 2 13 9" xfId="5173"/>
    <cellStyle name="汇总 2 7 10 10" xfId="5174"/>
    <cellStyle name="注释 2 6 8 6 3 2" xfId="5175"/>
    <cellStyle name="输出 2 7 3 3 5" xfId="5176"/>
    <cellStyle name="汇总 2 12 2 2 2" xfId="5177"/>
    <cellStyle name="汇总 2 10 6 5 5" xfId="5178"/>
    <cellStyle name="注释 2 5 3 7 2" xfId="5179"/>
    <cellStyle name="计算 2 5 10 9" xfId="5180"/>
    <cellStyle name="汇总 2 10 9 12" xfId="5181"/>
    <cellStyle name="输入 2 5 3 6 3" xfId="5182"/>
    <cellStyle name="计算 2 4 6 3 2 2" xfId="5183"/>
    <cellStyle name="输入 2 2 8 2 3 2" xfId="5184"/>
    <cellStyle name="汇总 2 2 2 6 5" xfId="5185"/>
    <cellStyle name="输出 2 5 5 8 2" xfId="5186"/>
    <cellStyle name="汇总 2 9 6 3 3 2" xfId="5187"/>
    <cellStyle name="注释 2 13 9 2" xfId="5188"/>
    <cellStyle name="汇总 2 7 10 10 2" xfId="5189"/>
    <cellStyle name="输出 2 7 3 3 5 2" xfId="5190"/>
    <cellStyle name="汇总 2 12 2 2 2 2" xfId="5191"/>
    <cellStyle name="输入 2 8 11 5 6" xfId="5192"/>
    <cellStyle name="计算 2 3 11 8 4" xfId="5193"/>
    <cellStyle name="汇总 2 10 6 5 5 2" xfId="5194"/>
    <cellStyle name="注释 2 5 3 7 2 2" xfId="5195"/>
    <cellStyle name="计算 2 5 10 9 2" xfId="5196"/>
    <cellStyle name="汇总 2 10 9 12 2" xfId="5197"/>
    <cellStyle name="注释 2 2 13 4 2" xfId="5198"/>
    <cellStyle name="计算 2 7 3 6 6" xfId="5199"/>
    <cellStyle name="输出 2 3 5 4 3 2" xfId="5200"/>
    <cellStyle name="汇总 2 10 6 6 3" xfId="5201"/>
    <cellStyle name="输出 2 5 7 7 6" xfId="5202"/>
    <cellStyle name="汇总 2 10 6 6 4" xfId="5203"/>
    <cellStyle name="汇总 2 9 8 12 2" xfId="5204"/>
    <cellStyle name="汇总 2 9 6 4 3" xfId="5205"/>
    <cellStyle name="注释 2 6 8 6 4 2" xfId="5206"/>
    <cellStyle name="输出 2 7 3 4 5" xfId="5207"/>
    <cellStyle name="汇总 2 12 2 3 2" xfId="5208"/>
    <cellStyle name="汇总 2 10 6 6 5" xfId="5209"/>
    <cellStyle name="计算 2 7 3 4 2" xfId="5210"/>
    <cellStyle name="汇总 2 2 4 3 5" xfId="5211"/>
    <cellStyle name="输出 2 5 7 5 2" xfId="5212"/>
    <cellStyle name="汇总 2 10 6 7 2 2" xfId="5213"/>
    <cellStyle name="计算 2 7 3 7 5 2" xfId="5214"/>
    <cellStyle name="汇总 2 10 6 7 3" xfId="5215"/>
    <cellStyle name="注释 2 2 13 5 2" xfId="5216"/>
    <cellStyle name="计算 2 7 3 7 6" xfId="5217"/>
    <cellStyle name="输出 2 3 5 4 4 2" xfId="5218"/>
    <cellStyle name="注释 2 10 11 6 4" xfId="5219"/>
    <cellStyle name="输入 2 3 3 2 5 2" xfId="5220"/>
    <cellStyle name="输出 2 9 10 7 3 2" xfId="5221"/>
    <cellStyle name="汇总 2 5 8 4 2 2" xfId="5222"/>
    <cellStyle name="输入 2 5 5 4 3" xfId="5223"/>
    <cellStyle name="计算 2 11 5 2 2 2" xfId="5224"/>
    <cellStyle name="汇总 2 11 27" xfId="5225"/>
    <cellStyle name="计算 2 7 3 5 2" xfId="5226"/>
    <cellStyle name="汇总 2 2 4 4 5" xfId="5227"/>
    <cellStyle name="输出 2 5 7 6 2" xfId="5228"/>
    <cellStyle name="汇总 2 10 6 7 3 2" xfId="5229"/>
    <cellStyle name="汇总 2 10 6 7 4" xfId="5230"/>
    <cellStyle name="输入 2 5 5 5 3" xfId="5231"/>
    <cellStyle name="计算 2 11 5 2 3 2" xfId="5232"/>
    <cellStyle name="计算 2 7 3 6 2" xfId="5233"/>
    <cellStyle name="输入 2 2 8 4 2 2" xfId="5234"/>
    <cellStyle name="汇总 2 2 4 5 5" xfId="5235"/>
    <cellStyle name="输出 2 5 7 7 2" xfId="5236"/>
    <cellStyle name="汇总 2 10 6 7 4 2" xfId="5237"/>
    <cellStyle name="计算 2 10 7 10" xfId="5238"/>
    <cellStyle name="汇总 2 9 6 5 3" xfId="5239"/>
    <cellStyle name="注释 2 6 8 6 5 2" xfId="5240"/>
    <cellStyle name="输出 2 7 3 5 5" xfId="5241"/>
    <cellStyle name="汇总 2 12 2 4 2" xfId="5242"/>
    <cellStyle name="汇总 2 10 6 7 5" xfId="5243"/>
    <cellStyle name="输入 2 5 5 6 3" xfId="5244"/>
    <cellStyle name="计算 2 4 6 5 2 2" xfId="5245"/>
    <cellStyle name="计算 2 11 5 2 4 2" xfId="5246"/>
    <cellStyle name="计算 2 7 3 7 2" xfId="5247"/>
    <cellStyle name="输入 2 2 8 4 3 2" xfId="5248"/>
    <cellStyle name="汇总 2 2 4 6 5" xfId="5249"/>
    <cellStyle name="输出 2 5 7 8 2" xfId="5250"/>
    <cellStyle name="计算 2 10 7 10 2" xfId="5251"/>
    <cellStyle name="汇总 2 9 6 5 3 2" xfId="5252"/>
    <cellStyle name="输出 2 7 3 5 5 2" xfId="5253"/>
    <cellStyle name="汇总 2 12 2 4 2 2" xfId="5254"/>
    <cellStyle name="输入 2 11 12 4 2" xfId="5255"/>
    <cellStyle name="计算 2 5 12 3" xfId="5256"/>
    <cellStyle name="汇总 2 10 6 7 5 2" xfId="5257"/>
    <cellStyle name="输入 2 6 5 10 2" xfId="5258"/>
    <cellStyle name="计算 2 3 8 5 6" xfId="5259"/>
    <cellStyle name="计算 2 10 7 2 8" xfId="5260"/>
    <cellStyle name="注释 2 2 9 7 4 2" xfId="5261"/>
    <cellStyle name="汇总 2 5 11 6 5 2" xfId="5262"/>
    <cellStyle name="检查单元格 2 5 5 5 2" xfId="5263"/>
    <cellStyle name="输入 2 6 6 15" xfId="5264"/>
    <cellStyle name="输入 2 5 11 3 2 2" xfId="5265"/>
    <cellStyle name="汇总 2 10 7" xfId="5266"/>
    <cellStyle name="汇总 2 11 4 4 6" xfId="5267"/>
    <cellStyle name="汇总 2 7 10 7 3 2" xfId="5268"/>
    <cellStyle name="计算 2 3 9 9 2" xfId="5269"/>
    <cellStyle name="计算 2 10 8 6 4" xfId="5270"/>
    <cellStyle name="汇总 2 10 9 2 3 2" xfId="5271"/>
    <cellStyle name="计算 2 12 11 4 2" xfId="5272"/>
    <cellStyle name="汇总 2 8 11 7" xfId="5273"/>
    <cellStyle name="检查单元格 2 9 3 2 2 2" xfId="5274"/>
    <cellStyle name="输出 2 10 6 6 3 2" xfId="5275"/>
    <cellStyle name="汇总 2 11 5 8 2" xfId="5276"/>
    <cellStyle name="计算 2 8 2 8 5" xfId="5277"/>
    <cellStyle name="汇总 2 17 14" xfId="5278"/>
    <cellStyle name="汇总 2 8 6 2 5" xfId="5279"/>
    <cellStyle name="汇总 2 10 7 12 2" xfId="5280"/>
    <cellStyle name="检查单元格 2 3 7 8" xfId="5281"/>
    <cellStyle name="输出 2 6 3 2 7" xfId="5282"/>
    <cellStyle name="输入 2 7 7 5 2 2" xfId="5283"/>
    <cellStyle name="计算 2 3 6 2 4" xfId="5284"/>
    <cellStyle name="汇总 2 4 6 5 4 2" xfId="5285"/>
    <cellStyle name="计算 2 12 11 5" xfId="5286"/>
    <cellStyle name="检查单元格 2 4 6 3 2 2" xfId="5287"/>
    <cellStyle name="检查单元格 2 9 3 2 3" xfId="5288"/>
    <cellStyle name="输出 2 10 6 6 4" xfId="5289"/>
    <cellStyle name="注释 2 5 2 4 3 2" xfId="5290"/>
    <cellStyle name="汇总 2 10 9 2 4" xfId="5291"/>
    <cellStyle name="计算 2 7 6 2 7" xfId="5292"/>
    <cellStyle name="汇总 2 11 5 9" xfId="5293"/>
    <cellStyle name="输入 2 7 3 5 5 2" xfId="5294"/>
    <cellStyle name="汇总 2 9 8 7 2 2" xfId="5295"/>
    <cellStyle name="输出 2 7 5 7 4 2" xfId="5296"/>
    <cellStyle name="汇总 2 10 7 13" xfId="5297"/>
    <cellStyle name="输入 2 7 7 5 3" xfId="5298"/>
    <cellStyle name="计算 2 11 7 4 3 2" xfId="5299"/>
    <cellStyle name="输出 2 7 9 7 2" xfId="5300"/>
    <cellStyle name="汇总 2 4 6 5 5" xfId="5301"/>
    <cellStyle name="计算 2 9 5 6 2" xfId="5302"/>
    <cellStyle name="计算 2 12 6 6 3 2" xfId="5303"/>
    <cellStyle name="计算 2 9 2 12 2" xfId="5304"/>
    <cellStyle name="输入 2 3 9 8 2 2" xfId="5305"/>
    <cellStyle name="汇总 2 11 6 2 8" xfId="5306"/>
    <cellStyle name="汇总 2 2 6 3 3" xfId="5307"/>
    <cellStyle name="输入 2 7 7 15" xfId="5308"/>
    <cellStyle name="检查单元格 2 5 5 5 2 2" xfId="5309"/>
    <cellStyle name="汇总 2 10 7 2" xfId="5310"/>
    <cellStyle name="汇总 2 11 2 16" xfId="5311"/>
    <cellStyle name="汇总 2 10 7 2 3 2" xfId="5312"/>
    <cellStyle name="汇总 2 4 6 9" xfId="5313"/>
    <cellStyle name="汇总 2 10 8 7 4 2" xfId="5314"/>
    <cellStyle name="注释 2 3 10 6 4" xfId="5315"/>
    <cellStyle name="汇总 2 4 12 7" xfId="5316"/>
    <cellStyle name="注释 2 5 2 2 3 2" xfId="5317"/>
    <cellStyle name="汇总 2 10 7 2 4" xfId="5318"/>
    <cellStyle name="计算 2 7 4 2 7" xfId="5319"/>
    <cellStyle name="汇总 2 10 7 2 4 2" xfId="5320"/>
    <cellStyle name="输出 2 10 8 13" xfId="5321"/>
    <cellStyle name="汇总 2 4 7 9" xfId="5322"/>
    <cellStyle name="输出 2 8 8 3 3 2" xfId="5323"/>
    <cellStyle name="汇总 2 10 7 2 5" xfId="5324"/>
    <cellStyle name="计算 2 7 4 2 8" xfId="5325"/>
    <cellStyle name="汇总 2 10 7 2 5 2" xfId="5326"/>
    <cellStyle name="注释 2 5 4 4 2 2" xfId="5327"/>
    <cellStyle name="汇总 2 4 8 9" xfId="5328"/>
    <cellStyle name="注释 2 11 18 3 2" xfId="5329"/>
    <cellStyle name="输入 2 12 4 4 5 2" xfId="5330"/>
    <cellStyle name="汇总 2 10 7 2 6" xfId="5331"/>
    <cellStyle name="计算 2 7 4 2 9" xfId="5332"/>
    <cellStyle name="汇总 2 5 2 12 2" xfId="5333"/>
    <cellStyle name="检查单元格 2 4 8 3 2" xfId="5334"/>
    <cellStyle name="输出 2 6 4 3 2 2" xfId="5335"/>
    <cellStyle name="汇总 2 11 7 16" xfId="5336"/>
    <cellStyle name="计算 2 9 11 7 2 2" xfId="5337"/>
    <cellStyle name="汇总 2 2 5 12 2" xfId="5338"/>
    <cellStyle name="输出 2 6 3 6 2" xfId="5339"/>
    <cellStyle name="汇总 2 10 7 3 3 2" xfId="5340"/>
    <cellStyle name="输入 2 7 12 4" xfId="5341"/>
    <cellStyle name="汇总 2 5 6 9" xfId="5342"/>
    <cellStyle name="汇总 2 9 8 5 3 2" xfId="5343"/>
    <cellStyle name="输出 2 7 5 5 5 2" xfId="5344"/>
    <cellStyle name="汇总 2 12 4 4 2 2" xfId="5345"/>
    <cellStyle name="输入 2 7 5 6 3" xfId="5346"/>
    <cellStyle name="计算 2 4 8 5 2 2" xfId="5347"/>
    <cellStyle name="计算 2 11 7 2 4 2" xfId="5348"/>
    <cellStyle name="输出 2 7 7 8 2" xfId="5349"/>
    <cellStyle name="汇总 2 8 21" xfId="5350"/>
    <cellStyle name="汇总 2 8 16" xfId="5351"/>
    <cellStyle name="汇总 2 4 4 6 5" xfId="5352"/>
    <cellStyle name="计算 2 9 3 7 2" xfId="5353"/>
    <cellStyle name="汇总 2 10 8 7 5 2" xfId="5354"/>
    <cellStyle name="计算 2 9 11 7 3" xfId="5355"/>
    <cellStyle name="汇总 2 2 5 13" xfId="5356"/>
    <cellStyle name="输出 2 6 3 7" xfId="5357"/>
    <cellStyle name="注释 2 5 2 2 4 2" xfId="5358"/>
    <cellStyle name="汇总 2 10 7 3 4" xfId="5359"/>
    <cellStyle name="汇总 2 10 7 3 4 2" xfId="5360"/>
    <cellStyle name="输入 2 7 13 4" xfId="5361"/>
    <cellStyle name="汇总 2 5 7 9" xfId="5362"/>
    <cellStyle name="输出 2 6 5 12" xfId="5363"/>
    <cellStyle name="汇总 2 10 7 4 3 2" xfId="5364"/>
    <cellStyle name="汇总 2 6 6 9" xfId="5365"/>
    <cellStyle name="注释 2 5 2 2 5 2" xfId="5366"/>
    <cellStyle name="汇总 2 10 7 4 4" xfId="5367"/>
    <cellStyle name="汇总 2 10 7 4 4 2" xfId="5368"/>
    <cellStyle name="输入 2 2 11 13" xfId="5369"/>
    <cellStyle name="汇总 2 6 7 9" xfId="5370"/>
    <cellStyle name="汇总 2 10 7 5 4" xfId="5371"/>
    <cellStyle name="汇总 2 9 7 3 3 2" xfId="5372"/>
    <cellStyle name="输出 2 7 4 3 5 2" xfId="5373"/>
    <cellStyle name="汇总 2 12 3 2 2 2" xfId="5374"/>
    <cellStyle name="检查单元格 2 2 5 11" xfId="5375"/>
    <cellStyle name="输入 2 6 3 6 3" xfId="5376"/>
    <cellStyle name="计算 2 4 7 3 2 2" xfId="5377"/>
    <cellStyle name="汇总 2 5 8 12" xfId="5378"/>
    <cellStyle name="输入 2 2 9 2 3 2" xfId="5379"/>
    <cellStyle name="汇总 2 3 2 6 5" xfId="5380"/>
    <cellStyle name="输出 2 6 5 8 2" xfId="5381"/>
    <cellStyle name="汇总 2 10 7 5 5 2" xfId="5382"/>
    <cellStyle name="汇总 2 6 11 2 2" xfId="5383"/>
    <cellStyle name="输出 2 2 10 4 6" xfId="5384"/>
    <cellStyle name="注释 2 5 4 8 2 2" xfId="5385"/>
    <cellStyle name="汇总 2 8 8 9" xfId="5386"/>
    <cellStyle name="汇总 2 14" xfId="5387"/>
    <cellStyle name="汇总 2 10 7 6 5 2" xfId="5388"/>
    <cellStyle name="检查单元格 2 10 6 7" xfId="5389"/>
    <cellStyle name="汇总 2 6 12 2 2" xfId="5390"/>
    <cellStyle name="输出 2 2 11 4 6" xfId="5391"/>
    <cellStyle name="汇总 2 9 7 4 3 2" xfId="5392"/>
    <cellStyle name="汇总 2 8 10 4" xfId="5393"/>
    <cellStyle name="输出 2 7 4 4 5 2" xfId="5394"/>
    <cellStyle name="汇总 2 12 3 3 2 2" xfId="5395"/>
    <cellStyle name="输入 2 6 4 6 3" xfId="5396"/>
    <cellStyle name="计算 2 4 7 4 2 2" xfId="5397"/>
    <cellStyle name="计算 2 8 2 7 2" xfId="5398"/>
    <cellStyle name="输入 2 2 9 3 3 2" xfId="5399"/>
    <cellStyle name="汇总 2 3 3 6 5" xfId="5400"/>
    <cellStyle name="输出 2 6 6 8 2" xfId="5401"/>
    <cellStyle name="计算 2 7 4 7 5 2" xfId="5402"/>
    <cellStyle name="汇总 2 10 7 7 2 2" xfId="5403"/>
    <cellStyle name="输出 2 6 10 3 2" xfId="5404"/>
    <cellStyle name="汇总 2 10 7 7 3 2" xfId="5405"/>
    <cellStyle name="输出 2 6 10 4 2" xfId="5406"/>
    <cellStyle name="输出 2 11 8 13" xfId="5407"/>
    <cellStyle name="汇总 2 10 7 7 4 2" xfId="5408"/>
    <cellStyle name="输出 2 6 10 5 2" xfId="5409"/>
    <cellStyle name="输入 2 6 5 6 3" xfId="5410"/>
    <cellStyle name="计算 2 4 7 5 2 2" xfId="5411"/>
    <cellStyle name="计算 2 11 6 2 4 2" xfId="5412"/>
    <cellStyle name="计算 2 8 3 7 2" xfId="5413"/>
    <cellStyle name="输入 2 2 9 4 3 2" xfId="5414"/>
    <cellStyle name="汇总 2 3 4 6 5" xfId="5415"/>
    <cellStyle name="输出 2 6 7 8 2" xfId="5416"/>
    <cellStyle name="汇总 2 9 7 5 3 2" xfId="5417"/>
    <cellStyle name="汇总 2 6 4" xfId="5418"/>
    <cellStyle name="输出 2 7 4 5 5 2" xfId="5419"/>
    <cellStyle name="汇总 2 12 3 4 2 2" xfId="5420"/>
    <cellStyle name="汇总 2 10 7 7 5 2" xfId="5421"/>
    <cellStyle name="输出 2 6 10 6 2" xfId="5422"/>
    <cellStyle name="汇总 2 6 13 2 2" xfId="5423"/>
    <cellStyle name="计算 2 8 4 4" xfId="5424"/>
    <cellStyle name="汇总 2 2 6 11" xfId="5425"/>
    <cellStyle name="输出 2 6 8 5" xfId="5426"/>
    <cellStyle name="注释 2 2 8 13" xfId="5427"/>
    <cellStyle name="计算 2 7 4 8 5" xfId="5428"/>
    <cellStyle name="汇总 2 10 7 8 2" xfId="5429"/>
    <cellStyle name="输出 2 6 11 3" xfId="5430"/>
    <cellStyle name="汇总 2 10 8 4 3 2" xfId="5431"/>
    <cellStyle name="计算 2 8 4 4 2" xfId="5432"/>
    <cellStyle name="汇总 2 2 6 11 2" xfId="5433"/>
    <cellStyle name="汇总 2 3 5 3 5" xfId="5434"/>
    <cellStyle name="输出 2 6 8 5 2" xfId="5435"/>
    <cellStyle name="汇总 2 10 7 8 2 2" xfId="5436"/>
    <cellStyle name="输出 2 6 11 3 2" xfId="5437"/>
    <cellStyle name="计算 2 11 6 3 2" xfId="5438"/>
    <cellStyle name="计算 2 8 4 5" xfId="5439"/>
    <cellStyle name="汇总 2 2 6 12" xfId="5440"/>
    <cellStyle name="输出 2 6 8 6" xfId="5441"/>
    <cellStyle name="注释 2 2 8 14" xfId="5442"/>
    <cellStyle name="输出 2 3 5 5 5 2" xfId="5443"/>
    <cellStyle name="汇总 2 10 7 8 3" xfId="5444"/>
    <cellStyle name="输出 2 6 11 4" xfId="5445"/>
    <cellStyle name="输出 2 9 10 8 4 2" xfId="5446"/>
    <cellStyle name="汇总 2 5 8 5 3 2" xfId="5447"/>
    <cellStyle name="计算 2 11 6 3 3" xfId="5448"/>
    <cellStyle name="输出 2 11 8 10 2" xfId="5449"/>
    <cellStyle name="计算 2 8 4 6" xfId="5450"/>
    <cellStyle name="输入 2 2 9 5 2" xfId="5451"/>
    <cellStyle name="汇总 2 2 6 13" xfId="5452"/>
    <cellStyle name="输出 2 6 8 7" xfId="5453"/>
    <cellStyle name="汇总 2 10 7 8 4" xfId="5454"/>
    <cellStyle name="输出 2 6 11 5" xfId="5455"/>
    <cellStyle name="汇总 2 3 4 5 2 2" xfId="5456"/>
    <cellStyle name="汇总 2 10 7 8 4 2" xfId="5457"/>
    <cellStyle name="输出 2 6 11 5 2" xfId="5458"/>
    <cellStyle name="汇总 2 10 7 9" xfId="5459"/>
    <cellStyle name="注释 2 5 2 3 5 2" xfId="5460"/>
    <cellStyle name="汇总 2 10 8 4 4" xfId="5461"/>
    <cellStyle name="汇总 2 2 4 5 2" xfId="5462"/>
    <cellStyle name="汇总 2 11 8 10 2" xfId="5463"/>
    <cellStyle name="输入 2 6 6 16" xfId="5464"/>
    <cellStyle name="汇总 2 10 8" xfId="5465"/>
    <cellStyle name="汇总 2 10 8 10" xfId="5466"/>
    <cellStyle name="汇总 2 10 8 10 2" xfId="5467"/>
    <cellStyle name="检查单元格 2 8 5 8" xfId="5468"/>
    <cellStyle name="计算 2 7 5 6 5 2" xfId="5469"/>
    <cellStyle name="汇总 2 10 8 6 2 2" xfId="5470"/>
    <cellStyle name="输出 2 5 9 7 5 2" xfId="5471"/>
    <cellStyle name="计算 2 12 16 3" xfId="5472"/>
    <cellStyle name="输入 2 5 8 6 6" xfId="5473"/>
    <cellStyle name="输出 2 11 2" xfId="5474"/>
    <cellStyle name="汇总 2 10 9 7 2" xfId="5475"/>
    <cellStyle name="计算 2 7 6 7 5" xfId="5476"/>
    <cellStyle name="汇总 2 10 8 11" xfId="5477"/>
    <cellStyle name="输出 2 10 2 3 4 2" xfId="5478"/>
    <cellStyle name="计算 2 12 16 3 2" xfId="5479"/>
    <cellStyle name="汇总 2 9 10 7" xfId="5480"/>
    <cellStyle name="输出 2 11 2 2" xfId="5481"/>
    <cellStyle name="汇总 2 10 9 7 2 2" xfId="5482"/>
    <cellStyle name="输出 2 9 3 11" xfId="5483"/>
    <cellStyle name="计算 2 7 6 7 5 2" xfId="5484"/>
    <cellStyle name="汇总 2 10 8 11 2" xfId="5485"/>
    <cellStyle name="检查单元格 2 8 6 8" xfId="5486"/>
    <cellStyle name="输入 2 3 3 5 5 2" xfId="5487"/>
    <cellStyle name="计算 2 12 16 4" xfId="5488"/>
    <cellStyle name="汇总 2 5 8 7 2 2" xfId="5489"/>
    <cellStyle name="检查单元格 2 9 3 7 2" xfId="5490"/>
    <cellStyle name="输出 2 11 3" xfId="5491"/>
    <cellStyle name="汇总 2 10 9 7 3" xfId="5492"/>
    <cellStyle name="注释 2 2 16 5 2" xfId="5493"/>
    <cellStyle name="计算 2 7 6 7 6" xfId="5494"/>
    <cellStyle name="输出 2 3 5 7 4 2" xfId="5495"/>
    <cellStyle name="注释 2 5 3 2 2" xfId="5496"/>
    <cellStyle name="汇总 2 10 8 12" xfId="5497"/>
    <cellStyle name="计算 2 12 16 4 2" xfId="5498"/>
    <cellStyle name="汇总 2 9 11 7" xfId="5499"/>
    <cellStyle name="输出 2 11 3 2" xfId="5500"/>
    <cellStyle name="计算 2 11 10 2 7" xfId="5501"/>
    <cellStyle name="汇总 2 10 9 7 3 2" xfId="5502"/>
    <cellStyle name="注释 2 5 3 2 2 2" xfId="5503"/>
    <cellStyle name="汇总 2 10 8 12 2" xfId="5504"/>
    <cellStyle name="检查单元格 2 8 7 8" xfId="5505"/>
    <cellStyle name="输出 2 6 8 2 7" xfId="5506"/>
    <cellStyle name="计算 2 12 16 5" xfId="5507"/>
    <cellStyle name="输出 2 11 4" xfId="5508"/>
    <cellStyle name="汇总 2 10 9 7 4" xfId="5509"/>
    <cellStyle name="注释 2 5 3 2 3" xfId="5510"/>
    <cellStyle name="汇总 2 10 8 13" xfId="5511"/>
    <cellStyle name="汇总 2 3 11 7 3 2" xfId="5512"/>
    <cellStyle name="输出 2 10 3 4 6" xfId="5513"/>
    <cellStyle name="汇总 2 9 9 5 4" xfId="5514"/>
    <cellStyle name="输出 2 12 14 4" xfId="5515"/>
    <cellStyle name="输出 2 12 2 8 3" xfId="5516"/>
    <cellStyle name="输入 2 6 17 3" xfId="5517"/>
    <cellStyle name="输出 2 7 6 5 6" xfId="5518"/>
    <cellStyle name="汇总 2 12 5 4 3" xfId="5519"/>
    <cellStyle name="计算 2 9 2 4 6" xfId="5520"/>
    <cellStyle name="计算 2 3 7 5 4 2" xfId="5521"/>
    <cellStyle name="汇总 2 10 9 7 6" xfId="5522"/>
    <cellStyle name="检查单元格 2 10 5 3 5 2" xfId="5523"/>
    <cellStyle name="汇总 2 8 7 5 5 2" xfId="5524"/>
    <cellStyle name="汇总 2 11 3 4 4 2" xfId="5525"/>
    <cellStyle name="注释 2 5 3 2 5" xfId="5526"/>
    <cellStyle name="汇总 2 10 8 15" xfId="5527"/>
    <cellStyle name="汇总 2 12 6 2 3 2" xfId="5528"/>
    <cellStyle name="汇总 2 11 10 4 3 2" xfId="5529"/>
    <cellStyle name="输出 2 12 3 6 3 2" xfId="5530"/>
    <cellStyle name="输出 2 7 17 6" xfId="5531"/>
    <cellStyle name="输出 2 9 5 9 2" xfId="5532"/>
    <cellStyle name="汇总 2 6 2 7 5" xfId="5533"/>
    <cellStyle name="注释 2 5 3 2 6" xfId="5534"/>
    <cellStyle name="汇总 2 10 8 16" xfId="5535"/>
    <cellStyle name="汇总 2 2 6 4 3" xfId="5536"/>
    <cellStyle name="检查单元格 2 5 5 5 3 2" xfId="5537"/>
    <cellStyle name="汇总 2 10 8 2" xfId="5538"/>
    <cellStyle name="输入 2 9 5 5 5 2" xfId="5539"/>
    <cellStyle name="汇总 2 2 6 4 4" xfId="5540"/>
    <cellStyle name="汇总 2 10 8 3" xfId="5541"/>
    <cellStyle name="输出 2 8 8 4 5 2" xfId="5542"/>
    <cellStyle name="汇总 2 10 8 4 5" xfId="5543"/>
    <cellStyle name="计算 2 8 12 2" xfId="5544"/>
    <cellStyle name="汇总 2 10 8 4 6" xfId="5545"/>
    <cellStyle name="检查单元格 2 10 5 2 2 2" xfId="5546"/>
    <cellStyle name="计算 2 7 5 5 3" xfId="5547"/>
    <cellStyle name="汇总 2 2 6 4 6" xfId="5548"/>
    <cellStyle name="输出 2 5 9 6 3" xfId="5549"/>
    <cellStyle name="注释 2 17 7 3" xfId="5550"/>
    <cellStyle name="汇总 2 10 8 5" xfId="5551"/>
    <cellStyle name="计算 2 7 5 5 5" xfId="5552"/>
    <cellStyle name="注释 2 17 7 3 2" xfId="5553"/>
    <cellStyle name="汇总 2 10 8 5 2" xfId="5554"/>
    <cellStyle name="输出 2 5 9 6 5" xfId="5555"/>
    <cellStyle name="注释 2 17 7 5" xfId="5556"/>
    <cellStyle name="输入 2 5 7 4 4 2" xfId="5557"/>
    <cellStyle name="汇总 2 10 8 7" xfId="5558"/>
    <cellStyle name="注释 2 2 15 3 2" xfId="5559"/>
    <cellStyle name="计算 2 7 5 5 6" xfId="5560"/>
    <cellStyle name="输出 2 3 5 6 2 2" xfId="5561"/>
    <cellStyle name="汇总 2 10 8 5 3" xfId="5562"/>
    <cellStyle name="输出 2 5 9 6 6" xfId="5563"/>
    <cellStyle name="注释 2 17 7 6" xfId="5564"/>
    <cellStyle name="汇总 2 10 8 8" xfId="5565"/>
    <cellStyle name="汇总 2 10 8 5 3 2" xfId="5566"/>
    <cellStyle name="汇总 2 10 8 8 2" xfId="5567"/>
    <cellStyle name="计算 2 7 5 8 5" xfId="5568"/>
    <cellStyle name="汇总 2 10 8 5 4" xfId="5569"/>
    <cellStyle name="汇总 2 10 8 9" xfId="5570"/>
    <cellStyle name="汇总 2 9 8 3 3" xfId="5571"/>
    <cellStyle name="注释 2 6 8 8 3 2" xfId="5572"/>
    <cellStyle name="输出 2 7 5 3 5" xfId="5573"/>
    <cellStyle name="汇总 2 12 4 2 2" xfId="5574"/>
    <cellStyle name="汇总 2 10 8 5 5" xfId="5575"/>
    <cellStyle name="汇总 2 9 8 3 4" xfId="5576"/>
    <cellStyle name="输出 2 7 5 3 6" xfId="5577"/>
    <cellStyle name="汇总 2 12 4 2 3" xfId="5578"/>
    <cellStyle name="计算 2 3 7 4 2 2" xfId="5579"/>
    <cellStyle name="计算 2 8 13 2" xfId="5580"/>
    <cellStyle name="汇总 2 10 8 5 6" xfId="5581"/>
    <cellStyle name="检查单元格 2 10 5 2 3 2" xfId="5582"/>
    <cellStyle name="注释 2 5 5 7 3" xfId="5583"/>
    <cellStyle name="汇总 2 8 7 4 3 2" xfId="5584"/>
    <cellStyle name="汇总 2 11 3 3 2 2" xfId="5585"/>
    <cellStyle name="输出 2 6 4 4 5 2" xfId="5586"/>
    <cellStyle name="注释 2 17 7 4" xfId="5587"/>
    <cellStyle name="汇总 2 10 8 6" xfId="5588"/>
    <cellStyle name="输出 2 2 10 8 3 2" xfId="5589"/>
    <cellStyle name="计算 2 7 5 6 5" xfId="5590"/>
    <cellStyle name="注释 2 17 7 4 2" xfId="5591"/>
    <cellStyle name="汇总 2 10 8 6 2" xfId="5592"/>
    <cellStyle name="输出 2 5 9 7 5" xfId="5593"/>
    <cellStyle name="注释 2 17 8 5" xfId="5594"/>
    <cellStyle name="输入 2 5 7 4 5 2" xfId="5595"/>
    <cellStyle name="汇总 2 10 9 7" xfId="5596"/>
    <cellStyle name="注释 2 2 15 4 2" xfId="5597"/>
    <cellStyle name="计算 2 7 5 6 6" xfId="5598"/>
    <cellStyle name="输出 2 3 5 6 3 2" xfId="5599"/>
    <cellStyle name="汇总 2 10 8 6 3" xfId="5600"/>
    <cellStyle name="输出 2 5 9 7 6" xfId="5601"/>
    <cellStyle name="汇总 2 10 9 8" xfId="5602"/>
    <cellStyle name="汇总 2 10 8 6 3 2" xfId="5603"/>
    <cellStyle name="计算 2 5 11 12" xfId="5604"/>
    <cellStyle name="汇总 2 10 9 8 2" xfId="5605"/>
    <cellStyle name="计算 2 7 6 8 5" xfId="5606"/>
    <cellStyle name="计算 2 12 17 3" xfId="5607"/>
    <cellStyle name="输入 2 5 8 7 6" xfId="5608"/>
    <cellStyle name="输出 2 12 2" xfId="5609"/>
    <cellStyle name="汇总 2 10 8 6 4" xfId="5610"/>
    <cellStyle name="汇总 2 10 9 9" xfId="5611"/>
    <cellStyle name="输入 2 7 3 2 6" xfId="5612"/>
    <cellStyle name="汇总 2 9 8 4 3" xfId="5613"/>
    <cellStyle name="检查单元格 2 2 12" xfId="5614"/>
    <cellStyle name="注释 2 6 8 8 4 2" xfId="5615"/>
    <cellStyle name="输出 2 7 5 4 5" xfId="5616"/>
    <cellStyle name="汇总 2 12 4 3 2" xfId="5617"/>
    <cellStyle name="汇总 2 4 2 2 8" xfId="5618"/>
    <cellStyle name="汇总 2 10 8 6 5" xfId="5619"/>
    <cellStyle name="输入 2 7 3 2 7" xfId="5620"/>
    <cellStyle name="汇总 2 9 8 4 4" xfId="5621"/>
    <cellStyle name="检查单元格 2 2 13" xfId="5622"/>
    <cellStyle name="输出 2 7 5 4 6" xfId="5623"/>
    <cellStyle name="汇总 2 12 4 3 3" xfId="5624"/>
    <cellStyle name="汇总 2 4 2 2 9" xfId="5625"/>
    <cellStyle name="计算 2 3 7 4 3 2" xfId="5626"/>
    <cellStyle name="计算 2 8 14 2" xfId="5627"/>
    <cellStyle name="汇总 2 10 8 6 6" xfId="5628"/>
    <cellStyle name="检查单元格 2 10 5 2 4 2" xfId="5629"/>
    <cellStyle name="注释 2 5 5 8 3" xfId="5630"/>
    <cellStyle name="汇总 2 8 7 4 4 2" xfId="5631"/>
    <cellStyle name="输出 2 15" xfId="5632"/>
    <cellStyle name="输出 2 20" xfId="5633"/>
    <cellStyle name="汇总 2 11 3 3 3 2" xfId="5634"/>
    <cellStyle name="汇总 2 10 8 8 3" xfId="5635"/>
    <cellStyle name="输出 2 3 5 6 5 2" xfId="5636"/>
    <cellStyle name="汇总 2 5 8 6 3 2" xfId="5637"/>
    <cellStyle name="检查单元格 2 9 2 8 2" xfId="5638"/>
    <cellStyle name="汇总 2 10 8 8 4" xfId="5639"/>
    <cellStyle name="汇总 2 3 4 6 2 2" xfId="5640"/>
    <cellStyle name="输入 2 7 3 4 6" xfId="5641"/>
    <cellStyle name="汇总 2 9 8 6 3" xfId="5642"/>
    <cellStyle name="输出 2 7 5 6 5" xfId="5643"/>
    <cellStyle name="汇总 2 12 4 5 2" xfId="5644"/>
    <cellStyle name="汇总 2 10 8 8 5" xfId="5645"/>
    <cellStyle name="汇总 2 2 4 3 3 2" xfId="5646"/>
    <cellStyle name="计算 2 12 6 4 5 2" xfId="5647"/>
    <cellStyle name="汇总 2 10 9" xfId="5648"/>
    <cellStyle name="计算 2 5 7 7 3 2" xfId="5649"/>
    <cellStyle name="输入 2 7 8 5 3 2" xfId="5650"/>
    <cellStyle name="计算 2 4 6 3 4" xfId="5651"/>
    <cellStyle name="计算 2 2 10 11" xfId="5652"/>
    <cellStyle name="输入 2 2 8 2 5" xfId="5653"/>
    <cellStyle name="汇总 2 4 7 5 5 2" xfId="5654"/>
    <cellStyle name="计算 2 9 6 6 2 2" xfId="5655"/>
    <cellStyle name="汇总 2 9 6 3 5" xfId="5656"/>
    <cellStyle name="汇总 2 7 10 12" xfId="5657"/>
    <cellStyle name="汇总 2 12 2 2 4" xfId="5658"/>
    <cellStyle name="注释 2 5 3 7 4" xfId="5659"/>
    <cellStyle name="汇总 2 10 9 14" xfId="5660"/>
    <cellStyle name="汇总 2 6 3 2 2 2" xfId="5661"/>
    <cellStyle name="汇总 2 12 2 2 6" xfId="5662"/>
    <cellStyle name="输入 2 11 10 8" xfId="5663"/>
    <cellStyle name="检查单元格 2 6 7 3 4 2" xfId="5664"/>
    <cellStyle name="输出 2 3 10 7 5 2" xfId="5665"/>
    <cellStyle name="注释 2 7 3 4 5 2" xfId="5666"/>
    <cellStyle name="汇总 2 7 10 14" xfId="5667"/>
    <cellStyle name="注释 2 5 3 7 6" xfId="5668"/>
    <cellStyle name="汇总 2 10 9 16" xfId="5669"/>
    <cellStyle name="汇总 2 2 6 5 3" xfId="5670"/>
    <cellStyle name="检查单元格 2 5 5 5 4 2" xfId="5671"/>
    <cellStyle name="汇总 2 10 9 2" xfId="5672"/>
    <cellStyle name="计算 2 12 11 5 2" xfId="5673"/>
    <cellStyle name="汇总 2 8 12 7" xfId="5674"/>
    <cellStyle name="检查单元格 2 9 3 2 3 2" xfId="5675"/>
    <cellStyle name="输出 2 10 6 6 4 2" xfId="5676"/>
    <cellStyle name="计算 2 10 8 7 4" xfId="5677"/>
    <cellStyle name="汇总 2 10 9 2 4 2" xfId="5678"/>
    <cellStyle name="汇总 2 11 5 9 2" xfId="5679"/>
    <cellStyle name="输入 2 7 7 5 3 2" xfId="5680"/>
    <cellStyle name="计算 2 3 6 3 4" xfId="5681"/>
    <cellStyle name="输出 2 7 9 7 2 2" xfId="5682"/>
    <cellStyle name="汇总 2 4 6 5 5 2" xfId="5683"/>
    <cellStyle name="计算 2 9 5 6 2 2" xfId="5684"/>
    <cellStyle name="汇总 2 8 6 3 5" xfId="5685"/>
    <cellStyle name="汇总 2 6 10 12" xfId="5686"/>
    <cellStyle name="汇总 2 11 2 2 4" xfId="5687"/>
    <cellStyle name="检查单元格 2 3 8 8" xfId="5688"/>
    <cellStyle name="汇总 2 8 6 4 5" xfId="5689"/>
    <cellStyle name="汇总 2 11 2 3 4" xfId="5690"/>
    <cellStyle name="计算 2 10 8 8 4" xfId="5691"/>
    <cellStyle name="汇总 2 10 9 2 5 2" xfId="5692"/>
    <cellStyle name="汇总 2 12 6 5 5 2" xfId="5693"/>
    <cellStyle name="汇总 2 11 10 7 5 2" xfId="5694"/>
    <cellStyle name="汇总 2 9 10 10 2" xfId="5695"/>
    <cellStyle name="汇总 2 10 9 2 9" xfId="5696"/>
    <cellStyle name="汇总 2 2 6 5 4" xfId="5697"/>
    <cellStyle name="汇总 2 10 9 3" xfId="5698"/>
    <cellStyle name="计算 2 5 10 12" xfId="5699"/>
    <cellStyle name="汇总 2 2 7 2 8" xfId="5700"/>
    <cellStyle name="汇总 2 10 9 3 2" xfId="5701"/>
    <cellStyle name="计算 2 7 6 3 5" xfId="5702"/>
    <cellStyle name="计算 2 12 12 3" xfId="5703"/>
    <cellStyle name="输入 2 5 8 2 6" xfId="5704"/>
    <cellStyle name="输入 2 11 9 8 4 2" xfId="5705"/>
    <cellStyle name="输出 2 10 6 7 2" xfId="5706"/>
    <cellStyle name="汇总 2 2 6 5 4 2" xfId="5707"/>
    <cellStyle name="输入 2 5 7 5 2 2" xfId="5708"/>
    <cellStyle name="汇总 2 11 6 7" xfId="5709"/>
    <cellStyle name="计算 2 8 3 7 5" xfId="5710"/>
    <cellStyle name="汇总 2 11 6 7 2" xfId="5711"/>
    <cellStyle name="输出 2 6 7 8 5" xfId="5712"/>
    <cellStyle name="计算 2 5 10 12 2" xfId="5713"/>
    <cellStyle name="计算 2 10 9 5 4" xfId="5714"/>
    <cellStyle name="汇总 2 10 9 3 2 2" xfId="5715"/>
    <cellStyle name="输出 2 8 8 11" xfId="5716"/>
    <cellStyle name="计算 2 7 6 3 5 2" xfId="5717"/>
    <cellStyle name="计算 2 12 12 3 2" xfId="5718"/>
    <cellStyle name="汇总 2 6 7" xfId="5719"/>
    <cellStyle name="输出 2 10 6 7 2 2" xfId="5720"/>
    <cellStyle name="计算 2 5 10 13" xfId="5721"/>
    <cellStyle name="汇总 2 2 7 2 9" xfId="5722"/>
    <cellStyle name="汇总 2 10 9 3 3" xfId="5723"/>
    <cellStyle name="计算 2 7 6 3 6" xfId="5724"/>
    <cellStyle name="计算 2 12 12 4" xfId="5725"/>
    <cellStyle name="输入 2 5 8 2 7" xfId="5726"/>
    <cellStyle name="检查单元格 2 9 3 3 2" xfId="5727"/>
    <cellStyle name="输出 2 10 6 7 3" xfId="5728"/>
    <cellStyle name="汇总 2 11 6 8" xfId="5729"/>
    <cellStyle name="计算 2 12 12 4 2" xfId="5730"/>
    <cellStyle name="汇总 2 7 7" xfId="5731"/>
    <cellStyle name="检查单元格 2 9 3 3 2 2" xfId="5732"/>
    <cellStyle name="输出 2 10 6 7 3 2" xfId="5733"/>
    <cellStyle name="计算 2 10 9 6 4" xfId="5734"/>
    <cellStyle name="汇总 2 10 9 3 3 2" xfId="5735"/>
    <cellStyle name="汇总 2 11 6 8 2" xfId="5736"/>
    <cellStyle name="注释 2 7 3 13" xfId="5737"/>
    <cellStyle name="计算 2 8 3 8 5" xfId="5738"/>
    <cellStyle name="注释 2 5 2 4 4 2" xfId="5739"/>
    <cellStyle name="计算 2 5 10 14" xfId="5740"/>
    <cellStyle name="汇总 2 10 9 3 4" xfId="5741"/>
    <cellStyle name="计算 2 12 12 5" xfId="5742"/>
    <cellStyle name="检查单元格 2 4 6 3 3 2" xfId="5743"/>
    <cellStyle name="输入 2 5 8 2 8" xfId="5744"/>
    <cellStyle name="检查单元格 2 9 3 3 3" xfId="5745"/>
    <cellStyle name="输出 2 10 6 7 4" xfId="5746"/>
    <cellStyle name="汇总 2 11 6 9" xfId="5747"/>
    <cellStyle name="计算 2 12 12 5 2" xfId="5748"/>
    <cellStyle name="汇总 2 8 7" xfId="5749"/>
    <cellStyle name="检查单元格 2 9 3 3 3 2" xfId="5750"/>
    <cellStyle name="输出 2 10 6 7 4 2" xfId="5751"/>
    <cellStyle name="计算 2 10 9 7 4" xfId="5752"/>
    <cellStyle name="汇总 2 10 9 3 4 2" xfId="5753"/>
    <cellStyle name="汇总 2 11 6 9 2" xfId="5754"/>
    <cellStyle name="汇总 2 8 7 3 5" xfId="5755"/>
    <cellStyle name="汇总 2 11 3 2 4" xfId="5756"/>
    <cellStyle name="检查单元格 2 4 8 8" xfId="5757"/>
    <cellStyle name="输入 2 7 7 6 3 2" xfId="5758"/>
    <cellStyle name="计算 2 3 7 3 4" xfId="5759"/>
    <cellStyle name="输入 2 5 10 6 5" xfId="5760"/>
    <cellStyle name="输出 2 7 9 8 2 2" xfId="5761"/>
    <cellStyle name="汇总 2 4 6 6 5 2" xfId="5762"/>
    <cellStyle name="计算 2 9 5 7 2 2" xfId="5763"/>
    <cellStyle name="输出 2 8 8 5 4 2" xfId="5764"/>
    <cellStyle name="计算 2 5 10 15" xfId="5765"/>
    <cellStyle name="汇总 2 10 9 3 5" xfId="5766"/>
    <cellStyle name="输入 2 6 10 12 2" xfId="5767"/>
    <cellStyle name="计算 2 12 12 6" xfId="5768"/>
    <cellStyle name="输入 2 8 6 3 5 2" xfId="5769"/>
    <cellStyle name="输入 2 5 8 2 9" xfId="5770"/>
    <cellStyle name="检查单元格 2 9 3 3 4" xfId="5771"/>
    <cellStyle name="输出 2 10 6 7 5" xfId="5772"/>
    <cellStyle name="输入 2 6 2 2 8" xfId="5773"/>
    <cellStyle name="汇总 2 8 7 4 5" xfId="5774"/>
    <cellStyle name="汇总 2 11 3 3 4" xfId="5775"/>
    <cellStyle name="计算 2 10 9 8 4" xfId="5776"/>
    <cellStyle name="汇总 2 10 9 3 5 2" xfId="5777"/>
    <cellStyle name="汇总 2 9 7" xfId="5778"/>
    <cellStyle name="检查单元格 2 9 3 3 4 2" xfId="5779"/>
    <cellStyle name="输出 2 10 6 7 5 2" xfId="5780"/>
    <cellStyle name="计算 2 10 6 2 2 2" xfId="5781"/>
    <cellStyle name="计算 2 5 10 16" xfId="5782"/>
    <cellStyle name="汇总 2 10 9 3 6" xfId="5783"/>
    <cellStyle name="输入 2 5 7 5 3" xfId="5784"/>
    <cellStyle name="计算 2 11 5 4 3 2" xfId="5785"/>
    <cellStyle name="计算 2 7 5 6 2" xfId="5786"/>
    <cellStyle name="输入 2 2 8 6 2 2" xfId="5787"/>
    <cellStyle name="汇总 2 2 6 5 5" xfId="5788"/>
    <cellStyle name="输出 2 5 9 7 2" xfId="5789"/>
    <cellStyle name="汇总 2 9 6 7 2 2" xfId="5790"/>
    <cellStyle name="注释 2 17 8 2" xfId="5791"/>
    <cellStyle name="汇总 2 10 9 4" xfId="5792"/>
    <cellStyle name="计算 2 12 13 3" xfId="5793"/>
    <cellStyle name="输入 2 5 8 3 6" xfId="5794"/>
    <cellStyle name="输入 2 2 6 11" xfId="5795"/>
    <cellStyle name="输出 2 10 6 8 2" xfId="5796"/>
    <cellStyle name="注释 2 17 8 2 2" xfId="5797"/>
    <cellStyle name="汇总 2 10 9 4 2" xfId="5798"/>
    <cellStyle name="计算 2 7 6 4 5" xfId="5799"/>
    <cellStyle name="汇总 2 9 4 16" xfId="5800"/>
    <cellStyle name="计算 2 7 5 6 2 2" xfId="5801"/>
    <cellStyle name="汇总 2 2 6 5 5 2" xfId="5802"/>
    <cellStyle name="输出 2 5 9 7 2 2" xfId="5803"/>
    <cellStyle name="输入 2 5 7 5 3 2" xfId="5804"/>
    <cellStyle name="汇总 2 11 7 7" xfId="5805"/>
    <cellStyle name="计算 2 12 13 3 2" xfId="5806"/>
    <cellStyle name="输入 2 2 6 11 2" xfId="5807"/>
    <cellStyle name="输出 2 10 6 8 2 2" xfId="5808"/>
    <cellStyle name="汇总 2 10 9 4 2 2" xfId="5809"/>
    <cellStyle name="计算 2 7 6 4 5 2" xfId="5810"/>
    <cellStyle name="计算 2 8 4 7 5" xfId="5811"/>
    <cellStyle name="汇总 2 11 7 7 2" xfId="5812"/>
    <cellStyle name="输出 2 6 8 8 5" xfId="5813"/>
    <cellStyle name="输入 2 3 3 5 2 2" xfId="5814"/>
    <cellStyle name="计算 2 12 13 4" xfId="5815"/>
    <cellStyle name="输入 2 2 6 12" xfId="5816"/>
    <cellStyle name="检查单元格 2 9 3 4 2" xfId="5817"/>
    <cellStyle name="输出 2 10 6 8 3" xfId="5818"/>
    <cellStyle name="汇总 2 10 9 4 3" xfId="5819"/>
    <cellStyle name="注释 2 2 16 2 2" xfId="5820"/>
    <cellStyle name="计算 2 7 6 4 6" xfId="5821"/>
    <cellStyle name="汇总 2 11 7 8" xfId="5822"/>
    <cellStyle name="计算 2 12 13 5" xfId="5823"/>
    <cellStyle name="检查单元格 2 4 6 3 4 2" xfId="5824"/>
    <cellStyle name="输入 2 2 6 13" xfId="5825"/>
    <cellStyle name="检查单元格 2 9 3 4 3" xfId="5826"/>
    <cellStyle name="输出 2 10 6 8 4" xfId="5827"/>
    <cellStyle name="注释 2 5 2 4 5 2" xfId="5828"/>
    <cellStyle name="汇总 2 10 9 4 4" xfId="5829"/>
    <cellStyle name="汇总 2 11 7 9" xfId="5830"/>
    <cellStyle name="计算 2 12 13 5 2" xfId="5831"/>
    <cellStyle name="检查单元格 2 9 3 4 3 2" xfId="5832"/>
    <cellStyle name="输出 2 10 6 8 4 2" xfId="5833"/>
    <cellStyle name="汇总 2 10 9 4 4 2" xfId="5834"/>
    <cellStyle name="汇总 2 11 7 9 2" xfId="5835"/>
    <cellStyle name="汇总 2 8 8 3 5" xfId="5836"/>
    <cellStyle name="汇总 2 11 4 2 4" xfId="5837"/>
    <cellStyle name="计算 2 5 2 10 2" xfId="5838"/>
    <cellStyle name="检查单元格 2 5 8 8" xfId="5839"/>
    <cellStyle name="输入 2 7 10 7 3" xfId="5840"/>
    <cellStyle name="输出 2 12 5 14" xfId="5841"/>
    <cellStyle name="输入 2 7 7 7 3 2" xfId="5842"/>
    <cellStyle name="计算 2 3 8 3 4" xfId="5843"/>
    <cellStyle name="输入 2 5 11 6 5" xfId="5844"/>
    <cellStyle name="汇总 2 4 6 7 5 2" xfId="5845"/>
    <cellStyle name="计算 2 9 5 8 2 2" xfId="5846"/>
    <cellStyle name="计算 2 12 13 6" xfId="5847"/>
    <cellStyle name="输入 2 2 6 14" xfId="5848"/>
    <cellStyle name="检查单元格 2 9 3 4 4" xfId="5849"/>
    <cellStyle name="输出 2 10 6 8 5" xfId="5850"/>
    <cellStyle name="输出 2 8 8 5 5 2" xfId="5851"/>
    <cellStyle name="汇总 2 10 9 4 5" xfId="5852"/>
    <cellStyle name="输入 2 6 3 2 8" xfId="5853"/>
    <cellStyle name="汇总 2 8 8 4 5" xfId="5854"/>
    <cellStyle name="汇总 2 11 4 3 4" xfId="5855"/>
    <cellStyle name="计算 2 5 2 11 2" xfId="5856"/>
    <cellStyle name="汇总 2 10 9 4 5 2" xfId="5857"/>
    <cellStyle name="汇总 2 11 16" xfId="5858"/>
    <cellStyle name="汇总 2 11 21" xfId="5859"/>
    <cellStyle name="计算 2 10 6 2 3 2" xfId="5860"/>
    <cellStyle name="汇总 2 10 9 4 6" xfId="5861"/>
    <cellStyle name="检查单元格 2 10 5 3 2 2" xfId="5862"/>
    <cellStyle name="计算 2 7 5 6 3" xfId="5863"/>
    <cellStyle name="汇总 2 2 6 5 6" xfId="5864"/>
    <cellStyle name="输出 2 5 9 7 3" xfId="5865"/>
    <cellStyle name="注释 2 17 8 3" xfId="5866"/>
    <cellStyle name="汇总 2 10 9 5" xfId="5867"/>
    <cellStyle name="输出 2 7 6 3 2" xfId="5868"/>
    <cellStyle name="汇总 2 2 21" xfId="5869"/>
    <cellStyle name="汇总 2 2 16" xfId="5870"/>
    <cellStyle name="计算 2 9 2 2 2" xfId="5871"/>
    <cellStyle name="汇总 2 4 2 2 3 2" xfId="5872"/>
    <cellStyle name="计算 2 12 14 3" xfId="5873"/>
    <cellStyle name="输入 2 5 8 4 6" xfId="5874"/>
    <cellStyle name="计算 2 3 3 14" xfId="5875"/>
    <cellStyle name="输出 2 10 6 9 2" xfId="5876"/>
    <cellStyle name="注释 2 17 8 3 2" xfId="5877"/>
    <cellStyle name="汇总 2 10 9 5 2" xfId="5878"/>
    <cellStyle name="计算 2 7 6 5 5" xfId="5879"/>
    <cellStyle name="输入 2 5 7 5 4 2" xfId="5880"/>
    <cellStyle name="汇总 2 11 8 7" xfId="5881"/>
    <cellStyle name="输出 2 8 11 7 3" xfId="5882"/>
    <cellStyle name="输出 2 7 6 3 2 2" xfId="5883"/>
    <cellStyle name="汇总 2 2 21 2" xfId="5884"/>
    <cellStyle name="汇总 2 2 16 2" xfId="5885"/>
    <cellStyle name="注释 2 2 6 3" xfId="5886"/>
    <cellStyle name="计算 2 9 2 2 2 2" xfId="5887"/>
    <cellStyle name="输出 2 8 5 5 2" xfId="5888"/>
    <cellStyle name="汇总 2 5 2 3 5" xfId="5889"/>
    <cellStyle name="计算 2 12 14 3 2" xfId="5890"/>
    <cellStyle name="汇总 2 10 9 5 2 2" xfId="5891"/>
    <cellStyle name="计算 2 7 6 5 5 2" xfId="5892"/>
    <cellStyle name="汇总 2 6 3 15" xfId="5893"/>
    <cellStyle name="计算 2 8 5 7 5" xfId="5894"/>
    <cellStyle name="汇总 2 11 8 7 2" xfId="5895"/>
    <cellStyle name="输出 2 6 9 8 5" xfId="5896"/>
    <cellStyle name="输出 2 7 6 3 3" xfId="5897"/>
    <cellStyle name="汇总 2 2 22" xfId="5898"/>
    <cellStyle name="汇总 2 2 17" xfId="5899"/>
    <cellStyle name="计算 2 9 2 2 3" xfId="5900"/>
    <cellStyle name="输出 2 5 10 10" xfId="5901"/>
    <cellStyle name="输入 2 3 3 5 3 2" xfId="5902"/>
    <cellStyle name="计算 2 12 14 4" xfId="5903"/>
    <cellStyle name="计算 2 3 3 15" xfId="5904"/>
    <cellStyle name="检查单元格 2 9 3 5 2" xfId="5905"/>
    <cellStyle name="汇总 2 10 9 5 3" xfId="5906"/>
    <cellStyle name="注释 2 2 16 3 2" xfId="5907"/>
    <cellStyle name="计算 2 7 6 5 6" xfId="5908"/>
    <cellStyle name="输出 2 3 5 7 2 2" xfId="5909"/>
    <cellStyle name="汇总 2 11 8 8" xfId="5910"/>
    <cellStyle name="输出 2 8 11 8 3" xfId="5911"/>
    <cellStyle name="输出 2 7 6 3 3 2" xfId="5912"/>
    <cellStyle name="汇总 2 2 22 2" xfId="5913"/>
    <cellStyle name="汇总 2 2 17 2" xfId="5914"/>
    <cellStyle name="注释 2 2 7 3" xfId="5915"/>
    <cellStyle name="计算 2 9 2 2 3 2" xfId="5916"/>
    <cellStyle name="输出 2 5 10 10 2" xfId="5917"/>
    <cellStyle name="注释 2 2 7 2 9" xfId="5918"/>
    <cellStyle name="输出 2 8 5 6 2" xfId="5919"/>
    <cellStyle name="汇总 2 5 2 4 5" xfId="5920"/>
    <cellStyle name="计算 2 12 14 4 2" xfId="5921"/>
    <cellStyle name="检查单元格 2 9 3 5 2 2" xfId="5922"/>
    <cellStyle name="汇总 2 10 9 5 3 2" xfId="5923"/>
    <cellStyle name="汇总 2 11 8 8 2" xfId="5924"/>
    <cellStyle name="计算 2 8 5 8 5" xfId="5925"/>
    <cellStyle name="汇总 2 9 9 3 2" xfId="5926"/>
    <cellStyle name="输出 2 12 12 2" xfId="5927"/>
    <cellStyle name="输出 2 7 6 3 4" xfId="5928"/>
    <cellStyle name="汇总 2 2 23" xfId="5929"/>
    <cellStyle name="汇总 2 2 18" xfId="5930"/>
    <cellStyle name="计算 2 9 2 2 4" xfId="5931"/>
    <cellStyle name="输出 2 5 10 11" xfId="5932"/>
    <cellStyle name="计算 2 12 14 5" xfId="5933"/>
    <cellStyle name="检查单元格 2 4 6 3 5 2" xfId="5934"/>
    <cellStyle name="计算 2 3 3 16" xfId="5935"/>
    <cellStyle name="检查单元格 2 9 3 5 3" xfId="5936"/>
    <cellStyle name="汇总 2 10 9 5 4" xfId="5937"/>
    <cellStyle name="汇总 2 11 8 9" xfId="5938"/>
    <cellStyle name="汇总 2 9 9 3 2 2" xfId="5939"/>
    <cellStyle name="输出 2 12 12 2 2" xfId="5940"/>
    <cellStyle name="输出 2 2 15 6" xfId="5941"/>
    <cellStyle name="输出 2 7 6 3 4 2" xfId="5942"/>
    <cellStyle name="汇总 2 2 23 2" xfId="5943"/>
    <cellStyle name="汇总 2 2 18 2" xfId="5944"/>
    <cellStyle name="注释 2 2 8 3" xfId="5945"/>
    <cellStyle name="计算 2 9 2 2 4 2" xfId="5946"/>
    <cellStyle name="输出 2 5 10 11 2" xfId="5947"/>
    <cellStyle name="输出 2 8 5 7 2" xfId="5948"/>
    <cellStyle name="汇总 2 5 2 5 5" xfId="5949"/>
    <cellStyle name="计算 2 12 14 5 2" xfId="5950"/>
    <cellStyle name="检查单元格 2 9 3 5 3 2" xfId="5951"/>
    <cellStyle name="汇总 2 10 9 5 4 2" xfId="5952"/>
    <cellStyle name="汇总 2 11 8 9 2" xfId="5953"/>
    <cellStyle name="输入 2 7 7 8 3 2" xfId="5954"/>
    <cellStyle name="计算 2 3 9 3 4" xfId="5955"/>
    <cellStyle name="汇总 2 2 11 12 2" xfId="5956"/>
    <cellStyle name="汇总 2 8 9 3 5" xfId="5957"/>
    <cellStyle name="输出 2 11 2 6 4" xfId="5958"/>
    <cellStyle name="汇总 2 11 5 2 4" xfId="5959"/>
    <cellStyle name="检查单元格 2 6 8 8" xfId="5960"/>
    <cellStyle name="输入 2 7 11 7 3" xfId="5961"/>
    <cellStyle name="计算 2 8 2 2 7" xfId="5962"/>
    <cellStyle name="输出 2 4 10 14" xfId="5963"/>
    <cellStyle name="汇总 2 9 9 3 3" xfId="5964"/>
    <cellStyle name="输出 2 12 12 3" xfId="5965"/>
    <cellStyle name="输出 2 12 2 6 2" xfId="5966"/>
    <cellStyle name="输入 2 6 20 2" xfId="5967"/>
    <cellStyle name="输入 2 6 15 2" xfId="5968"/>
    <cellStyle name="输出 2 7 6 3 5" xfId="5969"/>
    <cellStyle name="汇总 2 2 24" xfId="5970"/>
    <cellStyle name="汇总 2 2 19" xfId="5971"/>
    <cellStyle name="汇总 2 12 5 2 2" xfId="5972"/>
    <cellStyle name="计算 2 9 2 2 5" xfId="5973"/>
    <cellStyle name="输出 2 5 10 12" xfId="5974"/>
    <cellStyle name="计算 2 12 14 6" xfId="5975"/>
    <cellStyle name="检查单元格 2 9 3 5 4" xfId="5976"/>
    <cellStyle name="汇总 2 10 9 5 5" xfId="5977"/>
    <cellStyle name="输入 2 6 4 2 8" xfId="5978"/>
    <cellStyle name="汇总 2 8 9 4 5" xfId="5979"/>
    <cellStyle name="输出 2 11 2 7 4" xfId="5980"/>
    <cellStyle name="汇总 2 11 5 3 4" xfId="5981"/>
    <cellStyle name="汇总 2 9 9 3 3 2" xfId="5982"/>
    <cellStyle name="输出 2 12 12 3 2" xfId="5983"/>
    <cellStyle name="输出 2 12 2 6 2 2" xfId="5984"/>
    <cellStyle name="输出 2 2 16 6" xfId="5985"/>
    <cellStyle name="输入 2 6 15 2 2" xfId="5986"/>
    <cellStyle name="输出 2 7 6 3 5 2" xfId="5987"/>
    <cellStyle name="汇总 2 2 19 2" xfId="5988"/>
    <cellStyle name="汇总 2 12 5 2 2 2" xfId="5989"/>
    <cellStyle name="注释 2 2 9 3" xfId="5990"/>
    <cellStyle name="计算 2 9 2 2 5 2" xfId="5991"/>
    <cellStyle name="输出 2 5 10 12 2" xfId="5992"/>
    <cellStyle name="输入 2 8 3 6 3" xfId="5993"/>
    <cellStyle name="计算 2 4 9 3 2 2" xfId="5994"/>
    <cellStyle name="输出 2 8 5 8 2" xfId="5995"/>
    <cellStyle name="汇总 2 5 2 6 5" xfId="5996"/>
    <cellStyle name="汇总 2 16 16" xfId="5997"/>
    <cellStyle name="汇总 2 10 9 5 5 2" xfId="5998"/>
    <cellStyle name="汇总 2 9 9 3 4" xfId="5999"/>
    <cellStyle name="输出 2 12 12 4" xfId="6000"/>
    <cellStyle name="输出 2 12 2 6 3" xfId="6001"/>
    <cellStyle name="输入 2 6 15 3" xfId="6002"/>
    <cellStyle name="输出 2 7 6 3 6" xfId="6003"/>
    <cellStyle name="汇总 2 2 25" xfId="6004"/>
    <cellStyle name="汇总 2 12 5 2 3" xfId="6005"/>
    <cellStyle name="计算 2 9 2 2 6" xfId="6006"/>
    <cellStyle name="输出 2 5 10 13" xfId="6007"/>
    <cellStyle name="计算 2 3 7 5 2 2" xfId="6008"/>
    <cellStyle name="计算 2 10 6 2 4 2" xfId="6009"/>
    <cellStyle name="汇总 2 10 9 5 6" xfId="6010"/>
    <cellStyle name="检查单元格 2 10 5 3 3 2" xfId="6011"/>
    <cellStyle name="注释 2 5 6 7 3" xfId="6012"/>
    <cellStyle name="汇总 2 8 7 5 3 2" xfId="6013"/>
    <cellStyle name="汇总 2 11 3 4 2 2" xfId="6014"/>
    <cellStyle name="输出 2 6 4 5 5 2" xfId="6015"/>
    <cellStyle name="注释 2 17 8 4" xfId="6016"/>
    <cellStyle name="汇总 2 10 9 6" xfId="6017"/>
    <cellStyle name="输出 2 2 10 8 4 2" xfId="6018"/>
    <cellStyle name="输入 2 5 7 5 5 2" xfId="6019"/>
    <cellStyle name="汇总 2 11 9 7" xfId="6020"/>
    <cellStyle name="注释 2 12 2 2 7" xfId="6021"/>
    <cellStyle name="计算 2 12 15 3" xfId="6022"/>
    <cellStyle name="输入 2 5 8 5 6" xfId="6023"/>
    <cellStyle name="输出 2 10 2" xfId="6024"/>
    <cellStyle name="注释 2 17 8 4 2" xfId="6025"/>
    <cellStyle name="汇总 2 10 9 6 2" xfId="6026"/>
    <cellStyle name="计算 2 7 6 6 5" xfId="6027"/>
    <cellStyle name="汇总 2 4 2 2 4 2" xfId="6028"/>
    <cellStyle name="汇总 2 11 11 15" xfId="6029"/>
    <cellStyle name="输出 2 7 6 4 2" xfId="6030"/>
    <cellStyle name="汇总 2 4 3 2 5" xfId="6031"/>
    <cellStyle name="计算 2 9 2 3 2" xfId="6032"/>
    <cellStyle name="汇总 2 11 9 8" xfId="6033"/>
    <cellStyle name="注释 2 12 2 2 8" xfId="6034"/>
    <cellStyle name="输入 2 3 3 5 4 2" xfId="6035"/>
    <cellStyle name="计算 2 12 15 4" xfId="6036"/>
    <cellStyle name="检查单元格 2 9 3 6 2" xfId="6037"/>
    <cellStyle name="输出 2 10 3" xfId="6038"/>
    <cellStyle name="汇总 2 10 9 6 3" xfId="6039"/>
    <cellStyle name="注释 2 2 16 4 2" xfId="6040"/>
    <cellStyle name="计算 2 7 6 6 6" xfId="6041"/>
    <cellStyle name="输出 2 3 5 7 3 2" xfId="6042"/>
    <cellStyle name="汇总 2 11 11 16" xfId="6043"/>
    <cellStyle name="检查单元格 2 7 10" xfId="6044"/>
    <cellStyle name="输出 2 7 6 4 3" xfId="6045"/>
    <cellStyle name="汇总 2 4 3 2 6" xfId="6046"/>
    <cellStyle name="计算 2 9 2 3 3" xfId="6047"/>
    <cellStyle name="汇总 2 11 9 8 2" xfId="6048"/>
    <cellStyle name="计算 2 6 11 12" xfId="6049"/>
    <cellStyle name="计算 2 8 6 8 5" xfId="6050"/>
    <cellStyle name="计算 2 12 15 4 2" xfId="6051"/>
    <cellStyle name="输出 2 10 3 2" xfId="6052"/>
    <cellStyle name="汇总 2 10 9 6 3 2" xfId="6053"/>
    <cellStyle name="汇总 2 11 9 9" xfId="6054"/>
    <cellStyle name="注释 2 12 2 2 9" xfId="6055"/>
    <cellStyle name="计算 2 12 15 5" xfId="6056"/>
    <cellStyle name="输出 2 10 4" xfId="6057"/>
    <cellStyle name="汇总 2 10 9 6 4" xfId="6058"/>
    <cellStyle name="计算 2 8 3 2 7" xfId="6059"/>
    <cellStyle name="汇总 2 11 6 2 4" xfId="6060"/>
    <cellStyle name="检查单元格 2 7 8 8" xfId="6061"/>
    <cellStyle name="汇总 2 3 7 11 2" xfId="6062"/>
    <cellStyle name="输出 2 11 3 6 4" xfId="6063"/>
    <cellStyle name="汇总 2 11 9 9 2" xfId="6064"/>
    <cellStyle name="计算 2 12 15 5 2" xfId="6065"/>
    <cellStyle name="输出 2 10 4 2" xfId="6066"/>
    <cellStyle name="汇总 2 10 9 6 4 2" xfId="6067"/>
    <cellStyle name="检查单元格 2 7 12" xfId="6068"/>
    <cellStyle name="输入 2 7 4 2 6" xfId="6069"/>
    <cellStyle name="汇总 2 9 9 4 3" xfId="6070"/>
    <cellStyle name="输出 2 12 13 3" xfId="6071"/>
    <cellStyle name="输出 2 12 2 7 2" xfId="6072"/>
    <cellStyle name="输入 2 6 21 2" xfId="6073"/>
    <cellStyle name="输入 2 6 16 2" xfId="6074"/>
    <cellStyle name="输出 2 7 6 4 5" xfId="6075"/>
    <cellStyle name="汇总 2 12 5 3 2" xfId="6076"/>
    <cellStyle name="汇总 2 4 3 2 8" xfId="6077"/>
    <cellStyle name="计算 2 9 2 3 5" xfId="6078"/>
    <cellStyle name="计算 2 12 15 6" xfId="6079"/>
    <cellStyle name="输出 2 10 5" xfId="6080"/>
    <cellStyle name="汇总 2 10 9 6 5" xfId="6081"/>
    <cellStyle name="汇总 2 2 9" xfId="6082"/>
    <cellStyle name="汇总 2 11 6 3 4" xfId="6083"/>
    <cellStyle name="输入 2 6 5 2 8" xfId="6084"/>
    <cellStyle name="汇总 2 3 7 12 2" xfId="6085"/>
    <cellStyle name="输出 2 11 3 7 4" xfId="6086"/>
    <cellStyle name="检查单元格 2 7 12 2" xfId="6087"/>
    <cellStyle name="汇总 2 9 9 4 3 2" xfId="6088"/>
    <cellStyle name="输出 2 12 13 3 2" xfId="6089"/>
    <cellStyle name="输出 2 12 2 7 2 2" xfId="6090"/>
    <cellStyle name="输入 2 6 16 2 2" xfId="6091"/>
    <cellStyle name="输出 2 7 6 4 5 2" xfId="6092"/>
    <cellStyle name="汇总 2 12 5 3 2 2" xfId="6093"/>
    <cellStyle name="注释 2 3 9 3" xfId="6094"/>
    <cellStyle name="注释 2 11 4 10" xfId="6095"/>
    <cellStyle name="计算 2 9 2 3 5 2" xfId="6096"/>
    <cellStyle name="输入 2 8 4 6 3" xfId="6097"/>
    <cellStyle name="计算 2 4 9 4 2 2" xfId="6098"/>
    <cellStyle name="输出 2 8 6 8 2" xfId="6099"/>
    <cellStyle name="汇总 2 5 3 6 5" xfId="6100"/>
    <cellStyle name="汇总 2 10 9 6 5 2" xfId="6101"/>
    <cellStyle name="检查单元格 2 7 13" xfId="6102"/>
    <cellStyle name="输入 2 7 4 2 7" xfId="6103"/>
    <cellStyle name="汇总 2 9 9 4 4" xfId="6104"/>
    <cellStyle name="输出 2 12 13 4" xfId="6105"/>
    <cellStyle name="输出 2 12 2 7 3" xfId="6106"/>
    <cellStyle name="输入 2 6 16 3" xfId="6107"/>
    <cellStyle name="输出 2 7 6 4 6" xfId="6108"/>
    <cellStyle name="汇总 2 12 5 3 3" xfId="6109"/>
    <cellStyle name="汇总 2 4 3 2 9" xfId="6110"/>
    <cellStyle name="计算 2 9 2 3 6" xfId="6111"/>
    <cellStyle name="计算 2 3 7 5 3 2" xfId="6112"/>
    <cellStyle name="计算 2 10 6 2 5 2" xfId="6113"/>
    <cellStyle name="汇总 2 10 9 6 6" xfId="6114"/>
    <cellStyle name="检查单元格 2 10 5 3 4 2" xfId="6115"/>
    <cellStyle name="注释 2 5 6 8 3" xfId="6116"/>
    <cellStyle name="汇总 2 8 7 5 4 2" xfId="6117"/>
    <cellStyle name="汇总 2 11 3 4 3 2" xfId="6118"/>
    <cellStyle name="计算 2 8 4 2 7" xfId="6119"/>
    <cellStyle name="注释 2 5 3 2 3 2" xfId="6120"/>
    <cellStyle name="汇总 2 11 7 2 4" xfId="6121"/>
    <cellStyle name="检查单元格 2 8 8 8" xfId="6122"/>
    <cellStyle name="计算 2 12 16 5 2" xfId="6123"/>
    <cellStyle name="汇总 2 9 12 7" xfId="6124"/>
    <cellStyle name="输出 2 11 4 2" xfId="6125"/>
    <cellStyle name="汇总 2 10 9 7 4 2" xfId="6126"/>
    <cellStyle name="注释 2 5 3 2 4 2" xfId="6127"/>
    <cellStyle name="汇总 2 11 7 3 4" xfId="6128"/>
    <cellStyle name="汇总 2 9 9 5 3 2" xfId="6129"/>
    <cellStyle name="输出 2 12 14 3 2" xfId="6130"/>
    <cellStyle name="输出 2 12 2 8 2 2" xfId="6131"/>
    <cellStyle name="输入 2 6 17 2 2" xfId="6132"/>
    <cellStyle name="输出 2 7 6 5 5 2" xfId="6133"/>
    <cellStyle name="汇总 2 12 5 4 2 2" xfId="6134"/>
    <cellStyle name="注释 2 4 9 3" xfId="6135"/>
    <cellStyle name="注释 2 11 9 10" xfId="6136"/>
    <cellStyle name="计算 2 9 2 4 5 2" xfId="6137"/>
    <cellStyle name="输入 2 8 5 6 3" xfId="6138"/>
    <cellStyle name="计算 2 4 9 5 2 2" xfId="6139"/>
    <cellStyle name="计算 2 11 8 2 4 2" xfId="6140"/>
    <cellStyle name="输出 2 8 7 8 2" xfId="6141"/>
    <cellStyle name="计算 2 2 10 4 3" xfId="6142"/>
    <cellStyle name="汇总 2 5 4 6 5" xfId="6143"/>
    <cellStyle name="汇总 2 10 9 7 5 2" xfId="6144"/>
    <cellStyle name="输入 2 6 11" xfId="6145"/>
    <cellStyle name="计算 2 5 11 12 2" xfId="6146"/>
    <cellStyle name="汇总 2 10 9 8 2 2" xfId="6147"/>
    <cellStyle name="计算 2 12 17 3 2" xfId="6148"/>
    <cellStyle name="输出 2 12 2 2" xfId="6149"/>
    <cellStyle name="计算 2 5 11 13" xfId="6150"/>
    <cellStyle name="汇总 2 10 9 8 3" xfId="6151"/>
    <cellStyle name="输出 2 3 5 7 5 2" xfId="6152"/>
    <cellStyle name="计算 2 12 17 4" xfId="6153"/>
    <cellStyle name="汇总 2 5 8 7 3 2" xfId="6154"/>
    <cellStyle name="检查单元格 2 9 3 8 2" xfId="6155"/>
    <cellStyle name="输出 2 12 3" xfId="6156"/>
    <cellStyle name="计算 2 12 17 4 2" xfId="6157"/>
    <cellStyle name="输出 2 12 3 2" xfId="6158"/>
    <cellStyle name="汇总 2 10 9 8 3 2" xfId="6159"/>
    <cellStyle name="计算 2 5 11 14" xfId="6160"/>
    <cellStyle name="汇总 2 10 9 8 4" xfId="6161"/>
    <cellStyle name="计算 2 12 17 5" xfId="6162"/>
    <cellStyle name="输出 2 12 4" xfId="6163"/>
    <cellStyle name="汇总 2 3 4 7 2 2" xfId="6164"/>
    <cellStyle name="输出 2 8 11 2 5" xfId="6165"/>
    <cellStyle name="汇总 2 2 11 4" xfId="6166"/>
    <cellStyle name="汇总 2 6 2 8 2 2" xfId="6167"/>
    <cellStyle name="计算 2 8 5 2 7" xfId="6168"/>
    <cellStyle name="注释 2 5 3 3 3 2" xfId="6169"/>
    <cellStyle name="汇总 2 11 8 2 4" xfId="6170"/>
    <cellStyle name="检查单元格 2 9 8 8" xfId="6171"/>
    <cellStyle name="汇总 2 10 9 8 4 2" xfId="6172"/>
    <cellStyle name="输入 2 7 4 4 6" xfId="6173"/>
    <cellStyle name="汇总 2 9 9 6 3" xfId="6174"/>
    <cellStyle name="输出 2 12 15 3" xfId="6175"/>
    <cellStyle name="输出 2 12 2 9 2" xfId="6176"/>
    <cellStyle name="输入 2 6 23 2" xfId="6177"/>
    <cellStyle name="输入 2 6 18 2" xfId="6178"/>
    <cellStyle name="输出 2 7 6 6 5" xfId="6179"/>
    <cellStyle name="汇总 2 12 5 5 2" xfId="6180"/>
    <cellStyle name="计算 2 9 2 5 5" xfId="6181"/>
    <cellStyle name="输出 2 5 6 10" xfId="6182"/>
    <cellStyle name="计算 2 5 11 15" xfId="6183"/>
    <cellStyle name="汇总 2 10 9 8 5" xfId="6184"/>
    <cellStyle name="注释 2 11 2 6 4" xfId="6185"/>
    <cellStyle name="汇总 2 8 8 6" xfId="6186"/>
    <cellStyle name="汇总 2 11" xfId="6187"/>
    <cellStyle name="输出 2 10 9 3 4 2" xfId="6188"/>
    <cellStyle name="输入 2 5 11 9" xfId="6189"/>
    <cellStyle name="汇总 2 11 6 15" xfId="6190"/>
    <cellStyle name="输出 2 2 11 4 3" xfId="6191"/>
    <cellStyle name="汇总 2 11 10" xfId="6192"/>
    <cellStyle name="输出 2 12 5 2 4 2" xfId="6193"/>
    <cellStyle name="汇总 2 3 5 9 2" xfId="6194"/>
    <cellStyle name="汇总 2 6 8 8 3 2" xfId="6195"/>
    <cellStyle name="输入 2 8 5 2 7" xfId="6196"/>
    <cellStyle name="计算 2 3 16 2 2" xfId="6197"/>
    <cellStyle name="输出 2 5 15 2" xfId="6198"/>
    <cellStyle name="输出 2 5 20 2" xfId="6199"/>
    <cellStyle name="汇总 2 11 10 10" xfId="6200"/>
    <cellStyle name="注释 2 10 3 11 2" xfId="6201"/>
    <cellStyle name="输出 2 8 7 4 6" xfId="6202"/>
    <cellStyle name="汇总 2 5 4 2 9" xfId="6203"/>
    <cellStyle name="注释 2 6 7 8 3" xfId="6204"/>
    <cellStyle name="汇总 2 8 8 6 4 2" xfId="6205"/>
    <cellStyle name="汇总 2 11 4 2" xfId="6206"/>
    <cellStyle name="汇总 2 11 4 5 3 2" xfId="6207"/>
    <cellStyle name="计算 2 10 25" xfId="6208"/>
    <cellStyle name="检查单元格 2 8 2 5 4" xfId="6209"/>
    <cellStyle name="输出 2 5 15 2 2" xfId="6210"/>
    <cellStyle name="汇总 2 11 10 10 2" xfId="6211"/>
    <cellStyle name="汇总 2 8 8 3 3" xfId="6212"/>
    <cellStyle name="汇总 2 5 7 15" xfId="6213"/>
    <cellStyle name="输出 2 12 5 12" xfId="6214"/>
    <cellStyle name="注释 2 6 7 8 3 2" xfId="6215"/>
    <cellStyle name="汇总 2 11 4 2 2" xfId="6216"/>
    <cellStyle name="检查单元格 2 5 8 6" xfId="6217"/>
    <cellStyle name="输出 2 6 5 3 5" xfId="6218"/>
    <cellStyle name="汇总 2 11 10 11" xfId="6219"/>
    <cellStyle name="注释 2 6 7 8 4" xfId="6220"/>
    <cellStyle name="汇总 2 11 4 3" xfId="6221"/>
    <cellStyle name="计算 2 3 8 4" xfId="6222"/>
    <cellStyle name="汇总 2 6 4 6 3 2" xfId="6223"/>
    <cellStyle name="汇总 2 11 11 5 2 2" xfId="6224"/>
    <cellStyle name="计算 2 2 3 6 4" xfId="6225"/>
    <cellStyle name="输出 2 12 4 7 2 2" xfId="6226"/>
    <cellStyle name="输出 2 7 8 4 5 2" xfId="6227"/>
    <cellStyle name="汇总 2 12 7 3 2 2" xfId="6228"/>
    <cellStyle name="输入 2 12 11 4 2" xfId="6229"/>
    <cellStyle name="计算 2 9 4 3 5 2" xfId="6230"/>
    <cellStyle name="汇总 2 11 10 11 2" xfId="6231"/>
    <cellStyle name="输入 2 6 3 2 6" xfId="6232"/>
    <cellStyle name="汇总 2 8 8 4 3" xfId="6233"/>
    <cellStyle name="注释 2 6 7 8 4 2" xfId="6234"/>
    <cellStyle name="汇总 2 11 4 3 2" xfId="6235"/>
    <cellStyle name="汇总 2 3 2 2 8" xfId="6236"/>
    <cellStyle name="检查单元格 2 5 9 6" xfId="6237"/>
    <cellStyle name="输出 2 6 5 4 5" xfId="6238"/>
    <cellStyle name="计算 2 10 14 5 2" xfId="6239"/>
    <cellStyle name="汇总 2 7 3 6 5 2" xfId="6240"/>
    <cellStyle name="汇总 2 11 14" xfId="6241"/>
    <cellStyle name="汇总 2 11 10 12" xfId="6242"/>
    <cellStyle name="注释 2 6 7 8 5" xfId="6243"/>
    <cellStyle name="注释 2 18 3 2" xfId="6244"/>
    <cellStyle name="汇总 2 11 4 4" xfId="6245"/>
    <cellStyle name="汇总 2 11 10 13" xfId="6246"/>
    <cellStyle name="汇总 2 11 4 5" xfId="6247"/>
    <cellStyle name="检查单元格 2 8 4 4 2 2" xfId="6248"/>
    <cellStyle name="汇总 2 2 6 5 2 2" xfId="6249"/>
    <cellStyle name="汇总 2 11 4 7" xfId="6250"/>
    <cellStyle name="计算 2 12 8 6 4 2" xfId="6251"/>
    <cellStyle name="注释 2 10 5 5 4 2" xfId="6252"/>
    <cellStyle name="汇总 2 11 10 15" xfId="6253"/>
    <cellStyle name="汇总 2 5 18 3" xfId="6254"/>
    <cellStyle name="汇总 2 5 18 4" xfId="6255"/>
    <cellStyle name="注释 2 6 3 12 2" xfId="6256"/>
    <cellStyle name="汇总 2 11 10 16" xfId="6257"/>
    <cellStyle name="检查单元格 2 6 10" xfId="6258"/>
    <cellStyle name="汇总 2 11 4 8" xfId="6259"/>
    <cellStyle name="汇总 2 11 10 2" xfId="6260"/>
    <cellStyle name="输出 2 12 3 4" xfId="6261"/>
    <cellStyle name="汇总 2 11 10 2 2" xfId="6262"/>
    <cellStyle name="输出 2 12 3 4 2" xfId="6263"/>
    <cellStyle name="汇总 2 8 6 3" xfId="6264"/>
    <cellStyle name="汇总 2 11 10 2 2 2" xfId="6265"/>
    <cellStyle name="输出 2 12 3 4 2 2" xfId="6266"/>
    <cellStyle name="输出 2 12 3 4 3" xfId="6267"/>
    <cellStyle name="汇总 2 11 10 2 3" xfId="6268"/>
    <cellStyle name="输出 2 12 8 3 5 2" xfId="6269"/>
    <cellStyle name="汇总 2 8 7 3" xfId="6270"/>
    <cellStyle name="汇总 2 11 10 2 3 2" xfId="6271"/>
    <cellStyle name="输出 2 12 3 4 3 2" xfId="6272"/>
    <cellStyle name="汇总 2 4 5 10" xfId="6273"/>
    <cellStyle name="汇总 2 11 10 2 4" xfId="6274"/>
    <cellStyle name="输出 2 12 3 4 4" xfId="6275"/>
    <cellStyle name="汇总 2 8 8 3" xfId="6276"/>
    <cellStyle name="汇总 2 11 10 2 4 2" xfId="6277"/>
    <cellStyle name="输出 2 12 3 4 4 2" xfId="6278"/>
    <cellStyle name="输入 2 5 11 6" xfId="6279"/>
    <cellStyle name="汇总 2 11 6 12" xfId="6280"/>
    <cellStyle name="注释 2 7 3 8 3 2" xfId="6281"/>
    <cellStyle name="汇总 2 11 10 2 6" xfId="6282"/>
    <cellStyle name="输出 2 12 3 4 6" xfId="6283"/>
    <cellStyle name="汇总 2 8 9 5 5 2" xfId="6284"/>
    <cellStyle name="输出 2 11 2 8 4 2" xfId="6285"/>
    <cellStyle name="汇总 2 11 5 4 4 2" xfId="6286"/>
    <cellStyle name="计算 2 3 9 5 4 2" xfId="6287"/>
    <cellStyle name="汇总 2 12 9 7 6" xfId="6288"/>
    <cellStyle name="检查单元格 2 10 7 3 5 2" xfId="6289"/>
    <cellStyle name="输入 2 2 10 3 5" xfId="6290"/>
    <cellStyle name="汇总 2 6 2 10" xfId="6291"/>
    <cellStyle name="汇总 2 11 10 2 8" xfId="6292"/>
    <cellStyle name="计算 2 9 7 10 2" xfId="6293"/>
    <cellStyle name="汇总 2 5 2 7 5 2" xfId="6294"/>
    <cellStyle name="计算 2 3 2 7 4" xfId="6295"/>
    <cellStyle name="输出 2 12 5 6 3 2" xfId="6296"/>
    <cellStyle name="计算 2 12 9 13" xfId="6297"/>
    <cellStyle name="输出 2 8 12" xfId="6298"/>
    <cellStyle name="汇总 2 12 8 2 3 2" xfId="6299"/>
    <cellStyle name="汇总 2 3 9 8 2" xfId="6300"/>
    <cellStyle name="汇总 2 11 10 2 9" xfId="6301"/>
    <cellStyle name="汇总 2 7 11 3 2" xfId="6302"/>
    <cellStyle name="注释 2 11 8 8 4" xfId="6303"/>
    <cellStyle name="输出 2 3 10 5 6" xfId="6304"/>
    <cellStyle name="汇总 2 2 8 2 2" xfId="6305"/>
    <cellStyle name="汇总 2 11 10 3" xfId="6306"/>
    <cellStyle name="输出 2 12 3 5" xfId="6307"/>
    <cellStyle name="输出 2 8 8 6 5" xfId="6308"/>
    <cellStyle name="计算 2 2 11 2 6" xfId="6309"/>
    <cellStyle name="汇总 2 13 7 5 2" xfId="6310"/>
    <cellStyle name="汇总 2 2 8 2 2 2" xfId="6311"/>
    <cellStyle name="汇总 2 11 10 3 2" xfId="6312"/>
    <cellStyle name="输出 2 12 3 5 2" xfId="6313"/>
    <cellStyle name="注释 2 3 4 16" xfId="6314"/>
    <cellStyle name="汇总 2 9 6 3" xfId="6315"/>
    <cellStyle name="汇总 2 11 10 3 2 2" xfId="6316"/>
    <cellStyle name="输出 2 12 3 5 2 2" xfId="6317"/>
    <cellStyle name="汇总 2 11 10 3 3" xfId="6318"/>
    <cellStyle name="输出 2 12 3 5 3" xfId="6319"/>
    <cellStyle name="汇总 2 11 10 3 4" xfId="6320"/>
    <cellStyle name="输出 2 12 3 5 4" xfId="6321"/>
    <cellStyle name="汇总 2 9 8 3" xfId="6322"/>
    <cellStyle name="汇总 2 11 10 3 4 2" xfId="6323"/>
    <cellStyle name="输出 2 12 3 5 4 2" xfId="6324"/>
    <cellStyle name="注释 2 7 3 8 4 2" xfId="6325"/>
    <cellStyle name="汇总 2 11 10 3 6" xfId="6326"/>
    <cellStyle name="输出 2 12 3 5 6" xfId="6327"/>
    <cellStyle name="计算 2 3 8 7 5 2" xfId="6328"/>
    <cellStyle name="输入 2 11 4 3 2 2" xfId="6329"/>
    <cellStyle name="汇总 2 2 8 2 3" xfId="6330"/>
    <cellStyle name="汇总 2 12 6 2" xfId="6331"/>
    <cellStyle name="汇总 2 11 10 4" xfId="6332"/>
    <cellStyle name="汇总 2 11 4 6 5 2" xfId="6333"/>
    <cellStyle name="输出 2 12 3 6" xfId="6334"/>
    <cellStyle name="汇总 2 2 8 2 3 2" xfId="6335"/>
    <cellStyle name="输出 2 7 7 3 5" xfId="6336"/>
    <cellStyle name="汇总 2 7 24" xfId="6337"/>
    <cellStyle name="汇总 2 12 6 2 2" xfId="6338"/>
    <cellStyle name="汇总 2 7 19" xfId="6339"/>
    <cellStyle name="计算 2 9 3 2 5" xfId="6340"/>
    <cellStyle name="汇总 2 11 10 4 2" xfId="6341"/>
    <cellStyle name="输出 2 12 3 6 2" xfId="6342"/>
    <cellStyle name="注释 2 5 7 7 2" xfId="6343"/>
    <cellStyle name="计算 2 4 10 3 5 2" xfId="6344"/>
    <cellStyle name="汇总 2 11 4 12" xfId="6345"/>
    <cellStyle name="注释 2 4 16 4 2" xfId="6346"/>
    <cellStyle name="检查单元格 2 2 2 4 4 2" xfId="6347"/>
    <cellStyle name="输出 2 9 5 8 2" xfId="6348"/>
    <cellStyle name="汇总 2 6 2 6 5" xfId="6349"/>
    <cellStyle name="输出 2 7 7 3 5 2" xfId="6350"/>
    <cellStyle name="汇总 2 12 6 2 2 2" xfId="6351"/>
    <cellStyle name="汇总 2 7 19 2" xfId="6352"/>
    <cellStyle name="计算 2 9 3 2 5 2" xfId="6353"/>
    <cellStyle name="注释 2 3 9 16" xfId="6354"/>
    <cellStyle name="汇总 2 11 10 4 2 2" xfId="6355"/>
    <cellStyle name="输出 2 12 3 6 2 2" xfId="6356"/>
    <cellStyle name="输出 2 7 16 6" xfId="6357"/>
    <cellStyle name="注释 2 5 7 7 2 2" xfId="6358"/>
    <cellStyle name="汇总 2 11 4 12 2" xfId="6359"/>
    <cellStyle name="检查单元格 2 9 4 5 4 2" xfId="6360"/>
    <cellStyle name="汇总 2 3 7 14" xfId="6361"/>
    <cellStyle name="输出 2 10 5 11" xfId="6362"/>
    <cellStyle name="输出 2 7 7 3 6" xfId="6363"/>
    <cellStyle name="汇总 2 7 25" xfId="6364"/>
    <cellStyle name="汇总 2 12 6 2 3" xfId="6365"/>
    <cellStyle name="计算 2 9 3 2 6" xfId="6366"/>
    <cellStyle name="汇总 2 11 10 4 3" xfId="6367"/>
    <cellStyle name="输出 2 12 3 6 3" xfId="6368"/>
    <cellStyle name="注释 2 5 7 7 3" xfId="6369"/>
    <cellStyle name="汇总 2 8 7 6 3 2" xfId="6370"/>
    <cellStyle name="汇总 2 11 4 13" xfId="6371"/>
    <cellStyle name="汇总 2 11 3 5 2 2" xfId="6372"/>
    <cellStyle name="输出 2 6 4 6 5 2" xfId="6373"/>
    <cellStyle name="汇总 2 7 26" xfId="6374"/>
    <cellStyle name="汇总 2 12 6 2 4" xfId="6375"/>
    <cellStyle name="计算 2 9 3 2 7" xfId="6376"/>
    <cellStyle name="汇总 2 11 10 4 4" xfId="6377"/>
    <cellStyle name="输出 2 12 3 6 4" xfId="6378"/>
    <cellStyle name="注释 2 5 7 7 4" xfId="6379"/>
    <cellStyle name="汇总 2 11 4 14" xfId="6380"/>
    <cellStyle name="汇总 2 6 3 6 2 2" xfId="6381"/>
    <cellStyle name="汇总 2 12 6 2 4 2" xfId="6382"/>
    <cellStyle name="汇总 2 11 10 4 4 2" xfId="6383"/>
    <cellStyle name="输出 2 12 3 6 4 2" xfId="6384"/>
    <cellStyle name="输出 2 7 18 6" xfId="6385"/>
    <cellStyle name="汇总 2 6 2 8 5" xfId="6386"/>
    <cellStyle name="输入 2 12 6 3 5 2" xfId="6387"/>
    <cellStyle name="汇总 2 12 6 2 6" xfId="6388"/>
    <cellStyle name="输入 2 10 10 12 2" xfId="6389"/>
    <cellStyle name="计算 2 9 3 2 9" xfId="6390"/>
    <cellStyle name="汇总 2 11 10 4 6" xfId="6391"/>
    <cellStyle name="输出 2 12 3 6 6" xfId="6392"/>
    <cellStyle name="注释 2 5 7 7 6" xfId="6393"/>
    <cellStyle name="汇总 2 8 2 9 2" xfId="6394"/>
    <cellStyle name="汇总 2 11 4 16" xfId="6395"/>
    <cellStyle name="计算 2 2 4 8 4" xfId="6396"/>
    <cellStyle name="计算 2 11 7 12 2" xfId="6397"/>
    <cellStyle name="输出 2 12 4 8 4 2" xfId="6398"/>
    <cellStyle name="汇总 2 11 11 6 4 2" xfId="6399"/>
    <cellStyle name="输出 2 2 3 13" xfId="6400"/>
    <cellStyle name="汇总 2 2 10 9" xfId="6401"/>
    <cellStyle name="汇总 2 12 7 4 4 2" xfId="6402"/>
    <cellStyle name="汇总 2 12 6 3" xfId="6403"/>
    <cellStyle name="汇总 2 11 10 5" xfId="6404"/>
    <cellStyle name="输出 2 12 3 7" xfId="6405"/>
    <cellStyle name="输入 2 9 5 7 3 2" xfId="6406"/>
    <cellStyle name="汇总 2 2 8 2 4" xfId="6407"/>
    <cellStyle name="汇总 2 6 4 7 5 2" xfId="6408"/>
    <cellStyle name="汇总 2 2 8 2 4 2" xfId="6409"/>
    <cellStyle name="输出 2 7 7 4 5" xfId="6410"/>
    <cellStyle name="汇总 2 12 6 3 2" xfId="6411"/>
    <cellStyle name="汇总 2 4 4 2 8" xfId="6412"/>
    <cellStyle name="计算 2 9 3 3 5" xfId="6413"/>
    <cellStyle name="汇总 2 11 10 5 2" xfId="6414"/>
    <cellStyle name="输入 2 7 5 2 6" xfId="6415"/>
    <cellStyle name="输出 2 12 3 7 2" xfId="6416"/>
    <cellStyle name="计算 2 11 9 2 4" xfId="6417"/>
    <cellStyle name="汇总 2 2 8 2 5 2" xfId="6418"/>
    <cellStyle name="计算 2 7 7 3 2 2" xfId="6419"/>
    <cellStyle name="汇总 2 11 10 6 2" xfId="6420"/>
    <cellStyle name="输入 2 7 5 3 6" xfId="6421"/>
    <cellStyle name="计算 2 11 2 10" xfId="6422"/>
    <cellStyle name="输出 2 12 3 8 2" xfId="6423"/>
    <cellStyle name="输出 2 7 7 5 5" xfId="6424"/>
    <cellStyle name="汇总 2 12 6 4 2" xfId="6425"/>
    <cellStyle name="计算 2 9 3 4 5" xfId="6426"/>
    <cellStyle name="注释 2 5 4 2 4 2" xfId="6427"/>
    <cellStyle name="汇总 2 12 7 3 4" xfId="6428"/>
    <cellStyle name="汇总 2 11 11 5 4" xfId="6429"/>
    <cellStyle name="输入 2 7 6 2 8" xfId="6430"/>
    <cellStyle name="输出 2 12 4 7 4" xfId="6431"/>
    <cellStyle name="汇总 2 11 10 6 2 2" xfId="6432"/>
    <cellStyle name="计算 2 11 2 10 2" xfId="6433"/>
    <cellStyle name="输出 2 12 3 8 2 2" xfId="6434"/>
    <cellStyle name="输出 2 7 7 5 5 2" xfId="6435"/>
    <cellStyle name="汇总 2 12 6 4 2 2" xfId="6436"/>
    <cellStyle name="计算 2 9 3 4 5 2" xfId="6437"/>
    <cellStyle name="输入 2 9 5 6 3" xfId="6438"/>
    <cellStyle name="计算 2 11 9 2 4 2" xfId="6439"/>
    <cellStyle name="输出 2 9 7 8 2" xfId="6440"/>
    <cellStyle name="汇总 2 6 4 6 5" xfId="6441"/>
    <cellStyle name="输入 2 3 5 2 2 2" xfId="6442"/>
    <cellStyle name="汇总 2 11 10 6 3" xfId="6443"/>
    <cellStyle name="计算 2 11 2 11" xfId="6444"/>
    <cellStyle name="输出 2 12 3 8 3" xfId="6445"/>
    <cellStyle name="输出 2 7 7 5 6" xfId="6446"/>
    <cellStyle name="汇总 2 12 6 4 3" xfId="6447"/>
    <cellStyle name="计算 2 9 3 4 6" xfId="6448"/>
    <cellStyle name="汇总 2 8 7 6 5 2" xfId="6449"/>
    <cellStyle name="输出 2 9 3 2 3" xfId="6450"/>
    <cellStyle name="输出 2 4 3 15" xfId="6451"/>
    <cellStyle name="汇总 2 11 3 5 4 2" xfId="6452"/>
    <cellStyle name="输入 2 5 10 15" xfId="6453"/>
    <cellStyle name="汇总 2 11 11 6 4" xfId="6454"/>
    <cellStyle name="计算 2 11 7 12" xfId="6455"/>
    <cellStyle name="输出 2 12 4 8 4" xfId="6456"/>
    <cellStyle name="注释 2 5 4 2 5 2" xfId="6457"/>
    <cellStyle name="汇总 2 12 7 4 4" xfId="6458"/>
    <cellStyle name="汇总 2 11 10 6 3 2" xfId="6459"/>
    <cellStyle name="计算 2 11 2 11 2" xfId="6460"/>
    <cellStyle name="输出 2 12 3 8 3 2" xfId="6461"/>
    <cellStyle name="汇总 2 12 6 4 3 2" xfId="6462"/>
    <cellStyle name="输入 2 9 5 7 3" xfId="6463"/>
    <cellStyle name="计算 2 11 9 2 5 2" xfId="6464"/>
    <cellStyle name="输出 2 9 7 9 2" xfId="6465"/>
    <cellStyle name="汇总 2 6 4 7 5" xfId="6466"/>
    <cellStyle name="汇总 2 12 7 5 4" xfId="6467"/>
    <cellStyle name="汇总 2 11 11 7 4" xfId="6468"/>
    <cellStyle name="汇总 2 11 10 6 4 2" xfId="6469"/>
    <cellStyle name="计算 2 11 2 12 2" xfId="6470"/>
    <cellStyle name="输出 2 12 3 8 4 2" xfId="6471"/>
    <cellStyle name="汇总 2 12 6 4 4 2" xfId="6472"/>
    <cellStyle name="汇总 2 6 4 8 5" xfId="6473"/>
    <cellStyle name="计算 2 11 2 14" xfId="6474"/>
    <cellStyle name="汇总 2 11 10 6 6" xfId="6475"/>
    <cellStyle name="汇总 2 12 6 4 6" xfId="6476"/>
    <cellStyle name="汇总 2 2 8 2 6" xfId="6477"/>
    <cellStyle name="计算 2 7 7 3 3" xfId="6478"/>
    <cellStyle name="汇总 2 12 6 5" xfId="6479"/>
    <cellStyle name="检查单元格 2 8 4 5 4 2" xfId="6480"/>
    <cellStyle name="汇总 2 11 10 7" xfId="6481"/>
    <cellStyle name="输出 2 12 3 9" xfId="6482"/>
    <cellStyle name="注释 2 10 7 2 8" xfId="6483"/>
    <cellStyle name="计算 2 8 3 2 5 2" xfId="6484"/>
    <cellStyle name="汇总 2 11 6 2 2 2" xfId="6485"/>
    <cellStyle name="输出 2 6 7 3 5 2" xfId="6486"/>
    <cellStyle name="输出 2 7 7 6 5" xfId="6487"/>
    <cellStyle name="汇总 2 12 6 5 2" xfId="6488"/>
    <cellStyle name="计算 2 9 3 5 5" xfId="6489"/>
    <cellStyle name="汇总 2 11 10 7 2" xfId="6490"/>
    <cellStyle name="输入 2 7 5 4 6" xfId="6491"/>
    <cellStyle name="输出 2 12 3 9 2" xfId="6492"/>
    <cellStyle name="输出 2 7 7 6 5 2" xfId="6493"/>
    <cellStyle name="汇总 2 12 6 5 2 2" xfId="6494"/>
    <cellStyle name="计算 2 9 3 5 5 2" xfId="6495"/>
    <cellStyle name="汇总 2 11 10 7 2 2" xfId="6496"/>
    <cellStyle name="输入 2 9 6 6 3" xfId="6497"/>
    <cellStyle name="计算 2 11 9 3 4 2" xfId="6498"/>
    <cellStyle name="输出 2 9 8 8 2" xfId="6499"/>
    <cellStyle name="汇总 2 6 5 6 5" xfId="6500"/>
    <cellStyle name="输出 2 7 7 6 6" xfId="6501"/>
    <cellStyle name="汇总 2 12 6 5 3" xfId="6502"/>
    <cellStyle name="计算 2 5 3 3 2 2" xfId="6503"/>
    <cellStyle name="输入 2 7 9 10 2" xfId="6504"/>
    <cellStyle name="计算 2 9 3 5 6" xfId="6505"/>
    <cellStyle name="输出 2 3 7 4 2 2" xfId="6506"/>
    <cellStyle name="输入 2 3 5 2 3 2" xfId="6507"/>
    <cellStyle name="汇总 2 11 10 7 3" xfId="6508"/>
    <cellStyle name="汇总 2 11 3 5 5 2" xfId="6509"/>
    <cellStyle name="汇总 2 12 6 5 3 2" xfId="6510"/>
    <cellStyle name="汇总 2 11 10 7 3 2" xfId="6511"/>
    <cellStyle name="输入 2 9 6 7 3" xfId="6512"/>
    <cellStyle name="计算 2 11 9 3 5 2" xfId="6513"/>
    <cellStyle name="汇总 2 5 5 10" xfId="6514"/>
    <cellStyle name="输出 2 9 8 9 2" xfId="6515"/>
    <cellStyle name="汇总 2 6 5 7 5" xfId="6516"/>
    <cellStyle name="汇总 2 12 6 5 4 2" xfId="6517"/>
    <cellStyle name="汇总 2 11 10 7 4 2" xfId="6518"/>
    <cellStyle name="输入 2 6 11 6" xfId="6519"/>
    <cellStyle name="汇总 2 12 6 12" xfId="6520"/>
    <cellStyle name="汇总 2 6 5 8 5" xfId="6521"/>
    <cellStyle name="计算 2 3 9 2 2 2" xfId="6522"/>
    <cellStyle name="汇总 2 12 6 5 6" xfId="6523"/>
    <cellStyle name="汇总 2 11 10 7 6" xfId="6524"/>
    <cellStyle name="输出 2 7 7 7 5 2" xfId="6525"/>
    <cellStyle name="汇总 2 12 6 6 2 2" xfId="6526"/>
    <cellStyle name="计算 2 9 3 6 5 2" xfId="6527"/>
    <cellStyle name="注释 2 4 4 16" xfId="6528"/>
    <cellStyle name="汇总 2 11 10 8 2 2" xfId="6529"/>
    <cellStyle name="输入 2 9 7 6 3" xfId="6530"/>
    <cellStyle name="计算 2 11 9 4 4 2" xfId="6531"/>
    <cellStyle name="注释 2 4 6 12 2" xfId="6532"/>
    <cellStyle name="输出 2 9 9 8 2" xfId="6533"/>
    <cellStyle name="汇总 2 6 6 6 5" xfId="6534"/>
    <cellStyle name="汇总 2 12 6 6 3 2" xfId="6535"/>
    <cellStyle name="汇总 2 11 10 8 3 2" xfId="6536"/>
    <cellStyle name="输出 2 3 10 2 3" xfId="6537"/>
    <cellStyle name="输入 2 9 7 7 3" xfId="6538"/>
    <cellStyle name="计算 2 11 9 4 5 2" xfId="6539"/>
    <cellStyle name="输出 2 9 9 9 2" xfId="6540"/>
    <cellStyle name="汇总 2 6 6 7 5" xfId="6541"/>
    <cellStyle name="注释 2 5 7 2 6" xfId="6542"/>
    <cellStyle name="汇总 2 8 2 4 2" xfId="6543"/>
    <cellStyle name="汇总 2 11 3 16" xfId="6544"/>
    <cellStyle name="注释 2 10 19 5" xfId="6545"/>
    <cellStyle name="计算 2 13 15" xfId="6546"/>
    <cellStyle name="汇总 2 4 4 11 2" xfId="6547"/>
    <cellStyle name="汇总 2 12 6 6 4 2" xfId="6548"/>
    <cellStyle name="汇总 2 11 10 8 4 2" xfId="6549"/>
    <cellStyle name="输出 2 3 10 3 3" xfId="6550"/>
    <cellStyle name="汇总 2 4 11 12" xfId="6551"/>
    <cellStyle name="汇总 2 6 6 8 5" xfId="6552"/>
    <cellStyle name="汇总 2 2 8 2 8" xfId="6553"/>
    <cellStyle name="计算 2 7 7 3 5" xfId="6554"/>
    <cellStyle name="汇总 2 2 6 6 4 2" xfId="6555"/>
    <cellStyle name="汇总 2 11 10 9" xfId="6556"/>
    <cellStyle name="输入 2 5 7 6 2 2" xfId="6557"/>
    <cellStyle name="汇总 2 12 6 7" xfId="6558"/>
    <cellStyle name="输出 2 7 7 8 5" xfId="6559"/>
    <cellStyle name="汇总 2 8 24" xfId="6560"/>
    <cellStyle name="汇总 2 8 19" xfId="6561"/>
    <cellStyle name="汇总 2 12 6 7 2" xfId="6562"/>
    <cellStyle name="计算 2 9 3 7 5" xfId="6563"/>
    <cellStyle name="汇总 2 11 10 9 2" xfId="6564"/>
    <cellStyle name="注释 2 8 4 7 5 2" xfId="6565"/>
    <cellStyle name="汇总 2 11 5 12" xfId="6566"/>
    <cellStyle name="汇总 2 11 11" xfId="6567"/>
    <cellStyle name="汇总 2 4 4 8 2 2" xfId="6568"/>
    <cellStyle name="注释 2 9 8 11 2" xfId="6569"/>
    <cellStyle name="输入 2 11 4 2 5 2" xfId="6570"/>
    <cellStyle name="汇总 2 2 7 5 3" xfId="6571"/>
    <cellStyle name="汇总 2 11 9 2" xfId="6572"/>
    <cellStyle name="输入 2 7 10 2 9" xfId="6573"/>
    <cellStyle name="计算 2 5 4 3 5 2" xfId="6574"/>
    <cellStyle name="汇总 2 11 11 10" xfId="6575"/>
    <cellStyle name="输出 2 3 8 4 5 2" xfId="6576"/>
    <cellStyle name="汇总 2 2 7 5 3 2" xfId="6577"/>
    <cellStyle name="汇总 2 11 9 2 2" xfId="6578"/>
    <cellStyle name="汇总 2 6 7 15" xfId="6579"/>
    <cellStyle name="计算 2 8 6 2 5" xfId="6580"/>
    <cellStyle name="注释 2 9 3 6 5" xfId="6581"/>
    <cellStyle name="汇总 2 11 11 10 2" xfId="6582"/>
    <cellStyle name="汇总 2 2 7 5 4" xfId="6583"/>
    <cellStyle name="汇总 2 11 9 3" xfId="6584"/>
    <cellStyle name="汇总 2 11 11 11" xfId="6585"/>
    <cellStyle name="输入 2 2 11 6 4 2" xfId="6586"/>
    <cellStyle name="计算 2 12 9 6 6" xfId="6587"/>
    <cellStyle name="汇总 2 3 7 4 2 2" xfId="6588"/>
    <cellStyle name="汇总 2 2 7 5 4 2" xfId="6589"/>
    <cellStyle name="汇总 2 11 9 3 2" xfId="6590"/>
    <cellStyle name="汇总 2 3 7 2 8" xfId="6591"/>
    <cellStyle name="计算 2 6 10 12" xfId="6592"/>
    <cellStyle name="计算 2 8 6 3 5" xfId="6593"/>
    <cellStyle name="注释 2 9 3 7 5" xfId="6594"/>
    <cellStyle name="汇总 2 11 11 11 2" xfId="6595"/>
    <cellStyle name="输入 2 5 8 5 3" xfId="6596"/>
    <cellStyle name="计算 2 11 5 5 3 2" xfId="6597"/>
    <cellStyle name="输入 2 2 8 7 2 2" xfId="6598"/>
    <cellStyle name="汇总 2 2 7 5 5" xfId="6599"/>
    <cellStyle name="计算 2 7 6 6 2" xfId="6600"/>
    <cellStyle name="汇总 2 9 6 8 2 2" xfId="6601"/>
    <cellStyle name="汇总 2 15 2 5 2" xfId="6602"/>
    <cellStyle name="汇总 2 11 9 4" xfId="6603"/>
    <cellStyle name="汇总 2 11 11 12" xfId="6604"/>
    <cellStyle name="汇总 2 4 3 2 2" xfId="6605"/>
    <cellStyle name="汇总 2 2 7 5 5 2" xfId="6606"/>
    <cellStyle name="计算 2 7 6 6 2 2" xfId="6607"/>
    <cellStyle name="汇总 2 11 9 4 2" xfId="6608"/>
    <cellStyle name="计算 2 8 6 4 5" xfId="6609"/>
    <cellStyle name="注释 2 9 3 8 5" xfId="6610"/>
    <cellStyle name="汇总 2 11 11 12 2" xfId="6611"/>
    <cellStyle name="汇总 2 4 3 2 2 2" xfId="6612"/>
    <cellStyle name="汇总 2 2 7 5 6" xfId="6613"/>
    <cellStyle name="计算 2 7 6 6 3" xfId="6614"/>
    <cellStyle name="汇总 2 11 9 5" xfId="6615"/>
    <cellStyle name="注释 2 6 3 3 2 2" xfId="6616"/>
    <cellStyle name="汇总 2 11 11 13" xfId="6617"/>
    <cellStyle name="汇总 2 4 3 2 3" xfId="6618"/>
    <cellStyle name="汇总 2 11 9 6" xfId="6619"/>
    <cellStyle name="输出 2 9 9 4 2 2" xfId="6620"/>
    <cellStyle name="汇总 2 11 11 14" xfId="6621"/>
    <cellStyle name="汇总 2 6 6 2 5 2" xfId="6622"/>
    <cellStyle name="输入 2 9 7 2 3 2" xfId="6623"/>
    <cellStyle name="汇总 2 4 3 2 4" xfId="6624"/>
    <cellStyle name="汇总 2 5 9 10 2" xfId="6625"/>
    <cellStyle name="汇总 2 2 11 6" xfId="6626"/>
    <cellStyle name="输入 2 12 5 5 5 2" xfId="6627"/>
    <cellStyle name="汇总 2 11 8 2 6" xfId="6628"/>
    <cellStyle name="计算 2 8 5 2 9" xfId="6629"/>
    <cellStyle name="汇总 2 3 2 2 5 2" xfId="6630"/>
    <cellStyle name="检查单元格 2 5 9 3 2" xfId="6631"/>
    <cellStyle name="输出 2 6 5 4 2 2" xfId="6632"/>
    <cellStyle name="汇总 2 11 11 2" xfId="6633"/>
    <cellStyle name="输出 2 12 4 4" xfId="6634"/>
    <cellStyle name="汇总 2 2 7 7" xfId="6635"/>
    <cellStyle name="输入 2 4 2 8 4" xfId="6636"/>
    <cellStyle name="检查单元格 2 10 4 13" xfId="6637"/>
    <cellStyle name="汇总 2 11 11 2 2" xfId="6638"/>
    <cellStyle name="输出 2 12 4 4 2" xfId="6639"/>
    <cellStyle name="汇总 2 2 7 8" xfId="6640"/>
    <cellStyle name="输出 2 12 4 4 3" xfId="6641"/>
    <cellStyle name="汇总 2 11 11 2 3" xfId="6642"/>
    <cellStyle name="输出 2 12 8 4 5 2" xfId="6643"/>
    <cellStyle name="汇总 2 2 7 9" xfId="6644"/>
    <cellStyle name="汇总 2 11 11 2 4" xfId="6645"/>
    <cellStyle name="输出 2 12 4 4 4" xfId="6646"/>
    <cellStyle name="汇总 2 11 11 2 4 2" xfId="6647"/>
    <cellStyle name="计算 2 3 12 8" xfId="6648"/>
    <cellStyle name="输出 2 12 4 4 4 2" xfId="6649"/>
    <cellStyle name="汇总 2 2 7 9 2" xfId="6650"/>
    <cellStyle name="汇总 2 11 11 2 5 2" xfId="6651"/>
    <cellStyle name="输出 2 12 4 4 5 2" xfId="6652"/>
    <cellStyle name="汇总 2 11 4 2 9" xfId="6653"/>
    <cellStyle name="汇总 2 11 11 2 6" xfId="6654"/>
    <cellStyle name="输出 2 12 4 4 6" xfId="6655"/>
    <cellStyle name="计算 2 2 4 9 2" xfId="6656"/>
    <cellStyle name="输入 2 2 3 5 5 2" xfId="6657"/>
    <cellStyle name="汇总 2 4 8 7 2 2" xfId="6658"/>
    <cellStyle name="汇总 2 2 11 7" xfId="6659"/>
    <cellStyle name="输出 2 2 5 7 4 2" xfId="6660"/>
    <cellStyle name="汇总 2 11 8 2 7" xfId="6661"/>
    <cellStyle name="汇总 2 2 8 3 2" xfId="6662"/>
    <cellStyle name="汇总 2 11 11 3" xfId="6663"/>
    <cellStyle name="汇总 2 9 9 10" xfId="6664"/>
    <cellStyle name="输出 2 12 4 5" xfId="6665"/>
    <cellStyle name="汇总 2 2 8 3 2 2" xfId="6666"/>
    <cellStyle name="汇总 2 11 11 3 2" xfId="6667"/>
    <cellStyle name="汇总 2 9 9 10 2" xfId="6668"/>
    <cellStyle name="输出 2 12 4 5 2" xfId="6669"/>
    <cellStyle name="输出 2 7 8 2 5" xfId="6670"/>
    <cellStyle name="汇总 2 2 8 7" xfId="6671"/>
    <cellStyle name="汇总 2 11 15 3" xfId="6672"/>
    <cellStyle name="输出 2 12 8 5" xfId="6673"/>
    <cellStyle name="注释 2 8 4 16" xfId="6674"/>
    <cellStyle name="汇总 2 11 11 3 2 2" xfId="6675"/>
    <cellStyle name="输出 2 12 4 5 2 2" xfId="6676"/>
    <cellStyle name="输出 2 7 8 2 5 2" xfId="6677"/>
    <cellStyle name="汇总 2 2 8 7 2" xfId="6678"/>
    <cellStyle name="汇总 2 11 11 3 3" xfId="6679"/>
    <cellStyle name="输出 2 12 4 5 3" xfId="6680"/>
    <cellStyle name="输出 2 7 8 2 6" xfId="6681"/>
    <cellStyle name="汇总 2 2 8 8" xfId="6682"/>
    <cellStyle name="汇总 2 11 16 3" xfId="6683"/>
    <cellStyle name="输出 2 12 9 5" xfId="6684"/>
    <cellStyle name="输入 2 11" xfId="6685"/>
    <cellStyle name="汇总 2 11 11 3 3 2" xfId="6686"/>
    <cellStyle name="输出 2 9 26" xfId="6687"/>
    <cellStyle name="输出 2 12 4 5 3 2" xfId="6688"/>
    <cellStyle name="汇总 2 2 8 8 2" xfId="6689"/>
    <cellStyle name="汇总 2 11 11 3 4" xfId="6690"/>
    <cellStyle name="输出 2 12 4 5 4" xfId="6691"/>
    <cellStyle name="注释 2 5 4 2 2 2" xfId="6692"/>
    <cellStyle name="输出 2 7 8 2 7" xfId="6693"/>
    <cellStyle name="汇总 2 2 8 9" xfId="6694"/>
    <cellStyle name="汇总 2 11 17 3" xfId="6695"/>
    <cellStyle name="输出 2 4 10 5" xfId="6696"/>
    <cellStyle name="汇总 2 11 11 3 4 2" xfId="6697"/>
    <cellStyle name="输出 2 12 4 5 4 2" xfId="6698"/>
    <cellStyle name="汇总 2 2 8 9 2" xfId="6699"/>
    <cellStyle name="汇总 2 11 11 3 5 2" xfId="6700"/>
    <cellStyle name="输出 2 12 4 5 5 2" xfId="6701"/>
    <cellStyle name="注释 2 7 4 3 2 2" xfId="6702"/>
    <cellStyle name="汇总 2 11 18 3" xfId="6703"/>
    <cellStyle name="输出 2 4 11 5" xfId="6704"/>
    <cellStyle name="汇总 2 11 5 2 9" xfId="6705"/>
    <cellStyle name="输出 2 11 6 10 2" xfId="6706"/>
    <cellStyle name="注释 2 5 8 6 5 2" xfId="6707"/>
    <cellStyle name="汇总 2 6" xfId="6708"/>
    <cellStyle name="汇总 2 11 11 3 6" xfId="6709"/>
    <cellStyle name="输出 2 12 4 5 6" xfId="6710"/>
    <cellStyle name="汇总 2 2 11 8" xfId="6711"/>
    <cellStyle name="计算 2 12 6 8 3 2" xfId="6712"/>
    <cellStyle name="计算 2 10 11 10 2" xfId="6713"/>
    <cellStyle name="汇总 2 11 8 2 8" xfId="6714"/>
    <cellStyle name="输入 2 11 4 3 3 2" xfId="6715"/>
    <cellStyle name="汇总 2 2 8 3 3" xfId="6716"/>
    <cellStyle name="汇总 2 11 11 4" xfId="6717"/>
    <cellStyle name="汇总 2 9 9 11" xfId="6718"/>
    <cellStyle name="输出 2 12 4 6" xfId="6719"/>
    <cellStyle name="汇总 2 12 7 2" xfId="6720"/>
    <cellStyle name="汇总 2 2 8 3 3 2" xfId="6721"/>
    <cellStyle name="汇总 2 11 11 4 2" xfId="6722"/>
    <cellStyle name="汇总 2 9 9 11 2" xfId="6723"/>
    <cellStyle name="输出 2 12 4 6 2" xfId="6724"/>
    <cellStyle name="输出 2 7 8 3 5" xfId="6725"/>
    <cellStyle name="汇总 2 12 7 2 2" xfId="6726"/>
    <cellStyle name="汇总 2 2 9 7" xfId="6727"/>
    <cellStyle name="输入 2 12 10 4" xfId="6728"/>
    <cellStyle name="计算 2 9 4 2 5" xfId="6729"/>
    <cellStyle name="注释 2 5 8 7 2" xfId="6730"/>
    <cellStyle name="计算 2 4 10 4 5 2" xfId="6731"/>
    <cellStyle name="汇总 2 11 9 12" xfId="6732"/>
    <cellStyle name="计算 2 6 10 9" xfId="6733"/>
    <cellStyle name="注释 2 4 17 4 2" xfId="6734"/>
    <cellStyle name="检查单元格 2 2 2 5 4 2" xfId="6735"/>
    <cellStyle name="输出 2 7 8 3 6" xfId="6736"/>
    <cellStyle name="汇总 2 12 7 2 3" xfId="6737"/>
    <cellStyle name="汇总 2 2 9 8" xfId="6738"/>
    <cellStyle name="输入 2 12 10 5" xfId="6739"/>
    <cellStyle name="计算 2 8 6 10 2" xfId="6740"/>
    <cellStyle name="计算 2 9 4 2 6" xfId="6741"/>
    <cellStyle name="汇总 2 11 11 4 3" xfId="6742"/>
    <cellStyle name="输出 2 12 4 6 3" xfId="6743"/>
    <cellStyle name="注释 2 5 8 7 3" xfId="6744"/>
    <cellStyle name="汇总 2 8 7 7 3 2" xfId="6745"/>
    <cellStyle name="汇总 2 11 9 13" xfId="6746"/>
    <cellStyle name="汇总 2 11 3 6 2 2" xfId="6747"/>
    <cellStyle name="输出 2 6 4 7 5 2" xfId="6748"/>
    <cellStyle name="注释 2 5 4 2 3 2" xfId="6749"/>
    <cellStyle name="汇总 2 12 7 2 4" xfId="6750"/>
    <cellStyle name="汇总 2 2 9 9" xfId="6751"/>
    <cellStyle name="输入 2 12 10 6" xfId="6752"/>
    <cellStyle name="计算 2 9 4 2 7" xfId="6753"/>
    <cellStyle name="汇总 2 11 11 4 4" xfId="6754"/>
    <cellStyle name="输出 2 12 4 6 4" xfId="6755"/>
    <cellStyle name="注释 2 5 8 7 4" xfId="6756"/>
    <cellStyle name="汇总 2 11 9 14" xfId="6757"/>
    <cellStyle name="汇总 2 6 3 7 2 2" xfId="6758"/>
    <cellStyle name="输入 2 12 6 4 5 2" xfId="6759"/>
    <cellStyle name="汇总 2 12 7 2 6" xfId="6760"/>
    <cellStyle name="输入 2 12 10 8" xfId="6761"/>
    <cellStyle name="计算 2 9 4 2 9" xfId="6762"/>
    <cellStyle name="汇总 2 11 11 4 6" xfId="6763"/>
    <cellStyle name="输出 2 12 4 6 6" xfId="6764"/>
    <cellStyle name="注释 2 5 8 7 6" xfId="6765"/>
    <cellStyle name="汇总 2 8 3 9 2" xfId="6766"/>
    <cellStyle name="汇总 2 11 9 16" xfId="6767"/>
    <cellStyle name="汇总 2 2 11 9" xfId="6768"/>
    <cellStyle name="汇总 2 12 7 4 5 2" xfId="6769"/>
    <cellStyle name="汇总 2 11 11 6 5 2" xfId="6770"/>
    <cellStyle name="汇总 2 11 8 2 9" xfId="6771"/>
    <cellStyle name="输入 2 9 5 7 4 2" xfId="6772"/>
    <cellStyle name="汇总 2 2 8 3 4" xfId="6773"/>
    <cellStyle name="注释 2 11 6 5 2 2" xfId="6774"/>
    <cellStyle name="汇总 2 11 11 5" xfId="6775"/>
    <cellStyle name="汇总 2 9 9 12" xfId="6776"/>
    <cellStyle name="输出 2 12 4 7" xfId="6777"/>
    <cellStyle name="汇总 2 12 7 3" xfId="6778"/>
    <cellStyle name="汇总 2 2 8 3 4 2" xfId="6779"/>
    <cellStyle name="汇总 2 11 11 5 2" xfId="6780"/>
    <cellStyle name="输入 2 7 6 2 6" xfId="6781"/>
    <cellStyle name="汇总 2 9 9 12 2" xfId="6782"/>
    <cellStyle name="输出 2 12 4 7 2" xfId="6783"/>
    <cellStyle name="输出 2 7 8 4 5" xfId="6784"/>
    <cellStyle name="汇总 2 12 7 3 2" xfId="6785"/>
    <cellStyle name="汇总 2 4 5 2 8" xfId="6786"/>
    <cellStyle name="输入 2 12 11 4" xfId="6787"/>
    <cellStyle name="计算 2 9 4 3 5" xfId="6788"/>
    <cellStyle name="输出 2 7 8 4 6" xfId="6789"/>
    <cellStyle name="汇总 2 12 7 3 3" xfId="6790"/>
    <cellStyle name="汇总 2 4 5 2 9" xfId="6791"/>
    <cellStyle name="输入 2 12 11 5" xfId="6792"/>
    <cellStyle name="计算 2 8 6 11 2" xfId="6793"/>
    <cellStyle name="计算 2 9 4 3 6" xfId="6794"/>
    <cellStyle name="汇总 2 11 11 5 3" xfId="6795"/>
    <cellStyle name="输入 2 7 6 2 7" xfId="6796"/>
    <cellStyle name="输出 2 12 4 7 3" xfId="6797"/>
    <cellStyle name="注释 2 5 8 8 3" xfId="6798"/>
    <cellStyle name="汇总 2 8 7 7 4 2" xfId="6799"/>
    <cellStyle name="检查单元格 2 9 2 11" xfId="6800"/>
    <cellStyle name="汇总 2 11 3 6 3 2" xfId="6801"/>
    <cellStyle name="汇总 2 11 5 3" xfId="6802"/>
    <cellStyle name="输入 2 9 5 6 2 2" xfId="6803"/>
    <cellStyle name="计算 2 3 9 4" xfId="6804"/>
    <cellStyle name="汇总 2 6 4 6 4 2" xfId="6805"/>
    <cellStyle name="汇总 2 11 11 5 3 2" xfId="6806"/>
    <cellStyle name="计算 2 2 3 7 4" xfId="6807"/>
    <cellStyle name="输出 2 12 4 7 3 2" xfId="6808"/>
    <cellStyle name="汇总 2 12 7 3 3 2" xfId="6809"/>
    <cellStyle name="汇总 2 11 6 3" xfId="6810"/>
    <cellStyle name="输入 2 9 5 6 3 2" xfId="6811"/>
    <cellStyle name="汇总 2 2 7 2 4" xfId="6812"/>
    <cellStyle name="输出 2 9 7 8 2 2" xfId="6813"/>
    <cellStyle name="汇总 2 6 4 6 5 2" xfId="6814"/>
    <cellStyle name="汇总 2 11 11 5 4 2" xfId="6815"/>
    <cellStyle name="计算 2 2 3 8 4" xfId="6816"/>
    <cellStyle name="输出 2 12 4 7 4 2" xfId="6817"/>
    <cellStyle name="汇总 2 12 7 3 4 2" xfId="6818"/>
    <cellStyle name="汇总 2 12 7 3 5" xfId="6819"/>
    <cellStyle name="汇总 2 11 11 5 5" xfId="6820"/>
    <cellStyle name="输入 2 7 6 2 9" xfId="6821"/>
    <cellStyle name="输出 2 12 4 7 5" xfId="6822"/>
    <cellStyle name="汇总 2 3 14 4 2" xfId="6823"/>
    <cellStyle name="输入 2 9 5 6 4 2" xfId="6824"/>
    <cellStyle name="汇总 2 2 7 3 4" xfId="6825"/>
    <cellStyle name="汇总 2 9 4 12" xfId="6826"/>
    <cellStyle name="输出 2 11 4 7" xfId="6827"/>
    <cellStyle name="汇总 2 11 7 3" xfId="6828"/>
    <cellStyle name="汇总 2 12 7 3 5 2" xfId="6829"/>
    <cellStyle name="汇总 2 11 11 5 5 2" xfId="6830"/>
    <cellStyle name="输出 2 12 4 7 5 2" xfId="6831"/>
    <cellStyle name="汇总 2 11 7 2 9" xfId="6832"/>
    <cellStyle name="汇总 2 12 7 3 6" xfId="6833"/>
    <cellStyle name="汇总 2 11 11 5 6" xfId="6834"/>
    <cellStyle name="输出 2 12 4 7 6" xfId="6835"/>
    <cellStyle name="汇总 2 2 8 3 5 2" xfId="6836"/>
    <cellStyle name="计算 2 7 7 4 2 2" xfId="6837"/>
    <cellStyle name="输入 2 5 10 13" xfId="6838"/>
    <cellStyle name="汇总 2 11 11 6 2" xfId="6839"/>
    <cellStyle name="输入 2 7 6 3 6" xfId="6840"/>
    <cellStyle name="计算 2 11 7 10" xfId="6841"/>
    <cellStyle name="输出 2 12 4 8 2" xfId="6842"/>
    <cellStyle name="输出 2 7 8 5 5" xfId="6843"/>
    <cellStyle name="汇总 2 12 7 4 2" xfId="6844"/>
    <cellStyle name="输入 2 12 12 4" xfId="6845"/>
    <cellStyle name="计算 2 9 4 4 5" xfId="6846"/>
    <cellStyle name="汇总 2 11 11 6 2 2" xfId="6847"/>
    <cellStyle name="计算 2 2 4 6 4" xfId="6848"/>
    <cellStyle name="计算 2 11 7 10 2" xfId="6849"/>
    <cellStyle name="输出 2 12 4 8 2 2" xfId="6850"/>
    <cellStyle name="输出 2 7 8 5 5 2" xfId="6851"/>
    <cellStyle name="汇总 2 12 7 4 2 2" xfId="6852"/>
    <cellStyle name="输入 2 12 12 4 2" xfId="6853"/>
    <cellStyle name="计算 2 9 4 4 5 2" xfId="6854"/>
    <cellStyle name="输入 2 5 10 14" xfId="6855"/>
    <cellStyle name="输入 2 3 5 3 2 2" xfId="6856"/>
    <cellStyle name="汇总 2 11 11 6 3" xfId="6857"/>
    <cellStyle name="计算 2 11 7 11" xfId="6858"/>
    <cellStyle name="输出 2 12 4 8 3" xfId="6859"/>
    <cellStyle name="输出 2 7 8 5 6" xfId="6860"/>
    <cellStyle name="汇总 2 12 7 4 3" xfId="6861"/>
    <cellStyle name="输入 2 12 12 5" xfId="6862"/>
    <cellStyle name="计算 2 8 6 12 2" xfId="6863"/>
    <cellStyle name="计算 2 9 4 4 6" xfId="6864"/>
    <cellStyle name="输入 2 2 2 3" xfId="6865"/>
    <cellStyle name="汇总 2 8 7 7 5 2" xfId="6866"/>
    <cellStyle name="计算 2 6 4 10" xfId="6867"/>
    <cellStyle name="输出 2 9 4 2 3" xfId="6868"/>
    <cellStyle name="输出 2 4 8 15" xfId="6869"/>
    <cellStyle name="汇总 2 11 3 6 4 2" xfId="6870"/>
    <cellStyle name="汇总 2 11 11 6 3 2" xfId="6871"/>
    <cellStyle name="计算 2 2 4 7 4" xfId="6872"/>
    <cellStyle name="计算 2 11 7 11 2" xfId="6873"/>
    <cellStyle name="输出 2 12 4 8 3 2" xfId="6874"/>
    <cellStyle name="汇总 2 12 7 4 3 2" xfId="6875"/>
    <cellStyle name="计算 2 11 7 14" xfId="6876"/>
    <cellStyle name="汇总 2 11 11 6 6" xfId="6877"/>
    <cellStyle name="输出 2 8 2 10 2" xfId="6878"/>
    <cellStyle name="汇总 2 12 7 4 6" xfId="6879"/>
    <cellStyle name="汇总 2 2 8 3 6" xfId="6880"/>
    <cellStyle name="计算 2 7 7 4 3" xfId="6881"/>
    <cellStyle name="汇总 2 11 11 7" xfId="6882"/>
    <cellStyle name="汇总 2 9 9 14" xfId="6883"/>
    <cellStyle name="输出 2 12 4 9" xfId="6884"/>
    <cellStyle name="汇总 2 12 7 5" xfId="6885"/>
    <cellStyle name="汇总 2 11 6 2 3 2" xfId="6886"/>
    <cellStyle name="输出 2 7 8 6 5" xfId="6887"/>
    <cellStyle name="汇总 2 12 7 5 2" xfId="6888"/>
    <cellStyle name="输入 2 12 13 4" xfId="6889"/>
    <cellStyle name="计算 2 9 4 5 5" xfId="6890"/>
    <cellStyle name="检查单元格 2 10 5 13" xfId="6891"/>
    <cellStyle name="汇总 2 11 11 7 2" xfId="6892"/>
    <cellStyle name="输入 2 7 6 4 6" xfId="6893"/>
    <cellStyle name="输出 2 12 4 9 2" xfId="6894"/>
    <cellStyle name="计算 2 4 10 8" xfId="6895"/>
    <cellStyle name="计算 2 2 5 6 4" xfId="6896"/>
    <cellStyle name="汇总 2 11 11 7 2 2" xfId="6897"/>
    <cellStyle name="输出 2 7 8 6 5 2" xfId="6898"/>
    <cellStyle name="汇总 2 12 7 5 2 2" xfId="6899"/>
    <cellStyle name="注释 2 10 7 7" xfId="6900"/>
    <cellStyle name="输入 2 12 13 4 2" xfId="6901"/>
    <cellStyle name="计算 2 9 4 5 5 2" xfId="6902"/>
    <cellStyle name="输出 2 7 8 6 6" xfId="6903"/>
    <cellStyle name="汇总 2 12 7 5 3" xfId="6904"/>
    <cellStyle name="计算 2 5 3 4 2 2" xfId="6905"/>
    <cellStyle name="输入 2 12 13 5" xfId="6906"/>
    <cellStyle name="计算 2 9 4 5 6" xfId="6907"/>
    <cellStyle name="输出 2 3 7 5 2 2" xfId="6908"/>
    <cellStyle name="输入 2 3 5 3 3 2" xfId="6909"/>
    <cellStyle name="汇总 2 11 11 7 3" xfId="6910"/>
    <cellStyle name="汇总 2 11 3 6 5 2" xfId="6911"/>
    <cellStyle name="计算 2 4 11 8" xfId="6912"/>
    <cellStyle name="计算 2 2 5 7 4" xfId="6913"/>
    <cellStyle name="汇总 2 11 11 7 3 2" xfId="6914"/>
    <cellStyle name="汇总 2 12 7 5 3 2" xfId="6915"/>
    <cellStyle name="计算 2 4 12 8" xfId="6916"/>
    <cellStyle name="计算 2 2 5 8 4" xfId="6917"/>
    <cellStyle name="汇总 2 11 11 7 4 2" xfId="6918"/>
    <cellStyle name="输出 2 2 8 13" xfId="6919"/>
    <cellStyle name="汇总 2 12 7 5 4 2" xfId="6920"/>
    <cellStyle name="汇总 2 12 7 5 5 2" xfId="6921"/>
    <cellStyle name="汇总 2 11 11 7 5 2" xfId="6922"/>
    <cellStyle name="输出 2 9 4 3 5 2" xfId="6923"/>
    <cellStyle name="计算 2 2 4 6" xfId="6924"/>
    <cellStyle name="汇总 2 11 9 2 9" xfId="6925"/>
    <cellStyle name="计算 2 3 9 3 2 2" xfId="6926"/>
    <cellStyle name="输出 2 8 2 11 2" xfId="6927"/>
    <cellStyle name="汇总 2 12 7 5 6" xfId="6928"/>
    <cellStyle name="汇总 2 11 11 7 6" xfId="6929"/>
    <cellStyle name="注释 2 7 4 7 3" xfId="6930"/>
    <cellStyle name="汇总 2 8 9 3 3 2" xfId="6931"/>
    <cellStyle name="输出 2 11 2 6 2 2" xfId="6932"/>
    <cellStyle name="输入 2 12 7 2 3" xfId="6933"/>
    <cellStyle name="计算 2 8 2 2 5 2" xfId="6934"/>
    <cellStyle name="输出 2 4 10 12 2" xfId="6935"/>
    <cellStyle name="汇总 2 11 5 2 2 2" xfId="6936"/>
    <cellStyle name="输出 2 6 6 3 5 2" xfId="6937"/>
    <cellStyle name="汇总 2 9 9 16" xfId="6938"/>
    <cellStyle name="计算 2 7 5 7 2 2" xfId="6939"/>
    <cellStyle name="汇总 2 2 6 6 5 2" xfId="6940"/>
    <cellStyle name="汇总 2 11 11 9" xfId="6941"/>
    <cellStyle name="输出 2 5 9 8 2 2" xfId="6942"/>
    <cellStyle name="输入 2 5 7 6 3 2" xfId="6943"/>
    <cellStyle name="汇总 2 12 7 7" xfId="6944"/>
    <cellStyle name="输入 2 6 6 9 2" xfId="6945"/>
    <cellStyle name="汇总 2 11 12" xfId="6946"/>
    <cellStyle name="汇总 2 2 12 6" xfId="6947"/>
    <cellStyle name="汇总 2 11 8 3 6" xfId="6948"/>
    <cellStyle name="汇总 2 11 12 2" xfId="6949"/>
    <cellStyle name="输出 2 12 5 4" xfId="6950"/>
    <cellStyle name="汇总 2 3 5 14" xfId="6951"/>
    <cellStyle name="输出 2 10 3 11" xfId="6952"/>
    <cellStyle name="汇总 2 11 12 2 2" xfId="6953"/>
    <cellStyle name="注释 2 7 19 4" xfId="6954"/>
    <cellStyle name="输出 2 12 5 4 2" xfId="6955"/>
    <cellStyle name="汇总 2 3 7 7" xfId="6956"/>
    <cellStyle name="输出 2 7 8 2 2 2" xfId="6957"/>
    <cellStyle name="汇总 2 2 8 4 2" xfId="6958"/>
    <cellStyle name="汇总 2 11 12 3" xfId="6959"/>
    <cellStyle name="输出 2 12 5 5" xfId="6960"/>
    <cellStyle name="输入 2 11 4 3 4 2" xfId="6961"/>
    <cellStyle name="汇总 2 2 8 4 3" xfId="6962"/>
    <cellStyle name="汇总 2 12 8 2" xfId="6963"/>
    <cellStyle name="汇总 2 11 12 4" xfId="6964"/>
    <cellStyle name="输出 2 12 5 6" xfId="6965"/>
    <cellStyle name="汇总 2 2 8 4 3 2" xfId="6966"/>
    <cellStyle name="输出 2 7 9 3 5" xfId="6967"/>
    <cellStyle name="汇总 2 12 8 2 2" xfId="6968"/>
    <cellStyle name="汇总 2 3 9 7" xfId="6969"/>
    <cellStyle name="计算 2 9 5 2 5" xfId="6970"/>
    <cellStyle name="汇总 2 11 12 4 2" xfId="6971"/>
    <cellStyle name="输出 2 12 5 6 2" xfId="6972"/>
    <cellStyle name="输入 2 5 9 4 2" xfId="6973"/>
    <cellStyle name="计算 2 3 8 10" xfId="6974"/>
    <cellStyle name="输入 2 9 5 7 5 2" xfId="6975"/>
    <cellStyle name="汇总 2 2 8 4 4" xfId="6976"/>
    <cellStyle name="汇总 2 12 8 3" xfId="6977"/>
    <cellStyle name="注释 2 11 6 5 3 2" xfId="6978"/>
    <cellStyle name="汇总 2 11 12 5" xfId="6979"/>
    <cellStyle name="输出 2 12 5 7" xfId="6980"/>
    <cellStyle name="输入 2 5 9 4 2 2" xfId="6981"/>
    <cellStyle name="计算 2 3 8 10 2" xfId="6982"/>
    <cellStyle name="汇总 2 2 8 4 4 2" xfId="6983"/>
    <cellStyle name="输出 2 7 9 4 5" xfId="6984"/>
    <cellStyle name="汇总 2 12 8 3 2" xfId="6985"/>
    <cellStyle name="汇总 2 4 6 2 8" xfId="6986"/>
    <cellStyle name="计算 2 9 5 3 5" xfId="6987"/>
    <cellStyle name="汇总 2 11 12 5 2" xfId="6988"/>
    <cellStyle name="输入 2 7 7 2 6" xfId="6989"/>
    <cellStyle name="输出 2 12 5 7 2" xfId="6990"/>
    <cellStyle name="注释 2 4 7 7 4 2" xfId="6991"/>
    <cellStyle name="输入 2 5 9 4 4" xfId="6992"/>
    <cellStyle name="计算 2 3 8 12" xfId="6993"/>
    <cellStyle name="汇总 2 2 8 4 6" xfId="6994"/>
    <cellStyle name="计算 2 7 7 5 3" xfId="6995"/>
    <cellStyle name="注释 2 3 10 2 2" xfId="6996"/>
    <cellStyle name="汇总 2 12 8 5" xfId="6997"/>
    <cellStyle name="汇总 2 11 12 7" xfId="6998"/>
    <cellStyle name="输出 2 12 5 9" xfId="6999"/>
    <cellStyle name="汇总 2 11 6 2 4 2" xfId="7000"/>
    <cellStyle name="汇总 2 7 14" xfId="7001"/>
    <cellStyle name="注释 2 3 10 2 3" xfId="7002"/>
    <cellStyle name="汇总 2 12 8 6" xfId="7003"/>
    <cellStyle name="注释 2 2 3 7 3 2" xfId="7004"/>
    <cellStyle name="汇总 2 11 12 8" xfId="7005"/>
    <cellStyle name="注释 2 3 10 2 4" xfId="7006"/>
    <cellStyle name="输入 2 5 7 6 4 2" xfId="7007"/>
    <cellStyle name="汇总 2 12 8 7" xfId="7008"/>
    <cellStyle name="计算 2 7 5 7 3 2" xfId="7009"/>
    <cellStyle name="汇总 2 11 12 9" xfId="7010"/>
    <cellStyle name="输出 2 5 9 8 3 2" xfId="7011"/>
    <cellStyle name="汇总 2 12 3 5 5 2" xfId="7012"/>
    <cellStyle name="计算 2 4 7 6 5 2" xfId="7013"/>
    <cellStyle name="汇总 2 11 13" xfId="7014"/>
    <cellStyle name="汇总 2 3 10 6 2 2" xfId="7015"/>
    <cellStyle name="汇总 2 2 13 6" xfId="7016"/>
    <cellStyle name="注释 2 2 3 7" xfId="7017"/>
    <cellStyle name="计算 2 5 8 2 3" xfId="7018"/>
    <cellStyle name="汇总 2 11 8 4 6" xfId="7019"/>
    <cellStyle name="检查单元格 2 10 6 2 2 2" xfId="7020"/>
    <cellStyle name="汇总 2 11 13 2" xfId="7021"/>
    <cellStyle name="输出 2 12 6 4" xfId="7022"/>
    <cellStyle name="输出 2 7 8 2 3 2" xfId="7023"/>
    <cellStyle name="汇总 2 2 8 5 2" xfId="7024"/>
    <cellStyle name="汇总 2 11 13 3" xfId="7025"/>
    <cellStyle name="输出 2 12 6 5" xfId="7026"/>
    <cellStyle name="输入 2 11 4 3 5 2" xfId="7027"/>
    <cellStyle name="汇总 2 2 8 5 3" xfId="7028"/>
    <cellStyle name="汇总 2 12 9 2" xfId="7029"/>
    <cellStyle name="输出 2 5 4 2 2 2" xfId="7030"/>
    <cellStyle name="汇总 2 11 13 4" xfId="7031"/>
    <cellStyle name="输出 2 12 6 6" xfId="7032"/>
    <cellStyle name="汇总 2 2 8 5 3 2" xfId="7033"/>
    <cellStyle name="汇总 2 12 9 2 2" xfId="7034"/>
    <cellStyle name="汇总 2 4 9 7" xfId="7035"/>
    <cellStyle name="计算 2 9 6 2 5" xfId="7036"/>
    <cellStyle name="汇总 2 11 13 4 2" xfId="7037"/>
    <cellStyle name="输出 2 12 6 6 2" xfId="7038"/>
    <cellStyle name="汇总 2 2 8 5 4" xfId="7039"/>
    <cellStyle name="汇总 2 12 9 3" xfId="7040"/>
    <cellStyle name="注释 2 11 6 5 4 2" xfId="7041"/>
    <cellStyle name="汇总 2 11 13 5" xfId="7042"/>
    <cellStyle name="输出 2 12 6 7" xfId="7043"/>
    <cellStyle name="汇总 2 2 8 5 4 2" xfId="7044"/>
    <cellStyle name="计算 2 5 6 13" xfId="7045"/>
    <cellStyle name="输入 2 5 9 5 2 2" xfId="7046"/>
    <cellStyle name="汇总 2 2 10 2 4" xfId="7047"/>
    <cellStyle name="汇总 2 12 9 3 2" xfId="7048"/>
    <cellStyle name="汇总 2 4 7 2 8" xfId="7049"/>
    <cellStyle name="计算 2 7 10 12" xfId="7050"/>
    <cellStyle name="计算 2 9 6 3 5" xfId="7051"/>
    <cellStyle name="汇总 2 11 13 5 2" xfId="7052"/>
    <cellStyle name="输入 2 7 8 2 6" xfId="7053"/>
    <cellStyle name="输出 2 12 6 7 2" xfId="7054"/>
    <cellStyle name="输入 2 5 9 5 3" xfId="7055"/>
    <cellStyle name="计算 2 11 5 6 3 2" xfId="7056"/>
    <cellStyle name="输入 2 2 8 8 2 2" xfId="7057"/>
    <cellStyle name="汇总 2 2 8 5 5" xfId="7058"/>
    <cellStyle name="计算 2 7 7 6 2" xfId="7059"/>
    <cellStyle name="汇总 2 15 3 5 2" xfId="7060"/>
    <cellStyle name="汇总 2 12 9 4" xfId="7061"/>
    <cellStyle name="输入 2 11 16 3 2" xfId="7062"/>
    <cellStyle name="汇总 2 11 13 6" xfId="7063"/>
    <cellStyle name="输出 2 12 6 8" xfId="7064"/>
    <cellStyle name="输入 2 8 9 11" xfId="7065"/>
    <cellStyle name="汇总 2 2 14 6" xfId="7066"/>
    <cellStyle name="注释 2 2 4 7" xfId="7067"/>
    <cellStyle name="计算 2 5 8 3 3" xfId="7068"/>
    <cellStyle name="注释 2 6 5 7 3" xfId="7069"/>
    <cellStyle name="汇总 2 8 8 4 3 2" xfId="7070"/>
    <cellStyle name="汇总 2 11 4 3 2 2" xfId="7071"/>
    <cellStyle name="输出 2 6 5 4 5 2" xfId="7072"/>
    <cellStyle name="计算 2 3 8 4 2 2" xfId="7073"/>
    <cellStyle name="汇总 2 11 8 5 6" xfId="7074"/>
    <cellStyle name="检查单元格 2 10 6 2 3 2" xfId="7075"/>
    <cellStyle name="汇总 2 11 14 2" xfId="7076"/>
    <cellStyle name="输出 2 12 7 4" xfId="7077"/>
    <cellStyle name="汇总 2 11 14 3" xfId="7078"/>
    <cellStyle name="输出 2 12 7 5" xfId="7079"/>
    <cellStyle name="输出 2 7 8 2 4 2" xfId="7080"/>
    <cellStyle name="汇总 2 2 8 6 2" xfId="7081"/>
    <cellStyle name="汇总 2 2 8 6 3" xfId="7082"/>
    <cellStyle name="汇总 2 11 14 4" xfId="7083"/>
    <cellStyle name="输出 2 12 7 6" xfId="7084"/>
    <cellStyle name="输入 2 7 20" xfId="7085"/>
    <cellStyle name="输入 2 7 15" xfId="7086"/>
    <cellStyle name="汇总 2 4 10 2" xfId="7087"/>
    <cellStyle name="输入 2 10 10 2 5" xfId="7088"/>
    <cellStyle name="输出 2 9 9 15" xfId="7089"/>
    <cellStyle name="输出 2 5 4 2 3 2" xfId="7090"/>
    <cellStyle name="输入 2 10 3 12" xfId="7091"/>
    <cellStyle name="汇总 2 2 8 6 3 2" xfId="7092"/>
    <cellStyle name="汇总 2 11 14 4 2" xfId="7093"/>
    <cellStyle name="输出 2 12 7 6 2" xfId="7094"/>
    <cellStyle name="输入 2 7 20 2" xfId="7095"/>
    <cellStyle name="输入 2 7 15 2" xfId="7096"/>
    <cellStyle name="汇总 2 4 10 2 2" xfId="7097"/>
    <cellStyle name="汇总 2 5 9 7" xfId="7098"/>
    <cellStyle name="输入 2 10 10 2 5 2" xfId="7099"/>
    <cellStyle name="计算 2 9 7 2 5" xfId="7100"/>
    <cellStyle name="汇总 2 2 8 6 4" xfId="7101"/>
    <cellStyle name="注释 2 11 6 5 5 2" xfId="7102"/>
    <cellStyle name="汇总 2 11 14 5" xfId="7103"/>
    <cellStyle name="输出 2 12 7 7" xfId="7104"/>
    <cellStyle name="输入 2 7 21" xfId="7105"/>
    <cellStyle name="输入 2 7 16" xfId="7106"/>
    <cellStyle name="汇总 2 4 10 3" xfId="7107"/>
    <cellStyle name="输入 2 5 9 6 2 2" xfId="7108"/>
    <cellStyle name="汇总 2 2 11 2 4" xfId="7109"/>
    <cellStyle name="汇总 2 2 8 6 4 2" xfId="7110"/>
    <cellStyle name="汇总 2 11 14 5 2" xfId="7111"/>
    <cellStyle name="输入 2 7 9 2 6" xfId="7112"/>
    <cellStyle name="输出 2 12 7 7 2" xfId="7113"/>
    <cellStyle name="输入 2 7 21 2" xfId="7114"/>
    <cellStyle name="输入 2 7 16 2" xfId="7115"/>
    <cellStyle name="汇总 2 4 10 3 2" xfId="7116"/>
    <cellStyle name="汇总 2 4 8 2 8" xfId="7117"/>
    <cellStyle name="计算 2 9 7 3 5" xfId="7118"/>
    <cellStyle name="输入 2 5 9 6 3" xfId="7119"/>
    <cellStyle name="计算 2 11 5 6 4 2" xfId="7120"/>
    <cellStyle name="输入 2 2 8 8 3 2" xfId="7121"/>
    <cellStyle name="汇总 2 2 8 6 5" xfId="7122"/>
    <cellStyle name="计算 2 7 7 7 2" xfId="7123"/>
    <cellStyle name="输入 2 11 16 4 2" xfId="7124"/>
    <cellStyle name="汇总 2 11 14 6" xfId="7125"/>
    <cellStyle name="汇总 2 12 2 8 2 2" xfId="7126"/>
    <cellStyle name="输出 2 12 7 8" xfId="7127"/>
    <cellStyle name="输入 2 7 22" xfId="7128"/>
    <cellStyle name="输入 2 7 17" xfId="7129"/>
    <cellStyle name="汇总 2 4 10 4" xfId="7130"/>
    <cellStyle name="注释 2 4 5 8 3" xfId="7131"/>
    <cellStyle name="汇总 2 8 6 4 4 2" xfId="7132"/>
    <cellStyle name="汇总 2 11 2 3 3 2" xfId="7133"/>
    <cellStyle name="输入 2 6 3 2 7" xfId="7134"/>
    <cellStyle name="汇总 2 8 8 4 4" xfId="7135"/>
    <cellStyle name="汇总 2 6 5 12 2" xfId="7136"/>
    <cellStyle name="汇总 2 11 4 3 3" xfId="7137"/>
    <cellStyle name="汇总 2 3 2 2 9" xfId="7138"/>
    <cellStyle name="输出 2 6 5 4 6" xfId="7139"/>
    <cellStyle name="汇总 2 8 11 6 2 2" xfId="7140"/>
    <cellStyle name="汇总 2 11 15" xfId="7141"/>
    <cellStyle name="汇总 2 11 20" xfId="7142"/>
    <cellStyle name="注释 2 2 5 7" xfId="7143"/>
    <cellStyle name="计算 2 5 8 4 3" xfId="7144"/>
    <cellStyle name="汇总 2 2 15 6" xfId="7145"/>
    <cellStyle name="计算 2 9 6 14" xfId="7146"/>
    <cellStyle name="输入 2 8 3 2 7" xfId="7147"/>
    <cellStyle name="计算 2 3 14 2 2" xfId="7148"/>
    <cellStyle name="输出 2 8 5 4 6" xfId="7149"/>
    <cellStyle name="汇总 2 5 2 2 9" xfId="7150"/>
    <cellStyle name="注释 2 6 5 8 3" xfId="7151"/>
    <cellStyle name="汇总 2 8 8 4 4 2" xfId="7152"/>
    <cellStyle name="汇总 2 11 4 3 3 2" xfId="7153"/>
    <cellStyle name="计算 2 3 8 4 3 2" xfId="7154"/>
    <cellStyle name="汇总 2 11 8 6 6" xfId="7155"/>
    <cellStyle name="检查单元格 2 10 6 2 4 2" xfId="7156"/>
    <cellStyle name="汇总 2 11 15 2" xfId="7157"/>
    <cellStyle name="汇总 2 11 20 2" xfId="7158"/>
    <cellStyle name="输出 2 12 8 4" xfId="7159"/>
    <cellStyle name="汇总 2 11 15 2 2" xfId="7160"/>
    <cellStyle name="输出 2 12 8 4 2" xfId="7161"/>
    <cellStyle name="输入 2 2 11 11" xfId="7162"/>
    <cellStyle name="汇总 2 6 7 7" xfId="7163"/>
    <cellStyle name="汇总 2 2 8 7 2 2" xfId="7164"/>
    <cellStyle name="汇总 2 11 15 3 2" xfId="7165"/>
    <cellStyle name="输出 2 12 8 5 2" xfId="7166"/>
    <cellStyle name="汇总 2 6 8 7" xfId="7167"/>
    <cellStyle name="汇总 2 2 8 7 3" xfId="7168"/>
    <cellStyle name="汇总 2 7 7 2 2 2" xfId="7169"/>
    <cellStyle name="汇总 2 11 15 4" xfId="7170"/>
    <cellStyle name="输出 2 12 8 6" xfId="7171"/>
    <cellStyle name="汇总 2 4 11 2" xfId="7172"/>
    <cellStyle name="输入 2 10 10 3 5" xfId="7173"/>
    <cellStyle name="输出 2 5 4 2 4 2" xfId="7174"/>
    <cellStyle name="汇总 2 2 8 7 4" xfId="7175"/>
    <cellStyle name="汇总 2 11 15 5" xfId="7176"/>
    <cellStyle name="输出 2 12 8 7" xfId="7177"/>
    <cellStyle name="汇总 2 4 11 3" xfId="7178"/>
    <cellStyle name="汇总 2 2 8 7 4 2" xfId="7179"/>
    <cellStyle name="汇总 2 11 15 5 2" xfId="7180"/>
    <cellStyle name="输出 2 12 8 7 2" xfId="7181"/>
    <cellStyle name="汇总 2 4 11 3 2" xfId="7182"/>
    <cellStyle name="汇总 2 4 9 2 8" xfId="7183"/>
    <cellStyle name="计算 2 9 8 3 5" xfId="7184"/>
    <cellStyle name="汇总 2 2 16 6" xfId="7185"/>
    <cellStyle name="注释 2 2 6 7" xfId="7186"/>
    <cellStyle name="计算 2 12 7 2 5" xfId="7187"/>
    <cellStyle name="计算 2 5 8 5 3" xfId="7188"/>
    <cellStyle name="汇总 2 8 8 4 5 2" xfId="7189"/>
    <cellStyle name="汇总 2 11 4 3 4 2" xfId="7190"/>
    <cellStyle name="计算 2 3 8 4 4 2" xfId="7191"/>
    <cellStyle name="汇总 2 11 8 7 6" xfId="7192"/>
    <cellStyle name="检查单元格 2 10 6 2 5 2" xfId="7193"/>
    <cellStyle name="汇总 2 11 16 2" xfId="7194"/>
    <cellStyle name="汇总 2 11 21 2" xfId="7195"/>
    <cellStyle name="输出 2 12 9 4" xfId="7196"/>
    <cellStyle name="输入 2 10 10 4 4 2" xfId="7197"/>
    <cellStyle name="计算 2 11 20" xfId="7198"/>
    <cellStyle name="计算 2 11 15" xfId="7199"/>
    <cellStyle name="汇总 2 7 8 7" xfId="7200"/>
    <cellStyle name="汇总 2 11 16 3 2" xfId="7201"/>
    <cellStyle name="输出 2 12 9 5 2" xfId="7202"/>
    <cellStyle name="汇总 2 2 8 8 2 2" xfId="7203"/>
    <cellStyle name="输出 2 2 10 4 4" xfId="7204"/>
    <cellStyle name="计算 2 2 7 2 2 2" xfId="7205"/>
    <cellStyle name="汇总 2 2 8 8 3" xfId="7206"/>
    <cellStyle name="汇总 2 7 7 2 3 2" xfId="7207"/>
    <cellStyle name="汇总 2 11 16 4" xfId="7208"/>
    <cellStyle name="输出 2 12 9 6" xfId="7209"/>
    <cellStyle name="汇总 2 4 12 2" xfId="7210"/>
    <cellStyle name="输入 2 10 10 4 5" xfId="7211"/>
    <cellStyle name="输出 2 5 4 2 5 2" xfId="7212"/>
    <cellStyle name="汇总 2 11 16 5" xfId="7213"/>
    <cellStyle name="输出 2 12 9 7" xfId="7214"/>
    <cellStyle name="汇总 2 4 12 3" xfId="7215"/>
    <cellStyle name="汇总 2 2 8 8 4" xfId="7216"/>
    <cellStyle name="汇总 2 5 3 2 2 2" xfId="7217"/>
    <cellStyle name="汇总 2 2 8 8 4 2" xfId="7218"/>
    <cellStyle name="输出 2 2 10 6 4" xfId="7219"/>
    <cellStyle name="汇总 2 11 16 5 2" xfId="7220"/>
    <cellStyle name="输出 2 12 9 7 2" xfId="7221"/>
    <cellStyle name="汇总 2 4 12 3 2" xfId="7222"/>
    <cellStyle name="注释 2 10 11 5" xfId="7223"/>
    <cellStyle name="计算 2 9 9 3 5" xfId="7224"/>
    <cellStyle name="输入 2 6 3 2 9" xfId="7225"/>
    <cellStyle name="汇总 2 8 8 4 6" xfId="7226"/>
    <cellStyle name="汇总 2 2 2 7 5 2" xfId="7227"/>
    <cellStyle name="汇总 2 11 4 3 5" xfId="7228"/>
    <cellStyle name="汇总 2 11 17" xfId="7229"/>
    <cellStyle name="汇总 2 11 22" xfId="7230"/>
    <cellStyle name="汇总 2 5 9 5 5 2" xfId="7231"/>
    <cellStyle name="计算 2 3 8 4 5 2" xfId="7232"/>
    <cellStyle name="汇总 2 2 5 2 3" xfId="7233"/>
    <cellStyle name="汇总 2 11 4 3 5 2" xfId="7234"/>
    <cellStyle name="汇总 2 2 17 6" xfId="7235"/>
    <cellStyle name="注释 2 2 7 7" xfId="7236"/>
    <cellStyle name="计算 2 12 7 3 5" xfId="7237"/>
    <cellStyle name="计算 2 5 8 6 3" xfId="7238"/>
    <cellStyle name="汇总 2 11 17 2" xfId="7239"/>
    <cellStyle name="汇总 2 11 22 2" xfId="7240"/>
    <cellStyle name="输出 2 4 10 4" xfId="7241"/>
    <cellStyle name="注释 2 11 2 5 5" xfId="7242"/>
    <cellStyle name="汇总 2 8 7 7" xfId="7243"/>
    <cellStyle name="汇总 2 11 17 2 2" xfId="7244"/>
    <cellStyle name="注释 2 8 19 4" xfId="7245"/>
    <cellStyle name="输出 2 4 10 4 2" xfId="7246"/>
    <cellStyle name="检查单元格 2 10 5 5" xfId="7247"/>
    <cellStyle name="汇总 2 4 5 14" xfId="7248"/>
    <cellStyle name="输出 2 11 3 11" xfId="7249"/>
    <cellStyle name="注释 2 11 2 6 5" xfId="7250"/>
    <cellStyle name="汇总 2 8 8 7" xfId="7251"/>
    <cellStyle name="汇总 2 12" xfId="7252"/>
    <cellStyle name="汇总 2 11 17 3 2" xfId="7253"/>
    <cellStyle name="输出 2 4 10 5 2" xfId="7254"/>
    <cellStyle name="汇总 2 11 6 16" xfId="7255"/>
    <cellStyle name="输出 2 2 11 4 4" xfId="7256"/>
    <cellStyle name="汇总 2 7 7 2 4 2" xfId="7257"/>
    <cellStyle name="汇总 2 11 17 4" xfId="7258"/>
    <cellStyle name="输出 2 4 10 6" xfId="7259"/>
    <cellStyle name="汇总 2 4 13 2" xfId="7260"/>
    <cellStyle name="注释 2 11 2 7 5" xfId="7261"/>
    <cellStyle name="汇总 2 8 9 7" xfId="7262"/>
    <cellStyle name="汇总 2 4 13 2 2" xfId="7263"/>
    <cellStyle name="汇总 2 11 17 4 2" xfId="7264"/>
    <cellStyle name="输出 2 4 10 6 2" xfId="7265"/>
    <cellStyle name="汇总 2 11 17 5" xfId="7266"/>
    <cellStyle name="输出 2 4 10 7" xfId="7267"/>
    <cellStyle name="汇总 2 4 13 3" xfId="7268"/>
    <cellStyle name="输入 2 5 9 9 2" xfId="7269"/>
    <cellStyle name="计算 2 3 9 10" xfId="7270"/>
    <cellStyle name="汇总 2 5 3 2 3 2" xfId="7271"/>
    <cellStyle name="汇总 2 11 17 5 2" xfId="7272"/>
    <cellStyle name="输出 2 4 10 7 2" xfId="7273"/>
    <cellStyle name="注释 2 11 2 8 5" xfId="7274"/>
    <cellStyle name="汇总 2 4 13 3 2" xfId="7275"/>
    <cellStyle name="计算 2 3 8 4 6" xfId="7276"/>
    <cellStyle name="检查单元格 2 10 6 2 7" xfId="7277"/>
    <cellStyle name="注释 2 2 9 7 3 2" xfId="7278"/>
    <cellStyle name="汇总 2 5 11 6 4 2" xfId="7279"/>
    <cellStyle name="检查单元格 2 5 5 4 2" xfId="7280"/>
    <cellStyle name="汇总 2 11 4 3 6" xfId="7281"/>
    <cellStyle name="汇总 2 7 10 7 2 2" xfId="7282"/>
    <cellStyle name="汇总 2 11 18" xfId="7283"/>
    <cellStyle name="汇总 2 11 23" xfId="7284"/>
    <cellStyle name="汇总 2 3 5 5 4 2" xfId="7285"/>
    <cellStyle name="汇总 2 11 18 2" xfId="7286"/>
    <cellStyle name="汇总 2 11 23 2" xfId="7287"/>
    <cellStyle name="输出 2 4 11 4" xfId="7288"/>
    <cellStyle name="计算 2 12 6 5 3 2" xfId="7289"/>
    <cellStyle name="汇总 2 5" xfId="7290"/>
    <cellStyle name="输入 2 3 9 7 2 2" xfId="7291"/>
    <cellStyle name="汇总 2 11 5 2 8" xfId="7292"/>
    <cellStyle name="注释 2 11 3 5 5" xfId="7293"/>
    <cellStyle name="汇总 2 9 7 7" xfId="7294"/>
    <cellStyle name="汇总 2 11 18 2 2" xfId="7295"/>
    <cellStyle name="输出 2 4 11 4 2" xfId="7296"/>
    <cellStyle name="注释 2 11 3 6 5" xfId="7297"/>
    <cellStyle name="汇总 2 9 8 7" xfId="7298"/>
    <cellStyle name="汇总 2 11 18 3 2" xfId="7299"/>
    <cellStyle name="输出 2 4 11 5 2" xfId="7300"/>
    <cellStyle name="汇总 2 11 18 4 2" xfId="7301"/>
    <cellStyle name="计算 2 11 11 12" xfId="7302"/>
    <cellStyle name="输出 2 4 11 6 2" xfId="7303"/>
    <cellStyle name="注释 2 11 3 7 5" xfId="7304"/>
    <cellStyle name="汇总 2 9 9 7" xfId="7305"/>
    <cellStyle name="汇总 2 4 14 2 2" xfId="7306"/>
    <cellStyle name="输出 2 12 16" xfId="7307"/>
    <cellStyle name="输出 2 12 21" xfId="7308"/>
    <cellStyle name="汇总 2 11 18 5" xfId="7309"/>
    <cellStyle name="注释 2 3 5 2 2" xfId="7310"/>
    <cellStyle name="输出 2 4 11 7" xfId="7311"/>
    <cellStyle name="汇总 2 4 14 3" xfId="7312"/>
    <cellStyle name="汇总 2 5 3 2 4 2" xfId="7313"/>
    <cellStyle name="汇总 2 11 18 5 2" xfId="7314"/>
    <cellStyle name="注释 2 3 5 2 2 2" xfId="7315"/>
    <cellStyle name="输出 2 4 11 7 2" xfId="7316"/>
    <cellStyle name="注释 2 11 3 8 5" xfId="7317"/>
    <cellStyle name="汇总 2 4 14 3 2" xfId="7318"/>
    <cellStyle name="汇总 2 2 4 4 2" xfId="7319"/>
    <cellStyle name="汇总 2 11 19" xfId="7320"/>
    <cellStyle name="汇总 2 11 24" xfId="7321"/>
    <cellStyle name="汇总 2 11 19 2" xfId="7322"/>
    <cellStyle name="汇总 2 2 4 4 2 2" xfId="7323"/>
    <cellStyle name="输出 2 4 12 4" xfId="7324"/>
    <cellStyle name="汇总 2 11 19 2 2" xfId="7325"/>
    <cellStyle name="输出 2 4 12 4 2" xfId="7326"/>
    <cellStyle name="注释 2 7 4 3 3 2" xfId="7327"/>
    <cellStyle name="汇总 2 11 19 3" xfId="7328"/>
    <cellStyle name="输出 2 4 12 5" xfId="7329"/>
    <cellStyle name="汇总 2 11 19 4 2" xfId="7330"/>
    <cellStyle name="注释 2 11 4 7 5" xfId="7331"/>
    <cellStyle name="输入 2 8 20 2" xfId="7332"/>
    <cellStyle name="输入 2 8 15 2" xfId="7333"/>
    <cellStyle name="汇总 2 4 15 2 2" xfId="7334"/>
    <cellStyle name="输出 2 17 16" xfId="7335"/>
    <cellStyle name="汇总 2 11 9 6 2 2" xfId="7336"/>
    <cellStyle name="计算 2 8 6 6 5 2" xfId="7337"/>
    <cellStyle name="汇总 2 11 19 5" xfId="7338"/>
    <cellStyle name="注释 2 3 5 3 2" xfId="7339"/>
    <cellStyle name="输出 2 4 12 7" xfId="7340"/>
    <cellStyle name="输入 2 8 21" xfId="7341"/>
    <cellStyle name="输入 2 8 16" xfId="7342"/>
    <cellStyle name="汇总 2 4 15 3" xfId="7343"/>
    <cellStyle name="适中 2" xfId="7344"/>
    <cellStyle name="输出 2 8 6 4 2 2" xfId="7345"/>
    <cellStyle name="汇总 2 5 3 2 5 2" xfId="7346"/>
    <cellStyle name="输出 2 3 9 2 8" xfId="7347"/>
    <cellStyle name="注释 2 6 8 2 9" xfId="7348"/>
    <cellStyle name="汇总 2 9 3 4 5" xfId="7349"/>
    <cellStyle name="汇总 2 2 10 2 2 2" xfId="7350"/>
    <cellStyle name="汇总 2 11 2 10" xfId="7351"/>
    <cellStyle name="计算 2 5 6 11 2" xfId="7352"/>
    <cellStyle name="汇总 2 9 3 4 5 2" xfId="7353"/>
    <cellStyle name="汇总 2 11 2 10 2" xfId="7354"/>
    <cellStyle name="汇总 2 11 3 6" xfId="7355"/>
    <cellStyle name="汇总 2 9 3 11" xfId="7356"/>
    <cellStyle name="输出 2 6 5 6 4 2" xfId="7357"/>
    <cellStyle name="注释 2 6 7 6 3" xfId="7358"/>
    <cellStyle name="输入 2 6 3 4 5 2" xfId="7359"/>
    <cellStyle name="汇总 2 8 8 6 2 2" xfId="7360"/>
    <cellStyle name="汇总 2 11 2 2" xfId="7361"/>
    <cellStyle name="汇总 2 9 3 11 2" xfId="7362"/>
    <cellStyle name="汇总 2 8 6 3 3" xfId="7363"/>
    <cellStyle name="输入 2 3 10 5 5" xfId="7364"/>
    <cellStyle name="汇总 2 6 10 10" xfId="7365"/>
    <cellStyle name="注释 2 6 7 6 3 2" xfId="7366"/>
    <cellStyle name="汇总 2 11 2 2 2" xfId="7367"/>
    <cellStyle name="检查单元格 2 3 8 6" xfId="7368"/>
    <cellStyle name="输出 2 6 3 3 5" xfId="7369"/>
    <cellStyle name="注释 2 4 4 7 3" xfId="7370"/>
    <cellStyle name="汇总 2 8 6 3 3 2" xfId="7371"/>
    <cellStyle name="输入 2 3 10 5 5 2" xfId="7372"/>
    <cellStyle name="汇总 2 6 10 10 2" xfId="7373"/>
    <cellStyle name="汇总 2 11 2 2 2 2" xfId="7374"/>
    <cellStyle name="输出 2 6 3 3 5 2" xfId="7375"/>
    <cellStyle name="汇总 2 8 7 3 4" xfId="7376"/>
    <cellStyle name="汇总 2 5 2 16" xfId="7377"/>
    <cellStyle name="汇总 2 11 3 2 3" xfId="7378"/>
    <cellStyle name="检查单元格 2 4 8 7" xfId="7379"/>
    <cellStyle name="输出 2 6 4 3 6" xfId="7380"/>
    <cellStyle name="汇总 2 8 6 3 4" xfId="7381"/>
    <cellStyle name="输入 2 3 10 5 6" xfId="7382"/>
    <cellStyle name="汇总 2 6 10 11" xfId="7383"/>
    <cellStyle name="汇总 2 17 12 2" xfId="7384"/>
    <cellStyle name="汇总 2 11 2 2 3" xfId="7385"/>
    <cellStyle name="检查单元格 2 3 8 7" xfId="7386"/>
    <cellStyle name="输出 2 6 3 3 6" xfId="7387"/>
    <cellStyle name="汇总 2 6 10 11 2" xfId="7388"/>
    <cellStyle name="注释 2 4 4 8 3" xfId="7389"/>
    <cellStyle name="汇总 2 8 6 3 4 2" xfId="7390"/>
    <cellStyle name="检查单元格 2 3 7 11" xfId="7391"/>
    <cellStyle name="汇总 2 11 2 2 3 2" xfId="7392"/>
    <cellStyle name="输入 2 6 2 2 7" xfId="7393"/>
    <cellStyle name="汇总 2 8 7 4 4" xfId="7394"/>
    <cellStyle name="汇总 2 11 3 3 3" xfId="7395"/>
    <cellStyle name="输出 2 6 4 4 6" xfId="7396"/>
    <cellStyle name="汇总 2 8 6 3 5 2" xfId="7397"/>
    <cellStyle name="汇总 2 6 10 12 2" xfId="7398"/>
    <cellStyle name="汇总 2 11 2 2 4 2" xfId="7399"/>
    <cellStyle name="汇总 2 8 7 5 4" xfId="7400"/>
    <cellStyle name="汇总 2 11 3 4 3" xfId="7401"/>
    <cellStyle name="输出 2 6 4 5 6" xfId="7402"/>
    <cellStyle name="汇总 2 8 6 3 6" xfId="7403"/>
    <cellStyle name="汇总 2 2 2 5 4 2" xfId="7404"/>
    <cellStyle name="汇总 2 6 10 13" xfId="7405"/>
    <cellStyle name="汇总 2 11 2 2 5" xfId="7406"/>
    <cellStyle name="汇总 2 11 2 2 5 2" xfId="7407"/>
    <cellStyle name="汇总 2 8 7 6 4" xfId="7408"/>
    <cellStyle name="汇总 2 11 3 5 3" xfId="7409"/>
    <cellStyle name="输出 2 6 4 6 6" xfId="7410"/>
    <cellStyle name="计算 2 3 6 3 6" xfId="7411"/>
    <cellStyle name="计算 2 9 8 10" xfId="7412"/>
    <cellStyle name="注释 2 2 9 5 2 2" xfId="7413"/>
    <cellStyle name="汇总 2 5 11 4 3 2" xfId="7414"/>
    <cellStyle name="汇总 2 5 6 12 2" xfId="7415"/>
    <cellStyle name="检查单元格 2 5 3 3 2" xfId="7416"/>
    <cellStyle name="汇总 2 11 2 2 6" xfId="7417"/>
    <cellStyle name="检查单元格 2 6 6 3 4 2" xfId="7418"/>
    <cellStyle name="注释 2 7 2 4 5 2" xfId="7419"/>
    <cellStyle name="汇总 2 6 10 14" xfId="7420"/>
    <cellStyle name="汇总 2 16 8 4 2" xfId="7421"/>
    <cellStyle name="汇总 2 6 10 15" xfId="7422"/>
    <cellStyle name="汇总 2 11 2 2 7" xfId="7423"/>
    <cellStyle name="计算 2 12 6 2 3 2" xfId="7424"/>
    <cellStyle name="输出 2 8 10 7 5 2" xfId="7425"/>
    <cellStyle name="汇总 2 6 10 16" xfId="7426"/>
    <cellStyle name="输入 2 3 9 4 2 2" xfId="7427"/>
    <cellStyle name="汇总 2 11 2 2 8" xfId="7428"/>
    <cellStyle name="汇总 2 11 7 7 4 2" xfId="7429"/>
    <cellStyle name="汇总 2 11 2 2 9" xfId="7430"/>
    <cellStyle name="汇总 2 9 3 12" xfId="7431"/>
    <cellStyle name="注释 2 6 7 6 4" xfId="7432"/>
    <cellStyle name="汇总 2 11 2 3" xfId="7433"/>
    <cellStyle name="汇总 2 9 3 12 2" xfId="7434"/>
    <cellStyle name="汇总 2 8 6 4 3" xfId="7435"/>
    <cellStyle name="注释 2 6 7 6 4 2" xfId="7436"/>
    <cellStyle name="汇总 2 11 2 3 2" xfId="7437"/>
    <cellStyle name="检查单元格 2 3 9 6" xfId="7438"/>
    <cellStyle name="输出 2 6 3 4 5" xfId="7439"/>
    <cellStyle name="汇总 2 9 19 4" xfId="7440"/>
    <cellStyle name="汇总 2 11 2 3 2 2" xfId="7441"/>
    <cellStyle name="输出 2 6 3 4 5 2" xfId="7442"/>
    <cellStyle name="注释 2 4 5 7 3" xfId="7443"/>
    <cellStyle name="汇总 2 8 6 4 3 2" xfId="7444"/>
    <cellStyle name="汇总 2 8 8 3 4" xfId="7445"/>
    <cellStyle name="汇总 2 6 5 11 2" xfId="7446"/>
    <cellStyle name="输入 2 7 10 7 2" xfId="7447"/>
    <cellStyle name="汇总 2 5 7 16" xfId="7448"/>
    <cellStyle name="输出 2 12 5 13" xfId="7449"/>
    <cellStyle name="汇总 2 11 4 2 3" xfId="7450"/>
    <cellStyle name="检查单元格 2 5 8 7" xfId="7451"/>
    <cellStyle name="输出 2 6 5 3 6" xfId="7452"/>
    <cellStyle name="汇总 2 8 6 4 4" xfId="7453"/>
    <cellStyle name="汇总 2 11 2 3 3" xfId="7454"/>
    <cellStyle name="输出 2 6 3 4 6" xfId="7455"/>
    <cellStyle name="汇总 2 8 6 4 6" xfId="7456"/>
    <cellStyle name="汇总 2 2 2 5 5 2" xfId="7457"/>
    <cellStyle name="输出 2 5 5 7 2 2" xfId="7458"/>
    <cellStyle name="汇总 2 11 2 3 5" xfId="7459"/>
    <cellStyle name="计算 2 3 6 4 6" xfId="7460"/>
    <cellStyle name="计算 2 3 22" xfId="7461"/>
    <cellStyle name="计算 2 3 17" xfId="7462"/>
    <cellStyle name="检查单元格 2 10 4 2 7" xfId="7463"/>
    <cellStyle name="检查单元格 2 5 3 4 2" xfId="7464"/>
    <cellStyle name="注释 2 2 9 5 3 2" xfId="7465"/>
    <cellStyle name="汇总 2 5 11 4 4 2" xfId="7466"/>
    <cellStyle name="输出 2 12 4 10 2" xfId="7467"/>
    <cellStyle name="汇总 2 11 2 3 6" xfId="7468"/>
    <cellStyle name="汇总 2 7 10 5 2 2" xfId="7469"/>
    <cellStyle name="检查单元格 2 6 6 3 5 2" xfId="7470"/>
    <cellStyle name="汇总 2 9 3 13" xfId="7471"/>
    <cellStyle name="注释 2 6 7 6 5" xfId="7472"/>
    <cellStyle name="汇总 2 11 2 4" xfId="7473"/>
    <cellStyle name="汇总 2 8 6 5 3" xfId="7474"/>
    <cellStyle name="注释 2 6 7 6 5 2" xfId="7475"/>
    <cellStyle name="汇总 2 11 2 4 2" xfId="7476"/>
    <cellStyle name="输出 2 6 3 5 5" xfId="7477"/>
    <cellStyle name="注释 2 4 6 7 3" xfId="7478"/>
    <cellStyle name="汇总 2 8 6 5 3 2" xfId="7479"/>
    <cellStyle name="汇总 2 11 2 4 2 2" xfId="7480"/>
    <cellStyle name="输出 2 6 3 5 5 2" xfId="7481"/>
    <cellStyle name="汇总 2 8 9 3 4" xfId="7482"/>
    <cellStyle name="输出 2 11 2 6 3" xfId="7483"/>
    <cellStyle name="输入 2 7 11 7 2" xfId="7484"/>
    <cellStyle name="计算 2 8 2 2 6" xfId="7485"/>
    <cellStyle name="输出 2 4 10 13" xfId="7486"/>
    <cellStyle name="汇总 2 11 5 2 3" xfId="7487"/>
    <cellStyle name="检查单元格 2 6 8 7" xfId="7488"/>
    <cellStyle name="输出 2 6 6 3 6" xfId="7489"/>
    <cellStyle name="汇总 2 11 5 8 2 2" xfId="7490"/>
    <cellStyle name="输出 2 11 4 15" xfId="7491"/>
    <cellStyle name="汇总 2 8 6 5 4" xfId="7492"/>
    <cellStyle name="汇总 2 11 2 4 3" xfId="7493"/>
    <cellStyle name="输出 2 6 3 5 6" xfId="7494"/>
    <cellStyle name="注释 2 4 6 8 3" xfId="7495"/>
    <cellStyle name="汇总 2 8 6 5 4 2" xfId="7496"/>
    <cellStyle name="汇总 2 11 2 4 3 2" xfId="7497"/>
    <cellStyle name="输入 2 6 4 2 7" xfId="7498"/>
    <cellStyle name="汇总 2 8 9 4 4" xfId="7499"/>
    <cellStyle name="输出 2 11 2 7 3" xfId="7500"/>
    <cellStyle name="输入 2 7 11 8 2" xfId="7501"/>
    <cellStyle name="计算 2 8 2 3 6" xfId="7502"/>
    <cellStyle name="汇总 2 11 5 3 3" xfId="7503"/>
    <cellStyle name="汇总 2 3 3 2 9" xfId="7504"/>
    <cellStyle name="输出 2 6 6 4 6" xfId="7505"/>
    <cellStyle name="汇总 2 8 6 5 5" xfId="7506"/>
    <cellStyle name="汇总 2 11 2 4 4" xfId="7507"/>
    <cellStyle name="汇总 2 8 6 5 5 2" xfId="7508"/>
    <cellStyle name="汇总 2 11 2 4 4 2" xfId="7509"/>
    <cellStyle name="汇总 2 8 9 5 4" xfId="7510"/>
    <cellStyle name="输出 2 11 2 8 3" xfId="7511"/>
    <cellStyle name="输入 2 7 11 9 2" xfId="7512"/>
    <cellStyle name="计算 2 8 2 4 6" xfId="7513"/>
    <cellStyle name="汇总 2 11 5 4 3" xfId="7514"/>
    <cellStyle name="输出 2 6 6 5 6" xfId="7515"/>
    <cellStyle name="汇总 2 8 6 5 6" xfId="7516"/>
    <cellStyle name="输出 2 5 5 7 3 2" xfId="7517"/>
    <cellStyle name="汇总 2 11 2 4 5" xfId="7518"/>
    <cellStyle name="汇总 2 11 2 4 5 2" xfId="7519"/>
    <cellStyle name="汇总 2 8 9 6 4" xfId="7520"/>
    <cellStyle name="计算 2 7 8 15" xfId="7521"/>
    <cellStyle name="计算 2 8 2 5 6" xfId="7522"/>
    <cellStyle name="输出 2 3 6 3 2 2" xfId="7523"/>
    <cellStyle name="汇总 2 11 5 5 3" xfId="7524"/>
    <cellStyle name="计算 2 5 2 2 2 2" xfId="7525"/>
    <cellStyle name="输出 2 6 6 6 6" xfId="7526"/>
    <cellStyle name="计算 2 3 6 5 6" xfId="7527"/>
    <cellStyle name="计算 2 10 5 2 8" xfId="7528"/>
    <cellStyle name="检查单元格 2 5 3 5 2" xfId="7529"/>
    <cellStyle name="注释 2 2 9 5 4 2" xfId="7530"/>
    <cellStyle name="汇总 2 5 11 4 5 2" xfId="7531"/>
    <cellStyle name="输出 2 12 4 11 2" xfId="7532"/>
    <cellStyle name="汇总 2 11 2 4 6" xfId="7533"/>
    <cellStyle name="汇总 2 7 10 5 3 2" xfId="7534"/>
    <cellStyle name="汇总 2 9 3 14" xfId="7535"/>
    <cellStyle name="计算 2 6 7 4 4 2" xfId="7536"/>
    <cellStyle name="注释 2 6 7 6 6" xfId="7537"/>
    <cellStyle name="汇总 2 9 2 8 2" xfId="7538"/>
    <cellStyle name="汇总 2 11 2 5" xfId="7539"/>
    <cellStyle name="汇总 2 9 2 8 2 2" xfId="7540"/>
    <cellStyle name="汇总 2 11 2 5 2" xfId="7541"/>
    <cellStyle name="输出 2 6 3 6 5" xfId="7542"/>
    <cellStyle name="汇总 2 8 6 6 3" xfId="7543"/>
    <cellStyle name="注释 2 4 7 7 3" xfId="7544"/>
    <cellStyle name="汇总 2 8 6 6 3 2" xfId="7545"/>
    <cellStyle name="汇总 2 11 2 5 2 2" xfId="7546"/>
    <cellStyle name="输出 2 6 3 6 5 2" xfId="7547"/>
    <cellStyle name="计算 2 8 3 2 6" xfId="7548"/>
    <cellStyle name="汇总 2 11 6 2 3" xfId="7549"/>
    <cellStyle name="检查单元格 2 7 8 7" xfId="7550"/>
    <cellStyle name="输出 2 6 7 3 6" xfId="7551"/>
    <cellStyle name="汇总 2 11 5 8 3 2" xfId="7552"/>
    <cellStyle name="汇总 2 8 6 6 4" xfId="7553"/>
    <cellStyle name="汇总 2 11 2 5 3" xfId="7554"/>
    <cellStyle name="输出 2 6 3 6 6" xfId="7555"/>
    <cellStyle name="汇总 2 2 8" xfId="7556"/>
    <cellStyle name="注释 2 7 2 14" xfId="7557"/>
    <cellStyle name="计算 2 8 3 3 6" xfId="7558"/>
    <cellStyle name="汇总 2 11 6 3 3" xfId="7559"/>
    <cellStyle name="汇总 2 3 4 2 9" xfId="7560"/>
    <cellStyle name="输出 2 6 7 4 6" xfId="7561"/>
    <cellStyle name="注释 2 4 7 8 3" xfId="7562"/>
    <cellStyle name="汇总 2 8 6 6 4 2" xfId="7563"/>
    <cellStyle name="输出 2 6 10 2 6" xfId="7564"/>
    <cellStyle name="汇总 2 11 2 5 3 2" xfId="7565"/>
    <cellStyle name="计算 2 3 6 6 4" xfId="7566"/>
    <cellStyle name="计算 2 10 5 3 6" xfId="7567"/>
    <cellStyle name="检查单元格 2 10 4 4 5" xfId="7568"/>
    <cellStyle name="输出 2 7 9 7 5 2" xfId="7569"/>
    <cellStyle name="汇总 2 12 8 6 2 2" xfId="7570"/>
    <cellStyle name="计算 2 9 5 6 5 2" xfId="7571"/>
    <cellStyle name="汇总 2 8 6 6 5" xfId="7572"/>
    <cellStyle name="汇总 2 11 2 5 4" xfId="7573"/>
    <cellStyle name="汇总 2 8 6 6 5 2" xfId="7574"/>
    <cellStyle name="输出 2 6 10 3 6" xfId="7575"/>
    <cellStyle name="汇总 2 11 2 5 4 2" xfId="7576"/>
    <cellStyle name="计算 2 8 3 4 6" xfId="7577"/>
    <cellStyle name="汇总 2 11 6 4 3" xfId="7578"/>
    <cellStyle name="输出 2 6 7 5 6" xfId="7579"/>
    <cellStyle name="计算 2 10 9 2 5" xfId="7580"/>
    <cellStyle name="汇总 2 3 8" xfId="7581"/>
    <cellStyle name="输入 2 5 3 5 5 2" xfId="7582"/>
    <cellStyle name="汇总 2 7 8 7 2 2" xfId="7583"/>
    <cellStyle name="计算 2 11 15 2 2" xfId="7584"/>
    <cellStyle name="汇总 2 11 2 5 5" xfId="7585"/>
    <cellStyle name="汇总 2 8 6 6 6" xfId="7586"/>
    <cellStyle name="输出 2 5 5 7 4 2" xfId="7587"/>
    <cellStyle name="汇总 2 11 2 5 5 2" xfId="7588"/>
    <cellStyle name="输入 2 7 4 10 2" xfId="7589"/>
    <cellStyle name="计算 2 8 3 5 6" xfId="7590"/>
    <cellStyle name="输出 2 3 6 4 2 2" xfId="7591"/>
    <cellStyle name="汇总 2 11 6 5 3" xfId="7592"/>
    <cellStyle name="计算 2 5 2 3 2 2" xfId="7593"/>
    <cellStyle name="输出 2 6 7 6 6" xfId="7594"/>
    <cellStyle name="计算 2 10 9 3 5" xfId="7595"/>
    <cellStyle name="汇总 2 4 8" xfId="7596"/>
    <cellStyle name="汇总 2 11 2 5 6" xfId="7597"/>
    <cellStyle name="汇总 2 7 10 5 4 2" xfId="7598"/>
    <cellStyle name="汇总 2 9 3 4 4 2" xfId="7599"/>
    <cellStyle name="汇总 2 9 3 15" xfId="7600"/>
    <cellStyle name="汇总 2 9 2 8 3" xfId="7601"/>
    <cellStyle name="汇总 2 11 2 6" xfId="7602"/>
    <cellStyle name="汇总 2 9 2 8 3 2" xfId="7603"/>
    <cellStyle name="汇总 2 11 2 6 2" xfId="7604"/>
    <cellStyle name="输出 2 6 3 7 5" xfId="7605"/>
    <cellStyle name="汇总 2 8 6 7 3" xfId="7606"/>
    <cellStyle name="注释 2 4 8 7 3" xfId="7607"/>
    <cellStyle name="汇总 2 8 6 7 3 2" xfId="7608"/>
    <cellStyle name="汇总 2 11 2 6 2 2" xfId="7609"/>
    <cellStyle name="输出 2 6 3 7 5 2" xfId="7610"/>
    <cellStyle name="计算 2 8 4 2 6" xfId="7611"/>
    <cellStyle name="汇总 2 11 7 2 3" xfId="7612"/>
    <cellStyle name="检查单元格 2 8 8 7" xfId="7613"/>
    <cellStyle name="输出 2 6 8 3 6" xfId="7614"/>
    <cellStyle name="汇总 2 11 5 8 4 2" xfId="7615"/>
    <cellStyle name="汇总 2 8 6 7 4" xfId="7616"/>
    <cellStyle name="汇总 2 11 2 6 3" xfId="7617"/>
    <cellStyle name="输出 2 6 3 7 6" xfId="7618"/>
    <cellStyle name="注释 2 4 8 8 3" xfId="7619"/>
    <cellStyle name="汇总 2 8 6 7 4 2" xfId="7620"/>
    <cellStyle name="检查单元格 2 4 2 11" xfId="7621"/>
    <cellStyle name="输出 2 6 11 2 6" xfId="7622"/>
    <cellStyle name="汇总 2 11 2 6 3 2" xfId="7623"/>
    <cellStyle name="注释 2 7 7 14" xfId="7624"/>
    <cellStyle name="计算 2 8 4 3 6" xfId="7625"/>
    <cellStyle name="汇总 2 11 7 3 3" xfId="7626"/>
    <cellStyle name="汇总 2 3 5 2 9" xfId="7627"/>
    <cellStyle name="输出 2 6 8 4 6" xfId="7628"/>
    <cellStyle name="计算 2 3 6 7 4" xfId="7629"/>
    <cellStyle name="计算 2 10 5 4 6" xfId="7630"/>
    <cellStyle name="检查单元格 2 10 4 5 5" xfId="7631"/>
    <cellStyle name="汇总 2 12 8 6 3 2" xfId="7632"/>
    <cellStyle name="汇总 2 8 6 7 5" xfId="7633"/>
    <cellStyle name="汇总 2 11 2 6 4" xfId="7634"/>
    <cellStyle name="汇总 2 8 6 7 5 2" xfId="7635"/>
    <cellStyle name="输出 2 6 11 3 6" xfId="7636"/>
    <cellStyle name="汇总 2 11 2 6 4 2" xfId="7637"/>
    <cellStyle name="计算 2 8 4 4 6" xfId="7638"/>
    <cellStyle name="汇总 2 11 7 4 3" xfId="7639"/>
    <cellStyle name="输出 2 6 8 5 6" xfId="7640"/>
    <cellStyle name="计算 2 3 6 7 6" xfId="7641"/>
    <cellStyle name="输入 2 7 10 2 2 2" xfId="7642"/>
    <cellStyle name="输入 2 11 2 3 3" xfId="7643"/>
    <cellStyle name="汇总 2 5 4 7 2 2" xfId="7644"/>
    <cellStyle name="检查单元格 2 5 3 7 2" xfId="7645"/>
    <cellStyle name="汇总 2 11 2 6 6" xfId="7646"/>
    <cellStyle name="汇总 2 7 10 5 5 2" xfId="7647"/>
    <cellStyle name="汇总 2 11 6 4 5 2" xfId="7648"/>
    <cellStyle name="计算 2 8 10 8 4" xfId="7649"/>
    <cellStyle name="输出 2 3 5 13" xfId="7650"/>
    <cellStyle name="汇总 2 8 8 10 2" xfId="7651"/>
    <cellStyle name="汇总 2 4 6 2 3" xfId="7652"/>
    <cellStyle name="计算 2 6 11 7 6" xfId="7653"/>
    <cellStyle name="汇总 2 9 3 16" xfId="7654"/>
    <cellStyle name="汇总 2 9 2 8 4" xfId="7655"/>
    <cellStyle name="汇总 2 11 2 7" xfId="7656"/>
    <cellStyle name="汇总 2 9 2 8 4 2" xfId="7657"/>
    <cellStyle name="汇总 2 11 2 7 2" xfId="7658"/>
    <cellStyle name="输出 2 6 3 8 5" xfId="7659"/>
    <cellStyle name="汇总 2 8 6 8 3" xfId="7660"/>
    <cellStyle name="汇总 2 6 11 10" xfId="7661"/>
    <cellStyle name="注释 2 9 2 6 6" xfId="7662"/>
    <cellStyle name="计算 2 3 6 8 2 2" xfId="7663"/>
    <cellStyle name="计算 2 10 5 5 4 2" xfId="7664"/>
    <cellStyle name="输出 2 8 11 2 4" xfId="7665"/>
    <cellStyle name="汇总 2 2 11 3" xfId="7666"/>
    <cellStyle name="检查单元格 2 8 6 5 5" xfId="7667"/>
    <cellStyle name="注释 2 4 9 7 3" xfId="7668"/>
    <cellStyle name="汇总 2 8 6 8 3 2" xfId="7669"/>
    <cellStyle name="汇总 2 6 11 10 2" xfId="7670"/>
    <cellStyle name="汇总 2 11 2 7 2 2" xfId="7671"/>
    <cellStyle name="汇总 2 6 2 16" xfId="7672"/>
    <cellStyle name="计算 2 8 5 2 6" xfId="7673"/>
    <cellStyle name="汇总 2 11 8 2 3" xfId="7674"/>
    <cellStyle name="检查单元格 2 9 8 7" xfId="7675"/>
    <cellStyle name="输出 2 6 9 3 6" xfId="7676"/>
    <cellStyle name="汇总 2 8 6 8 4" xfId="7677"/>
    <cellStyle name="输出 2 9 11 3 3 2" xfId="7678"/>
    <cellStyle name="汇总 2 6 11 11" xfId="7679"/>
    <cellStyle name="汇总 2 11 2 7 3" xfId="7680"/>
    <cellStyle name="注释 2 9 2 7 6" xfId="7681"/>
    <cellStyle name="计算 2 3 6 8 3 2" xfId="7682"/>
    <cellStyle name="计算 2 10 5 5 5 2" xfId="7683"/>
    <cellStyle name="输出 2 8 11 3 4" xfId="7684"/>
    <cellStyle name="汇总 2 2 12 3" xfId="7685"/>
    <cellStyle name="汇总 2 6 11 11 2" xfId="7686"/>
    <cellStyle name="注释 2 4 9 8 3" xfId="7687"/>
    <cellStyle name="汇总 2 8 6 8 4 2" xfId="7688"/>
    <cellStyle name="检查单元格 2 4 7 11" xfId="7689"/>
    <cellStyle name="汇总 2 11 2 7 3 2" xfId="7690"/>
    <cellStyle name="计算 2 8 5 3 6" xfId="7691"/>
    <cellStyle name="汇总 2 11 8 3 3" xfId="7692"/>
    <cellStyle name="汇总 2 3 6 2 9" xfId="7693"/>
    <cellStyle name="输出 2 6 9 4 6" xfId="7694"/>
    <cellStyle name="计算 2 3 6 8 4" xfId="7695"/>
    <cellStyle name="计算 2 10 5 5 6" xfId="7696"/>
    <cellStyle name="汇总 2 12 8 6 4 2" xfId="7697"/>
    <cellStyle name="汇总 2 8 6 8 5" xfId="7698"/>
    <cellStyle name="汇总 2 6 11 12" xfId="7699"/>
    <cellStyle name="汇总 2 11 2 7 4" xfId="7700"/>
    <cellStyle name="计算 2 3 6 8 4 2" xfId="7701"/>
    <cellStyle name="输出 2 2 10 7" xfId="7702"/>
    <cellStyle name="输出 2 8 11 4 4" xfId="7703"/>
    <cellStyle name="汇总 2 2 13 3" xfId="7704"/>
    <cellStyle name="汇总 2 11 2 7 4 2" xfId="7705"/>
    <cellStyle name="输出 2 8 5 2 3" xfId="7706"/>
    <cellStyle name="汇总 2 6 11 12 2" xfId="7707"/>
    <cellStyle name="计算 2 8 5 4 6" xfId="7708"/>
    <cellStyle name="汇总 2 11 8 4 3" xfId="7709"/>
    <cellStyle name="输出 2 6 9 5 6" xfId="7710"/>
    <cellStyle name="输入 2 11 2 4 2 2" xfId="7711"/>
    <cellStyle name="输出 2 8 11 5 4" xfId="7712"/>
    <cellStyle name="汇总 2 2 14 3" xfId="7713"/>
    <cellStyle name="汇总 2 11 2 7 5 2" xfId="7714"/>
    <cellStyle name="计算 2 8 5 5 6" xfId="7715"/>
    <cellStyle name="输出 2 3 6 6 2 2" xfId="7716"/>
    <cellStyle name="汇总 2 11 8 5 3" xfId="7717"/>
    <cellStyle name="计算 2 5 2 5 2 2" xfId="7718"/>
    <cellStyle name="输出 2 6 9 6 6" xfId="7719"/>
    <cellStyle name="注释 2 11 9 2 8" xfId="7720"/>
    <cellStyle name="输入 2 9 10 5" xfId="7721"/>
    <cellStyle name="计算 2 8 4 4 5 2" xfId="7722"/>
    <cellStyle name="汇总 2 11 7 4 2 2" xfId="7723"/>
    <cellStyle name="输出 2 6 8 5 5 2" xfId="7724"/>
    <cellStyle name="输入 2 7 10 2 3 2" xfId="7725"/>
    <cellStyle name="输入 2 11 2 4 3" xfId="7726"/>
    <cellStyle name="汇总 2 5 4 7 3 2" xfId="7727"/>
    <cellStyle name="检查单元格 2 5 3 8 2" xfId="7728"/>
    <cellStyle name="汇总 2 11 2 7 6" xfId="7729"/>
    <cellStyle name="汇总 2 6 11 14" xfId="7730"/>
    <cellStyle name="汇总 2 9 2 8 5" xfId="7731"/>
    <cellStyle name="汇总 2 11 2 8" xfId="7732"/>
    <cellStyle name="输入 2 2 5 12" xfId="7733"/>
    <cellStyle name="输出 2 10 6 3 3" xfId="7734"/>
    <cellStyle name="计算 2 4 2 8 4" xfId="7735"/>
    <cellStyle name="输出 2 12 6 6 4 2" xfId="7736"/>
    <cellStyle name="计算 2 3 6 9" xfId="7737"/>
    <cellStyle name="输入 2 2 4 7 5" xfId="7738"/>
    <cellStyle name="汇总 2 12 9 2 4 2" xfId="7739"/>
    <cellStyle name="汇总 2 4 9 9 2" xfId="7740"/>
    <cellStyle name="汇总 2 11 2 8 2" xfId="7741"/>
    <cellStyle name="汇总 2 11 2 8 2 2" xfId="7742"/>
    <cellStyle name="汇总 2 11 9 2 3" xfId="7743"/>
    <cellStyle name="汇总 2 6 7 16" xfId="7744"/>
    <cellStyle name="计算 2 8 6 2 6" xfId="7745"/>
    <cellStyle name="汇总 2 6 6 11 2" xfId="7746"/>
    <cellStyle name="输出 2 11 6 6 3" xfId="7747"/>
    <cellStyle name="汇总 2 11 2 8 3" xfId="7748"/>
    <cellStyle name="汇总 2 11 2 8 3 2" xfId="7749"/>
    <cellStyle name="汇总 2 11 9 3 3" xfId="7750"/>
    <cellStyle name="汇总 2 3 7 2 9" xfId="7751"/>
    <cellStyle name="计算 2 6 10 13" xfId="7752"/>
    <cellStyle name="计算 2 8 6 3 6" xfId="7753"/>
    <cellStyle name="汇总 2 6 6 12 2" xfId="7754"/>
    <cellStyle name="输入 2 6 8 2 7" xfId="7755"/>
    <cellStyle name="输出 2 11 6 7 3" xfId="7756"/>
    <cellStyle name="计算 2 4 20" xfId="7757"/>
    <cellStyle name="计算 2 4 15" xfId="7758"/>
    <cellStyle name="计算 2 10 5 6 6" xfId="7759"/>
    <cellStyle name="汇总 2 12 8 6 5 2" xfId="7760"/>
    <cellStyle name="汇总 2 11 2 8 4" xfId="7761"/>
    <cellStyle name="汇总 2 11 2 8 4 2" xfId="7762"/>
    <cellStyle name="汇总 2 11 9 4 3" xfId="7763"/>
    <cellStyle name="计算 2 8 6 4 6" xfId="7764"/>
    <cellStyle name="汇总 2 11 2 9 2" xfId="7765"/>
    <cellStyle name="汇总 2 2 4 4 3" xfId="7766"/>
    <cellStyle name="汇总 2 11 25" xfId="7767"/>
    <cellStyle name="检查单元格 2 5 5 3 3 2" xfId="7768"/>
    <cellStyle name="输入 2 9 5 3 5 2" xfId="7769"/>
    <cellStyle name="汇总 2 2 4 4 4" xfId="7770"/>
    <cellStyle name="注释 2 6 9 10 2" xfId="7771"/>
    <cellStyle name="汇总 2 11 26" xfId="7772"/>
    <cellStyle name="计算 2 4 7 9" xfId="7773"/>
    <cellStyle name="输入 2 2 5 8 5" xfId="7774"/>
    <cellStyle name="汇总 2 12 9 3 5 2" xfId="7775"/>
    <cellStyle name="计算 2 3 7 15" xfId="7776"/>
    <cellStyle name="输出 2 10 7 4 3" xfId="7777"/>
    <cellStyle name="计算 2 11 2 6 6" xfId="7778"/>
    <cellStyle name="输出 2 12 6 7 5 2" xfId="7779"/>
    <cellStyle name="汇总 2 12 3 8" xfId="7780"/>
    <cellStyle name="汇总 2 11 3 10" xfId="7781"/>
    <cellStyle name="输入 2 7 2 7 6" xfId="7782"/>
    <cellStyle name="汇总 2 16 3 6" xfId="7783"/>
    <cellStyle name="汇总 2 11 3 10 2" xfId="7784"/>
    <cellStyle name="汇总 2 12 3 8 2" xfId="7785"/>
    <cellStyle name="汇总 2 16 4 6" xfId="7786"/>
    <cellStyle name="汇总 2 11 3 11 2" xfId="7787"/>
    <cellStyle name="汇总 2 12 3 9 2" xfId="7788"/>
    <cellStyle name="注释 2 5 7 2 2" xfId="7789"/>
    <cellStyle name="汇总 2 11 3 12" xfId="7790"/>
    <cellStyle name="计算 2 2 11 2 2 2" xfId="7791"/>
    <cellStyle name="计算 2 13 11" xfId="7792"/>
    <cellStyle name="汇总 2 5 5 4 4 2" xfId="7793"/>
    <cellStyle name="汇总 2 9 10 3 5 2" xfId="7794"/>
    <cellStyle name="输入 2 8 6 4 2 2" xfId="7795"/>
    <cellStyle name="输出 2 10 7 4 5" xfId="7796"/>
    <cellStyle name="汇总 2 2 10 3 2 2" xfId="7797"/>
    <cellStyle name="注释 2 6 9 2 9" xfId="7798"/>
    <cellStyle name="汇总 2 9 4 4 5" xfId="7799"/>
    <cellStyle name="输出 2 11 13 5" xfId="7800"/>
    <cellStyle name="输入 2 5 16 4" xfId="7801"/>
    <cellStyle name="汇总 2 11 7 10" xfId="7802"/>
    <cellStyle name="计算 2 13 11 2" xfId="7803"/>
    <cellStyle name="计算 2 11 6 8 4" xfId="7804"/>
    <cellStyle name="汇总 2 2 7 14" xfId="7805"/>
    <cellStyle name="计算 2 8 9 7" xfId="7806"/>
    <cellStyle name="输出 2 10 7 4 5 2" xfId="7807"/>
    <cellStyle name="汇总 2 16 5 6" xfId="7808"/>
    <cellStyle name="注释 2 5 7 2 2 2" xfId="7809"/>
    <cellStyle name="汇总 2 11 3 12 2" xfId="7810"/>
    <cellStyle name="注释 2 5 7 2 3" xfId="7811"/>
    <cellStyle name="汇总 2 11 3 13" xfId="7812"/>
    <cellStyle name="注释 2 5 7 2 4" xfId="7813"/>
    <cellStyle name="汇总 2 11 3 14" xfId="7814"/>
    <cellStyle name="检查单元格 2 7 5 2 3 2" xfId="7815"/>
    <cellStyle name="汇总 2 2 10 3 5" xfId="7816"/>
    <cellStyle name="计算 2 12 2 3 3 2" xfId="7817"/>
    <cellStyle name="汇总 2 12 9 4 3" xfId="7818"/>
    <cellStyle name="计算 2 9 6 4 6" xfId="7819"/>
    <cellStyle name="汇总 2 11 3 8 4 2" xfId="7820"/>
    <cellStyle name="注释 2 5 7 2 5" xfId="7821"/>
    <cellStyle name="汇总 2 11 3 15" xfId="7822"/>
    <cellStyle name="注释 2 6 7 7 3" xfId="7823"/>
    <cellStyle name="汇总 2 8 8 6 3 2" xfId="7824"/>
    <cellStyle name="汇总 2 11 3 2" xfId="7825"/>
    <cellStyle name="汇总 2 11 4 5 2 2" xfId="7826"/>
    <cellStyle name="输出 2 6 5 6 5 2" xfId="7827"/>
    <cellStyle name="汇总 2 8 7 3 3" xfId="7828"/>
    <cellStyle name="汇总 2 5 2 15" xfId="7829"/>
    <cellStyle name="注释 2 6 7 7 3 2" xfId="7830"/>
    <cellStyle name="汇总 2 11 3 2 2" xfId="7831"/>
    <cellStyle name="检查单元格 2 4 8 6" xfId="7832"/>
    <cellStyle name="输出 2 6 4 3 5" xfId="7833"/>
    <cellStyle name="汇总 2 8 7 3 6" xfId="7834"/>
    <cellStyle name="汇总 2 2 2 6 4 2" xfId="7835"/>
    <cellStyle name="汇总 2 11 3 2 5" xfId="7836"/>
    <cellStyle name="注释 2 6 7 7 4" xfId="7837"/>
    <cellStyle name="汇总 2 11 3 3" xfId="7838"/>
    <cellStyle name="计算 2 3 7 4" xfId="7839"/>
    <cellStyle name="计算 2 3 2 10" xfId="7840"/>
    <cellStyle name="汇总 2 6 4 6 2 2" xfId="7841"/>
    <cellStyle name="输入 2 6 2 2 6" xfId="7842"/>
    <cellStyle name="汇总 2 8 7 4 3" xfId="7843"/>
    <cellStyle name="注释 2 6 7 7 4 2" xfId="7844"/>
    <cellStyle name="汇总 2 11 3 3 2" xfId="7845"/>
    <cellStyle name="检查单元格 2 4 9 6" xfId="7846"/>
    <cellStyle name="输出 2 6 4 4 5" xfId="7847"/>
    <cellStyle name="输入 2 6 2 2 9" xfId="7848"/>
    <cellStyle name="汇总 2 8 7 4 6" xfId="7849"/>
    <cellStyle name="汇总 2 2 2 6 5 2" xfId="7850"/>
    <cellStyle name="输出 2 5 5 8 2 2" xfId="7851"/>
    <cellStyle name="汇总 2 11 3 3 5" xfId="7852"/>
    <cellStyle name="汇总 2 9 8 6 4" xfId="7853"/>
    <cellStyle name="输出 2 7 5 6 6" xfId="7854"/>
    <cellStyle name="汇总 2 12 4 5 3" xfId="7855"/>
    <cellStyle name="输出 2 3 7 2 2 2" xfId="7856"/>
    <cellStyle name="汇总 2 11 3 3 5 2" xfId="7857"/>
    <cellStyle name="注释 2 6 7 7 5" xfId="7858"/>
    <cellStyle name="注释 2 18 2 2" xfId="7859"/>
    <cellStyle name="汇总 2 11 3 4" xfId="7860"/>
    <cellStyle name="输入 2 6 2 3 6" xfId="7861"/>
    <cellStyle name="汇总 2 8 7 5 3" xfId="7862"/>
    <cellStyle name="注释 2 6 7 7 5 2" xfId="7863"/>
    <cellStyle name="汇总 2 11 3 4 2" xfId="7864"/>
    <cellStyle name="输出 2 6 4 5 5" xfId="7865"/>
    <cellStyle name="汇总 2 8 7 5 5" xfId="7866"/>
    <cellStyle name="汇总 2 11 3 4 4" xfId="7867"/>
    <cellStyle name="汇总 2 8 7 5 6" xfId="7868"/>
    <cellStyle name="输出 2 5 5 8 3 2" xfId="7869"/>
    <cellStyle name="汇总 2 11 3 4 5" xfId="7870"/>
    <cellStyle name="汇总 2 9 9 6 4" xfId="7871"/>
    <cellStyle name="输出 2 12 15 4" xfId="7872"/>
    <cellStyle name="输入 2 6 18 3" xfId="7873"/>
    <cellStyle name="输出 2 7 6 6 6" xfId="7874"/>
    <cellStyle name="汇总 2 12 5 5 3" xfId="7875"/>
    <cellStyle name="计算 2 5 3 2 2 2" xfId="7876"/>
    <cellStyle name="计算 2 9 2 5 6" xfId="7877"/>
    <cellStyle name="输出 2 3 7 3 2 2" xfId="7878"/>
    <cellStyle name="输出 2 5 6 11" xfId="7879"/>
    <cellStyle name="汇总 2 11 3 4 5 2" xfId="7880"/>
    <cellStyle name="注释 2 6 7 7 6" xfId="7881"/>
    <cellStyle name="汇总 2 9 2 9 2" xfId="7882"/>
    <cellStyle name="汇总 2 11 3 5" xfId="7883"/>
    <cellStyle name="输入 2 6 2 4 6" xfId="7884"/>
    <cellStyle name="汇总 2 8 7 6 3" xfId="7885"/>
    <cellStyle name="汇总 2 11 3 5 2" xfId="7886"/>
    <cellStyle name="输出 2 6 4 6 5" xfId="7887"/>
    <cellStyle name="计算 2 3 7 6 4" xfId="7888"/>
    <cellStyle name="计算 2 10 6 3 6" xfId="7889"/>
    <cellStyle name="检查单元格 2 10 5 4 5" xfId="7890"/>
    <cellStyle name="汇总 2 12 8 7 2 2" xfId="7891"/>
    <cellStyle name="计算 2 9 5 7 5 2" xfId="7892"/>
    <cellStyle name="汇总 2 8 7 6 5" xfId="7893"/>
    <cellStyle name="输入 2 4 5 10 2" xfId="7894"/>
    <cellStyle name="汇总 2 11 3 5 4" xfId="7895"/>
    <cellStyle name="输入 2 5 3 6 5 2" xfId="7896"/>
    <cellStyle name="汇总 2 7 8 8 2 2" xfId="7897"/>
    <cellStyle name="计算 2 11 16 2 2" xfId="7898"/>
    <cellStyle name="汇总 2 11 3 5 5" xfId="7899"/>
    <cellStyle name="汇总 2 8 7 6 6" xfId="7900"/>
    <cellStyle name="输出 2 5 5 8 4 2" xfId="7901"/>
    <cellStyle name="输入 2 6 2 5 6" xfId="7902"/>
    <cellStyle name="汇总 2 8 7 7 3" xfId="7903"/>
    <cellStyle name="汇总 2 11 3 6 2" xfId="7904"/>
    <cellStyle name="输出 2 6 4 7 5" xfId="7905"/>
    <cellStyle name="汇总 2 8 7 7 4" xfId="7906"/>
    <cellStyle name="汇总 2 11 3 6 3" xfId="7907"/>
    <cellStyle name="输出 2 6 4 7 6" xfId="7908"/>
    <cellStyle name="计算 2 3 7 7 4" xfId="7909"/>
    <cellStyle name="计算 2 10 6 4 6" xfId="7910"/>
    <cellStyle name="检查单元格 2 10 5 5 5" xfId="7911"/>
    <cellStyle name="汇总 2 12 8 7 3 2" xfId="7912"/>
    <cellStyle name="汇总 2 8 7 7 5" xfId="7913"/>
    <cellStyle name="输入 2 4 5 11 2" xfId="7914"/>
    <cellStyle name="汇总 2 11 3 6 4" xfId="7915"/>
    <cellStyle name="汇总 2 11 3 7" xfId="7916"/>
    <cellStyle name="计算 2 10 10 2 4" xfId="7917"/>
    <cellStyle name="输入 2 6 2 6 6" xfId="7918"/>
    <cellStyle name="汇总 2 8 7 8 3" xfId="7919"/>
    <cellStyle name="汇总 2 5 3 15" xfId="7920"/>
    <cellStyle name="汇总 2 11 3 7 2" xfId="7921"/>
    <cellStyle name="输出 2 6 4 8 5" xfId="7922"/>
    <cellStyle name="输出 2 7 9 3 6" xfId="7923"/>
    <cellStyle name="汇总 2 12 8 2 3" xfId="7924"/>
    <cellStyle name="汇总 2 3 9 8" xfId="7925"/>
    <cellStyle name="计算 2 9 5 2 6" xfId="7926"/>
    <cellStyle name="注释 2 7 8 3 4 2" xfId="7927"/>
    <cellStyle name="输入 2 4 4 11" xfId="7928"/>
    <cellStyle name="汇总 2 6 10 2 5 2" xfId="7929"/>
    <cellStyle name="计算 2 10 10 2 4 2" xfId="7930"/>
    <cellStyle name="注释 2 7 10 4 4" xfId="7931"/>
    <cellStyle name="注释 2 5 9 7 3" xfId="7932"/>
    <cellStyle name="汇总 2 8 7 8 3 2" xfId="7933"/>
    <cellStyle name="汇总 2 11 3 7 2 2" xfId="7934"/>
    <cellStyle name="计算 2 3 7 8 2 2" xfId="7935"/>
    <cellStyle name="计算 2 10 6 5 4 2" xfId="7936"/>
    <cellStyle name="汇总 2 7 11 3" xfId="7937"/>
    <cellStyle name="检查单元格 2 9 6 5 5" xfId="7938"/>
    <cellStyle name="输出 2 9 11 4 3 2" xfId="7939"/>
    <cellStyle name="计算 2 10 10 2 5" xfId="7940"/>
    <cellStyle name="汇总 2 8 7 8 4" xfId="7941"/>
    <cellStyle name="汇总 2 11 3 7 3" xfId="7942"/>
    <cellStyle name="汇总 2 5 3 16" xfId="7943"/>
    <cellStyle name="输出 2 7 9 4 6" xfId="7944"/>
    <cellStyle name="计算 2 12 2 2 2 2" xfId="7945"/>
    <cellStyle name="汇总 2 12 8 3 3" xfId="7946"/>
    <cellStyle name="汇总 2 4 6 2 9" xfId="7947"/>
    <cellStyle name="计算 2 9 5 3 6" xfId="7948"/>
    <cellStyle name="计算 2 10 4 15" xfId="7949"/>
    <cellStyle name="汇总 2 11 3 7 3 2" xfId="7950"/>
    <cellStyle name="计算 2 10 10 2 5 2" xfId="7951"/>
    <cellStyle name="注释 2 7 10 5 4" xfId="7952"/>
    <cellStyle name="注释 2 5 9 8 3" xfId="7953"/>
    <cellStyle name="汇总 2 8 7 8 4 2" xfId="7954"/>
    <cellStyle name="检查单元格 2 9 7 11" xfId="7955"/>
    <cellStyle name="计算 2 3 7 8 3 2" xfId="7956"/>
    <cellStyle name="计算 2 10 6 5 5 2" xfId="7957"/>
    <cellStyle name="输出 2 15 13" xfId="7958"/>
    <cellStyle name="汇总 2 7 12 3" xfId="7959"/>
    <cellStyle name="计算 2 3 7 8 4" xfId="7960"/>
    <cellStyle name="计算 2 10 6 5 6" xfId="7961"/>
    <cellStyle name="汇总 2 12 8 7 4 2" xfId="7962"/>
    <cellStyle name="计算 2 10 10 2 6" xfId="7963"/>
    <cellStyle name="汇总 2 8 7 8 5" xfId="7964"/>
    <cellStyle name="输入 2 4 5 12 2" xfId="7965"/>
    <cellStyle name="汇总 2 11 3 7 4" xfId="7966"/>
    <cellStyle name="输出 2 7 9 5 6" xfId="7967"/>
    <cellStyle name="计算 2 12 2 2 3 2" xfId="7968"/>
    <cellStyle name="汇总 2 12 8 4 3" xfId="7969"/>
    <cellStyle name="汇总 2 2 10 16" xfId="7970"/>
    <cellStyle name="计算 2 9 5 4 6" xfId="7971"/>
    <cellStyle name="汇总 2 11 3 7 4 2" xfId="7972"/>
    <cellStyle name="计算 2 3 7 8 4 2" xfId="7973"/>
    <cellStyle name="注释 2 5 11 5 6" xfId="7974"/>
    <cellStyle name="输出 2 7 10 7" xfId="7975"/>
    <cellStyle name="汇总 2 7 13 3" xfId="7976"/>
    <cellStyle name="输出 2 7 9 6 6" xfId="7977"/>
    <cellStyle name="计算 2 12 2 2 4 2" xfId="7978"/>
    <cellStyle name="汇总 2 12 8 5 3" xfId="7979"/>
    <cellStyle name="计算 2 5 3 5 2 2" xfId="7980"/>
    <cellStyle name="计算 2 9 5 5 6" xfId="7981"/>
    <cellStyle name="输出 2 3 7 6 2 2" xfId="7982"/>
    <cellStyle name="汇总 2 3 6 15" xfId="7983"/>
    <cellStyle name="输出 2 10 4 12" xfId="7984"/>
    <cellStyle name="注释 2 2 14" xfId="7985"/>
    <cellStyle name="汇总 2 11 3 7 5 2" xfId="7986"/>
    <cellStyle name="输入 2 11 3 4 2 2" xfId="7987"/>
    <cellStyle name="汇总 2 7 14 3" xfId="7988"/>
    <cellStyle name="计算 2 3 7 9" xfId="7989"/>
    <cellStyle name="输入 2 2 4 8 5" xfId="7990"/>
    <cellStyle name="汇总 2 12 9 2 5 2" xfId="7991"/>
    <cellStyle name="计算 2 3 2 15" xfId="7992"/>
    <cellStyle name="输出 2 10 6 4 3" xfId="7993"/>
    <cellStyle name="输出 2 12 6 6 5 2" xfId="7994"/>
    <cellStyle name="汇总 2 11 3 8" xfId="7995"/>
    <cellStyle name="汇总 2 12 9 2 3" xfId="7996"/>
    <cellStyle name="汇总 2 4 9 8" xfId="7997"/>
    <cellStyle name="计算 2 9 6 2 6" xfId="7998"/>
    <cellStyle name="注释 2 7 8 4 4 2" xfId="7999"/>
    <cellStyle name="输入 2 4 9 11" xfId="8000"/>
    <cellStyle name="汇总 2 6 10 3 5 2" xfId="8001"/>
    <cellStyle name="计算 2 10 10 3 4 2" xfId="8002"/>
    <cellStyle name="汇总 2 11 3 8 2 2" xfId="8003"/>
    <cellStyle name="汇总 2 2 10 2 5" xfId="8004"/>
    <cellStyle name="计算 2 12 2 3 2 2" xfId="8005"/>
    <cellStyle name="汇总 2 12 9 3 3" xfId="8006"/>
    <cellStyle name="汇总 2 4 7 2 9" xfId="8007"/>
    <cellStyle name="计算 2 7 10 13" xfId="8008"/>
    <cellStyle name="计算 2 9 6 3 6" xfId="8009"/>
    <cellStyle name="计算 2 10 9 15" xfId="8010"/>
    <cellStyle name="汇总 2 11 3 8 3 2" xfId="8011"/>
    <cellStyle name="计算 2 10 10 3 5 2" xfId="8012"/>
    <cellStyle name="计算 2 10 10 4 4" xfId="8013"/>
    <cellStyle name="汇总 2 11 3 9 2" xfId="8014"/>
    <cellStyle name="注释 2 3 10 2 5" xfId="8015"/>
    <cellStyle name="汇总 2 12 8 8" xfId="8016"/>
    <cellStyle name="汇总 2 11 4 10" xfId="8017"/>
    <cellStyle name="注释 2 3 10 2 5 2" xfId="8018"/>
    <cellStyle name="汇总 2 12 8 8 2" xfId="8019"/>
    <cellStyle name="计算 2 9 5 8 5" xfId="8020"/>
    <cellStyle name="汇总 2 11 4 10 2" xfId="8021"/>
    <cellStyle name="计算 2 11 9 10 2" xfId="8022"/>
    <cellStyle name="汇总 2 11 4 11" xfId="8023"/>
    <cellStyle name="注释 2 3 10 2 6" xfId="8024"/>
    <cellStyle name="汇总 2 12 8 9" xfId="8025"/>
    <cellStyle name="汇总 2 2 11 15" xfId="8026"/>
    <cellStyle name="汇总 2 12 8 9 2" xfId="8027"/>
    <cellStyle name="汇总 2 11 4 11 2" xfId="8028"/>
    <cellStyle name="输出 2 10 3 2 9" xfId="8029"/>
    <cellStyle name="汇总 2 8 8 3 5 2" xfId="8030"/>
    <cellStyle name="汇总 2 11 4 2 4 2" xfId="8031"/>
    <cellStyle name="计算 2 3 8 3 4 2" xfId="8032"/>
    <cellStyle name="汇总 2 11 7 7 6" xfId="8033"/>
    <cellStyle name="汇总 2 8 8 3 6" xfId="8034"/>
    <cellStyle name="汇总 2 2 2 7 4 2" xfId="8035"/>
    <cellStyle name="汇总 2 11 4 2 5" xfId="8036"/>
    <cellStyle name="输入 2 7 10 7 4" xfId="8037"/>
    <cellStyle name="输入 2 5 3 7 2 2" xfId="8038"/>
    <cellStyle name="输出 2 12 5 15" xfId="8039"/>
    <cellStyle name="计算 2 3 8 3 5 2" xfId="8040"/>
    <cellStyle name="汇总 2 2 4 2 3" xfId="8041"/>
    <cellStyle name="汇总 2 11 4 2 5 2" xfId="8042"/>
    <cellStyle name="汇总 2 11 4 2 6" xfId="8043"/>
    <cellStyle name="输入 2 7 10 7 5" xfId="8044"/>
    <cellStyle name="检查单元格 2 6 6 5 4 2" xfId="8045"/>
    <cellStyle name="输出 2 12 5 16" xfId="8046"/>
    <cellStyle name="计算 2 3 8 3 6" xfId="8047"/>
    <cellStyle name="注释 2 2 9 7 2 2" xfId="8048"/>
    <cellStyle name="汇总 2 5 11 6 3 2" xfId="8049"/>
    <cellStyle name="检查单元格 2 5 5 3 2" xfId="8050"/>
    <cellStyle name="检查单元格 2 4 2 5 3 2" xfId="8051"/>
    <cellStyle name="计算 2 14 2 2" xfId="8052"/>
    <cellStyle name="汇总 2 2 8 12 2" xfId="8053"/>
    <cellStyle name="检查单元格 2 5 5 3 3" xfId="8054"/>
    <cellStyle name="汇总 2 11 4 2 7" xfId="8055"/>
    <cellStyle name="计算 2 12 6 4 3 2" xfId="8056"/>
    <cellStyle name="输入 2 3 9 6 2 2" xfId="8057"/>
    <cellStyle name="汇总 2 11 4 2 8" xfId="8058"/>
    <cellStyle name="计算 2 3 8 6 4" xfId="8059"/>
    <cellStyle name="计算 2 10 7 3 6" xfId="8060"/>
    <cellStyle name="检查单元格 2 10 6 4 5" xfId="8061"/>
    <cellStyle name="汇总 2 12 8 8 2 2" xfId="8062"/>
    <cellStyle name="汇总 2 8 8 6 5" xfId="8063"/>
    <cellStyle name="汇总 2 11 5" xfId="8064"/>
    <cellStyle name="计算 2 7 3 16" xfId="8065"/>
    <cellStyle name="汇总 2 11 4 5 4" xfId="8066"/>
    <cellStyle name="汇总 2 8 8 6 5 2" xfId="8067"/>
    <cellStyle name="汇总 2 11 5 2" xfId="8068"/>
    <cellStyle name="汇总 2 11 4 5 4 2" xfId="8069"/>
    <cellStyle name="输出 2 11 2 6" xfId="8070"/>
    <cellStyle name="计算 2 11 17 2 2" xfId="8071"/>
    <cellStyle name="汇总 2 11 4 5 5" xfId="8072"/>
    <cellStyle name="汇总 2 8 8 6 6" xfId="8073"/>
    <cellStyle name="汇总 2 11 6" xfId="8074"/>
    <cellStyle name="计算 2 3 8 6 5 2" xfId="8075"/>
    <cellStyle name="输入 2 11 4 2 2 2" xfId="8076"/>
    <cellStyle name="汇总 2 2 7 2 3" xfId="8077"/>
    <cellStyle name="汇总 2 11 4 5 5 2" xfId="8078"/>
    <cellStyle name="输出 2 11 3 6" xfId="8079"/>
    <cellStyle name="汇总 2 11 6 2" xfId="8080"/>
    <cellStyle name="汇总 2 11 4 5 6" xfId="8081"/>
    <cellStyle name="汇总 2 7 10 7 4 2" xfId="8082"/>
    <cellStyle name="输入 2 5 11 3 3 2" xfId="8083"/>
    <cellStyle name="汇总 2 11 7" xfId="8084"/>
    <cellStyle name="输入 2 6 3 5 6" xfId="8085"/>
    <cellStyle name="汇总 2 8 8 7 3" xfId="8086"/>
    <cellStyle name="汇总 2 12 3" xfId="8087"/>
    <cellStyle name="汇总 2 11 4 6 2" xfId="8088"/>
    <cellStyle name="输出 2 6 5 7 5" xfId="8089"/>
    <cellStyle name="汇总 2 8 8 7 4" xfId="8090"/>
    <cellStyle name="汇总 2 12 4" xfId="8091"/>
    <cellStyle name="输出 2 3 6 2 3 2" xfId="8092"/>
    <cellStyle name="汇总 2 11 4 6 3" xfId="8093"/>
    <cellStyle name="输出 2 6 5 7 6" xfId="8094"/>
    <cellStyle name="注释 2 6 8 8 3" xfId="8095"/>
    <cellStyle name="汇总 2 8 8 7 4 2" xfId="8096"/>
    <cellStyle name="汇总 2 12 4 2" xfId="8097"/>
    <cellStyle name="汇总 2 11 4 6 3 2" xfId="8098"/>
    <cellStyle name="计算 2 3 8 7 4" xfId="8099"/>
    <cellStyle name="计算 2 10 7 4 6" xfId="8100"/>
    <cellStyle name="检查单元格 2 10 6 5 5" xfId="8101"/>
    <cellStyle name="汇总 2 12 8 8 3 2" xfId="8102"/>
    <cellStyle name="汇总 2 8 8 7 5" xfId="8103"/>
    <cellStyle name="汇总 2 12 5" xfId="8104"/>
    <cellStyle name="汇总 2 11 4 6 4" xfId="8105"/>
    <cellStyle name="输入 2 6 20" xfId="8106"/>
    <cellStyle name="输入 2 6 15" xfId="8107"/>
    <cellStyle name="汇总 2 8 8 7 5 2" xfId="8108"/>
    <cellStyle name="汇总 2 12 5 2" xfId="8109"/>
    <cellStyle name="汇总 2 11 4 6 4 2" xfId="8110"/>
    <cellStyle name="输出 2 12 2 6" xfId="8111"/>
    <cellStyle name="输入 2 5 11 3 4 2" xfId="8112"/>
    <cellStyle name="汇总 2 12 7" xfId="8113"/>
    <cellStyle name="汇总 2 11 4 6 6" xfId="8114"/>
    <cellStyle name="汇总 2 7 10 7 5 2" xfId="8115"/>
    <cellStyle name="计算 2 10 11 2 4" xfId="8116"/>
    <cellStyle name="输入 2 6 3 6 6" xfId="8117"/>
    <cellStyle name="汇总 2 8 8 8 3" xfId="8118"/>
    <cellStyle name="汇总 2 13 3" xfId="8119"/>
    <cellStyle name="汇总 2 5 8 15" xfId="8120"/>
    <cellStyle name="输出 2 12 6 12" xfId="8121"/>
    <cellStyle name="汇总 2 11 4 7 2" xfId="8122"/>
    <cellStyle name="输出 2 6 5 8 5" xfId="8123"/>
    <cellStyle name="计算 2 10 11 2 4 2" xfId="8124"/>
    <cellStyle name="注释 2 6 9 7 3" xfId="8125"/>
    <cellStyle name="汇总 2 8 8 8 3 2" xfId="8126"/>
    <cellStyle name="汇总 2 13 3 2" xfId="8127"/>
    <cellStyle name="汇总 2 11 4 7 2 2" xfId="8128"/>
    <cellStyle name="输出 2 12 6 12 2" xfId="8129"/>
    <cellStyle name="汇总 2 8 8 8 4" xfId="8130"/>
    <cellStyle name="汇总 2 13 4" xfId="8131"/>
    <cellStyle name="输出 2 9 11 5 3 2" xfId="8132"/>
    <cellStyle name="计算 2 10 11 2 5" xfId="8133"/>
    <cellStyle name="汇总 2 5 9 2 2 2" xfId="8134"/>
    <cellStyle name="汇总 2 11 4 7 3" xfId="8135"/>
    <cellStyle name="汇总 2 5 8 16" xfId="8136"/>
    <cellStyle name="输出 2 12 6 13" xfId="8137"/>
    <cellStyle name="输出 2 3 6 2 4 2" xfId="8138"/>
    <cellStyle name="计算 2 10 11 2 5 2" xfId="8139"/>
    <cellStyle name="注释 2 6 9 8 3" xfId="8140"/>
    <cellStyle name="汇总 2 8 8 8 4 2" xfId="8141"/>
    <cellStyle name="汇总 2 13 4 2" xfId="8142"/>
    <cellStyle name="汇总 2 11 4 7 3 2" xfId="8143"/>
    <cellStyle name="计算 2 3 8 8 4" xfId="8144"/>
    <cellStyle name="计算 2 10 7 5 6" xfId="8145"/>
    <cellStyle name="汇总 2 12 8 8 4 2" xfId="8146"/>
    <cellStyle name="计算 2 10 11 2 6" xfId="8147"/>
    <cellStyle name="汇总 2 8 8 8 5" xfId="8148"/>
    <cellStyle name="汇总 2 13 5" xfId="8149"/>
    <cellStyle name="汇总 2 11 4 7 4" xfId="8150"/>
    <cellStyle name="输出 2 12 6 14" xfId="8151"/>
    <cellStyle name="汇总 2 13 5 2" xfId="8152"/>
    <cellStyle name="汇总 2 11 4 7 4 2" xfId="8153"/>
    <cellStyle name="输出 2 13 2 6" xfId="8154"/>
    <cellStyle name="汇总 2 13 6 2" xfId="8155"/>
    <cellStyle name="汇总 2 11 4 7 5 2" xfId="8156"/>
    <cellStyle name="输出 2 13 3 6" xfId="8157"/>
    <cellStyle name="输入 2 11 4 4 2 2" xfId="8158"/>
    <cellStyle name="汇总 2 2 9 2 3" xfId="8159"/>
    <cellStyle name="计算 2 8 4 6 5 2" xfId="8160"/>
    <cellStyle name="汇总 2 11 7 6 2 2" xfId="8161"/>
    <cellStyle name="输出 2 6 8 7 5 2" xfId="8162"/>
    <cellStyle name="输入 2 5 11 3 5 2" xfId="8163"/>
    <cellStyle name="汇总 2 13 7" xfId="8164"/>
    <cellStyle name="汇总 2 11 4 7 6" xfId="8165"/>
    <cellStyle name="输出 2 12 6 16" xfId="8166"/>
    <cellStyle name="计算 2 10 11 3 4" xfId="8167"/>
    <cellStyle name="输入 2 6 3 7 6" xfId="8168"/>
    <cellStyle name="汇总 2 14 3" xfId="8169"/>
    <cellStyle name="汇总 2 11 4 8 2" xfId="8170"/>
    <cellStyle name="汇总 2 14 4" xfId="8171"/>
    <cellStyle name="输出 2 9 11 5 4 2" xfId="8172"/>
    <cellStyle name="计算 2 10 11 3 5" xfId="8173"/>
    <cellStyle name="汇总 2 5 9 2 3 2" xfId="8174"/>
    <cellStyle name="汇总 2 11 4 8 3" xfId="8175"/>
    <cellStyle name="输出 2 3 6 2 5 2" xfId="8176"/>
    <cellStyle name="输入 2 12 8 5 2 2" xfId="8177"/>
    <cellStyle name="计算 2 10 11 3 6" xfId="8178"/>
    <cellStyle name="汇总 2 14 5" xfId="8179"/>
    <cellStyle name="汇总 2 11 4 8 4" xfId="8180"/>
    <cellStyle name="计算 2 10 7 6 6" xfId="8181"/>
    <cellStyle name="汇总 2 3 5 2 2 2" xfId="8182"/>
    <cellStyle name="计算 2 10 11 4 4" xfId="8183"/>
    <cellStyle name="输入 2 6 7 11" xfId="8184"/>
    <cellStyle name="汇总 2 15 3" xfId="8185"/>
    <cellStyle name="汇总 2 11 4 9 2" xfId="8186"/>
    <cellStyle name="汇总 2 11 5 11 2" xfId="8187"/>
    <cellStyle name="输出 2 10 8 2 9" xfId="8188"/>
    <cellStyle name="输入 2 9 8 6 3" xfId="8189"/>
    <cellStyle name="计算 2 11 9 5 4 2" xfId="8190"/>
    <cellStyle name="汇总 2 6 7 6 5" xfId="8191"/>
    <cellStyle name="计算 2 9 3 7 5 2" xfId="8192"/>
    <cellStyle name="汇总 2 12 6 7 2 2" xfId="8193"/>
    <cellStyle name="汇总 2 8 19 2" xfId="8194"/>
    <cellStyle name="输出 2 11 5 11" xfId="8195"/>
    <cellStyle name="汇总 2 4 7 14" xfId="8196"/>
    <cellStyle name="汇总 2 8 3 3 2" xfId="8197"/>
    <cellStyle name="汇总 2 11 5 12 2" xfId="8198"/>
    <cellStyle name="汇总 2 12 6 7 4" xfId="8199"/>
    <cellStyle name="汇总 2 8 26" xfId="8200"/>
    <cellStyle name="汇总 2 11 5 14" xfId="8201"/>
    <cellStyle name="汇总 2 5 2 4 5 2" xfId="8202"/>
    <cellStyle name="输出 2 8 5 6 2 2" xfId="8203"/>
    <cellStyle name="汇总 2 2 17 2 2" xfId="8204"/>
    <cellStyle name="输出 2 8 11 8 3 2" xfId="8205"/>
    <cellStyle name="汇总 2 11 8 8 2 2" xfId="8206"/>
    <cellStyle name="汇总 2 12 6 7 6" xfId="8207"/>
    <cellStyle name="计算 2 3 9 2 4 2" xfId="8208"/>
    <cellStyle name="汇总 2 11 5 16" xfId="8209"/>
    <cellStyle name="输出 2 6 6 3 5" xfId="8210"/>
    <cellStyle name="检查单元格 2 6 8 6" xfId="8211"/>
    <cellStyle name="汇总 2 11 5 2 2" xfId="8212"/>
    <cellStyle name="输出 2 4 10 12" xfId="8213"/>
    <cellStyle name="计算 2 8 2 2 5" xfId="8214"/>
    <cellStyle name="输出 2 11 2 6 2" xfId="8215"/>
    <cellStyle name="汇总 2 8 9 3 3" xfId="8216"/>
    <cellStyle name="汇总 2 11 5 2 3 2" xfId="8217"/>
    <cellStyle name="输出 2 11 2 6 3 2" xfId="8218"/>
    <cellStyle name="汇总 2 8 9 3 4 2" xfId="8219"/>
    <cellStyle name="注释 2 7 4 8 3" xfId="8220"/>
    <cellStyle name="汇总 2 12 7 6 6" xfId="8221"/>
    <cellStyle name="输出 2 8 2 12 2" xfId="8222"/>
    <cellStyle name="计算 2 3 9 3 3 2" xfId="8223"/>
    <cellStyle name="汇总 2 11 5 2 4 2" xfId="8224"/>
    <cellStyle name="输出 2 11 2 6 4 2" xfId="8225"/>
    <cellStyle name="汇总 2 8 9 3 5 2" xfId="8226"/>
    <cellStyle name="汇总 2 12 7 7 6" xfId="8227"/>
    <cellStyle name="计算 2 3 9 3 4 2" xfId="8228"/>
    <cellStyle name="输出 2 4 10 15" xfId="8229"/>
    <cellStyle name="计算 2 8 2 2 8" xfId="8230"/>
    <cellStyle name="输入 2 5 3 8 2 2" xfId="8231"/>
    <cellStyle name="输入 2 7 11 7 4" xfId="8232"/>
    <cellStyle name="汇总 2 11 5 2 5" xfId="8233"/>
    <cellStyle name="输出 2 11 2 6 5" xfId="8234"/>
    <cellStyle name="汇总 2 2" xfId="8235"/>
    <cellStyle name="汇总 2 2 2 8 4 2" xfId="8236"/>
    <cellStyle name="汇总 2 8 9 3 6" xfId="8237"/>
    <cellStyle name="汇总 2 3 4 2 3" xfId="8238"/>
    <cellStyle name="计算 2 3 9 3 5 2" xfId="8239"/>
    <cellStyle name="注释 2 6 2 4 2 2" xfId="8240"/>
    <cellStyle name="汇总 2 11 5 2 5 2" xfId="8241"/>
    <cellStyle name="输出 2 11 2 6 5 2" xfId="8242"/>
    <cellStyle name="汇总 2 2 2" xfId="8243"/>
    <cellStyle name="检查单元格 2 5 6 3 2" xfId="8244"/>
    <cellStyle name="汇总 2 5 11 7 3 2" xfId="8245"/>
    <cellStyle name="注释 2 2 9 8 2 2" xfId="8246"/>
    <cellStyle name="计算 2 7 2 11 2" xfId="8247"/>
    <cellStyle name="计算 2 3 9 3 6" xfId="8248"/>
    <cellStyle name="注释 2 6 2 4 3" xfId="8249"/>
    <cellStyle name="输出 2 11 2 6 6" xfId="8250"/>
    <cellStyle name="汇总 2 3" xfId="8251"/>
    <cellStyle name="输出 2 4 10 16" xfId="8252"/>
    <cellStyle name="计算 2 8 2 2 9" xfId="8253"/>
    <cellStyle name="输入 2 7 11 7 5" xfId="8254"/>
    <cellStyle name="汇总 2 11 5 2 6" xfId="8255"/>
    <cellStyle name="输入 2 12 5 2 5 2" xfId="8256"/>
    <cellStyle name="汇总 2 4" xfId="8257"/>
    <cellStyle name="汇总 2 11 5 2 7" xfId="8258"/>
    <cellStyle name="输出 2 6 6 4 5" xfId="8259"/>
    <cellStyle name="检查单元格 2 6 9 6" xfId="8260"/>
    <cellStyle name="汇总 2 3 3 2 8" xfId="8261"/>
    <cellStyle name="汇总 2 11 5 3 2" xfId="8262"/>
    <cellStyle name="计算 2 8 2 3 5" xfId="8263"/>
    <cellStyle name="输出 2 11 2 7 2" xfId="8264"/>
    <cellStyle name="汇总 2 8 9 4 3" xfId="8265"/>
    <cellStyle name="输入 2 6 4 2 6" xfId="8266"/>
    <cellStyle name="输出 2 6 6 4 5 2" xfId="8267"/>
    <cellStyle name="输出 2 10 4 15" xfId="8268"/>
    <cellStyle name="汇总 2 11 5 3 2 2" xfId="8269"/>
    <cellStyle name="计算 2 8 2 3 5 2" xfId="8270"/>
    <cellStyle name="输入 2 12 8 2 3" xfId="8271"/>
    <cellStyle name="输出 2 11 2 7 2 2" xfId="8272"/>
    <cellStyle name="汇总 2 8 9 4 3 2" xfId="8273"/>
    <cellStyle name="注释 2 7 5 7 3" xfId="8274"/>
    <cellStyle name="检查单元格 2 10 7 2 3 2" xfId="8275"/>
    <cellStyle name="汇总 2 12 8 5 6" xfId="8276"/>
    <cellStyle name="计算 2 3 9 4 2 2" xfId="8277"/>
    <cellStyle name="汇总 2 11 5 3 3 2" xfId="8278"/>
    <cellStyle name="输出 2 11 2 7 3 2" xfId="8279"/>
    <cellStyle name="汇总 2 8 9 4 4 2" xfId="8280"/>
    <cellStyle name="注释 2 7 5 8 3" xfId="8281"/>
    <cellStyle name="检查单元格 2 10 7 2 4 2" xfId="8282"/>
    <cellStyle name="汇总 2 12 8 6 6" xfId="8283"/>
    <cellStyle name="计算 2 3 9 4 3 2" xfId="8284"/>
    <cellStyle name="汇总 2 11 5 3 4 2" xfId="8285"/>
    <cellStyle name="输出 2 11 2 7 4 2" xfId="8286"/>
    <cellStyle name="汇总 2 8 9 4 5 2" xfId="8287"/>
    <cellStyle name="检查单元格 2 10 7 2 5 2" xfId="8288"/>
    <cellStyle name="汇总 2 12 8 7 6" xfId="8289"/>
    <cellStyle name="计算 2 3 9 4 4 2" xfId="8290"/>
    <cellStyle name="汇总 2 11 5 3 5" xfId="8291"/>
    <cellStyle name="输出 2 11 2 7 5" xfId="8292"/>
    <cellStyle name="汇总 2 8 9 4 6" xfId="8293"/>
    <cellStyle name="输入 2 6 4 2 9" xfId="8294"/>
    <cellStyle name="汇总 2 3 5 2 3" xfId="8295"/>
    <cellStyle name="计算 2 3 9 4 5 2" xfId="8296"/>
    <cellStyle name="注释 2 6 2 5 2 2" xfId="8297"/>
    <cellStyle name="汇总 2 11 5 3 5 2" xfId="8298"/>
    <cellStyle name="汇总 2 7 10 8 2 2" xfId="8299"/>
    <cellStyle name="汇总 2 11 5 3 6" xfId="8300"/>
    <cellStyle name="检查单元格 2 5 6 4 2" xfId="8301"/>
    <cellStyle name="汇总 2 5 11 7 4 2" xfId="8302"/>
    <cellStyle name="注释 2 2 9 8 3 2" xfId="8303"/>
    <cellStyle name="检查单元格 2 10 7 2 7" xfId="8304"/>
    <cellStyle name="计算 2 7 2 12 2" xfId="8305"/>
    <cellStyle name="计算 2 3 9 4 6" xfId="8306"/>
    <cellStyle name="注释 2 6 2 5 3" xfId="8307"/>
    <cellStyle name="输出 2 6 6 5 5" xfId="8308"/>
    <cellStyle name="汇总 2 11 5 4 2" xfId="8309"/>
    <cellStyle name="计算 2 8 2 4 5" xfId="8310"/>
    <cellStyle name="输出 2 11 2 8 2" xfId="8311"/>
    <cellStyle name="汇总 2 8 9 5 3" xfId="8312"/>
    <cellStyle name="输入 2 6 4 3 6" xfId="8313"/>
    <cellStyle name="输出 2 6 6 5 5 2" xfId="8314"/>
    <cellStyle name="输出 2 10 9 15" xfId="8315"/>
    <cellStyle name="汇总 2 11 5 4 2 2" xfId="8316"/>
    <cellStyle name="计算 2 8 2 4 5 2" xfId="8317"/>
    <cellStyle name="输入 2 12 9 2 3" xfId="8318"/>
    <cellStyle name="输出 2 11 2 8 2 2" xfId="8319"/>
    <cellStyle name="汇总 2 8 9 5 3 2" xfId="8320"/>
    <cellStyle name="注释 2 7 6 7 3" xfId="8321"/>
    <cellStyle name="检查单元格 2 10 7 3 3 2" xfId="8322"/>
    <cellStyle name="汇总 2 12 9 5 6" xfId="8323"/>
    <cellStyle name="汇总 2 14 11" xfId="8324"/>
    <cellStyle name="计算 2 10 8 2 4 2" xfId="8325"/>
    <cellStyle name="计算 2 3 9 5 2 2" xfId="8326"/>
    <cellStyle name="汇总 2 11 5 4 3 2" xfId="8327"/>
    <cellStyle name="输出 2 11 2 8 3 2" xfId="8328"/>
    <cellStyle name="汇总 2 8 9 5 4 2" xfId="8329"/>
    <cellStyle name="注释 2 7 6 8 3" xfId="8330"/>
    <cellStyle name="检查单元格 2 10 7 3 4 2" xfId="8331"/>
    <cellStyle name="汇总 2 12 9 6 6" xfId="8332"/>
    <cellStyle name="计算 2 10 8 2 5 2" xfId="8333"/>
    <cellStyle name="计算 2 3 9 5 3 2" xfId="8334"/>
    <cellStyle name="汇总 2 11 5 4 4" xfId="8335"/>
    <cellStyle name="输出 2 11 2 8 4" xfId="8336"/>
    <cellStyle name="汇总 2 8 9 5 5" xfId="8337"/>
    <cellStyle name="汇总 2 11 5 4 5" xfId="8338"/>
    <cellStyle name="输出 2 11 2 8 5" xfId="8339"/>
    <cellStyle name="汇总 2 8 9 5 6" xfId="8340"/>
    <cellStyle name="汇总 2 3 6 2 3" xfId="8341"/>
    <cellStyle name="汇总 2 8 3 10 2" xfId="8342"/>
    <cellStyle name="计算 2 7 11 16" xfId="8343"/>
    <cellStyle name="计算 2 3 9 5 5 2" xfId="8344"/>
    <cellStyle name="注释 2 6 2 6 2 2" xfId="8345"/>
    <cellStyle name="汇总 2 11 5 4 5 2" xfId="8346"/>
    <cellStyle name="汇总 2 7 10 8 3 2" xfId="8347"/>
    <cellStyle name="汇总 2 11 5 4 6" xfId="8348"/>
    <cellStyle name="检查单元格 2 5 6 5 2" xfId="8349"/>
    <cellStyle name="汇总 2 5 11 7 5 2" xfId="8350"/>
    <cellStyle name="汇总 2 8 3 11" xfId="8351"/>
    <cellStyle name="注释 2 2 9 8 4 2" xfId="8352"/>
    <cellStyle name="计算 2 10 8 2 8" xfId="8353"/>
    <cellStyle name="计算 2 3 9 5 6" xfId="8354"/>
    <cellStyle name="注释 2 6 2 6 3" xfId="8355"/>
    <cellStyle name="检查单元格 2 8 4 4 3 2" xfId="8356"/>
    <cellStyle name="汇总 2 11 5 5" xfId="8357"/>
    <cellStyle name="输出 2 6 6 6 5" xfId="8358"/>
    <cellStyle name="汇总 2 11 5 5 2" xfId="8359"/>
    <cellStyle name="计算 2 8 2 5 5" xfId="8360"/>
    <cellStyle name="输出 2 11 2 9 2" xfId="8361"/>
    <cellStyle name="计算 2 7 8 14" xfId="8362"/>
    <cellStyle name="汇总 2 8 9 6 3" xfId="8363"/>
    <cellStyle name="输入 2 6 4 4 6" xfId="8364"/>
    <cellStyle name="输出 2 6 6 14" xfId="8365"/>
    <cellStyle name="计算 2 10 8 3 4 2" xfId="8366"/>
    <cellStyle name="计算 2 3 9 6 2 2" xfId="8367"/>
    <cellStyle name="检查单元格 2 10 7 4 3 2" xfId="8368"/>
    <cellStyle name="汇总 2 4 10 5 6" xfId="8369"/>
    <cellStyle name="输入 2 7 18 6" xfId="8370"/>
    <cellStyle name="输出 2 6 6 6 5 2" xfId="8371"/>
    <cellStyle name="汇总 2 11 5 5 2 2" xfId="8372"/>
    <cellStyle name="计算 2 8 2 5 5 2" xfId="8373"/>
    <cellStyle name="输入 2 4 10 2 3" xfId="8374"/>
    <cellStyle name="汇总 2 8 9 6 3 2" xfId="8375"/>
    <cellStyle name="注释 2 7 7 7 3" xfId="8376"/>
    <cellStyle name="检查单元格 2 10 7 4 4 2" xfId="8377"/>
    <cellStyle name="汇总 2 4 10 6 6" xfId="8378"/>
    <cellStyle name="计算 2 10 8 3 5 2" xfId="8379"/>
    <cellStyle name="计算 2 3 9 6 3 2" xfId="8380"/>
    <cellStyle name="汇总 2 11 5 5 3 2" xfId="8381"/>
    <cellStyle name="汇总 2 8 9 6 4 2" xfId="8382"/>
    <cellStyle name="注释 2 7 7 8 3" xfId="8383"/>
    <cellStyle name="汇总 2 11 5 5 4" xfId="8384"/>
    <cellStyle name="计算 2 7 8 16" xfId="8385"/>
    <cellStyle name="汇总 2 8 9 6 5" xfId="8386"/>
    <cellStyle name="汇总 2 6 7 10" xfId="8387"/>
    <cellStyle name="输入 2 2 11 3 5" xfId="8388"/>
    <cellStyle name="检查单元格 2 10 7 4 5 2" xfId="8389"/>
    <cellStyle name="汇总 2 4 10 7 6" xfId="8390"/>
    <cellStyle name="计算 2 3 9 6 4 2" xfId="8391"/>
    <cellStyle name="汇总 2 11 5 5 4 2" xfId="8392"/>
    <cellStyle name="汇总 2 8 9 6 5 2" xfId="8393"/>
    <cellStyle name="输入 2 10 4 16" xfId="8394"/>
    <cellStyle name="注释 2 15" xfId="8395"/>
    <cellStyle name="注释 2 20" xfId="8396"/>
    <cellStyle name="汇总 2 8 9 6 6" xfId="8397"/>
    <cellStyle name="汇总 2 11 5 5 5" xfId="8398"/>
    <cellStyle name="计算 2 11 18 2 2" xfId="8399"/>
    <cellStyle name="汇总 2 3 7 2 3" xfId="8400"/>
    <cellStyle name="输入 2 11 5 2 2 2" xfId="8401"/>
    <cellStyle name="计算 2 3 9 6 5 2" xfId="8402"/>
    <cellStyle name="注释 2 6 2 7 2 2" xfId="8403"/>
    <cellStyle name="汇总 2 11 5 5 5 2" xfId="8404"/>
    <cellStyle name="汇总 2 7 10 8 4 2" xfId="8405"/>
    <cellStyle name="汇总 2 11 5 5 6" xfId="8406"/>
    <cellStyle name="输出 2 6 6 7 5 2" xfId="8407"/>
    <cellStyle name="汇总 2 11 5 6 2 2" xfId="8408"/>
    <cellStyle name="计算 2 8 2 6 5 2" xfId="8409"/>
    <cellStyle name="输入 2 4 11 2 3" xfId="8410"/>
    <cellStyle name="汇总 2 6 10 6 4" xfId="8411"/>
    <cellStyle name="汇总 2 8 9 7 3 2" xfId="8412"/>
    <cellStyle name="注释 2 7 8 7 3" xfId="8413"/>
    <cellStyle name="检查单元格 2 10 7 5 3 2" xfId="8414"/>
    <cellStyle name="汇总 2 4 11 5 6" xfId="8415"/>
    <cellStyle name="计算 2 10 8 4 4 2" xfId="8416"/>
    <cellStyle name="计算 2 3 9 7 2 2" xfId="8417"/>
    <cellStyle name="输出 2 6 6 7 6" xfId="8418"/>
    <cellStyle name="计算 2 5 2 2 3 2" xfId="8419"/>
    <cellStyle name="汇总 2 11 5 6 3" xfId="8420"/>
    <cellStyle name="输出 2 3 6 3 3 2" xfId="8421"/>
    <cellStyle name="计算 2 8 2 6 6" xfId="8422"/>
    <cellStyle name="汇总 2 8 9 7 4" xfId="8423"/>
    <cellStyle name="汇总 2 11 5 6 3 2" xfId="8424"/>
    <cellStyle name="注释 2 5 6 16" xfId="8425"/>
    <cellStyle name="汇总 2 6 10 7 4" xfId="8426"/>
    <cellStyle name="汇总 2 8 9 7 4 2" xfId="8427"/>
    <cellStyle name="注释 2 7 8 8 3" xfId="8428"/>
    <cellStyle name="检查单元格 2 10 7 5 4 2" xfId="8429"/>
    <cellStyle name="汇总 2 4 11 6 6" xfId="8430"/>
    <cellStyle name="计算 2 10 8 4 5 2" xfId="8431"/>
    <cellStyle name="计算 2 3 9 7 3 2" xfId="8432"/>
    <cellStyle name="汇总 2 8 11 2 5 2" xfId="8433"/>
    <cellStyle name="汇总 2 12 5 16" xfId="8434"/>
    <cellStyle name="输入 2 6 5 6" xfId="8435"/>
    <cellStyle name="计算 2 10 10 8 3" xfId="8436"/>
    <cellStyle name="输出 2 9 8 5 6" xfId="8437"/>
    <cellStyle name="汇总 2 11 5 6 4 2" xfId="8438"/>
    <cellStyle name="汇总 2 6 10 8 4" xfId="8439"/>
    <cellStyle name="汇总 2 8 9 7 5 2" xfId="8440"/>
    <cellStyle name="输入 2 10 9 16" xfId="8441"/>
    <cellStyle name="汇总 2 4 11 7 6" xfId="8442"/>
    <cellStyle name="计算 2 3 9 7 4 2" xfId="8443"/>
    <cellStyle name="汇总 2 8 9 7 6" xfId="8444"/>
    <cellStyle name="汇总 2 11 5 6 5" xfId="8445"/>
    <cellStyle name="计算 2 11 18 3 2" xfId="8446"/>
    <cellStyle name="汇总 2 3 8 2 3" xfId="8447"/>
    <cellStyle name="输入 2 11 5 3 2 2" xfId="8448"/>
    <cellStyle name="计算 2 3 9 7 5 2" xfId="8449"/>
    <cellStyle name="注释 2 6 2 8 2 2" xfId="8450"/>
    <cellStyle name="汇总 2 11 5 6 5 2" xfId="8451"/>
    <cellStyle name="汇总 2 11 5 6 6" xfId="8452"/>
    <cellStyle name="汇总 2 8 11 3 3 2" xfId="8453"/>
    <cellStyle name="汇总 2 17 2" xfId="8454"/>
    <cellStyle name="输入 2 7 3 6" xfId="8455"/>
    <cellStyle name="计算 2 10 11 6 3" xfId="8456"/>
    <cellStyle name="输出 2 9 9 3 6" xfId="8457"/>
    <cellStyle name="输出 2 4 11 12 2" xfId="8458"/>
    <cellStyle name="计算 2 8 2 7 5 2" xfId="8459"/>
    <cellStyle name="汇总 2 11 5 7 2 2" xfId="8460"/>
    <cellStyle name="汇总 2 6 11 6 4" xfId="8461"/>
    <cellStyle name="汇总 2 8 9 8 3 2" xfId="8462"/>
    <cellStyle name="注释 2 7 9 7 3" xfId="8463"/>
    <cellStyle name="汇总 2 8 11 3 4" xfId="8464"/>
    <cellStyle name="检查单元格 2 5 3 5 3 2" xfId="8465"/>
    <cellStyle name="计算 2 12 4 2 2" xfId="8466"/>
    <cellStyle name="汇总 2 23" xfId="8467"/>
    <cellStyle name="汇总 2 18" xfId="8468"/>
    <cellStyle name="输出 2 4 11 13" xfId="8469"/>
    <cellStyle name="输出 2 3 6 3 4 2" xfId="8470"/>
    <cellStyle name="计算 2 8 2 7 6" xfId="8471"/>
    <cellStyle name="计算 2 5 2 2 4 2" xfId="8472"/>
    <cellStyle name="汇总 2 11 5 7 3" xfId="8473"/>
    <cellStyle name="汇总 2 5 9 3 2 2" xfId="8474"/>
    <cellStyle name="输出 2 9 11 6 3 2" xfId="8475"/>
    <cellStyle name="汇总 2 8 9 8 4" xfId="8476"/>
    <cellStyle name="输出 2 12 7 11" xfId="8477"/>
    <cellStyle name="汇总 2 5 9 14" xfId="8478"/>
    <cellStyle name="汇总 2 8 11 3 4 2" xfId="8479"/>
    <cellStyle name="输入 2 9 7 2 7" xfId="8480"/>
    <cellStyle name="汇总 2 6 6 2 9" xfId="8481"/>
    <cellStyle name="计算 2 10 11 7 3" xfId="8482"/>
    <cellStyle name="计算 2 12 4 2 2 2" xfId="8483"/>
    <cellStyle name="输出 2 9 9 4 6" xfId="8484"/>
    <cellStyle name="汇总 2 18 2" xfId="8485"/>
    <cellStyle name="输入 2 7 4 6" xfId="8486"/>
    <cellStyle name="汇总 2 11 5 7 3 2" xfId="8487"/>
    <cellStyle name="汇总 2 6 11 7 4" xfId="8488"/>
    <cellStyle name="汇总 2 8 9 8 4 2" xfId="8489"/>
    <cellStyle name="注释 2 7 9 8 3" xfId="8490"/>
    <cellStyle name="汇总 2 7 18 4 2" xfId="8491"/>
    <cellStyle name="汇总 2 8 11 3 5" xfId="8492"/>
    <cellStyle name="输出 2 9 5 7 4 2" xfId="8493"/>
    <cellStyle name="汇总 2 24" xfId="8494"/>
    <cellStyle name="汇总 2 19" xfId="8495"/>
    <cellStyle name="输入 2 9 3 5 5 2" xfId="8496"/>
    <cellStyle name="计算 2 12 4 2 3" xfId="8497"/>
    <cellStyle name="输出 2 4 11 14" xfId="8498"/>
    <cellStyle name="汇总 2 11 5 7 4" xfId="8499"/>
    <cellStyle name="汇总 2 8 9 8 5" xfId="8500"/>
    <cellStyle name="汇总 2 8 11 3 5 2" xfId="8501"/>
    <cellStyle name="汇总 2 4 10 16" xfId="8502"/>
    <cellStyle name="汇总 2 19 2" xfId="8503"/>
    <cellStyle name="输入 2 7 5 6" xfId="8504"/>
    <cellStyle name="计算 2 10 11 8 3" xfId="8505"/>
    <cellStyle name="计算 2 12 4 2 3 2" xfId="8506"/>
    <cellStyle name="输出 2 9 9 5 6" xfId="8507"/>
    <cellStyle name="汇总 2 6 11 8 4" xfId="8508"/>
    <cellStyle name="汇总 2 11 5 7 4 2" xfId="8509"/>
    <cellStyle name="输出 2 4 11 15" xfId="8510"/>
    <cellStyle name="汇总 2 11 5 7 5" xfId="8511"/>
    <cellStyle name="计算 2 11 18 4 2" xfId="8512"/>
    <cellStyle name="汇总 2 3 9 2 3" xfId="8513"/>
    <cellStyle name="输入 2 11 5 4 2 2" xfId="8514"/>
    <cellStyle name="汇总 2 11 5 7 5 2" xfId="8515"/>
    <cellStyle name="计算 2 8 4 7 5 2" xfId="8516"/>
    <cellStyle name="汇总 2 11 7 7 2 2" xfId="8517"/>
    <cellStyle name="输出 2 4 11 16" xfId="8518"/>
    <cellStyle name="汇总 2 11 5 7 6" xfId="8519"/>
    <cellStyle name="汇总 2 5 9 3 3 2" xfId="8520"/>
    <cellStyle name="输出 2 9 11 6 4 2" xfId="8521"/>
    <cellStyle name="输出 2 3 6 3 5 2" xfId="8522"/>
    <cellStyle name="计算 2 5 2 2 5 2" xfId="8523"/>
    <cellStyle name="汇总 2 11 5 8 3" xfId="8524"/>
    <cellStyle name="汇总 2 8 11 9" xfId="8525"/>
    <cellStyle name="汇总 2 3 5 3 2 2" xfId="8526"/>
    <cellStyle name="计算 2 10 8 6 6" xfId="8527"/>
    <cellStyle name="汇总 2 11 5 8 4" xfId="8528"/>
    <cellStyle name="汇总 2 2 2 2 2" xfId="8529"/>
    <cellStyle name="注释 2 2 11 7 3 2" xfId="8530"/>
    <cellStyle name="汇总 2 11 5 8 5" xfId="8531"/>
    <cellStyle name="计算 2 11 18 5 2" xfId="8532"/>
    <cellStyle name="汇总 2 7 10 8 3" xfId="8533"/>
    <cellStyle name="输入 2 12 5 2 7" xfId="8534"/>
    <cellStyle name="汇总 2 11 6 10 2" xfId="8535"/>
    <cellStyle name="输入 2 5 11 4 2" xfId="8536"/>
    <cellStyle name="检查单元格 2 5 6 5" xfId="8537"/>
    <cellStyle name="汇总 2 5 11 7 5" xfId="8538"/>
    <cellStyle name="注释 2 2 9 8 4" xfId="8539"/>
    <cellStyle name="输出 2 6 5 2 4" xfId="8540"/>
    <cellStyle name="检查单元格 2 5 7 5" xfId="8541"/>
    <cellStyle name="汇总 2 5 11 8 5" xfId="8542"/>
    <cellStyle name="汇总 2 8 8 2 2" xfId="8543"/>
    <cellStyle name="汇总 2 11 6 11 2" xfId="8544"/>
    <cellStyle name="输入 2 5 11 5 2" xfId="8545"/>
    <cellStyle name="输出 2 6 5 3 4" xfId="8546"/>
    <cellStyle name="检查单元格 2 5 8 5" xfId="8547"/>
    <cellStyle name="输出 2 12 5 11" xfId="8548"/>
    <cellStyle name="汇总 2 5 7 14" xfId="8549"/>
    <cellStyle name="汇总 2 8 8 3 2" xfId="8550"/>
    <cellStyle name="汇总 2 11 6 12 2" xfId="8551"/>
    <cellStyle name="输入 2 5 11 6 2" xfId="8552"/>
    <cellStyle name="输出 2 17 3 4 2" xfId="8553"/>
    <cellStyle name="汇总 2 11 6 13" xfId="8554"/>
    <cellStyle name="汇总 2 12 10 2 2" xfId="8555"/>
    <cellStyle name="输入 2 5 11 7" xfId="8556"/>
    <cellStyle name="输出 2 6 7 3 5" xfId="8557"/>
    <cellStyle name="检查单元格 2 7 8 6" xfId="8558"/>
    <cellStyle name="汇总 2 11 6 2 2" xfId="8559"/>
    <cellStyle name="计算 2 8 3 2 5" xfId="8560"/>
    <cellStyle name="输出 2 11 10 7 3" xfId="8561"/>
    <cellStyle name="汇总 2 2 7 2 3 2" xfId="8562"/>
    <cellStyle name="计算 2 8 3 2 8" xfId="8563"/>
    <cellStyle name="计算 2 2 4 10 2" xfId="8564"/>
    <cellStyle name="汇总 2 11 6 2 5" xfId="8565"/>
    <cellStyle name="输出 2 8 9 2 3 2" xfId="8566"/>
    <cellStyle name="计算 2 7 7 6 3" xfId="8567"/>
    <cellStyle name="汇总 2 2 8 5 6" xfId="8568"/>
    <cellStyle name="汇总 2 12 9 5" xfId="8569"/>
    <cellStyle name="注释 2 3 10 3 2" xfId="8570"/>
    <cellStyle name="汇总 2 4 4 2 3" xfId="8571"/>
    <cellStyle name="汇总 2 11 6 2 5 2" xfId="8572"/>
    <cellStyle name="输出 2 6 5 2 2 2" xfId="8573"/>
    <cellStyle name="检查单元格 2 5 7 3 2" xfId="8574"/>
    <cellStyle name="汇总 2 5 11 8 3 2" xfId="8575"/>
    <cellStyle name="计算 2 8 3 2 9" xfId="8576"/>
    <cellStyle name="汇总 2 11 6 2 6" xfId="8577"/>
    <cellStyle name="输入 2 12 5 3 5 2" xfId="8578"/>
    <cellStyle name="汇总 2 11 6 2 7" xfId="8579"/>
    <cellStyle name="输出 2 6 7 4 5" xfId="8580"/>
    <cellStyle name="检查单元格 2 7 9 6" xfId="8581"/>
    <cellStyle name="汇总 2 3 4 2 8" xfId="8582"/>
    <cellStyle name="汇总 2 11 6 3 2" xfId="8583"/>
    <cellStyle name="计算 2 8 3 3 5" xfId="8584"/>
    <cellStyle name="注释 2 7 2 13" xfId="8585"/>
    <cellStyle name="汇总 2 2 7" xfId="8586"/>
    <cellStyle name="输入 2 5 8 2 2 2" xfId="8587"/>
    <cellStyle name="输出 2 11 10 8 3" xfId="8588"/>
    <cellStyle name="汇总 2 2 7 2 4 2" xfId="8589"/>
    <cellStyle name="输出 2 6 7 4 5 2" xfId="8590"/>
    <cellStyle name="汇总 2 11 6 3 2 2" xfId="8591"/>
    <cellStyle name="计算 2 8 3 3 5 2" xfId="8592"/>
    <cellStyle name="注释 2 10 8 2 8" xfId="8593"/>
    <cellStyle name="计算 2 6 10 4 6" xfId="8594"/>
    <cellStyle name="汇总 2 2 7 2" xfId="8595"/>
    <cellStyle name="计算 2 7 8 3 3" xfId="8596"/>
    <cellStyle name="注释 2 3 2 11" xfId="8597"/>
    <cellStyle name="汇总 2 2 9 2 6" xfId="8598"/>
    <cellStyle name="汇总 2 13 6 5" xfId="8599"/>
    <cellStyle name="汇总 2 11 6 3 3 2" xfId="8600"/>
    <cellStyle name="计算 2 6 10 5 6" xfId="8601"/>
    <cellStyle name="汇总 2 2 8 2" xfId="8602"/>
    <cellStyle name="输出 2 11 10 8 4 2" xfId="8603"/>
    <cellStyle name="计算 2 2 5 16" xfId="8604"/>
    <cellStyle name="计算 2 7 8 4 3" xfId="8605"/>
    <cellStyle name="汇总 2 2 9 3 6" xfId="8606"/>
    <cellStyle name="计算 2 2 2 2 8" xfId="8607"/>
    <cellStyle name="注释 2 4 7 8 3 2" xfId="8608"/>
    <cellStyle name="汇总 2 13 7 5" xfId="8609"/>
    <cellStyle name="汇总 2 7 2 2 9" xfId="8610"/>
    <cellStyle name="计算 2 7 8 5 3" xfId="8611"/>
    <cellStyle name="汇总 2 2 9 4 6" xfId="8612"/>
    <cellStyle name="汇总 2 13 8 5" xfId="8613"/>
    <cellStyle name="注释 2 3 11 2 2" xfId="8614"/>
    <cellStyle name="计算 2 6 10 6 6" xfId="8615"/>
    <cellStyle name="汇总 2 2 9 2" xfId="8616"/>
    <cellStyle name="汇总 2 11 6 3 4 2" xfId="8617"/>
    <cellStyle name="汇总 2 11 6 3 5" xfId="8618"/>
    <cellStyle name="输出 2 8 9 2 4 2" xfId="8619"/>
    <cellStyle name="计算 2 2 4 11 2" xfId="8620"/>
    <cellStyle name="注释 2 7 2 16" xfId="8621"/>
    <cellStyle name="输出 2 6 5 2 3 2" xfId="8622"/>
    <cellStyle name="检查单元格 2 5 7 4 2" xfId="8623"/>
    <cellStyle name="汇总 2 5 11 8 4 2" xfId="8624"/>
    <cellStyle name="汇总 2 11 6 3 6" xfId="8625"/>
    <cellStyle name="汇总 2 3 7" xfId="8626"/>
    <cellStyle name="输入 2 5 8 2 3 2" xfId="8627"/>
    <cellStyle name="计算 2 7 6 3 2 2" xfId="8628"/>
    <cellStyle name="汇总 2 2 7 2 5 2" xfId="8629"/>
    <cellStyle name="计算 2 10 9 2 4" xfId="8630"/>
    <cellStyle name="输出 2 6 7 5 5" xfId="8631"/>
    <cellStyle name="汇总 2 11 6 4 2" xfId="8632"/>
    <cellStyle name="计算 2 8 3 4 5" xfId="8633"/>
    <cellStyle name="汇总 2 3 9" xfId="8634"/>
    <cellStyle name="计算 2 10 9 2 6" xfId="8635"/>
    <cellStyle name="汇总 2 11 6 4 4" xfId="8636"/>
    <cellStyle name="汇总 2 11 6 4 5" xfId="8637"/>
    <cellStyle name="输出 2 8 9 2 5 2" xfId="8638"/>
    <cellStyle name="计算 2 2 4 12 2" xfId="8639"/>
    <cellStyle name="检查单元格 2 5 5 10" xfId="8640"/>
    <cellStyle name="汇总 2 11 6 4 6" xfId="8641"/>
    <cellStyle name="检查单元格 2 8 4 4 4 2" xfId="8642"/>
    <cellStyle name="汇总 2 11 6 5" xfId="8643"/>
    <cellStyle name="计算 2 7 6 3 3" xfId="8644"/>
    <cellStyle name="汇总 2 2 7 2 6" xfId="8645"/>
    <cellStyle name="计算 2 5 10 10" xfId="8646"/>
    <cellStyle name="汇总 2 4 7" xfId="8647"/>
    <cellStyle name="输入 2 5 8 2 4 2" xfId="8648"/>
    <cellStyle name="计算 2 7 6 3 3 2" xfId="8649"/>
    <cellStyle name="计算 2 10 9 3 4" xfId="8650"/>
    <cellStyle name="计算 2 5 10 10 2" xfId="8651"/>
    <cellStyle name="输出 2 6 7 6 5" xfId="8652"/>
    <cellStyle name="汇总 2 11 6 5 2" xfId="8653"/>
    <cellStyle name="计算 2 8 3 5 5" xfId="8654"/>
    <cellStyle name="汇总 2 15 7 5" xfId="8655"/>
    <cellStyle name="汇总 2 7 4 2 9" xfId="8656"/>
    <cellStyle name="汇总 2 4 8 2" xfId="8657"/>
    <cellStyle name="计算 2 10 9 3 5 2" xfId="8658"/>
    <cellStyle name="计算 2 8 11 6 4" xfId="8659"/>
    <cellStyle name="汇总 2 11 6 5 3 2" xfId="8660"/>
    <cellStyle name="汇总 2 4 9" xfId="8661"/>
    <cellStyle name="计算 2 10 9 3 6" xfId="8662"/>
    <cellStyle name="汇总 2 11 6 5 4" xfId="8663"/>
    <cellStyle name="汇总 2 15 8 5" xfId="8664"/>
    <cellStyle name="注释 2 3 13 2 2" xfId="8665"/>
    <cellStyle name="汇总 2 4 9 2" xfId="8666"/>
    <cellStyle name="计算 2 8 11 7 4" xfId="8667"/>
    <cellStyle name="汇总 2 11 6 5 4 2" xfId="8668"/>
    <cellStyle name="汇总 2 13 2 2 2" xfId="8669"/>
    <cellStyle name="输出 2 8 3 3 5" xfId="8670"/>
    <cellStyle name="注释 2 6 9 6 3 2" xfId="8671"/>
    <cellStyle name="汇总 2 8 10 10" xfId="8672"/>
    <cellStyle name="汇总 2 11 6 5 5" xfId="8673"/>
    <cellStyle name="计算 2 11 19 2 2" xfId="8674"/>
    <cellStyle name="汇总 2 4 7 2 3" xfId="8675"/>
    <cellStyle name="输入 2 11 6 2 2 2" xfId="8676"/>
    <cellStyle name="计算 2 8 11 8 4" xfId="8677"/>
    <cellStyle name="汇总 2 11 6 5 5 2" xfId="8678"/>
    <cellStyle name="汇总 2 11 6 5 6" xfId="8679"/>
    <cellStyle name="计算 2 3 8 2 2 2" xfId="8680"/>
    <cellStyle name="汇总 2 5 7" xfId="8681"/>
    <cellStyle name="输入 2 5 8 2 5 2" xfId="8682"/>
    <cellStyle name="计算 2 12 12 2 2" xfId="8683"/>
    <cellStyle name="计算 2 7 6 3 4 2" xfId="8684"/>
    <cellStyle name="计算 2 10 9 4 4" xfId="8685"/>
    <cellStyle name="计算 2 5 10 11 2" xfId="8686"/>
    <cellStyle name="输出 2 6 7 7 5" xfId="8687"/>
    <cellStyle name="汇总 2 11 6 6 2" xfId="8688"/>
    <cellStyle name="计算 2 8 3 6 5" xfId="8689"/>
    <cellStyle name="汇总 2 5 8" xfId="8690"/>
    <cellStyle name="计算 2 10 9 4 5" xfId="8691"/>
    <cellStyle name="输出 2 6 7 7 6" xfId="8692"/>
    <cellStyle name="计算 2 5 2 3 3 2" xfId="8693"/>
    <cellStyle name="汇总 2 11 6 6 3" xfId="8694"/>
    <cellStyle name="输出 2 3 6 4 3 2" xfId="8695"/>
    <cellStyle name="计算 2 8 3 6 6" xfId="8696"/>
    <cellStyle name="输入 2 7 4 11 2" xfId="8697"/>
    <cellStyle name="汇总 2 16 7 5" xfId="8698"/>
    <cellStyle name="汇总 2 7 5 2 9" xfId="8699"/>
    <cellStyle name="输出 2 6 18 5" xfId="8700"/>
    <cellStyle name="汇总 2 5 8 2" xfId="8701"/>
    <cellStyle name="计算 2 10 9 4 5 2" xfId="8702"/>
    <cellStyle name="汇总 2 11 6 6 3 2" xfId="8703"/>
    <cellStyle name="汇总 2 5 9" xfId="8704"/>
    <cellStyle name="计算 2 10 9 4 6" xfId="8705"/>
    <cellStyle name="汇总 2 11 6 6 4" xfId="8706"/>
    <cellStyle name="汇总 2 16 8 5" xfId="8707"/>
    <cellStyle name="注释 2 3 14 2 2" xfId="8708"/>
    <cellStyle name="输出 2 6 19 5" xfId="8709"/>
    <cellStyle name="汇总 2 5 9 2" xfId="8710"/>
    <cellStyle name="汇总 2 11 6 6 4 2" xfId="8711"/>
    <cellStyle name="汇总 2 13 2 3 2" xfId="8712"/>
    <cellStyle name="输出 2 8 3 4 5" xfId="8713"/>
    <cellStyle name="注释 2 6 9 6 4 2" xfId="8714"/>
    <cellStyle name="汇总 2 11 6 6 5" xfId="8715"/>
    <cellStyle name="计算 2 11 19 3 2" xfId="8716"/>
    <cellStyle name="汇总 2 4 8 2 3" xfId="8717"/>
    <cellStyle name="输入 2 11 6 3 2 2" xfId="8718"/>
    <cellStyle name="汇总 2 11 6 6 5 2" xfId="8719"/>
    <cellStyle name="汇总 2 11 6 6 6" xfId="8720"/>
    <cellStyle name="计算 2 3 8 2 3 2" xfId="8721"/>
    <cellStyle name="汇总 2 6 8" xfId="8722"/>
    <cellStyle name="计算 2 10 9 5 5" xfId="8723"/>
    <cellStyle name="汇总 2 5 9 4 2 2" xfId="8724"/>
    <cellStyle name="输出 2 9 11 7 3 2" xfId="8725"/>
    <cellStyle name="输入 2 3 4 2 5 2" xfId="8726"/>
    <cellStyle name="输出 2 3 6 4 4 2" xfId="8727"/>
    <cellStyle name="计算 2 8 3 7 6" xfId="8728"/>
    <cellStyle name="输入 2 7 4 12 2" xfId="8729"/>
    <cellStyle name="计算 2 5 2 3 4 2" xfId="8730"/>
    <cellStyle name="汇总 2 11 6 7 3" xfId="8731"/>
    <cellStyle name="汇总 2 17 7 5" xfId="8732"/>
    <cellStyle name="汇总 2 7 6 2 9" xfId="8733"/>
    <cellStyle name="计算 2 12 5 2 2 2" xfId="8734"/>
    <cellStyle name="汇总 2 6 8 2" xfId="8735"/>
    <cellStyle name="计算 2 10 9 5 5 2" xfId="8736"/>
    <cellStyle name="汇总 2 11 6 7 3 2" xfId="8737"/>
    <cellStyle name="汇总 2 6 9" xfId="8738"/>
    <cellStyle name="计算 2 10 9 5 6" xfId="8739"/>
    <cellStyle name="汇总 2 11 6 7 4" xfId="8740"/>
    <cellStyle name="汇总 2 13 2 4 2" xfId="8741"/>
    <cellStyle name="输出 2 8 3 5 5" xfId="8742"/>
    <cellStyle name="注释 2 6 9 6 5 2" xfId="8743"/>
    <cellStyle name="汇总 2 11 6 7 5" xfId="8744"/>
    <cellStyle name="计算 2 11 19 4 2" xfId="8745"/>
    <cellStyle name="链接单元格 2" xfId="8746"/>
    <cellStyle name="汇总 2 11 7 8 2 2" xfId="8747"/>
    <cellStyle name="汇总 2 11 6 7 6" xfId="8748"/>
    <cellStyle name="计算 2 3 8 2 4 2" xfId="8749"/>
    <cellStyle name="汇总 2 5 9 4 3 2" xfId="8750"/>
    <cellStyle name="输出 2 9 11 7 4 2" xfId="8751"/>
    <cellStyle name="输出 2 3 6 4 5 2" xfId="8752"/>
    <cellStyle name="注释 2 7 3 14" xfId="8753"/>
    <cellStyle name="计算 2 5 2 3 5 2" xfId="8754"/>
    <cellStyle name="汇总 2 11 6 8 3" xfId="8755"/>
    <cellStyle name="汇总 2 11 6 8 3 2" xfId="8756"/>
    <cellStyle name="汇总 2 11 7 10 2" xfId="8757"/>
    <cellStyle name="输入 2 5 16 4 2" xfId="8758"/>
    <cellStyle name="输出 2 11 13 5 2" xfId="8759"/>
    <cellStyle name="汇总 2 9 4 4 5 2" xfId="8760"/>
    <cellStyle name="汇总 2 11 7 2 8" xfId="8761"/>
    <cellStyle name="计算 2 12 6 7 3 2" xfId="8762"/>
    <cellStyle name="汇总 2 11 7 2" xfId="8763"/>
    <cellStyle name="输出 2 11 4 6" xfId="8764"/>
    <cellStyle name="汇总 2 9 4 11" xfId="8765"/>
    <cellStyle name="汇总 2 2 7 3 3" xfId="8766"/>
    <cellStyle name="输入 2 11 4 2 3 2" xfId="8767"/>
    <cellStyle name="输出 2 6 8 3 5" xfId="8768"/>
    <cellStyle name="检查单元格 2 8 8 6" xfId="8769"/>
    <cellStyle name="汇总 2 11 7 2 2" xfId="8770"/>
    <cellStyle name="计算 2 8 4 2 5" xfId="8771"/>
    <cellStyle name="输出 2 11 4 6 2" xfId="8772"/>
    <cellStyle name="汇总 2 9 4 11 2" xfId="8773"/>
    <cellStyle name="输出 2 11 11 7 3" xfId="8774"/>
    <cellStyle name="汇总 2 2 7 3 3 2" xfId="8775"/>
    <cellStyle name="汇总 2 11 7 2 3 2" xfId="8776"/>
    <cellStyle name="汇总 2 11 7 2 4 2" xfId="8777"/>
    <cellStyle name="计算 2 8 4 2 8" xfId="8778"/>
    <cellStyle name="汇总 2 11 7 2 5" xfId="8779"/>
    <cellStyle name="输出 2 8 9 3 3 2" xfId="8780"/>
    <cellStyle name="输出 2 12 3 14" xfId="8781"/>
    <cellStyle name="汇总 2 5 4 2 3" xfId="8782"/>
    <cellStyle name="汇总 2 11 7 2 5 2" xfId="8783"/>
    <cellStyle name="输出 2 6 5 3 2 2" xfId="8784"/>
    <cellStyle name="检查单元格 2 5 8 3 2" xfId="8785"/>
    <cellStyle name="汇总 2 5 7 12 2" xfId="8786"/>
    <cellStyle name="计算 2 8 4 2 9" xfId="8787"/>
    <cellStyle name="汇总 2 11 7 2 6" xfId="8788"/>
    <cellStyle name="输入 2 12 5 4 5 2" xfId="8789"/>
    <cellStyle name="汇总 2 11 7 2 7" xfId="8790"/>
    <cellStyle name="输出 2 6 8 4 5" xfId="8791"/>
    <cellStyle name="检查单元格 2 8 9 6" xfId="8792"/>
    <cellStyle name="汇总 2 3 5 2 8" xfId="8793"/>
    <cellStyle name="汇总 2 11 7 3 2" xfId="8794"/>
    <cellStyle name="计算 2 8 4 3 5" xfId="8795"/>
    <cellStyle name="注释 2 7 7 13" xfId="8796"/>
    <cellStyle name="输出 2 11 4 7 2" xfId="8797"/>
    <cellStyle name="汇总 2 9 4 12 2" xfId="8798"/>
    <cellStyle name="输入 2 6 6 2 6" xfId="8799"/>
    <cellStyle name="输出 2 11 11 8 3" xfId="8800"/>
    <cellStyle name="汇总 2 2 7 3 4 2" xfId="8801"/>
    <cellStyle name="输出 2 6 8 4 5 2" xfId="8802"/>
    <cellStyle name="汇总 2 11 7 3 2 2" xfId="8803"/>
    <cellStyle name="计算 2 8 4 3 5 2" xfId="8804"/>
    <cellStyle name="注释 2 11 8 2 8" xfId="8805"/>
    <cellStyle name="汇总 2 11 7 3 3 2" xfId="8806"/>
    <cellStyle name="汇总 2 11 7 3 4 2" xfId="8807"/>
    <cellStyle name="汇总 2 11 7 3 5" xfId="8808"/>
    <cellStyle name="输出 2 8 9 3 4 2" xfId="8809"/>
    <cellStyle name="汇总 2 11 7 3 6" xfId="8810"/>
    <cellStyle name="输出 2 6 8 5 5" xfId="8811"/>
    <cellStyle name="汇总 2 11 7 4 2" xfId="8812"/>
    <cellStyle name="计算 2 8 4 4 5" xfId="8813"/>
    <cellStyle name="计算 2 7 6 4 2 2" xfId="8814"/>
    <cellStyle name="汇总 2 2 7 3 5 2" xfId="8815"/>
    <cellStyle name="汇总 2 11 7 4 3 2" xfId="8816"/>
    <cellStyle name="汇总 2 11 7 4 4" xfId="8817"/>
    <cellStyle name="注释 2 5 3 2 5 2" xfId="8818"/>
    <cellStyle name="汇总 2 11 7 4 4 2" xfId="8819"/>
    <cellStyle name="汇总 2 11 7 4 5" xfId="8820"/>
    <cellStyle name="输出 2 8 9 3 5 2" xfId="8821"/>
    <cellStyle name="汇总 2 5 6 2 3" xfId="8822"/>
    <cellStyle name="汇总 2 11 7 4 5 2" xfId="8823"/>
    <cellStyle name="输出 2 8 5 13" xfId="8824"/>
    <cellStyle name="检查单元格 2 8 4 4 5 2" xfId="8825"/>
    <cellStyle name="汇总 2 11 7 5" xfId="8826"/>
    <cellStyle name="输出 2 11 4 9" xfId="8827"/>
    <cellStyle name="汇总 2 9 4 14" xfId="8828"/>
    <cellStyle name="计算 2 7 6 4 3" xfId="8829"/>
    <cellStyle name="汇总 2 2 7 3 6" xfId="8830"/>
    <cellStyle name="输出 2 6 8 7 5" xfId="8831"/>
    <cellStyle name="汇总 2 11 7 6 2" xfId="8832"/>
    <cellStyle name="计算 2 8 4 6 5" xfId="8833"/>
    <cellStyle name="汇总 2 5 9 5 2 2" xfId="8834"/>
    <cellStyle name="输出 2 9 11 8 3 2" xfId="8835"/>
    <cellStyle name="输入 2 3 4 3 5 2" xfId="8836"/>
    <cellStyle name="输出 2 3 6 5 4 2" xfId="8837"/>
    <cellStyle name="计算 2 8 4 7 6" xfId="8838"/>
    <cellStyle name="计算 2 5 2 4 4 2" xfId="8839"/>
    <cellStyle name="汇总 2 11 7 7 3" xfId="8840"/>
    <cellStyle name="汇总 2 11 7 7 3 2" xfId="8841"/>
    <cellStyle name="汇总 2 11 7 7 4" xfId="8842"/>
    <cellStyle name="汇总 2 13 3 4 2" xfId="8843"/>
    <cellStyle name="输出 2 8 4 5 5" xfId="8844"/>
    <cellStyle name="注释 2 6 9 7 5 2" xfId="8845"/>
    <cellStyle name="汇总 2 11 7 7 5" xfId="8846"/>
    <cellStyle name="汇总 2 5 9 2 3" xfId="8847"/>
    <cellStyle name="输出 2 9 11 5 4" xfId="8848"/>
    <cellStyle name="输入 2 11 7 4 2 2" xfId="8849"/>
    <cellStyle name="汇总 2 11 7 7 5 2" xfId="8850"/>
    <cellStyle name="汇总 2 5 9 5 3 2" xfId="8851"/>
    <cellStyle name="输出 2 9 11 8 4 2" xfId="8852"/>
    <cellStyle name="输出 2 3 6 5 5 2" xfId="8853"/>
    <cellStyle name="注释 2 7 8 14" xfId="8854"/>
    <cellStyle name="计算 2 5 2 4 5 2" xfId="8855"/>
    <cellStyle name="汇总 2 11 7 8 3" xfId="8856"/>
    <cellStyle name="汇总 2 3 5 5 2 2" xfId="8857"/>
    <cellStyle name="汇总 2 11 7 8 4" xfId="8858"/>
    <cellStyle name="汇总 2 11 7 8 5" xfId="8859"/>
    <cellStyle name="汇总 2 2 4 2 2" xfId="8860"/>
    <cellStyle name="输出 2 11 18 2 2" xfId="8861"/>
    <cellStyle name="汇总 2 13 3 5 2" xfId="8862"/>
    <cellStyle name="输出 2 8 4 6 5" xfId="8863"/>
    <cellStyle name="检查单元格 2 4 3 13" xfId="8864"/>
    <cellStyle name="汇总 2 2 4 6 2" xfId="8865"/>
    <cellStyle name="汇总 2 11 8 11 2" xfId="8866"/>
    <cellStyle name="汇总 2 11 8" xfId="8867"/>
    <cellStyle name="汇总 2 2 4 5" xfId="8868"/>
    <cellStyle name="输出 2 9 6 2 5 2" xfId="8869"/>
    <cellStyle name="汇总 2 11 8 10" xfId="8870"/>
    <cellStyle name="计算 2 5 7 9" xfId="8871"/>
    <cellStyle name="汇总 2 12 9 4 5 2" xfId="8872"/>
    <cellStyle name="输入 2 2 6 8 5" xfId="8873"/>
    <cellStyle name="输出 2 10 8 4 3" xfId="8874"/>
    <cellStyle name="输出 2 10 11 12 2" xfId="8875"/>
    <cellStyle name="计算 2 11 3 6 6" xfId="8876"/>
    <cellStyle name="汇总 2 11 8 2 3 2" xfId="8877"/>
    <cellStyle name="输出 2 11 5 6 3 2" xfId="8878"/>
    <cellStyle name="汇总 2 2 8 16" xfId="8879"/>
    <cellStyle name="计算 2 9 7 4 3" xfId="8880"/>
    <cellStyle name="汇总 2 4 8 3 6" xfId="8881"/>
    <cellStyle name="汇总 2 2 11 3 2" xfId="8882"/>
    <cellStyle name="输出 2 8 11 2 4 2" xfId="8883"/>
    <cellStyle name="汇总 2 2 4 7" xfId="8884"/>
    <cellStyle name="输出 2 10 8 4 5" xfId="8885"/>
    <cellStyle name="输入 2 8 6 5 2 2" xfId="8886"/>
    <cellStyle name="汇总 2 9 10 4 5 2" xfId="8887"/>
    <cellStyle name="汇总 2 5 5 5 4 2" xfId="8888"/>
    <cellStyle name="计算 2 2 11 3 2 2" xfId="8889"/>
    <cellStyle name="汇总 2 11 8 12" xfId="8890"/>
    <cellStyle name="注释 2 5 8 2 2" xfId="8891"/>
    <cellStyle name="汇总 2 2 4 7 2" xfId="8892"/>
    <cellStyle name="汇总 2 11 8 12 2" xfId="8893"/>
    <cellStyle name="注释 2 5 8 2 2 2" xfId="8894"/>
    <cellStyle name="汇总 2 6 7 7 2" xfId="8895"/>
    <cellStyle name="输入 2 2 11 11 2" xfId="8896"/>
    <cellStyle name="输入 2 4 2 5 5" xfId="8897"/>
    <cellStyle name="汇总 2 2 4 8" xfId="8898"/>
    <cellStyle name="输入 2 4 6 8 4 2" xfId="8899"/>
    <cellStyle name="汇总 2 11 8 13" xfId="8900"/>
    <cellStyle name="注释 2 5 8 2 3" xfId="8901"/>
    <cellStyle name="汇总 2 6 7 7 3" xfId="8902"/>
    <cellStyle name="输入 2 4 2 5 6" xfId="8903"/>
    <cellStyle name="汇总 2 2 4 9" xfId="8904"/>
    <cellStyle name="检查单元格 2 7 5 3 3 2" xfId="8905"/>
    <cellStyle name="汇总 2 11 8 14" xfId="8906"/>
    <cellStyle name="注释 2 5 8 2 4" xfId="8907"/>
    <cellStyle name="汇总 2 11 8 15" xfId="8908"/>
    <cellStyle name="注释 2 5 8 2 5" xfId="8909"/>
    <cellStyle name="汇总 2 6 7 7 5" xfId="8910"/>
    <cellStyle name="计算 2 11 9 5 5 2" xfId="8911"/>
    <cellStyle name="输入 2 9 8 7 3" xfId="8912"/>
    <cellStyle name="汇总 2 12 6 7 3 2" xfId="8913"/>
    <cellStyle name="汇总 2 11 8 16" xfId="8914"/>
    <cellStyle name="汇总 2 8 3 4 2" xfId="8915"/>
    <cellStyle name="注释 2 5 8 2 6" xfId="8916"/>
    <cellStyle name="汇总 2 11 8 2" xfId="8917"/>
    <cellStyle name="汇总 2 2 7 4 3" xfId="8918"/>
    <cellStyle name="输入 2 11 4 2 4 2" xfId="8919"/>
    <cellStyle name="注释 2 9 8 10 2" xfId="8920"/>
    <cellStyle name="输出 2 5 19 2" xfId="8921"/>
    <cellStyle name="汇总 2 2 11" xfId="8922"/>
    <cellStyle name="输入 2 3 6 2 5 2" xfId="8923"/>
    <cellStyle name="输出 2 6 9 3 5" xfId="8924"/>
    <cellStyle name="检查单元格 2 9 8 6" xfId="8925"/>
    <cellStyle name="汇总 2 11 8 2 2" xfId="8926"/>
    <cellStyle name="计算 2 8 5 2 5" xfId="8927"/>
    <cellStyle name="汇总 2 6 2 15" xfId="8928"/>
    <cellStyle name="汇总 2 2 7 4 3 2" xfId="8929"/>
    <cellStyle name="输出 2 5 19 2 2" xfId="8930"/>
    <cellStyle name="检查单元格 2 8 6 5 4" xfId="8931"/>
    <cellStyle name="汇总 2 2 11 2" xfId="8932"/>
    <cellStyle name="输出 2 8 11 2 3" xfId="8933"/>
    <cellStyle name="计算 2 9 7 3 3" xfId="8934"/>
    <cellStyle name="汇总 2 4 8 2 6" xfId="8935"/>
    <cellStyle name="检查单元格 2 8 6 5 4 2" xfId="8936"/>
    <cellStyle name="汇总 2 2 11 2 2" xfId="8937"/>
    <cellStyle name="输出 2 8 11 2 3 2" xfId="8938"/>
    <cellStyle name="输出 2 6 9 3 5 2" xfId="8939"/>
    <cellStyle name="汇总 2 11 8 2 2 2" xfId="8940"/>
    <cellStyle name="计算 2 8 5 2 5 2" xfId="8941"/>
    <cellStyle name="注释 2 12 7 2 8" xfId="8942"/>
    <cellStyle name="输出 2 11 5 6 2 2" xfId="8943"/>
    <cellStyle name="计算 2 13 6" xfId="8944"/>
    <cellStyle name="计算 2 9 7 5 3" xfId="8945"/>
    <cellStyle name="汇总 2 4 8 4 6" xfId="8946"/>
    <cellStyle name="输入 2 2 3 2 9" xfId="8947"/>
    <cellStyle name="检查单元格 2 3 10 3" xfId="8948"/>
    <cellStyle name="汇总 2 2 11 4 2" xfId="8949"/>
    <cellStyle name="输出 2 8 11 2 5 2" xfId="8950"/>
    <cellStyle name="汇总 2 11 8 2 4 2" xfId="8951"/>
    <cellStyle name="汇总 2 2 11 5" xfId="8952"/>
    <cellStyle name="输出 2 8 11 2 6" xfId="8953"/>
    <cellStyle name="计算 2 8 5 2 8" xfId="8954"/>
    <cellStyle name="汇总 2 11 8 2 5" xfId="8955"/>
    <cellStyle name="输出 2 8 9 4 3 2" xfId="8956"/>
    <cellStyle name="计算 2 9 7 6 3" xfId="8957"/>
    <cellStyle name="汇总 2 4 8 5 6" xfId="8958"/>
    <cellStyle name="检查单元格 2 3 11 3" xfId="8959"/>
    <cellStyle name="汇总 2 2 11 5 2" xfId="8960"/>
    <cellStyle name="汇总 2 6 4 2 3" xfId="8961"/>
    <cellStyle name="汇总 2 11 8 2 5 2" xfId="8962"/>
    <cellStyle name="输入 2 3 7 12" xfId="8963"/>
    <cellStyle name="汇总 2 11 8 3" xfId="8964"/>
    <cellStyle name="汇总 2 2 7 4 4" xfId="8965"/>
    <cellStyle name="输入 2 9 5 6 5 2" xfId="8966"/>
    <cellStyle name="计算 2 3 3 10" xfId="8967"/>
    <cellStyle name="输入 2 5 8 4 2" xfId="8968"/>
    <cellStyle name="输出 2 5 19 3" xfId="8969"/>
    <cellStyle name="汇总 2 2 12" xfId="8970"/>
    <cellStyle name="输出 2 6 9 4 5" xfId="8971"/>
    <cellStyle name="检查单元格 2 9 9 6" xfId="8972"/>
    <cellStyle name="汇总 2 3 6 2 8" xfId="8973"/>
    <cellStyle name="汇总 2 11 8 3 2" xfId="8974"/>
    <cellStyle name="计算 2 8 5 3 5" xfId="8975"/>
    <cellStyle name="汇总 2 2 7 4 4 2" xfId="8976"/>
    <cellStyle name="计算 2 3 3 10 2" xfId="8977"/>
    <cellStyle name="输入 2 5 8 4 2 2" xfId="8978"/>
    <cellStyle name="输出 2 5 19 3 2" xfId="8979"/>
    <cellStyle name="注释 2 2 2 3" xfId="8980"/>
    <cellStyle name="汇总 2 2 12 2" xfId="8981"/>
    <cellStyle name="输出 2 8 11 3 3" xfId="8982"/>
    <cellStyle name="计算 2 9 8 4 3" xfId="8983"/>
    <cellStyle name="汇总 2 4 9 3 6" xfId="8984"/>
    <cellStyle name="计算 2 4 2 2 8" xfId="8985"/>
    <cellStyle name="注释 2 4 9 8 3 2" xfId="8986"/>
    <cellStyle name="汇总 2 2 12 3 2" xfId="8987"/>
    <cellStyle name="输出 2 8 11 3 4 2" xfId="8988"/>
    <cellStyle name="汇总 2 9 2 2 9" xfId="8989"/>
    <cellStyle name="注释 2 2 2 4 2" xfId="8990"/>
    <cellStyle name="检查单元格 2 4 7" xfId="8991"/>
    <cellStyle name="汇总 2 5 10 8" xfId="8992"/>
    <cellStyle name="汇总 2 11 8 3 3 2" xfId="8993"/>
    <cellStyle name="汇总 2 6 2 8 3 2" xfId="8994"/>
    <cellStyle name="汇总 2 2 12 4" xfId="8995"/>
    <cellStyle name="输出 2 8 11 3 5" xfId="8996"/>
    <cellStyle name="汇总 2 11 8 3 4" xfId="8997"/>
    <cellStyle name="注释 2 5 3 3 4 2" xfId="8998"/>
    <cellStyle name="计算 2 9 8 5 3" xfId="8999"/>
    <cellStyle name="汇总 2 4 9 4 6" xfId="9000"/>
    <cellStyle name="输入 2 2 4 2 9" xfId="9001"/>
    <cellStyle name="汇总 2 2 12 4 2" xfId="9002"/>
    <cellStyle name="输出 2 8 11 3 5 2" xfId="9003"/>
    <cellStyle name="检查单元格 2 5 7" xfId="9004"/>
    <cellStyle name="汇总 2 5 11 8" xfId="9005"/>
    <cellStyle name="汇总 2 11 8 3 4 2" xfId="9006"/>
    <cellStyle name="汇总 2 2 12 5" xfId="9007"/>
    <cellStyle name="输出 2 8 11 3 6" xfId="9008"/>
    <cellStyle name="汇总 2 11 8 3 5" xfId="9009"/>
    <cellStyle name="输出 2 8 9 4 4 2" xfId="9010"/>
    <cellStyle name="计算 2 9 8 6 3" xfId="9011"/>
    <cellStyle name="汇总 2 4 9 5 6" xfId="9012"/>
    <cellStyle name="汇总 2 2 12 5 2" xfId="9013"/>
    <cellStyle name="汇总 2 6 5 2 3" xfId="9014"/>
    <cellStyle name="输出 2 4 2 2 5" xfId="9015"/>
    <cellStyle name="汇总 2 5 12 8" xfId="9016"/>
    <cellStyle name="注释 2 6 5 5 2 2" xfId="9017"/>
    <cellStyle name="检查单元格 2 6 7" xfId="9018"/>
    <cellStyle name="汇总 2 11 8 3 5 2" xfId="9019"/>
    <cellStyle name="输出 2 6 9 5 5" xfId="9020"/>
    <cellStyle name="汇总 2 11 8 4 2" xfId="9021"/>
    <cellStyle name="计算 2 8 5 4 5" xfId="9022"/>
    <cellStyle name="计算 2 7 6 5 2 2" xfId="9023"/>
    <cellStyle name="汇总 2 2 7 4 5 2" xfId="9024"/>
    <cellStyle name="计算 2 3 3 11 2" xfId="9025"/>
    <cellStyle name="输入 2 5 8 4 3 2" xfId="9026"/>
    <cellStyle name="输出 2 5 19 4 2" xfId="9027"/>
    <cellStyle name="注释 2 2 3 3" xfId="9028"/>
    <cellStyle name="汇总 2 2 13 2" xfId="9029"/>
    <cellStyle name="输出 2 8 11 4 3" xfId="9030"/>
    <cellStyle name="输出 2 2 10 8" xfId="9031"/>
    <cellStyle name="汇总 2 6 2 8 4 2" xfId="9032"/>
    <cellStyle name="汇总 2 2 13 4" xfId="9033"/>
    <cellStyle name="输出 2 8 11 4 5" xfId="9034"/>
    <cellStyle name="输入 2 9 3 8 2 2" xfId="9035"/>
    <cellStyle name="汇总 2 11 8 4 4" xfId="9036"/>
    <cellStyle name="注释 2 5 3 3 5 2" xfId="9037"/>
    <cellStyle name="计算 2 5 8 2 2" xfId="9038"/>
    <cellStyle name="注释 2 2 3 6" xfId="9039"/>
    <cellStyle name="汇总 2 2 13 5" xfId="9040"/>
    <cellStyle name="输出 2 8 11 4 6" xfId="9041"/>
    <cellStyle name="汇总 2 11 8 4 5" xfId="9042"/>
    <cellStyle name="输出 2 8 9 4 5 2" xfId="9043"/>
    <cellStyle name="汇总 2 11 8 5" xfId="9044"/>
    <cellStyle name="计算 2 7 6 5 3" xfId="9045"/>
    <cellStyle name="汇总 2 2 7 4 6" xfId="9046"/>
    <cellStyle name="计算 2 3 3 12" xfId="9047"/>
    <cellStyle name="输入 2 5 8 4 4" xfId="9048"/>
    <cellStyle name="注释 2 4 7 6 4 2" xfId="9049"/>
    <cellStyle name="输出 2 5 19 5" xfId="9050"/>
    <cellStyle name="汇总 2 2 14" xfId="9051"/>
    <cellStyle name="汇总 2 2 14 2" xfId="9052"/>
    <cellStyle name="输出 2 8 11 5 3" xfId="9053"/>
    <cellStyle name="输出 2 6 9 6 5" xfId="9054"/>
    <cellStyle name="汇总 2 11 8 5 2" xfId="9055"/>
    <cellStyle name="计算 2 8 5 5 5" xfId="9056"/>
    <cellStyle name="输出 2 11 5 9 2" xfId="9057"/>
    <cellStyle name="汇总 2 15 16" xfId="9058"/>
    <cellStyle name="输入 2 6 7 4 6" xfId="9059"/>
    <cellStyle name="汇总 2 2 14 4" xfId="9060"/>
    <cellStyle name="输出 2 8 11 5 5" xfId="9061"/>
    <cellStyle name="输入 2 9 3 8 3 2" xfId="9062"/>
    <cellStyle name="汇总 2 11 8 5 4" xfId="9063"/>
    <cellStyle name="输入 2 4 6 10 2" xfId="9064"/>
    <cellStyle name="汇总 2 13 4 2 2" xfId="9065"/>
    <cellStyle name="输出 2 8 5 3 5" xfId="9066"/>
    <cellStyle name="注释 2 6 9 8 3 2" xfId="9067"/>
    <cellStyle name="计算 2 5 8 3 2" xfId="9068"/>
    <cellStyle name="注释 2 2 4 6" xfId="9069"/>
    <cellStyle name="汇总 2 2 14 5" xfId="9070"/>
    <cellStyle name="输出 2 8 11 5 6" xfId="9071"/>
    <cellStyle name="输入 2 8 9 10" xfId="9072"/>
    <cellStyle name="汇总 2 11 8 5 5" xfId="9073"/>
    <cellStyle name="汇总 2 6 6 2 4 2" xfId="9074"/>
    <cellStyle name="汇总 2 2 15" xfId="9075"/>
    <cellStyle name="汇总 2 2 20" xfId="9076"/>
    <cellStyle name="输入 2 9 7 2 2 2" xfId="9077"/>
    <cellStyle name="汇总 2 11 8 6" xfId="9078"/>
    <cellStyle name="汇总 2 5 2 2 5" xfId="9079"/>
    <cellStyle name="输出 2 8 5 4 2" xfId="9080"/>
    <cellStyle name="计算 2 9 6 10" xfId="9081"/>
    <cellStyle name="汇总 2 2 15 2" xfId="9082"/>
    <cellStyle name="汇总 2 2 20 2" xfId="9083"/>
    <cellStyle name="输出 2 8 11 6 3" xfId="9084"/>
    <cellStyle name="输出 2 6 9 7 5" xfId="9085"/>
    <cellStyle name="汇总 2 11 8 6 2" xfId="9086"/>
    <cellStyle name="计算 2 8 5 6 5" xfId="9087"/>
    <cellStyle name="输出 2 2 9 2 8" xfId="9088"/>
    <cellStyle name="汇总 2 5 2 2 5 2" xfId="9089"/>
    <cellStyle name="输出 2 8 5 4 2 2" xfId="9090"/>
    <cellStyle name="计算 2 9 6 10 2" xfId="9091"/>
    <cellStyle name="汇总 2 2 15 2 2" xfId="9092"/>
    <cellStyle name="输出 2 8 11 6 3 2" xfId="9093"/>
    <cellStyle name="输出 2 6 9 7 5 2" xfId="9094"/>
    <cellStyle name="汇总 2 11 8 6 2 2" xfId="9095"/>
    <cellStyle name="计算 2 8 5 6 5 2" xfId="9096"/>
    <cellStyle name="汇总 2 5 2 2 6" xfId="9097"/>
    <cellStyle name="输出 2 8 5 4 3" xfId="9098"/>
    <cellStyle name="计算 2 9 6 11" xfId="9099"/>
    <cellStyle name="汇总 2 2 15 3" xfId="9100"/>
    <cellStyle name="输出 2 8 11 6 4" xfId="9101"/>
    <cellStyle name="输入 2 11 2 4 3 2" xfId="9102"/>
    <cellStyle name="输出 2 6 9 7 6" xfId="9103"/>
    <cellStyle name="计算 2 5 2 5 3 2" xfId="9104"/>
    <cellStyle name="汇总 2 11 8 6 3" xfId="9105"/>
    <cellStyle name="输出 2 3 6 6 3 2" xfId="9106"/>
    <cellStyle name="计算 2 8 5 6 6" xfId="9107"/>
    <cellStyle name="计算 2 9 6 11 2" xfId="9108"/>
    <cellStyle name="汇总 2 2 15 3 2" xfId="9109"/>
    <cellStyle name="输出 2 8 11 6 4 2" xfId="9110"/>
    <cellStyle name="汇总 2 9 5 2 9" xfId="9111"/>
    <cellStyle name="注释 2 2 5 4 2" xfId="9112"/>
    <cellStyle name="汇总 2 3 3 16" xfId="9113"/>
    <cellStyle name="汇总 2 11 8 6 3 2" xfId="9114"/>
    <cellStyle name="汇总 2 5 2 2 7" xfId="9115"/>
    <cellStyle name="输出 2 8 5 4 4" xfId="9116"/>
    <cellStyle name="计算 2 9 6 12" xfId="9117"/>
    <cellStyle name="汇总 2 2 15 4" xfId="9118"/>
    <cellStyle name="输出 2 8 11 6 5" xfId="9119"/>
    <cellStyle name="输入 2 9 3 8 4 2" xfId="9120"/>
    <cellStyle name="汇总 2 11 8 6 4" xfId="9121"/>
    <cellStyle name="输入 2 4 6 11 2" xfId="9122"/>
    <cellStyle name="计算 2 9 6 12 2" xfId="9123"/>
    <cellStyle name="汇总 2 2 15 4 2" xfId="9124"/>
    <cellStyle name="输出 2 8 11 6 5 2" xfId="9125"/>
    <cellStyle name="汇总 2 11 8 6 4 2" xfId="9126"/>
    <cellStyle name="汇总 2 5 2 2 8" xfId="9127"/>
    <cellStyle name="汇总 2 13 4 3 2" xfId="9128"/>
    <cellStyle name="输出 2 8 5 4 5" xfId="9129"/>
    <cellStyle name="注释 2 6 9 8 4 2" xfId="9130"/>
    <cellStyle name="计算 2 9 6 13" xfId="9131"/>
    <cellStyle name="汇总 2 2 15 5" xfId="9132"/>
    <cellStyle name="输出 2 8 11 6 6" xfId="9133"/>
    <cellStyle name="计算 2 5 8 4 2" xfId="9134"/>
    <cellStyle name="注释 2 2 5 6" xfId="9135"/>
    <cellStyle name="汇总 2 11 8 6 5" xfId="9136"/>
    <cellStyle name="计算 2 5 8 4 2 2" xfId="9137"/>
    <cellStyle name="注释 2 2 5 6 2" xfId="9138"/>
    <cellStyle name="汇总 2 2 15 5 2" xfId="9139"/>
    <cellStyle name="汇总 2 6 8 2 3" xfId="9140"/>
    <cellStyle name="输入 2 11 8 3 2 2" xfId="9141"/>
    <cellStyle name="汇总 2 11 8 6 5 2" xfId="9142"/>
    <cellStyle name="输入 2 4 2 12" xfId="9143"/>
    <cellStyle name="汇总 2 5 2 3 5 2" xfId="9144"/>
    <cellStyle name="输出 2 8 5 5 2 2" xfId="9145"/>
    <cellStyle name="汇总 2 2 16 2 2" xfId="9146"/>
    <cellStyle name="输出 2 8 11 7 3 2" xfId="9147"/>
    <cellStyle name="计算 2 8 5 7 5 2" xfId="9148"/>
    <cellStyle name="汇总 2 11 8 7 2 2" xfId="9149"/>
    <cellStyle name="汇总 2 5 2 3 6" xfId="9150"/>
    <cellStyle name="输出 2 8 5 5 3" xfId="9151"/>
    <cellStyle name="汇总 2 2 16 3" xfId="9152"/>
    <cellStyle name="输出 2 8 11 7 4" xfId="9153"/>
    <cellStyle name="输入 2 11 2 4 4 2" xfId="9154"/>
    <cellStyle name="计算 2 12 7 2 2" xfId="9155"/>
    <cellStyle name="注释 2 2 6 4" xfId="9156"/>
    <cellStyle name="汇总 2 5 9 6 2 2" xfId="9157"/>
    <cellStyle name="输入 2 3 4 4 5 2" xfId="9158"/>
    <cellStyle name="输出 2 3 6 6 4 2" xfId="9159"/>
    <cellStyle name="计算 2 8 5 7 6" xfId="9160"/>
    <cellStyle name="汇总 2 6 3 16" xfId="9161"/>
    <cellStyle name="计算 2 5 2 5 4 2" xfId="9162"/>
    <cellStyle name="汇总 2 11 8 7 3" xfId="9163"/>
    <cellStyle name="检查单元格 2 2 2 3" xfId="9164"/>
    <cellStyle name="汇总 2 2 16 3 2" xfId="9165"/>
    <cellStyle name="输出 2 8 11 7 4 2" xfId="9166"/>
    <cellStyle name="注释 2 4 15" xfId="9167"/>
    <cellStyle name="注释 2 4 20" xfId="9168"/>
    <cellStyle name="汇总 2 9 6 2 9" xfId="9169"/>
    <cellStyle name="计算 2 12 7 2 2 2" xfId="9170"/>
    <cellStyle name="注释 2 2 6 4 2" xfId="9171"/>
    <cellStyle name="输出 2 10 6 13" xfId="9172"/>
    <cellStyle name="汇总 2 3 8 16" xfId="9173"/>
    <cellStyle name="注释 2 8 10 5 4" xfId="9174"/>
    <cellStyle name="汇总 2 11 8 7 3 2" xfId="9175"/>
    <cellStyle name="汇总 2 2 16 4" xfId="9176"/>
    <cellStyle name="输出 2 8 11 7 5" xfId="9177"/>
    <cellStyle name="计算 2 12 7 2 3" xfId="9178"/>
    <cellStyle name="注释 2 2 6 5" xfId="9179"/>
    <cellStyle name="汇总 2 11 8 7 4" xfId="9180"/>
    <cellStyle name="输入 2 4 6 12 2" xfId="9181"/>
    <cellStyle name="汇总 2 12 2 2 8" xfId="9182"/>
    <cellStyle name="检查单元格 2 4 10 3" xfId="9183"/>
    <cellStyle name="检查单元格 2 2 3 3" xfId="9184"/>
    <cellStyle name="汇总 2 7 10 16" xfId="9185"/>
    <cellStyle name="汇总 2 2 16 4 2" xfId="9186"/>
    <cellStyle name="输出 2 8 11 7 5 2" xfId="9187"/>
    <cellStyle name="计算 2 12 7 2 3 2" xfId="9188"/>
    <cellStyle name="注释 2 2 6 5 2" xfId="9189"/>
    <cellStyle name="汇总 2 11 8 7 4 2" xfId="9190"/>
    <cellStyle name="汇总 2 13 4 4 2" xfId="9191"/>
    <cellStyle name="输出 2 8 5 5 5" xfId="9192"/>
    <cellStyle name="计算 2 11 3 7 2 2" xfId="9193"/>
    <cellStyle name="计算 2 5 8 5 2" xfId="9194"/>
    <cellStyle name="计算 2 12 7 2 4" xfId="9195"/>
    <cellStyle name="注释 2 2 6 6" xfId="9196"/>
    <cellStyle name="汇总 2 2 16 5" xfId="9197"/>
    <cellStyle name="输出 2 8 11 7 6" xfId="9198"/>
    <cellStyle name="汇总 2 11 8 7 5" xfId="9199"/>
    <cellStyle name="输出 2 5 2 3 2 2" xfId="9200"/>
    <cellStyle name="汇总 2 5 2 4 6" xfId="9201"/>
    <cellStyle name="输出 2 8 5 6 3" xfId="9202"/>
    <cellStyle name="汇总 2 2 17 3" xfId="9203"/>
    <cellStyle name="输出 2 8 11 8 4" xfId="9204"/>
    <cellStyle name="输入 2 11 2 4 5 2" xfId="9205"/>
    <cellStyle name="计算 2 12 7 3 2" xfId="9206"/>
    <cellStyle name="注释 2 2 7 4" xfId="9207"/>
    <cellStyle name="汇总 2 5 9 6 3 2" xfId="9208"/>
    <cellStyle name="输出 2 3 6 6 5 2" xfId="9209"/>
    <cellStyle name="计算 2 5 2 5 5 2" xfId="9210"/>
    <cellStyle name="汇总 2 11 8 8 3" xfId="9211"/>
    <cellStyle name="汇总 2 2 17 4" xfId="9212"/>
    <cellStyle name="输出 2 8 11 8 5" xfId="9213"/>
    <cellStyle name="计算 2 12 7 3 3" xfId="9214"/>
    <cellStyle name="注释 2 2 7 5" xfId="9215"/>
    <cellStyle name="汇总 2 3 5 6 2 2" xfId="9216"/>
    <cellStyle name="汇总 2 11 8 8 4" xfId="9217"/>
    <cellStyle name="汇总 2 3 10 3 5" xfId="9218"/>
    <cellStyle name="输出 2 8 5 6 4 2" xfId="9219"/>
    <cellStyle name="输入 2 3 4 16" xfId="9220"/>
    <cellStyle name="汇总 2 12 3 2 8" xfId="9221"/>
    <cellStyle name="检查单元格 2 3 3 3" xfId="9222"/>
    <cellStyle name="汇总 2 2 17 4 2" xfId="9223"/>
    <cellStyle name="计算 2 12 7 3 3 2" xfId="9224"/>
    <cellStyle name="注释 2 2 7 5 2" xfId="9225"/>
    <cellStyle name="汇总 2 6 11 8" xfId="9226"/>
    <cellStyle name="汇总 2 11 8 8 4 2" xfId="9227"/>
    <cellStyle name="汇总 2 11 8 8 5" xfId="9228"/>
    <cellStyle name="汇总 2 2 5 2 2" xfId="9229"/>
    <cellStyle name="输出 2 11 19 2 2" xfId="9230"/>
    <cellStyle name="汇总 2 13 4 5 2" xfId="9231"/>
    <cellStyle name="输出 2 8 5 6 5" xfId="9232"/>
    <cellStyle name="计算 2 11 3 7 3 2" xfId="9233"/>
    <cellStyle name="计算 2 5 8 6 2" xfId="9234"/>
    <cellStyle name="计算 2 12 7 3 4" xfId="9235"/>
    <cellStyle name="注释 2 2 7 6" xfId="9236"/>
    <cellStyle name="汇总 2 2 17 5" xfId="9237"/>
    <cellStyle name="汇总 2 2 4 3 4 2" xfId="9238"/>
    <cellStyle name="计算 2 5 7 7 4 2" xfId="9239"/>
    <cellStyle name="汇总 2 11 9" xfId="9240"/>
    <cellStyle name="计算 2 8 6 2 5 2" xfId="9241"/>
    <cellStyle name="汇总 2 11 9 2 2 2" xfId="9242"/>
    <cellStyle name="输出 2 11 6 6 2 2" xfId="9243"/>
    <cellStyle name="计算 2 11 3 6" xfId="9244"/>
    <cellStyle name="汇总 2 11 9 2 3 2" xfId="9245"/>
    <cellStyle name="输出 2 11 6 6 3 2" xfId="9246"/>
    <cellStyle name="汇总 2 7 8 16" xfId="9247"/>
    <cellStyle name="计算 2 11 4 6" xfId="9248"/>
    <cellStyle name="计算 2 8 6 2 7" xfId="9249"/>
    <cellStyle name="计算 2 5 3 10 2" xfId="9250"/>
    <cellStyle name="汇总 2 11 9 2 4" xfId="9251"/>
    <cellStyle name="注释 2 5 3 4 3 2" xfId="9252"/>
    <cellStyle name="汇总 2 11 9 2 4 2" xfId="9253"/>
    <cellStyle name="输出 2 11 6 6 4 2" xfId="9254"/>
    <cellStyle name="计算 2 11 5 6" xfId="9255"/>
    <cellStyle name="计算 2 8 6 2 8" xfId="9256"/>
    <cellStyle name="汇总 2 11 9 2 5" xfId="9257"/>
    <cellStyle name="输出 2 8 9 5 3 2" xfId="9258"/>
    <cellStyle name="输出 2 11 6 6 5" xfId="9259"/>
    <cellStyle name="检查单元格 2 10 11 2 2" xfId="9260"/>
    <cellStyle name="输入 2 8 7 3 4 2" xfId="9261"/>
    <cellStyle name="计算 2 2 4 2" xfId="9262"/>
    <cellStyle name="汇总 2 11 9 2 5 2" xfId="9263"/>
    <cellStyle name="输入 2 8 7 12" xfId="9264"/>
    <cellStyle name="输出 2 11 6 6 5 2" xfId="9265"/>
    <cellStyle name="计算 2 11 6 6" xfId="9266"/>
    <cellStyle name="计算 2 2 4 2 2" xfId="9267"/>
    <cellStyle name="输出 2 6 5 5 2 2" xfId="9268"/>
    <cellStyle name="汇总 2 3 2 3 5 2" xfId="9269"/>
    <cellStyle name="计算 2 8 6 2 9" xfId="9270"/>
    <cellStyle name="汇总 2 11 9 2 6" xfId="9271"/>
    <cellStyle name="输入 2 12 5 6 5 2" xfId="9272"/>
    <cellStyle name="输出 2 11 6 6 6" xfId="9273"/>
    <cellStyle name="计算 2 2 4 3" xfId="9274"/>
    <cellStyle name="汇总 2 2 9 12 2" xfId="9275"/>
    <cellStyle name="汇总 2 11 9 2 7" xfId="9276"/>
    <cellStyle name="计算 2 2 4 4" xfId="9277"/>
    <cellStyle name="汇总 2 11 9 2 8" xfId="9278"/>
    <cellStyle name="计算 2 2 4 5" xfId="9279"/>
    <cellStyle name="输出 2 11 6 7 2 2" xfId="9280"/>
    <cellStyle name="计算 2 12 3 6" xfId="9281"/>
    <cellStyle name="输入 2 3 19 3" xfId="9282"/>
    <cellStyle name="计算 2 8 6 3 5 2" xfId="9283"/>
    <cellStyle name="计算 2 6 10 12 2" xfId="9284"/>
    <cellStyle name="汇总 2 11 9 3 2 2" xfId="9285"/>
    <cellStyle name="计算 2 3 27" xfId="9286"/>
    <cellStyle name="汇总 2 11 9 3 3 2" xfId="9287"/>
    <cellStyle name="输出 2 11 6 7 3 2" xfId="9288"/>
    <cellStyle name="计算 2 12 4 6" xfId="9289"/>
    <cellStyle name="计算 2 6 10 15" xfId="9290"/>
    <cellStyle name="汇总 2 11 9 3 5" xfId="9291"/>
    <cellStyle name="输出 2 8 9 5 4 2" xfId="9292"/>
    <cellStyle name="输出 2 11 6 7 5" xfId="9293"/>
    <cellStyle name="检查单元格 2 10 11 3 2" xfId="9294"/>
    <cellStyle name="输入 2 6 8 2 9" xfId="9295"/>
    <cellStyle name="输入 2 8 7 3 5 2" xfId="9296"/>
    <cellStyle name="计算 2 2 5 2" xfId="9297"/>
    <cellStyle name="汇总 2 11 9 3 5 2" xfId="9298"/>
    <cellStyle name="注释 2 10 3 5" xfId="9299"/>
    <cellStyle name="输出 2 11 6 7 5 2" xfId="9300"/>
    <cellStyle name="计算 2 12 6 6" xfId="9301"/>
    <cellStyle name="计算 2 2 5 2 2" xfId="9302"/>
    <cellStyle name="计算 2 6 10 16" xfId="9303"/>
    <cellStyle name="汇总 2 11 9 3 6" xfId="9304"/>
    <cellStyle name="计算 2 10 7 2 2 2" xfId="9305"/>
    <cellStyle name="输出 2 11 6 7 6" xfId="9306"/>
    <cellStyle name="计算 2 2 5 3" xfId="9307"/>
    <cellStyle name="汇总 2 11 9 4 3 2" xfId="9308"/>
    <cellStyle name="输出 2 11 6 8 3 2" xfId="9309"/>
    <cellStyle name="输入 2 7 6 12 2" xfId="9310"/>
    <cellStyle name="计算 2 13 4 6" xfId="9311"/>
    <cellStyle name="注释 2 9 11 10" xfId="9312"/>
    <cellStyle name="汇总 2 11 9 4 4 2" xfId="9313"/>
    <cellStyle name="注释 2 11 2 5" xfId="9314"/>
    <cellStyle name="输出 2 11 6 8 4 2" xfId="9315"/>
    <cellStyle name="输入 2 11 3 2 8" xfId="9316"/>
    <cellStyle name="注释 2 9 3 14" xfId="9317"/>
    <cellStyle name="计算 2 13 5 6" xfId="9318"/>
    <cellStyle name="汇总 2 11 9 4 5 2" xfId="9319"/>
    <cellStyle name="注释 2 11 3 5" xfId="9320"/>
    <cellStyle name="计算 2 13 6 6" xfId="9321"/>
    <cellStyle name="计算 2 2 6 2 2" xfId="9322"/>
    <cellStyle name="计算 2 8 6 5 5" xfId="9323"/>
    <cellStyle name="汇总 2 11 9 5 2" xfId="9324"/>
    <cellStyle name="计算 2 8 6 5 5 2" xfId="9325"/>
    <cellStyle name="汇总 2 11 9 5 2 2" xfId="9326"/>
    <cellStyle name="输出 2 3 6 7 2 2" xfId="9327"/>
    <cellStyle name="计算 2 8 6 5 6" xfId="9328"/>
    <cellStyle name="计算 2 5 2 6 2 2" xfId="9329"/>
    <cellStyle name="汇总 2 11 9 5 3" xfId="9330"/>
    <cellStyle name="汇总 2 11 9 5 3 2" xfId="9331"/>
    <cellStyle name="汇总 2 11 9 5 4" xfId="9332"/>
    <cellStyle name="汇总 2 11 9 5 4 2" xfId="9333"/>
    <cellStyle name="注释 2 12 2 5" xfId="9334"/>
    <cellStyle name="输出 2 6 10 12" xfId="9335"/>
    <cellStyle name="汇总 2 13 5 2 2" xfId="9336"/>
    <cellStyle name="输出 2 8 6 3 5" xfId="9337"/>
    <cellStyle name="汇总 2 11 9 5 5" xfId="9338"/>
    <cellStyle name="计算 2 6 10 3 3 2" xfId="9339"/>
    <cellStyle name="计算 2 2 7 2" xfId="9340"/>
    <cellStyle name="输出 2 5 4 2 5" xfId="9341"/>
    <cellStyle name="注释 2 6 6 7 2 2" xfId="9342"/>
    <cellStyle name="汇总 2 4 12" xfId="9343"/>
    <cellStyle name="汇总 2 7 7 2 3" xfId="9344"/>
    <cellStyle name="输入 2 11 9 2 2 2" xfId="9345"/>
    <cellStyle name="汇总 2 11 9 5 5 2" xfId="9346"/>
    <cellStyle name="注释 2 12 3 5" xfId="9347"/>
    <cellStyle name="计算 2 2 7 2 2" xfId="9348"/>
    <cellStyle name="输出 2 3 6 7 3 2" xfId="9349"/>
    <cellStyle name="计算 2 8 6 6 6" xfId="9350"/>
    <cellStyle name="计算 2 5 2 6 3 2" xfId="9351"/>
    <cellStyle name="汇总 2 11 9 6 3" xfId="9352"/>
    <cellStyle name="汇总 2 11 9 6 3 2" xfId="9353"/>
    <cellStyle name="汇总 2 8 3 16" xfId="9354"/>
    <cellStyle name="汇总 2 11 9 6 4" xfId="9355"/>
    <cellStyle name="汇总 2 11 9 6 4 2" xfId="9356"/>
    <cellStyle name="注释 2 13 2 5" xfId="9357"/>
    <cellStyle name="汇总 2 5 3 2 8" xfId="9358"/>
    <cellStyle name="汇总 2 13 5 3 2" xfId="9359"/>
    <cellStyle name="输出 2 8 6 4 5" xfId="9360"/>
    <cellStyle name="汇总 2 11 9 6 5" xfId="9361"/>
    <cellStyle name="计算 2 6 10 3 4 2" xfId="9362"/>
    <cellStyle name="计算 2 2 8 2" xfId="9363"/>
    <cellStyle name="汇总 2 11 9 6 5 2" xfId="9364"/>
    <cellStyle name="输入 2 9 2 12" xfId="9365"/>
    <cellStyle name="注释 2 13 3 5" xfId="9366"/>
    <cellStyle name="计算 2 2 8 2 2" xfId="9367"/>
    <cellStyle name="计算 2 8 6 7 5 2" xfId="9368"/>
    <cellStyle name="汇总 2 11 9 7 2 2" xfId="9369"/>
    <cellStyle name="汇总 2 5 9 7 2 2" xfId="9370"/>
    <cellStyle name="输入 2 3 4 5 5 2" xfId="9371"/>
    <cellStyle name="输出 2 3 6 7 4 2" xfId="9372"/>
    <cellStyle name="计算 2 8 6 7 6" xfId="9373"/>
    <cellStyle name="汇总 2 6 8 16" xfId="9374"/>
    <cellStyle name="计算 2 5 2 6 4 2" xfId="9375"/>
    <cellStyle name="汇总 2 11 9 7 3" xfId="9376"/>
    <cellStyle name="汇总 2 11 9 7 3 2" xfId="9377"/>
    <cellStyle name="汇总 2 8 8 16" xfId="9378"/>
    <cellStyle name="汇总 2 11 9 7 4" xfId="9379"/>
    <cellStyle name="汇总 2 11 9 7 4 2" xfId="9380"/>
    <cellStyle name="注释 2 14 2 5" xfId="9381"/>
    <cellStyle name="汇总 2 13 5 4 2" xfId="9382"/>
    <cellStyle name="输出 2 8 6 5 5" xfId="9383"/>
    <cellStyle name="汇总 2 11 9 7 5" xfId="9384"/>
    <cellStyle name="计算 2 6 10 3 5 2" xfId="9385"/>
    <cellStyle name="计算 2 2 9 2" xfId="9386"/>
    <cellStyle name="汇总 2 11 9 7 5 2" xfId="9387"/>
    <cellStyle name="输入 2 9 7 12" xfId="9388"/>
    <cellStyle name="注释 2 14 3 5" xfId="9389"/>
    <cellStyle name="计算 2 2 9 2 2" xfId="9390"/>
    <cellStyle name="输出 2 10 16 4" xfId="9391"/>
    <cellStyle name="计算 2 6 11 12 2" xfId="9392"/>
    <cellStyle name="汇总 2 11 9 8 2 2" xfId="9393"/>
    <cellStyle name="汇总 2 5 9 7 3 2" xfId="9394"/>
    <cellStyle name="输出 2 3 6 7 5 2" xfId="9395"/>
    <cellStyle name="计算 2 6 11 13" xfId="9396"/>
    <cellStyle name="计算 2 5 2 6 5 2" xfId="9397"/>
    <cellStyle name="汇总 2 11 9 8 3" xfId="9398"/>
    <cellStyle name="输出 2 10 17 4" xfId="9399"/>
    <cellStyle name="汇总 2 11 9 8 3 2" xfId="9400"/>
    <cellStyle name="汇总 2 3 5 7 2 2" xfId="9401"/>
    <cellStyle name="计算 2 6 11 14" xfId="9402"/>
    <cellStyle name="汇总 2 11 9 8 4" xfId="9403"/>
    <cellStyle name="输出 2 10 18 4" xfId="9404"/>
    <cellStyle name="汇总 2 11 9 8 4 2" xfId="9405"/>
    <cellStyle name="注释 2 15 2 5" xfId="9406"/>
    <cellStyle name="计算 2 6 11 15" xfId="9407"/>
    <cellStyle name="汇总 2 11 9 8 5" xfId="9408"/>
    <cellStyle name="汇总 2 2 6 2 2" xfId="9409"/>
    <cellStyle name="汇总 2 13 5 5 2" xfId="9410"/>
    <cellStyle name="输出 2 8 6 6 5" xfId="9411"/>
    <cellStyle name="输出 2 17 3 6" xfId="9412"/>
    <cellStyle name="汇总 2 12 10 4" xfId="9413"/>
    <cellStyle name="检查单元格 2 10 8" xfId="9414"/>
    <cellStyle name="汇总 2 17 6 2" xfId="9415"/>
    <cellStyle name="检查单元格 2 6 5 3 2 2" xfId="9416"/>
    <cellStyle name="汇总 2 12 10 5" xfId="9417"/>
    <cellStyle name="检查单元格 2 10 9" xfId="9418"/>
    <cellStyle name="汇总 2 3 11 3 3 2" xfId="9419"/>
    <cellStyle name="汇总 2 17 6 3" xfId="9420"/>
    <cellStyle name="汇总 2 12 10 6" xfId="9421"/>
    <cellStyle name="汇总 2 15 8 2 2" xfId="9422"/>
    <cellStyle name="汇总 2 17 6 4" xfId="9423"/>
    <cellStyle name="汇总 2 12 10 8" xfId="9424"/>
    <cellStyle name="汇总 2 17 6 6" xfId="9425"/>
    <cellStyle name="汇总 2 12 10 9" xfId="9426"/>
    <cellStyle name="输出 2 17 4 4 2" xfId="9427"/>
    <cellStyle name="汇总 2 12 11 2 2" xfId="9428"/>
    <cellStyle name="汇总 2 7 6 2 4 2" xfId="9429"/>
    <cellStyle name="输入 2 9 2 8 4" xfId="9430"/>
    <cellStyle name="输出 2 17 4 5 2" xfId="9431"/>
    <cellStyle name="检查单元格 2 9 4 11" xfId="9432"/>
    <cellStyle name="汇总 2 12 11 3 2" xfId="9433"/>
    <cellStyle name="汇总 2 7 6 2 5 2" xfId="9434"/>
    <cellStyle name="输出 2 5 3 2 8" xfId="9435"/>
    <cellStyle name="输出 2 17 4 6" xfId="9436"/>
    <cellStyle name="汇总 2 12 11 4" xfId="9437"/>
    <cellStyle name="检查单元格 2 11 8" xfId="9438"/>
    <cellStyle name="汇总 2 7 6 2 6" xfId="9439"/>
    <cellStyle name="汇总 2 17 7 2" xfId="9440"/>
    <cellStyle name="计算 2 6 6 10" xfId="9441"/>
    <cellStyle name="汇总 2 12 11 4 2" xfId="9442"/>
    <cellStyle name="汇总 2 17 7 2 2" xfId="9443"/>
    <cellStyle name="检查单元格 2 4 3 2 2" xfId="9444"/>
    <cellStyle name="汇总 2 5 10 4 2 2" xfId="9445"/>
    <cellStyle name="注释 2 11 3 9" xfId="9446"/>
    <cellStyle name="检查单元格 2 7 6 11" xfId="9447"/>
    <cellStyle name="计算 2 2 6 2 6" xfId="9448"/>
    <cellStyle name="输出 2 5 3 2 9" xfId="9449"/>
    <cellStyle name="注释 2 11 13 2 2" xfId="9450"/>
    <cellStyle name="检查单元格 2 6 5 3 3 2" xfId="9451"/>
    <cellStyle name="汇总 2 12 11 5" xfId="9452"/>
    <cellStyle name="检查单元格 2 11 9" xfId="9453"/>
    <cellStyle name="汇总 2 3 11 3 4 2" xfId="9454"/>
    <cellStyle name="汇总 2 7 6 2 7" xfId="9455"/>
    <cellStyle name="汇总 2 17 7 3" xfId="9456"/>
    <cellStyle name="汇总 2 12 11 5 2" xfId="9457"/>
    <cellStyle name="汇总 2 17 7 3 2" xfId="9458"/>
    <cellStyle name="汇总 2 9 5 2 8" xfId="9459"/>
    <cellStyle name="汇总 2 12 11 6" xfId="9460"/>
    <cellStyle name="注释 2 11 11 3 2 2" xfId="9461"/>
    <cellStyle name="汇总 2 15 8 3 2" xfId="9462"/>
    <cellStyle name="汇总 2 7 6 2 8" xfId="9463"/>
    <cellStyle name="汇总 2 17 7 4" xfId="9464"/>
    <cellStyle name="汇总 2 6 9 5 6" xfId="9465"/>
    <cellStyle name="汇总 2 12 12" xfId="9466"/>
    <cellStyle name="汇总 2 12 12 5 2" xfId="9467"/>
    <cellStyle name="检查单元格 2 2 2 2" xfId="9468"/>
    <cellStyle name="注释 2 4 14" xfId="9469"/>
    <cellStyle name="汇总 2 17 8 3 2" xfId="9470"/>
    <cellStyle name="汇总 2 9 6 2 8" xfId="9471"/>
    <cellStyle name="汇总 2 12 13" xfId="9472"/>
    <cellStyle name="汇总 2 3 10 2 4" xfId="9473"/>
    <cellStyle name="计算 2 4 7 2 7" xfId="9474"/>
    <cellStyle name="注释 2 12 8 2 3 2" xfId="9475"/>
    <cellStyle name="汇总 2 12 13 5 2" xfId="9476"/>
    <cellStyle name="检查单元格 2 3 2 2" xfId="9477"/>
    <cellStyle name="注释 2 9 14" xfId="9478"/>
    <cellStyle name="汇总 2 9 7 2 8" xfId="9479"/>
    <cellStyle name="汇总 2 12 13 6" xfId="9480"/>
    <cellStyle name="注释 2 11 11 3 4 2" xfId="9481"/>
    <cellStyle name="汇总 2 12 14" xfId="9482"/>
    <cellStyle name="汇总 2 12 14 5 2" xfId="9483"/>
    <cellStyle name="检查单元格 2 4 2 2" xfId="9484"/>
    <cellStyle name="汇总 2 5 10 3 2" xfId="9485"/>
    <cellStyle name="汇总 2 9 8 2 8" xfId="9486"/>
    <cellStyle name="汇总 2 3 11 2 4" xfId="9487"/>
    <cellStyle name="计算 2 4 8 2 7" xfId="9488"/>
    <cellStyle name="注释 2 12 8 3 3 2" xfId="9489"/>
    <cellStyle name="检查单元格 2 4 3" xfId="9490"/>
    <cellStyle name="汇总 2 5 10 4" xfId="9491"/>
    <cellStyle name="汇总 2 12 14 6" xfId="9492"/>
    <cellStyle name="注释 2 11 11 3 5 2" xfId="9493"/>
    <cellStyle name="汇总 2 2 2 4 3 2" xfId="9494"/>
    <cellStyle name="汇总 2 8 5 2 6" xfId="9495"/>
    <cellStyle name="输出 2 11 9 3 2 2" xfId="9496"/>
    <cellStyle name="汇总 2 12 15" xfId="9497"/>
    <cellStyle name="汇总 2 12 20" xfId="9498"/>
    <cellStyle name="计算 2 5 5 8 3 2" xfId="9499"/>
    <cellStyle name="计算 2 12 4 5 5 2" xfId="9500"/>
    <cellStyle name="汇总 2 12 15 5 2" xfId="9501"/>
    <cellStyle name="检查单元格 2 5 2 2" xfId="9502"/>
    <cellStyle name="汇总 2 5 11 3 2" xfId="9503"/>
    <cellStyle name="汇总 2 9 9 2 8" xfId="9504"/>
    <cellStyle name="检查单元格 2 5 3" xfId="9505"/>
    <cellStyle name="汇总 2 5 11 4" xfId="9506"/>
    <cellStyle name="汇总 2 12 15 6" xfId="9507"/>
    <cellStyle name="汇总 2 12 16" xfId="9508"/>
    <cellStyle name="汇总 2 12 21" xfId="9509"/>
    <cellStyle name="检查单元格 2 6 2 2" xfId="9510"/>
    <cellStyle name="汇总 2 5 12 3 2" xfId="9511"/>
    <cellStyle name="汇总 2 12 16 5 2" xfId="9512"/>
    <cellStyle name="检查单元格 2 6 3" xfId="9513"/>
    <cellStyle name="汇总 2 5 12 4" xfId="9514"/>
    <cellStyle name="汇总 2 12 16 6" xfId="9515"/>
    <cellStyle name="汇总 2 16 7 3 2" xfId="9516"/>
    <cellStyle name="汇总 2 8 5 2 8" xfId="9517"/>
    <cellStyle name="汇总 2 12 17" xfId="9518"/>
    <cellStyle name="汇总 2 12 22" xfId="9519"/>
    <cellStyle name="汇总 2 6 7 7 3 2" xfId="9520"/>
    <cellStyle name="汇总 2 12 19" xfId="9521"/>
    <cellStyle name="汇总 2 12 24" xfId="9522"/>
    <cellStyle name="汇总 2 2 4 9 2" xfId="9523"/>
    <cellStyle name="输出 2 5 12 4" xfId="9524"/>
    <cellStyle name="汇总 2 12 19 2" xfId="9525"/>
    <cellStyle name="汇总 2 12 2" xfId="9526"/>
    <cellStyle name="汇总 2 8 8 7 2" xfId="9527"/>
    <cellStyle name="输入 2 6 3 5 5" xfId="9528"/>
    <cellStyle name="注释 2 11 2 6 5 2" xfId="9529"/>
    <cellStyle name="计算 2 5 7 11 2" xfId="9530"/>
    <cellStyle name="汇总 2 12 2 10" xfId="9531"/>
    <cellStyle name="汇总 2 12 4 3 4" xfId="9532"/>
    <cellStyle name="检查单元格 2 2 14" xfId="9533"/>
    <cellStyle name="汇总 2 2 10 7 2 2" xfId="9534"/>
    <cellStyle name="汇总 2 9 8 4 5" xfId="9535"/>
    <cellStyle name="输入 2 7 3 2 8" xfId="9536"/>
    <cellStyle name="计算 2 9 2 9 2" xfId="9537"/>
    <cellStyle name="汇总 2 4 3 8 5" xfId="9538"/>
    <cellStyle name="计算 2 4 8 4 4 2" xfId="9539"/>
    <cellStyle name="输入 2 7 4 8 3" xfId="9540"/>
    <cellStyle name="汇总 2 12 2 10 2" xfId="9541"/>
    <cellStyle name="汇总 2 12 4 3 4 2" xfId="9542"/>
    <cellStyle name="检查单元格 2 2 14 2" xfId="9543"/>
    <cellStyle name="汇总 2 9 8 4 5 2" xfId="9544"/>
    <cellStyle name="汇总 2 3 11 4 2" xfId="9545"/>
    <cellStyle name="计算 2 4 6 16" xfId="9546"/>
    <cellStyle name="计算 2 4 8 4 5" xfId="9547"/>
    <cellStyle name="汇总 2 12 2 11" xfId="9548"/>
    <cellStyle name="汇总 2 12 4 3 5" xfId="9549"/>
    <cellStyle name="检查单元格 2 2 20" xfId="9550"/>
    <cellStyle name="检查单元格 2 2 15" xfId="9551"/>
    <cellStyle name="计算 2 7 2 8 2 2" xfId="9552"/>
    <cellStyle name="汇总 2 2 3 7 5 2" xfId="9553"/>
    <cellStyle name="汇总 2 9 8 4 6" xfId="9554"/>
    <cellStyle name="输入 2 7 3 2 9" xfId="9555"/>
    <cellStyle name="汇总 2 3 11 4 2 2" xfId="9556"/>
    <cellStyle name="计算 2 4 8 4 5 2" xfId="9557"/>
    <cellStyle name="汇总 2 12 2 11 2" xfId="9558"/>
    <cellStyle name="汇总 2 12 4 3 5 2" xfId="9559"/>
    <cellStyle name="汇总 2 7 11 7 2 2" xfId="9560"/>
    <cellStyle name="汇总 2 12 2 12" xfId="9561"/>
    <cellStyle name="汇总 2 12 4 3 6" xfId="9562"/>
    <cellStyle name="汇总 2 3 11 4 3" xfId="9563"/>
    <cellStyle name="计算 2 4 8 4 6" xfId="9564"/>
    <cellStyle name="汇总 2 3 11 4 3 2" xfId="9565"/>
    <cellStyle name="汇总 2 12 2 12 2" xfId="9566"/>
    <cellStyle name="检查单元格 2 4 4 2" xfId="9567"/>
    <cellStyle name="检查单元格 2 2 17" xfId="9568"/>
    <cellStyle name="汇总 2 5 10 5 2" xfId="9569"/>
    <cellStyle name="汇总 2 12 2 13" xfId="9570"/>
    <cellStyle name="汇总 2 3 11 4 4" xfId="9571"/>
    <cellStyle name="汇总 2 2 5 3 2 2" xfId="9572"/>
    <cellStyle name="汇总 2 12 2 14" xfId="9573"/>
    <cellStyle name="检查单元格 2 4 4 3" xfId="9574"/>
    <cellStyle name="检查单元格 2 2 18" xfId="9575"/>
    <cellStyle name="汇总 2 2 18 5 2" xfId="9576"/>
    <cellStyle name="计算 2 5 8 7 2 2" xfId="9577"/>
    <cellStyle name="汇总 2 5 10 5 3" xfId="9578"/>
    <cellStyle name="计算 2 12 7 4 4 2" xfId="9579"/>
    <cellStyle name="注释 2 2 8 6 2" xfId="9580"/>
    <cellStyle name="汇总 2 3 11 4 5" xfId="9581"/>
    <cellStyle name="输出 2 8 5 7 5 2" xfId="9582"/>
    <cellStyle name="汇总 2 12 2 15" xfId="9583"/>
    <cellStyle name="检查单元格 2 4 4 4" xfId="9584"/>
    <cellStyle name="检查单元格 2 2 19" xfId="9585"/>
    <cellStyle name="汇总 2 5 10 5 4" xfId="9586"/>
    <cellStyle name="汇总 2 8 4 7 2 2" xfId="9587"/>
    <cellStyle name="注释 2 2 8 6 3" xfId="9588"/>
    <cellStyle name="检查单元格 2 10 2 5 2 2" xfId="9589"/>
    <cellStyle name="汇总 2 3 11 4 6" xfId="9590"/>
    <cellStyle name="计算 2 10 3 4 3 2" xfId="9591"/>
    <cellStyle name="检查单元格 2 4 4 5" xfId="9592"/>
    <cellStyle name="汇总 2 5 10 5 5" xfId="9593"/>
    <cellStyle name="注释 2 2 8 6 4" xfId="9594"/>
    <cellStyle name="汇总 2 12 2 16" xfId="9595"/>
    <cellStyle name="汇总 2 12 2 2" xfId="9596"/>
    <cellStyle name="汇总 2 8 8 7 2 2" xfId="9597"/>
    <cellStyle name="输入 2 6 3 5 5 2" xfId="9598"/>
    <cellStyle name="注释 2 6 8 6 3" xfId="9599"/>
    <cellStyle name="输出 2 6 5 7 4 2" xfId="9600"/>
    <cellStyle name="汇总 2 9 8 11" xfId="9601"/>
    <cellStyle name="汇总 2 12 2 2 3 2" xfId="9602"/>
    <cellStyle name="汇总 2 7 10 11 2" xfId="9603"/>
    <cellStyle name="汇总 2 9 6 3 4 2" xfId="9604"/>
    <cellStyle name="输出 2 5 5 9 2" xfId="9605"/>
    <cellStyle name="汇总 2 2 2 7 5" xfId="9606"/>
    <cellStyle name="输入 2 2 8 2 4 2" xfId="9607"/>
    <cellStyle name="计算 2 2 10 10 2" xfId="9608"/>
    <cellStyle name="计算 2 4 6 3 3 2" xfId="9609"/>
    <cellStyle name="输入 2 5 3 7 3" xfId="9610"/>
    <cellStyle name="汇总 2 12 2 2 4 2" xfId="9611"/>
    <cellStyle name="汇总 2 8 5 13" xfId="9612"/>
    <cellStyle name="汇总 2 7 10 12 2" xfId="9613"/>
    <cellStyle name="输入 2 9 10 9" xfId="9614"/>
    <cellStyle name="汇总 2 9 6 3 5 2" xfId="9615"/>
    <cellStyle name="注释 2 6 2 5" xfId="9616"/>
    <cellStyle name="汇总 2 2 2 8 5" xfId="9617"/>
    <cellStyle name="汇总 3" xfId="9618"/>
    <cellStyle name="输入 2 2 8 2 5 2" xfId="9619"/>
    <cellStyle name="检查单元格 2 5 2 12" xfId="9620"/>
    <cellStyle name="计算 2 4 6 3 4 2" xfId="9621"/>
    <cellStyle name="输入 2 5 3 8 3" xfId="9622"/>
    <cellStyle name="计算 2 2 10 11 2" xfId="9623"/>
    <cellStyle name="汇总 2 12 2 2 5 2" xfId="9624"/>
    <cellStyle name="注释 2 7 11 14" xfId="9625"/>
    <cellStyle name="汇总 2 12 2 2 7" xfId="9626"/>
    <cellStyle name="检查单元格 2 4 10 2" xfId="9627"/>
    <cellStyle name="检查单元格 2 2 3 2" xfId="9628"/>
    <cellStyle name="汇总 2 7 10 15" xfId="9629"/>
    <cellStyle name="汇总 2 17 8 4 2" xfId="9630"/>
    <cellStyle name="汇总 2 12 2 2 9" xfId="9631"/>
    <cellStyle name="汇总 2 12 2 3" xfId="9632"/>
    <cellStyle name="注释 2 6 8 6 4" xfId="9633"/>
    <cellStyle name="汇总 2 9 8 12" xfId="9634"/>
    <cellStyle name="汇总 2 12 2 3 4" xfId="9635"/>
    <cellStyle name="汇总 2 2 10 5 2 2" xfId="9636"/>
    <cellStyle name="汇总 2 9 6 4 5" xfId="9637"/>
    <cellStyle name="汇总 2 12 2 3 5" xfId="9638"/>
    <cellStyle name="输出 2 5 6 7 2 2" xfId="9639"/>
    <cellStyle name="汇总 2 2 3 5 5 2" xfId="9640"/>
    <cellStyle name="汇总 2 9 6 4 6" xfId="9641"/>
    <cellStyle name="计算 2 7 2 6 2 2" xfId="9642"/>
    <cellStyle name="检查单元格 2 6 7 3 5 2" xfId="9643"/>
    <cellStyle name="输入 2 11 11 8" xfId="9644"/>
    <cellStyle name="汇总 2 7 11 5 2 2" xfId="9645"/>
    <cellStyle name="汇总 2 12 2 3 6" xfId="9646"/>
    <cellStyle name="汇总 2 12 2 4" xfId="9647"/>
    <cellStyle name="注释 2 6 8 6 5" xfId="9648"/>
    <cellStyle name="汇总 2 9 8 13" xfId="9649"/>
    <cellStyle name="计算 2 5 13 3" xfId="9650"/>
    <cellStyle name="输入 2 11 12 5 2" xfId="9651"/>
    <cellStyle name="汇总 2 12 2 4 3 2" xfId="9652"/>
    <cellStyle name="汇总 2 9 6 5 4 2" xfId="9653"/>
    <cellStyle name="计算 2 10 7 11 2" xfId="9654"/>
    <cellStyle name="输出 2 5 7 9 2" xfId="9655"/>
    <cellStyle name="汇总 2 2 4 7 5" xfId="9656"/>
    <cellStyle name="输入 2 2 8 4 4 2" xfId="9657"/>
    <cellStyle name="计算 2 7 3 8 2" xfId="9658"/>
    <cellStyle name="注释 2 2 3 10" xfId="9659"/>
    <cellStyle name="计算 2 11 5 2 5 2" xfId="9660"/>
    <cellStyle name="计算 2 4 6 5 3 2" xfId="9661"/>
    <cellStyle name="输入 2 5 5 7 3" xfId="9662"/>
    <cellStyle name="汇总 2 12 2 4 4" xfId="9663"/>
    <cellStyle name="汇总 2 2 10 5 3 2" xfId="9664"/>
    <cellStyle name="汇总 2 9 6 5 5" xfId="9665"/>
    <cellStyle name="计算 2 10 7 12" xfId="9666"/>
    <cellStyle name="计算 2 5 14 3" xfId="9667"/>
    <cellStyle name="汇总 2 12 2 4 4 2" xfId="9668"/>
    <cellStyle name="汇总 2 9 6 5 5 2" xfId="9669"/>
    <cellStyle name="计算 2 10 7 12 2" xfId="9670"/>
    <cellStyle name="注释 2 8 2 5" xfId="9671"/>
    <cellStyle name="计算 2 7 3 9 2" xfId="9672"/>
    <cellStyle name="汇总 2 2 4 8 5" xfId="9673"/>
    <cellStyle name="输入 2 2 8 4 5 2" xfId="9674"/>
    <cellStyle name="计算 2 4 6 5 4 2" xfId="9675"/>
    <cellStyle name="输入 2 5 5 8 3" xfId="9676"/>
    <cellStyle name="汇总 2 12 2 4 5" xfId="9677"/>
    <cellStyle name="输出 2 5 6 7 3 2" xfId="9678"/>
    <cellStyle name="汇总 2 9 6 5 6" xfId="9679"/>
    <cellStyle name="计算 2 10 7 13" xfId="9680"/>
    <cellStyle name="计算 2 7 2 6 3 2" xfId="9681"/>
    <cellStyle name="计算 2 5 15 3" xfId="9682"/>
    <cellStyle name="汇总 2 12 2 4 5 2" xfId="9683"/>
    <cellStyle name="汇总 2 7 11 5 3 2" xfId="9684"/>
    <cellStyle name="汇总 2 12 2 4 6" xfId="9685"/>
    <cellStyle name="计算 2 10 7 14" xfId="9686"/>
    <cellStyle name="汇总 2 12 2 5" xfId="9687"/>
    <cellStyle name="汇总 2 9 3 8 2" xfId="9688"/>
    <cellStyle name="注释 2 6 8 6 6" xfId="9689"/>
    <cellStyle name="计算 2 6 7 5 4 2" xfId="9690"/>
    <cellStyle name="汇总 2 9 8 14" xfId="9691"/>
    <cellStyle name="汇总 2 12 2 5 2 2" xfId="9692"/>
    <cellStyle name="输出 2 7 3 6 5 2" xfId="9693"/>
    <cellStyle name="汇总 2 9 6 6 3 2" xfId="9694"/>
    <cellStyle name="输出 2 5 8 8 2" xfId="9695"/>
    <cellStyle name="汇总 2 2 5 6 5" xfId="9696"/>
    <cellStyle name="输入 2 2 8 5 3 2" xfId="9697"/>
    <cellStyle name="计算 2 7 4 7 2" xfId="9698"/>
    <cellStyle name="计算 2 11 5 3 4 2" xfId="9699"/>
    <cellStyle name="计算 2 4 6 6 2 2" xfId="9700"/>
    <cellStyle name="输入 2 5 6 6 3" xfId="9701"/>
    <cellStyle name="汇总 2 12 2 5 3" xfId="9702"/>
    <cellStyle name="输出 2 7 3 6 6" xfId="9703"/>
    <cellStyle name="汇总 2 9 6 6 4" xfId="9704"/>
    <cellStyle name="汇总 2 12 2 5 3 2" xfId="9705"/>
    <cellStyle name="汇总 2 9 6 6 4 2" xfId="9706"/>
    <cellStyle name="输出 2 5 8 9 2" xfId="9707"/>
    <cellStyle name="汇总 2 2 5 7 5" xfId="9708"/>
    <cellStyle name="输入 2 2 8 5 4 2" xfId="9709"/>
    <cellStyle name="计算 2 7 4 8 2" xfId="9710"/>
    <cellStyle name="注释 2 2 8 10" xfId="9711"/>
    <cellStyle name="计算 2 11 5 3 5 2" xfId="9712"/>
    <cellStyle name="计算 2 4 6 6 3 2" xfId="9713"/>
    <cellStyle name="输入 2 5 6 7 3" xfId="9714"/>
    <cellStyle name="汇总 2 12 2 5 4" xfId="9715"/>
    <cellStyle name="汇总 2 2 10 5 4 2" xfId="9716"/>
    <cellStyle name="汇总 2 9 6 6 5" xfId="9717"/>
    <cellStyle name="计算 2 9 6 6 5 2" xfId="9718"/>
    <cellStyle name="计算 2 7 4 9" xfId="9719"/>
    <cellStyle name="汇总 2 12 9 6 2 2" xfId="9720"/>
    <cellStyle name="输入 2 2 8 5 5" xfId="9721"/>
    <cellStyle name="计算 2 11 5 3 6" xfId="9722"/>
    <cellStyle name="计算 2 4 6 6 4" xfId="9723"/>
    <cellStyle name="汇总 2 12 2 5 4 2" xfId="9724"/>
    <cellStyle name="汇总 2 9 6 6 5 2" xfId="9725"/>
    <cellStyle name="注释 2 9 2 5" xfId="9726"/>
    <cellStyle name="计算 2 7 4 9 2" xfId="9727"/>
    <cellStyle name="汇总 2 2 5 8 5" xfId="9728"/>
    <cellStyle name="输入 2 2 8 5 5 2" xfId="9729"/>
    <cellStyle name="计算 2 4 6 6 4 2" xfId="9730"/>
    <cellStyle name="输入 2 5 6 8 3" xfId="9731"/>
    <cellStyle name="汇总 2 12 2 5 5" xfId="9732"/>
    <cellStyle name="注释 2 10 10 5 2 2" xfId="9733"/>
    <cellStyle name="汇总 2 7 9 7 2 2" xfId="9734"/>
    <cellStyle name="输入 2 5 4 5 5 2" xfId="9735"/>
    <cellStyle name="输出 2 5 6 7 4 2" xfId="9736"/>
    <cellStyle name="汇总 2 9 6 6 6" xfId="9737"/>
    <cellStyle name="计算 2 7 2 6 4 2" xfId="9738"/>
    <cellStyle name="汇总 2 12 2 5 5 2" xfId="9739"/>
    <cellStyle name="汇总 2 7 11 5 4 2" xfId="9740"/>
    <cellStyle name="汇总 2 12 2 5 6" xfId="9741"/>
    <cellStyle name="汇总 2 12 2 6" xfId="9742"/>
    <cellStyle name="汇总 2 9 3 8 3" xfId="9743"/>
    <cellStyle name="汇总 2 9 3 5 4 2" xfId="9744"/>
    <cellStyle name="汇总 2 9 8 15" xfId="9745"/>
    <cellStyle name="汇总 2 12 2 6 2" xfId="9746"/>
    <cellStyle name="汇总 2 9 3 8 3 2" xfId="9747"/>
    <cellStyle name="输出 2 7 3 7 5" xfId="9748"/>
    <cellStyle name="汇总 2 9 6 7 3" xfId="9749"/>
    <cellStyle name="输出 2 10 7 8" xfId="9750"/>
    <cellStyle name="汇总 2 12 2 6 2 2" xfId="9751"/>
    <cellStyle name="输出 2 7 3 7 5 2" xfId="9752"/>
    <cellStyle name="汇总 2 9 6 7 3 2" xfId="9753"/>
    <cellStyle name="输出 2 5 9 8 2" xfId="9754"/>
    <cellStyle name="汇总 2 2 6 6 5" xfId="9755"/>
    <cellStyle name="输入 2 2 8 6 3 2" xfId="9756"/>
    <cellStyle name="计算 2 7 5 7 2" xfId="9757"/>
    <cellStyle name="计算 2 11 5 4 4 2" xfId="9758"/>
    <cellStyle name="计算 2 4 6 7 2 2" xfId="9759"/>
    <cellStyle name="输入 2 5 7 6 3" xfId="9760"/>
    <cellStyle name="汇总 2 12 2 6 3" xfId="9761"/>
    <cellStyle name="输出 2 7 3 7 6" xfId="9762"/>
    <cellStyle name="汇总 2 9 6 7 4" xfId="9763"/>
    <cellStyle name="输出 2 10 8 8" xfId="9764"/>
    <cellStyle name="汇总 2 12 2 6 3 2" xfId="9765"/>
    <cellStyle name="汇总 2 9 6 7 4 2" xfId="9766"/>
    <cellStyle name="输出 2 5 9 9 2" xfId="9767"/>
    <cellStyle name="汇总 2 2 6 7 5" xfId="9768"/>
    <cellStyle name="输入 2 2 8 6 4 2" xfId="9769"/>
    <cellStyle name="计算 2 7 5 8 2" xfId="9770"/>
    <cellStyle name="计算 2 11 5 4 5 2" xfId="9771"/>
    <cellStyle name="计算 2 4 6 7 3 2" xfId="9772"/>
    <cellStyle name="输入 2 5 7 7 3" xfId="9773"/>
    <cellStyle name="汇总 2 12 2 6 4" xfId="9774"/>
    <cellStyle name="汇总 2 2 10 5 5 2" xfId="9775"/>
    <cellStyle name="注释 2 5 11" xfId="9776"/>
    <cellStyle name="汇总 2 9 6 7 5" xfId="9777"/>
    <cellStyle name="计算 2 7 5 9" xfId="9778"/>
    <cellStyle name="汇总 2 12 9 6 3 2" xfId="9779"/>
    <cellStyle name="输入 2 2 8 6 5" xfId="9780"/>
    <cellStyle name="计算 2 11 5 4 6" xfId="9781"/>
    <cellStyle name="计算 2 4 6 7 4" xfId="9782"/>
    <cellStyle name="输入 2 2 10 2 2 2" xfId="9783"/>
    <cellStyle name="输出 2 10 9 8" xfId="9784"/>
    <cellStyle name="汇总 2 12 2 6 4 2" xfId="9785"/>
    <cellStyle name="汇总 2 9 6 7 5 2" xfId="9786"/>
    <cellStyle name="计算 2 7 5 9 2" xfId="9787"/>
    <cellStyle name="汇总 2 2 6 8 5" xfId="9788"/>
    <cellStyle name="输入 2 2 8 6 5 2" xfId="9789"/>
    <cellStyle name="计算 2 4 6 7 4 2" xfId="9790"/>
    <cellStyle name="输入 2 5 7 8 3" xfId="9791"/>
    <cellStyle name="汇总 2 12 2 7" xfId="9792"/>
    <cellStyle name="汇总 2 9 3 8 4" xfId="9793"/>
    <cellStyle name="汇总 2 9 8 16" xfId="9794"/>
    <cellStyle name="汇总 2 12 2 7 2" xfId="9795"/>
    <cellStyle name="汇总 2 9 3 8 4 2" xfId="9796"/>
    <cellStyle name="输出 2 7 3 8 5" xfId="9797"/>
    <cellStyle name="汇总 2 7 11 10" xfId="9798"/>
    <cellStyle name="汇总 2 15 2 6" xfId="9799"/>
    <cellStyle name="汇总 2 9 6 8 3" xfId="9800"/>
    <cellStyle name="输出 2 11 7 8" xfId="9801"/>
    <cellStyle name="汇总 2 12 2 7 2 2" xfId="9802"/>
    <cellStyle name="汇总 2 7 11 10 2" xfId="9803"/>
    <cellStyle name="输入 2 2 17" xfId="9804"/>
    <cellStyle name="输入 2 2 22" xfId="9805"/>
    <cellStyle name="汇总 2 9 6 8 3 2" xfId="9806"/>
    <cellStyle name="计算 2 7 6 7 2" xfId="9807"/>
    <cellStyle name="汇总 2 2 7 6 5" xfId="9808"/>
    <cellStyle name="输入 2 2 8 7 3 2" xfId="9809"/>
    <cellStyle name="计算 2 11 5 5 4 2" xfId="9810"/>
    <cellStyle name="计算 2 4 6 8 2 2" xfId="9811"/>
    <cellStyle name="输入 2 5 8 6 3" xfId="9812"/>
    <cellStyle name="汇总 2 12 2 7 3" xfId="9813"/>
    <cellStyle name="汇总 2 7 11 11" xfId="9814"/>
    <cellStyle name="汇总 2 15 2 7" xfId="9815"/>
    <cellStyle name="汇总 2 9 6 8 4" xfId="9816"/>
    <cellStyle name="输出 2 11 8 8" xfId="9817"/>
    <cellStyle name="汇总 2 12 2 7 3 2" xfId="9818"/>
    <cellStyle name="汇总 2 7 11 11 2" xfId="9819"/>
    <cellStyle name="汇总 2 9 6 8 4 2" xfId="9820"/>
    <cellStyle name="计算 2 7 6 8 2" xfId="9821"/>
    <cellStyle name="汇总 2 2 7 7 5" xfId="9822"/>
    <cellStyle name="输入 2 2 8 7 4 2" xfId="9823"/>
    <cellStyle name="计算 2 11 5 5 5 2" xfId="9824"/>
    <cellStyle name="计算 2 4 6 8 3 2" xfId="9825"/>
    <cellStyle name="输入 2 5 8 7 3" xfId="9826"/>
    <cellStyle name="计算 2 2 11 10 2" xfId="9827"/>
    <cellStyle name="注释 2 12 2 4 4" xfId="9828"/>
    <cellStyle name="汇总 2 12 2 7 4" xfId="9829"/>
    <cellStyle name="汇总 2 7 11 12" xfId="9830"/>
    <cellStyle name="汇总 2 15 2 8" xfId="9831"/>
    <cellStyle name="汇总 2 9 6 8 5" xfId="9832"/>
    <cellStyle name="计算 2 7 6 9" xfId="9833"/>
    <cellStyle name="汇总 2 12 9 6 4 2" xfId="9834"/>
    <cellStyle name="输入 2 2 8 7 5" xfId="9835"/>
    <cellStyle name="计算 2 11 5 5 6" xfId="9836"/>
    <cellStyle name="计算 2 4 6 8 4" xfId="9837"/>
    <cellStyle name="输入 2 2 10 2 3 2" xfId="9838"/>
    <cellStyle name="计算 2 2 11 11" xfId="9839"/>
    <cellStyle name="汇总 2 7 11 12 2" xfId="9840"/>
    <cellStyle name="输出 2 11 9 8" xfId="9841"/>
    <cellStyle name="汇总 2 12 2 7 4 2" xfId="9842"/>
    <cellStyle name="汇总 2 9 5 13" xfId="9843"/>
    <cellStyle name="计算 2 7 6 9 2" xfId="9844"/>
    <cellStyle name="汇总 2 2 7 8 5" xfId="9845"/>
    <cellStyle name="输入 2 2 8 7 5 2" xfId="9846"/>
    <cellStyle name="检查单元格 2 6 2 12" xfId="9847"/>
    <cellStyle name="计算 2 4 6 8 4 2" xfId="9848"/>
    <cellStyle name="输入 2 5 8 8 3" xfId="9849"/>
    <cellStyle name="计算 2 2 11 11 2" xfId="9850"/>
    <cellStyle name="注释 2 12 2 5 4" xfId="9851"/>
    <cellStyle name="汇总 2 12 2 7 5 2" xfId="9852"/>
    <cellStyle name="汇总 2 7 11 14" xfId="9853"/>
    <cellStyle name="汇总 2 12 2 7 6" xfId="9854"/>
    <cellStyle name="检查单元格 2 6 3 8 2" xfId="9855"/>
    <cellStyle name="汇总 2 5 5 7 3 2" xfId="9856"/>
    <cellStyle name="输入 2 12 2 4 3" xfId="9857"/>
    <cellStyle name="输入 2 7 11 2 3 2" xfId="9858"/>
    <cellStyle name="输出 2 3 2 7 5 2" xfId="9859"/>
    <cellStyle name="汇总 2 9 10 6 4 2" xfId="9860"/>
    <cellStyle name="计算 2 2 11 13" xfId="9861"/>
    <cellStyle name="汇总 2 12 2 8" xfId="9862"/>
    <cellStyle name="汇总 2 9 3 8 5" xfId="9863"/>
    <cellStyle name="输出 2 12 6 7 4 2" xfId="9864"/>
    <cellStyle name="计算 2 11 2 5 6" xfId="9865"/>
    <cellStyle name="计算 2 4 3 8 4" xfId="9866"/>
    <cellStyle name="输出 2 10 7 3 3" xfId="9867"/>
    <cellStyle name="汇总 2 12 9 3 4 2" xfId="9868"/>
    <cellStyle name="输入 2 2 5 7 5" xfId="9869"/>
    <cellStyle name="计算 2 4 6 9" xfId="9870"/>
    <cellStyle name="汇总 2 12 2 8 2" xfId="9871"/>
    <cellStyle name="汇总 2 15 3 6" xfId="9872"/>
    <cellStyle name="汇总 2 12 2 8 3" xfId="9873"/>
    <cellStyle name="汇总 2 12 2 8 4" xfId="9874"/>
    <cellStyle name="计算 2 7 7 9" xfId="9875"/>
    <cellStyle name="汇总 2 12 9 6 5 2" xfId="9876"/>
    <cellStyle name="输入 2 2 8 8 5" xfId="9877"/>
    <cellStyle name="计算 2 11 5 6 6" xfId="9878"/>
    <cellStyle name="输入 2 2 10 2 4 2" xfId="9879"/>
    <cellStyle name="汇总 2 12 2 9 2" xfId="9880"/>
    <cellStyle name="汇总 2 15 4 6" xfId="9881"/>
    <cellStyle name="计算 2 10 8 10" xfId="9882"/>
    <cellStyle name="汇总 2 4 3 7 2 2" xfId="9883"/>
    <cellStyle name="汇总 2 12 25" xfId="9884"/>
    <cellStyle name="汇总 2 3 6 2 2 2" xfId="9885"/>
    <cellStyle name="计算 2 4 7 15" xfId="9886"/>
    <cellStyle name="计算 2 11 7 6 6" xfId="9887"/>
    <cellStyle name="输入 2 2 10 4 4 2" xfId="9888"/>
    <cellStyle name="汇总 2 12 3 10" xfId="9889"/>
    <cellStyle name="汇总 2 12 4 8 4" xfId="9890"/>
    <cellStyle name="汇总 2 12 3 12" xfId="9891"/>
    <cellStyle name="输入 2 9 10 5 2 2" xfId="9892"/>
    <cellStyle name="检查单元格 2 3 16" xfId="9893"/>
    <cellStyle name="汇总 2 8 2 10 2" xfId="9894"/>
    <cellStyle name="汇总 2 12 3 12 2" xfId="9895"/>
    <cellStyle name="注释 2 5 5 2 3" xfId="9896"/>
    <cellStyle name="汇总 2 12 3 13" xfId="9897"/>
    <cellStyle name="输入 2 6 2 2 2" xfId="9898"/>
    <cellStyle name="汇总 2 12 3 14" xfId="9899"/>
    <cellStyle name="输入 2 6 2 2 3" xfId="9900"/>
    <cellStyle name="检查单元格 2 10 5 2 2" xfId="9901"/>
    <cellStyle name="注释 2 11 19 5" xfId="9902"/>
    <cellStyle name="计算 2 8 12" xfId="9903"/>
    <cellStyle name="汇总 2 4 5 11 2" xfId="9904"/>
    <cellStyle name="汇总 2 12 3 16" xfId="9905"/>
    <cellStyle name="汇总 2 8 7 4 2" xfId="9906"/>
    <cellStyle name="输入 2 6 2 2 5" xfId="9907"/>
    <cellStyle name="注释 2 11 2 5 2 2" xfId="9908"/>
    <cellStyle name="计算 2 9 6 7 2 2" xfId="9909"/>
    <cellStyle name="汇总 2 4 7 6 5 2" xfId="9910"/>
    <cellStyle name="输入 2 2 9 2 5" xfId="9911"/>
    <cellStyle name="计算 2 4 7 3 4" xfId="9912"/>
    <cellStyle name="输入 2 7 8 6 3 2" xfId="9913"/>
    <cellStyle name="汇总 2 12 3 2 4" xfId="9914"/>
    <cellStyle name="汇总 2 9 7 3 5" xfId="9915"/>
    <cellStyle name="汇总 2 3 2 8 5" xfId="9916"/>
    <cellStyle name="输入 2 2 9 2 5 2" xfId="9917"/>
    <cellStyle name="计算 2 4 7 3 4 2" xfId="9918"/>
    <cellStyle name="输入 2 6 3 8 3" xfId="9919"/>
    <cellStyle name="汇总 2 12 3 2 4 2" xfId="9920"/>
    <cellStyle name="汇总 2 9 7 3 5 2" xfId="9921"/>
    <cellStyle name="输出 2 5 8 16" xfId="9922"/>
    <cellStyle name="汇总 2 3 10 3 2 2" xfId="9923"/>
    <cellStyle name="输出 2 9 9 2 4" xfId="9924"/>
    <cellStyle name="计算 2 7 4 11" xfId="9925"/>
    <cellStyle name="计算 2 4 7 3 5 2" xfId="9926"/>
    <cellStyle name="输入 2 7 2 4" xfId="9927"/>
    <cellStyle name="汇总 2 12 3 2 5 2" xfId="9928"/>
    <cellStyle name="注释 2 8 11 14" xfId="9929"/>
    <cellStyle name="汇总 2 3 10 3 3" xfId="9930"/>
    <cellStyle name="输入 2 3 4 14" xfId="9931"/>
    <cellStyle name="计算 2 4 7 3 6" xfId="9932"/>
    <cellStyle name="检查单元格 2 6 7 4 4 2" xfId="9933"/>
    <cellStyle name="汇总 2 12 3 2 6" xfId="9934"/>
    <cellStyle name="汇总 2 3 10 3 4" xfId="9935"/>
    <cellStyle name="输入 2 3 4 15" xfId="9936"/>
    <cellStyle name="汇总 2 12 3 2 7" xfId="9937"/>
    <cellStyle name="汇总 2 3 10 3 6" xfId="9938"/>
    <cellStyle name="计算 2 10 3 3 2 2" xfId="9939"/>
    <cellStyle name="汇总 2 12 3 2 9" xfId="9940"/>
    <cellStyle name="输出 2 6 6 9 2" xfId="9941"/>
    <cellStyle name="汇总 2 3 3 7 5" xfId="9942"/>
    <cellStyle name="输入 2 2 9 3 4 2" xfId="9943"/>
    <cellStyle name="计算 2 8 2 8 2" xfId="9944"/>
    <cellStyle name="计算 2 4 7 4 3 2" xfId="9945"/>
    <cellStyle name="输入 2 6 4 7 3" xfId="9946"/>
    <cellStyle name="汇总 2 12 3 3 3 2" xfId="9947"/>
    <cellStyle name="汇总 2 8 11 4" xfId="9948"/>
    <cellStyle name="汇总 2 9 7 4 4 2" xfId="9949"/>
    <cellStyle name="汇总 2 12 3 3 4" xfId="9950"/>
    <cellStyle name="汇总 2 2 10 6 2 2" xfId="9951"/>
    <cellStyle name="汇总 2 9 7 4 5" xfId="9952"/>
    <cellStyle name="输入 2 7 2 2 8" xfId="9953"/>
    <cellStyle name="计算 2 8 2 9 2" xfId="9954"/>
    <cellStyle name="计算 2 11 4 16" xfId="9955"/>
    <cellStyle name="汇总 2 3 3 8 5" xfId="9956"/>
    <cellStyle name="输入 2 2 9 3 5 2" xfId="9957"/>
    <cellStyle name="计算 2 4 7 4 4 2" xfId="9958"/>
    <cellStyle name="输入 2 6 4 8 3" xfId="9959"/>
    <cellStyle name="汇总 2 12 3 3 4 2" xfId="9960"/>
    <cellStyle name="汇总 2 8 12 4" xfId="9961"/>
    <cellStyle name="汇总 2 9 7 4 5 2" xfId="9962"/>
    <cellStyle name="汇总 2 3 10 4 2" xfId="9963"/>
    <cellStyle name="计算 2 4 7 4 5" xfId="9964"/>
    <cellStyle name="汇总 2 12 3 3 5" xfId="9965"/>
    <cellStyle name="输出 2 5 6 8 2 2" xfId="9966"/>
    <cellStyle name="汇总 2 2 3 6 5 2" xfId="9967"/>
    <cellStyle name="汇总 2 9 7 4 6" xfId="9968"/>
    <cellStyle name="输入 2 7 2 2 9" xfId="9969"/>
    <cellStyle name="计算 2 7 2 7 2 2" xfId="9970"/>
    <cellStyle name="计算 2 7 9 11" xfId="9971"/>
    <cellStyle name="计算 2 4 7 4 5 2" xfId="9972"/>
    <cellStyle name="输入 2 8 2 4" xfId="9973"/>
    <cellStyle name="汇总 2 3 10 4 2 2" xfId="9974"/>
    <cellStyle name="汇总 2 12 3 3 5 2" xfId="9975"/>
    <cellStyle name="输出 2 8 10 8" xfId="9976"/>
    <cellStyle name="汇总 2 8 13 4" xfId="9977"/>
    <cellStyle name="检查单元格 2 6 7 4 5 2" xfId="9978"/>
    <cellStyle name="汇总 2 7 11 6 2 2" xfId="9979"/>
    <cellStyle name="汇总 2 12 3 3 6" xfId="9980"/>
    <cellStyle name="汇总 2 3 10 4 3" xfId="9981"/>
    <cellStyle name="计算 2 4 7 4 6" xfId="9982"/>
    <cellStyle name="输出 2 6 7 9 2" xfId="9983"/>
    <cellStyle name="汇总 2 3 4 7 5" xfId="9984"/>
    <cellStyle name="输入 2 2 9 4 4 2" xfId="9985"/>
    <cellStyle name="计算 2 8 3 8 2" xfId="9986"/>
    <cellStyle name="注释 2 7 3 10" xfId="9987"/>
    <cellStyle name="计算 2 11 6 2 5 2" xfId="9988"/>
    <cellStyle name="计算 2 4 7 5 3 2" xfId="9989"/>
    <cellStyle name="输入 2 6 5 7 3" xfId="9990"/>
    <cellStyle name="汇总 2 12 3 4 3 2" xfId="9991"/>
    <cellStyle name="汇总 2 7 4" xfId="9992"/>
    <cellStyle name="汇总 2 9 7 5 4 2" xfId="9993"/>
    <cellStyle name="汇总 2 12 3 4 4" xfId="9994"/>
    <cellStyle name="汇总 2 2 10 6 3 2" xfId="9995"/>
    <cellStyle name="汇总 2 9 7 5 5" xfId="9996"/>
    <cellStyle name="计算 2 8 3 9 2" xfId="9997"/>
    <cellStyle name="计算 2 11 9 16" xfId="9998"/>
    <cellStyle name="汇总 2 3 4 8 5" xfId="9999"/>
    <cellStyle name="输入 2 2 9 4 5 2" xfId="10000"/>
    <cellStyle name="计算 2 4 7 5 4 2" xfId="10001"/>
    <cellStyle name="输入 2 6 5 8 3" xfId="10002"/>
    <cellStyle name="汇总 2 12 3 4 4 2" xfId="10003"/>
    <cellStyle name="汇总 2 8 4" xfId="10004"/>
    <cellStyle name="汇总 2 9 7 5 5 2" xfId="10005"/>
    <cellStyle name="汇总 2 3 10 5 2" xfId="10006"/>
    <cellStyle name="计算 2 11 6 2 7" xfId="10007"/>
    <cellStyle name="计算 2 4 7 5 5" xfId="10008"/>
    <cellStyle name="汇总 2 12 3 4 5" xfId="10009"/>
    <cellStyle name="输出 2 5 6 8 3 2" xfId="10010"/>
    <cellStyle name="汇总 2 9 7 5 6" xfId="10011"/>
    <cellStyle name="输出 2 3 11 10 2" xfId="10012"/>
    <cellStyle name="计算 2 7 2 7 3 2" xfId="10013"/>
    <cellStyle name="汇总 2 3 10 5 2 2" xfId="10014"/>
    <cellStyle name="计算 2 4 7 5 5 2" xfId="10015"/>
    <cellStyle name="输入 2 9 2 4" xfId="10016"/>
    <cellStyle name="汇总 2 12 3 4 5 2" xfId="10017"/>
    <cellStyle name="汇总 2 9 4" xfId="10018"/>
    <cellStyle name="汇总 2 7 11 6 3 2" xfId="10019"/>
    <cellStyle name="汇总 2 12 3 4 6" xfId="10020"/>
    <cellStyle name="输出 2 3 2 8 2 2" xfId="10021"/>
    <cellStyle name="计算 2 11 6 2 8" xfId="10022"/>
    <cellStyle name="计算 2 4 7 5 6" xfId="10023"/>
    <cellStyle name="汇总 2 3 10 5 3" xfId="10024"/>
    <cellStyle name="输出 2 6 8 8 2" xfId="10025"/>
    <cellStyle name="汇总 2 3 5 6 5" xfId="10026"/>
    <cellStyle name="输入 2 2 9 5 3 2" xfId="10027"/>
    <cellStyle name="计算 2 8 4 7 2" xfId="10028"/>
    <cellStyle name="计算 2 11 6 3 4 2" xfId="10029"/>
    <cellStyle name="计算 2 4 7 6 2 2" xfId="10030"/>
    <cellStyle name="输入 2 6 6 6 3" xfId="10031"/>
    <cellStyle name="汇总 2 12 3 5 2 2" xfId="10032"/>
    <cellStyle name="输出 2 7 4 6 5 2" xfId="10033"/>
    <cellStyle name="汇总 2 9 7 6 3 2" xfId="10034"/>
    <cellStyle name="输入 2 4 6 16" xfId="10035"/>
    <cellStyle name="输出 2 6 8 9 2" xfId="10036"/>
    <cellStyle name="汇总 2 3 5 7 5" xfId="10037"/>
    <cellStyle name="输入 2 2 9 5 4 2" xfId="10038"/>
    <cellStyle name="计算 2 8 4 8 2" xfId="10039"/>
    <cellStyle name="注释 2 7 8 10" xfId="10040"/>
    <cellStyle name="计算 2 11 6 3 5 2" xfId="10041"/>
    <cellStyle name="计算 2 4 7 6 3 2" xfId="10042"/>
    <cellStyle name="输入 2 6 6 7 3" xfId="10043"/>
    <cellStyle name="汇总 2 12 3 5 3 2" xfId="10044"/>
    <cellStyle name="汇总 2 9 7 6 4 2" xfId="10045"/>
    <cellStyle name="汇总 2 12 3 5 4" xfId="10046"/>
    <cellStyle name="汇总 2 2 10 6 4 2" xfId="10047"/>
    <cellStyle name="汇总 2 9 7 6 5" xfId="10048"/>
    <cellStyle name="计算 2 9 6 7 5 2" xfId="10049"/>
    <cellStyle name="计算 2 8 4 9" xfId="10050"/>
    <cellStyle name="汇总 2 12 9 7 2 2" xfId="10051"/>
    <cellStyle name="汇总 2 2 6 16" xfId="10052"/>
    <cellStyle name="输入 2 2 9 5 5" xfId="10053"/>
    <cellStyle name="计算 2 11 6 3 6" xfId="10054"/>
    <cellStyle name="计算 2 4 7 6 4" xfId="10055"/>
    <cellStyle name="计算 2 8 4 9 2" xfId="10056"/>
    <cellStyle name="汇总 2 3 5 8 5" xfId="10057"/>
    <cellStyle name="输入 2 2 9 5 5 2" xfId="10058"/>
    <cellStyle name="计算 2 4 7 6 4 2" xfId="10059"/>
    <cellStyle name="输入 2 6 6 8 3" xfId="10060"/>
    <cellStyle name="汇总 2 12 3 5 4 2" xfId="10061"/>
    <cellStyle name="汇总 2 9 7 6 5 2" xfId="10062"/>
    <cellStyle name="汇总 2 3 10 6 2" xfId="10063"/>
    <cellStyle name="计算 2 4 7 6 5" xfId="10064"/>
    <cellStyle name="汇总 2 12 3 5 5" xfId="10065"/>
    <cellStyle name="注释 2 10 10 6 2 2" xfId="10066"/>
    <cellStyle name="汇总 2 7 9 8 2 2" xfId="10067"/>
    <cellStyle name="输入 2 5 4 6 5 2" xfId="10068"/>
    <cellStyle name="输出 2 5 6 8 4 2" xfId="10069"/>
    <cellStyle name="汇总 2 9 7 6 6" xfId="10070"/>
    <cellStyle name="输出 2 3 11 11 2" xfId="10071"/>
    <cellStyle name="计算 2 7 2 7 4 2" xfId="10072"/>
    <cellStyle name="汇总 2 7 11 6 4 2" xfId="10073"/>
    <cellStyle name="汇总 2 12 3 5 6" xfId="10074"/>
    <cellStyle name="输出 2 3 2 8 3 2" xfId="10075"/>
    <cellStyle name="输出 2 11 2 2 2 2" xfId="10076"/>
    <cellStyle name="汇总 2 9 10 7 2 2" xfId="10077"/>
    <cellStyle name="计算 2 4 7 6 6" xfId="10078"/>
    <cellStyle name="汇总 2 3 10 6 3" xfId="10079"/>
    <cellStyle name="汇总 2 12 3 6" xfId="10080"/>
    <cellStyle name="汇总 2 9 3 5 5 2" xfId="10081"/>
    <cellStyle name="汇总 2 12 3 6 2" xfId="10082"/>
    <cellStyle name="输出 2 7 4 7 5" xfId="10083"/>
    <cellStyle name="汇总 2 9 7 7 3" xfId="10084"/>
    <cellStyle name="输入 2 7 2 5 6" xfId="10085"/>
    <cellStyle name="输出 2 6 9 8 2" xfId="10086"/>
    <cellStyle name="汇总 2 3 6 6 5" xfId="10087"/>
    <cellStyle name="输入 2 2 9 6 3 2" xfId="10088"/>
    <cellStyle name="计算 2 8 5 7 2" xfId="10089"/>
    <cellStyle name="汇总 2 6 3 12" xfId="10090"/>
    <cellStyle name="计算 2 11 6 4 4 2" xfId="10091"/>
    <cellStyle name="计算 2 4 7 7 2 2" xfId="10092"/>
    <cellStyle name="输入 2 6 7 6 3" xfId="10093"/>
    <cellStyle name="汇总 2 12 3 6 2 2" xfId="10094"/>
    <cellStyle name="输出 2 7 4 7 5 2" xfId="10095"/>
    <cellStyle name="汇总 2 9 7 7 3 2" xfId="10096"/>
    <cellStyle name="汇总 2 12 3 6 3" xfId="10097"/>
    <cellStyle name="输出 2 7 4 7 6" xfId="10098"/>
    <cellStyle name="汇总 2 9 7 7 4" xfId="10099"/>
    <cellStyle name="输出 2 6 9 9 2" xfId="10100"/>
    <cellStyle name="汇总 2 3 6 7 5" xfId="10101"/>
    <cellStyle name="输入 2 2 9 6 4 2" xfId="10102"/>
    <cellStyle name="计算 2 8 5 8 2" xfId="10103"/>
    <cellStyle name="计算 2 11 6 4 5 2" xfId="10104"/>
    <cellStyle name="计算 2 4 7 7 3 2" xfId="10105"/>
    <cellStyle name="输入 2 6 7 7 3" xfId="10106"/>
    <cellStyle name="汇总 2 12 3 6 3 2" xfId="10107"/>
    <cellStyle name="汇总 2 9 7 7 4 2" xfId="10108"/>
    <cellStyle name="汇总 2 12 3 6 4" xfId="10109"/>
    <cellStyle name="汇总 2 2 10 6 5 2" xfId="10110"/>
    <cellStyle name="汇总 2 9 7 7 5" xfId="10111"/>
    <cellStyle name="计算 2 8 5 9" xfId="10112"/>
    <cellStyle name="汇总 2 12 9 7 3 2" xfId="10113"/>
    <cellStyle name="输入 2 2 9 6 5" xfId="10114"/>
    <cellStyle name="计算 2 11 6 4 6" xfId="10115"/>
    <cellStyle name="计算 2 4 7 7 4" xfId="10116"/>
    <cellStyle name="输入 2 2 10 3 2 2" xfId="10117"/>
    <cellStyle name="计算 2 8 5 9 2" xfId="10118"/>
    <cellStyle name="汇总 2 3 6 8 5" xfId="10119"/>
    <cellStyle name="输入 2 2 9 6 5 2" xfId="10120"/>
    <cellStyle name="计算 2 4 7 7 4 2" xfId="10121"/>
    <cellStyle name="输入 2 6 7 8 3" xfId="10122"/>
    <cellStyle name="汇总 2 12 3 6 4 2" xfId="10123"/>
    <cellStyle name="汇总 2 9 7 7 5 2" xfId="10124"/>
    <cellStyle name="输出 2 6 3 16" xfId="10125"/>
    <cellStyle name="汇总 2 3 10 7 2 2" xfId="10126"/>
    <cellStyle name="汇总 2 16 13" xfId="10127"/>
    <cellStyle name="计算 2 4 7 7 5 2" xfId="10128"/>
    <cellStyle name="汇总 2 12 3 6 5 2" xfId="10129"/>
    <cellStyle name="汇总 2 7 11 6 5 2" xfId="10130"/>
    <cellStyle name="汇总 2 12 3 6 6" xfId="10131"/>
    <cellStyle name="检查单元格 2 6 4 7 2" xfId="10132"/>
    <cellStyle name="汇总 2 5 5 8 2 2" xfId="10133"/>
    <cellStyle name="输入 2 12 3 3 3" xfId="10134"/>
    <cellStyle name="输入 2 7 11 3 2 2" xfId="10135"/>
    <cellStyle name="输出 2 3 2 8 4 2" xfId="10136"/>
    <cellStyle name="输出 2 11 2 2 3 2" xfId="10137"/>
    <cellStyle name="汇总 2 9 10 7 3 2" xfId="10138"/>
    <cellStyle name="计算 2 4 7 7 6" xfId="10139"/>
    <cellStyle name="汇总 2 3 10 7 3" xfId="10140"/>
    <cellStyle name="汇总 2 12 3 7" xfId="10141"/>
    <cellStyle name="汇总 2 12 3 7 2" xfId="10142"/>
    <cellStyle name="输出 2 7 4 8 5" xfId="10143"/>
    <cellStyle name="汇总 2 16 2 6" xfId="10144"/>
    <cellStyle name="汇总 2 9 7 8 3" xfId="10145"/>
    <cellStyle name="输入 2 7 2 6 6" xfId="10146"/>
    <cellStyle name="计算 2 8 6 7 2" xfId="10147"/>
    <cellStyle name="汇总 2 6 8 12" xfId="10148"/>
    <cellStyle name="汇总 2 3 7 6 5" xfId="10149"/>
    <cellStyle name="输入 2 2 9 7 3 2" xfId="10150"/>
    <cellStyle name="计算 2 11 6 5 4 2" xfId="10151"/>
    <cellStyle name="计算 2 4 7 8 2 2" xfId="10152"/>
    <cellStyle name="输入 2 6 8 6 3" xfId="10153"/>
    <cellStyle name="检查单元格 2 3 5 11" xfId="10154"/>
    <cellStyle name="汇总 2 12 3 7 2 2" xfId="10155"/>
    <cellStyle name="汇总 2 9 7 8 3 2" xfId="10156"/>
    <cellStyle name="汇总 2 12 3 7 3" xfId="10157"/>
    <cellStyle name="汇总 2 16 2 7" xfId="10158"/>
    <cellStyle name="汇总 2 9 7 8 4" xfId="10159"/>
    <cellStyle name="计算 2 8 6 8 2" xfId="10160"/>
    <cellStyle name="汇总 2 3 7 7 5" xfId="10161"/>
    <cellStyle name="输入 2 2 9 7 4 2" xfId="10162"/>
    <cellStyle name="计算 2 11 6 5 5 2" xfId="10163"/>
    <cellStyle name="计算 2 4 7 8 3 2" xfId="10164"/>
    <cellStyle name="输入 2 6 8 7 3" xfId="10165"/>
    <cellStyle name="汇总 2 12 3 7 3 2" xfId="10166"/>
    <cellStyle name="汇总 2 9 7 8 4 2" xfId="10167"/>
    <cellStyle name="汇总 2 12 3 7 4" xfId="10168"/>
    <cellStyle name="汇总 2 16 2 8" xfId="10169"/>
    <cellStyle name="汇总 2 9 7 8 5" xfId="10170"/>
    <cellStyle name="计算 2 8 6 9" xfId="10171"/>
    <cellStyle name="汇总 2 12 9 7 4 2" xfId="10172"/>
    <cellStyle name="输入 2 2 9 7 5" xfId="10173"/>
    <cellStyle name="计算 2 11 6 5 6" xfId="10174"/>
    <cellStyle name="计算 2 4 7 8 4" xfId="10175"/>
    <cellStyle name="输入 2 2 10 3 3 2" xfId="10176"/>
    <cellStyle name="计算 2 8 6 9 2" xfId="10177"/>
    <cellStyle name="汇总 2 3 7 8 5" xfId="10178"/>
    <cellStyle name="输入 2 2 9 7 5 2" xfId="10179"/>
    <cellStyle name="计算 2 4 7 8 4 2" xfId="10180"/>
    <cellStyle name="输入 2 6 8 8 3" xfId="10181"/>
    <cellStyle name="汇总 2 12 3 7 4 2" xfId="10182"/>
    <cellStyle name="检查单元格 2 6 4 8 2" xfId="10183"/>
    <cellStyle name="汇总 2 5 5 8 3 2" xfId="10184"/>
    <cellStyle name="输入 2 12 3 4 3" xfId="10185"/>
    <cellStyle name="输入 2 7 11 3 3 2" xfId="10186"/>
    <cellStyle name="输出 2 11 2 2 4 2" xfId="10187"/>
    <cellStyle name="汇总 2 9 10 7 4 2" xfId="10188"/>
    <cellStyle name="汇总 2 3 10 8 3" xfId="10189"/>
    <cellStyle name="输入 2 3 5 14" xfId="10190"/>
    <cellStyle name="汇总 2 12 3 7 6" xfId="10191"/>
    <cellStyle name="计算 2 8 7 7 2" xfId="10192"/>
    <cellStyle name="汇总 2 3 8 6 5" xfId="10193"/>
    <cellStyle name="输入 2 2 9 8 3 2" xfId="10194"/>
    <cellStyle name="计算 2 11 6 6 4 2" xfId="10195"/>
    <cellStyle name="输入 2 6 9 6 3" xfId="10196"/>
    <cellStyle name="汇总 2 12 3 8 2 2" xfId="10197"/>
    <cellStyle name="汇总 2 9 10 4" xfId="10198"/>
    <cellStyle name="汇总 2 12 3 8 3" xfId="10199"/>
    <cellStyle name="计算 2 8 7 8 2" xfId="10200"/>
    <cellStyle name="汇总 2 3 8 7 5" xfId="10201"/>
    <cellStyle name="输入 2 2 9 8 4 2" xfId="10202"/>
    <cellStyle name="计算 2 11 6 6 5 2" xfId="10203"/>
    <cellStyle name="输入 2 6 9 7 3" xfId="10204"/>
    <cellStyle name="汇总 2 9 11 4" xfId="10205"/>
    <cellStyle name="汇总 2 12 3 8 3 2" xfId="10206"/>
    <cellStyle name="计算 2 11 10 2 4" xfId="10207"/>
    <cellStyle name="汇总 2 12 3 8 4" xfId="10208"/>
    <cellStyle name="计算 2 8 7 9" xfId="10209"/>
    <cellStyle name="汇总 2 12 9 7 5 2" xfId="10210"/>
    <cellStyle name="输入 2 2 9 8 5" xfId="10211"/>
    <cellStyle name="计算 2 11 6 6 6" xfId="10212"/>
    <cellStyle name="输入 2 2 10 3 4 2" xfId="10213"/>
    <cellStyle name="计算 2 4 2 15" xfId="10214"/>
    <cellStyle name="输出 2 3 20" xfId="10215"/>
    <cellStyle name="输出 2 3 15" xfId="10216"/>
    <cellStyle name="汇总 2 3 8 8 5" xfId="10217"/>
    <cellStyle name="计算 2 8 7 9 2" xfId="10218"/>
    <cellStyle name="计算 2 12 4 16" xfId="10219"/>
    <cellStyle name="汇总 2 9 12 4" xfId="10220"/>
    <cellStyle name="汇总 2 12 3 8 4 2" xfId="10221"/>
    <cellStyle name="计算 2 11 10 3 4" xfId="10222"/>
    <cellStyle name="检查单元格 2 4 15 2" xfId="10223"/>
    <cellStyle name="检查单元格 2 2 8 2" xfId="10224"/>
    <cellStyle name="汇总 2 7 11 15" xfId="10225"/>
    <cellStyle name="汇总 2 12 4 11 2" xfId="10226"/>
    <cellStyle name="汇总 2 4 2 7 5" xfId="10227"/>
    <cellStyle name="输出 2 7 5 9 2" xfId="10228"/>
    <cellStyle name="汇总 2 17 3 3" xfId="10229"/>
    <cellStyle name="计算 2 4 8 3 3 2" xfId="10230"/>
    <cellStyle name="输入 2 7 3 7 3" xfId="10231"/>
    <cellStyle name="计算 2 9 7 4" xfId="10232"/>
    <cellStyle name="汇总 2 9 8 3 4 2" xfId="10233"/>
    <cellStyle name="汇总 2 12 4 2 3 2" xfId="10234"/>
    <cellStyle name="计算 2 4 7 10" xfId="10235"/>
    <cellStyle name="计算 2 9 6 8 2 2" xfId="10236"/>
    <cellStyle name="汇总 2 4 7 7 5 2" xfId="10237"/>
    <cellStyle name="计算 2 4 8 3 4" xfId="10238"/>
    <cellStyle name="输入 2 7 8 7 3 2" xfId="10239"/>
    <cellStyle name="计算 2 5 7 10 2" xfId="10240"/>
    <cellStyle name="汇总 2 12 4 2 4" xfId="10241"/>
    <cellStyle name="汇总 2 9 8 3 5" xfId="10242"/>
    <cellStyle name="汇总 2 4 2 8 5" xfId="10243"/>
    <cellStyle name="汇总 2 17 4 3" xfId="10244"/>
    <cellStyle name="计算 2 4 8 3 4 2" xfId="10245"/>
    <cellStyle name="输入 2 7 3 8 3" xfId="10246"/>
    <cellStyle name="汇总 2 12 4 2 4 2" xfId="10247"/>
    <cellStyle name="计算 2 9 8 4" xfId="10248"/>
    <cellStyle name="汇总 2 9 8 3 5 2" xfId="10249"/>
    <cellStyle name="汇总 2 3 11 3 2 2" xfId="10250"/>
    <cellStyle name="汇总 2 17 5 3" xfId="10251"/>
    <cellStyle name="计算 2 4 8 3 5 2" xfId="10252"/>
    <cellStyle name="汇总 2 12 4 2 5 2" xfId="10253"/>
    <cellStyle name="注释 2 9 11 14" xfId="10254"/>
    <cellStyle name="汇总 2 3 11 3 3" xfId="10255"/>
    <cellStyle name="输入 2 3 9 14" xfId="10256"/>
    <cellStyle name="计算 2 4 8 3 6" xfId="10257"/>
    <cellStyle name="检查单元格 2 6 7 5 4 2" xfId="10258"/>
    <cellStyle name="汇总 2 12 4 2 6" xfId="10259"/>
    <cellStyle name="检查单元格 2 4 3 2" xfId="10260"/>
    <cellStyle name="汇总 2 5 10 4 2" xfId="10261"/>
    <cellStyle name="汇总 2 12 4 2 7" xfId="10262"/>
    <cellStyle name="汇总 2 3 11 3 4" xfId="10263"/>
    <cellStyle name="输入 2 3 9 15" xfId="10264"/>
    <cellStyle name="汇总 2 12 4 2 8" xfId="10265"/>
    <cellStyle name="检查单元格 2 4 3 3" xfId="10266"/>
    <cellStyle name="汇总 2 2 18 4 2" xfId="10267"/>
    <cellStyle name="汇总 2 5 10 4 3" xfId="10268"/>
    <cellStyle name="计算 2 12 7 4 3 2" xfId="10269"/>
    <cellStyle name="注释 2 2 8 5 2" xfId="10270"/>
    <cellStyle name="检查单元格 2 2" xfId="10271"/>
    <cellStyle name="汇总 2 3 11 3 5" xfId="10272"/>
    <cellStyle name="输出 2 8 5 7 4 2" xfId="10273"/>
    <cellStyle name="输入 2 3 9 16" xfId="10274"/>
    <cellStyle name="检查单元格 2 4 3 4" xfId="10275"/>
    <cellStyle name="汇总 2 5 10 4 4" xfId="10276"/>
    <cellStyle name="注释 2 2 8 5 3" xfId="10277"/>
    <cellStyle name="注释 2 5 9 5 5 2" xfId="10278"/>
    <cellStyle name="汇总 2 12 4 2 9" xfId="10279"/>
    <cellStyle name="检查单元格 2 3" xfId="10280"/>
    <cellStyle name="汇总 2 3 11 3 6" xfId="10281"/>
    <cellStyle name="计算 2 10 3 4 2 2" xfId="10282"/>
    <cellStyle name="汇总 2 6 4 7 3 2" xfId="10283"/>
    <cellStyle name="计算 2 4 8 4" xfId="10284"/>
    <cellStyle name="汇总 2 12 4 3" xfId="10285"/>
    <cellStyle name="注释 2 6 8 8 4" xfId="10286"/>
    <cellStyle name="计算 2 9 2 8 2" xfId="10287"/>
    <cellStyle name="汇总 2 4 3 7 5" xfId="10288"/>
    <cellStyle name="输出 2 7 6 9 2" xfId="10289"/>
    <cellStyle name="计算 2 4 8 4 3 2" xfId="10290"/>
    <cellStyle name="输入 2 7 4 7 3" xfId="10291"/>
    <cellStyle name="汇总 2 12 4 3 3 2" xfId="10292"/>
    <cellStyle name="检查单元格 2 2 13 2" xfId="10293"/>
    <cellStyle name="汇总 2 9 8 4 4 2" xfId="10294"/>
    <cellStyle name="汇总 2 12 4 4" xfId="10295"/>
    <cellStyle name="注释 2 6 8 8 5" xfId="10296"/>
    <cellStyle name="计算 2 9 3 8 2" xfId="10297"/>
    <cellStyle name="汇总 2 4 4 7 5" xfId="10298"/>
    <cellStyle name="输出 2 7 7 9 2" xfId="10299"/>
    <cellStyle name="计算 2 11 7 2 5 2" xfId="10300"/>
    <cellStyle name="计算 2 4 8 5 3 2" xfId="10301"/>
    <cellStyle name="输入 2 7 5 7 3" xfId="10302"/>
    <cellStyle name="汇总 2 12 4 4 3 2" xfId="10303"/>
    <cellStyle name="汇总 2 9 8 5 4 2" xfId="10304"/>
    <cellStyle name="计算 2 5 7 12 2" xfId="10305"/>
    <cellStyle name="汇总 2 12 4 4 4" xfId="10306"/>
    <cellStyle name="汇总 2 2 10 7 3 2" xfId="10307"/>
    <cellStyle name="汇总 2 9 8 5 5" xfId="10308"/>
    <cellStyle name="计算 2 9 3 9 2" xfId="10309"/>
    <cellStyle name="汇总 2 4 4 8 5" xfId="10310"/>
    <cellStyle name="计算 2 4 8 5 4 2" xfId="10311"/>
    <cellStyle name="输入 2 7 5 8 3" xfId="10312"/>
    <cellStyle name="汇总 2 12 4 4 4 2" xfId="10313"/>
    <cellStyle name="汇总 2 9 8 5 5 2" xfId="10314"/>
    <cellStyle name="汇总 2 3 11 5 2" xfId="10315"/>
    <cellStyle name="计算 2 11 7 2 7" xfId="10316"/>
    <cellStyle name="计算 2 4 8 5 5" xfId="10317"/>
    <cellStyle name="汇总 2 12 4 4 5" xfId="10318"/>
    <cellStyle name="计算 2 7 2 8 3 2" xfId="10319"/>
    <cellStyle name="汇总 2 9 8 5 6" xfId="10320"/>
    <cellStyle name="汇总 2 3 11 5 2 2" xfId="10321"/>
    <cellStyle name="计算 2 4 8 5 5 2" xfId="10322"/>
    <cellStyle name="汇总 2 12 4 4 5 2" xfId="10323"/>
    <cellStyle name="汇总 2 7 11 7 3 2" xfId="10324"/>
    <cellStyle name="汇总 2 12 4 4 6" xfId="10325"/>
    <cellStyle name="汇总 2 3 11 5 3" xfId="10326"/>
    <cellStyle name="计算 2 11 7 2 8" xfId="10327"/>
    <cellStyle name="计算 2 4 8 5 6" xfId="10328"/>
    <cellStyle name="检查单元格 2 8 4 5 2 2" xfId="10329"/>
    <cellStyle name="汇总 2 12 4 5" xfId="10330"/>
    <cellStyle name="计算 2 9 4 7 2" xfId="10331"/>
    <cellStyle name="汇总 2 4 5 6 5" xfId="10332"/>
    <cellStyle name="输出 2 7 8 8 2" xfId="10333"/>
    <cellStyle name="计算 2 11 7 3 4 2" xfId="10334"/>
    <cellStyle name="计算 2 4 8 6 2 2" xfId="10335"/>
    <cellStyle name="输入 2 7 6 6 3" xfId="10336"/>
    <cellStyle name="汇总 2 12 4 5 2 2" xfId="10337"/>
    <cellStyle name="输出 2 7 5 6 5 2" xfId="10338"/>
    <cellStyle name="汇总 2 9 8 6 3 2" xfId="10339"/>
    <cellStyle name="输入 2 9 6 16" xfId="10340"/>
    <cellStyle name="计算 2 9 4 8 2" xfId="10341"/>
    <cellStyle name="汇总 2 4 5 7 5" xfId="10342"/>
    <cellStyle name="输出 2 7 8 9 2" xfId="10343"/>
    <cellStyle name="计算 2 11 7 3 5 2" xfId="10344"/>
    <cellStyle name="计算 2 4 8 6 3 2" xfId="10345"/>
    <cellStyle name="输入 2 7 6 7 3" xfId="10346"/>
    <cellStyle name="汇总 2 12 4 5 3 2" xfId="10347"/>
    <cellStyle name="汇总 2 9 8 6 4 2" xfId="10348"/>
    <cellStyle name="汇总 2 12 4 5 4" xfId="10349"/>
    <cellStyle name="汇总 2 2 10 7 4 2" xfId="10350"/>
    <cellStyle name="汇总 2 9 8 6 5" xfId="10351"/>
    <cellStyle name="计算 2 9 4 9" xfId="10352"/>
    <cellStyle name="计算 2 7 11 12 2" xfId="10353"/>
    <cellStyle name="汇总 2 12 9 8 2 2" xfId="10354"/>
    <cellStyle name="计算 2 11 7 3 6" xfId="10355"/>
    <cellStyle name="计算 2 4 8 6 4" xfId="10356"/>
    <cellStyle name="计算 2 9 4 9 2" xfId="10357"/>
    <cellStyle name="汇总 2 4 5 8 5" xfId="10358"/>
    <cellStyle name="输出 2 10 2 2 6" xfId="10359"/>
    <cellStyle name="输入 2 5 11 10" xfId="10360"/>
    <cellStyle name="计算 2 4 8 6 4 2" xfId="10361"/>
    <cellStyle name="输入 2 7 6 8 3" xfId="10362"/>
    <cellStyle name="汇总 2 12 4 5 4 2" xfId="10363"/>
    <cellStyle name="汇总 2 9 8 6 5 2" xfId="10364"/>
    <cellStyle name="汇总 2 3 11 6 2" xfId="10365"/>
    <cellStyle name="计算 2 4 8 6 5" xfId="10366"/>
    <cellStyle name="汇总 2 12 4 5 5" xfId="10367"/>
    <cellStyle name="注释 2 10 10 7 2 2" xfId="10368"/>
    <cellStyle name="输出 2 11 10 10 2" xfId="10369"/>
    <cellStyle name="计算 2 7 2 8 4 2" xfId="10370"/>
    <cellStyle name="汇总 2 9 8 6 6" xfId="10371"/>
    <cellStyle name="汇总 2 3 2 11" xfId="10372"/>
    <cellStyle name="汇总 2 12 4 5 5 2" xfId="10373"/>
    <cellStyle name="输出 2 10 2 3 6" xfId="10374"/>
    <cellStyle name="汇总 2 3 11 6 2 2" xfId="10375"/>
    <cellStyle name="计算 2 4 8 6 5 2" xfId="10376"/>
    <cellStyle name="汇总 2 7 11 7 4 2" xfId="10377"/>
    <cellStyle name="汇总 2 12 4 5 6" xfId="10378"/>
    <cellStyle name="输出 2 11 2 3 2 2" xfId="10379"/>
    <cellStyle name="汇总 2 9 10 8 2 2" xfId="10380"/>
    <cellStyle name="计算 2 4 8 6 6" xfId="10381"/>
    <cellStyle name="汇总 2 3 11 6 3" xfId="10382"/>
    <cellStyle name="汇总 2 12 4 6 2" xfId="10383"/>
    <cellStyle name="输出 2 7 5 7 5" xfId="10384"/>
    <cellStyle name="汇总 2 9 8 7 3" xfId="10385"/>
    <cellStyle name="输入 2 7 3 5 6" xfId="10386"/>
    <cellStyle name="计算 2 9 5 7 2" xfId="10387"/>
    <cellStyle name="汇总 2 4 6 6 5" xfId="10388"/>
    <cellStyle name="输出 2 7 9 8 2" xfId="10389"/>
    <cellStyle name="计算 2 11 7 4 4 2" xfId="10390"/>
    <cellStyle name="计算 2 4 8 7 2 2" xfId="10391"/>
    <cellStyle name="输入 2 7 7 6 3" xfId="10392"/>
    <cellStyle name="汇总 2 12 4 6 2 2" xfId="10393"/>
    <cellStyle name="输出 2 7 5 7 5 2" xfId="10394"/>
    <cellStyle name="汇总 2 9 8 7 3 2" xfId="10395"/>
    <cellStyle name="输出 2 3 7 2 3 2" xfId="10396"/>
    <cellStyle name="汇总 2 12 4 6 3" xfId="10397"/>
    <cellStyle name="输出 2 7 5 7 6" xfId="10398"/>
    <cellStyle name="汇总 2 9 8 7 4" xfId="10399"/>
    <cellStyle name="计算 2 9 5 8 2" xfId="10400"/>
    <cellStyle name="汇总 2 4 6 7 5" xfId="10401"/>
    <cellStyle name="输出 2 7 9 9 2" xfId="10402"/>
    <cellStyle name="计算 2 11 7 4 5 2" xfId="10403"/>
    <cellStyle name="计算 2 4 8 7 3 2" xfId="10404"/>
    <cellStyle name="输入 2 7 7 7 3" xfId="10405"/>
    <cellStyle name="输出 2 3 6 15" xfId="10406"/>
    <cellStyle name="计算 2 5 2 10" xfId="10407"/>
    <cellStyle name="汇总 2 12 4 6 3 2" xfId="10408"/>
    <cellStyle name="汇总 2 9 8 7 4 2" xfId="10409"/>
    <cellStyle name="汇总 2 12 4 6 4" xfId="10410"/>
    <cellStyle name="汇总 2 2 10 7 5 2" xfId="10411"/>
    <cellStyle name="汇总 2 9 8 7 5" xfId="10412"/>
    <cellStyle name="计算 2 9 5 9" xfId="10413"/>
    <cellStyle name="汇总 2 12 9 8 3 2" xfId="10414"/>
    <cellStyle name="计算 2 11 7 4 6" xfId="10415"/>
    <cellStyle name="计算 2 4 8 7 4" xfId="10416"/>
    <cellStyle name="输入 2 2 10 4 2 2" xfId="10417"/>
    <cellStyle name="计算 2 9 5 9 2" xfId="10418"/>
    <cellStyle name="汇总 2 2 11 12" xfId="10419"/>
    <cellStyle name="汇总 2 4 6 8 5" xfId="10420"/>
    <cellStyle name="输出 2 10 3 2 6" xfId="10421"/>
    <cellStyle name="计算 2 4 8 7 4 2" xfId="10422"/>
    <cellStyle name="输入 2 7 7 8 3" xfId="10423"/>
    <cellStyle name="汇总 2 12 4 6 4 2" xfId="10424"/>
    <cellStyle name="汇总 2 9 8 7 5 2" xfId="10425"/>
    <cellStyle name="汇总 2 3 7 11" xfId="10426"/>
    <cellStyle name="汇总 2 12 4 6 5 2" xfId="10427"/>
    <cellStyle name="输出 2 10 3 3 6" xfId="10428"/>
    <cellStyle name="汇总 2 3 11 7 2 2" xfId="10429"/>
    <cellStyle name="计算 2 4 8 7 5 2" xfId="10430"/>
    <cellStyle name="汇总 2 7 11 7 5 2" xfId="10431"/>
    <cellStyle name="汇总 2 12 4 6 6" xfId="10432"/>
    <cellStyle name="输出 2 11 2 3 3 2" xfId="10433"/>
    <cellStyle name="汇总 2 9 10 8 3 2" xfId="10434"/>
    <cellStyle name="计算 2 4 8 7 6" xfId="10435"/>
    <cellStyle name="汇总 2 3 11 7 3" xfId="10436"/>
    <cellStyle name="汇总 2 12 4 7" xfId="10437"/>
    <cellStyle name="汇总 2 2 6 6 2 2" xfId="10438"/>
    <cellStyle name="汇总 2 12 4 7 2" xfId="10439"/>
    <cellStyle name="输出 2 7 5 8 5" xfId="10440"/>
    <cellStyle name="汇总 2 17 2 6" xfId="10441"/>
    <cellStyle name="汇总 2 9 8 8 3" xfId="10442"/>
    <cellStyle name="输入 2 7 3 6 6" xfId="10443"/>
    <cellStyle name="计算 2 9 6 7 2" xfId="10444"/>
    <cellStyle name="汇总 2 4 7 6 5" xfId="10445"/>
    <cellStyle name="计算 2 11 7 5 4 2" xfId="10446"/>
    <cellStyle name="计算 2 4 8 8 2 2" xfId="10447"/>
    <cellStyle name="输入 2 7 8 6 3" xfId="10448"/>
    <cellStyle name="检查单元格 2 8 5 11" xfId="10449"/>
    <cellStyle name="汇总 2 12 4 7 2 2" xfId="10450"/>
    <cellStyle name="汇总 2 9 8 8 3 2" xfId="10451"/>
    <cellStyle name="输出 2 3 7 2 4 2" xfId="10452"/>
    <cellStyle name="汇总 2 12 4 7 3" xfId="10453"/>
    <cellStyle name="汇总 2 9 8 8 4" xfId="10454"/>
    <cellStyle name="计算 2 9 6 8 2" xfId="10455"/>
    <cellStyle name="汇总 2 4 7 7 5" xfId="10456"/>
    <cellStyle name="计算 2 11 7 5 5 2" xfId="10457"/>
    <cellStyle name="计算 2 4 8 8 3 2" xfId="10458"/>
    <cellStyle name="输入 2 7 8 7 3" xfId="10459"/>
    <cellStyle name="计算 2 5 7 10" xfId="10460"/>
    <cellStyle name="汇总 2 12 4 7 3 2" xfId="10461"/>
    <cellStyle name="汇总 2 9 8 8 4 2" xfId="10462"/>
    <cellStyle name="汇总 2 12 4 7 4" xfId="10463"/>
    <cellStyle name="汇总 2 9 8 8 5" xfId="10464"/>
    <cellStyle name="计算 2 9 6 9" xfId="10465"/>
    <cellStyle name="汇总 2 12 9 8 4 2" xfId="10466"/>
    <cellStyle name="计算 2 11 7 5 6" xfId="10467"/>
    <cellStyle name="计算 2 4 8 8 4" xfId="10468"/>
    <cellStyle name="输入 2 2 10 4 3 2" xfId="10469"/>
    <cellStyle name="计算 2 8 18 3 2" xfId="10470"/>
    <cellStyle name="汇总 2 6 3 5 2" xfId="10471"/>
    <cellStyle name="注释 2 3 8 3 6" xfId="10472"/>
    <cellStyle name="计算 2 9 11 2 5" xfId="10473"/>
    <cellStyle name="输入 2 10 8 7 4 2" xfId="10474"/>
    <cellStyle name="注释 2 5 4 10 2" xfId="10475"/>
    <cellStyle name="汇总 2 2 4 15" xfId="10476"/>
    <cellStyle name="计算 2 9 6 9 2" xfId="10477"/>
    <cellStyle name="汇总 2 4 7 8 5" xfId="10478"/>
    <cellStyle name="输出 2 10 4 2 6" xfId="10479"/>
    <cellStyle name="计算 2 4 8 8 4 2" xfId="10480"/>
    <cellStyle name="输入 2 7 8 8 3" xfId="10481"/>
    <cellStyle name="汇总 2 12 4 7 4 2" xfId="10482"/>
    <cellStyle name="输出 2 10 4 3 6" xfId="10483"/>
    <cellStyle name="汇总 2 3 11 8 2 2" xfId="10484"/>
    <cellStyle name="汇总 2 12 4 7 5 2" xfId="10485"/>
    <cellStyle name="汇总 2 5 2 10" xfId="10486"/>
    <cellStyle name="汇总 2 12 4 7 6" xfId="10487"/>
    <cellStyle name="输出 2 11 2 3 4 2" xfId="10488"/>
    <cellStyle name="汇总 2 9 10 8 4 2" xfId="10489"/>
    <cellStyle name="汇总 2 3 11 8 3" xfId="10490"/>
    <cellStyle name="汇总 2 12 4 8" xfId="10491"/>
    <cellStyle name="汇总 2 12 4 8 2" xfId="10492"/>
    <cellStyle name="检查单元格 2 3 12" xfId="10493"/>
    <cellStyle name="汇总 2 17 3 6" xfId="10494"/>
    <cellStyle name="输入 2 7 3 7 6" xfId="10495"/>
    <cellStyle name="输出 2 3 7 2 5 2" xfId="10496"/>
    <cellStyle name="汇总 2 12 4 8 3" xfId="10497"/>
    <cellStyle name="汇总 2 12 4 9 2" xfId="10498"/>
    <cellStyle name="汇总 2 17 4 6" xfId="10499"/>
    <cellStyle name="汇总 2 6 5 3 3" xfId="10500"/>
    <cellStyle name="汇总 2 12 5 10" xfId="10501"/>
    <cellStyle name="汇总 2 6 5 3 3 2" xfId="10502"/>
    <cellStyle name="汇总 2 12 5 10 2" xfId="10503"/>
    <cellStyle name="汇总 2 6 5 3 4" xfId="10504"/>
    <cellStyle name="输入 2 9 9 4 4 2" xfId="10505"/>
    <cellStyle name="汇总 2 12 5 11" xfId="10506"/>
    <cellStyle name="汇总 2 6 5 3 4 2" xfId="10507"/>
    <cellStyle name="汇总 2 12 5 11 2" xfId="10508"/>
    <cellStyle name="汇总 2 6 5 3 5" xfId="10509"/>
    <cellStyle name="输出 2 9 8 5 2" xfId="10510"/>
    <cellStyle name="汇总 2 12 5 12" xfId="10511"/>
    <cellStyle name="输入 2 6 5 2" xfId="10512"/>
    <cellStyle name="计算 2 9 3 5 2 2" xfId="10513"/>
    <cellStyle name="汇总 2 4 4 4 5 2" xfId="10514"/>
    <cellStyle name="输出 2 7 7 6 2 2" xfId="10515"/>
    <cellStyle name="检查单元格 2 7 9 2" xfId="10516"/>
    <cellStyle name="检查单元格 2 5 16 2" xfId="10517"/>
    <cellStyle name="汇总 2 3 4 2 4" xfId="10518"/>
    <cellStyle name="输入 2 9 6 3 3 2" xfId="10519"/>
    <cellStyle name="汇总 2 6 5 3 5 2" xfId="10520"/>
    <cellStyle name="输出 2 9 8 5 2 2" xfId="10521"/>
    <cellStyle name="汇总 2 12 5 12 2" xfId="10522"/>
    <cellStyle name="输入 2 6 5 2 2" xfId="10523"/>
    <cellStyle name="汇总 2 2 3" xfId="10524"/>
    <cellStyle name="汇总 2 6 5 3 6" xfId="10525"/>
    <cellStyle name="输出 2 9 8 5 3" xfId="10526"/>
    <cellStyle name="汇总 2 12 5 13" xfId="10527"/>
    <cellStyle name="输入 2 6 5 3" xfId="10528"/>
    <cellStyle name="汇总 2 3 10 2 5 2" xfId="10529"/>
    <cellStyle name="输出 2 9 8 5 4" xfId="10530"/>
    <cellStyle name="汇总 2 12 5 14" xfId="10531"/>
    <cellStyle name="输入 2 6 5 4" xfId="10532"/>
    <cellStyle name="汇总 2 5 2 7 5" xfId="10533"/>
    <cellStyle name="输出 2 8 5 9 2" xfId="10534"/>
    <cellStyle name="计算 2 4 9 3 3 2" xfId="10535"/>
    <cellStyle name="输入 2 8 3 7 3" xfId="10536"/>
    <cellStyle name="计算 2 9 7 10" xfId="10537"/>
    <cellStyle name="汇总 2 12 5 2 3 2" xfId="10538"/>
    <cellStyle name="输入 2 6 15 3 2" xfId="10539"/>
    <cellStyle name="输出 2 2 17 6" xfId="10540"/>
    <cellStyle name="输出 2 12 2 6 3 2" xfId="10541"/>
    <cellStyle name="输出 2 12 12 4 2" xfId="10542"/>
    <cellStyle name="汇总 2 9 9 3 4 2" xfId="10543"/>
    <cellStyle name="输出 2 5 10 14" xfId="10544"/>
    <cellStyle name="计算 2 9 2 2 7" xfId="10545"/>
    <cellStyle name="汇总 2 12 5 2 4" xfId="10546"/>
    <cellStyle name="汇总 2 2 26" xfId="10547"/>
    <cellStyle name="输入 2 6 15 4" xfId="10548"/>
    <cellStyle name="输出 2 12 2 6 4" xfId="10549"/>
    <cellStyle name="输出 2 12 12 5" xfId="10550"/>
    <cellStyle name="汇总 2 9 9 3 5" xfId="10551"/>
    <cellStyle name="汇总 2 5 2 8 5" xfId="10552"/>
    <cellStyle name="计算 2 4 9 3 4 2" xfId="10553"/>
    <cellStyle name="输入 2 8 3 8 3" xfId="10554"/>
    <cellStyle name="输出 2 2 18 6" xfId="10555"/>
    <cellStyle name="输出 2 12 2 6 4 2" xfId="10556"/>
    <cellStyle name="输出 2 12 12 5 2" xfId="10557"/>
    <cellStyle name="汇总 2 9 9 3 5 2" xfId="10558"/>
    <cellStyle name="汇总 2 12 5 2 4 2" xfId="10559"/>
    <cellStyle name="计算 2 2 17" xfId="10560"/>
    <cellStyle name="计算 2 2 22" xfId="10561"/>
    <cellStyle name="输入 2 6 15 4 2" xfId="10562"/>
    <cellStyle name="汇总 2 12 5 2 5 2" xfId="10563"/>
    <cellStyle name="输入 2 6 15 5 2" xfId="10564"/>
    <cellStyle name="输出 2 12 2 6 6" xfId="10565"/>
    <cellStyle name="汇总 2 5 6 10" xfId="10566"/>
    <cellStyle name="输出 2 5 10 16" xfId="10567"/>
    <cellStyle name="计算 2 9 2 2 9" xfId="10568"/>
    <cellStyle name="汇总 2 12 5 2 6" xfId="10569"/>
    <cellStyle name="输入 2 12 6 2 5 2" xfId="10570"/>
    <cellStyle name="输入 2 6 15 6" xfId="10571"/>
    <cellStyle name="检查单元格 2 5 3 2" xfId="10572"/>
    <cellStyle name="汇总 2 5 6 11" xfId="10573"/>
    <cellStyle name="汇总 2 5 11 4 2" xfId="10574"/>
    <cellStyle name="汇总 2 12 5 2 7" xfId="10575"/>
    <cellStyle name="汇总 2 12 5 2 8" xfId="10576"/>
    <cellStyle name="检查单元格 2 5 3 3" xfId="10577"/>
    <cellStyle name="汇总 2 2 19 4 2" xfId="10578"/>
    <cellStyle name="汇总 2 5 6 12" xfId="10579"/>
    <cellStyle name="汇总 2 5 11 4 3" xfId="10580"/>
    <cellStyle name="计算 2 12 7 5 3 2" xfId="10581"/>
    <cellStyle name="注释 2 2 9 5 2" xfId="10582"/>
    <cellStyle name="检查单元格 2 6 6 3 5" xfId="10583"/>
    <cellStyle name="检查单元格 2 2 3 12" xfId="10584"/>
    <cellStyle name="汇总 2 7 10 5 2" xfId="10585"/>
    <cellStyle name="计算 2 10 3 5 2 2" xfId="10586"/>
    <cellStyle name="注释 2 7 2 4 6" xfId="10587"/>
    <cellStyle name="输出 2 12 4 10" xfId="10588"/>
    <cellStyle name="汇总 2 5 6 13" xfId="10589"/>
    <cellStyle name="汇总 2 5 11 4 4" xfId="10590"/>
    <cellStyle name="注释 2 2 9 5 3" xfId="10591"/>
    <cellStyle name="注释 2 5 9 6 5 2" xfId="10592"/>
    <cellStyle name="检查单元格 2 5 3 4" xfId="10593"/>
    <cellStyle name="汇总 2 12 5 2 9" xfId="10594"/>
    <cellStyle name="汇总 2 6 4 7 4 2" xfId="10595"/>
    <cellStyle name="计算 2 4 9 4" xfId="10596"/>
    <cellStyle name="输入 2 9 5 7 2 2" xfId="10597"/>
    <cellStyle name="汇总 2 12 5 3" xfId="10598"/>
    <cellStyle name="输入 2 6 16" xfId="10599"/>
    <cellStyle name="输入 2 6 21" xfId="10600"/>
    <cellStyle name="汇总 2 5 3 7 5" xfId="10601"/>
    <cellStyle name="输出 2 8 6 9 2" xfId="10602"/>
    <cellStyle name="计算 2 4 9 4 3 2" xfId="10603"/>
    <cellStyle name="输入 2 8 4 7 3" xfId="10604"/>
    <cellStyle name="汇总 2 12 5 3 3 2" xfId="10605"/>
    <cellStyle name="输入 2 6 16 3 2" xfId="10606"/>
    <cellStyle name="输出 2 12 2 7 3 2" xfId="10607"/>
    <cellStyle name="输出 2 12 13 4 2" xfId="10608"/>
    <cellStyle name="汇总 2 9 9 4 4 2" xfId="10609"/>
    <cellStyle name="检查单元格 2 9" xfId="10610"/>
    <cellStyle name="检查单元格 2 7 13 2" xfId="10611"/>
    <cellStyle name="汇总 2 12 5 3 4" xfId="10612"/>
    <cellStyle name="汇总 2 12 7 10" xfId="10613"/>
    <cellStyle name="输入 2 6 16 4" xfId="10614"/>
    <cellStyle name="输出 2 12 2 7 4" xfId="10615"/>
    <cellStyle name="输出 2 12 13 5" xfId="10616"/>
    <cellStyle name="汇总 2 9 9 4 5" xfId="10617"/>
    <cellStyle name="输入 2 7 4 2 8" xfId="10618"/>
    <cellStyle name="检查单元格 2 7 14" xfId="10619"/>
    <cellStyle name="汇总 2 2 10 8 2 2" xfId="10620"/>
    <cellStyle name="汇总 2 5 3 8 5" xfId="10621"/>
    <cellStyle name="计算 2 4 9 4 4 2" xfId="10622"/>
    <cellStyle name="输入 2 8 4 8 3" xfId="10623"/>
    <cellStyle name="计算 2 7 22" xfId="10624"/>
    <cellStyle name="计算 2 7 17" xfId="10625"/>
    <cellStyle name="汇总 2 12 5 3 4 2" xfId="10626"/>
    <cellStyle name="汇总 2 12 7 10 2" xfId="10627"/>
    <cellStyle name="输入 2 6 16 4 2" xfId="10628"/>
    <cellStyle name="输出 2 12 2 7 4 2" xfId="10629"/>
    <cellStyle name="输出 2 12 13 5 2" xfId="10630"/>
    <cellStyle name="汇总 2 9 9 4 5 2" xfId="10631"/>
    <cellStyle name="检查单元格 2 7 14 2" xfId="10632"/>
    <cellStyle name="输入 2 5 10 2 7" xfId="10633"/>
    <cellStyle name="汇总 2 3 12 4 2" xfId="10634"/>
    <cellStyle name="计算 2 4 9 4 5" xfId="10635"/>
    <cellStyle name="注释 2 7 2 5 2" xfId="10636"/>
    <cellStyle name="汇总 2 12 5 3 5" xfId="10637"/>
    <cellStyle name="汇总 2 12 7 11" xfId="10638"/>
    <cellStyle name="输入 2 6 16 5" xfId="10639"/>
    <cellStyle name="输出 2 12 2 7 5" xfId="10640"/>
    <cellStyle name="输出 2 12 13 6" xfId="10641"/>
    <cellStyle name="汇总 2 9 9 4 6" xfId="10642"/>
    <cellStyle name="输入 2 7 4 2 9" xfId="10643"/>
    <cellStyle name="检查单元格 2 7 20" xfId="10644"/>
    <cellStyle name="检查单元格 2 7 15" xfId="10645"/>
    <cellStyle name="汇总 2 12 5 3 5 2" xfId="10646"/>
    <cellStyle name="汇总 2 12 7 11 2" xfId="10647"/>
    <cellStyle name="输入 2 6 16 5 2" xfId="10648"/>
    <cellStyle name="汇总 2 7 11 8 2 2" xfId="10649"/>
    <cellStyle name="汇总 2 12 5 3 6" xfId="10650"/>
    <cellStyle name="汇总 2 12 7 12" xfId="10651"/>
    <cellStyle name="输入 2 6 16 6" xfId="10652"/>
    <cellStyle name="汇总 2 12 5 4" xfId="10653"/>
    <cellStyle name="输入 2 6 17" xfId="10654"/>
    <cellStyle name="输入 2 6 22" xfId="10655"/>
    <cellStyle name="输出 2 12 4 16" xfId="10656"/>
    <cellStyle name="汇总 2 5 4 7 5" xfId="10657"/>
    <cellStyle name="计算 2 2 10 5 3" xfId="10658"/>
    <cellStyle name="输出 2 8 7 9 2" xfId="10659"/>
    <cellStyle name="输入 2 7 10 2 5" xfId="10660"/>
    <cellStyle name="计算 2 11 8 2 5 2" xfId="10661"/>
    <cellStyle name="计算 2 4 9 5 3 2" xfId="10662"/>
    <cellStyle name="输入 2 8 5 7 3" xfId="10663"/>
    <cellStyle name="汇总 2 12 5 4 3 2" xfId="10664"/>
    <cellStyle name="输入 2 6 17 3 2" xfId="10665"/>
    <cellStyle name="输出 2 12 2 8 3 2" xfId="10666"/>
    <cellStyle name="输出 2 12 14 4 2" xfId="10667"/>
    <cellStyle name="汇总 2 9 9 5 4 2" xfId="10668"/>
    <cellStyle name="汇总 2 12 5 4 4" xfId="10669"/>
    <cellStyle name="输入 2 6 17 4" xfId="10670"/>
    <cellStyle name="输出 2 12 2 8 4" xfId="10671"/>
    <cellStyle name="输出 2 12 14 5" xfId="10672"/>
    <cellStyle name="汇总 2 9 9 5 5" xfId="10673"/>
    <cellStyle name="汇总 2 2 10 8 3 2" xfId="10674"/>
    <cellStyle name="汇总 2 5 4 8 5" xfId="10675"/>
    <cellStyle name="计算 2 2 10 6 3" xfId="10676"/>
    <cellStyle name="输入 2 7 10 3 5" xfId="10677"/>
    <cellStyle name="计算 2 4 9 5 4 2" xfId="10678"/>
    <cellStyle name="输入 2 8 5 8 3" xfId="10679"/>
    <cellStyle name="汇总 2 12 5 4 4 2" xfId="10680"/>
    <cellStyle name="输入 2 6 17 4 2" xfId="10681"/>
    <cellStyle name="输出 2 12 2 8 4 2" xfId="10682"/>
    <cellStyle name="输出 2 12 14 5 2" xfId="10683"/>
    <cellStyle name="汇总 2 9 9 5 5 2" xfId="10684"/>
    <cellStyle name="汇总 2 3 12 5 2" xfId="10685"/>
    <cellStyle name="计算 2 11 8 2 7" xfId="10686"/>
    <cellStyle name="计算 2 4 9 5 5" xfId="10687"/>
    <cellStyle name="注释 2 7 2 6 2" xfId="10688"/>
    <cellStyle name="汇总 2 12 5 4 5" xfId="10689"/>
    <cellStyle name="输入 2 6 17 5" xfId="10690"/>
    <cellStyle name="输出 2 12 2 8 5" xfId="10691"/>
    <cellStyle name="输出 2 12 14 6" xfId="10692"/>
    <cellStyle name="汇总 2 9 9 5 6" xfId="10693"/>
    <cellStyle name="汇总 2 7 11 8 3 2" xfId="10694"/>
    <cellStyle name="汇总 2 12 5 4 6" xfId="10695"/>
    <cellStyle name="输入 2 6 17 6" xfId="10696"/>
    <cellStyle name="检查单元格 2 8 4 5 3 2" xfId="10697"/>
    <cellStyle name="汇总 2 12 5 5" xfId="10698"/>
    <cellStyle name="输入 2 6 18" xfId="10699"/>
    <cellStyle name="输入 2 6 23" xfId="10700"/>
    <cellStyle name="检查单元格 2 2 10 5 2" xfId="10701"/>
    <cellStyle name="汇总 2 5 5 6 5" xfId="10702"/>
    <cellStyle name="计算 2 2 11 4 3" xfId="10703"/>
    <cellStyle name="输出 2 8 8 8 2" xfId="10704"/>
    <cellStyle name="汇总 2 9 10 5 6" xfId="10705"/>
    <cellStyle name="计算 2 11 8 3 4 2" xfId="10706"/>
    <cellStyle name="计算 2 4 9 6 2 2" xfId="10707"/>
    <cellStyle name="输入 2 8 6 6 3" xfId="10708"/>
    <cellStyle name="输出 2 5 6 10 2" xfId="10709"/>
    <cellStyle name="计算 2 9 2 5 5 2" xfId="10710"/>
    <cellStyle name="输入 2 9 10 2 3" xfId="10711"/>
    <cellStyle name="注释 2 5 9 3" xfId="10712"/>
    <cellStyle name="汇总 2 12 5 5 2 2" xfId="10713"/>
    <cellStyle name="输出 2 7 6 6 5 2" xfId="10714"/>
    <cellStyle name="输入 2 6 18 2 2" xfId="10715"/>
    <cellStyle name="输出 2 12 15 3 2" xfId="10716"/>
    <cellStyle name="汇总 2 9 9 6 3 2" xfId="10717"/>
    <cellStyle name="输出 2 12 9 16" xfId="10718"/>
    <cellStyle name="汇总 2 5 5 7 5" xfId="10719"/>
    <cellStyle name="计算 2 2 11 5 3" xfId="10720"/>
    <cellStyle name="输出 2 8 8 9 2" xfId="10721"/>
    <cellStyle name="输入 2 7 11 2 5" xfId="10722"/>
    <cellStyle name="汇总 2 9 10 6 6" xfId="10723"/>
    <cellStyle name="计算 2 11 8 3 5 2" xfId="10724"/>
    <cellStyle name="计算 2 4 9 6 3 2" xfId="10725"/>
    <cellStyle name="输入 2 8 6 7 3" xfId="10726"/>
    <cellStyle name="输出 2 5 6 11 2" xfId="10727"/>
    <cellStyle name="输入 2 9 10 3 3" xfId="10728"/>
    <cellStyle name="汇总 2 12 5 5 3 2" xfId="10729"/>
    <cellStyle name="输入 2 6 18 3 2" xfId="10730"/>
    <cellStyle name="输出 2 12 15 4 2" xfId="10731"/>
    <cellStyle name="汇总 2 9 9 6 4 2" xfId="10732"/>
    <cellStyle name="输出 2 5 6 12" xfId="10733"/>
    <cellStyle name="汇总 2 12 5 5 4" xfId="10734"/>
    <cellStyle name="输入 2 6 18 4" xfId="10735"/>
    <cellStyle name="输出 2 12 15 5" xfId="10736"/>
    <cellStyle name="汇总 2 9 9 6 5" xfId="10737"/>
    <cellStyle name="汇总 2 2 10 8 4 2" xfId="10738"/>
    <cellStyle name="汇总 2 5 5 8 5" xfId="10739"/>
    <cellStyle name="计算 2 2 11 6 3" xfId="10740"/>
    <cellStyle name="输入 2 7 11 3 5" xfId="10741"/>
    <cellStyle name="输出 2 11 2 2 6" xfId="10742"/>
    <cellStyle name="汇总 2 9 10 7 6" xfId="10743"/>
    <cellStyle name="输入 2 6 11 10" xfId="10744"/>
    <cellStyle name="计算 2 4 9 6 4 2" xfId="10745"/>
    <cellStyle name="输入 2 8 6 8 3" xfId="10746"/>
    <cellStyle name="输出 2 5 6 12 2" xfId="10747"/>
    <cellStyle name="输入 2 9 10 4 3" xfId="10748"/>
    <cellStyle name="汇总 2 12 5 5 4 2" xfId="10749"/>
    <cellStyle name="输入 2 6 18 4 2" xfId="10750"/>
    <cellStyle name="输出 2 12 15 5 2" xfId="10751"/>
    <cellStyle name="汇总 2 9 9 6 5 2" xfId="10752"/>
    <cellStyle name="输出 2 5 6 13" xfId="10753"/>
    <cellStyle name="汇总 2 12 5 5 5" xfId="10754"/>
    <cellStyle name="输入 2 6 18 5" xfId="10755"/>
    <cellStyle name="注释 2 10 10 8 2 2" xfId="10756"/>
    <cellStyle name="输出 2 12 15 6" xfId="10757"/>
    <cellStyle name="汇总 2 9 9 6 6" xfId="10758"/>
    <cellStyle name="汇总 2 12 5 5 5 2" xfId="10759"/>
    <cellStyle name="输入 2 6 18 5 2" xfId="10760"/>
    <cellStyle name="汇总 2 8 2 11" xfId="10761"/>
    <cellStyle name="输出 2 5 6 14" xfId="10762"/>
    <cellStyle name="汇总 2 7 11 8 4 2" xfId="10763"/>
    <cellStyle name="汇总 2 12 5 5 6" xfId="10764"/>
    <cellStyle name="输入 2 6 18 6" xfId="10765"/>
    <cellStyle name="计算 2 9 2 6 5" xfId="10766"/>
    <cellStyle name="汇总 2 12 5 6 2" xfId="10767"/>
    <cellStyle name="输出 2 7 6 7 5" xfId="10768"/>
    <cellStyle name="输入 2 6 19 2" xfId="10769"/>
    <cellStyle name="输出 2 4 2 10 2" xfId="10770"/>
    <cellStyle name="输出 2 12 16 3" xfId="10771"/>
    <cellStyle name="汇总 2 9 9 7 3" xfId="10772"/>
    <cellStyle name="输入 2 7 4 5 6" xfId="10773"/>
    <cellStyle name="检查单元格 2 2 11 5 2" xfId="10774"/>
    <cellStyle name="汇总 2 5 6 6 5" xfId="10775"/>
    <cellStyle name="输出 2 8 9 8 2" xfId="10776"/>
    <cellStyle name="计算 2 5 3" xfId="10777"/>
    <cellStyle name="汇总 2 9 11 5 6" xfId="10778"/>
    <cellStyle name="计算 2 11 8 4 4 2" xfId="10779"/>
    <cellStyle name="计算 2 4 9 7 2 2" xfId="10780"/>
    <cellStyle name="输入 2 8 7 6 3" xfId="10781"/>
    <cellStyle name="计算 2 9 2 6 5 2" xfId="10782"/>
    <cellStyle name="输入 2 9 11 2 3" xfId="10783"/>
    <cellStyle name="注释 2 6 9 3" xfId="10784"/>
    <cellStyle name="汇总 2 12 5 6 2 2" xfId="10785"/>
    <cellStyle name="输出 2 7 6 7 5 2" xfId="10786"/>
    <cellStyle name="输入 2 6 19 2 2" xfId="10787"/>
    <cellStyle name="输出 2 12 16 3 2" xfId="10788"/>
    <cellStyle name="汇总 2 9 9 7 3 2" xfId="10789"/>
    <cellStyle name="输出 2 3 7 3 3 2" xfId="10790"/>
    <cellStyle name="计算 2 9 2 6 6" xfId="10791"/>
    <cellStyle name="计算 2 5 3 2 3 2" xfId="10792"/>
    <cellStyle name="汇总 2 12 5 6 3" xfId="10793"/>
    <cellStyle name="输出 2 7 6 7 6" xfId="10794"/>
    <cellStyle name="输入 2 6 19 3" xfId="10795"/>
    <cellStyle name="输出 2 12 16 4" xfId="10796"/>
    <cellStyle name="汇总 2 9 9 7 4" xfId="10797"/>
    <cellStyle name="汇总 2 5 6 7 5" xfId="10798"/>
    <cellStyle name="输出 2 8 9 9 2" xfId="10799"/>
    <cellStyle name="计算 2 6 3" xfId="10800"/>
    <cellStyle name="汇总 2 9 11 6 6" xfId="10801"/>
    <cellStyle name="计算 2 11 8 4 5 2" xfId="10802"/>
    <cellStyle name="计算 2 4 9 7 3 2" xfId="10803"/>
    <cellStyle name="输入 2 8 7 7 3" xfId="10804"/>
    <cellStyle name="输出 2 11 10 2 7" xfId="10805"/>
    <cellStyle name="汇总 2 12 5 6 3 2" xfId="10806"/>
    <cellStyle name="输入 2 6 19 3 2" xfId="10807"/>
    <cellStyle name="输出 2 12 16 4 2" xfId="10808"/>
    <cellStyle name="汇总 2 9 9 7 4 2" xfId="10809"/>
    <cellStyle name="汇总 2 12 5 6 4" xfId="10810"/>
    <cellStyle name="输入 2 6 19 4" xfId="10811"/>
    <cellStyle name="输出 2 12 16 5" xfId="10812"/>
    <cellStyle name="汇总 2 9 9 7 5" xfId="10813"/>
    <cellStyle name="汇总 2 5 6 8 5" xfId="10814"/>
    <cellStyle name="汇总 2 3 11 12" xfId="10815"/>
    <cellStyle name="输出 2 11 3 2 6" xfId="10816"/>
    <cellStyle name="计算 2 7 3" xfId="10817"/>
    <cellStyle name="汇总 2 9 11 7 6" xfId="10818"/>
    <cellStyle name="计算 2 4 9 7 4 2" xfId="10819"/>
    <cellStyle name="输入 2 8 7 8 3" xfId="10820"/>
    <cellStyle name="汇总 2 12 5 6 4 2" xfId="10821"/>
    <cellStyle name="输入 2 6 19 4 2" xfId="10822"/>
    <cellStyle name="输出 2 12 16 5 2" xfId="10823"/>
    <cellStyle name="汇总 2 9 9 7 5 2" xfId="10824"/>
    <cellStyle name="汇总 2 12 5 6 5" xfId="10825"/>
    <cellStyle name="输入 2 6 19 5" xfId="10826"/>
    <cellStyle name="注释 2 10 10 8 3 2" xfId="10827"/>
    <cellStyle name="输出 2 12 16 6" xfId="10828"/>
    <cellStyle name="汇总 2 9 9 7 6" xfId="10829"/>
    <cellStyle name="汇总 2 12 5 6 5 2" xfId="10830"/>
    <cellStyle name="汇总 2 8 7 11" xfId="10831"/>
    <cellStyle name="汇总 2 12 5 6 6" xfId="10832"/>
    <cellStyle name="汇总 2 12 5 7" xfId="10833"/>
    <cellStyle name="输入 2 6 25" xfId="10834"/>
    <cellStyle name="输出 2 4 2 11" xfId="10835"/>
    <cellStyle name="汇总 2 2 6 6 3 2" xfId="10836"/>
    <cellStyle name="输出 2 5 11 12" xfId="10837"/>
    <cellStyle name="计算 2 9 2 7 5" xfId="10838"/>
    <cellStyle name="汇总 2 3 24" xfId="10839"/>
    <cellStyle name="汇总 2 3 19" xfId="10840"/>
    <cellStyle name="汇总 2 12 5 7 2" xfId="10841"/>
    <cellStyle name="输出 2 7 6 8 5" xfId="10842"/>
    <cellStyle name="输出 2 4 2 11 2" xfId="10843"/>
    <cellStyle name="输出 2 12 17 3" xfId="10844"/>
    <cellStyle name="汇总 2 9 9 8 3" xfId="10845"/>
    <cellStyle name="输入 2 7 4 6 6" xfId="10846"/>
    <cellStyle name="输出 2 5 11 13" xfId="10847"/>
    <cellStyle name="输出 2 3 7 3 4 2" xfId="10848"/>
    <cellStyle name="计算 2 9 2 7 6" xfId="10849"/>
    <cellStyle name="计算 2 5 3 2 4 2" xfId="10850"/>
    <cellStyle name="汇总 2 3 25" xfId="10851"/>
    <cellStyle name="汇总 2 12 5 7 3" xfId="10852"/>
    <cellStyle name="输出 2 12 17 4" xfId="10853"/>
    <cellStyle name="汇总 2 9 9 8 4" xfId="10854"/>
    <cellStyle name="汇总 2 5 7 7 5" xfId="10855"/>
    <cellStyle name="计算 2 11 8 5 5 2" xfId="10856"/>
    <cellStyle name="计算 2 4 9 8 3 2" xfId="10857"/>
    <cellStyle name="输入 2 8 8 7 3" xfId="10858"/>
    <cellStyle name="汇总 2 12 5 7 3 2" xfId="10859"/>
    <cellStyle name="输出 2 3 17 6" xfId="10860"/>
    <cellStyle name="输出 2 12 17 4 2" xfId="10861"/>
    <cellStyle name="汇总 2 9 9 8 4 2" xfId="10862"/>
    <cellStyle name="输出 2 5 11 14" xfId="10863"/>
    <cellStyle name="汇总 2 3 26" xfId="10864"/>
    <cellStyle name="汇总 2 12 5 7 4" xfId="10865"/>
    <cellStyle name="输出 2 12 17 5" xfId="10866"/>
    <cellStyle name="汇总 2 9 9 8 5" xfId="10867"/>
    <cellStyle name="汇总 2 5 7 8 5" xfId="10868"/>
    <cellStyle name="输出 2 11 4 2 6" xfId="10869"/>
    <cellStyle name="计算 2 4 9 8 4 2" xfId="10870"/>
    <cellStyle name="输入 2 8 8 8 3" xfId="10871"/>
    <cellStyle name="汇总 2 12 5 7 4 2" xfId="10872"/>
    <cellStyle name="输出 2 5 11 15" xfId="10873"/>
    <cellStyle name="汇总 2 3 27" xfId="10874"/>
    <cellStyle name="汇总 2 12 5 7 5" xfId="10875"/>
    <cellStyle name="注释 2 10 10 8 4 2" xfId="10876"/>
    <cellStyle name="汇总 2 12 5 7 5 2" xfId="10877"/>
    <cellStyle name="汇总 2 5 7 10" xfId="10878"/>
    <cellStyle name="输出 2 5 11 16" xfId="10879"/>
    <cellStyle name="汇总 2 12 5 7 6" xfId="10880"/>
    <cellStyle name="汇总 2 12 5 8" xfId="10881"/>
    <cellStyle name="输入 2 6 26" xfId="10882"/>
    <cellStyle name="计算 2 9 2 8 5" xfId="10883"/>
    <cellStyle name="汇总 2 12 5 8 2" xfId="10884"/>
    <cellStyle name="汇总 2 5 8 6 5" xfId="10885"/>
    <cellStyle name="计算 2 11 8 6 4 2" xfId="10886"/>
    <cellStyle name="输入 2 8 9 6 3" xfId="10887"/>
    <cellStyle name="汇总 2 12 5 8 2 2" xfId="10888"/>
    <cellStyle name="输出 2 3 7 3 5 2" xfId="10889"/>
    <cellStyle name="计算 2 5 3 2 5 2" xfId="10890"/>
    <cellStyle name="汇总 2 12 5 8 3" xfId="10891"/>
    <cellStyle name="汇总 2 5 8 7 5" xfId="10892"/>
    <cellStyle name="计算 2 11 8 6 5 2" xfId="10893"/>
    <cellStyle name="输入 2 8 9 7 3" xfId="10894"/>
    <cellStyle name="汇总 2 12 5 8 3 2" xfId="10895"/>
    <cellStyle name="汇总 2 3 6 3 2 2" xfId="10896"/>
    <cellStyle name="计算 2 11 8 6 6" xfId="10897"/>
    <cellStyle name="输入 2 2 10 5 4 2" xfId="10898"/>
    <cellStyle name="汇总 2 12 5 8 4" xfId="10899"/>
    <cellStyle name="汇总 2 12 8 10" xfId="10900"/>
    <cellStyle name="汇总 2 5 8 8 5" xfId="10901"/>
    <cellStyle name="汇总 2 12 5 8 4 2" xfId="10902"/>
    <cellStyle name="汇总 2 12 8 10 2" xfId="10903"/>
    <cellStyle name="检查单元格 2 8 20" xfId="10904"/>
    <cellStyle name="检查单元格 2 8 15" xfId="10905"/>
    <cellStyle name="汇总 2 3 2 2 2" xfId="10906"/>
    <cellStyle name="汇总 2 12 5 8 5" xfId="10907"/>
    <cellStyle name="汇总 2 12 8 11" xfId="10908"/>
    <cellStyle name="汇总 2 12 5 9" xfId="10909"/>
    <cellStyle name="输入 2 6 27" xfId="10910"/>
    <cellStyle name="汇总 2 12 5 9 2" xfId="10911"/>
    <cellStyle name="汇总 2 2 4 11 2" xfId="10912"/>
    <cellStyle name="汇总 2 6 5 8 3" xfId="10913"/>
    <cellStyle name="汇总 2 12 6 10" xfId="10914"/>
    <cellStyle name="输入 2 6 11 4" xfId="10915"/>
    <cellStyle name="输出 2 12 7 12" xfId="10916"/>
    <cellStyle name="汇总 2 5 9 15" xfId="10917"/>
    <cellStyle name="汇总 2 18 3" xfId="10918"/>
    <cellStyle name="输入 2 7 4 7" xfId="10919"/>
    <cellStyle name="注释 2 3 10 11 2" xfId="10920"/>
    <cellStyle name="计算 2 10 11 7 4" xfId="10921"/>
    <cellStyle name="注释 2 5 6 3 4 2" xfId="10922"/>
    <cellStyle name="输出 2 12 2 2 4 2" xfId="10923"/>
    <cellStyle name="检查单元格 2 6 14 2" xfId="10924"/>
    <cellStyle name="汇总 2 8 10 8 3" xfId="10925"/>
    <cellStyle name="汇总 2 6 5 8 3 2" xfId="10926"/>
    <cellStyle name="计算 2 12 25" xfId="10927"/>
    <cellStyle name="汇总 2 12 6 10 2" xfId="10928"/>
    <cellStyle name="输入 2 6 11 4 2" xfId="10929"/>
    <cellStyle name="汇总 2 6 11 7 5" xfId="10930"/>
    <cellStyle name="注释 2 7 9 8 4" xfId="10931"/>
    <cellStyle name="汇总 2 6 5 8 4" xfId="10932"/>
    <cellStyle name="汇总 2 12 6 11" xfId="10933"/>
    <cellStyle name="输入 2 6 11 5" xfId="10934"/>
    <cellStyle name="汇总 2 6 5 8 4 2" xfId="10935"/>
    <cellStyle name="汇总 2 12 6 11 2" xfId="10936"/>
    <cellStyle name="输入 2 6 11 5 2" xfId="10937"/>
    <cellStyle name="汇总 2 6 11 8 5" xfId="10938"/>
    <cellStyle name="检查单元格 2 6 16 2" xfId="10939"/>
    <cellStyle name="汇总 2 3 9 2 4" xfId="10940"/>
    <cellStyle name="输入 2 9 6 8 3 2" xfId="10941"/>
    <cellStyle name="汇总 2 12 6 12 2" xfId="10942"/>
    <cellStyle name="输入 2 6 11 6 2" xfId="10943"/>
    <cellStyle name="检查单元格 2 3 2 8 2" xfId="10944"/>
    <cellStyle name="汇总 2 5 2 6 3 2" xfId="10945"/>
    <cellStyle name="输出 2 2 16 4 2" xfId="10946"/>
    <cellStyle name="汇总 2 12 6 14" xfId="10947"/>
    <cellStyle name="输入 2 6 11 8" xfId="10948"/>
    <cellStyle name="汇总 2 12 6 16" xfId="10949"/>
    <cellStyle name="检查单元格 2 7 2 4 2 2" xfId="10950"/>
    <cellStyle name="输入 2 7 11 14" xfId="10951"/>
    <cellStyle name="计算 2 5 10 3 3 2" xfId="10952"/>
    <cellStyle name="检查单元格 2 6 3 2" xfId="10953"/>
    <cellStyle name="汇总 2 5 12 4 2" xfId="10954"/>
    <cellStyle name="汇总 2 12 6 2 7" xfId="10955"/>
    <cellStyle name="汇总 2 12 6 2 8" xfId="10956"/>
    <cellStyle name="检查单元格 2 6 3 3" xfId="10957"/>
    <cellStyle name="计算 2 9 7 12 2" xfId="10958"/>
    <cellStyle name="计算 2 12 7 6 3 2" xfId="10959"/>
    <cellStyle name="汇总 2 12 8 2 5 2" xfId="10960"/>
    <cellStyle name="输出 2 3 10 7 6" xfId="10961"/>
    <cellStyle name="检查单元格 2 6 7 3 5" xfId="10962"/>
    <cellStyle name="汇总 2 7 11 5 2" xfId="10963"/>
    <cellStyle name="计算 2 10 3 6 2 2" xfId="10964"/>
    <cellStyle name="注释 2 7 3 4 6" xfId="10965"/>
    <cellStyle name="汇总 2 12 6 2 9" xfId="10966"/>
    <cellStyle name="汇总 2 12 6 6 5 2" xfId="10967"/>
    <cellStyle name="汇总 2 12 6 6 6" xfId="10968"/>
    <cellStyle name="计算 2 3 9 2 3 2" xfId="10969"/>
    <cellStyle name="汇总 2 6 7 8 5" xfId="10970"/>
    <cellStyle name="汇总 2 12 6 7 4 2" xfId="10971"/>
    <cellStyle name="汇总 2 12 6 7 5 2" xfId="10972"/>
    <cellStyle name="汇总 2 12 6 8" xfId="10973"/>
    <cellStyle name="计算 2 7 7 3 6" xfId="10974"/>
    <cellStyle name="汇总 2 2 8 2 9" xfId="10975"/>
    <cellStyle name="计算 2 9 3 8 5" xfId="10976"/>
    <cellStyle name="汇总 2 12 6 8 2" xfId="10977"/>
    <cellStyle name="汇总 2 6 8 6 5" xfId="10978"/>
    <cellStyle name="计算 2 11 9 6 4 2" xfId="10979"/>
    <cellStyle name="输入 2 9 9 6 3" xfId="10980"/>
    <cellStyle name="汇总 2 12 6 8 2 2" xfId="10981"/>
    <cellStyle name="汇总 2 12 6 9" xfId="10982"/>
    <cellStyle name="汇总 2 12 6 9 2" xfId="10983"/>
    <cellStyle name="计算 2 11 3 10" xfId="10984"/>
    <cellStyle name="汇总 2 12 7 12 2" xfId="10985"/>
    <cellStyle name="检查单元格 2 7 17" xfId="10986"/>
    <cellStyle name="检查单元格 2 5 4 2" xfId="10987"/>
    <cellStyle name="汇总 2 5 11 5 2" xfId="10988"/>
    <cellStyle name="汇总 2 12 7 13" xfId="10989"/>
    <cellStyle name="汇总 2 2 5 4 2 2" xfId="10990"/>
    <cellStyle name="输出 2 9 12 4" xfId="10991"/>
    <cellStyle name="汇总 2 12 7 14" xfId="10992"/>
    <cellStyle name="检查单元格 2 7 18" xfId="10993"/>
    <cellStyle name="检查单元格 2 5 4 3" xfId="10994"/>
    <cellStyle name="计算 2 5 8 8 2 2" xfId="10995"/>
    <cellStyle name="汇总 2 5 11 5 3" xfId="10996"/>
    <cellStyle name="计算 2 12 7 5 4 2" xfId="10997"/>
    <cellStyle name="注释 2 2 9 6 2" xfId="10998"/>
    <cellStyle name="检查单元格 2 6 6 4 5" xfId="10999"/>
    <cellStyle name="汇总 2 7 10 6 2" xfId="11000"/>
    <cellStyle name="输出 2 7 3 10 2" xfId="11001"/>
    <cellStyle name="计算 2 10 3 5 3 2" xfId="11002"/>
    <cellStyle name="注释 2 7 2 5 6" xfId="11003"/>
    <cellStyle name="汇总 2 12 7 15" xfId="11004"/>
    <cellStyle name="检查单元格 2 7 19" xfId="11005"/>
    <cellStyle name="检查单元格 2 5 4 4" xfId="11006"/>
    <cellStyle name="汇总 2 5 11 5 4" xfId="11007"/>
    <cellStyle name="汇总 2 8 4 8 2 2" xfId="11008"/>
    <cellStyle name="注释 2 2 9 6 3" xfId="11009"/>
    <cellStyle name="检查单元格 2 6 6 4 6" xfId="11010"/>
    <cellStyle name="汇总 2 7 10 6 3" xfId="11011"/>
    <cellStyle name="检查单元格 2 5 4 5" xfId="11012"/>
    <cellStyle name="汇总 2 5 11 5 5" xfId="11013"/>
    <cellStyle name="注释 2 2 9 6 4" xfId="11014"/>
    <cellStyle name="汇总 2 12 7 16" xfId="11015"/>
    <cellStyle name="检查单元格 2 7 3 2" xfId="11016"/>
    <cellStyle name="检查单元格 2 5 10 2" xfId="11017"/>
    <cellStyle name="汇总 2 5 13 4 2" xfId="11018"/>
    <cellStyle name="输出 2 5 10 8 2" xfId="11019"/>
    <cellStyle name="输入 2 12 10 9" xfId="11020"/>
    <cellStyle name="汇总 2 12 7 2 7" xfId="11021"/>
    <cellStyle name="输出 2 5 10 8 3" xfId="11022"/>
    <cellStyle name="注释 2 10 4 6 3 2" xfId="11023"/>
    <cellStyle name="汇总 2 12 7 2 8" xfId="11024"/>
    <cellStyle name="检查单元格 2 7 3 3" xfId="11025"/>
    <cellStyle name="检查单元格 2 5 10 3" xfId="11026"/>
    <cellStyle name="计算 2 2 19 2" xfId="11027"/>
    <cellStyle name="计算 2 12 7 7 3 2" xfId="11028"/>
    <cellStyle name="汇总 2 12 8 3 5 2" xfId="11029"/>
    <cellStyle name="输出 2 12 5 7 5 2" xfId="11030"/>
    <cellStyle name="计算 2 10 2 6 6" xfId="11031"/>
    <cellStyle name="输出 2 3 11 7 6" xfId="11032"/>
    <cellStyle name="检查单元格 2 6 8 3 5" xfId="11033"/>
    <cellStyle name="汇总 2 7 12 5 2" xfId="11034"/>
    <cellStyle name="计算 2 10 3 7 2 2" xfId="11035"/>
    <cellStyle name="注释 2 7 4 4 6" xfId="11036"/>
    <cellStyle name="输出 2 5 10 8 4" xfId="11037"/>
    <cellStyle name="汇总 2 12 7 2 9" xfId="11038"/>
    <cellStyle name="检查单元格 2 7 3 4" xfId="11039"/>
    <cellStyle name="检查单元格 2 5 10 4" xfId="11040"/>
    <cellStyle name="计算 2 2 19 3" xfId="11041"/>
    <cellStyle name="输出 2 3 7 5 4 2" xfId="11042"/>
    <cellStyle name="计算 2 9 4 7 6" xfId="11043"/>
    <cellStyle name="输入 2 12 15 5" xfId="11044"/>
    <cellStyle name="计算 2 5 3 4 4 2" xfId="11045"/>
    <cellStyle name="汇总 2 12 7 7 3" xfId="11046"/>
    <cellStyle name="汇总 2 12 7 7 4" xfId="11047"/>
    <cellStyle name="汇总 2 14 3 4 2" xfId="11048"/>
    <cellStyle name="输出 2 9 4 5 5" xfId="11049"/>
    <cellStyle name="汇总 2 12 7 7 5" xfId="11050"/>
    <cellStyle name="汇总 2 12 7 8" xfId="11051"/>
    <cellStyle name="计算 2 9 4 8 5" xfId="11052"/>
    <cellStyle name="输入 2 12 16 4" xfId="11053"/>
    <cellStyle name="汇总 2 12 7 8 2" xfId="11054"/>
    <cellStyle name="输出 2 3 7 5 5 2" xfId="11055"/>
    <cellStyle name="输入 2 12 16 5" xfId="11056"/>
    <cellStyle name="计算 2 5 3 4 5 2" xfId="11057"/>
    <cellStyle name="汇总 2 12 7 8 3" xfId="11058"/>
    <cellStyle name="汇总 2 3 6 5 2 2" xfId="11059"/>
    <cellStyle name="汇总 2 12 7 8 4" xfId="11060"/>
    <cellStyle name="检查单元格 2 9 3 13" xfId="11061"/>
    <cellStyle name="输入 2 2 6 5" xfId="11062"/>
    <cellStyle name="汇总 2 14 3 5 2" xfId="11063"/>
    <cellStyle name="输出 2 9 4 6 5" xfId="11064"/>
    <cellStyle name="汇总 2 3 4 2 2" xfId="11065"/>
    <cellStyle name="汇总 2 12 7 8 5" xfId="11066"/>
    <cellStyle name="汇总 2 12 7 9" xfId="11067"/>
    <cellStyle name="汇总 2 12 7 9 2" xfId="11068"/>
    <cellStyle name="输出 2 10 2 2 9" xfId="11069"/>
    <cellStyle name="输入 2 5 11 13" xfId="11070"/>
    <cellStyle name="计算 2 11 8 10" xfId="11071"/>
    <cellStyle name="汇总 2 2 11 3 2 2" xfId="11072"/>
    <cellStyle name="计算 2 3 10 2 3" xfId="11073"/>
    <cellStyle name="注释 2 7 9 2 9" xfId="11074"/>
    <cellStyle name="汇总 2 12 8" xfId="11075"/>
    <cellStyle name="检查单元格 2 8 15 2" xfId="11076"/>
    <cellStyle name="汇总 2 3 2 2 2 2" xfId="11077"/>
    <cellStyle name="汇总 2 12 8 11 2" xfId="11078"/>
    <cellStyle name="检查单元格 2 8 16" xfId="11079"/>
    <cellStyle name="汇总 2 3 2 2 3" xfId="11080"/>
    <cellStyle name="汇总 2 12 8 12" xfId="11081"/>
    <cellStyle name="输入 2 9 10 6 2 2" xfId="11082"/>
    <cellStyle name="检查单元格 2 8 16 2" xfId="11083"/>
    <cellStyle name="汇总 2 3 2 2 3 2" xfId="11084"/>
    <cellStyle name="汇总 2 12 8 12 2" xfId="11085"/>
    <cellStyle name="注释 2 6 5 2 3" xfId="11086"/>
    <cellStyle name="检查单元格 2 8 17" xfId="11087"/>
    <cellStyle name="检查单元格 2 5 9 2" xfId="11088"/>
    <cellStyle name="汇总 2 3 2 2 4" xfId="11089"/>
    <cellStyle name="汇总 2 12 8 13" xfId="11090"/>
    <cellStyle name="输入 2 6 3 2 2" xfId="11091"/>
    <cellStyle name="输出 2 6 5 4 2" xfId="11092"/>
    <cellStyle name="检查单元格 2 8 18" xfId="11093"/>
    <cellStyle name="检查单元格 2 5 9 3" xfId="11094"/>
    <cellStyle name="汇总 2 3 2 2 5" xfId="11095"/>
    <cellStyle name="汇总 2 12 8 14" xfId="11096"/>
    <cellStyle name="输入 2 6 3 2 3" xfId="11097"/>
    <cellStyle name="输出 2 6 5 4 3" xfId="11098"/>
    <cellStyle name="检查单元格 2 8 19" xfId="11099"/>
    <cellStyle name="检查单元格 2 5 9 4" xfId="11100"/>
    <cellStyle name="汇总 2 3 2 2 6" xfId="11101"/>
    <cellStyle name="汇总 2 12 8 15" xfId="11102"/>
    <cellStyle name="输入 2 6 3 2 4" xfId="11103"/>
    <cellStyle name="输出 2 6 5 4 4" xfId="11104"/>
    <cellStyle name="检查单元格 2 5 9 5" xfId="11105"/>
    <cellStyle name="汇总 2 3 2 2 7" xfId="11106"/>
    <cellStyle name="汇总 2 12 8 16" xfId="11107"/>
    <cellStyle name="汇总 2 8 8 4 2" xfId="11108"/>
    <cellStyle name="输入 2 6 3 2 5" xfId="11109"/>
    <cellStyle name="注释 2 11 2 6 2 2" xfId="11110"/>
    <cellStyle name="计算 2 9 5 2 5 2" xfId="11111"/>
    <cellStyle name="汇总 2 3 9 7 2" xfId="11112"/>
    <cellStyle name="汇总 2 12 8 2 2 2" xfId="11113"/>
    <cellStyle name="输出 2 7 9 3 5 2" xfId="11114"/>
    <cellStyle name="输出 2 12 5 6 2 2" xfId="11115"/>
    <cellStyle name="计算 2 3 2 6 4" xfId="11116"/>
    <cellStyle name="计算 2 9 5 2 7" xfId="11117"/>
    <cellStyle name="汇总 2 3 9 9" xfId="11118"/>
    <cellStyle name="汇总 2 12 8 2 4" xfId="11119"/>
    <cellStyle name="注释 2 5 4 3 3 2" xfId="11120"/>
    <cellStyle name="汇总 2 3 9 9 2" xfId="11121"/>
    <cellStyle name="汇总 2 12 8 2 4 2" xfId="11122"/>
    <cellStyle name="输出 2 12 5 6 4 2" xfId="11123"/>
    <cellStyle name="计算 2 3 2 8 4" xfId="11124"/>
    <cellStyle name="汇总 2 3 15 3 2" xfId="11125"/>
    <cellStyle name="输入 2 4 4 13" xfId="11126"/>
    <cellStyle name="计算 2 9 5 2 8" xfId="11127"/>
    <cellStyle name="计算 2 8 10 10 2" xfId="11128"/>
    <cellStyle name="汇总 2 12 8 2 5" xfId="11129"/>
    <cellStyle name="输出 2 6 6 4 2 2" xfId="11130"/>
    <cellStyle name="检查单元格 2 6 9 3 2" xfId="11131"/>
    <cellStyle name="汇总 2 3 3 2 5 2" xfId="11132"/>
    <cellStyle name="计算 2 8 2 3 2 2" xfId="11133"/>
    <cellStyle name="计算 2 9 5 2 9" xfId="11134"/>
    <cellStyle name="汇总 2 12 8 2 6" xfId="11135"/>
    <cellStyle name="输入 2 12 6 5 5 2" xfId="11136"/>
    <cellStyle name="检查单元格 2 8 3 2" xfId="11137"/>
    <cellStyle name="汇总 2 5 14 4 2" xfId="11138"/>
    <cellStyle name="输出 2 5 11 8 2" xfId="11139"/>
    <cellStyle name="汇总 2 12 8 2 7" xfId="11140"/>
    <cellStyle name="输出 2 5 11 8 3" xfId="11141"/>
    <cellStyle name="注释 2 10 4 7 3 2" xfId="11142"/>
    <cellStyle name="汇总 2 12 8 2 8" xfId="11143"/>
    <cellStyle name="检查单元格 2 8 3 3" xfId="11144"/>
    <cellStyle name="计算 2 12 7 8 3 2" xfId="11145"/>
    <cellStyle name="汇总 2 7 11 9" xfId="11146"/>
    <cellStyle name="汇总 2 12 8 4 5 2" xfId="11147"/>
    <cellStyle name="计算 2 10 3 6 6" xfId="11148"/>
    <cellStyle name="计算 2 6 8 2 2 2" xfId="11149"/>
    <cellStyle name="汇总 2 7 13 5 2" xfId="11150"/>
    <cellStyle name="输出 2 7 10 9 2" xfId="11151"/>
    <cellStyle name="计算 2 10 3 8 2 2" xfId="11152"/>
    <cellStyle name="注释 2 7 5 4 6" xfId="11153"/>
    <cellStyle name="输出 2 5 11 8 4" xfId="11154"/>
    <cellStyle name="汇总 2 12 8 2 9" xfId="11155"/>
    <cellStyle name="计算 2 9 5 3 5 2" xfId="11156"/>
    <cellStyle name="汇总 2 12 8 3 2 2" xfId="11157"/>
    <cellStyle name="输出 2 7 9 4 5 2" xfId="11158"/>
    <cellStyle name="输出 2 12 5 7 2 2" xfId="11159"/>
    <cellStyle name="计算 2 10 2 3 6" xfId="11160"/>
    <cellStyle name="计算 2 3 3 6 4" xfId="11161"/>
    <cellStyle name="汇总 2 12 8 3 3 2" xfId="11162"/>
    <cellStyle name="输出 2 12 5 7 3 2" xfId="11163"/>
    <cellStyle name="计算 2 10 2 4 6" xfId="11164"/>
    <cellStyle name="计算 2 3 3 7 4" xfId="11165"/>
    <cellStyle name="汇总 2 12 8 3 4" xfId="11166"/>
    <cellStyle name="注释 2 5 4 3 4 2" xfId="11167"/>
    <cellStyle name="汇总 2 12 8 3 4 2" xfId="11168"/>
    <cellStyle name="输出 2 12 5 7 4 2" xfId="11169"/>
    <cellStyle name="计算 2 10 2 5 6" xfId="11170"/>
    <cellStyle name="计算 2 3 3 8 4" xfId="11171"/>
    <cellStyle name="汇总 2 12 8 3 6" xfId="11172"/>
    <cellStyle name="计算 2 9 5 4 5" xfId="11173"/>
    <cellStyle name="汇总 2 2 10 15" xfId="11174"/>
    <cellStyle name="汇总 2 12 8 4 2" xfId="11175"/>
    <cellStyle name="输出 2 7 9 5 5" xfId="11176"/>
    <cellStyle name="计算 2 7 7 5 2 2" xfId="11177"/>
    <cellStyle name="汇总 2 2 8 4 5 2" xfId="11178"/>
    <cellStyle name="计算 2 3 8 11 2" xfId="11179"/>
    <cellStyle name="输入 2 5 9 4 3 2" xfId="11180"/>
    <cellStyle name="计算 2 9 5 4 5 2" xfId="11181"/>
    <cellStyle name="汇总 2 12 8 4 2 2" xfId="11182"/>
    <cellStyle name="输出 2 7 9 5 5 2" xfId="11183"/>
    <cellStyle name="输出 2 12 5 8 2 2" xfId="11184"/>
    <cellStyle name="计算 2 10 3 3 6" xfId="11185"/>
    <cellStyle name="计算 2 3 4 6 4" xfId="11186"/>
    <cellStyle name="检查单元格 2 10 2 4 5" xfId="11187"/>
    <cellStyle name="汇总 2 12 8 4 4" xfId="11188"/>
    <cellStyle name="注释 2 5 4 3 5 2" xfId="11189"/>
    <cellStyle name="汇总 2 7 10 9" xfId="11190"/>
    <cellStyle name="汇总 2 12 8 4 4 2" xfId="11191"/>
    <cellStyle name="输出 2 7 3 13" xfId="11192"/>
    <cellStyle name="输出 2 12 5 8 4 2" xfId="11193"/>
    <cellStyle name="计算 2 10 3 5 6" xfId="11194"/>
    <cellStyle name="计算 2 3 4 8 4" xfId="11195"/>
    <cellStyle name="检查单元格 2 10 7 2 2 2" xfId="11196"/>
    <cellStyle name="汇总 2 12 8 4 6" xfId="11197"/>
    <cellStyle name="输出 2 10 4 11" xfId="11198"/>
    <cellStyle name="汇总 2 3 6 14" xfId="11199"/>
    <cellStyle name="计算 2 3 8 12 2" xfId="11200"/>
    <cellStyle name="输入 2 5 9 4 4 2" xfId="11201"/>
    <cellStyle name="计算 2 9 5 5 5" xfId="11202"/>
    <cellStyle name="汇总 2 12 8 5 2" xfId="11203"/>
    <cellStyle name="输出 2 7 9 6 5" xfId="11204"/>
    <cellStyle name="注释 2 3 10 2 2 2" xfId="11205"/>
    <cellStyle name="计算 2 9 5 5 5 2" xfId="11206"/>
    <cellStyle name="注释 2 9 10 2 8" xfId="11207"/>
    <cellStyle name="汇总 2 12 8 5 2 2" xfId="11208"/>
    <cellStyle name="输出 2 7 9 6 5 2" xfId="11209"/>
    <cellStyle name="检查单元格 2 10 3 4 5" xfId="11210"/>
    <cellStyle name="计算 2 9 10 8" xfId="11211"/>
    <cellStyle name="计算 2 10 4 3 6" xfId="11212"/>
    <cellStyle name="计算 2 3 5 6 4" xfId="11213"/>
    <cellStyle name="汇总 2 7 14 3 2" xfId="11214"/>
    <cellStyle name="注释 2 12 11 4" xfId="11215"/>
    <cellStyle name="汇总 2 13 14" xfId="11216"/>
    <cellStyle name="注释 2 2 14 2" xfId="11217"/>
    <cellStyle name="汇总 2 12 8 5 3 2" xfId="11218"/>
    <cellStyle name="检查单元格 2 10 3 5 5" xfId="11219"/>
    <cellStyle name="计算 2 9 11 8" xfId="11220"/>
    <cellStyle name="计算 2 10 4 4 6" xfId="11221"/>
    <cellStyle name="计算 2 3 5 7 4" xfId="11222"/>
    <cellStyle name="输出 2 10 4 13" xfId="11223"/>
    <cellStyle name="汇总 2 3 6 16" xfId="11224"/>
    <cellStyle name="汇总 2 12 8 5 4" xfId="11225"/>
    <cellStyle name="汇总 2 12 8 5 4 2" xfId="11226"/>
    <cellStyle name="计算 2 9 12 8" xfId="11227"/>
    <cellStyle name="计算 2 10 4 5 6" xfId="11228"/>
    <cellStyle name="计算 2 3 5 8 4" xfId="11229"/>
    <cellStyle name="计算 2 6 8 3 2" xfId="11230"/>
    <cellStyle name="汇总 2 7 14 5" xfId="11231"/>
    <cellStyle name="输出 2 7 11 9" xfId="11232"/>
    <cellStyle name="计算 2 10 3 9 2" xfId="11233"/>
    <cellStyle name="汇总 2 14 4 2 2" xfId="11234"/>
    <cellStyle name="输出 2 9 5 3 5" xfId="11235"/>
    <cellStyle name="汇总 2 12 8 5 5" xfId="11236"/>
    <cellStyle name="汇总 2 12 8 5 5 2" xfId="11237"/>
    <cellStyle name="计算 2 10 4 6 6" xfId="11238"/>
    <cellStyle name="输出 2 3 7 6 3 2" xfId="11239"/>
    <cellStyle name="计算 2 9 5 6 6" xfId="11240"/>
    <cellStyle name="计算 2 5 3 5 3 2" xfId="11241"/>
    <cellStyle name="汇总 2 12 8 6 3" xfId="11242"/>
    <cellStyle name="计算 2 12 2 2 5 2" xfId="11243"/>
    <cellStyle name="输出 2 7 9 7 6" xfId="11244"/>
    <cellStyle name="汇总 2 12 8 6 4" xfId="11245"/>
    <cellStyle name="计算 2 6 8 4 2" xfId="11246"/>
    <cellStyle name="汇总 2 7 15 5" xfId="11247"/>
    <cellStyle name="汇总 2 6 2 2 8" xfId="11248"/>
    <cellStyle name="汇总 2 14 4 3 2" xfId="11249"/>
    <cellStyle name="输出 2 9 5 4 5" xfId="11250"/>
    <cellStyle name="汇总 2 12 8 6 5" xfId="11251"/>
    <cellStyle name="计算 2 9 5 7 5" xfId="11252"/>
    <cellStyle name="汇总 2 12 8 7 2" xfId="11253"/>
    <cellStyle name="输出 2 7 9 8 5" xfId="11254"/>
    <cellStyle name="注释 2 3 10 2 4 2" xfId="11255"/>
    <cellStyle name="输出 2 3 7 6 4 2" xfId="11256"/>
    <cellStyle name="计算 2 9 5 7 6" xfId="11257"/>
    <cellStyle name="计算 2 5 3 5 4 2" xfId="11258"/>
    <cellStyle name="汇总 2 12 8 7 3" xfId="11259"/>
    <cellStyle name="汇总 2 12 8 7 4" xfId="11260"/>
    <cellStyle name="计算 2 6 8 5 2" xfId="11261"/>
    <cellStyle name="汇总 2 7 16 5" xfId="11262"/>
    <cellStyle name="计算 2 11 4 7 2 2" xfId="11263"/>
    <cellStyle name="汇总 2 14 4 4 2" xfId="11264"/>
    <cellStyle name="输出 2 9 5 5 5" xfId="11265"/>
    <cellStyle name="汇总 2 12 8 7 5" xfId="11266"/>
    <cellStyle name="输出 2 3 7 6 5 2" xfId="11267"/>
    <cellStyle name="计算 2 5 3 5 5 2" xfId="11268"/>
    <cellStyle name="汇总 2 12 8 8 3" xfId="11269"/>
    <cellStyle name="计算 2 5 2 15" xfId="11270"/>
    <cellStyle name="汇总 2 3 6 6 2 2" xfId="11271"/>
    <cellStyle name="汇总 2 12 8 8 4" xfId="11272"/>
    <cellStyle name="计算 2 6 8 6 2" xfId="11273"/>
    <cellStyle name="汇总 2 7 17 5" xfId="11274"/>
    <cellStyle name="输出 2 16 15" xfId="11275"/>
    <cellStyle name="注释 2 11 4 2 4" xfId="11276"/>
    <cellStyle name="计算 2 11 4 7 3 2" xfId="11277"/>
    <cellStyle name="汇总 2 14 4 5 2" xfId="11278"/>
    <cellStyle name="输出 2 9 5 6 5" xfId="11279"/>
    <cellStyle name="输入 2 11 2 11" xfId="11280"/>
    <cellStyle name="汇总 2 3 5 2 2" xfId="11281"/>
    <cellStyle name="汇总 2 12 8 8 5" xfId="11282"/>
    <cellStyle name="输出 2 5 7 5 2 2" xfId="11283"/>
    <cellStyle name="汇总 2 2 4 3 5 2" xfId="11284"/>
    <cellStyle name="计算 2 3 10 2 4" xfId="11285"/>
    <cellStyle name="计算 2 7 3 4 2 2" xfId="11286"/>
    <cellStyle name="输出 2 5 4 2 2" xfId="11287"/>
    <cellStyle name="计算 2 5 7 7 5 2" xfId="11288"/>
    <cellStyle name="汇总 2 12 9" xfId="11289"/>
    <cellStyle name="检查单元格 2 9 16 2" xfId="11290"/>
    <cellStyle name="汇总 2 3 2 7 3 2" xfId="11291"/>
    <cellStyle name="计算 2 7 10 9 2" xfId="11292"/>
    <cellStyle name="汇总 2 12 9 12 2" xfId="11293"/>
    <cellStyle name="输出 2 14 5 3 2" xfId="11294"/>
    <cellStyle name="检查单元格 2 9 19" xfId="11295"/>
    <cellStyle name="汇总 2 3 2 7 6" xfId="11296"/>
    <cellStyle name="汇总 2 12 9 15" xfId="11297"/>
    <cellStyle name="汇总 2 7 3 3 3 2" xfId="11298"/>
    <cellStyle name="输入 2 6 3 7 4" xfId="11299"/>
    <cellStyle name="计算 2 10 11 3 2" xfId="11300"/>
    <cellStyle name="汇总 2 12 9 16" xfId="11301"/>
    <cellStyle name="汇总 2 14 2" xfId="11302"/>
    <cellStyle name="汇总 2 8 8 9 2" xfId="11303"/>
    <cellStyle name="输入 2 6 3 7 5" xfId="11304"/>
    <cellStyle name="计算 2 10 11 3 3" xfId="11305"/>
    <cellStyle name="计算 2 9 6 2 5 2" xfId="11306"/>
    <cellStyle name="计算 2 3 4 9" xfId="11307"/>
    <cellStyle name="汇总 2 4 9 7 2" xfId="11308"/>
    <cellStyle name="汇总 2 12 9 2 2 2" xfId="11309"/>
    <cellStyle name="输入 2 2 4 5 5" xfId="11310"/>
    <cellStyle name="输出 2 2 6 7 4" xfId="11311"/>
    <cellStyle name="输出 2 12 6 6 2 2" xfId="11312"/>
    <cellStyle name="计算 2 4 2 6 4" xfId="11313"/>
    <cellStyle name="汇总 2 4 9 8 2" xfId="11314"/>
    <cellStyle name="汇总 2 12 9 2 3 2" xfId="11315"/>
    <cellStyle name="输入 2 2 4 6 5" xfId="11316"/>
    <cellStyle name="计算 2 3 5 9" xfId="11317"/>
    <cellStyle name="输出 2 2 6 8 4" xfId="11318"/>
    <cellStyle name="输出 2 10 6 2 3" xfId="11319"/>
    <cellStyle name="输出 2 12 6 6 3 2" xfId="11320"/>
    <cellStyle name="计算 2 4 2 7 4" xfId="11321"/>
    <cellStyle name="计算 2 9 6 2 7" xfId="11322"/>
    <cellStyle name="计算 2 5 8 10 2" xfId="11323"/>
    <cellStyle name="汇总 2 4 9 9" xfId="11324"/>
    <cellStyle name="汇总 2 12 9 2 4" xfId="11325"/>
    <cellStyle name="注释 2 5 4 4 3 2" xfId="11326"/>
    <cellStyle name="汇总 2 3 16 3 2" xfId="11327"/>
    <cellStyle name="输入 2 4 9 13" xfId="11328"/>
    <cellStyle name="计算 2 9 6 2 8" xfId="11329"/>
    <cellStyle name="汇总 2 12 9 2 5" xfId="11330"/>
    <cellStyle name="输出 2 6 6 5 2 2" xfId="11331"/>
    <cellStyle name="汇总 2 3 3 3 5 2" xfId="11332"/>
    <cellStyle name="计算 2 8 2 4 2 2" xfId="11333"/>
    <cellStyle name="计算 2 9 6 2 9" xfId="11334"/>
    <cellStyle name="汇总 2 12 9 2 6" xfId="11335"/>
    <cellStyle name="输入 2 12 6 6 5 2" xfId="11336"/>
    <cellStyle name="输出 2 2 7 7 4" xfId="11337"/>
    <cellStyle name="输出 2 12 6 7 2 2" xfId="11338"/>
    <cellStyle name="计算 2 11 2 3 6" xfId="11339"/>
    <cellStyle name="计算 2 4 3 6 4" xfId="11340"/>
    <cellStyle name="计算 2 9 6 3 5 2" xfId="11341"/>
    <cellStyle name="计算 2 4 4 9" xfId="11342"/>
    <cellStyle name="计算 2 7 10 12 2" xfId="11343"/>
    <cellStyle name="汇总 2 12 9 3 2 2" xfId="11344"/>
    <cellStyle name="输入 2 2 5 5 5" xfId="11345"/>
    <cellStyle name="汇总 2 2 10 2 4 2" xfId="11346"/>
    <cellStyle name="汇总 2 9 3 6 5" xfId="11347"/>
    <cellStyle name="输入 2 5 26" xfId="11348"/>
    <cellStyle name="输出 2 2 7 8 4" xfId="11349"/>
    <cellStyle name="输出 2 10 7 2 3" xfId="11350"/>
    <cellStyle name="输出 2 12 6 7 3 2" xfId="11351"/>
    <cellStyle name="计算 2 11 2 4 6" xfId="11352"/>
    <cellStyle name="计算 2 4 3 7 4" xfId="11353"/>
    <cellStyle name="汇总 2 12 9 3 3 2" xfId="11354"/>
    <cellStyle name="输入 2 2 5 6 5" xfId="11355"/>
    <cellStyle name="计算 2 4 5 9" xfId="11356"/>
    <cellStyle name="汇总 2 2 10 2 5 2" xfId="11357"/>
    <cellStyle name="汇总 2 9 3 7 5" xfId="11358"/>
    <cellStyle name="计算 2 7 10 14" xfId="11359"/>
    <cellStyle name="计算 2 5 8 11 2" xfId="11360"/>
    <cellStyle name="汇总 2 12 9 3 4" xfId="11361"/>
    <cellStyle name="注释 2 5 4 4 4 2" xfId="11362"/>
    <cellStyle name="汇总 2 2 10 2 6" xfId="11363"/>
    <cellStyle name="检查单元格 2 2 4 3 2 2" xfId="11364"/>
    <cellStyle name="计算 2 5 6 16" xfId="11365"/>
    <cellStyle name="汇总 2 3 16 4 2" xfId="11366"/>
    <cellStyle name="汇总 2 2 10 2 7" xfId="11367"/>
    <cellStyle name="计算 2 7 10 15" xfId="11368"/>
    <cellStyle name="汇总 2 12 9 3 5" xfId="11369"/>
    <cellStyle name="计算 2 7 10 16" xfId="11370"/>
    <cellStyle name="汇总 2 12 9 3 6" xfId="11371"/>
    <cellStyle name="计算 2 10 8 2 2 2" xfId="11372"/>
    <cellStyle name="输出 2 6 6 5 3 2" xfId="11373"/>
    <cellStyle name="计算 2 8 2 4 3 2" xfId="11374"/>
    <cellStyle name="汇总 2 2 10 2 8" xfId="11375"/>
    <cellStyle name="计算 2 7 7 6 2 2" xfId="11376"/>
    <cellStyle name="汇总 2 2 8 5 5 2" xfId="11377"/>
    <cellStyle name="汇总 2 2 10 3 4" xfId="11378"/>
    <cellStyle name="输入 2 5 9 5 3 2" xfId="11379"/>
    <cellStyle name="计算 2 9 6 4 5" xfId="11380"/>
    <cellStyle name="汇总 2 12 9 4 2" xfId="11381"/>
    <cellStyle name="计算 2 9 6 4 5 2" xfId="11382"/>
    <cellStyle name="计算 2 5 4 9" xfId="11383"/>
    <cellStyle name="汇总 2 12 9 4 2 2" xfId="11384"/>
    <cellStyle name="输入 2 2 6 5 5" xfId="11385"/>
    <cellStyle name="输出 2 2 8 7 4" xfId="11386"/>
    <cellStyle name="输出 2 12 6 8 2 2" xfId="11387"/>
    <cellStyle name="计算 2 11 3 3 6" xfId="11388"/>
    <cellStyle name="计算 2 4 4 6 4" xfId="11389"/>
    <cellStyle name="输出 2 11 15 5" xfId="11390"/>
    <cellStyle name="汇总 2 9 4 6 5" xfId="11391"/>
    <cellStyle name="汇总 2 2 10 3 4 2" xfId="11392"/>
    <cellStyle name="检查单元格 2 10 3 11" xfId="11393"/>
    <cellStyle name="输入 2 4 2 3 2" xfId="11394"/>
    <cellStyle name="注释 2 7 11 6 4 2" xfId="11395"/>
    <cellStyle name="汇总 2 2 2 5" xfId="11396"/>
    <cellStyle name="输出 2 9 6 2 3 2" xfId="11397"/>
    <cellStyle name="注释 2 2 11 7 6" xfId="11398"/>
    <cellStyle name="计算 2 5 5 9" xfId="11399"/>
    <cellStyle name="汇总 2 12 9 4 3 2" xfId="11400"/>
    <cellStyle name="输入 2 2 6 6 5" xfId="11401"/>
    <cellStyle name="输出 2 2 8 8 4" xfId="11402"/>
    <cellStyle name="输出 2 10 8 2 3" xfId="11403"/>
    <cellStyle name="输出 2 10 11 10 2" xfId="11404"/>
    <cellStyle name="输出 2 12 6 8 3 2" xfId="11405"/>
    <cellStyle name="计算 2 11 3 4 6" xfId="11406"/>
    <cellStyle name="计算 2 4 4 7 4" xfId="11407"/>
    <cellStyle name="输出 2 11 16 5" xfId="11408"/>
    <cellStyle name="汇总 2 9 4 7 5" xfId="11409"/>
    <cellStyle name="汇总 2 2 10 3 5 2" xfId="11410"/>
    <cellStyle name="计算 2 5 8 12 2" xfId="11411"/>
    <cellStyle name="汇总 2 12 9 4 4" xfId="11412"/>
    <cellStyle name="注释 2 5 4 4 5 2" xfId="11413"/>
    <cellStyle name="汇总 2 2 10 3 6" xfId="11414"/>
    <cellStyle name="汇总 2 2 3 5" xfId="11415"/>
    <cellStyle name="输出 2 9 6 2 4 2" xfId="11416"/>
    <cellStyle name="计算 2 5 6 9" xfId="11417"/>
    <cellStyle name="汇总 2 12 9 4 4 2" xfId="11418"/>
    <cellStyle name="输入 2 2 6 7 5" xfId="11419"/>
    <cellStyle name="输出 2 12 6 8 4 2" xfId="11420"/>
    <cellStyle name="计算 2 11 3 5 6" xfId="11421"/>
    <cellStyle name="计算 2 4 4 8 4" xfId="11422"/>
    <cellStyle name="输出 2 10 8 3 3" xfId="11423"/>
    <cellStyle name="输出 2 10 11 11 2" xfId="11424"/>
    <cellStyle name="输出 2 11 17 5" xfId="11425"/>
    <cellStyle name="汇总 2 13 2 8" xfId="11426"/>
    <cellStyle name="汇总 2 9 4 8 5" xfId="11427"/>
    <cellStyle name="检查单元格 2 2 4 3 3 2" xfId="11428"/>
    <cellStyle name="汇总 2 3 16 5 2" xfId="11429"/>
    <cellStyle name="汇总 2 12 9 4 5" xfId="11430"/>
    <cellStyle name="检查单元格 2 10 7 3 2 2" xfId="11431"/>
    <cellStyle name="汇总 2 12 9 4 6" xfId="11432"/>
    <cellStyle name="计算 2 10 8 2 3 2" xfId="11433"/>
    <cellStyle name="计算 2 9 6 5 5" xfId="11434"/>
    <cellStyle name="汇总 2 12 9 5 2" xfId="11435"/>
    <cellStyle name="注释 2 3 10 3 2 2" xfId="11436"/>
    <cellStyle name="输出 2 10 9 11" xfId="11437"/>
    <cellStyle name="注释 2 12 3 2 5 2" xfId="11438"/>
    <cellStyle name="汇总 2 2 10 4 4" xfId="11439"/>
    <cellStyle name="输入 2 5 9 5 4 2" xfId="11440"/>
    <cellStyle name="计算 2 9 6 5 5 2" xfId="11441"/>
    <cellStyle name="计算 2 6 4 9" xfId="11442"/>
    <cellStyle name="汇总 2 12 9 5 2 2" xfId="11443"/>
    <cellStyle name="输入 2 2 7 5 5" xfId="11444"/>
    <cellStyle name="输出 2 2 9 7 4" xfId="11445"/>
    <cellStyle name="计算 2 11 4 3 6" xfId="11446"/>
    <cellStyle name="计算 2 4 5 6 4" xfId="11447"/>
    <cellStyle name="输出 2 10 9 11 2" xfId="11448"/>
    <cellStyle name="汇总 2 9 5 6 5" xfId="11449"/>
    <cellStyle name="汇总 2 2 10 4 4 2" xfId="11450"/>
    <cellStyle name="输出 2 3 7 7 2 2" xfId="11451"/>
    <cellStyle name="计算 2 9 6 5 6" xfId="11452"/>
    <cellStyle name="计算 2 5 3 6 2 2" xfId="11453"/>
    <cellStyle name="汇总 2 12 9 5 3" xfId="11454"/>
    <cellStyle name="计算 2 12 2 3 4 2" xfId="11455"/>
    <cellStyle name="输出 2 10 9 12" xfId="11456"/>
    <cellStyle name="汇总 2 2 10 4 5" xfId="11457"/>
    <cellStyle name="计算 2 6 5 9" xfId="11458"/>
    <cellStyle name="汇总 2 12 9 5 3 2" xfId="11459"/>
    <cellStyle name="输入 2 2 7 6 5" xfId="11460"/>
    <cellStyle name="注释 2 3 6 14" xfId="11461"/>
    <cellStyle name="输出 2 2 9 8 4" xfId="11462"/>
    <cellStyle name="输出 2 10 9 2 3" xfId="11463"/>
    <cellStyle name="计算 2 11 4 4 6" xfId="11464"/>
    <cellStyle name="计算 2 4 5 7 4" xfId="11465"/>
    <cellStyle name="输出 2 10 9 12 2" xfId="11466"/>
    <cellStyle name="汇总 2 9 5 7 5" xfId="11467"/>
    <cellStyle name="汇总 2 2 10 4 5 2" xfId="11468"/>
    <cellStyle name="汇总 2 12 9 5 4" xfId="11469"/>
    <cellStyle name="输出 2 10 9 13" xfId="11470"/>
    <cellStyle name="汇总 2 2 10 4 6" xfId="11471"/>
    <cellStyle name="输出 2 7 10 12" xfId="11472"/>
    <cellStyle name="输入 2 4 3 5" xfId="11473"/>
    <cellStyle name="注释 2 7 11 7 6" xfId="11474"/>
    <cellStyle name="汇总 2 14 5 2 2" xfId="11475"/>
    <cellStyle name="输出 2 9 6 3 5" xfId="11476"/>
    <cellStyle name="汇总 2 12 9 5 5" xfId="11477"/>
    <cellStyle name="汇总 2 14 10" xfId="11478"/>
    <cellStyle name="计算 2 6 7 9" xfId="11479"/>
    <cellStyle name="汇总 2 12 9 5 5 2" xfId="11480"/>
    <cellStyle name="汇总 2 14 10 2" xfId="11481"/>
    <cellStyle name="输入 2 2 7 8 5" xfId="11482"/>
    <cellStyle name="输出 2 10 9 4 3" xfId="11483"/>
    <cellStyle name="计算 2 11 4 6 6" xfId="11484"/>
    <cellStyle name="汇总 2 12 9 6" xfId="11485"/>
    <cellStyle name="注释 2 3 10 3 3" xfId="11486"/>
    <cellStyle name="计算 2 9 6 6 5" xfId="11487"/>
    <cellStyle name="汇总 2 12 9 6 2" xfId="11488"/>
    <cellStyle name="注释 2 3 10 3 3 2" xfId="11489"/>
    <cellStyle name="汇总 2 2 10 5 4" xfId="11490"/>
    <cellStyle name="输入 2 5 9 5 5 2" xfId="11491"/>
    <cellStyle name="输出 2 3 7 7 3 2" xfId="11492"/>
    <cellStyle name="计算 2 9 6 6 6" xfId="11493"/>
    <cellStyle name="计算 2 5 3 6 3 2" xfId="11494"/>
    <cellStyle name="汇总 2 12 9 6 3" xfId="11495"/>
    <cellStyle name="计算 2 12 2 3 5 2" xfId="11496"/>
    <cellStyle name="汇总 2 2 10 5 5" xfId="11497"/>
    <cellStyle name="汇总 2 12 9 6 4" xfId="11498"/>
    <cellStyle name="汇总 2 2 10 5 6" xfId="11499"/>
    <cellStyle name="汇总 2 6 3 2 8" xfId="11500"/>
    <cellStyle name="汇总 2 14 5 3 2" xfId="11501"/>
    <cellStyle name="输出 2 9 6 4 5" xfId="11502"/>
    <cellStyle name="汇总 2 12 9 6 5" xfId="11503"/>
    <cellStyle name="汇总 2 12 9 7" xfId="11504"/>
    <cellStyle name="输入 2 5 7 6 5 2" xfId="11505"/>
    <cellStyle name="注释 2 3 10 3 4" xfId="11506"/>
    <cellStyle name="计算 2 9 6 7 5" xfId="11507"/>
    <cellStyle name="汇总 2 12 9 7 2" xfId="11508"/>
    <cellStyle name="注释 2 3 10 3 4 2" xfId="11509"/>
    <cellStyle name="汇总 2 2 10 6 4" xfId="11510"/>
    <cellStyle name="输出 2 3 7 7 4 2" xfId="11511"/>
    <cellStyle name="计算 2 9 6 7 6" xfId="11512"/>
    <cellStyle name="计算 2 5 3 6 4 2" xfId="11513"/>
    <cellStyle name="汇总 2 12 9 7 3" xfId="11514"/>
    <cellStyle name="汇总 2 2 10 6 5" xfId="11515"/>
    <cellStyle name="汇总 2 12 9 7 4" xfId="11516"/>
    <cellStyle name="汇总 2 2 10 6 6" xfId="11517"/>
    <cellStyle name="汇总 2 14 5 4 2" xfId="11518"/>
    <cellStyle name="输出 2 9 6 5 5" xfId="11519"/>
    <cellStyle name="汇总 2 12 9 7 5" xfId="11520"/>
    <cellStyle name="汇总 2 12 9 8" xfId="11521"/>
    <cellStyle name="注释 2 3 10 3 5" xfId="11522"/>
    <cellStyle name="计算 2 9 6 8 5" xfId="11523"/>
    <cellStyle name="计算 2 7 11 12" xfId="11524"/>
    <cellStyle name="汇总 2 12 9 8 2" xfId="11525"/>
    <cellStyle name="注释 2 3 10 3 5 2" xfId="11526"/>
    <cellStyle name="汇总 2 2 10 7 4" xfId="11527"/>
    <cellStyle name="输出 2 3 7 7 5 2" xfId="11528"/>
    <cellStyle name="计算 2 7 11 13" xfId="11529"/>
    <cellStyle name="计算 2 5 3 6 5 2" xfId="11530"/>
    <cellStyle name="汇总 2 12 9 8 3" xfId="11531"/>
    <cellStyle name="汇总 2 2 10 7 5" xfId="11532"/>
    <cellStyle name="计算 2 5 7 15" xfId="11533"/>
    <cellStyle name="汇总 2 3 6 7 2 2" xfId="11534"/>
    <cellStyle name="汇总 2 2 10 7 6" xfId="11535"/>
    <cellStyle name="计算 2 7 11 14" xfId="11536"/>
    <cellStyle name="汇总 2 12 9 8 4" xfId="11537"/>
    <cellStyle name="汇总 2 14 5 5 2" xfId="11538"/>
    <cellStyle name="输出 2 9 6 6 5" xfId="11539"/>
    <cellStyle name="输入 2 11 7 11" xfId="11540"/>
    <cellStyle name="汇总 2 3 6 2 2" xfId="11541"/>
    <cellStyle name="计算 2 7 11 15" xfId="11542"/>
    <cellStyle name="汇总 2 12 9 8 5" xfId="11543"/>
    <cellStyle name="汇总 2 12 9 9" xfId="11544"/>
    <cellStyle name="注释 2 3 10 3 6" xfId="11545"/>
    <cellStyle name="计算 2 11 9 11 2" xfId="11546"/>
    <cellStyle name="汇总 2 12 9 9 2" xfId="11547"/>
    <cellStyle name="汇总 2 2 10 8 4" xfId="11548"/>
    <cellStyle name="输出 2 2 11 4 5" xfId="11549"/>
    <cellStyle name="汇总 2 6 10 7 4 2" xfId="11550"/>
    <cellStyle name="注释 2 7 8 8 3 2" xfId="11551"/>
    <cellStyle name="汇总 2 13" xfId="11552"/>
    <cellStyle name="汇总 2 8 8 8" xfId="11553"/>
    <cellStyle name="注释 2 11 2 6 6" xfId="11554"/>
    <cellStyle name="汇总 2 5 7 3 4 2" xfId="11555"/>
    <cellStyle name="汇总 2 13 10" xfId="11556"/>
    <cellStyle name="汇总 2 13 10 2" xfId="11557"/>
    <cellStyle name="输入 2 2 2 8 5" xfId="11558"/>
    <cellStyle name="输出 2 10 8 15" xfId="11559"/>
    <cellStyle name="汇总 2 3 3 3 3 2" xfId="11560"/>
    <cellStyle name="汇总 2 13 11" xfId="11561"/>
    <cellStyle name="输入 2 12 6 6 3 2" xfId="11562"/>
    <cellStyle name="输出 2 5 8 2 6" xfId="11563"/>
    <cellStyle name="汇总 2 13 11 2" xfId="11564"/>
    <cellStyle name="汇总 2 5 15 2 2" xfId="11565"/>
    <cellStyle name="汇总 2 13 12" xfId="11566"/>
    <cellStyle name="汇总 2 13 13" xfId="11567"/>
    <cellStyle name="输出 2 3 5 5 3" xfId="11568"/>
    <cellStyle name="汇总 2 13 16" xfId="11569"/>
    <cellStyle name="汇总 2 9 13 4 2" xfId="11570"/>
    <cellStyle name="注释 2 2 14 4" xfId="11571"/>
    <cellStyle name="计算 2 11 10 4 4 2" xfId="11572"/>
    <cellStyle name="输出 2 9 10 8 2" xfId="11573"/>
    <cellStyle name="输入 2 3 3 3 4" xfId="11574"/>
    <cellStyle name="输出 2 6 5 8 4" xfId="11575"/>
    <cellStyle name="输出 2 4 10 5 3 2" xfId="11576"/>
    <cellStyle name="输出 2 12 6 11" xfId="11577"/>
    <cellStyle name="汇总 2 5 8 14" xfId="11578"/>
    <cellStyle name="汇总 2 13 2" xfId="11579"/>
    <cellStyle name="汇总 2 8 8 8 2" xfId="11580"/>
    <cellStyle name="输入 2 6 3 6 5" xfId="11581"/>
    <cellStyle name="计算 2 10 11 2 3" xfId="11582"/>
    <cellStyle name="汇总 2 13 2 2" xfId="11583"/>
    <cellStyle name="汇总 2 8 8 8 2 2" xfId="11584"/>
    <cellStyle name="输入 2 6 3 6 5 2" xfId="11585"/>
    <cellStyle name="注释 2 6 9 6 3" xfId="11586"/>
    <cellStyle name="计算 2 10 11 2 3 2" xfId="11587"/>
    <cellStyle name="汇总 2 13 2 3" xfId="11588"/>
    <cellStyle name="注释 2 6 9 6 4" xfId="11589"/>
    <cellStyle name="汇总 2 13 2 4" xfId="11590"/>
    <cellStyle name="注释 2 6 9 6 5" xfId="11591"/>
    <cellStyle name="检查单元格 2 7 9 2 2" xfId="11592"/>
    <cellStyle name="汇总 2 3 4 2 4 2" xfId="11593"/>
    <cellStyle name="汇总 2 2 3 2" xfId="11594"/>
    <cellStyle name="注释 2 2 11 8 3" xfId="11595"/>
    <cellStyle name="计算 2 11 19 5" xfId="11596"/>
    <cellStyle name="输出 2 8 9 2 9" xfId="11597"/>
    <cellStyle name="输入 2 12 7 5 4 2" xfId="11598"/>
    <cellStyle name="计算 2 2 4 16" xfId="11599"/>
    <cellStyle name="输出 2 11 22 2" xfId="11600"/>
    <cellStyle name="输出 2 11 17 2" xfId="11601"/>
    <cellStyle name="汇总 2 13 2 5" xfId="11602"/>
    <cellStyle name="汇总 2 9 4 8 2" xfId="11603"/>
    <cellStyle name="注释 2 6 9 6 6" xfId="11604"/>
    <cellStyle name="汇总 2 2 3 3" xfId="11605"/>
    <cellStyle name="注释 2 2 11 8 4" xfId="11606"/>
    <cellStyle name="汇总 2 9 3 6 4 2" xfId="11607"/>
    <cellStyle name="输出 2 11 17 3" xfId="11608"/>
    <cellStyle name="汇总 2 13 2 6" xfId="11609"/>
    <cellStyle name="汇总 2 9 4 8 3" xfId="11610"/>
    <cellStyle name="汇总 2 2 3 4" xfId="11611"/>
    <cellStyle name="注释 2 2 11 8 5" xfId="11612"/>
    <cellStyle name="计算 2 12 8 8 2 2" xfId="11613"/>
    <cellStyle name="输出 2 11 17 4" xfId="11614"/>
    <cellStyle name="汇总 2 13 2 7" xfId="11615"/>
    <cellStyle name="汇总 2 9 4 8 4" xfId="11616"/>
    <cellStyle name="汇总 2 6 4 8 2 2" xfId="11617"/>
    <cellStyle name="汇总 2 13 3 3" xfId="11618"/>
    <cellStyle name="注释 2 6 9 7 4" xfId="11619"/>
    <cellStyle name="汇总 2 13 3 4" xfId="11620"/>
    <cellStyle name="注释 2 6 9 7 5" xfId="11621"/>
    <cellStyle name="输出 2 6 7 4 2 2" xfId="11622"/>
    <cellStyle name="检查单元格 2 7 9 3 2" xfId="11623"/>
    <cellStyle name="汇总 2 3 4 2 5 2" xfId="11624"/>
    <cellStyle name="计算 2 8 3 3 2 2" xfId="11625"/>
    <cellStyle name="输入 2 11 7 5" xfId="11626"/>
    <cellStyle name="注释 2 7 2 10 2" xfId="11627"/>
    <cellStyle name="汇总 2 2 4 2" xfId="11628"/>
    <cellStyle name="输出 2 11 23 2" xfId="11629"/>
    <cellStyle name="输出 2 11 18 2" xfId="11630"/>
    <cellStyle name="汇总 2 13 3 5" xfId="11631"/>
    <cellStyle name="汇总 2 9 4 9 2" xfId="11632"/>
    <cellStyle name="注释 2 6 9 7 6" xfId="11633"/>
    <cellStyle name="汇总 2 2 4 3" xfId="11634"/>
    <cellStyle name="输出 2 11 18 3" xfId="11635"/>
    <cellStyle name="汇总 2 13 3 6" xfId="11636"/>
    <cellStyle name="汇总 2 9 3 6 5 2" xfId="11637"/>
    <cellStyle name="汇总 2 6 4 8 3 2" xfId="11638"/>
    <cellStyle name="汇总 2 13 4 3" xfId="11639"/>
    <cellStyle name="注释 2 6 9 8 4" xfId="11640"/>
    <cellStyle name="汇总 2 13 4 4" xfId="11641"/>
    <cellStyle name="注释 2 6 9 8 5" xfId="11642"/>
    <cellStyle name="计算 2 6 10 2 6" xfId="11643"/>
    <cellStyle name="汇总 2 2 5 2" xfId="11644"/>
    <cellStyle name="输出 2 11 19 2" xfId="11645"/>
    <cellStyle name="汇总 2 13 4 5" xfId="11646"/>
    <cellStyle name="汇总 2 6 4 8 4 2" xfId="11647"/>
    <cellStyle name="汇总 2 13 5 3" xfId="11648"/>
    <cellStyle name="汇总 2 13 5 4" xfId="11649"/>
    <cellStyle name="计算 2 6 10 3 6" xfId="11650"/>
    <cellStyle name="汇总 2 2 6 2" xfId="11651"/>
    <cellStyle name="汇总 2 13 5 5" xfId="11652"/>
    <cellStyle name="汇总 2 2 9 2 3 2" xfId="11653"/>
    <cellStyle name="注释 2 11 8 13" xfId="11654"/>
    <cellStyle name="注释 2 4 4 6" xfId="11655"/>
    <cellStyle name="汇总 2 13 6 2 2" xfId="11656"/>
    <cellStyle name="输出 2 8 7 3 5" xfId="11657"/>
    <cellStyle name="汇总 2 2 9 2 4" xfId="11658"/>
    <cellStyle name="输入 2 9 5 8 3 2" xfId="11659"/>
    <cellStyle name="汇总 2 13 6 3" xfId="11660"/>
    <cellStyle name="汇总 2 5 4 2 8" xfId="11661"/>
    <cellStyle name="汇总 2 13 6 3 2" xfId="11662"/>
    <cellStyle name="输出 2 8 7 4 5" xfId="11663"/>
    <cellStyle name="汇总 2 2 9 2 4 2" xfId="11664"/>
    <cellStyle name="注释 2 4 5 6" xfId="11665"/>
    <cellStyle name="计算 2 7 8 3 2" xfId="11666"/>
    <cellStyle name="注释 2 3 2 10" xfId="11667"/>
    <cellStyle name="汇总 2 2 9 2 5" xfId="11668"/>
    <cellStyle name="计算 2 11 3 9 2" xfId="11669"/>
    <cellStyle name="汇总 2 13 6 4" xfId="11670"/>
    <cellStyle name="汇总 2 15 4 2 2" xfId="11671"/>
    <cellStyle name="计算 2 7 8 3 2 2" xfId="11672"/>
    <cellStyle name="注释 2 3 2 10 2" xfId="11673"/>
    <cellStyle name="汇总 2 2 9 2 5 2" xfId="11674"/>
    <cellStyle name="计算 2 12 9 2 4" xfId="11675"/>
    <cellStyle name="注释 2 4 6 6" xfId="11676"/>
    <cellStyle name="汇总 2 13 6 4 2" xfId="11677"/>
    <cellStyle name="输出 2 8 7 5 5" xfId="11678"/>
    <cellStyle name="汇总 2 2 7 2 2" xfId="11679"/>
    <cellStyle name="汇总 2 13 6 5 2" xfId="11680"/>
    <cellStyle name="计算 2 2 10 2 6" xfId="11681"/>
    <cellStyle name="输出 2 8 7 6 5" xfId="11682"/>
    <cellStyle name="汇总 2 2 9 3 3" xfId="11683"/>
    <cellStyle name="输入 2 11 4 4 3 2" xfId="11684"/>
    <cellStyle name="计算 2 2 2 2 5" xfId="11685"/>
    <cellStyle name="汇总 2 13 7 2" xfId="11686"/>
    <cellStyle name="汇总 2 7 2 2 6" xfId="11687"/>
    <cellStyle name="汇总 2 2 9 3 4" xfId="11688"/>
    <cellStyle name="输入 2 9 5 8 4 2" xfId="11689"/>
    <cellStyle name="计算 2 2 2 2 6" xfId="11690"/>
    <cellStyle name="汇总 2 13 7 3" xfId="11691"/>
    <cellStyle name="汇总 2 7 2 2 7" xfId="11692"/>
    <cellStyle name="汇总 2 5 5 2 8" xfId="11693"/>
    <cellStyle name="汇总 2 13 7 3 2" xfId="11694"/>
    <cellStyle name="输出 2 8 8 4 5" xfId="11695"/>
    <cellStyle name="检查单元格 2 2 2 2 3" xfId="11696"/>
    <cellStyle name="注释 2 4 14 3" xfId="11697"/>
    <cellStyle name="汇总 2 2 9 3 4 2" xfId="11698"/>
    <cellStyle name="注释 2 5 5 6" xfId="11699"/>
    <cellStyle name="计算 2 7 8 4 2" xfId="11700"/>
    <cellStyle name="汇总 2 2 9 3 5" xfId="11701"/>
    <cellStyle name="计算 2 2 2 2 7" xfId="11702"/>
    <cellStyle name="汇总 2 13 7 4" xfId="11703"/>
    <cellStyle name="汇总 2 15 4 3 2" xfId="11704"/>
    <cellStyle name="汇总 2 7 2 2 8" xfId="11705"/>
    <cellStyle name="检查单元格 2 2 2 3 3" xfId="11706"/>
    <cellStyle name="计算 2 7 8 4 2 2" xfId="11707"/>
    <cellStyle name="注释 2 4 15 3" xfId="11708"/>
    <cellStyle name="汇总 2 2 9 3 5 2" xfId="11709"/>
    <cellStyle name="计算 2 4 10 2 4" xfId="11710"/>
    <cellStyle name="注释 2 5 6 6" xfId="11711"/>
    <cellStyle name="汇总 2 13 7 4 2" xfId="11712"/>
    <cellStyle name="输出 2 8 8 5 5" xfId="11713"/>
    <cellStyle name="汇总 2 9 10 2 9" xfId="11714"/>
    <cellStyle name="输入 2 6 10 13" xfId="11715"/>
    <cellStyle name="汇总 2 6 6 4 3 2" xfId="11716"/>
    <cellStyle name="输出 2 4 3 4 5 2" xfId="11717"/>
    <cellStyle name="汇总 2 2 8 3" xfId="11718"/>
    <cellStyle name="汇总 2 13 7 6" xfId="11719"/>
    <cellStyle name="汇总 2 2 11 3 3 2" xfId="11720"/>
    <cellStyle name="计算 2 3 10 3 3" xfId="11721"/>
    <cellStyle name="汇总 2 13 8" xfId="11722"/>
    <cellStyle name="汇总 2 2 9 4 3" xfId="11723"/>
    <cellStyle name="输入 2 11 4 4 4 2" xfId="11724"/>
    <cellStyle name="计算 2 2 2 3 5" xfId="11725"/>
    <cellStyle name="汇总 2 13 8 2" xfId="11726"/>
    <cellStyle name="汇总 2 7 2 3 6" xfId="11727"/>
    <cellStyle name="汇总 2 2 9 4 3 2" xfId="11728"/>
    <cellStyle name="注释 2 6 4 6" xfId="11729"/>
    <cellStyle name="计算 2 2 2 3 5 2" xfId="11730"/>
    <cellStyle name="输入 2 11 10 8 3" xfId="11731"/>
    <cellStyle name="汇总 2 13 8 2 2" xfId="11732"/>
    <cellStyle name="输出 2 8 9 3 5" xfId="11733"/>
    <cellStyle name="汇总 2 2 9 4 4" xfId="11734"/>
    <cellStyle name="计算 2 2 2 3 6" xfId="11735"/>
    <cellStyle name="汇总 2 13 8 3" xfId="11736"/>
    <cellStyle name="汇总 2 5 6 2 8" xfId="11737"/>
    <cellStyle name="汇总 2 13 8 3 2" xfId="11738"/>
    <cellStyle name="输出 2 8 9 4 5" xfId="11739"/>
    <cellStyle name="检查单元格 2 2 3 2 3" xfId="11740"/>
    <cellStyle name="汇总 2 2 9 4 4 2" xfId="11741"/>
    <cellStyle name="注释 2 6 5 6" xfId="11742"/>
    <cellStyle name="计算 2 7 8 5 2" xfId="11743"/>
    <cellStyle name="汇总 2 2 9 4 5" xfId="11744"/>
    <cellStyle name="计算 2 11 5 7 2 2" xfId="11745"/>
    <cellStyle name="汇总 2 13 8 4" xfId="11746"/>
    <cellStyle name="汇总 2 15 4 4 2" xfId="11747"/>
    <cellStyle name="汇总 2 3 10 15" xfId="11748"/>
    <cellStyle name="汇总 2 13 8 4 2" xfId="11749"/>
    <cellStyle name="输出 2 8 9 5 5" xfId="11750"/>
    <cellStyle name="检查单元格 2 10 11 4" xfId="11751"/>
    <cellStyle name="输入 2 8 7 3 6" xfId="11752"/>
    <cellStyle name="计算 2 6 10 3 2" xfId="11753"/>
    <cellStyle name="计算 2 2 6" xfId="11754"/>
    <cellStyle name="检查单元格 2 2 3 3 3" xfId="11755"/>
    <cellStyle name="计算 2 7 8 5 2 2" xfId="11756"/>
    <cellStyle name="汇总 2 2 9 4 5 2" xfId="11757"/>
    <cellStyle name="计算 2 4 11 2 4" xfId="11758"/>
    <cellStyle name="注释 2 6 6 6" xfId="11759"/>
    <cellStyle name="输出 2 5 4 3 2" xfId="11760"/>
    <cellStyle name="汇总 2 13 9" xfId="11761"/>
    <cellStyle name="汇总 2 2 9 5 3" xfId="11762"/>
    <cellStyle name="输入 2 11 4 4 5 2" xfId="11763"/>
    <cellStyle name="计算 2 2 2 4 5" xfId="11764"/>
    <cellStyle name="输出 2 5 4 3 2 2" xfId="11765"/>
    <cellStyle name="汇总 2 7 2 4 6" xfId="11766"/>
    <cellStyle name="汇总 2 13 9 2" xfId="11767"/>
    <cellStyle name="输出 2 14 10" xfId="11768"/>
    <cellStyle name="汇总 2 14 11 2" xfId="11769"/>
    <cellStyle name="计算 2 6 8 9" xfId="11770"/>
    <cellStyle name="输出 2 10 9 5 3" xfId="11771"/>
    <cellStyle name="计算 2 11 4 7 6" xfId="11772"/>
    <cellStyle name="输出 2 5 4 11 2" xfId="11773"/>
    <cellStyle name="汇总 2 6 5 5 2 2" xfId="11774"/>
    <cellStyle name="汇总 2 14 12" xfId="11775"/>
    <cellStyle name="计算 2 7 9 2 6" xfId="11776"/>
    <cellStyle name="汇总 2 14 12 2" xfId="11777"/>
    <cellStyle name="计算 2 6 9 9" xfId="11778"/>
    <cellStyle name="汇总 2 2 5 8 4 2" xfId="11779"/>
    <cellStyle name="注释 2 7 19" xfId="11780"/>
    <cellStyle name="注释 2 7 24" xfId="11781"/>
    <cellStyle name="汇总 2 14 13" xfId="11782"/>
    <cellStyle name="汇总 2 14 14" xfId="11783"/>
    <cellStyle name="注释 2 2 19 2" xfId="11784"/>
    <cellStyle name="汇总 2 14 15" xfId="11785"/>
    <cellStyle name="输入 2 2 6 2 5 2" xfId="11786"/>
    <cellStyle name="注释 2 2 19 3" xfId="11787"/>
    <cellStyle name="输出 2 2 8 4 4 2" xfId="11788"/>
    <cellStyle name="检查单元格 2 9 6 5" xfId="11789"/>
    <cellStyle name="计算 2 4 4 3 4 2" xfId="11790"/>
    <cellStyle name="输入 2 3 3 8 3" xfId="11791"/>
    <cellStyle name="输出 2 11 5 4 2" xfId="11792"/>
    <cellStyle name="汇总 2 14 16" xfId="11793"/>
    <cellStyle name="注释 2 2 19 4" xfId="11794"/>
    <cellStyle name="汇总 2 14 2 2" xfId="11795"/>
    <cellStyle name="输入 2 6 3 7 5 2" xfId="11796"/>
    <cellStyle name="计算 2 10 11 3 3 2" xfId="11797"/>
    <cellStyle name="汇总 2 14 3 3" xfId="11798"/>
    <cellStyle name="汇总 2 14 3 4" xfId="11799"/>
    <cellStyle name="汇总 2 14 3 5" xfId="11800"/>
    <cellStyle name="汇总 2 9 5 9 2" xfId="11801"/>
    <cellStyle name="汇总 2 14 3 6" xfId="11802"/>
    <cellStyle name="汇总 2 9 3 7 5 2" xfId="11803"/>
    <cellStyle name="汇总 2 14 4 6" xfId="11804"/>
    <cellStyle name="计算 2 10 3 10" xfId="11805"/>
    <cellStyle name="汇总 2 14 5 3" xfId="11806"/>
    <cellStyle name="汇总 2 14 5 4" xfId="11807"/>
    <cellStyle name="汇总 2 14 5 5" xfId="11808"/>
    <cellStyle name="汇总 2 14 5 6" xfId="11809"/>
    <cellStyle name="汇总 2 14 6 2" xfId="11810"/>
    <cellStyle name="输出 2 8 10 10" xfId="11811"/>
    <cellStyle name="汇总 2 14 6 2 2" xfId="11812"/>
    <cellStyle name="输出 2 8 10 10 2" xfId="11813"/>
    <cellStyle name="输出 2 9 7 3 5" xfId="11814"/>
    <cellStyle name="汇总 2 14 6 3" xfId="11815"/>
    <cellStyle name="输出 2 8 10 11" xfId="11816"/>
    <cellStyle name="汇总 2 6 4 2 8" xfId="11817"/>
    <cellStyle name="汇总 2 14 6 3 2" xfId="11818"/>
    <cellStyle name="输出 2 8 10 11 2" xfId="11819"/>
    <cellStyle name="输出 2 9 7 4 5" xfId="11820"/>
    <cellStyle name="汇总 2 14 6 4" xfId="11821"/>
    <cellStyle name="输出 2 8 10 12" xfId="11822"/>
    <cellStyle name="汇总 2 15 5 2 2" xfId="11823"/>
    <cellStyle name="计算 2 7 9 3 2" xfId="11824"/>
    <cellStyle name="注释 2 3 7 10" xfId="11825"/>
    <cellStyle name="汇总 2 2 2 10 2" xfId="11826"/>
    <cellStyle name="计算 2 11 4 9 2" xfId="11827"/>
    <cellStyle name="汇总 2 14 6 4 2" xfId="11828"/>
    <cellStyle name="输出 2 8 10 12 2" xfId="11829"/>
    <cellStyle name="输出 2 9 7 5 5" xfId="11830"/>
    <cellStyle name="汇总 2 14 6 5 2" xfId="11831"/>
    <cellStyle name="输出 2 9 7 6 5" xfId="11832"/>
    <cellStyle name="汇总 2 14 6 6" xfId="11833"/>
    <cellStyle name="输出 2 8 10 14" xfId="11834"/>
    <cellStyle name="汇总 2 14 7 2" xfId="11835"/>
    <cellStyle name="计算 2 10 10 6" xfId="11836"/>
    <cellStyle name="汇总 2 7 3 2 6" xfId="11837"/>
    <cellStyle name="汇总 2 14 7 2 2" xfId="11838"/>
    <cellStyle name="计算 2 10 10 6 2" xfId="11839"/>
    <cellStyle name="输出 2 9 8 3 5" xfId="11840"/>
    <cellStyle name="汇总 2 14 7 3" xfId="11841"/>
    <cellStyle name="计算 2 10 10 7" xfId="11842"/>
    <cellStyle name="汇总 2 7 3 2 7" xfId="11843"/>
    <cellStyle name="输出 2 12 2 10" xfId="11844"/>
    <cellStyle name="汇总 2 5 4 13" xfId="11845"/>
    <cellStyle name="汇总 2 6 5 2 8" xfId="11846"/>
    <cellStyle name="汇总 2 14 7 3 2" xfId="11847"/>
    <cellStyle name="计算 2 10 10 7 2" xfId="11848"/>
    <cellStyle name="输出 2 9 8 4 5" xfId="11849"/>
    <cellStyle name="汇总 2 14 8 2 2" xfId="11850"/>
    <cellStyle name="计算 2 10 11 6 2" xfId="11851"/>
    <cellStyle name="输出 2 9 9 3 5" xfId="11852"/>
    <cellStyle name="输出 2 12 7 10" xfId="11853"/>
    <cellStyle name="汇总 2 5 9 13" xfId="11854"/>
    <cellStyle name="汇总 2 6 6 2 8" xfId="11855"/>
    <cellStyle name="汇总 2 14 8 3 2" xfId="11856"/>
    <cellStyle name="计算 2 10 11 7 2" xfId="11857"/>
    <cellStyle name="输出 2 9 9 4 5" xfId="11858"/>
    <cellStyle name="汇总 2 4 10 15" xfId="11859"/>
    <cellStyle name="输入 2 7 5 5" xfId="11860"/>
    <cellStyle name="汇总 2 14 8 4 2" xfId="11861"/>
    <cellStyle name="计算 2 10 11 8 2" xfId="11862"/>
    <cellStyle name="输出 2 9 9 5 5" xfId="11863"/>
    <cellStyle name="输出 2 5 4 4 2" xfId="11864"/>
    <cellStyle name="汇总 2 14 9" xfId="11865"/>
    <cellStyle name="输出 2 5 4 4 2 2" xfId="11866"/>
    <cellStyle name="汇总 2 7 3 4 6" xfId="11867"/>
    <cellStyle name="汇总 2 14 9 2" xfId="11868"/>
    <cellStyle name="计算 2 10 12 6" xfId="11869"/>
    <cellStyle name="汇总 2 5 7 7 5 2" xfId="11870"/>
    <cellStyle name="汇总 2 20" xfId="11871"/>
    <cellStyle name="汇总 2 15" xfId="11872"/>
    <cellStyle name="汇总 2 3 6 4 2" xfId="11873"/>
    <cellStyle name="输出 2 6 2 13" xfId="11874"/>
    <cellStyle name="汇总 2 15 10" xfId="11875"/>
    <cellStyle name="输出 2 6 2 14" xfId="11876"/>
    <cellStyle name="注释 2 6 2 6 4 2" xfId="11877"/>
    <cellStyle name="汇总 2 15 11" xfId="11878"/>
    <cellStyle name="检查单元格 2 5 6 5 3 2" xfId="11879"/>
    <cellStyle name="输入 2 2 10 6 5" xfId="11880"/>
    <cellStyle name="汇总 2 3 6 4 3" xfId="11881"/>
    <cellStyle name="汇总 2 8 3 12 2" xfId="11882"/>
    <cellStyle name="汇总 2 15 11 2" xfId="11883"/>
    <cellStyle name="汇总 2 3 6 4 3 2" xfId="11884"/>
    <cellStyle name="计算 2 11 9 7 6" xfId="11885"/>
    <cellStyle name="输入 2 2 10 6 5 2" xfId="11886"/>
    <cellStyle name="汇总 2 3 6 4 4" xfId="11887"/>
    <cellStyle name="输入 2 9 6 5 5 2" xfId="11888"/>
    <cellStyle name="输出 2 6 2 15" xfId="11889"/>
    <cellStyle name="输出 2 9 8 7 4 2" xfId="11890"/>
    <cellStyle name="汇总 2 15 12" xfId="11891"/>
    <cellStyle name="输入 2 6 7 4 2" xfId="11892"/>
    <cellStyle name="汇总 2 3 6 4 4 2" xfId="11893"/>
    <cellStyle name="汇总 2 15 12 2" xfId="11894"/>
    <cellStyle name="输入 2 6 7 4 2 2" xfId="11895"/>
    <cellStyle name="输出 2 6 9 6 2" xfId="11896"/>
    <cellStyle name="汇总 2 3 6 4 5" xfId="11897"/>
    <cellStyle name="计算 2 8 5 5 2" xfId="11898"/>
    <cellStyle name="输出 2 6 2 16" xfId="11899"/>
    <cellStyle name="汇总 2 15 13" xfId="11900"/>
    <cellStyle name="计算 2 11 6 4 2 2" xfId="11901"/>
    <cellStyle name="输入 2 6 7 4 3" xfId="11902"/>
    <cellStyle name="输出 2 6 9 6 3" xfId="11903"/>
    <cellStyle name="汇总 2 3 6 4 6" xfId="11904"/>
    <cellStyle name="计算 2 8 5 5 3" xfId="11905"/>
    <cellStyle name="汇总 2 15 14" xfId="11906"/>
    <cellStyle name="输入 2 6 7 4 4" xfId="11907"/>
    <cellStyle name="注释 2 4 8 5 4 2" xfId="11908"/>
    <cellStyle name="汇总 2 15 15" xfId="11909"/>
    <cellStyle name="输入 2 6 7 4 5" xfId="11910"/>
    <cellStyle name="汇总 2 20 2" xfId="11911"/>
    <cellStyle name="汇总 2 15 2" xfId="11912"/>
    <cellStyle name="输入 2 6 3 8 5" xfId="11913"/>
    <cellStyle name="输入 2 6 7 10" xfId="11914"/>
    <cellStyle name="计算 2 10 11 4 3" xfId="11915"/>
    <cellStyle name="汇总 2 15 2 2" xfId="11916"/>
    <cellStyle name="输入 2 6 7 10 2" xfId="11917"/>
    <cellStyle name="计算 2 10 11 4 3 2" xfId="11918"/>
    <cellStyle name="注释 2 18 5" xfId="11919"/>
    <cellStyle name="汇总 2 15 2 4" xfId="11920"/>
    <cellStyle name="汇总 2 15 2 5" xfId="11921"/>
    <cellStyle name="汇总 2 9 6 8 2" xfId="11922"/>
    <cellStyle name="汇总 2 15 3 2" xfId="11923"/>
    <cellStyle name="输入 2 6 7 11 2" xfId="11924"/>
    <cellStyle name="计算 2 10 11 4 4 2" xfId="11925"/>
    <cellStyle name="汇总 2 15 3 3" xfId="11926"/>
    <cellStyle name="汇总 2 15 3 4" xfId="11927"/>
    <cellStyle name="汇总 2 15 3 5" xfId="11928"/>
    <cellStyle name="汇总 2 9 6 9 2" xfId="11929"/>
    <cellStyle name="汇总 2 5 9 2 4 2" xfId="11930"/>
    <cellStyle name="计算 2 10 11 4 5" xfId="11931"/>
    <cellStyle name="输出 2 9 11 5 5 2" xfId="11932"/>
    <cellStyle name="汇总 2 15 4" xfId="11933"/>
    <cellStyle name="输入 2 6 7 12" xfId="11934"/>
    <cellStyle name="汇总 2 15 4 2" xfId="11935"/>
    <cellStyle name="输入 2 6 7 12 2" xfId="11936"/>
    <cellStyle name="计算 2 10 11 4 5 2" xfId="11937"/>
    <cellStyle name="汇总 2 15 4 3" xfId="11938"/>
    <cellStyle name="汇总 2 15 4 4" xfId="11939"/>
    <cellStyle name="汇总 2 15 4 5" xfId="11940"/>
    <cellStyle name="计算 2 7 8 6 2" xfId="11941"/>
    <cellStyle name="汇总 2 2 9 5 5" xfId="11942"/>
    <cellStyle name="计算 2 11 5 7 3 2" xfId="11943"/>
    <cellStyle name="汇总 2 15 4 5 2" xfId="11944"/>
    <cellStyle name="汇总 2 3 5 2 3 2" xfId="11945"/>
    <cellStyle name="计算 2 10 7 7 6" xfId="11946"/>
    <cellStyle name="汇总 2 15 5" xfId="11947"/>
    <cellStyle name="输入 2 6 7 13" xfId="11948"/>
    <cellStyle name="计算 2 10 11 4 6" xfId="11949"/>
    <cellStyle name="输入 2 12 8 5 3 2" xfId="11950"/>
    <cellStyle name="汇总 2 15 5 2" xfId="11951"/>
    <cellStyle name="计算 2 7 9 3" xfId="11952"/>
    <cellStyle name="汇总 2 2 2 10" xfId="11953"/>
    <cellStyle name="注释 2 9 5 2 3 2" xfId="11954"/>
    <cellStyle name="计算 2 11 4 9" xfId="11955"/>
    <cellStyle name="汇总 2 15 5 3" xfId="11956"/>
    <cellStyle name="计算 2 7 9 4" xfId="11957"/>
    <cellStyle name="汇总 2 2 2 11" xfId="11958"/>
    <cellStyle name="汇总 2 15 5 4" xfId="11959"/>
    <cellStyle name="计算 2 7 9 5" xfId="11960"/>
    <cellStyle name="汇总 2 2 2 12" xfId="11961"/>
    <cellStyle name="计算 2 11 5 8 2" xfId="11962"/>
    <cellStyle name="汇总 2 15 5 5" xfId="11963"/>
    <cellStyle name="计算 2 7 9 6" xfId="11964"/>
    <cellStyle name="汇总 2 2 2 13" xfId="11965"/>
    <cellStyle name="输出 2 6 10 4 4 2" xfId="11966"/>
    <cellStyle name="计算 2 11 5 8 3" xfId="11967"/>
    <cellStyle name="汇总 2 15 5 5 2" xfId="11968"/>
    <cellStyle name="计算 2 10 12 8" xfId="11969"/>
    <cellStyle name="汇总 2 4 2 10 2" xfId="11970"/>
    <cellStyle name="汇总 2 15 5 6" xfId="11971"/>
    <cellStyle name="输出 2 10 7 3 5 2" xfId="11972"/>
    <cellStyle name="计算 2 7 9 7" xfId="11973"/>
    <cellStyle name="汇总 2 2 2 14" xfId="11974"/>
    <cellStyle name="计算 2 11 5 8 4" xfId="11975"/>
    <cellStyle name="汇总 2 15 6" xfId="11976"/>
    <cellStyle name="输入 2 6 7 14" xfId="11977"/>
    <cellStyle name="汇总 2 15 6 2" xfId="11978"/>
    <cellStyle name="汇总 2 15 6 2 2" xfId="11979"/>
    <cellStyle name="汇总 2 15 6 4" xfId="11980"/>
    <cellStyle name="汇总 2 15 6 3" xfId="11981"/>
    <cellStyle name="汇总 2 15 6 3 2" xfId="11982"/>
    <cellStyle name="汇总 2 7 4 2 8" xfId="11983"/>
    <cellStyle name="汇总 2 15 7 4" xfId="11984"/>
    <cellStyle name="汇总 2 15 6 4 2" xfId="11985"/>
    <cellStyle name="汇总 2 15 8 4" xfId="11986"/>
    <cellStyle name="汇总 2 15 6 5 2" xfId="11987"/>
    <cellStyle name="汇总 2 4 2 11 2" xfId="11988"/>
    <cellStyle name="汇总 2 15 6 6" xfId="11989"/>
    <cellStyle name="汇总 2 15 7 2" xfId="11990"/>
    <cellStyle name="汇总 2 7 4 2 6" xfId="11991"/>
    <cellStyle name="汇总 2 15 7 2 2" xfId="11992"/>
    <cellStyle name="汇总 2 16 6 4" xfId="11993"/>
    <cellStyle name="汇总 2 5 10 2 2 2" xfId="11994"/>
    <cellStyle name="输入 2 8 7 16" xfId="11995"/>
    <cellStyle name="计算 2 11" xfId="11996"/>
    <cellStyle name="计算 2 2 4 2 6" xfId="11997"/>
    <cellStyle name="汇总 2 15 7 3" xfId="11998"/>
    <cellStyle name="汇总 2 7 4 2 7" xfId="11999"/>
    <cellStyle name="汇总 2 15 7 3 2" xfId="12000"/>
    <cellStyle name="汇总 2 7 5 2 8" xfId="12001"/>
    <cellStyle name="汇总 2 16 7 4" xfId="12002"/>
    <cellStyle name="汇总 2 15 7 4 2" xfId="12003"/>
    <cellStyle name="汇总 2 16 8 4" xfId="12004"/>
    <cellStyle name="汇总 2 15 7 5 2" xfId="12005"/>
    <cellStyle name="汇总 2 4 2 12 2" xfId="12006"/>
    <cellStyle name="汇总 2 15 7 6" xfId="12007"/>
    <cellStyle name="汇总 2 15 8 2" xfId="12008"/>
    <cellStyle name="汇总 2 7 4 3 6" xfId="12009"/>
    <cellStyle name="汇总 2 5 10 2 3 2" xfId="12010"/>
    <cellStyle name="注释 2 2 8 3 2 2" xfId="12011"/>
    <cellStyle name="输出 2 2 2 15" xfId="12012"/>
    <cellStyle name="计算 2 2 4 3 6" xfId="12013"/>
    <cellStyle name="汇总 2 15 8 3" xfId="12014"/>
    <cellStyle name="输出 2 5 4 5 2 2" xfId="12015"/>
    <cellStyle name="汇总 2 7 4 4 6" xfId="12016"/>
    <cellStyle name="汇总 2 15 9 2" xfId="12017"/>
    <cellStyle name="检查单元格 2 10 6 9" xfId="12018"/>
    <cellStyle name="汇总 2 3 3 7 4 2" xfId="12019"/>
    <cellStyle name="汇总 2 21" xfId="12020"/>
    <cellStyle name="汇总 2 16" xfId="12021"/>
    <cellStyle name="输出 2 4 10 5 6" xfId="12022"/>
    <cellStyle name="汇总 2 8 11 3 2" xfId="12023"/>
    <cellStyle name="汇总 2 6 10 9" xfId="12024"/>
    <cellStyle name="汇总 2 3 6 9 2" xfId="12025"/>
    <cellStyle name="输出 2 6 3 13" xfId="12026"/>
    <cellStyle name="输出 2 12 5 3 4 2" xfId="12027"/>
    <cellStyle name="汇总 2 16 10" xfId="12028"/>
    <cellStyle name="汇总 2 6 10 9 2" xfId="12029"/>
    <cellStyle name="汇总 2 16 10 2" xfId="12030"/>
    <cellStyle name="汇总 2 4 11 8 4" xfId="12031"/>
    <cellStyle name="输出 2 6 3 14" xfId="12032"/>
    <cellStyle name="汇总 2 16 11" xfId="12033"/>
    <cellStyle name="汇总 2 16 11 2" xfId="12034"/>
    <cellStyle name="输出 2 6 3 15" xfId="12035"/>
    <cellStyle name="汇总 2 16 12" xfId="12036"/>
    <cellStyle name="输入 2 6 7 9 2" xfId="12037"/>
    <cellStyle name="汇总 2 16 12 2" xfId="12038"/>
    <cellStyle name="汇总 2 16 14" xfId="12039"/>
    <cellStyle name="汇总 2 7 3 7 5 2" xfId="12040"/>
    <cellStyle name="计算 2 10 15 5 2" xfId="12041"/>
    <cellStyle name="汇总 2 16 15" xfId="12042"/>
    <cellStyle name="汇总 2 8 11 7 2 2" xfId="12043"/>
    <cellStyle name="汇总 2 8 11 3 2 2" xfId="12044"/>
    <cellStyle name="计算 2 7 4 13" xfId="12045"/>
    <cellStyle name="汇总 2 16 2" xfId="12046"/>
    <cellStyle name="输入 2 7 2 6" xfId="12047"/>
    <cellStyle name="计算 2 10 11 5 3" xfId="12048"/>
    <cellStyle name="输出 2 9 9 2 6" xfId="12049"/>
    <cellStyle name="汇总 2 16 2 2" xfId="12050"/>
    <cellStyle name="输入 2 7 2 6 2" xfId="12051"/>
    <cellStyle name="计算 2 10 11 5 3 2" xfId="12052"/>
    <cellStyle name="计算 2 8 6 3 2" xfId="12053"/>
    <cellStyle name="汇总 2 3 7 2 5" xfId="12054"/>
    <cellStyle name="汇总 2 16 2 2 2" xfId="12055"/>
    <cellStyle name="输入 2 7 2 6 2 2" xfId="12056"/>
    <cellStyle name="计算 2 8 6 4 2" xfId="12057"/>
    <cellStyle name="汇总 2 3 7 3 5" xfId="12058"/>
    <cellStyle name="汇总 2 16 2 3 2" xfId="12059"/>
    <cellStyle name="输入 2 7 2 6 3 2" xfId="12060"/>
    <cellStyle name="汇总 2 16 2 4" xfId="12061"/>
    <cellStyle name="汇总 2 7 4 2 2 2" xfId="12062"/>
    <cellStyle name="输入 2 7 2 6 4" xfId="12063"/>
    <cellStyle name="计算 2 8 6 5 2" xfId="12064"/>
    <cellStyle name="汇总 2 3 7 4 5" xfId="12065"/>
    <cellStyle name="输出 2 6 7 16" xfId="12066"/>
    <cellStyle name="计算 2 8 3 11" xfId="12067"/>
    <cellStyle name="计算 2 11 6 5 2 2" xfId="12068"/>
    <cellStyle name="输入 2 6 8 4 3" xfId="12069"/>
    <cellStyle name="汇总 2 16 2 4 2" xfId="12070"/>
    <cellStyle name="输入 2 7 2 6 4 2" xfId="12071"/>
    <cellStyle name="汇总 2 16 2 5" xfId="12072"/>
    <cellStyle name="汇总 2 9 7 8 2" xfId="12073"/>
    <cellStyle name="输入 2 7 2 6 5" xfId="12074"/>
    <cellStyle name="计算 2 8 6 6 2" xfId="12075"/>
    <cellStyle name="汇总 2 3 7 5 5" xfId="12076"/>
    <cellStyle name="输入 2 2 9 7 2 2" xfId="12077"/>
    <cellStyle name="计算 2 11 6 5 3 2" xfId="12078"/>
    <cellStyle name="输入 2 6 8 5 3" xfId="12079"/>
    <cellStyle name="汇总 2 16 2 5 2" xfId="12080"/>
    <cellStyle name="汇总 2 9 7 8 2 2" xfId="12081"/>
    <cellStyle name="输入 2 7 2 6 5 2" xfId="12082"/>
    <cellStyle name="计算 2 7 4 14" xfId="12083"/>
    <cellStyle name="汇总 2 16 3" xfId="12084"/>
    <cellStyle name="输入 2 7 2 7" xfId="12085"/>
    <cellStyle name="计算 2 10 11 5 4" xfId="12086"/>
    <cellStyle name="输出 2 9 9 2 7" xfId="12087"/>
    <cellStyle name="注释 2 5 6 3 2 2" xfId="12088"/>
    <cellStyle name="汇总 2 16 3 2" xfId="12089"/>
    <cellStyle name="输入 2 7 2 7 2" xfId="12090"/>
    <cellStyle name="计算 2 10 11 5 4 2" xfId="12091"/>
    <cellStyle name="计算 2 8 7 3 2" xfId="12092"/>
    <cellStyle name="汇总 2 3 8 2 5" xfId="12093"/>
    <cellStyle name="计算 2 12 2 9 2" xfId="12094"/>
    <cellStyle name="汇总 2 16 3 2 2" xfId="12095"/>
    <cellStyle name="输入 2 7 2 7 2 2" xfId="12096"/>
    <cellStyle name="汇总 2 16 3 3" xfId="12097"/>
    <cellStyle name="计算 2 4 8 2 3 2" xfId="12098"/>
    <cellStyle name="输入 2 7 2 7 3" xfId="12099"/>
    <cellStyle name="输出 2 2 20" xfId="12100"/>
    <cellStyle name="输出 2 2 15" xfId="12101"/>
    <cellStyle name="汇总 2 3 8 3 5" xfId="12102"/>
    <cellStyle name="计算 2 8 7 4 2" xfId="12103"/>
    <cellStyle name="计算 2 12 3 16" xfId="12104"/>
    <cellStyle name="计算 2 4 2 10 2" xfId="12105"/>
    <cellStyle name="汇总 2 16 3 3 2" xfId="12106"/>
    <cellStyle name="输入 2 7 2 7 3 2" xfId="12107"/>
    <cellStyle name="汇总 2 16 3 4" xfId="12108"/>
    <cellStyle name="汇总 2 7 4 2 3 2" xfId="12109"/>
    <cellStyle name="输入 2 7 2 7 4" xfId="12110"/>
    <cellStyle name="计算 2 8 7 5 2" xfId="12111"/>
    <cellStyle name="汇总 2 3 8 4 5" xfId="12112"/>
    <cellStyle name="计算 2 8 8 11" xfId="12113"/>
    <cellStyle name="计算 2 11 6 6 2 2" xfId="12114"/>
    <cellStyle name="输入 2 6 10 8 3" xfId="12115"/>
    <cellStyle name="输入 2 6 9 4 3" xfId="12116"/>
    <cellStyle name="计算 2 4 2 11 2" xfId="12117"/>
    <cellStyle name="汇总 2 16 3 4 2" xfId="12118"/>
    <cellStyle name="输入 2 7 2 7 4 2" xfId="12119"/>
    <cellStyle name="汇总 2 16 3 5" xfId="12120"/>
    <cellStyle name="汇总 2 9 7 9 2" xfId="12121"/>
    <cellStyle name="输入 2 7 2 7 5" xfId="12122"/>
    <cellStyle name="计算 2 8 7 6 2" xfId="12123"/>
    <cellStyle name="汇总 2 3 8 5 5" xfId="12124"/>
    <cellStyle name="输入 2 2 9 8 2 2" xfId="12125"/>
    <cellStyle name="计算 2 11 6 6 3 2" xfId="12126"/>
    <cellStyle name="输入 2 6 9 5 3" xfId="12127"/>
    <cellStyle name="计算 2 4 2 12 2" xfId="12128"/>
    <cellStyle name="汇总 2 16 3 5 2" xfId="12129"/>
    <cellStyle name="输入 2 7 2 7 5 2" xfId="12130"/>
    <cellStyle name="计算 2 7 4 15" xfId="12131"/>
    <cellStyle name="汇总 2 16 4" xfId="12132"/>
    <cellStyle name="输入 2 7 2 8" xfId="12133"/>
    <cellStyle name="汇总 2 5 9 2 5 2" xfId="12134"/>
    <cellStyle name="计算 2 10 11 5 5" xfId="12135"/>
    <cellStyle name="输出 2 9 9 2 8" xfId="12136"/>
    <cellStyle name="汇总 2 16 4 2" xfId="12137"/>
    <cellStyle name="输入 2 7 2 8 2" xfId="12138"/>
    <cellStyle name="计算 2 10 11 5 5 2" xfId="12139"/>
    <cellStyle name="计算 2 8 8 3 2" xfId="12140"/>
    <cellStyle name="注释 2 8 2 10" xfId="12141"/>
    <cellStyle name="汇总 2 3 9 2 5" xfId="12142"/>
    <cellStyle name="计算 2 12 3 9 2" xfId="12143"/>
    <cellStyle name="汇总 2 16 4 2 2" xfId="12144"/>
    <cellStyle name="输入 2 7 2 8 2 2" xfId="12145"/>
    <cellStyle name="汇总 2 16 4 3" xfId="12146"/>
    <cellStyle name="计算 2 4 8 2 4 2" xfId="12147"/>
    <cellStyle name="输入 2 7 2 8 3" xfId="12148"/>
    <cellStyle name="输出 2 7 20" xfId="12149"/>
    <cellStyle name="输出 2 7 15" xfId="12150"/>
    <cellStyle name="汇总 2 3 9 3 5" xfId="12151"/>
    <cellStyle name="计算 2 8 8 4 2" xfId="12152"/>
    <cellStyle name="计算 2 12 8 16" xfId="12153"/>
    <cellStyle name="计算 2 3 2 2 7" xfId="12154"/>
    <cellStyle name="输入 2 6 11 7 3" xfId="12155"/>
    <cellStyle name="汇总 2 16 4 3 2" xfId="12156"/>
    <cellStyle name="汇总 2 8 2 2 8" xfId="12157"/>
    <cellStyle name="输入 2 7 2 8 3 2" xfId="12158"/>
    <cellStyle name="汇总 2 16 4 4" xfId="12159"/>
    <cellStyle name="汇总 2 7 4 2 4 2" xfId="12160"/>
    <cellStyle name="输入 2 7 2 8 4" xfId="12161"/>
    <cellStyle name="计算 2 8 8 5 2" xfId="12162"/>
    <cellStyle name="汇总 2 3 9 4 5" xfId="12163"/>
    <cellStyle name="计算 2 11 6 7 2 2" xfId="12164"/>
    <cellStyle name="输入 2 6 11 8 3" xfId="12165"/>
    <cellStyle name="汇总 2 16 4 4 2" xfId="12166"/>
    <cellStyle name="输入 2 7 2 8 4 2" xfId="12167"/>
    <cellStyle name="检查单元格 2 8 9 2 2" xfId="12168"/>
    <cellStyle name="汇总 2 3 5 2 4 2" xfId="12169"/>
    <cellStyle name="计算 2 7 4 16" xfId="12170"/>
    <cellStyle name="汇总 2 16 5" xfId="12171"/>
    <cellStyle name="输入 2 7 2 9" xfId="12172"/>
    <cellStyle name="计算 2 10 11 5 6" xfId="12173"/>
    <cellStyle name="输出 2 9 9 2 9" xfId="12174"/>
    <cellStyle name="输入 2 12 8 5 4 2" xfId="12175"/>
    <cellStyle name="汇总 2 16 5 2" xfId="12176"/>
    <cellStyle name="输入 2 7 2 9 2" xfId="12177"/>
    <cellStyle name="计算 2 8 9 3" xfId="12178"/>
    <cellStyle name="汇总 2 2 7 10" xfId="12179"/>
    <cellStyle name="注释 2 9 5 3 3 2" xfId="12180"/>
    <cellStyle name="计算 2 12 4 9" xfId="12181"/>
    <cellStyle name="输出 2 10 10 6 5" xfId="12182"/>
    <cellStyle name="汇总 2 16 5 2 2" xfId="12183"/>
    <cellStyle name="计算 2 8 9 3 2" xfId="12184"/>
    <cellStyle name="注释 2 8 7 10" xfId="12185"/>
    <cellStyle name="汇总 2 2 7 10 2" xfId="12186"/>
    <cellStyle name="计算 2 12 4 9 2" xfId="12187"/>
    <cellStyle name="汇总 2 3 11 2 2 2" xfId="12188"/>
    <cellStyle name="汇总 2 16 5 3" xfId="12189"/>
    <cellStyle name="计算 2 4 8 2 5 2" xfId="12190"/>
    <cellStyle name="计算 2 8 9 4" xfId="12191"/>
    <cellStyle name="汇总 2 2 7 11" xfId="12192"/>
    <cellStyle name="输出 2 10 10 7 5" xfId="12193"/>
    <cellStyle name="汇总 2 16 5 3 2" xfId="12194"/>
    <cellStyle name="汇总 2 8 3 2 8" xfId="12195"/>
    <cellStyle name="计算 2 8 9 4 2" xfId="12196"/>
    <cellStyle name="汇总 2 2 7 11 2" xfId="12197"/>
    <cellStyle name="计算 2 3 3 2 7" xfId="12198"/>
    <cellStyle name="汇总 2 16 5 4" xfId="12199"/>
    <cellStyle name="汇总 2 7 4 2 5 2" xfId="12200"/>
    <cellStyle name="计算 2 8 9 5" xfId="12201"/>
    <cellStyle name="汇总 2 2 7 12" xfId="12202"/>
    <cellStyle name="计算 2 11 6 8 2" xfId="12203"/>
    <cellStyle name="计算 2 2 4 2 4 2" xfId="12204"/>
    <cellStyle name="输出 2 10 10 8 5" xfId="12205"/>
    <cellStyle name="汇总 2 16 5 4 2" xfId="12206"/>
    <cellStyle name="计算 2 8 9 5 2" xfId="12207"/>
    <cellStyle name="汇总 2 2 7 12 2" xfId="12208"/>
    <cellStyle name="计算 2 11 6 8 2 2" xfId="12209"/>
    <cellStyle name="汇总 2 16 5 5" xfId="12210"/>
    <cellStyle name="计算 2 8 9 6" xfId="12211"/>
    <cellStyle name="汇总 2 2 7 13" xfId="12212"/>
    <cellStyle name="输出 2 6 10 5 4 2" xfId="12213"/>
    <cellStyle name="计算 2 11 6 8 3" xfId="12214"/>
    <cellStyle name="汇总 2 16 5 5 2" xfId="12215"/>
    <cellStyle name="汇总 2 16 6" xfId="12216"/>
    <cellStyle name="汇总 2 16 6 2" xfId="12217"/>
    <cellStyle name="输出 2 10 11 6 5" xfId="12218"/>
    <cellStyle name="汇总 2 16 6 2 2" xfId="12219"/>
    <cellStyle name="汇总 2 3 11 2 3 2" xfId="12220"/>
    <cellStyle name="汇总 2 16 6 3" xfId="12221"/>
    <cellStyle name="输出 2 10 11 7 5" xfId="12222"/>
    <cellStyle name="汇总 2 16 6 3 2" xfId="12223"/>
    <cellStyle name="汇总 2 8 4 2 8" xfId="12224"/>
    <cellStyle name="输出 2 10 11 8 5" xfId="12225"/>
    <cellStyle name="汇总 2 16 6 4 2" xfId="12226"/>
    <cellStyle name="汇总 2 16 6 5 2" xfId="12227"/>
    <cellStyle name="汇总 2 16 6 6" xfId="12228"/>
    <cellStyle name="汇总 2 16 7 2" xfId="12229"/>
    <cellStyle name="汇总 2 7 5 2 6" xfId="12230"/>
    <cellStyle name="汇总 2 16 7 2 2" xfId="12231"/>
    <cellStyle name="输入 2 10 12" xfId="12232"/>
    <cellStyle name="检查单元格 2 4 2 2 2" xfId="12233"/>
    <cellStyle name="汇总 2 5 10 3 2 2" xfId="12234"/>
    <cellStyle name="注释 2 10 3 9" xfId="12235"/>
    <cellStyle name="计算 2 2 5 2 6" xfId="12236"/>
    <cellStyle name="汇总 2 3 11 2 4 2" xfId="12237"/>
    <cellStyle name="汇总 2 7 5 2 7" xfId="12238"/>
    <cellStyle name="汇总 2 16 7 3" xfId="12239"/>
    <cellStyle name="汇总 2 16 7 4 2" xfId="12240"/>
    <cellStyle name="汇总 2 16 7 5 2" xfId="12241"/>
    <cellStyle name="汇总 2 16 7 6" xfId="12242"/>
    <cellStyle name="汇总 2 16 8 2" xfId="12243"/>
    <cellStyle name="汇总 2 7 5 3 6" xfId="12244"/>
    <cellStyle name="汇总 2 16 8 2 2" xfId="12245"/>
    <cellStyle name="检查单元格 2 4 2 3 2" xfId="12246"/>
    <cellStyle name="汇总 2 5 10 3 3 2" xfId="12247"/>
    <cellStyle name="注释 2 10 4 9" xfId="12248"/>
    <cellStyle name="注释 2 2 8 4 2 2" xfId="12249"/>
    <cellStyle name="输出 2 2 7 15" xfId="12250"/>
    <cellStyle name="计算 2 2 5 3 6" xfId="12251"/>
    <cellStyle name="计算 2 4 3 10" xfId="12252"/>
    <cellStyle name="汇总 2 3 11 2 5 2" xfId="12253"/>
    <cellStyle name="汇总 2 16 8 3" xfId="12254"/>
    <cellStyle name="汇总 2 16 8 3 2" xfId="12255"/>
    <cellStyle name="汇总 2 8 6 2 8" xfId="12256"/>
    <cellStyle name="输出 2 5 4 6 2 2" xfId="12257"/>
    <cellStyle name="汇总 2 7 5 4 6" xfId="12258"/>
    <cellStyle name="汇总 2 16 9 2" xfId="12259"/>
    <cellStyle name="输出 2 6 4 13" xfId="12260"/>
    <cellStyle name="汇总 2 17 10" xfId="12261"/>
    <cellStyle name="输入 2 3 2 2 2 2" xfId="12262"/>
    <cellStyle name="检查单元格 2 3 6 7" xfId="12263"/>
    <cellStyle name="汇总 2 17 10 2" xfId="12264"/>
    <cellStyle name="输出 2 6 4 14" xfId="12265"/>
    <cellStyle name="汇总 2 17 11" xfId="12266"/>
    <cellStyle name="计算 2 11 9 8 3 2" xfId="12267"/>
    <cellStyle name="输出 2 6 4 16" xfId="12268"/>
    <cellStyle name="汇总 2 17 13" xfId="12269"/>
    <cellStyle name="输出 2 6 3 2 6" xfId="12270"/>
    <cellStyle name="检查单元格 2 3 7 7" xfId="12271"/>
    <cellStyle name="汇总 2 17 11 2" xfId="12272"/>
    <cellStyle name="汇总 2 8 6 2 4" xfId="12273"/>
    <cellStyle name="输出 2 6 4 15" xfId="12274"/>
    <cellStyle name="汇总 2 17 12" xfId="12275"/>
    <cellStyle name="汇总 2 2 2 5 3 2" xfId="12276"/>
    <cellStyle name="汇总 2 8 6 2 6" xfId="12277"/>
    <cellStyle name="输出 2 11 9 4 2 2" xfId="12278"/>
    <cellStyle name="汇总 2 17 15" xfId="12279"/>
    <cellStyle name="计算 2 12 4 6 5 2" xfId="12280"/>
    <cellStyle name="汇总 2 17 16" xfId="12281"/>
    <cellStyle name="汇总 2 4 2 6 4" xfId="12282"/>
    <cellStyle name="汇总 2 17 2 2" xfId="12283"/>
    <cellStyle name="输入 2 7 3 6 2" xfId="12284"/>
    <cellStyle name="计算 2 10 11 6 3 2" xfId="12285"/>
    <cellStyle name="计算 2 9 6 3 2" xfId="12286"/>
    <cellStyle name="汇总 2 4 7 2 5" xfId="12287"/>
    <cellStyle name="计算 2 5 6 10" xfId="12288"/>
    <cellStyle name="汇总 2 4 2 6 4 2" xfId="12289"/>
    <cellStyle name="汇总 2 17 2 2 2" xfId="12290"/>
    <cellStyle name="输入 2 7 3 6 2 2" xfId="12291"/>
    <cellStyle name="汇总 2 2 3 15" xfId="12292"/>
    <cellStyle name="计算 2 9 6 4 2" xfId="12293"/>
    <cellStyle name="汇总 2 4 7 3 5" xfId="12294"/>
    <cellStyle name="汇总 2 4 2 6 5 2" xfId="12295"/>
    <cellStyle name="输出 2 7 5 8 2 2" xfId="12296"/>
    <cellStyle name="汇总 2 17 2 3 2" xfId="12297"/>
    <cellStyle name="输入 2 7 3 6 3 2" xfId="12298"/>
    <cellStyle name="输出 2 15 5 2 2" xfId="12299"/>
    <cellStyle name="汇总 2 4 2 6 6" xfId="12300"/>
    <cellStyle name="输出 2 7 5 8 3" xfId="12301"/>
    <cellStyle name="汇总 2 17 2 4" xfId="12302"/>
    <cellStyle name="汇总 2 7 4 3 2 2" xfId="12303"/>
    <cellStyle name="输入 2 7 3 6 4" xfId="12304"/>
    <cellStyle name="计算 2 9 6 5 2" xfId="12305"/>
    <cellStyle name="汇总 2 4 7 4 5" xfId="12306"/>
    <cellStyle name="输入 2 2 2 2 8" xfId="12307"/>
    <cellStyle name="计算 2 11 7 5 2 2" xfId="12308"/>
    <cellStyle name="输入 2 7 8 4 3" xfId="12309"/>
    <cellStyle name="汇总 2 17 2 4 2" xfId="12310"/>
    <cellStyle name="输入 2 7 3 6 4 2" xfId="12311"/>
    <cellStyle name="汇总 2 17 2 5" xfId="12312"/>
    <cellStyle name="汇总 2 9 8 8 2" xfId="12313"/>
    <cellStyle name="输入 2 7 3 6 5" xfId="12314"/>
    <cellStyle name="计算 2 9 6 6 2" xfId="12315"/>
    <cellStyle name="汇总 2 4 7 5 5" xfId="12316"/>
    <cellStyle name="计算 2 11 7 5 3 2" xfId="12317"/>
    <cellStyle name="输入 2 7 8 5 3" xfId="12318"/>
    <cellStyle name="汇总 2 17 2 5 2" xfId="12319"/>
    <cellStyle name="汇总 2 9 8 8 2 2" xfId="12320"/>
    <cellStyle name="输入 2 7 3 6 5 2" xfId="12321"/>
    <cellStyle name="汇总 2 17 3" xfId="12322"/>
    <cellStyle name="输入 2 7 3 7" xfId="12323"/>
    <cellStyle name="注释 2 3 10 10 2" xfId="12324"/>
    <cellStyle name="计算 2 10 11 6 4" xfId="12325"/>
    <cellStyle name="注释 2 5 6 3 3 2" xfId="12326"/>
    <cellStyle name="汇总 2 4 2 7 4" xfId="12327"/>
    <cellStyle name="汇总 2 17 3 2" xfId="12328"/>
    <cellStyle name="输入 2 7 3 7 2" xfId="12329"/>
    <cellStyle name="计算 2 10 11 6 4 2" xfId="12330"/>
    <cellStyle name="计算 2 9 7 3 2" xfId="12331"/>
    <cellStyle name="汇总 2 4 8 2 5" xfId="12332"/>
    <cellStyle name="汇总 2 4 2 7 4 2" xfId="12333"/>
    <cellStyle name="汇总 2 17 3 2 2" xfId="12334"/>
    <cellStyle name="输入 2 7 3 7 2 2" xfId="12335"/>
    <cellStyle name="汇总 2 2 8 15" xfId="12336"/>
    <cellStyle name="计算 2 14 5" xfId="12337"/>
    <cellStyle name="计算 2 9 7 4 2" xfId="12338"/>
    <cellStyle name="汇总 2 4 8 3 5" xfId="12339"/>
    <cellStyle name="计算 2 4 7 10 2" xfId="12340"/>
    <cellStyle name="汇总 2 4 2 7 5 2" xfId="12341"/>
    <cellStyle name="汇总 2 17 3 3 2" xfId="12342"/>
    <cellStyle name="输入 2 7 3 7 3 2" xfId="12343"/>
    <cellStyle name="输出 2 15 5 3 2" xfId="12344"/>
    <cellStyle name="汇总 2 4 2 7 6" xfId="12345"/>
    <cellStyle name="检查单元格 2 3 10" xfId="12346"/>
    <cellStyle name="汇总 2 17 3 4" xfId="12347"/>
    <cellStyle name="汇总 2 7 4 3 3 2" xfId="12348"/>
    <cellStyle name="输入 2 7 3 7 4" xfId="12349"/>
    <cellStyle name="计算 2 9 7 5 2" xfId="12350"/>
    <cellStyle name="汇总 2 4 8 4 5" xfId="12351"/>
    <cellStyle name="输入 2 2 3 2 8" xfId="12352"/>
    <cellStyle name="计算 2 11 7 6 2 2" xfId="12353"/>
    <cellStyle name="输入 2 7 9 4 3" xfId="12354"/>
    <cellStyle name="计算 2 4 7 11 2" xfId="12355"/>
    <cellStyle name="检查单元格 2 3 10 2" xfId="12356"/>
    <cellStyle name="汇总 2 17 3 4 2" xfId="12357"/>
    <cellStyle name="输入 2 7 3 7 4 2" xfId="12358"/>
    <cellStyle name="检查单元格 2 3 11" xfId="12359"/>
    <cellStyle name="汇总 2 17 3 5" xfId="12360"/>
    <cellStyle name="汇总 2 9 8 9 2" xfId="12361"/>
    <cellStyle name="输入 2 7 3 7 5" xfId="12362"/>
    <cellStyle name="计算 2 9 7 6 2" xfId="12363"/>
    <cellStyle name="汇总 2 4 8 5 5" xfId="12364"/>
    <cellStyle name="计算 2 11 7 6 3 2" xfId="12365"/>
    <cellStyle name="输入 2 7 9 5 3" xfId="12366"/>
    <cellStyle name="计算 2 4 7 12 2" xfId="12367"/>
    <cellStyle name="检查单元格 2 3 11 2" xfId="12368"/>
    <cellStyle name="汇总 2 17 3 5 2" xfId="12369"/>
    <cellStyle name="输入 2 7 3 7 5 2" xfId="12370"/>
    <cellStyle name="汇总 2 17 4" xfId="12371"/>
    <cellStyle name="输入 2 7 3 8" xfId="12372"/>
    <cellStyle name="计算 2 10 11 6 5" xfId="12373"/>
    <cellStyle name="汇总 2 4 2 8 4" xfId="12374"/>
    <cellStyle name="汇总 2 17 4 2" xfId="12375"/>
    <cellStyle name="输入 2 7 3 8 2" xfId="12376"/>
    <cellStyle name="计算 2 10 11 6 5 2" xfId="12377"/>
    <cellStyle name="计算 2 9 8 3 2" xfId="12378"/>
    <cellStyle name="汇总 2 4 9 2 5" xfId="12379"/>
    <cellStyle name="汇总 2 4 2 8 4 2" xfId="12380"/>
    <cellStyle name="汇总 2 17 4 2 2" xfId="12381"/>
    <cellStyle name="输入 2 7 3 8 2 2" xfId="12382"/>
    <cellStyle name="计算 2 9 8 4 2" xfId="12383"/>
    <cellStyle name="汇总 2 4 9 3 5" xfId="12384"/>
    <cellStyle name="计算 2 4 2 2 7" xfId="12385"/>
    <cellStyle name="汇总 2 17 4 3 2" xfId="12386"/>
    <cellStyle name="汇总 2 9 2 2 8" xfId="12387"/>
    <cellStyle name="输入 2 7 3 8 3 2" xfId="12388"/>
    <cellStyle name="汇总 2 17 4 4" xfId="12389"/>
    <cellStyle name="汇总 2 7 4 3 4 2" xfId="12390"/>
    <cellStyle name="输入 2 7 3 8 4" xfId="12391"/>
    <cellStyle name="计算 2 9 8 5 2" xfId="12392"/>
    <cellStyle name="汇总 2 4 9 4 5" xfId="12393"/>
    <cellStyle name="输入 2 2 4 2 8" xfId="12394"/>
    <cellStyle name="计算 2 11 7 7 2 2" xfId="12395"/>
    <cellStyle name="汇总 2 17 4 4 2" xfId="12396"/>
    <cellStyle name="输入 2 7 3 8 4 2" xfId="12397"/>
    <cellStyle name="汇总 2 17 4 5" xfId="12398"/>
    <cellStyle name="输入 2 7 3 8 5" xfId="12399"/>
    <cellStyle name="计算 2 9 8 6 2" xfId="12400"/>
    <cellStyle name="汇总 2 4 9 5 5" xfId="12401"/>
    <cellStyle name="计算 2 11 7 7 3 2" xfId="12402"/>
    <cellStyle name="汇总 2 17 4 5 2" xfId="12403"/>
    <cellStyle name="输出 2 6 8 4 2 2" xfId="12404"/>
    <cellStyle name="检查单元格 2 8 9 3 2" xfId="12405"/>
    <cellStyle name="汇总 2 3 5 2 5 2" xfId="12406"/>
    <cellStyle name="计算 2 8 4 3 2 2" xfId="12407"/>
    <cellStyle name="注释 2 7 7 10 2" xfId="12408"/>
    <cellStyle name="汇总 2 17 5" xfId="12409"/>
    <cellStyle name="输入 2 7 3 9" xfId="12410"/>
    <cellStyle name="计算 2 10 11 6 6" xfId="12411"/>
    <cellStyle name="输入 2 12 8 5 5 2" xfId="12412"/>
    <cellStyle name="汇总 2 17 5 2" xfId="12413"/>
    <cellStyle name="输入 2 7 3 9 2" xfId="12414"/>
    <cellStyle name="汇总 2 17 5 4" xfId="12415"/>
    <cellStyle name="汇总 2 7 4 3 5 2" xfId="12416"/>
    <cellStyle name="汇总 2 17 5 5" xfId="12417"/>
    <cellStyle name="汇总 2 17 5 6" xfId="12418"/>
    <cellStyle name="汇总 2 17 6" xfId="12419"/>
    <cellStyle name="输入 2 4 2 2 2 2" xfId="12420"/>
    <cellStyle name="汇总 2 17 7 4 2" xfId="12421"/>
    <cellStyle name="汇总 2 17 7 5 2" xfId="12422"/>
    <cellStyle name="汇总 2 17 7 6" xfId="12423"/>
    <cellStyle name="输出 2 12 7 11 2" xfId="12424"/>
    <cellStyle name="汇总 2 4 3 6 4" xfId="12425"/>
    <cellStyle name="汇总 2 3 20" xfId="12426"/>
    <cellStyle name="汇总 2 3 15" xfId="12427"/>
    <cellStyle name="汇总 2 18 2 2" xfId="12428"/>
    <cellStyle name="输入 2 7 4 6 2" xfId="12429"/>
    <cellStyle name="计算 2 10 11 7 3 2" xfId="12430"/>
    <cellStyle name="输出 2 12 7 12 2" xfId="12431"/>
    <cellStyle name="汇总 2 4 3 7 4" xfId="12432"/>
    <cellStyle name="汇总 2 18 3 2" xfId="12433"/>
    <cellStyle name="输入 2 7 4 7 2" xfId="12434"/>
    <cellStyle name="计算 2 10 11 7 4 2" xfId="12435"/>
    <cellStyle name="输出 2 12 7 13" xfId="12436"/>
    <cellStyle name="汇总 2 5 9 16" xfId="12437"/>
    <cellStyle name="汇总 2 18 4" xfId="12438"/>
    <cellStyle name="输入 2 7 4 8" xfId="12439"/>
    <cellStyle name="计算 2 10 11 7 5" xfId="12440"/>
    <cellStyle name="汇总 2 4 3 8 4" xfId="12441"/>
    <cellStyle name="汇总 2 18 4 2" xfId="12442"/>
    <cellStyle name="输入 2 7 4 8 2" xfId="12443"/>
    <cellStyle name="计算 2 10 11 7 5 2" xfId="12444"/>
    <cellStyle name="汇总 2 18 5" xfId="12445"/>
    <cellStyle name="输入 2 7 4 9" xfId="12446"/>
    <cellStyle name="计算 2 10 11 7 6" xfId="12447"/>
    <cellStyle name="汇总 2 2 7 4 2" xfId="12448"/>
    <cellStyle name="汇总 2 2 10" xfId="12449"/>
    <cellStyle name="计算 2 2 10 4 6" xfId="12450"/>
    <cellStyle name="输出 2 8 7 8 5" xfId="12451"/>
    <cellStyle name="检查单元格 2 5 7 5 2 2" xfId="12452"/>
    <cellStyle name="汇总 2 2 10 10" xfId="12453"/>
    <cellStyle name="汇总 2 4 6 3 3" xfId="12454"/>
    <cellStyle name="汇总 2 8 8 11 2" xfId="12455"/>
    <cellStyle name="汇总 2 4 6 3 3 2" xfId="12456"/>
    <cellStyle name="汇总 2 2 10 10 2" xfId="12457"/>
    <cellStyle name="汇总 2 4 6 3 4" xfId="12458"/>
    <cellStyle name="输入 2 9 7 5 4 2" xfId="12459"/>
    <cellStyle name="汇总 2 2 10 11" xfId="12460"/>
    <cellStyle name="汇总 2 4 6 3 4 2" xfId="12461"/>
    <cellStyle name="汇总 2 2 10 11 2" xfId="12462"/>
    <cellStyle name="计算 2 3 4 2 4" xfId="12463"/>
    <cellStyle name="输入 2 7 7 3 2 2" xfId="12464"/>
    <cellStyle name="计算 2 9 5 4 2" xfId="12465"/>
    <cellStyle name="汇总 2 2 10 12" xfId="12466"/>
    <cellStyle name="汇总 2 4 6 3 5" xfId="12467"/>
    <cellStyle name="输出 2 7 9 5 2" xfId="12468"/>
    <cellStyle name="汇总 2 4 2 5 5 2" xfId="12469"/>
    <cellStyle name="输出 2 7 5 7 2 2" xfId="12470"/>
    <cellStyle name="计算 2 9 5 4 2 2" xfId="12471"/>
    <cellStyle name="汇总 2 2 10 12 2" xfId="12472"/>
    <cellStyle name="汇总 2 4 6 3 5 2" xfId="12473"/>
    <cellStyle name="输出 2 7 9 5 2 2" xfId="12474"/>
    <cellStyle name="输出 2 7 2 13" xfId="12475"/>
    <cellStyle name="计算 2 3 4 3 4" xfId="12476"/>
    <cellStyle name="输入 2 7 7 3 3 2" xfId="12477"/>
    <cellStyle name="计算 2 9 5 4 3" xfId="12478"/>
    <cellStyle name="汇总 2 2 10 13" xfId="12479"/>
    <cellStyle name="汇总 2 4 6 3 6" xfId="12480"/>
    <cellStyle name="输出 2 7 9 5 3" xfId="12481"/>
    <cellStyle name="计算 2 9 5 4 4" xfId="12482"/>
    <cellStyle name="汇总 2 2 10 14" xfId="12483"/>
    <cellStyle name="汇总 2 2 7 4 2 2" xfId="12484"/>
    <cellStyle name="检查单元格 2 8 6 4 4" xfId="12485"/>
    <cellStyle name="输出 2 7 9 15" xfId="12486"/>
    <cellStyle name="计算 2 9 5 10" xfId="12487"/>
    <cellStyle name="汇总 2 2 10 2" xfId="12488"/>
    <cellStyle name="计算 2 9 6 3 3" xfId="12489"/>
    <cellStyle name="计算 2 7 10 10" xfId="12490"/>
    <cellStyle name="汇总 2 4 7 2 6" xfId="12491"/>
    <cellStyle name="检查单元格 2 8 6 4 4 2" xfId="12492"/>
    <cellStyle name="计算 2 9 5 10 2" xfId="12493"/>
    <cellStyle name="汇总 2 2 10 2 2" xfId="12494"/>
    <cellStyle name="计算 2 9 6 3 4" xfId="12495"/>
    <cellStyle name="计算 2 7 10 11" xfId="12496"/>
    <cellStyle name="汇总 2 4 7 2 7" xfId="12497"/>
    <cellStyle name="汇总 2 2 10 2 3" xfId="12498"/>
    <cellStyle name="汇总 2 2 10 2 3 2" xfId="12499"/>
    <cellStyle name="汇总 2 9 3 5 5" xfId="12500"/>
    <cellStyle name="输出 2 4 2 5 2 2" xfId="12501"/>
    <cellStyle name="汇总 2 5 15 5 2" xfId="12502"/>
    <cellStyle name="检查单元格 2 9 4 2" xfId="12503"/>
    <cellStyle name="汇总 2 2 10 2 9" xfId="12504"/>
    <cellStyle name="注释 2 12 14 2" xfId="12505"/>
    <cellStyle name="检查单元格 2 8 6 4 5" xfId="12506"/>
    <cellStyle name="输出 2 7 9 16" xfId="12507"/>
    <cellStyle name="计算 2 9 5 11" xfId="12508"/>
    <cellStyle name="汇总 2 2 10 3" xfId="12509"/>
    <cellStyle name="注释 2 9 11 4 5 2" xfId="12510"/>
    <cellStyle name="计算 2 10 5 5 3 2" xfId="12511"/>
    <cellStyle name="注释 2 9 2 5 6" xfId="12512"/>
    <cellStyle name="输出 2 11 5 5 3 2" xfId="12513"/>
    <cellStyle name="汇总 2 2 3 16" xfId="12514"/>
    <cellStyle name="计算 2 9 6 4 3" xfId="12515"/>
    <cellStyle name="汇总 2 4 7 3 6" xfId="12516"/>
    <cellStyle name="检查单元格 2 8 6 4 5 2" xfId="12517"/>
    <cellStyle name="计算 2 9 5 11 2" xfId="12518"/>
    <cellStyle name="汇总 2 2 10 3 2" xfId="12519"/>
    <cellStyle name="汇总 2 2 10 3 3" xfId="12520"/>
    <cellStyle name="输出 2 11 14 5" xfId="12521"/>
    <cellStyle name="汇总 2 9 4 5 5" xfId="12522"/>
    <cellStyle name="汇总 2 2 10 3 3 2" xfId="12523"/>
    <cellStyle name="检查单元格 2 8 6 4 6" xfId="12524"/>
    <cellStyle name="计算 2 9 5 12" xfId="12525"/>
    <cellStyle name="汇总 2 2 10 4" xfId="12526"/>
    <cellStyle name="计算 2 9 6 5 3" xfId="12527"/>
    <cellStyle name="汇总 2 4 7 4 6" xfId="12528"/>
    <cellStyle name="输入 2 2 2 2 9" xfId="12529"/>
    <cellStyle name="计算 2 9 5 12 2" xfId="12530"/>
    <cellStyle name="汇总 2 2 10 4 2" xfId="12531"/>
    <cellStyle name="汇总 2 2 10 4 2 2" xfId="12532"/>
    <cellStyle name="汇总 2 9 5 4 5" xfId="12533"/>
    <cellStyle name="输出 2 10 9 10" xfId="12534"/>
    <cellStyle name="汇总 2 2 10 4 3" xfId="12535"/>
    <cellStyle name="输出 2 10 9 10 2" xfId="12536"/>
    <cellStyle name="汇总 2 9 5 5 5" xfId="12537"/>
    <cellStyle name="计算 2 10 2 12" xfId="12538"/>
    <cellStyle name="汇总 2 2 10 4 3 2" xfId="12539"/>
    <cellStyle name="计算 2 9 5 13" xfId="12540"/>
    <cellStyle name="汇总 2 2 10 5" xfId="12541"/>
    <cellStyle name="计算 2 9 6 6 3" xfId="12542"/>
    <cellStyle name="汇总 2 4 7 5 6" xfId="12543"/>
    <cellStyle name="汇总 2 2 10 5 2" xfId="12544"/>
    <cellStyle name="汇总 2 2 10 5 3" xfId="12545"/>
    <cellStyle name="计算 2 9 5 14" xfId="12546"/>
    <cellStyle name="汇总 2 2 10 6" xfId="12547"/>
    <cellStyle name="计算 2 9 6 7 3" xfId="12548"/>
    <cellStyle name="汇总 2 4 7 6 6" xfId="12549"/>
    <cellStyle name="汇总 2 7 4 8 2 2" xfId="12550"/>
    <cellStyle name="输入 2 7 8 6 4" xfId="12551"/>
    <cellStyle name="汇总 2 2 10 6 2" xfId="12552"/>
    <cellStyle name="汇总 2 2 10 6 3" xfId="12553"/>
    <cellStyle name="输出 2 2 5 7 3 2" xfId="12554"/>
    <cellStyle name="计算 2 9 5 15" xfId="12555"/>
    <cellStyle name="汇总 2 2 10 7" xfId="12556"/>
    <cellStyle name="输出 2 2 3 11" xfId="12557"/>
    <cellStyle name="输入 2 2 3 5 4 2" xfId="12558"/>
    <cellStyle name="计算 2 2 4 8 2" xfId="12559"/>
    <cellStyle name="计算 2 9 6 8 3" xfId="12560"/>
    <cellStyle name="计算 2 7 11 10" xfId="12561"/>
    <cellStyle name="汇总 2 4 7 7 6" xfId="12562"/>
    <cellStyle name="汇总 2 7 4 8 3 2" xfId="12563"/>
    <cellStyle name="输入 2 7 8 7 4" xfId="12564"/>
    <cellStyle name="汇总 2 2 10 7 2" xfId="12565"/>
    <cellStyle name="输出 2 2 3 11 2" xfId="12566"/>
    <cellStyle name="计算 2 5 7 11" xfId="12567"/>
    <cellStyle name="计算 2 2 4 8 2 2" xfId="12568"/>
    <cellStyle name="汇总 2 2 10 7 3" xfId="12569"/>
    <cellStyle name="计算 2 9 5 16" xfId="12570"/>
    <cellStyle name="汇总 2 2 10 8" xfId="12571"/>
    <cellStyle name="输出 2 2 3 12" xfId="12572"/>
    <cellStyle name="计算 2 2 4 8 3" xfId="12573"/>
    <cellStyle name="注释 2 9 8 6 2 2" xfId="12574"/>
    <cellStyle name="汇总 2 6 3 5 3" xfId="12575"/>
    <cellStyle name="计算 2 9 11 2 6" xfId="12576"/>
    <cellStyle name="汇总 2 2 4 16" xfId="12577"/>
    <cellStyle name="汇总 2 2 10 8 2" xfId="12578"/>
    <cellStyle name="输出 2 2 3 12 2" xfId="12579"/>
    <cellStyle name="计算 2 2 4 8 3 2" xfId="12580"/>
    <cellStyle name="输出 2 10 11 4 2 2" xfId="12581"/>
    <cellStyle name="汇总 2 2 10 8 3" xfId="12582"/>
    <cellStyle name="汇总 2 2 10 8 5" xfId="12583"/>
    <cellStyle name="汇总 2 2 10 9 2" xfId="12584"/>
    <cellStyle name="计算 2 2 4 8 4 2" xfId="12585"/>
    <cellStyle name="汇总 2 4 6 8 3" xfId="12586"/>
    <cellStyle name="汇总 2 2 11 10" xfId="12587"/>
    <cellStyle name="汇总 2 4 6 8 3 2" xfId="12588"/>
    <cellStyle name="汇总 2 2 11 10 2" xfId="12589"/>
    <cellStyle name="汇总 2 4 6 8 4" xfId="12590"/>
    <cellStyle name="汇总 2 2 11 11" xfId="12591"/>
    <cellStyle name="汇总 2 4 6 8 4 2" xfId="12592"/>
    <cellStyle name="汇总 2 2 11 11 2" xfId="12593"/>
    <cellStyle name="输出 2 10 3 2 5 2" xfId="12594"/>
    <cellStyle name="计算 2 3 9 2 4" xfId="12595"/>
    <cellStyle name="输入 2 7 7 8 2 2" xfId="12596"/>
    <cellStyle name="汇总 2 2 11 13" xfId="12597"/>
    <cellStyle name="输出 2 10 3 2 7" xfId="12598"/>
    <cellStyle name="汇总 2 7 4 7 4 2" xfId="12599"/>
    <cellStyle name="输入 2 7 7 8 4" xfId="12600"/>
    <cellStyle name="汇总 2 2 11 14" xfId="12601"/>
    <cellStyle name="汇总 2 2 11 2 2 2" xfId="12602"/>
    <cellStyle name="计算 2 9 7 3 4" xfId="12603"/>
    <cellStyle name="汇总 2 4 8 2 7" xfId="12604"/>
    <cellStyle name="汇总 2 2 11 2 3" xfId="12605"/>
    <cellStyle name="汇总 2 2 11 2 3 2" xfId="12606"/>
    <cellStyle name="计算 2 9 7 3 6" xfId="12607"/>
    <cellStyle name="汇总 2 4 8 2 9" xfId="12608"/>
    <cellStyle name="汇总 2 4 10 3 3" xfId="12609"/>
    <cellStyle name="计算 2 12 2 4 2 2" xfId="12610"/>
    <cellStyle name="输入 2 7 16 3" xfId="12611"/>
    <cellStyle name="汇总 2 2 11 2 5" xfId="12612"/>
    <cellStyle name="汇总 2 4 10 3 3 2" xfId="12613"/>
    <cellStyle name="输入 2 3 5 6 5" xfId="12614"/>
    <cellStyle name="输入 2 7 16 3 2" xfId="12615"/>
    <cellStyle name="输出 2 3 7 8 4" xfId="12616"/>
    <cellStyle name="输出 2 11 7 2 3" xfId="12617"/>
    <cellStyle name="输出 2 12 7 7 3 2" xfId="12618"/>
    <cellStyle name="计算 2 5 3 7 4" xfId="12619"/>
    <cellStyle name="计算 2 12 2 4 6" xfId="12620"/>
    <cellStyle name="汇总 2 2 11 2 5 2" xfId="12621"/>
    <cellStyle name="汇总 2 4 10 3 4" xfId="12622"/>
    <cellStyle name="输入 2 7 16 4" xfId="12623"/>
    <cellStyle name="注释 2 5 4 5 4 2" xfId="12624"/>
    <cellStyle name="汇总 2 2 11 2 6" xfId="12625"/>
    <cellStyle name="汇总 2 2 11 3 3" xfId="12626"/>
    <cellStyle name="计算 2 9 7 4 5" xfId="12627"/>
    <cellStyle name="汇总 2 4 10 4 2" xfId="12628"/>
    <cellStyle name="输入 2 7 17 2" xfId="12629"/>
    <cellStyle name="输入 2 7 22 2" xfId="12630"/>
    <cellStyle name="计算 2 7 7 7 2 2" xfId="12631"/>
    <cellStyle name="汇总 2 2 8 6 5 2" xfId="12632"/>
    <cellStyle name="汇总 2 2 11 3 4" xfId="12633"/>
    <cellStyle name="输入 2 5 9 6 3 2" xfId="12634"/>
    <cellStyle name="计算 2 9 7 4 6" xfId="12635"/>
    <cellStyle name="汇总 2 4 10 4 3" xfId="12636"/>
    <cellStyle name="计算 2 12 2 4 3 2" xfId="12637"/>
    <cellStyle name="输入 2 7 17 3" xfId="12638"/>
    <cellStyle name="汇总 2 2 11 3 5" xfId="12639"/>
    <cellStyle name="汇总 2 4 10 4 4" xfId="12640"/>
    <cellStyle name="输入 2 7 17 4" xfId="12641"/>
    <cellStyle name="注释 2 5 4 5 5 2" xfId="12642"/>
    <cellStyle name="汇总 2 2 11 3 6" xfId="12643"/>
    <cellStyle name="输出 2 4 15 3" xfId="12644"/>
    <cellStyle name="计算 2 3 11 2 3" xfId="12645"/>
    <cellStyle name="检查单元格 2 3 10 3 2" xfId="12646"/>
    <cellStyle name="汇总 2 2 11 4 2 2" xfId="12647"/>
    <cellStyle name="检查单元格 2 3 10 4" xfId="12648"/>
    <cellStyle name="汇总 2 2 11 4 3" xfId="12649"/>
    <cellStyle name="输出 2 4 16 3" xfId="12650"/>
    <cellStyle name="计算 2 3 11 3 3" xfId="12651"/>
    <cellStyle name="检查单元格 2 3 10 4 2" xfId="12652"/>
    <cellStyle name="汇总 2 2 11 4 3 2" xfId="12653"/>
    <cellStyle name="输出 2 6 6 10" xfId="12654"/>
    <cellStyle name="计算 2 9 7 5 5" xfId="12655"/>
    <cellStyle name="汇总 2 4 10 5 2" xfId="12656"/>
    <cellStyle name="输入 2 7 18 2" xfId="12657"/>
    <cellStyle name="输入 2 7 23 2" xfId="12658"/>
    <cellStyle name="注释 2 3 10 4 2 2" xfId="12659"/>
    <cellStyle name="检查单元格 2 3 10 5" xfId="12660"/>
    <cellStyle name="汇总 2 2 11 4 4" xfId="12661"/>
    <cellStyle name="输入 2 5 9 6 4 2" xfId="12662"/>
    <cellStyle name="汇总 2 2 2 2 4" xfId="12663"/>
    <cellStyle name="输出 2 6 6 10 2" xfId="12664"/>
    <cellStyle name="计算 2 9 7 5 5 2" xfId="12665"/>
    <cellStyle name="汇总 2 4 10 5 2 2" xfId="12666"/>
    <cellStyle name="输入 2 3 7 5 5" xfId="12667"/>
    <cellStyle name="输入 2 7 18 2 2" xfId="12668"/>
    <cellStyle name="输出 2 3 9 7 4" xfId="12669"/>
    <cellStyle name="计算 2 5 5 6 4" xfId="12670"/>
    <cellStyle name="计算 2 12 4 3 6" xfId="12671"/>
    <cellStyle name="输出 2 4 17 3" xfId="12672"/>
    <cellStyle name="计算 2 3 11 4 3" xfId="12673"/>
    <cellStyle name="检查单元格 2 3 10 5 2" xfId="12674"/>
    <cellStyle name="汇总 2 2 11 4 4 2" xfId="12675"/>
    <cellStyle name="输出 2 6 6 11" xfId="12676"/>
    <cellStyle name="输出 2 3 7 8 2 2" xfId="12677"/>
    <cellStyle name="计算 2 9 7 5 6" xfId="12678"/>
    <cellStyle name="计算 2 5 3 7 2 2" xfId="12679"/>
    <cellStyle name="汇总 2 4 10 5 3" xfId="12680"/>
    <cellStyle name="计算 2 12 2 4 4 2" xfId="12681"/>
    <cellStyle name="输入 2 7 18 3" xfId="12682"/>
    <cellStyle name="检查单元格 2 3 10 6" xfId="12683"/>
    <cellStyle name="汇总 2 2 11 4 5" xfId="12684"/>
    <cellStyle name="汇总 2 2 2 3 4" xfId="12685"/>
    <cellStyle name="输出 2 6 6 11 2" xfId="12686"/>
    <cellStyle name="汇总 2 4 10 5 3 2" xfId="12687"/>
    <cellStyle name="输入 2 3 7 6 5" xfId="12688"/>
    <cellStyle name="输入 2 7 18 3 2" xfId="12689"/>
    <cellStyle name="注释 2 8 6 14" xfId="12690"/>
    <cellStyle name="输出 2 3 9 8 4" xfId="12691"/>
    <cellStyle name="输出 2 11 9 2 3" xfId="12692"/>
    <cellStyle name="计算 2 5 5 7 4" xfId="12693"/>
    <cellStyle name="计算 2 12 4 4 6" xfId="12694"/>
    <cellStyle name="输出 2 4 18 3" xfId="12695"/>
    <cellStyle name="计算 2 3 11 5 3" xfId="12696"/>
    <cellStyle name="输入 2 8 11 2 5" xfId="12697"/>
    <cellStyle name="汇总 2 2 11 4 5 2" xfId="12698"/>
    <cellStyle name="输出 2 6 6 12" xfId="12699"/>
    <cellStyle name="汇总 2 4 10 5 4" xfId="12700"/>
    <cellStyle name="输入 2 7 18 4" xfId="12701"/>
    <cellStyle name="汇总 2 2 11 4 6" xfId="12702"/>
    <cellStyle name="检查单元格 2 3 11 3 2" xfId="12703"/>
    <cellStyle name="汇总 2 2 11 5 2 2" xfId="12704"/>
    <cellStyle name="检查单元格 2 3 11 4" xfId="12705"/>
    <cellStyle name="汇总 2 2 11 5 3" xfId="12706"/>
    <cellStyle name="检查单元格 2 3 11 4 2" xfId="12707"/>
    <cellStyle name="汇总 2 2 11 5 3 2" xfId="12708"/>
    <cellStyle name="计算 2 9 7 6 5" xfId="12709"/>
    <cellStyle name="汇总 2 4 10 6 2" xfId="12710"/>
    <cellStyle name="输入 2 7 19 2" xfId="12711"/>
    <cellStyle name="注释 2 3 10 4 3 2" xfId="12712"/>
    <cellStyle name="检查单元格 2 3 11 5" xfId="12713"/>
    <cellStyle name="汇总 2 2 11 5 4" xfId="12714"/>
    <cellStyle name="输入 2 5 9 6 5 2" xfId="12715"/>
    <cellStyle name="输出 2 3 7 8 3 2" xfId="12716"/>
    <cellStyle name="输出 2 11 7 2 2 2" xfId="12717"/>
    <cellStyle name="计算 2 9 7 6 6" xfId="12718"/>
    <cellStyle name="计算 2 5 3 7 3 2" xfId="12719"/>
    <cellStyle name="汇总 2 4 10 6 3" xfId="12720"/>
    <cellStyle name="计算 2 12 2 4 5 2" xfId="12721"/>
    <cellStyle name="输入 2 7 19 3" xfId="12722"/>
    <cellStyle name="检查单元格 2 3 11 6" xfId="12723"/>
    <cellStyle name="汇总 2 2 11 5 5" xfId="12724"/>
    <cellStyle name="汇总 2 4 10 6 4" xfId="12725"/>
    <cellStyle name="输入 2 7 19 4" xfId="12726"/>
    <cellStyle name="汇总 2 2 11 5 6" xfId="12727"/>
    <cellStyle name="计算 2 9 7 7 3" xfId="12728"/>
    <cellStyle name="汇总 2 4 8 6 6" xfId="12729"/>
    <cellStyle name="检查单元格 2 3 12 3" xfId="12730"/>
    <cellStyle name="汇总 2 2 11 6 2" xfId="12731"/>
    <cellStyle name="检查单元格 2 3 12 3 2" xfId="12732"/>
    <cellStyle name="汇总 2 2 11 6 2 2" xfId="12733"/>
    <cellStyle name="检查单元格 2 3 12 4" xfId="12734"/>
    <cellStyle name="汇总 2 2 11 6 3" xfId="12735"/>
    <cellStyle name="计算 2 9 7 7 5" xfId="12736"/>
    <cellStyle name="汇总 2 4 10 7 2" xfId="12737"/>
    <cellStyle name="注释 2 3 10 4 4 2" xfId="12738"/>
    <cellStyle name="检查单元格 2 3 12 5" xfId="12739"/>
    <cellStyle name="汇总 2 2 11 6 4" xfId="12740"/>
    <cellStyle name="汇总 2 6 4 3 5 2" xfId="12741"/>
    <cellStyle name="输出 2 9 7 5 2 2" xfId="12742"/>
    <cellStyle name="汇总 2 2 4 2 4" xfId="12743"/>
    <cellStyle name="输入 2 9 5 3 3 2" xfId="12744"/>
    <cellStyle name="检查单元格 2 10" xfId="12745"/>
    <cellStyle name="汇总 2 4 10 7 2 2" xfId="12746"/>
    <cellStyle name="汇总 2 7 6 16" xfId="12747"/>
    <cellStyle name="输入 2 3 9 5 5" xfId="12748"/>
    <cellStyle name="计算 2 9 7 7 5 2" xfId="12749"/>
    <cellStyle name="注释 2 10 3 2 6" xfId="12750"/>
    <cellStyle name="计算 2 5 7 6 4" xfId="12751"/>
    <cellStyle name="计算 2 12 6 3 6" xfId="12752"/>
    <cellStyle name="计算 2 10 10 13" xfId="12753"/>
    <cellStyle name="汇总 2 2 11 6 4 2" xfId="12754"/>
    <cellStyle name="输出 2 3 7 8 4 2" xfId="12755"/>
    <cellStyle name="输出 2 11 7 2 3 2" xfId="12756"/>
    <cellStyle name="计算 2 9 7 7 6" xfId="12757"/>
    <cellStyle name="计算 2 5 3 7 4 2" xfId="12758"/>
    <cellStyle name="汇总 2 4 10 7 3" xfId="12759"/>
    <cellStyle name="汇总 2 2 11 6 5" xfId="12760"/>
    <cellStyle name="汇总 2 2 4 3 4" xfId="12761"/>
    <cellStyle name="输入 2 9 5 3 4 2" xfId="12762"/>
    <cellStyle name="汇总 2 4 10 7 3 2" xfId="12763"/>
    <cellStyle name="输入 2 3 9 6 5" xfId="12764"/>
    <cellStyle name="计算 2 5 7 7 4" xfId="12765"/>
    <cellStyle name="计算 2 12 6 4 6" xfId="12766"/>
    <cellStyle name="输入 2 2 11 3 2 2" xfId="12767"/>
    <cellStyle name="汇总 2 2 11 6 5 2" xfId="12768"/>
    <cellStyle name="汇总 2 4 10 7 4" xfId="12769"/>
    <cellStyle name="汇总 2 2 11 6 6" xfId="12770"/>
    <cellStyle name="计算 2 9 7 8 3" xfId="12771"/>
    <cellStyle name="汇总 2 4 8 7 6" xfId="12772"/>
    <cellStyle name="汇总 2 2 11 7 2" xfId="12773"/>
    <cellStyle name="汇总 2 2 11 7 2 2" xfId="12774"/>
    <cellStyle name="汇总 2 2 11 7 3" xfId="12775"/>
    <cellStyle name="汇总 2 2 11 7 3 2" xfId="12776"/>
    <cellStyle name="计算 2 9 7 8 5" xfId="12777"/>
    <cellStyle name="汇总 2 4 10 8 2" xfId="12778"/>
    <cellStyle name="注释 2 3 10 4 5 2" xfId="12779"/>
    <cellStyle name="汇总 2 2 11 7 4" xfId="12780"/>
    <cellStyle name="汇总 2 6 4 4 5 2" xfId="12781"/>
    <cellStyle name="输出 2 9 7 6 2 2" xfId="12782"/>
    <cellStyle name="汇总 2 2 5 2 4" xfId="12783"/>
    <cellStyle name="输入 2 9 5 4 3 2" xfId="12784"/>
    <cellStyle name="汇总 2 4 10 8 2 2" xfId="12785"/>
    <cellStyle name="计算 2 5 8 6 4" xfId="12786"/>
    <cellStyle name="计算 2 12 7 3 6" xfId="12787"/>
    <cellStyle name="注释 2 2 7 8" xfId="12788"/>
    <cellStyle name="汇总 2 2 11 7 4 2" xfId="12789"/>
    <cellStyle name="输出 2 11 7 2 4 2" xfId="12790"/>
    <cellStyle name="计算 2 5 3 7 5 2" xfId="12791"/>
    <cellStyle name="汇总 2 4 10 8 3" xfId="12792"/>
    <cellStyle name="汇总 2 2 11 7 5" xfId="12793"/>
    <cellStyle name="汇总 2 2 5 3 4" xfId="12794"/>
    <cellStyle name="输入 2 9 5 4 4 2" xfId="12795"/>
    <cellStyle name="汇总 2 4 10 8 3 2" xfId="12796"/>
    <cellStyle name="计算 2 5 8 7 4" xfId="12797"/>
    <cellStyle name="计算 2 12 7 4 6" xfId="12798"/>
    <cellStyle name="输入 2 2 11 4 2 2" xfId="12799"/>
    <cellStyle name="注释 2 2 8 8" xfId="12800"/>
    <cellStyle name="汇总 2 2 11 7 5 2" xfId="12801"/>
    <cellStyle name="汇总 2 4 10 8 4" xfId="12802"/>
    <cellStyle name="汇总 2 3 6 8 2 2" xfId="12803"/>
    <cellStyle name="汇总 2 2 11 7 6" xfId="12804"/>
    <cellStyle name="汇总 2 2 11 8 2" xfId="12805"/>
    <cellStyle name="输出 2 10 11 5 2 2" xfId="12806"/>
    <cellStyle name="汇总 2 2 11 8 3" xfId="12807"/>
    <cellStyle name="汇总 2 4 10 9 2" xfId="12808"/>
    <cellStyle name="汇总 2 2 11 8 4" xfId="12809"/>
    <cellStyle name="汇总 2 2 11 8 5" xfId="12810"/>
    <cellStyle name="汇总 2 2 11 9 2" xfId="12811"/>
    <cellStyle name="汇总 2 4 8 7 3 2" xfId="12812"/>
    <cellStyle name="输出 2 2 5 7 5 2" xfId="12813"/>
    <cellStyle name="汇总 2 2 12 7" xfId="12814"/>
    <cellStyle name="汇总 2 2 12 8" xfId="12815"/>
    <cellStyle name="千分位[0]_ 白土" xfId="12816"/>
    <cellStyle name="汇总 2 2 4 7 2 2" xfId="12817"/>
    <cellStyle name="汇总 2 2 12 9" xfId="12818"/>
    <cellStyle name="输出 2 4 7 2 5" xfId="12819"/>
    <cellStyle name="汇总 2 6 12 8" xfId="12820"/>
    <cellStyle name="汇总 2 2 5 2 2 2" xfId="12821"/>
    <cellStyle name="汇总 2 3 10 4 5" xfId="12822"/>
    <cellStyle name="输出 2 8 5 6 5 2" xfId="12823"/>
    <cellStyle name="检查单元格 2 6 4 4 4" xfId="12824"/>
    <cellStyle name="计算 2 2 10" xfId="12825"/>
    <cellStyle name="检查单元格 2 3 4 3" xfId="12826"/>
    <cellStyle name="汇总 2 2 17 5 2" xfId="12827"/>
    <cellStyle name="计算 2 5 8 6 2 2" xfId="12828"/>
    <cellStyle name="计算 2 12 7 3 4 2" xfId="12829"/>
    <cellStyle name="注释 2 2 7 6 2" xfId="12830"/>
    <cellStyle name="注释 2 6 6 10" xfId="12831"/>
    <cellStyle name="汇总 2 5 2 5 5 2" xfId="12832"/>
    <cellStyle name="输出 2 8 5 7 2 2" xfId="12833"/>
    <cellStyle name="汇总 2 5 10 2 3" xfId="12834"/>
    <cellStyle name="注释 2 2 8 3 2" xfId="12835"/>
    <cellStyle name="汇总 2 2 18 2 2" xfId="12836"/>
    <cellStyle name="输出 2 5 2 3 3 2" xfId="12837"/>
    <cellStyle name="汇总 2 5 2 5 6" xfId="12838"/>
    <cellStyle name="输出 2 8 5 7 3" xfId="12839"/>
    <cellStyle name="汇总 2 2 18 3" xfId="12840"/>
    <cellStyle name="计算 2 12 7 4 2" xfId="12841"/>
    <cellStyle name="注释 2 2 8 4" xfId="12842"/>
    <cellStyle name="检查单元格 2 4 2 3" xfId="12843"/>
    <cellStyle name="汇总 2 2 18 3 2" xfId="12844"/>
    <cellStyle name="汇总 2 5 10 3 3" xfId="12845"/>
    <cellStyle name="汇总 2 9 8 2 9" xfId="12846"/>
    <cellStyle name="计算 2 12 7 4 2 2" xfId="12847"/>
    <cellStyle name="注释 2 2 8 4 2" xfId="12848"/>
    <cellStyle name="汇总 2 3 11 2 5" xfId="12849"/>
    <cellStyle name="输出 2 8 5 7 3 2" xfId="12850"/>
    <cellStyle name="计算 2 4 8 2 8" xfId="12851"/>
    <cellStyle name="汇总 2 2 18 4" xfId="12852"/>
    <cellStyle name="计算 2 12 7 4 3" xfId="12853"/>
    <cellStyle name="注释 2 2 8 5" xfId="12854"/>
    <cellStyle name="汇总 2 2 5 3 2" xfId="12855"/>
    <cellStyle name="计算 2 11 3 7 4 2" xfId="12856"/>
    <cellStyle name="计算 2 5 8 7 2" xfId="12857"/>
    <cellStyle name="计算 2 12 7 4 4" xfId="12858"/>
    <cellStyle name="注释 2 2 8 6" xfId="12859"/>
    <cellStyle name="汇总 2 2 18 5" xfId="12860"/>
    <cellStyle name="检查单元格 2 5 5 4 2 2" xfId="12861"/>
    <cellStyle name="输入 2 7 2 15" xfId="12862"/>
    <cellStyle name="汇总 2 2 5 3 3" xfId="12863"/>
    <cellStyle name="计算 2 5 8 7 3" xfId="12864"/>
    <cellStyle name="计算 2 12 7 4 5" xfId="12865"/>
    <cellStyle name="注释 2 2 8 7" xfId="12866"/>
    <cellStyle name="汇总 2 2 18 6" xfId="12867"/>
    <cellStyle name="汇总 2 5 2 6 5 2" xfId="12868"/>
    <cellStyle name="输出 2 8 5 8 2 2" xfId="12869"/>
    <cellStyle name="输出 2 12 10 9" xfId="12870"/>
    <cellStyle name="汇总 2 5 11 2 3" xfId="12871"/>
    <cellStyle name="注释 2 2 9 3 2" xfId="12872"/>
    <cellStyle name="汇总 2 2 19 2 2" xfId="12873"/>
    <cellStyle name="输出 2 5 2 3 4 2" xfId="12874"/>
    <cellStyle name="输出 2 16 5 2 2" xfId="12875"/>
    <cellStyle name="汇总 2 5 2 6 6" xfId="12876"/>
    <cellStyle name="输出 2 8 5 8 3" xfId="12877"/>
    <cellStyle name="汇总 2 7 5 3 2 2" xfId="12878"/>
    <cellStyle name="输入 2 8 3 6 4" xfId="12879"/>
    <cellStyle name="输出 2 2 7 10 2" xfId="12880"/>
    <cellStyle name="汇总 2 2 19 3" xfId="12881"/>
    <cellStyle name="计算 2 12 7 5 2" xfId="12882"/>
    <cellStyle name="注释 2 2 9 4" xfId="12883"/>
    <cellStyle name="检查单元格 2 5 2 3" xfId="12884"/>
    <cellStyle name="汇总 2 2 19 3 2" xfId="12885"/>
    <cellStyle name="汇总 2 5 11 3 3" xfId="12886"/>
    <cellStyle name="汇总 2 9 9 2 9" xfId="12887"/>
    <cellStyle name="计算 2 12 7 5 2 2" xfId="12888"/>
    <cellStyle name="注释 2 2 9 4 2" xfId="12889"/>
    <cellStyle name="汇总 2 2 19 4" xfId="12890"/>
    <cellStyle name="计算 2 12 7 5 3" xfId="12891"/>
    <cellStyle name="注释 2 2 9 5" xfId="12892"/>
    <cellStyle name="汇总 2 2 5 4 2" xfId="12893"/>
    <cellStyle name="输出 2 10 8 5 2 2" xfId="12894"/>
    <cellStyle name="注释 2 10 4 4 4" xfId="12895"/>
    <cellStyle name="计算 2 11 3 7 5 2" xfId="12896"/>
    <cellStyle name="计算 2 5 8 8 2" xfId="12897"/>
    <cellStyle name="计算 2 12 7 5 4" xfId="12898"/>
    <cellStyle name="注释 2 2 9 6" xfId="12899"/>
    <cellStyle name="汇总 2 2 19 5" xfId="12900"/>
    <cellStyle name="计算 2 7 9 8" xfId="12901"/>
    <cellStyle name="汇总 2 2 2 15" xfId="12902"/>
    <cellStyle name="计算 2 11 5 8 5" xfId="12903"/>
    <cellStyle name="计算 2 7 9 9" xfId="12904"/>
    <cellStyle name="汇总 2 2 2 16" xfId="12905"/>
    <cellStyle name="汇总 2 3 4 2 3 2" xfId="12906"/>
    <cellStyle name="汇总 2 2 2 2" xfId="12907"/>
    <cellStyle name="注释 2 2 11 7 3" xfId="12908"/>
    <cellStyle name="计算 2 11 18 5" xfId="12909"/>
    <cellStyle name="输入 2 12 7 5 3 2" xfId="12910"/>
    <cellStyle name="输出 2 10 10 6 3" xfId="12911"/>
    <cellStyle name="汇总 2 2 2 2 2 2" xfId="12912"/>
    <cellStyle name="汇总 2 2 2 2 3" xfId="12913"/>
    <cellStyle name="输出 2 10 10 7 3" xfId="12914"/>
    <cellStyle name="汇总 2 2 2 2 3 2" xfId="12915"/>
    <cellStyle name="汇总 2 8 3 2 6" xfId="12916"/>
    <cellStyle name="输出 2 10 10 8 3" xfId="12917"/>
    <cellStyle name="汇总 2 2 2 2 4 2" xfId="12918"/>
    <cellStyle name="汇总 2 8 3 3 6" xfId="12919"/>
    <cellStyle name="输出 2 5 5 4 2" xfId="12920"/>
    <cellStyle name="汇总 2 2 2 2 5" xfId="12921"/>
    <cellStyle name="输出 2 5 5 4 2 2" xfId="12922"/>
    <cellStyle name="汇总 2 2 2 2 5 2" xfId="12923"/>
    <cellStyle name="汇总 2 8 3 4 6" xfId="12924"/>
    <cellStyle name="输出 2 5 5 4 3" xfId="12925"/>
    <cellStyle name="汇总 2 2 2 2 6" xfId="12926"/>
    <cellStyle name="输出 2 5 5 4 4" xfId="12927"/>
    <cellStyle name="汇总 2 2 2 2 7" xfId="12928"/>
    <cellStyle name="汇总 2 7 8 4 2" xfId="12929"/>
    <cellStyle name="输入 2 5 3 2 5" xfId="12930"/>
    <cellStyle name="计算 2 11 12 2" xfId="12931"/>
    <cellStyle name="汇总 2 2 2 3" xfId="12932"/>
    <cellStyle name="注释 2 2 11 7 4" xfId="12933"/>
    <cellStyle name="计算 2 11 18 6" xfId="12934"/>
    <cellStyle name="注释 2 2 10 6 4 2" xfId="12935"/>
    <cellStyle name="汇总 2 2 2 3 2" xfId="12936"/>
    <cellStyle name="注释 2 2 11 7 4 2" xfId="12937"/>
    <cellStyle name="输出 2 10 11 6 3" xfId="12938"/>
    <cellStyle name="汇总 2 2 2 3 2 2" xfId="12939"/>
    <cellStyle name="汇总 2 2 2 3 3" xfId="12940"/>
    <cellStyle name="输出 2 10 11 7 3" xfId="12941"/>
    <cellStyle name="汇总 2 2 2 3 3 2" xfId="12942"/>
    <cellStyle name="汇总 2 8 4 2 6" xfId="12943"/>
    <cellStyle name="输出 2 10 11 8 3" xfId="12944"/>
    <cellStyle name="汇总 2 2 2 3 4 2" xfId="12945"/>
    <cellStyle name="汇总 2 8 4 3 6" xfId="12946"/>
    <cellStyle name="输出 2 5 5 5 2 2" xfId="12947"/>
    <cellStyle name="汇总 2 2 2 3 5 2" xfId="12948"/>
    <cellStyle name="汇总 2 8 4 4 6" xfId="12949"/>
    <cellStyle name="输出 2 5 5 5 3" xfId="12950"/>
    <cellStyle name="汇总 2 2 2 3 6" xfId="12951"/>
    <cellStyle name="检查单元格 2 10 3 10" xfId="12952"/>
    <cellStyle name="汇总 2 2 2 4" xfId="12953"/>
    <cellStyle name="注释 2 2 11 7 5" xfId="12954"/>
    <cellStyle name="汇总 2 2 2 4 2" xfId="12955"/>
    <cellStyle name="注释 2 2 11 7 5 2" xfId="12956"/>
    <cellStyle name="汇总 2 2 2 4 2 2" xfId="12957"/>
    <cellStyle name="输入 2 10 10" xfId="12958"/>
    <cellStyle name="汇总 2 2 2 4 3" xfId="12959"/>
    <cellStyle name="注释 2 9 7 10 2" xfId="12960"/>
    <cellStyle name="汇总 2 2 2 4 4" xfId="12961"/>
    <cellStyle name="计算 2 2 3 10" xfId="12962"/>
    <cellStyle name="输入 2 5 3 4 2" xfId="12963"/>
    <cellStyle name="汇总 2 2 2 4 4 2" xfId="12964"/>
    <cellStyle name="汇总 2 8 5 3 6" xfId="12965"/>
    <cellStyle name="计算 2 2 3 10 2" xfId="12966"/>
    <cellStyle name="输入 2 5 3 4 2 2" xfId="12967"/>
    <cellStyle name="输出 2 5 5 6 2 2" xfId="12968"/>
    <cellStyle name="汇总 2 2 2 4 5 2" xfId="12969"/>
    <cellStyle name="汇总 2 8 5 4 6" xfId="12970"/>
    <cellStyle name="计算 2 2 3 11 2" xfId="12971"/>
    <cellStyle name="输入 2 5 3 4 3 2" xfId="12972"/>
    <cellStyle name="注释 2 6 2 16" xfId="12973"/>
    <cellStyle name="输出 2 5 5 6 3" xfId="12974"/>
    <cellStyle name="汇总 2 2 2 4 6" xfId="12975"/>
    <cellStyle name="计算 2 2 3 12" xfId="12976"/>
    <cellStyle name="输入 2 5 3 4 4" xfId="12977"/>
    <cellStyle name="汇总 2 2 2 5 2" xfId="12978"/>
    <cellStyle name="汇总 2 2 2 5 2 2" xfId="12979"/>
    <cellStyle name="汇总 2 2 2 5 3" xfId="12980"/>
    <cellStyle name="注释 2 9 7 11 2" xfId="12981"/>
    <cellStyle name="汇总 2 2 2 5 4" xfId="12982"/>
    <cellStyle name="输出 2 5 5 7 3" xfId="12983"/>
    <cellStyle name="汇总 2 2 2 5 6" xfId="12984"/>
    <cellStyle name="汇总 2 2 2 6 2" xfId="12985"/>
    <cellStyle name="汇总 2 2 2 6 2 2" xfId="12986"/>
    <cellStyle name="汇总 2 2 7 8 2 2" xfId="12987"/>
    <cellStyle name="计算 2 3 11 8 2" xfId="12988"/>
    <cellStyle name="输入 2 8 11 5 4" xfId="12989"/>
    <cellStyle name="汇总 2 2 2 6 3" xfId="12990"/>
    <cellStyle name="注释 2 9 7 12 2" xfId="12991"/>
    <cellStyle name="汇总 2 2 2 6 3 2" xfId="12992"/>
    <cellStyle name="汇总 2 8 7 2 6" xfId="12993"/>
    <cellStyle name="汇总 2 2 2 6 4" xfId="12994"/>
    <cellStyle name="输出 2 5 5 8 3" xfId="12995"/>
    <cellStyle name="输出 2 13 5 2 2" xfId="12996"/>
    <cellStyle name="汇总 2 2 2 6 6" xfId="12997"/>
    <cellStyle name="汇总 2 7 2 3 2 2" xfId="12998"/>
    <cellStyle name="输入 2 5 3 6 4" xfId="12999"/>
    <cellStyle name="检查单元格 2 10 3 13" xfId="13000"/>
    <cellStyle name="计算 2 11 11 3 4 2" xfId="13001"/>
    <cellStyle name="输入 2 4 2 3 4" xfId="13002"/>
    <cellStyle name="汇总 2 2 2 7" xfId="13003"/>
    <cellStyle name="汇总 2 2 2 7 2" xfId="13004"/>
    <cellStyle name="输出 2 4 4 5 3 2" xfId="13005"/>
    <cellStyle name="计算 2 2 10 8" xfId="13006"/>
    <cellStyle name="汇总 2 2 2 7 2 2" xfId="13007"/>
    <cellStyle name="检查单元格 2 5 6 9" xfId="13008"/>
    <cellStyle name="计算 2 2 10 8 2" xfId="13009"/>
    <cellStyle name="输入 2 7 10 5 4" xfId="13010"/>
    <cellStyle name="汇总 2 2 7 8 3 2" xfId="13011"/>
    <cellStyle name="计算 2 3 11 9 2" xfId="13012"/>
    <cellStyle name="输入 2 8 11 6 4" xfId="13013"/>
    <cellStyle name="汇总 2 2 2 7 3" xfId="13014"/>
    <cellStyle name="计算 2 2 10 9" xfId="13015"/>
    <cellStyle name="汇总 2 2 2 7 3 2" xfId="13016"/>
    <cellStyle name="汇总 2 8 8 2 6" xfId="13017"/>
    <cellStyle name="输出 2 6 5 2 8" xfId="13018"/>
    <cellStyle name="检查单元格 2 5 7 9" xfId="13019"/>
    <cellStyle name="计算 2 2 10 9 2" xfId="13020"/>
    <cellStyle name="输入 2 7 10 6 4" xfId="13021"/>
    <cellStyle name="汇总 2 2 2 7 4" xfId="13022"/>
    <cellStyle name="输出 2 13 5 3 2" xfId="13023"/>
    <cellStyle name="汇总 2 2 2 7 6" xfId="13024"/>
    <cellStyle name="汇总 2 7 2 3 3 2" xfId="13025"/>
    <cellStyle name="输入 2 5 3 7 4" xfId="13026"/>
    <cellStyle name="汇总 2 6 7 5 2" xfId="13027"/>
    <cellStyle name="输入 2 4 2 3 5" xfId="13028"/>
    <cellStyle name="汇总 2 2 2 8" xfId="13029"/>
    <cellStyle name="输入 2 4 6 8 2 2" xfId="13030"/>
    <cellStyle name="汇总 2 6 7 5 2 2" xfId="13031"/>
    <cellStyle name="输入 2 4 2 3 5 2" xfId="13032"/>
    <cellStyle name="汇总 2 2 2 8 2" xfId="13033"/>
    <cellStyle name="输入 2 12 2 16" xfId="13034"/>
    <cellStyle name="输出 2 4 4 5 4 2" xfId="13035"/>
    <cellStyle name="计算 2 2 11 8" xfId="13036"/>
    <cellStyle name="输出 2 11 2 4 5" xfId="13037"/>
    <cellStyle name="汇总 2 2 2 8 2 2" xfId="13038"/>
    <cellStyle name="检查单元格 2 6 6 9" xfId="13039"/>
    <cellStyle name="计算 2 2 11 8 2" xfId="13040"/>
    <cellStyle name="输入 2 7 11 5 4" xfId="13041"/>
    <cellStyle name="汇总 2 2 7 8 4 2" xfId="13042"/>
    <cellStyle name="汇总 2 2 2 8 3" xfId="13043"/>
    <cellStyle name="检查单元格 2 5 2 10" xfId="13044"/>
    <cellStyle name="计算 2 2 11 9" xfId="13045"/>
    <cellStyle name="输出 2 11 2 5 5" xfId="13046"/>
    <cellStyle name="汇总 2 2 2 8 3 2" xfId="13047"/>
    <cellStyle name="汇总 2 8 9 2 6" xfId="13048"/>
    <cellStyle name="输出 2 6 6 2 8" xfId="13049"/>
    <cellStyle name="检查单元格 2 6 7 9" xfId="13050"/>
    <cellStyle name="计算 2 2 11 9 2" xfId="13051"/>
    <cellStyle name="输入 2 7 11 6 4" xfId="13052"/>
    <cellStyle name="汇总 2 6 7 5 3" xfId="13053"/>
    <cellStyle name="输入 2 11 8 2 5 2" xfId="13054"/>
    <cellStyle name="输入 2 4 2 3 6" xfId="13055"/>
    <cellStyle name="汇总 2 2 2 9" xfId="13056"/>
    <cellStyle name="计算 2 9" xfId="13057"/>
    <cellStyle name="汇总 2 2 2 9 2" xfId="13058"/>
    <cellStyle name="汇总 2 6 7 5 3 2" xfId="13059"/>
    <cellStyle name="输出 2 4 4 5 5 2" xfId="13060"/>
    <cellStyle name="计算 2 2 12 8" xfId="13061"/>
    <cellStyle name="汇总 2 2 3 10" xfId="13062"/>
    <cellStyle name="计算 2 11 9 9" xfId="13063"/>
    <cellStyle name="计算 2 2 4 5 5" xfId="13064"/>
    <cellStyle name="汇总 2 2 3 10 2" xfId="13065"/>
    <cellStyle name="计算 2 11 9 9 2" xfId="13066"/>
    <cellStyle name="计算 2 2 4 5 5 2" xfId="13067"/>
    <cellStyle name="콤마_BOILER-CO1" xfId="13068"/>
    <cellStyle name="汇总 2 5 10 2 5 2" xfId="13069"/>
    <cellStyle name="汇总 2 2 3 11" xfId="13070"/>
    <cellStyle name="注释 2 2 8 3 4 2" xfId="13071"/>
    <cellStyle name="计算 2 2 4 5 6" xfId="13072"/>
    <cellStyle name="注释 2 10 10 10" xfId="13073"/>
    <cellStyle name="汇总 2 2 3 12" xfId="13074"/>
    <cellStyle name="汇总 2 2 3 13" xfId="13075"/>
    <cellStyle name="汇总 2 8 10 11 2" xfId="13076"/>
    <cellStyle name="汇总 2 2 3 14" xfId="13077"/>
    <cellStyle name="计算 2 3 2 3 2 2" xfId="13078"/>
    <cellStyle name="注释 2 10 10 13" xfId="13079"/>
    <cellStyle name="输出 2 5 6 6 2 2" xfId="13080"/>
    <cellStyle name="汇总 2 2 3 4 5 2" xfId="13081"/>
    <cellStyle name="汇总 2 9 5 4 6" xfId="13082"/>
    <cellStyle name="计算 2 7 2 5 2 2" xfId="13083"/>
    <cellStyle name="计算 2 2 8 11 2" xfId="13084"/>
    <cellStyle name="输入 2 5 4 4 3 2" xfId="13085"/>
    <cellStyle name="输出 2 5 6 7 3" xfId="13086"/>
    <cellStyle name="汇总 2 2 3 5 6" xfId="13087"/>
    <cellStyle name="计算 2 7 2 6 3" xfId="13088"/>
    <cellStyle name="汇总 2 3 10 5" xfId="13089"/>
    <cellStyle name="输出 2 5 6 8 3" xfId="13090"/>
    <cellStyle name="输出 2 13 6 2 2" xfId="13091"/>
    <cellStyle name="汇总 2 2 3 6 6" xfId="13092"/>
    <cellStyle name="输出 2 3 11 10" xfId="13093"/>
    <cellStyle name="计算 2 7 2 7 3" xfId="13094"/>
    <cellStyle name="汇总 2 7 2 4 2 2" xfId="13095"/>
    <cellStyle name="输入 2 5 4 6 4" xfId="13096"/>
    <cellStyle name="汇总 2 2 3 7" xfId="13097"/>
    <cellStyle name="计算 2 11 11 3 5 2" xfId="13098"/>
    <cellStyle name="输入 2 4 2 4 4" xfId="13099"/>
    <cellStyle name="汇总 2 3 11 5" xfId="13100"/>
    <cellStyle name="计算 2 2 2 4 2 2" xfId="13101"/>
    <cellStyle name="输入 2 11 11 5 3" xfId="13102"/>
    <cellStyle name="输出 2 13 6 3 2" xfId="13103"/>
    <cellStyle name="汇总 2 2 3 7 6" xfId="13104"/>
    <cellStyle name="计算 2 7 2 8 3" xfId="13105"/>
    <cellStyle name="汇总 2 7 2 4 3 2" xfId="13106"/>
    <cellStyle name="输入 2 5 4 7 4" xfId="13107"/>
    <cellStyle name="汇总 2 6 7 6 2" xfId="13108"/>
    <cellStyle name="输入 2 2 11 10 2" xfId="13109"/>
    <cellStyle name="输入 2 4 2 4 5" xfId="13110"/>
    <cellStyle name="汇总 2 2 3 8" xfId="13111"/>
    <cellStyle name="输入 2 4 6 8 3 2" xfId="13112"/>
    <cellStyle name="汇总 2 6 7 6 3" xfId="13113"/>
    <cellStyle name="输入 2 4 2 4 6" xfId="13114"/>
    <cellStyle name="汇总 2 2 3 9" xfId="13115"/>
    <cellStyle name="输出 2 6 7 4 2" xfId="13116"/>
    <cellStyle name="检查单元格 2 7 9 3" xfId="13117"/>
    <cellStyle name="汇总 2 3 4 2 5" xfId="13118"/>
    <cellStyle name="计算 2 8 3 3 2" xfId="13119"/>
    <cellStyle name="注释 2 7 2 10" xfId="13120"/>
    <cellStyle name="汇总 2 2 4" xfId="13121"/>
    <cellStyle name="汇总 2 2 4 10 2" xfId="13122"/>
    <cellStyle name="汇总 2 5 3 5 5 2" xfId="13123"/>
    <cellStyle name="汇总 2 2 4 11" xfId="13124"/>
    <cellStyle name="输出 2 8 6 7 2 2" xfId="13125"/>
    <cellStyle name="计算 2 9 11 2 2" xfId="13126"/>
    <cellStyle name="汇总 2 2 4 12" xfId="13127"/>
    <cellStyle name="输入 2 12 2 8 4 2" xfId="13128"/>
    <cellStyle name="检查单元格 2 9 10 3 2" xfId="13129"/>
    <cellStyle name="计算 2 6 19 2 2" xfId="13130"/>
    <cellStyle name="汇总 2 2 4 13" xfId="13131"/>
    <cellStyle name="计算 2 9 11 2 3" xfId="13132"/>
    <cellStyle name="注释 2 3 6 5 2 2" xfId="13133"/>
    <cellStyle name="计算 2 9 11 2 4" xfId="13134"/>
    <cellStyle name="汇总 2 3 9 4 5 2" xfId="13135"/>
    <cellStyle name="计算 2 8 8 5 2 2" xfId="13136"/>
    <cellStyle name="汇总 2 2 4 14" xfId="13137"/>
    <cellStyle name="汇总 2 2 4 2 2 2" xfId="13138"/>
    <cellStyle name="汇总 2 2 4 2 3 2" xfId="13139"/>
    <cellStyle name="汇总 2 2 4 2 4 2" xfId="13140"/>
    <cellStyle name="输出 2 5 7 4 2" xfId="13141"/>
    <cellStyle name="汇总 2 2 4 2 5" xfId="13142"/>
    <cellStyle name="计算 2 7 3 3 2" xfId="13143"/>
    <cellStyle name="注释 2 2 2 10" xfId="13144"/>
    <cellStyle name="输出 2 5 7 4 2 2" xfId="13145"/>
    <cellStyle name="汇总 2 2 4 2 5 2" xfId="13146"/>
    <cellStyle name="计算 2 7 3 3 2 2" xfId="13147"/>
    <cellStyle name="注释 2 2 2 10 2" xfId="13148"/>
    <cellStyle name="输出 2 5 7 4 3" xfId="13149"/>
    <cellStyle name="汇总 2 2 4 2 6" xfId="13150"/>
    <cellStyle name="计算 2 7 3 3 3" xfId="13151"/>
    <cellStyle name="注释 2 2 2 11" xfId="13152"/>
    <cellStyle name="汇总 2 2 4 3 2" xfId="13153"/>
    <cellStyle name="输入 2 4 11 16" xfId="13154"/>
    <cellStyle name="汇总 2 2 4 3 2 2" xfId="13155"/>
    <cellStyle name="检查单元格 2 5 5 3 2 2" xfId="13156"/>
    <cellStyle name="汇总 2 2 4 3 3" xfId="13157"/>
    <cellStyle name="输出 2 5 7 5 3" xfId="13158"/>
    <cellStyle name="汇总 2 2 4 3 6" xfId="13159"/>
    <cellStyle name="计算 2 7 3 4 3" xfId="13160"/>
    <cellStyle name="汇总 2 2 4 4" xfId="13161"/>
    <cellStyle name="计算 2 12 8 8 3 2" xfId="13162"/>
    <cellStyle name="输出 2 4 13 4" xfId="13163"/>
    <cellStyle name="汇总 2 2 4 4 3 2" xfId="13164"/>
    <cellStyle name="输出 2 4 14 4" xfId="13165"/>
    <cellStyle name="汇总 2 2 4 4 4 2" xfId="13166"/>
    <cellStyle name="输出 2 5 7 6 2 2" xfId="13167"/>
    <cellStyle name="输出 2 4 15 4" xfId="13168"/>
    <cellStyle name="汇总 2 2 4 4 5 2" xfId="13169"/>
    <cellStyle name="计算 2 3 11 2 4" xfId="13170"/>
    <cellStyle name="计算 2 7 3 5 2 2" xfId="13171"/>
    <cellStyle name="输出 2 5 7 6 3" xfId="13172"/>
    <cellStyle name="汇总 2 2 4 4 6" xfId="13173"/>
    <cellStyle name="计算 2 7 3 5 3" xfId="13174"/>
    <cellStyle name="汇总 2 2 4 5 2 2" xfId="13175"/>
    <cellStyle name="检查单元格 2 5 5 3 4 2" xfId="13176"/>
    <cellStyle name="汇总 2 2 4 5 3" xfId="13177"/>
    <cellStyle name="汇总 2 2 4 5 3 2" xfId="13178"/>
    <cellStyle name="汇总 2 2 4 5 4" xfId="13179"/>
    <cellStyle name="汇总 2 2 4 5 4 2" xfId="13180"/>
    <cellStyle name="汇总 2 8 10 13" xfId="13181"/>
    <cellStyle name="输出 2 5 7 7 2 2" xfId="13182"/>
    <cellStyle name="汇总 2 2 4 5 5 2" xfId="13183"/>
    <cellStyle name="计算 2 7 3 6 2 2" xfId="13184"/>
    <cellStyle name="输出 2 5 7 7 3" xfId="13185"/>
    <cellStyle name="汇总 2 2 4 5 6" xfId="13186"/>
    <cellStyle name="计算 2 7 3 6 3" xfId="13187"/>
    <cellStyle name="汇总 2 2 4 6 2 2" xfId="13188"/>
    <cellStyle name="计算 2 10 18 4" xfId="13189"/>
    <cellStyle name="检查单元格 2 5 5 3 5 2" xfId="13190"/>
    <cellStyle name="汇总 2 2 4 6 3" xfId="13191"/>
    <cellStyle name="汇总 2 2 4 6 3 2" xfId="13192"/>
    <cellStyle name="计算 2 10 19 4" xfId="13193"/>
    <cellStyle name="输出 2 8 4 2 8" xfId="13194"/>
    <cellStyle name="汇总 2 2 4 6 4" xfId="13195"/>
    <cellStyle name="输出 2 5 7 8 2 2" xfId="13196"/>
    <cellStyle name="汇总 2 2 4 6 5 2" xfId="13197"/>
    <cellStyle name="输入 2 8 2 2 9" xfId="13198"/>
    <cellStyle name="计算 2 7 3 7 2 2" xfId="13199"/>
    <cellStyle name="输出 2 5 7 8 3" xfId="13200"/>
    <cellStyle name="输出 2 13 7 2 2" xfId="13201"/>
    <cellStyle name="汇总 2 2 4 6 6" xfId="13202"/>
    <cellStyle name="计算 2 7 3 7 3" xfId="13203"/>
    <cellStyle name="汇总 2 7 2 5 2 2" xfId="13204"/>
    <cellStyle name="输入 2 5 5 6 4" xfId="13205"/>
    <cellStyle name="汇总 2 2 4 7 3" xfId="13206"/>
    <cellStyle name="汇总 2 2 4 7 3 2" xfId="13207"/>
    <cellStyle name="汇总 2 2 4 7 4" xfId="13208"/>
    <cellStyle name="汇总 2 2 4 7 4 2" xfId="13209"/>
    <cellStyle name="计算 2 7 3 8 2 2" xfId="13210"/>
    <cellStyle name="注释 2 2 3 10 2" xfId="13211"/>
    <cellStyle name="汇总 2 2 4 7 5 2" xfId="13212"/>
    <cellStyle name="输入 2 8 3 2 9" xfId="13213"/>
    <cellStyle name="输出 2 13 7 3 2" xfId="13214"/>
    <cellStyle name="汇总 2 2 4 7 6" xfId="13215"/>
    <cellStyle name="计算 2 7 3 8 3" xfId="13216"/>
    <cellStyle name="注释 2 2 3 11" xfId="13217"/>
    <cellStyle name="汇总 2 7 2 5 3 2" xfId="13218"/>
    <cellStyle name="输入 2 10 11 2 2 2" xfId="13219"/>
    <cellStyle name="输入 2 5 5 7 4" xfId="13220"/>
    <cellStyle name="汇总 2 6 7 7 2 2" xfId="13221"/>
    <cellStyle name="输入 2 4 2 5 5 2" xfId="13222"/>
    <cellStyle name="汇总 2 2 4 8 2" xfId="13223"/>
    <cellStyle name="汇总 2 2 4 8 2 2" xfId="13224"/>
    <cellStyle name="汇总 2 2 4 8 3" xfId="13225"/>
    <cellStyle name="汇总 2 2 4 8 4" xfId="13226"/>
    <cellStyle name="输出 2 6 7 4 3" xfId="13227"/>
    <cellStyle name="检查单元格 2 7 9 4" xfId="13228"/>
    <cellStyle name="汇总 2 3 4 2 6" xfId="13229"/>
    <cellStyle name="计算 2 8 3 3 3" xfId="13230"/>
    <cellStyle name="注释 2 7 2 11" xfId="13231"/>
    <cellStyle name="汇总 2 2 5" xfId="13232"/>
    <cellStyle name="注释 2 11 11 10 2" xfId="13233"/>
    <cellStyle name="汇总 2 7 4 11 2" xfId="13234"/>
    <cellStyle name="输入 2 12 7 5 6" xfId="13235"/>
    <cellStyle name="输出 2 6 3 4 2" xfId="13236"/>
    <cellStyle name="检查单元格 2 3 9 3" xfId="13237"/>
    <cellStyle name="汇总 2 2 5 10 2" xfId="13238"/>
    <cellStyle name="计算 2 9 11 7 6" xfId="13239"/>
    <cellStyle name="汇总 2 4 7 6 3 2" xfId="13240"/>
    <cellStyle name="汇总 2 2 5 16" xfId="13241"/>
    <cellStyle name="汇总 2 2 5 2 3 2" xfId="13242"/>
    <cellStyle name="汇总 2 2 5 2 4 2" xfId="13243"/>
    <cellStyle name="输出 2 5 8 4 2" xfId="13244"/>
    <cellStyle name="汇总 2 2 5 2 5" xfId="13245"/>
    <cellStyle name="计算 2 7 4 3 2" xfId="13246"/>
    <cellStyle name="注释 2 2 7 10" xfId="13247"/>
    <cellStyle name="输出 2 6 4 12" xfId="13248"/>
    <cellStyle name="输入 2 11 8 5 5 2" xfId="13249"/>
    <cellStyle name="输入 2 4 5 3 6" xfId="13250"/>
    <cellStyle name="汇总 2 5 2 9" xfId="13251"/>
    <cellStyle name="输出 2 5 8 4 2 2" xfId="13252"/>
    <cellStyle name="汇总 2 2 5 2 5 2" xfId="13253"/>
    <cellStyle name="计算 2 7 4 3 2 2" xfId="13254"/>
    <cellStyle name="注释 2 2 7 10 2" xfId="13255"/>
    <cellStyle name="输出 2 5 8 4 3" xfId="13256"/>
    <cellStyle name="汇总 2 2 5 2 6" xfId="13257"/>
    <cellStyle name="计算 2 7 4 3 3" xfId="13258"/>
    <cellStyle name="注释 2 2 7 11" xfId="13259"/>
    <cellStyle name="汇总 2 2 5 3 3 2" xfId="13260"/>
    <cellStyle name="汇总 2 2 5 3 4 2" xfId="13261"/>
    <cellStyle name="输出 2 6 9 12" xfId="13262"/>
    <cellStyle name="输入 2 11 8 6 5 2" xfId="13263"/>
    <cellStyle name="输入 2 4 6 3 6" xfId="13264"/>
    <cellStyle name="汇总 2 6 2 9" xfId="13265"/>
    <cellStyle name="输入 2 2 10 13" xfId="13266"/>
    <cellStyle name="输出 2 5 8 5 2 2" xfId="13267"/>
    <cellStyle name="汇总 2 2 5 3 5 2" xfId="13268"/>
    <cellStyle name="计算 2 7 4 4 2 2" xfId="13269"/>
    <cellStyle name="输出 2 5 8 5 3" xfId="13270"/>
    <cellStyle name="汇总 2 2 5 3 6" xfId="13271"/>
    <cellStyle name="计算 2 7 4 4 3" xfId="13272"/>
    <cellStyle name="汇总 2 2 6 7 2 2" xfId="13273"/>
    <cellStyle name="计算 2 6 10 2 8" xfId="13274"/>
    <cellStyle name="汇总 2 2 5 4" xfId="13275"/>
    <cellStyle name="计算 2 12 8 8 4 2" xfId="13276"/>
    <cellStyle name="检查单元格 2 5 5 4 3 2" xfId="13277"/>
    <cellStyle name="汇总 2 2 5 4 3" xfId="13278"/>
    <cellStyle name="汇总 2 2 5 4 3 2" xfId="13279"/>
    <cellStyle name="输出 2 9 13 4" xfId="13280"/>
    <cellStyle name="汇总 2 2 5 4 4" xfId="13281"/>
    <cellStyle name="输入 2 9 5 4 5 2" xfId="13282"/>
    <cellStyle name="汇总 2 2 5 4 4 2" xfId="13283"/>
    <cellStyle name="输出 2 9 14 4" xfId="13284"/>
    <cellStyle name="输出 2 5 8 6 2 2" xfId="13285"/>
    <cellStyle name="汇总 2 2 5 4 5 2" xfId="13286"/>
    <cellStyle name="输出 2 9 15 4" xfId="13287"/>
    <cellStyle name="计算 2 7 4 5 2 2" xfId="13288"/>
    <cellStyle name="输出 2 5 8 6 3" xfId="13289"/>
    <cellStyle name="汇总 2 2 5 4 6" xfId="13290"/>
    <cellStyle name="计算 2 7 4 5 3" xfId="13291"/>
    <cellStyle name="计算 2 6 10 2 9" xfId="13292"/>
    <cellStyle name="汇总 2 2 5 5" xfId="13293"/>
    <cellStyle name="汇总 2 2 5 5 2" xfId="13294"/>
    <cellStyle name="检查单元格 2 5 5 4 4 2" xfId="13295"/>
    <cellStyle name="汇总 2 2 5 5 3" xfId="13296"/>
    <cellStyle name="汇总 2 2 5 5 3 2" xfId="13297"/>
    <cellStyle name="汇总 2 2 5 5 4" xfId="13298"/>
    <cellStyle name="汇总 2 2 5 5 4 2" xfId="13299"/>
    <cellStyle name="汇总 2 9 10 13" xfId="13300"/>
    <cellStyle name="输出 2 5 8 7 2 2" xfId="13301"/>
    <cellStyle name="汇总 2 2 5 5 5 2" xfId="13302"/>
    <cellStyle name="输出 2 11 2 13" xfId="13303"/>
    <cellStyle name="计算 2 7 4 6 2 2" xfId="13304"/>
    <cellStyle name="汇总 2 4 4 16" xfId="13305"/>
    <cellStyle name="输出 2 5 8 7 3" xfId="13306"/>
    <cellStyle name="汇总 2 2 5 5 6" xfId="13307"/>
    <cellStyle name="计算 2 7 4 6 3" xfId="13308"/>
    <cellStyle name="汇总 2 2 5 6 2" xfId="13309"/>
    <cellStyle name="汇总 2 2 5 6 2 2" xfId="13310"/>
    <cellStyle name="检查单元格 2 5 5 4 5 2" xfId="13311"/>
    <cellStyle name="汇总 2 2 5 6 3" xfId="13312"/>
    <cellStyle name="汇总 2 2 5 6 3 2" xfId="13313"/>
    <cellStyle name="汇总 2 2 5 6 4" xfId="13314"/>
    <cellStyle name="汇总 2 2 5 6 4 2" xfId="13315"/>
    <cellStyle name="输出 2 5 8 8 2 2" xfId="13316"/>
    <cellStyle name="汇总 2 2 5 6 5 2" xfId="13317"/>
    <cellStyle name="输入 2 9 2 2 9" xfId="13318"/>
    <cellStyle name="输出 2 11 7 13" xfId="13319"/>
    <cellStyle name="计算 2 7 4 7 2 2" xfId="13320"/>
    <cellStyle name="汇总 2 4 9 16" xfId="13321"/>
    <cellStyle name="输出 2 5 8 8 3" xfId="13322"/>
    <cellStyle name="输出 2 13 8 2 2" xfId="13323"/>
    <cellStyle name="汇总 2 2 5 6 6" xfId="13324"/>
    <cellStyle name="计算 2 7 4 7 3" xfId="13325"/>
    <cellStyle name="汇总 2 7 2 6 2 2" xfId="13326"/>
    <cellStyle name="输入 2 5 6 6 4" xfId="13327"/>
    <cellStyle name="汇总 2 2 5 7" xfId="13328"/>
    <cellStyle name="汇总 2 2 5 7 2" xfId="13329"/>
    <cellStyle name="汇总 2 7 12 8" xfId="13330"/>
    <cellStyle name="计算 2 10 3 7 5" xfId="13331"/>
    <cellStyle name="注释 2 9 9 6 4 2" xfId="13332"/>
    <cellStyle name="汇总 2 2 5 7 2 2" xfId="13333"/>
    <cellStyle name="汇总 2 2 5 7 3" xfId="13334"/>
    <cellStyle name="汇总 2 2 5 7 3 2" xfId="13335"/>
    <cellStyle name="汇总 2 2 5 7 4" xfId="13336"/>
    <cellStyle name="汇总 2 2 5 7 4 2" xfId="13337"/>
    <cellStyle name="注释 2 2 19" xfId="13338"/>
    <cellStyle name="注释 2 2 24" xfId="13339"/>
    <cellStyle name="计算 2 7 4 8 2 2" xfId="13340"/>
    <cellStyle name="注释 2 2 8 10 2" xfId="13341"/>
    <cellStyle name="汇总 2 2 5 7 5 2" xfId="13342"/>
    <cellStyle name="输入 2 9 3 2 9" xfId="13343"/>
    <cellStyle name="输出 2 13 8 3 2" xfId="13344"/>
    <cellStyle name="汇总 2 2 5 7 6" xfId="13345"/>
    <cellStyle name="计算 2 7 4 8 3" xfId="13346"/>
    <cellStyle name="注释 2 2 8 11" xfId="13347"/>
    <cellStyle name="汇总 2 7 2 6 3 2" xfId="13348"/>
    <cellStyle name="输入 2 10 11 3 2 2" xfId="13349"/>
    <cellStyle name="输入 2 5 6 7 4" xfId="13350"/>
    <cellStyle name="汇总 2 6 7 8 2" xfId="13351"/>
    <cellStyle name="输入 2 2 11 12 2" xfId="13352"/>
    <cellStyle name="输入 2 4 2 6 5" xfId="13353"/>
    <cellStyle name="汇总 2 2 5 8" xfId="13354"/>
    <cellStyle name="汇总 2 6 7 8 2 2" xfId="13355"/>
    <cellStyle name="输入 2 4 2 6 5 2" xfId="13356"/>
    <cellStyle name="输入 2 7 3 14" xfId="13357"/>
    <cellStyle name="汇总 2 2 5 8 2" xfId="13358"/>
    <cellStyle name="汇总 2 2 5 8 2 2" xfId="13359"/>
    <cellStyle name="汇总 2 2 5 8 3" xfId="13360"/>
    <cellStyle name="汇总 2 2 5 8 3 2" xfId="13361"/>
    <cellStyle name="汇总 2 2 5 8 4" xfId="13362"/>
    <cellStyle name="汇总 2 6 7 8 3" xfId="13363"/>
    <cellStyle name="输入 2 4 2 6 6" xfId="13364"/>
    <cellStyle name="汇总 2 2 5 9" xfId="13365"/>
    <cellStyle name="汇总 2 6 7 8 3 2" xfId="13366"/>
    <cellStyle name="汇总 2 2 5 9 2" xfId="13367"/>
    <cellStyle name="输出 2 6 8 4" xfId="13368"/>
    <cellStyle name="汇总 2 2 6 10" xfId="13369"/>
    <cellStyle name="计算 2 8 4 3" xfId="13370"/>
    <cellStyle name="输出 2 6 8 4 2" xfId="13371"/>
    <cellStyle name="检查单元格 2 8 9 3" xfId="13372"/>
    <cellStyle name="汇总 2 3 5 2 5" xfId="13373"/>
    <cellStyle name="汇总 2 2 6 10 2" xfId="13374"/>
    <cellStyle name="计算 2 8 4 3 2" xfId="13375"/>
    <cellStyle name="注释 2 7 7 10" xfId="13376"/>
    <cellStyle name="汇总 2 2 6 2 2 2" xfId="13377"/>
    <cellStyle name="汇总 2 2 6 3 2" xfId="13378"/>
    <cellStyle name="汇总 2 2 6 3 2 2" xfId="13379"/>
    <cellStyle name="输出 2 4 7 11" xfId="13380"/>
    <cellStyle name="汇总 2 2 6 7 3 2" xfId="13381"/>
    <cellStyle name="汇总 2 2 6 4" xfId="13382"/>
    <cellStyle name="汇总 2 2 6 4 2" xfId="13383"/>
    <cellStyle name="汇总 2 2 6 5" xfId="13384"/>
    <cellStyle name="汇总 2 2 6 5 2" xfId="13385"/>
    <cellStyle name="输出 2 2 9 3 3 2" xfId="13386"/>
    <cellStyle name="汇总 2 2 6 6" xfId="13387"/>
    <cellStyle name="计算 2 4 5 2 3 2" xfId="13388"/>
    <cellStyle name="输入 2 4 2 7 3" xfId="13389"/>
    <cellStyle name="汇总 2 2 6 6 2" xfId="13390"/>
    <cellStyle name="汇总 2 2 6 6 3" xfId="13391"/>
    <cellStyle name="汇总 2 2 6 6 4" xfId="13392"/>
    <cellStyle name="输出 2 5 9 8 3" xfId="13393"/>
    <cellStyle name="汇总 2 2 6 6 6" xfId="13394"/>
    <cellStyle name="计算 2 7 5 7 3" xfId="13395"/>
    <cellStyle name="汇总 2 7 2 7 2 2" xfId="13396"/>
    <cellStyle name="输入 2 5 7 6 4" xfId="13397"/>
    <cellStyle name="汇总 2 2 6 7" xfId="13398"/>
    <cellStyle name="输出 2 12 4 3 2" xfId="13399"/>
    <cellStyle name="计算 2 11 6 10" xfId="13400"/>
    <cellStyle name="汇总 2 2 6 7 2" xfId="13401"/>
    <cellStyle name="输出 2 12 4 3 2 2" xfId="13402"/>
    <cellStyle name="计算 2 11 6 10 2" xfId="13403"/>
    <cellStyle name="汇总 2 2 6 7 3" xfId="13404"/>
    <cellStyle name="汇总 2 2 6 7 4" xfId="13405"/>
    <cellStyle name="检查单元格 2 10 4 10" xfId="13406"/>
    <cellStyle name="汇总 2 2 7 4" xfId="13407"/>
    <cellStyle name="计算 2 7 8 3 5" xfId="13408"/>
    <cellStyle name="注释 2 3 2 13" xfId="13409"/>
    <cellStyle name="汇总 2 2 9 2 8" xfId="13410"/>
    <cellStyle name="汇总 2 2 6 7 4 2" xfId="13411"/>
    <cellStyle name="汇总 2 4 2 4 2 2" xfId="13412"/>
    <cellStyle name="汇总 2 2 8 4" xfId="13413"/>
    <cellStyle name="输出 2 7 8 2 2" xfId="13414"/>
    <cellStyle name="计算 2 7 5 8 2 2" xfId="13415"/>
    <cellStyle name="汇总 2 2 6 7 5 2" xfId="13416"/>
    <cellStyle name="计算 2 7 5 8 3" xfId="13417"/>
    <cellStyle name="汇总 2 2 6 7 6" xfId="13418"/>
    <cellStyle name="汇总 2 7 2 7 3 2" xfId="13419"/>
    <cellStyle name="输入 2 10 11 4 2 2" xfId="13420"/>
    <cellStyle name="输入 2 5 7 7 4" xfId="13421"/>
    <cellStyle name="汇总 2 6 7 9 2" xfId="13422"/>
    <cellStyle name="输入 2 4 2 7 5" xfId="13423"/>
    <cellStyle name="汇总 2 2 6 8" xfId="13424"/>
    <cellStyle name="输出 2 12 8 4 4 2" xfId="13425"/>
    <cellStyle name="输出 2 12 4 3 3" xfId="13426"/>
    <cellStyle name="计算 2 11 6 11" xfId="13427"/>
    <cellStyle name="汇总 2 2 6 8 2" xfId="13428"/>
    <cellStyle name="输出 2 12 4 3 3 2" xfId="13429"/>
    <cellStyle name="计算 2 11 6 11 2" xfId="13430"/>
    <cellStyle name="汇总 2 2 6 8 2 2" xfId="13431"/>
    <cellStyle name="计算 2 10 3 11" xfId="13432"/>
    <cellStyle name="汇总 2 2 6 8 3" xfId="13433"/>
    <cellStyle name="汇总 2 2 6 8 3 2" xfId="13434"/>
    <cellStyle name="汇总 2 2 6 8 4" xfId="13435"/>
    <cellStyle name="汇总 2 2 6 8 4 2" xfId="13436"/>
    <cellStyle name="汇总 2 2 6 9" xfId="13437"/>
    <cellStyle name="输出 2 12 4 3 4" xfId="13438"/>
    <cellStyle name="计算 2 11 6 12" xfId="13439"/>
    <cellStyle name="汇总 2 2 6 9 2" xfId="13440"/>
    <cellStyle name="输出 2 12 4 3 4 2" xfId="13441"/>
    <cellStyle name="计算 2 11 6 12 2" xfId="13442"/>
    <cellStyle name="计算 2 8 9 8" xfId="13443"/>
    <cellStyle name="汇总 2 2 7 15" xfId="13444"/>
    <cellStyle name="计算 2 11 6 8 5" xfId="13445"/>
    <cellStyle name="检查单元格 2 9 8 2 2" xfId="13446"/>
    <cellStyle name="汇总 2 6 2 11 2" xfId="13447"/>
    <cellStyle name="计算 2 8 9 9" xfId="13448"/>
    <cellStyle name="汇总 2 2 7 16" xfId="13449"/>
    <cellStyle name="输出 2 11 10 6 3" xfId="13450"/>
    <cellStyle name="汇总 2 2 7 2 2 2" xfId="13451"/>
    <cellStyle name="汇总 2 2 7 3 2" xfId="13452"/>
    <cellStyle name="输出 2 11 11 6 3" xfId="13453"/>
    <cellStyle name="汇总 2 2 7 3 2 2" xfId="13454"/>
    <cellStyle name="检查单元格 2 10 4 11" xfId="13455"/>
    <cellStyle name="输入 2 4 2 8 2" xfId="13456"/>
    <cellStyle name="汇总 2 2 7 5" xfId="13457"/>
    <cellStyle name="汇总 2 2 7 5 2" xfId="13458"/>
    <cellStyle name="汇总 2 2 7 5 2 2" xfId="13459"/>
    <cellStyle name="输出 2 2 9 3 4 2" xfId="13460"/>
    <cellStyle name="汇总 2 2 7 6" xfId="13461"/>
    <cellStyle name="检查单元格 2 10 4 12" xfId="13462"/>
    <cellStyle name="计算 2 4 5 2 4 2" xfId="13463"/>
    <cellStyle name="输入 2 4 2 8 3" xfId="13464"/>
    <cellStyle name="汇总 2 2 7 6 2" xfId="13465"/>
    <cellStyle name="汇总 2 2 7 6 2 2" xfId="13466"/>
    <cellStyle name="汇总 2 2 7 6 3" xfId="13467"/>
    <cellStyle name="注释 2 9 8 12 2" xfId="13468"/>
    <cellStyle name="汇总 2 2 7 6 3 2" xfId="13469"/>
    <cellStyle name="汇总 2 2 7 6 4" xfId="13470"/>
    <cellStyle name="计算 2 8 7 3 5" xfId="13471"/>
    <cellStyle name="汇总 2 3 8 2 8" xfId="13472"/>
    <cellStyle name="输入 2 2 16 2" xfId="13473"/>
    <cellStyle name="输入 2 2 21 2" xfId="13474"/>
    <cellStyle name="汇总 2 2 7 6 4 2" xfId="13475"/>
    <cellStyle name="计算 2 7 6 7 2 2" xfId="13476"/>
    <cellStyle name="汇总 2 2 7 6 5 2" xfId="13477"/>
    <cellStyle name="计算 2 7 6 7 3" xfId="13478"/>
    <cellStyle name="汇总 2 2 7 6 6" xfId="13479"/>
    <cellStyle name="汇总 2 7 2 8 2 2" xfId="13480"/>
    <cellStyle name="输入 2 5 8 6 4" xfId="13481"/>
    <cellStyle name="汇总 2 2 7 7 4" xfId="13482"/>
    <cellStyle name="计算 2 8 8 3 5" xfId="13483"/>
    <cellStyle name="注释 2 8 2 13" xfId="13484"/>
    <cellStyle name="汇总 2 3 9 2 8" xfId="13485"/>
    <cellStyle name="汇总 2 2 7 7 4 2" xfId="13486"/>
    <cellStyle name="计算 2 7 6 8 2 2" xfId="13487"/>
    <cellStyle name="汇总 2 2 7 7 5 2" xfId="13488"/>
    <cellStyle name="汇总 2 7 2 8 3 2" xfId="13489"/>
    <cellStyle name="输入 2 10 11 5 2 2" xfId="13490"/>
    <cellStyle name="输入 2 5 8 7 4" xfId="13491"/>
    <cellStyle name="计算 2 7 6 8 3" xfId="13492"/>
    <cellStyle name="汇总 2 2 7 7 6" xfId="13493"/>
    <cellStyle name="计算 2 5 11 10" xfId="13494"/>
    <cellStyle name="汇总 2 2 7 8 3" xfId="13495"/>
    <cellStyle name="输出 2 4 27" xfId="13496"/>
    <cellStyle name="检查单元格 2 6 2 10" xfId="13497"/>
    <cellStyle name="计算 2 3 11 9" xfId="13498"/>
    <cellStyle name="汇总 2 2 7 8 4" xfId="13499"/>
    <cellStyle name="汇总 2 2 8 10" xfId="13500"/>
    <cellStyle name="注释 2 10 6 8" xfId="13501"/>
    <cellStyle name="计算 2 12 9 9" xfId="13502"/>
    <cellStyle name="计算 2 2 5 5 5" xfId="13503"/>
    <cellStyle name="汇总 2 2 8 10 2" xfId="13504"/>
    <cellStyle name="注释 2 10 6 8 2" xfId="13505"/>
    <cellStyle name="计算 2 12 9 9 2" xfId="13506"/>
    <cellStyle name="计算 2 2 5 5 5 2" xfId="13507"/>
    <cellStyle name="检查单元格 2 4 2 5 2" xfId="13508"/>
    <cellStyle name="汇总 2 5 10 3 5 2" xfId="13509"/>
    <cellStyle name="汇总 2 2 8 11" xfId="13510"/>
    <cellStyle name="注释 2 10 6 9" xfId="13511"/>
    <cellStyle name="注释 2 2 8 4 4 2" xfId="13512"/>
    <cellStyle name="计算 2 2 5 5 6" xfId="13513"/>
    <cellStyle name="检查单元格 2 5 5 2 3" xfId="13514"/>
    <cellStyle name="汇总 2 2 8 11 2" xfId="13515"/>
    <cellStyle name="注释 2 10 6 9 2" xfId="13516"/>
    <cellStyle name="检查单元格 2 4 2 5 2 2" xfId="13517"/>
    <cellStyle name="计算 2 3 8 2 7" xfId="13518"/>
    <cellStyle name="注释 2 12 7 3 3 2" xfId="13519"/>
    <cellStyle name="检查单元格 2 4 2 5 3" xfId="13520"/>
    <cellStyle name="汇总 2 2 8 12" xfId="13521"/>
    <cellStyle name="计算 2 14 2" xfId="13522"/>
    <cellStyle name="检查单元格 2 4 2 5 4" xfId="13523"/>
    <cellStyle name="汇总 2 2 8 13" xfId="13524"/>
    <cellStyle name="计算 2 14 3" xfId="13525"/>
    <cellStyle name="检查单元格 2 4 2 5 5" xfId="13526"/>
    <cellStyle name="汇总 2 2 8 14" xfId="13527"/>
    <cellStyle name="计算 2 14 4" xfId="13528"/>
    <cellStyle name="计算 2 3 2 4 2 2" xfId="13529"/>
    <cellStyle name="汇总 2 2 8 5" xfId="13530"/>
    <cellStyle name="输出 2 7 8 2 3" xfId="13531"/>
    <cellStyle name="输出 2 2 9 3 5 2" xfId="13532"/>
    <cellStyle name="汇总 2 2 8 6" xfId="13533"/>
    <cellStyle name="输出 2 7 8 2 4" xfId="13534"/>
    <cellStyle name="计算 2 4 5 2 5 2" xfId="13535"/>
    <cellStyle name="汇总 2 4 10 5" xfId="13536"/>
    <cellStyle name="输入 2 7 18" xfId="13537"/>
    <cellStyle name="输入 2 7 23" xfId="13538"/>
    <cellStyle name="注释 2 3 10 4 2" xfId="13539"/>
    <cellStyle name="计算 2 7 7 7 3" xfId="13540"/>
    <cellStyle name="汇总 2 2 8 6 6" xfId="13541"/>
    <cellStyle name="计算 2 9 8 4 5" xfId="13542"/>
    <cellStyle name="汇总 2 4 11 4 2" xfId="13543"/>
    <cellStyle name="输出 2 12 8 8 2" xfId="13544"/>
    <cellStyle name="计算 2 12 2 10" xfId="13545"/>
    <cellStyle name="计算 2 7 7 8 2 2" xfId="13546"/>
    <cellStyle name="汇总 2 2 8 7 5 2" xfId="13547"/>
    <cellStyle name="汇总 2 4 11 5" xfId="13548"/>
    <cellStyle name="注释 2 3 10 5 2" xfId="13549"/>
    <cellStyle name="计算 2 7 7 8 3" xfId="13550"/>
    <cellStyle name="汇总 2 2 8 7 6" xfId="13551"/>
    <cellStyle name="汇总 2 2 9 10 2" xfId="13552"/>
    <cellStyle name="汇总 2 5 3 6 5 2" xfId="13553"/>
    <cellStyle name="汇总 2 2 9 11" xfId="13554"/>
    <cellStyle name="输出 2 8 6 8 2 2" xfId="13555"/>
    <cellStyle name="汇总 2 2 9 11 2" xfId="13556"/>
    <cellStyle name="计算 2 9 12 2 2" xfId="13557"/>
    <cellStyle name="注释 2 8 2 2 6" xfId="13558"/>
    <cellStyle name="汇总 2 2 9 12" xfId="13559"/>
    <cellStyle name="检查单元格 2 9 11 3 2" xfId="13560"/>
    <cellStyle name="汇总 2 2 9 13" xfId="13561"/>
    <cellStyle name="汇总 2 6 4 5 3" xfId="13562"/>
    <cellStyle name="汇总 2 2 9 16" xfId="13563"/>
    <cellStyle name="汇总 2 2 9 2 2" xfId="13564"/>
    <cellStyle name="汇总 2 2 9 2 2 2" xfId="13565"/>
    <cellStyle name="注释 2 4 3 6" xfId="13566"/>
    <cellStyle name="计算 2 7 8 3 6" xfId="13567"/>
    <cellStyle name="注释 2 3 2 14" xfId="13568"/>
    <cellStyle name="汇总 2 2 9 2 9" xfId="13569"/>
    <cellStyle name="汇总 2 6 6 4 4 2" xfId="13570"/>
    <cellStyle name="汇总 2 2 9 3" xfId="13571"/>
    <cellStyle name="输入 2 9 7 4 2 2" xfId="13572"/>
    <cellStyle name="汇总 2 2 9 3 2" xfId="13573"/>
    <cellStyle name="计算 2 2 2 2 4" xfId="13574"/>
    <cellStyle name="汇总 2 2 9 3 2 2" xfId="13575"/>
    <cellStyle name="注释 2 5 3 6" xfId="13576"/>
    <cellStyle name="计算 2 2 2 2 4 2" xfId="13577"/>
    <cellStyle name="汇总 2 4 2 4 3 2" xfId="13578"/>
    <cellStyle name="计算 2 9 4 2 2" xfId="13579"/>
    <cellStyle name="汇总 2 2 9 4" xfId="13580"/>
    <cellStyle name="输出 2 7 8 3 2" xfId="13581"/>
    <cellStyle name="计算 2 9 4 2 2 2" xfId="13582"/>
    <cellStyle name="汇总 2 2 9 4 2" xfId="13583"/>
    <cellStyle name="输出 2 7 8 3 2 2" xfId="13584"/>
    <cellStyle name="计算 2 2 2 3 4" xfId="13585"/>
    <cellStyle name="汇总 2 2 9 4 2 2" xfId="13586"/>
    <cellStyle name="注释 2 6 3 6" xfId="13587"/>
    <cellStyle name="计算 2 2 2 3 4 2" xfId="13588"/>
    <cellStyle name="输入 2 11 10 7 3" xfId="13589"/>
    <cellStyle name="计算 2 9 4 2 3" xfId="13590"/>
    <cellStyle name="输入 2 12 10 2" xfId="13591"/>
    <cellStyle name="汇总 2 2 9 5" xfId="13592"/>
    <cellStyle name="输出 2 7 8 3 3" xfId="13593"/>
    <cellStyle name="计算 2 9 4 2 3 2" xfId="13594"/>
    <cellStyle name="输入 2 12 10 2 2" xfId="13595"/>
    <cellStyle name="汇总 2 2 9 5 2" xfId="13596"/>
    <cellStyle name="输出 2 7 8 3 3 2" xfId="13597"/>
    <cellStyle name="计算 2 2 2 4 4" xfId="13598"/>
    <cellStyle name="汇总 2 3 13 5" xfId="13599"/>
    <cellStyle name="汇总 2 2 9 5 2 2" xfId="13600"/>
    <cellStyle name="注释 2 7 3 6" xfId="13601"/>
    <cellStyle name="输出 2 3 10 9" xfId="13602"/>
    <cellStyle name="计算 2 2 2 4 4 2" xfId="13603"/>
    <cellStyle name="输入 2 11 11 7 3" xfId="13604"/>
    <cellStyle name="汇总 2 3 14 5" xfId="13605"/>
    <cellStyle name="输入 2 9 9 10" xfId="13606"/>
    <cellStyle name="汇总 2 2 9 5 3 2" xfId="13607"/>
    <cellStyle name="注释 2 7 4 6" xfId="13608"/>
    <cellStyle name="输出 2 3 11 9" xfId="13609"/>
    <cellStyle name="注释 2 12 4 2 2 2" xfId="13610"/>
    <cellStyle name="计算 2 2 2 4 5 2" xfId="13611"/>
    <cellStyle name="输入 2 11 11 8 3" xfId="13612"/>
    <cellStyle name="汇总 2 2 9 5 4" xfId="13613"/>
    <cellStyle name="计算 2 2 2 4 6" xfId="13614"/>
    <cellStyle name="计算 2 8 10 12" xfId="13615"/>
    <cellStyle name="汇总 2 5 7 2 8" xfId="13616"/>
    <cellStyle name="检查单元格 2 2 4 2 3" xfId="13617"/>
    <cellStyle name="汇总 2 3 15 5" xfId="13618"/>
    <cellStyle name="汇总 2 2 9 5 4 2" xfId="13619"/>
    <cellStyle name="注释 2 7 5 6" xfId="13620"/>
    <cellStyle name="检查单元格 2 2 4 3 3" xfId="13621"/>
    <cellStyle name="计算 2 7 8 6 2 2" xfId="13622"/>
    <cellStyle name="汇总 2 3 16 5" xfId="13623"/>
    <cellStyle name="汇总 2 2 9 5 5 2" xfId="13624"/>
    <cellStyle name="注释 2 7 6 6" xfId="13625"/>
    <cellStyle name="计算 2 7 8 6 3" xfId="13626"/>
    <cellStyle name="汇总 2 2 9 5 6" xfId="13627"/>
    <cellStyle name="计算 2 9 4 2 4" xfId="13628"/>
    <cellStyle name="输入 2 12 10 3" xfId="13629"/>
    <cellStyle name="汇总 2 2 9 6" xfId="13630"/>
    <cellStyle name="输出 2 7 8 3 4" xfId="13631"/>
    <cellStyle name="计算 2 9 4 2 4 2" xfId="13632"/>
    <cellStyle name="输出 2 8" xfId="13633"/>
    <cellStyle name="输入 2 12 10 3 2" xfId="13634"/>
    <cellStyle name="汇总 2 2 9 6 2" xfId="13635"/>
    <cellStyle name="输出 2 7 8 3 4 2" xfId="13636"/>
    <cellStyle name="计算 2 2 2 5 4" xfId="13637"/>
    <cellStyle name="汇总 2 2 9 6 2 2" xfId="13638"/>
    <cellStyle name="注释 2 8 3 6" xfId="13639"/>
    <cellStyle name="计算 2 5 15 4" xfId="13640"/>
    <cellStyle name="计算 2 2 2 5 4 2" xfId="13641"/>
    <cellStyle name="汇总 2 2 9 6 3" xfId="13642"/>
    <cellStyle name="计算 2 2 2 5 5" xfId="13643"/>
    <cellStyle name="汇总 2 2 9 6 3 2" xfId="13644"/>
    <cellStyle name="注释 2 12 3 13" xfId="13645"/>
    <cellStyle name="注释 2 8 4 6" xfId="13646"/>
    <cellStyle name="计算 2 5 16 4" xfId="13647"/>
    <cellStyle name="计算 2 2 2 5 5 2" xfId="13648"/>
    <cellStyle name="汇总 2 2 9 6 4" xfId="13649"/>
    <cellStyle name="计算 2 2 2 5 6" xfId="13650"/>
    <cellStyle name="汇总 2 5 8 2 8" xfId="13651"/>
    <cellStyle name="检查单元格 2 2 5 2 3" xfId="13652"/>
    <cellStyle name="汇总 2 2 9 6 4 2" xfId="13653"/>
    <cellStyle name="注释 2 8 5 6" xfId="13654"/>
    <cellStyle name="计算 2 7 8 7 2" xfId="13655"/>
    <cellStyle name="汇总 2 2 9 6 5" xfId="13656"/>
    <cellStyle name="计算 2 11 5 7 4 2" xfId="13657"/>
    <cellStyle name="检查单元格 2 2 5 3 3" xfId="13658"/>
    <cellStyle name="计算 2 7 8 7 2 2" xfId="13659"/>
    <cellStyle name="汇总 2 2 9 6 5 2" xfId="13660"/>
    <cellStyle name="注释 2 8 6 6" xfId="13661"/>
    <cellStyle name="计算 2 7 8 7 3" xfId="13662"/>
    <cellStyle name="汇总 2 2 9 6 6" xfId="13663"/>
    <cellStyle name="汇总 2 2 9 7 2 2" xfId="13664"/>
    <cellStyle name="注释 2 9 3 6" xfId="13665"/>
    <cellStyle name="计算 2 2 2 6 4 2" xfId="13666"/>
    <cellStyle name="汇总 2 2 9 7 3" xfId="13667"/>
    <cellStyle name="计算 2 2 2 6 5" xfId="13668"/>
    <cellStyle name="汇总 2 2 9 7 3 2" xfId="13669"/>
    <cellStyle name="注释 2 12 8 13" xfId="13670"/>
    <cellStyle name="注释 2 9 4 6" xfId="13671"/>
    <cellStyle name="计算 2 2 2 6 5 2" xfId="13672"/>
    <cellStyle name="汇总 2 2 9 7 4" xfId="13673"/>
    <cellStyle name="计算 2 2 2 6 6" xfId="13674"/>
    <cellStyle name="汇总 2 5 9 2 8" xfId="13675"/>
    <cellStyle name="检查单元格 2 2 6 2 3" xfId="13676"/>
    <cellStyle name="汇总 2 2 9 7 4 2" xfId="13677"/>
    <cellStyle name="注释 2 9 5 6" xfId="13678"/>
    <cellStyle name="计算 2 7 8 8 2" xfId="13679"/>
    <cellStyle name="注释 2 3 3 10" xfId="13680"/>
    <cellStyle name="汇总 2 2 9 7 5" xfId="13681"/>
    <cellStyle name="计算 2 11 5 7 5 2" xfId="13682"/>
    <cellStyle name="检查单元格 2 2 6 3 3" xfId="13683"/>
    <cellStyle name="计算 2 7 8 8 2 2" xfId="13684"/>
    <cellStyle name="注释 2 3 3 10 2" xfId="13685"/>
    <cellStyle name="汇总 2 2 9 7 5 2" xfId="13686"/>
    <cellStyle name="注释 2 9 6 6" xfId="13687"/>
    <cellStyle name="计算 2 7 8 8 3" xfId="13688"/>
    <cellStyle name="注释 2 3 3 11" xfId="13689"/>
    <cellStyle name="汇总 2 2 9 7 6" xfId="13690"/>
    <cellStyle name="汇总 2 5 3 3 2 2" xfId="13691"/>
    <cellStyle name="汇总 2 2 9 8 4" xfId="13692"/>
    <cellStyle name="计算 2 2 2 7 6" xfId="13693"/>
    <cellStyle name="计算 2 7 8 9 2" xfId="13694"/>
    <cellStyle name="汇总 2 2 9 8 5" xfId="13695"/>
    <cellStyle name="汇总 2 8 11 3 6" xfId="13696"/>
    <cellStyle name="计算 2 11 3 4 2 2" xfId="13697"/>
    <cellStyle name="输入 2 3 7 4 3" xfId="13698"/>
    <cellStyle name="输出 2 3 9 6 2" xfId="13699"/>
    <cellStyle name="汇总 2 25" xfId="13700"/>
    <cellStyle name="计算 2 5 5 5 2" xfId="13701"/>
    <cellStyle name="计算 2 12 4 2 4" xfId="13702"/>
    <cellStyle name="汇总 2 3 10" xfId="13703"/>
    <cellStyle name="注释 2 5 8 5 4 2" xfId="13704"/>
    <cellStyle name="检查单元格 2 5 8 5 2 2" xfId="13705"/>
    <cellStyle name="汇总 2 3 10 10" xfId="13706"/>
    <cellStyle name="汇总 2 5 6 3 3" xfId="13707"/>
    <cellStyle name="输出 2 3 3 3 5" xfId="13708"/>
    <cellStyle name="汇总 2 9 11 2 4" xfId="13709"/>
    <cellStyle name="注释 2 6 4 6 3 2" xfId="13710"/>
    <cellStyle name="汇总 2 5 6 3 3 2" xfId="13711"/>
    <cellStyle name="汇总 2 3 10 10 2" xfId="13712"/>
    <cellStyle name="输出 2 3 3 3 5 2" xfId="13713"/>
    <cellStyle name="汇总 2 9 11 2 4 2" xfId="13714"/>
    <cellStyle name="输出 2 11 6 3 5" xfId="13715"/>
    <cellStyle name="输入 2 7 5 14" xfId="13716"/>
    <cellStyle name="汇总 2 5 6 3 4" xfId="13717"/>
    <cellStyle name="输入 2 9 8 5 4 2" xfId="13718"/>
    <cellStyle name="汇总 2 3 10 11" xfId="13719"/>
    <cellStyle name="输出 2 3 3 3 6" xfId="13720"/>
    <cellStyle name="汇总 2 9 11 2 5" xfId="13721"/>
    <cellStyle name="计算 2 2 2" xfId="13722"/>
    <cellStyle name="汇总 2 5 6 3 4 2" xfId="13723"/>
    <cellStyle name="汇总 2 3 10 11 2" xfId="13724"/>
    <cellStyle name="输出 2 11 6 4 5" xfId="13725"/>
    <cellStyle name="输入 2 8 7 3 2 2" xfId="13726"/>
    <cellStyle name="汇总 2 9 11 2 5 2" xfId="13727"/>
    <cellStyle name="计算 2 2 2 2" xfId="13728"/>
    <cellStyle name="检查单元格 2 2 11 2 2" xfId="13729"/>
    <cellStyle name="汇总 2 3 10 12" xfId="13730"/>
    <cellStyle name="汇总 2 5 6 3 5" xfId="13731"/>
    <cellStyle name="输出 2 8 9 5 2" xfId="13732"/>
    <cellStyle name="汇总 2 9 11 2 6" xfId="13733"/>
    <cellStyle name="计算 2 2 3" xfId="13734"/>
    <cellStyle name="计算 2 9 2 6 2 2" xfId="13735"/>
    <cellStyle name="注释 2 6 6 3" xfId="13736"/>
    <cellStyle name="汇总 2 4 3 5 5 2" xfId="13737"/>
    <cellStyle name="输出 2 7 6 7 2 2" xfId="13738"/>
    <cellStyle name="汇总 2 5 6 3 5 2" xfId="13739"/>
    <cellStyle name="输出 2 8 9 5 2 2" xfId="13740"/>
    <cellStyle name="汇总 2 3 10 12 2" xfId="13741"/>
    <cellStyle name="输出 2 11 6 5 5" xfId="13742"/>
    <cellStyle name="输入 2 8 7 3 3 2" xfId="13743"/>
    <cellStyle name="计算 2 2 3 2" xfId="13744"/>
    <cellStyle name="汇总 2 5 6 3 6" xfId="13745"/>
    <cellStyle name="输出 2 8 9 5 3" xfId="13746"/>
    <cellStyle name="汇总 2 3 10 13" xfId="13747"/>
    <cellStyle name="检查单元格 2 10 11 2" xfId="13748"/>
    <cellStyle name="输入 2 8 7 3 4" xfId="13749"/>
    <cellStyle name="计算 2 2 4" xfId="13750"/>
    <cellStyle name="汇总 2 3 10 14" xfId="13751"/>
    <cellStyle name="检查单元格 2 6 3 3 4 2" xfId="13752"/>
    <cellStyle name="检查单元格 2 10 11 3" xfId="13753"/>
    <cellStyle name="输入 2 8 7 3 5" xfId="13754"/>
    <cellStyle name="计算 2 2 5" xfId="13755"/>
    <cellStyle name="汇总 2 3 10 16" xfId="13756"/>
    <cellStyle name="计算 2 12 3 2 3 2" xfId="13757"/>
    <cellStyle name="输出 2 8 9 5 6" xfId="13758"/>
    <cellStyle name="检查单元格 2 10 11 5" xfId="13759"/>
    <cellStyle name="汇总 2 8 10 3 5 2" xfId="13760"/>
    <cellStyle name="计算 2 3 18 3 2" xfId="13761"/>
    <cellStyle name="计算 2 6 10 3 3" xfId="13762"/>
    <cellStyle name="计算 2 2 7" xfId="13763"/>
    <cellStyle name="输入 2 3 6 4 2 2" xfId="13764"/>
    <cellStyle name="输出 2 5 3 16" xfId="13765"/>
    <cellStyle name="千位[0]_laroux" xfId="13766"/>
    <cellStyle name="汇总 2 3 10 2 2 2" xfId="13767"/>
    <cellStyle name="输出 2 9 8 2 4" xfId="13768"/>
    <cellStyle name="计算 2 4 7 2 5 2" xfId="13769"/>
    <cellStyle name="输入 2 6 2 4" xfId="13770"/>
    <cellStyle name="汇总 2 3 10 2 3" xfId="13771"/>
    <cellStyle name="计算 2 4 7 2 6" xfId="13772"/>
    <cellStyle name="汇总 2 3 10 2 3 2" xfId="13773"/>
    <cellStyle name="输出 2 9 8 3 4" xfId="13774"/>
    <cellStyle name="输出 2 4 2 2 9" xfId="13775"/>
    <cellStyle name="汇总 2 5 4 12" xfId="13776"/>
    <cellStyle name="检查单元格 2 6 4 2 3 2" xfId="13777"/>
    <cellStyle name="输入 2 9 6 2 5" xfId="13778"/>
    <cellStyle name="汇总 2 6 5 2 7" xfId="13779"/>
    <cellStyle name="汇总 2 3 10 2 4 2" xfId="13780"/>
    <cellStyle name="输出 2 9 8 4 4" xfId="13781"/>
    <cellStyle name="汇总 2 3 10 2 6" xfId="13782"/>
    <cellStyle name="计算 2 4 7 2 9" xfId="13783"/>
    <cellStyle name="检查单元格 2 6 4 2 6" xfId="13784"/>
    <cellStyle name="汇总 2 4 16 4 2" xfId="13785"/>
    <cellStyle name="汇总 2 3 10 2 7" xfId="13786"/>
    <cellStyle name="输出 2 2 21 2" xfId="13787"/>
    <cellStyle name="输出 2 2 16 2" xfId="13788"/>
    <cellStyle name="计算 2 8 7 4 3 2" xfId="13789"/>
    <cellStyle name="汇总 2 3 10 2 8" xfId="13790"/>
    <cellStyle name="输出 2 4 7 5 2 2" xfId="13791"/>
    <cellStyle name="汇总 2 6 15 5 2" xfId="13792"/>
    <cellStyle name="计算 2 6 3 4 2 2" xfId="13793"/>
    <cellStyle name="检查单元格 2 3 2 7" xfId="13794"/>
    <cellStyle name="输入 2 4 5 3 3 2" xfId="13795"/>
    <cellStyle name="注释 2 9 19" xfId="13796"/>
    <cellStyle name="注释 2 9 24" xfId="13797"/>
    <cellStyle name="汇总 2 5 2 6 2" xfId="13798"/>
    <cellStyle name="注释 2 2 7 4 6" xfId="13799"/>
    <cellStyle name="输出 2 2 16 3" xfId="13800"/>
    <cellStyle name="输入 2 10 7 6 5 2" xfId="13801"/>
    <cellStyle name="汇总 2 3 10 2 9" xfId="13802"/>
    <cellStyle name="汇总 2 3 10 3 3 2" xfId="13803"/>
    <cellStyle name="输出 2 9 9 3 4" xfId="13804"/>
    <cellStyle name="输出 2 4 3 2 9" xfId="13805"/>
    <cellStyle name="汇总 2 5 9 12" xfId="13806"/>
    <cellStyle name="检查单元格 2 6 4 3 3 2" xfId="13807"/>
    <cellStyle name="输入 2 9 7 2 5" xfId="13808"/>
    <cellStyle name="汇总 2 6 6 2 7" xfId="13809"/>
    <cellStyle name="汇总 2 3 10 3 4 2" xfId="13810"/>
    <cellStyle name="输出 2 9 9 4 4" xfId="13811"/>
    <cellStyle name="汇总 2 4 10 14" xfId="13812"/>
    <cellStyle name="输入 2 7 5 4" xfId="13813"/>
    <cellStyle name="汇总 2 3 10 3 5 2" xfId="13814"/>
    <cellStyle name="输出 2 9 9 5 4" xfId="13815"/>
    <cellStyle name="汇总 2 3 10 4 3 2" xfId="13816"/>
    <cellStyle name="汇总 2 3 10 4 4" xfId="13817"/>
    <cellStyle name="计算 2 9 10 11" xfId="13818"/>
    <cellStyle name="汇总 2 6 7 2 7" xfId="13819"/>
    <cellStyle name="汇总 2 3 10 4 4 2" xfId="13820"/>
    <cellStyle name="汇总 2 3 10 4 5 2" xfId="13821"/>
    <cellStyle name="检查单元格 2 6 4 4 4 2" xfId="13822"/>
    <cellStyle name="计算 2 2 10 2" xfId="13823"/>
    <cellStyle name="输入 2 9 8 3 5" xfId="13824"/>
    <cellStyle name="检查单元格 2 10 2 4 2 2" xfId="13825"/>
    <cellStyle name="汇总 2 3 10 4 6" xfId="13826"/>
    <cellStyle name="计算 2 10 3 3 3 2" xfId="13827"/>
    <cellStyle name="检查单元格 2 6 4 4 5" xfId="13828"/>
    <cellStyle name="计算 2 2 11" xfId="13829"/>
    <cellStyle name="汇总 2 3 10 5 3 2" xfId="13830"/>
    <cellStyle name="汇总 2 3 10 5 4" xfId="13831"/>
    <cellStyle name="计算 2 11 6 2 9" xfId="13832"/>
    <cellStyle name="汇总 2 6 8 2 7" xfId="13833"/>
    <cellStyle name="汇总 2 3 10 5 4 2" xfId="13834"/>
    <cellStyle name="汇总 2 3 10 5 5" xfId="13835"/>
    <cellStyle name="汇总 2 3 10 5 5 2" xfId="13836"/>
    <cellStyle name="检查单元格 2 10 2 4 3 2" xfId="13837"/>
    <cellStyle name="汇总 2 3 10 5 6" xfId="13838"/>
    <cellStyle name="计算 2 10 3 3 4 2" xfId="13839"/>
    <cellStyle name="计算 2 3 4 6 2 2" xfId="13840"/>
    <cellStyle name="输出 2 2 10 5 5 2" xfId="13841"/>
    <cellStyle name="汇总 2 3 10 6" xfId="13842"/>
    <cellStyle name="汇总 2 3 10 6 3 2" xfId="13843"/>
    <cellStyle name="汇总 2 3 10 6 4" xfId="13844"/>
    <cellStyle name="汇总 2 3 10 6 5" xfId="13845"/>
    <cellStyle name="检查单元格 2 10 2 4 4 2" xfId="13846"/>
    <cellStyle name="汇总 2 3 10 6 6" xfId="13847"/>
    <cellStyle name="计算 2 10 3 3 5 2" xfId="13848"/>
    <cellStyle name="计算 2 3 4 6 3 2" xfId="13849"/>
    <cellStyle name="汇总 2 3 10 7 3 2" xfId="13850"/>
    <cellStyle name="汇总 2 3 10 7 4" xfId="13851"/>
    <cellStyle name="输出 2 4 7 2 9" xfId="13852"/>
    <cellStyle name="汇总 2 6 4 12" xfId="13853"/>
    <cellStyle name="输入 2 12 3 3 4 2" xfId="13854"/>
    <cellStyle name="汇总 2 3 10 7 4 2" xfId="13855"/>
    <cellStyle name="汇总 2 3 10 7 5" xfId="13856"/>
    <cellStyle name="汇总 2 3 10 7 5 2" xfId="13857"/>
    <cellStyle name="检查单元格 2 10 2 4 5 2" xfId="13858"/>
    <cellStyle name="汇总 2 3 10 7 6" xfId="13859"/>
    <cellStyle name="计算 2 3 4 6 4 2" xfId="13860"/>
    <cellStyle name="汇总 2 3 10 8 3 2" xfId="13861"/>
    <cellStyle name="汇总 2 3 10 8 4" xfId="13862"/>
    <cellStyle name="输入 2 3 5 15" xfId="13863"/>
    <cellStyle name="输出 2 4 8 2 9" xfId="13864"/>
    <cellStyle name="汇总 2 6 9 12" xfId="13865"/>
    <cellStyle name="输入 2 12 3 4 4 2" xfId="13866"/>
    <cellStyle name="汇总 2 3 10 8 4 2" xfId="13867"/>
    <cellStyle name="汇总 2 3 10 8 5" xfId="13868"/>
    <cellStyle name="输入 2 3 5 16" xfId="13869"/>
    <cellStyle name="汇总 2 3 11" xfId="13870"/>
    <cellStyle name="检查单元格 2 7 4 8" xfId="13871"/>
    <cellStyle name="汇总 2 3 11 10" xfId="13872"/>
    <cellStyle name="汇总 2 5 6 8 3" xfId="13873"/>
    <cellStyle name="输出 2 3 3 8 5" xfId="13874"/>
    <cellStyle name="输出 2 11 3 2 4" xfId="13875"/>
    <cellStyle name="输出 2 10 17 4 2" xfId="13876"/>
    <cellStyle name="汇总 2 9 11 7 4" xfId="13877"/>
    <cellStyle name="检查单元格 2 7 4 8 2" xfId="13878"/>
    <cellStyle name="汇总 2 3 11 10 2" xfId="13879"/>
    <cellStyle name="汇总 2 5 6 8 3 2" xfId="13880"/>
    <cellStyle name="输出 2 5 5 3" xfId="13881"/>
    <cellStyle name="输入 2 8 5 14" xfId="13882"/>
    <cellStyle name="输出 2 11 3 2 4 2" xfId="13883"/>
    <cellStyle name="汇总 2 9 11 7 4 2" xfId="13884"/>
    <cellStyle name="检查单元格 2 7 4 9" xfId="13885"/>
    <cellStyle name="汇总 2 3 11 11" xfId="13886"/>
    <cellStyle name="汇总 2 5 6 8 4" xfId="13887"/>
    <cellStyle name="输出 2 11 3 2 5" xfId="13888"/>
    <cellStyle name="计算 2 7 2" xfId="13889"/>
    <cellStyle name="汇总 2 9 11 7 5" xfId="13890"/>
    <cellStyle name="检查单元格 2 7 4 9 2" xfId="13891"/>
    <cellStyle name="汇总 2 3 11 11 2" xfId="13892"/>
    <cellStyle name="汇总 2 5 6 8 4 2" xfId="13893"/>
    <cellStyle name="输出 2 5 6 3" xfId="13894"/>
    <cellStyle name="输入 2 8 7 8 2 2" xfId="13895"/>
    <cellStyle name="输出 2 11 3 2 5 2" xfId="13896"/>
    <cellStyle name="计算 2 7 2 2" xfId="13897"/>
    <cellStyle name="汇总 2 9 11 7 5 2" xfId="13898"/>
    <cellStyle name="汇总 2 3 11 12 2" xfId="13899"/>
    <cellStyle name="汇总 2 3 11 13" xfId="13900"/>
    <cellStyle name="输出 2 11 3 2 7" xfId="13901"/>
    <cellStyle name="计算 2 7 4" xfId="13902"/>
    <cellStyle name="汇总 2 7 5 7 4 2" xfId="13903"/>
    <cellStyle name="输入 2 8 7 8 4" xfId="13904"/>
    <cellStyle name="汇总 2 3 11 14" xfId="13905"/>
    <cellStyle name="输出 2 2 2 3 2" xfId="13906"/>
    <cellStyle name="汇总 2 3 11 16" xfId="13907"/>
    <cellStyle name="汇总 2 3 11 2 3" xfId="13908"/>
    <cellStyle name="计算 2 4 8 2 6" xfId="13909"/>
    <cellStyle name="检查单元格 2 4 2 4" xfId="13910"/>
    <cellStyle name="汇总 2 5 10 3 4" xfId="13911"/>
    <cellStyle name="注释 2 2 8 4 3" xfId="13912"/>
    <cellStyle name="注释 2 5 9 5 4 2" xfId="13913"/>
    <cellStyle name="注释 2 7 10 2 5 2" xfId="13914"/>
    <cellStyle name="汇总 2 3 11 2 6" xfId="13915"/>
    <cellStyle name="计算 2 4 8 2 9" xfId="13916"/>
    <cellStyle name="检查单元格 2 4 4 2 2" xfId="13917"/>
    <cellStyle name="汇总 2 5 10 5 2 2" xfId="13918"/>
    <cellStyle name="注释 2 12 3 9" xfId="13919"/>
    <cellStyle name="计算 2 2 7 2 6" xfId="13920"/>
    <cellStyle name="输出 2 5 4 2 9" xfId="13921"/>
    <cellStyle name="注释 2 11 14 2 2" xfId="13922"/>
    <cellStyle name="检查单元格 2 6 5 4 3 2" xfId="13923"/>
    <cellStyle name="汇总 2 4 21" xfId="13924"/>
    <cellStyle name="汇总 2 4 16" xfId="13925"/>
    <cellStyle name="汇总 2 3 11 4 4 2" xfId="13926"/>
    <cellStyle name="汇总 2 7 7 2 7" xfId="13927"/>
    <cellStyle name="汇总 2 3 11 5 3 2" xfId="13928"/>
    <cellStyle name="检查单元格 2 4 5 2" xfId="13929"/>
    <cellStyle name="汇总 2 5 10 6 2" xfId="13930"/>
    <cellStyle name="汇总 2 3 11 5 4" xfId="13931"/>
    <cellStyle name="计算 2 11 7 2 9" xfId="13932"/>
    <cellStyle name="检查单元格 2 4 5 2 2" xfId="13933"/>
    <cellStyle name="汇总 2 5 10 6 2 2" xfId="13934"/>
    <cellStyle name="输入 2 9 2 16" xfId="13935"/>
    <cellStyle name="计算 2 2 8 2 6" xfId="13936"/>
    <cellStyle name="输出 2 5 5 2 9" xfId="13937"/>
    <cellStyle name="注释 2 11 15 2 2" xfId="13938"/>
    <cellStyle name="检查单元格 2 6 5 5 3 2" xfId="13939"/>
    <cellStyle name="汇总 2 9 16" xfId="13940"/>
    <cellStyle name="汇总 2 9 21" xfId="13941"/>
    <cellStyle name="汇总 2 3 11 5 4 2" xfId="13942"/>
    <cellStyle name="汇总 2 7 8 2 7" xfId="13943"/>
    <cellStyle name="计算 2 11 10 7" xfId="13944"/>
    <cellStyle name="检查单元格 2 4 5 3" xfId="13945"/>
    <cellStyle name="计算 2 5 8 7 3 2" xfId="13946"/>
    <cellStyle name="汇总 2 5 10 6 3" xfId="13947"/>
    <cellStyle name="计算 2 12 7 4 5 2" xfId="13948"/>
    <cellStyle name="注释 2 2 8 7 2" xfId="13949"/>
    <cellStyle name="汇总 2 3 11 5 5" xfId="13950"/>
    <cellStyle name="检查单元格 2 4 5 4" xfId="13951"/>
    <cellStyle name="汇总 2 5 10 6 4" xfId="13952"/>
    <cellStyle name="汇总 2 8 4 7 3 2" xfId="13953"/>
    <cellStyle name="注释 2 2 8 7 3" xfId="13954"/>
    <cellStyle name="检查单元格 2 10 2 5 3 2" xfId="13955"/>
    <cellStyle name="汇总 2 3 11 5 6" xfId="13956"/>
    <cellStyle name="计算 2 10 3 4 4 2" xfId="13957"/>
    <cellStyle name="计算 2 3 4 7 2 2" xfId="13958"/>
    <cellStyle name="汇总 2 6 11 3 2 2" xfId="13959"/>
    <cellStyle name="汇总 2 3 11 6" xfId="13960"/>
    <cellStyle name="检查单元格 2 4 6 2" xfId="13961"/>
    <cellStyle name="汇总 2 5 10 7 2" xfId="13962"/>
    <cellStyle name="汇总 2 3 11 6 4" xfId="13963"/>
    <cellStyle name="检查单元格 2 4 6 2 2" xfId="13964"/>
    <cellStyle name="汇总 2 5 10 7 2 2" xfId="13965"/>
    <cellStyle name="输入 2 9 7 16" xfId="13966"/>
    <cellStyle name="计算 2 2 9 2 6" xfId="13967"/>
    <cellStyle name="注释 2 5 2 3 3" xfId="13968"/>
    <cellStyle name="输出 2 10 2 5 6" xfId="13969"/>
    <cellStyle name="汇总 2 3 11 6 4 2" xfId="13970"/>
    <cellStyle name="汇总 2 7 9 2 7" xfId="13971"/>
    <cellStyle name="检查单元格 2 4 6 3" xfId="13972"/>
    <cellStyle name="计算 2 5 8 7 4 2" xfId="13973"/>
    <cellStyle name="汇总 2 5 10 7 3" xfId="13974"/>
    <cellStyle name="注释 2 2 8 8 2" xfId="13975"/>
    <cellStyle name="汇总 2 3 11 6 5" xfId="13976"/>
    <cellStyle name="检查单元格 2 4 6 4" xfId="13977"/>
    <cellStyle name="汇总 2 5 10 7 4" xfId="13978"/>
    <cellStyle name="汇总 2 8 4 7 4 2" xfId="13979"/>
    <cellStyle name="注释 2 2 8 8 3" xfId="13980"/>
    <cellStyle name="检查单元格 2 10 2 5 4 2" xfId="13981"/>
    <cellStyle name="汇总 2 3 11 6 6" xfId="13982"/>
    <cellStyle name="计算 2 10 3 4 5 2" xfId="13983"/>
    <cellStyle name="计算 2 3 4 7 3 2" xfId="13984"/>
    <cellStyle name="检查单元格 2 4 7 2" xfId="13985"/>
    <cellStyle name="汇总 2 5 10 8 2" xfId="13986"/>
    <cellStyle name="汇总 2 3 11 7 4" xfId="13987"/>
    <cellStyle name="检查单元格 2 4 7 2 2" xfId="13988"/>
    <cellStyle name="汇总 2 5 10 8 2 2" xfId="13989"/>
    <cellStyle name="输出 2 10 3 5 6" xfId="13990"/>
    <cellStyle name="汇总 2 3 11 7 4 2" xfId="13991"/>
    <cellStyle name="输出 2 6 4 2 2" xfId="13992"/>
    <cellStyle name="检查单元格 2 4 7 3" xfId="13993"/>
    <cellStyle name="计算 2 5 8 7 5 2" xfId="13994"/>
    <cellStyle name="汇总 2 5 10 8 3" xfId="13995"/>
    <cellStyle name="注释 2 2 8 9 2" xfId="13996"/>
    <cellStyle name="汇总 2 3 11 7 5" xfId="13997"/>
    <cellStyle name="输出 2 6 4 2 3" xfId="13998"/>
    <cellStyle name="检查单元格 2 4 7 4" xfId="13999"/>
    <cellStyle name="汇总 2 5 10 8 4" xfId="14000"/>
    <cellStyle name="汇总 2 8 4 7 5 2" xfId="14001"/>
    <cellStyle name="汇总 2 3 11 7 6" xfId="14002"/>
    <cellStyle name="计算 2 3 4 7 4 2" xfId="14003"/>
    <cellStyle name="汇总 2 5 2 10 2" xfId="14004"/>
    <cellStyle name="注释 2 16 2 9" xfId="14005"/>
    <cellStyle name="输出 2 10 4 4 6" xfId="14006"/>
    <cellStyle name="汇总 2 3 11 8 3 2" xfId="14007"/>
    <cellStyle name="检查单元格 2 4 8 2" xfId="14008"/>
    <cellStyle name="汇总 2 5 2 11" xfId="14009"/>
    <cellStyle name="汇总 2 5 10 9 2" xfId="14010"/>
    <cellStyle name="汇总 2 3 11 8 4" xfId="14011"/>
    <cellStyle name="检查单元格 2 4 8 2 2" xfId="14012"/>
    <cellStyle name="汇总 2 5 2 11 2" xfId="14013"/>
    <cellStyle name="输出 2 10 4 5 6" xfId="14014"/>
    <cellStyle name="汇总 2 3 11 8 4 2" xfId="14015"/>
    <cellStyle name="输出 2 6 4 3 2" xfId="14016"/>
    <cellStyle name="检查单元格 2 4 8 3" xfId="14017"/>
    <cellStyle name="汇总 2 5 2 12" xfId="14018"/>
    <cellStyle name="汇总 2 3 11 8 5" xfId="14019"/>
    <cellStyle name="汇总 2 3 12" xfId="14020"/>
    <cellStyle name="汇总 2 3 12 5" xfId="14021"/>
    <cellStyle name="计算 2 2 2 4 3 2" xfId="14022"/>
    <cellStyle name="输入 2 11 11 6 3" xfId="14023"/>
    <cellStyle name="汇总 2 6 11 3 3 2" xfId="14024"/>
    <cellStyle name="汇总 2 3 12 6" xfId="14025"/>
    <cellStyle name="注释 2 7 9 4 2 2" xfId="14026"/>
    <cellStyle name="汇总 2 5 8 3 4 2" xfId="14027"/>
    <cellStyle name="输出 2 9 10 6 5 2" xfId="14028"/>
    <cellStyle name="注释 2 10 10 8 4" xfId="14029"/>
    <cellStyle name="汇总 2 3 12 8" xfId="14030"/>
    <cellStyle name="汇总 2 3 4 3 3 2" xfId="14031"/>
    <cellStyle name="汇总 2 3 12 9" xfId="14032"/>
    <cellStyle name="汇总 2 3 2 2" xfId="14033"/>
    <cellStyle name="汇总 2 4 3 6 2" xfId="14034"/>
    <cellStyle name="汇总 2 3 13" xfId="14035"/>
    <cellStyle name="汇总 2 6 11 3 4 2" xfId="14036"/>
    <cellStyle name="汇总 2 3 13 6" xfId="14037"/>
    <cellStyle name="注释 2 7 9 4 3 2" xfId="14038"/>
    <cellStyle name="检查单元格 2 5 7 2 5 2" xfId="14039"/>
    <cellStyle name="汇总 2 4 3 6 3" xfId="14040"/>
    <cellStyle name="汇总 2 3 14" xfId="14041"/>
    <cellStyle name="汇总 2 6 11 3 5 2" xfId="14042"/>
    <cellStyle name="汇总 2 3 14 6" xfId="14043"/>
    <cellStyle name="输入 2 9 9 11" xfId="14044"/>
    <cellStyle name="注释 2 7 9 4 4 2" xfId="14045"/>
    <cellStyle name="计算 2 8 10 11" xfId="14046"/>
    <cellStyle name="汇总 2 5 7 2 7" xfId="14047"/>
    <cellStyle name="检查单元格 2 4 11 2 2" xfId="14048"/>
    <cellStyle name="检查单元格 2 2 4 2 2" xfId="14049"/>
    <cellStyle name="汇总 2 3 15 4" xfId="14050"/>
    <cellStyle name="计算 2 8 10 13" xfId="14051"/>
    <cellStyle name="汇总 2 5 7 2 9" xfId="14052"/>
    <cellStyle name="计算 2 12 3 3 2 2" xfId="14053"/>
    <cellStyle name="检查单元格 2 6 10 3 2" xfId="14054"/>
    <cellStyle name="汇总 2 8 10 4 4 2" xfId="14055"/>
    <cellStyle name="计算 2 3 19 2 2" xfId="14056"/>
    <cellStyle name="输入 2 8 8 2 7" xfId="14057"/>
    <cellStyle name="计算 2 6 11 2 3" xfId="14058"/>
    <cellStyle name="检查单元格 2 2 4 2 4" xfId="14059"/>
    <cellStyle name="汇总 2 3 15 6" xfId="14060"/>
    <cellStyle name="注释 2 7 9 4 5 2" xfId="14061"/>
    <cellStyle name="检查单元格 2 2 12 2 2" xfId="14062"/>
    <cellStyle name="汇总 2 5 7 3 5" xfId="14063"/>
    <cellStyle name="计算 2 9 2 7 2 2" xfId="14064"/>
    <cellStyle name="注释 2 7 6 3" xfId="14065"/>
    <cellStyle name="汇总 2 4 3 6 5 2" xfId="14066"/>
    <cellStyle name="汇总 2 3 21 2" xfId="14067"/>
    <cellStyle name="汇总 2 3 16 2" xfId="14068"/>
    <cellStyle name="输出 2 7 6 8 2 2" xfId="14069"/>
    <cellStyle name="汇总 2 5 7 3 5 2" xfId="14070"/>
    <cellStyle name="汇总 2 3 16 2 2" xfId="14071"/>
    <cellStyle name="汇总 2 5 7 3 6" xfId="14072"/>
    <cellStyle name="汇总 2 3 16 3" xfId="14073"/>
    <cellStyle name="计算 2 4 12 2 2" xfId="14074"/>
    <cellStyle name="注释 2 7 6 4" xfId="14075"/>
    <cellStyle name="检查单元格 2 4 11 3 2" xfId="14076"/>
    <cellStyle name="检查单元格 2 2 4 3 2" xfId="14077"/>
    <cellStyle name="汇总 2 3 16 4" xfId="14078"/>
    <cellStyle name="检查单元格 2 2 4 3 4" xfId="14079"/>
    <cellStyle name="汇总 2 3 16 6" xfId="14080"/>
    <cellStyle name="输出 2 5 11 10" xfId="14081"/>
    <cellStyle name="计算 2 9 2 7 3" xfId="14082"/>
    <cellStyle name="输出 2 15 6 2 2" xfId="14083"/>
    <cellStyle name="汇总 2 4 3 6 6" xfId="14084"/>
    <cellStyle name="汇总 2 3 22" xfId="14085"/>
    <cellStyle name="汇总 2 3 17" xfId="14086"/>
    <cellStyle name="输出 2 7 6 8 3" xfId="14087"/>
    <cellStyle name="汇总 2 7 4 4 2 2" xfId="14088"/>
    <cellStyle name="输入 2 7 4 6 4" xfId="14089"/>
    <cellStyle name="检查单元格 2 2 12 3 2" xfId="14090"/>
    <cellStyle name="汇总 2 5 7 4 5" xfId="14091"/>
    <cellStyle name="输入 2 3 2 2 8" xfId="14092"/>
    <cellStyle name="计算 2 11 8 5 2 2" xfId="14093"/>
    <cellStyle name="输入 2 8 8 4 3" xfId="14094"/>
    <cellStyle name="输出 2 5 11 10 2" xfId="14095"/>
    <cellStyle name="计算 2 9 2 7 3 2" xfId="14096"/>
    <cellStyle name="注释 2 7 7 3" xfId="14097"/>
    <cellStyle name="汇总 2 3 22 2" xfId="14098"/>
    <cellStyle name="汇总 2 3 17 2" xfId="14099"/>
    <cellStyle name="输出 2 7 6 8 3 2" xfId="14100"/>
    <cellStyle name="汇总 2 5 7 4 5 2" xfId="14101"/>
    <cellStyle name="输入 2 7 14 5" xfId="14102"/>
    <cellStyle name="汇总 2 3 17 2 2" xfId="14103"/>
    <cellStyle name="输出 2 5 2 8 2 2" xfId="14104"/>
    <cellStyle name="汇总 2 5 7 4 6" xfId="14105"/>
    <cellStyle name="输入 2 3 2 2 9" xfId="14106"/>
    <cellStyle name="汇总 2 3 17 3" xfId="14107"/>
    <cellStyle name="计算 2 4 12 3 2" xfId="14108"/>
    <cellStyle name="注释 2 7 7 4" xfId="14109"/>
    <cellStyle name="计算 2 9 7 2 8" xfId="14110"/>
    <cellStyle name="汇总 2 4 10 2 5" xfId="14111"/>
    <cellStyle name="输入 2 7 15 5" xfId="14112"/>
    <cellStyle name="汇总 2 3 17 3 2" xfId="14113"/>
    <cellStyle name="检查单元格 2 4 11 4 2" xfId="14114"/>
    <cellStyle name="检查单元格 2 2 4 4 2" xfId="14115"/>
    <cellStyle name="汇总 2 3 17 4" xfId="14116"/>
    <cellStyle name="汇总 2 4 10 3 5" xfId="14117"/>
    <cellStyle name="输入 2 7 16 5" xfId="14118"/>
    <cellStyle name="检查单元格 2 2 4 4 2 2" xfId="14119"/>
    <cellStyle name="汇总 2 3 17 4 2" xfId="14120"/>
    <cellStyle name="检查单元格 2 2 4 4 3" xfId="14121"/>
    <cellStyle name="计算 2 7 8 6 3 2" xfId="14122"/>
    <cellStyle name="汇总 2 3 17 5" xfId="14123"/>
    <cellStyle name="汇总 2 4 10 4 5" xfId="14124"/>
    <cellStyle name="输入 2 7 17 5" xfId="14125"/>
    <cellStyle name="检查单元格 2 2 4 4 3 2" xfId="14126"/>
    <cellStyle name="汇总 2 3 17 5 2" xfId="14127"/>
    <cellStyle name="检查单元格 2 2 4 4 4" xfId="14128"/>
    <cellStyle name="汇总 2 3 17 6" xfId="14129"/>
    <cellStyle name="输出 2 5 11 11" xfId="14130"/>
    <cellStyle name="输出 2 4 11 6 3 2" xfId="14131"/>
    <cellStyle name="计算 2 9 2 7 4" xfId="14132"/>
    <cellStyle name="汇总 2 3 23" xfId="14133"/>
    <cellStyle name="汇总 2 3 18" xfId="14134"/>
    <cellStyle name="输出 2 7 6 8 4" xfId="14135"/>
    <cellStyle name="输出 2 12 17 2" xfId="14136"/>
    <cellStyle name="汇总 2 9 9 8 2" xfId="14137"/>
    <cellStyle name="输入 2 7 4 6 5" xfId="14138"/>
    <cellStyle name="检查单元格 2 2 12 4 2" xfId="14139"/>
    <cellStyle name="汇总 2 5 7 5 5" xfId="14140"/>
    <cellStyle name="计算 2 11 8 5 3 2" xfId="14141"/>
    <cellStyle name="输入 2 8 8 5 3" xfId="14142"/>
    <cellStyle name="输出 2 5 11 11 2" xfId="14143"/>
    <cellStyle name="计算 2 9 2 7 4 2" xfId="14144"/>
    <cellStyle name="注释 2 7 8 3" xfId="14145"/>
    <cellStyle name="汇总 2 3 23 2" xfId="14146"/>
    <cellStyle name="汇总 2 3 18 2" xfId="14147"/>
    <cellStyle name="输出 2 7 6 8 4 2" xfId="14148"/>
    <cellStyle name="输出 2 3 15 6" xfId="14149"/>
    <cellStyle name="输出 2 12 17 2 2" xfId="14150"/>
    <cellStyle name="汇总 2 9 9 8 2 2" xfId="14151"/>
    <cellStyle name="输入 2 7 4 6 5 2" xfId="14152"/>
    <cellStyle name="汇总 2 6 10 2 3" xfId="14153"/>
    <cellStyle name="注释 2 7 8 3 2" xfId="14154"/>
    <cellStyle name="汇总 2 3 18 2 2" xfId="14155"/>
    <cellStyle name="汇总 2 5 7 5 5 2" xfId="14156"/>
    <cellStyle name="输出 2 5 2 8 3 2" xfId="14157"/>
    <cellStyle name="汇总 2 5 7 5 6" xfId="14158"/>
    <cellStyle name="汇总 2 3 18 3" xfId="14159"/>
    <cellStyle name="计算 2 4 12 4 2" xfId="14160"/>
    <cellStyle name="注释 2 7 8 4" xfId="14161"/>
    <cellStyle name="检查单元格 2 4 11 5 2" xfId="14162"/>
    <cellStyle name="检查单元格 2 2 4 5 2" xfId="14163"/>
    <cellStyle name="汇总 2 3 18 4" xfId="14164"/>
    <cellStyle name="检查单元格 2 2 4 5 2 2" xfId="14165"/>
    <cellStyle name="汇总 2 3 18 4 2" xfId="14166"/>
    <cellStyle name="汇总 2 6 10 4 3" xfId="14167"/>
    <cellStyle name="注释 2 7 8 5 2" xfId="14168"/>
    <cellStyle name="汇总 2 4 11 3 5" xfId="14169"/>
    <cellStyle name="检查单元格 2 2 4 5 3" xfId="14170"/>
    <cellStyle name="计算 2 7 8 6 4 2" xfId="14171"/>
    <cellStyle name="汇总 2 3 18 5" xfId="14172"/>
    <cellStyle name="检查单元格 2 2 4 5 3 2" xfId="14173"/>
    <cellStyle name="汇总 2 3 18 5 2" xfId="14174"/>
    <cellStyle name="汇总 2 6 10 5 3" xfId="14175"/>
    <cellStyle name="注释 2 7 8 6 2" xfId="14176"/>
    <cellStyle name="汇总 2 4 11 4 5" xfId="14177"/>
    <cellStyle name="输出 2 12 8 8 5" xfId="14178"/>
    <cellStyle name="计算 2 12 2 13" xfId="14179"/>
    <cellStyle name="计算 2 6 11 5 2 2" xfId="14180"/>
    <cellStyle name="检查单元格 2 2 4 5 4" xfId="14181"/>
    <cellStyle name="汇总 2 3 18 6" xfId="14182"/>
    <cellStyle name="计算 2 3 10 4 2 2" xfId="14183"/>
    <cellStyle name="汇总 2 6 11 2 3" xfId="14184"/>
    <cellStyle name="注释 2 7 9 3 2" xfId="14185"/>
    <cellStyle name="汇总 2 3 19 2 2" xfId="14186"/>
    <cellStyle name="汇总 2 5 7 6 5 2" xfId="14187"/>
    <cellStyle name="计算 2 11 18" xfId="14188"/>
    <cellStyle name="计算 2 11 23" xfId="14189"/>
    <cellStyle name="汇总 2 6 11 3 3" xfId="14190"/>
    <cellStyle name="注释 2 7 9 4 2" xfId="14191"/>
    <cellStyle name="汇总 2 3 19 3 2" xfId="14192"/>
    <cellStyle name="汇总 2 6 11 4 3" xfId="14193"/>
    <cellStyle name="注释 2 7 9 5 2" xfId="14194"/>
    <cellStyle name="汇总 2 3 19 4 2" xfId="14195"/>
    <cellStyle name="检查单元格 2 5 6 3 2 2" xfId="14196"/>
    <cellStyle name="计算 2 11 8 14" xfId="14197"/>
    <cellStyle name="汇总 2 3 4 3 3" xfId="14198"/>
    <cellStyle name="汇总 2 3 2" xfId="14199"/>
    <cellStyle name="汇总 2 3 2 10" xfId="14200"/>
    <cellStyle name="注释 2 9 5 7 3 2" xfId="14201"/>
    <cellStyle name="输出 2 10 3 5 4" xfId="14202"/>
    <cellStyle name="汇总 2 3 2 10 2" xfId="14203"/>
    <cellStyle name="汇总 2 3 2 12" xfId="14204"/>
    <cellStyle name="计算 2 2 4 6 4 2" xfId="14205"/>
    <cellStyle name="输出 2 10 11 2 3 2" xfId="14206"/>
    <cellStyle name="汇总 2 3 2 13" xfId="14207"/>
    <cellStyle name="检查单元格 2 10 6 13" xfId="14208"/>
    <cellStyle name="汇总 2 4 3 10 2" xfId="14209"/>
    <cellStyle name="检查单元格 2 9 4 4 4 2" xfId="14210"/>
    <cellStyle name="汇总 2 3 2 14" xfId="14211"/>
    <cellStyle name="汇总 2 3 2 15" xfId="14212"/>
    <cellStyle name="汇总 2 3 6 5 4 2" xfId="14213"/>
    <cellStyle name="汇总 2 3 2 16" xfId="14214"/>
    <cellStyle name="输入 2 6 7 5 2 2" xfId="14215"/>
    <cellStyle name="检查单元格 2 5 9 2 2" xfId="14216"/>
    <cellStyle name="汇总 2 3 2 2 4 2" xfId="14217"/>
    <cellStyle name="汇总 2 3 4 10" xfId="14218"/>
    <cellStyle name="输入 2 10 5 6 2" xfId="14219"/>
    <cellStyle name="汇总 2 3 2 3" xfId="14220"/>
    <cellStyle name="汇总 2 3 4 10 2" xfId="14221"/>
    <cellStyle name="输入 2 10 5 6 2 2" xfId="14222"/>
    <cellStyle name="汇总 2 3 2 3 2" xfId="14223"/>
    <cellStyle name="汇总 2 3 2 3 2 2" xfId="14224"/>
    <cellStyle name="汇总 2 3 2 3 3" xfId="14225"/>
    <cellStyle name="汇总 2 3 2 3 3 2" xfId="14226"/>
    <cellStyle name="汇总 2 3 2 3 4" xfId="14227"/>
    <cellStyle name="汇总 2 3 2 3 4 2" xfId="14228"/>
    <cellStyle name="输出 2 6 5 5 2" xfId="14229"/>
    <cellStyle name="汇总 2 3 2 3 5" xfId="14230"/>
    <cellStyle name="输出 2 6 5 5 3" xfId="14231"/>
    <cellStyle name="汇总 2 3 2 3 6" xfId="14232"/>
    <cellStyle name="汇总 2 3 4 11" xfId="14233"/>
    <cellStyle name="输入 2 10 5 6 3" xfId="14234"/>
    <cellStyle name="汇总 2 3 2 4" xfId="14235"/>
    <cellStyle name="汇总 2 3 4 11 2" xfId="14236"/>
    <cellStyle name="输入 2 10 5 6 3 2" xfId="14237"/>
    <cellStyle name="汇总 2 3 2 4 2" xfId="14238"/>
    <cellStyle name="汇总 2 3 2 4 2 2" xfId="14239"/>
    <cellStyle name="汇总 2 9 2 11" xfId="14240"/>
    <cellStyle name="汇总 2 3 2 4 3" xfId="14241"/>
    <cellStyle name="汇总 2 3 2 4 3 2" xfId="14242"/>
    <cellStyle name="汇总 2 3 2 4 4" xfId="14243"/>
    <cellStyle name="汇总 2 3 2 4 4 2" xfId="14244"/>
    <cellStyle name="输出 2 6 5 6 2" xfId="14245"/>
    <cellStyle name="汇总 2 3 2 4 5" xfId="14246"/>
    <cellStyle name="输出 2 6 5 6 2 2" xfId="14247"/>
    <cellStyle name="汇总 2 3 2 4 5 2" xfId="14248"/>
    <cellStyle name="输出 2 6 5 6 3" xfId="14249"/>
    <cellStyle name="汇总 2 3 2 4 6" xfId="14250"/>
    <cellStyle name="计算 2 9 16 2 2" xfId="14251"/>
    <cellStyle name="注释 2 8 6 2 6" xfId="14252"/>
    <cellStyle name="汇总 2 3 4 12" xfId="14253"/>
    <cellStyle name="输入 2 10 5 6 4" xfId="14254"/>
    <cellStyle name="输出 2 7 10 10 2" xfId="14255"/>
    <cellStyle name="输入 2 4 3 3 2" xfId="14256"/>
    <cellStyle name="注释 2 7 11 7 4 2" xfId="14257"/>
    <cellStyle name="汇总 2 3 2 5" xfId="14258"/>
    <cellStyle name="输出 2 9 6 3 3 2" xfId="14259"/>
    <cellStyle name="汇总 2 3 4 12 2" xfId="14260"/>
    <cellStyle name="输入 2 10 5 6 4 2" xfId="14261"/>
    <cellStyle name="汇总 2 3 2 5 2" xfId="14262"/>
    <cellStyle name="汇总 2 3 2 5 2 2" xfId="14263"/>
    <cellStyle name="汇总 2 9 7 11" xfId="14264"/>
    <cellStyle name="计算 2 3 10 6 6" xfId="14265"/>
    <cellStyle name="汇总 2 3 2 5 3" xfId="14266"/>
    <cellStyle name="汇总 2 3 2 5 3 2" xfId="14267"/>
    <cellStyle name="计算 2 3 10 7 6" xfId="14268"/>
    <cellStyle name="汇总 2 3 2 5 4" xfId="14269"/>
    <cellStyle name="计算 2 10 10 6 2 2" xfId="14270"/>
    <cellStyle name="输出 2 9 8 3 5 2" xfId="14271"/>
    <cellStyle name="汇总 2 3 2 5 4 2" xfId="14272"/>
    <cellStyle name="输出 2 6 5 7 2" xfId="14273"/>
    <cellStyle name="汇总 2 3 2 5 5" xfId="14274"/>
    <cellStyle name="输入 2 2 9 2 2 2" xfId="14275"/>
    <cellStyle name="输出 2 6 5 7 2 2" xfId="14276"/>
    <cellStyle name="汇总 2 3 2 5 5 2" xfId="14277"/>
    <cellStyle name="输出 2 6 5 7 3" xfId="14278"/>
    <cellStyle name="汇总 2 3 2 5 6" xfId="14279"/>
    <cellStyle name="输出 2 7 2 3 2 2" xfId="14280"/>
    <cellStyle name="输出 2 10 2 10" xfId="14281"/>
    <cellStyle name="汇总 2 3 4 13" xfId="14282"/>
    <cellStyle name="输入 2 10 5 6 5" xfId="14283"/>
    <cellStyle name="计算 2 5 11 7 5 2" xfId="14284"/>
    <cellStyle name="汇总 2 3 2 6" xfId="14285"/>
    <cellStyle name="输出 2 4 5 5 2 2" xfId="14286"/>
    <cellStyle name="汇总 2 4 27" xfId="14287"/>
    <cellStyle name="注释 2 7 14 3 2" xfId="14288"/>
    <cellStyle name="汇总 2 3 2 6 2" xfId="14289"/>
    <cellStyle name="汇总 2 3 2 6 2 2" xfId="14290"/>
    <cellStyle name="计算 2 3 11 6 6" xfId="14291"/>
    <cellStyle name="汇总 2 5 8 10" xfId="14292"/>
    <cellStyle name="注释 2 10 7 8 4 2" xfId="14293"/>
    <cellStyle name="汇总 2 3 2 6 3" xfId="14294"/>
    <cellStyle name="汇总 2 5 8 10 2" xfId="14295"/>
    <cellStyle name="计算 2 3 11 7 6" xfId="14296"/>
    <cellStyle name="汇总 2 3 2 6 3 2" xfId="14297"/>
    <cellStyle name="汇总 2 5 8 11" xfId="14298"/>
    <cellStyle name="汇总 2 3 2 6 4" xfId="14299"/>
    <cellStyle name="计算 2 10 10 6 3 2" xfId="14300"/>
    <cellStyle name="汇总 2 5 8 11 2" xfId="14301"/>
    <cellStyle name="汇总 2 3 2 6 4 2" xfId="14302"/>
    <cellStyle name="输出 2 6 5 8 2 2" xfId="14303"/>
    <cellStyle name="汇总 2 3 2 6 5 2" xfId="14304"/>
    <cellStyle name="汇总 2 5 8 12 2" xfId="14305"/>
    <cellStyle name="输出 2 6 5 8 3" xfId="14306"/>
    <cellStyle name="输出 2 14 5 2 2" xfId="14307"/>
    <cellStyle name="汇总 2 3 2 6 6" xfId="14308"/>
    <cellStyle name="输出 2 12 6 10" xfId="14309"/>
    <cellStyle name="汇总 2 5 8 13" xfId="14310"/>
    <cellStyle name="汇总 2 7 3 3 2 2" xfId="14311"/>
    <cellStyle name="输入 2 6 3 6 4" xfId="14312"/>
    <cellStyle name="计算 2 10 11 2 2" xfId="14313"/>
    <cellStyle name="输出 2 10 2 11" xfId="14314"/>
    <cellStyle name="汇总 2 3 4 14" xfId="14315"/>
    <cellStyle name="输入 2 10 5 6 6" xfId="14316"/>
    <cellStyle name="汇总 2 3 2 7" xfId="14317"/>
    <cellStyle name="计算 2 11 11 4 4 2" xfId="14318"/>
    <cellStyle name="输入 2 4 3 3 4" xfId="14319"/>
    <cellStyle name="汇总 2 3 2 7 4 2" xfId="14320"/>
    <cellStyle name="汇总 2 3 2 7 5 2" xfId="14321"/>
    <cellStyle name="汇总 2 6 8 5 2" xfId="14322"/>
    <cellStyle name="输入 2 4 3 3 5" xfId="14323"/>
    <cellStyle name="汇总 2 3 2 8" xfId="14324"/>
    <cellStyle name="输出 2 10 2 12" xfId="14325"/>
    <cellStyle name="汇总 2 3 4 15" xfId="14326"/>
    <cellStyle name="汇总 2 6 8 5 2 2" xfId="14327"/>
    <cellStyle name="输入 2 4 3 3 5 2" xfId="14328"/>
    <cellStyle name="汇总 2 3 2 8 2" xfId="14329"/>
    <cellStyle name="汇总 2 3 2 8 2 2" xfId="14330"/>
    <cellStyle name="汇总 2 3 2 8 3" xfId="14331"/>
    <cellStyle name="汇总 2 3 2 8 3 2" xfId="14332"/>
    <cellStyle name="汇总 2 3 2 8 4" xfId="14333"/>
    <cellStyle name="计算 2 10 10 6 5 2" xfId="14334"/>
    <cellStyle name="汇总 2 3 2 8 4 2" xfId="14335"/>
    <cellStyle name="汇总 2 6 8 5 3" xfId="14336"/>
    <cellStyle name="输入 2 11 8 3 5 2" xfId="14337"/>
    <cellStyle name="输入 2 4 3 3 6" xfId="14338"/>
    <cellStyle name="汇总 2 3 2 9" xfId="14339"/>
    <cellStyle name="输出 2 5 8 2 2 2" xfId="14340"/>
    <cellStyle name="输出 2 10 2 13" xfId="14341"/>
    <cellStyle name="汇总 2 3 4 16" xfId="14342"/>
    <cellStyle name="汇总 2 6 8 5 3 2" xfId="14343"/>
    <cellStyle name="汇总 2 3 2 9 2" xfId="14344"/>
    <cellStyle name="汇总 2 3 4 3 4" xfId="14345"/>
    <cellStyle name="输入 2 9 6 3 4 2" xfId="14346"/>
    <cellStyle name="计算 2 11 8 15" xfId="14347"/>
    <cellStyle name="输入 2 7 10 11 2" xfId="14348"/>
    <cellStyle name="汇总 2 3 3" xfId="14349"/>
    <cellStyle name="输出 2 10 8 6 4" xfId="14350"/>
    <cellStyle name="检查单元格 2 9 5 2 3" xfId="14351"/>
    <cellStyle name="汇总 2 3 3 11 2" xfId="14352"/>
    <cellStyle name="检查单元格 2 4 6 5 2 2" xfId="14353"/>
    <cellStyle name="检查单元格 2 4 6 5 3" xfId="14354"/>
    <cellStyle name="汇总 2 3 3 12" xfId="14355"/>
    <cellStyle name="输出 2 10 8 7 4" xfId="14356"/>
    <cellStyle name="检查单元格 2 9 5 3 3" xfId="14357"/>
    <cellStyle name="汇总 2 3 3 12 2" xfId="14358"/>
    <cellStyle name="检查单元格 2 4 6 5 3 2" xfId="14359"/>
    <cellStyle name="检查单元格 2 4 6 5 4" xfId="14360"/>
    <cellStyle name="汇总 2 3 3 13" xfId="14361"/>
    <cellStyle name="汇总 2 8 11 11 2" xfId="14362"/>
    <cellStyle name="检查单元格 2 4 6 5 5" xfId="14363"/>
    <cellStyle name="汇总 2 3 3 14" xfId="14364"/>
    <cellStyle name="计算 2 3 2 8 2 2" xfId="14365"/>
    <cellStyle name="注释 2 5 2 6 6" xfId="14366"/>
    <cellStyle name="汇总 2 3 3 15" xfId="14367"/>
    <cellStyle name="输出 2 10 3 15" xfId="14368"/>
    <cellStyle name="汇总 2 3 3 2 3 2" xfId="14369"/>
    <cellStyle name="检查单元格 2 6 9 2 2" xfId="14370"/>
    <cellStyle name="汇总 2 3 3 2 4 2" xfId="14371"/>
    <cellStyle name="汇总 2 3 3 3 2 2" xfId="14372"/>
    <cellStyle name="检查单元格 2 5 6 2 2 2" xfId="14373"/>
    <cellStyle name="计算 2 11 3 14" xfId="14374"/>
    <cellStyle name="汇总 2 3 3 3 3" xfId="14375"/>
    <cellStyle name="汇总 2 5 4 11 2" xfId="14376"/>
    <cellStyle name="计算 2 11 3 15" xfId="14377"/>
    <cellStyle name="汇总 2 3 3 3 4" xfId="14378"/>
    <cellStyle name="输入 2 9 6 2 4 2" xfId="14379"/>
    <cellStyle name="汇总 2 3 3 3 4 2" xfId="14380"/>
    <cellStyle name="输出 2 6 6 5 2" xfId="14381"/>
    <cellStyle name="汇总 2 3 3 3 5" xfId="14382"/>
    <cellStyle name="计算 2 8 2 4 2" xfId="14383"/>
    <cellStyle name="计算 2 11 3 16" xfId="14384"/>
    <cellStyle name="输出 2 6 6 5 3" xfId="14385"/>
    <cellStyle name="汇总 2 3 3 3 6" xfId="14386"/>
    <cellStyle name="计算 2 8 2 4 3" xfId="14387"/>
    <cellStyle name="汇总 2 3 3 4 2" xfId="14388"/>
    <cellStyle name="汇总 2 3 3 4 2 2" xfId="14389"/>
    <cellStyle name="检查单元格 2 5 6 2 3 2" xfId="14390"/>
    <cellStyle name="汇总 2 3 3 4 3" xfId="14391"/>
    <cellStyle name="汇总 2 3 3 4 3 2" xfId="14392"/>
    <cellStyle name="汇总 2 5 4 12 2" xfId="14393"/>
    <cellStyle name="汇总 2 3 3 4 4" xfId="14394"/>
    <cellStyle name="输入 2 9 6 2 5 2" xfId="14395"/>
    <cellStyle name="汇总 2 3 3 4 4 2" xfId="14396"/>
    <cellStyle name="输出 2 6 6 6 2" xfId="14397"/>
    <cellStyle name="汇总 2 3 3 4 5" xfId="14398"/>
    <cellStyle name="计算 2 8 2 5 2" xfId="14399"/>
    <cellStyle name="输出 2 12 7 6 6" xfId="14400"/>
    <cellStyle name="汇总 2 6 6 10" xfId="14401"/>
    <cellStyle name="计算 2 9 7 2 9" xfId="14402"/>
    <cellStyle name="汇总 2 4 10 2 6" xfId="14403"/>
    <cellStyle name="输入 2 12 6 7 5 2" xfId="14404"/>
    <cellStyle name="输入 2 7 15 6" xfId="14405"/>
    <cellStyle name="输出 2 6 6 6 2 2" xfId="14406"/>
    <cellStyle name="汇总 2 3 3 4 5 2" xfId="14407"/>
    <cellStyle name="计算 2 8 2 5 2 2" xfId="14408"/>
    <cellStyle name="输出 2 6 6 6 3" xfId="14409"/>
    <cellStyle name="汇总 2 3 3 4 6" xfId="14410"/>
    <cellStyle name="计算 2 8 2 5 3" xfId="14411"/>
    <cellStyle name="汇总 2 3 3 5 2" xfId="14412"/>
    <cellStyle name="汇总 2 3 3 5 2 2" xfId="14413"/>
    <cellStyle name="检查单元格 2 5 6 2 4 2" xfId="14414"/>
    <cellStyle name="汇总 2 3 3 5 3" xfId="14415"/>
    <cellStyle name="汇总 2 3 3 5 3 2" xfId="14416"/>
    <cellStyle name="输出 2 12 2 10 2" xfId="14417"/>
    <cellStyle name="汇总 2 3 3 5 4" xfId="14418"/>
    <cellStyle name="计算 2 10 10 7 2 2" xfId="14419"/>
    <cellStyle name="输出 2 9 8 4 5 2" xfId="14420"/>
    <cellStyle name="汇总 2 6 10 2 4" xfId="14421"/>
    <cellStyle name="输入 2 6 4 5 2 2" xfId="14422"/>
    <cellStyle name="注释 2 7 8 3 3" xfId="14423"/>
    <cellStyle name="汇总 2 3 3 5 4 2" xfId="14424"/>
    <cellStyle name="注释 2 5 5 16" xfId="14425"/>
    <cellStyle name="输出 2 6 6 7 2" xfId="14426"/>
    <cellStyle name="汇总 2 3 3 5 5" xfId="14427"/>
    <cellStyle name="输入 2 2 9 3 2 2" xfId="14428"/>
    <cellStyle name="计算 2 8 2 6 2" xfId="14429"/>
    <cellStyle name="输出 2 6 6 7 3" xfId="14430"/>
    <cellStyle name="汇总 2 3 3 5 6" xfId="14431"/>
    <cellStyle name="计算 2 8 2 6 3" xfId="14432"/>
    <cellStyle name="汇总 2 3 3 6 2" xfId="14433"/>
    <cellStyle name="输出 2 4 5 6 2 2" xfId="14434"/>
    <cellStyle name="汇总 2 9 27" xfId="14435"/>
    <cellStyle name="注释 2 7 15 3 2" xfId="14436"/>
    <cellStyle name="汇总 2 3 3 6 2 2" xfId="14437"/>
    <cellStyle name="检查单元格 2 5 6 2 5 2" xfId="14438"/>
    <cellStyle name="汇总 2 3 3 6 3" xfId="14439"/>
    <cellStyle name="汇总 2 3 3 6 3 2" xfId="14440"/>
    <cellStyle name="输入 2 10 6" xfId="14441"/>
    <cellStyle name="输出 2 12 2 11 2" xfId="14442"/>
    <cellStyle name="汇总 2 3 3 6 4" xfId="14443"/>
    <cellStyle name="计算 2 10 10 7 3 2" xfId="14444"/>
    <cellStyle name="汇总 2 6 11 2 4" xfId="14445"/>
    <cellStyle name="输入 2 6 4 6 2 2" xfId="14446"/>
    <cellStyle name="注释 2 7 9 3 3" xfId="14447"/>
    <cellStyle name="汇总 2 3 3 6 4 2" xfId="14448"/>
    <cellStyle name="输入 2 11 6" xfId="14449"/>
    <cellStyle name="汇总 2 6 11 3 4" xfId="14450"/>
    <cellStyle name="输入 2 6 4 6 3 2" xfId="14451"/>
    <cellStyle name="注释 2 7 9 4 3" xfId="14452"/>
    <cellStyle name="输出 2 6 6 8 2 2" xfId="14453"/>
    <cellStyle name="汇总 2 3 3 6 5 2" xfId="14454"/>
    <cellStyle name="输入 2 12 6" xfId="14455"/>
    <cellStyle name="注释 2 2 3 2 8" xfId="14456"/>
    <cellStyle name="计算 2 8 2 7 2 2" xfId="14457"/>
    <cellStyle name="输出 2 6 6 8 3" xfId="14458"/>
    <cellStyle name="输出 2 14 6 2 2" xfId="14459"/>
    <cellStyle name="汇总 2 3 3 6 6" xfId="14460"/>
    <cellStyle name="输出 2 4 11 10" xfId="14461"/>
    <cellStyle name="计算 2 8 2 7 3" xfId="14462"/>
    <cellStyle name="汇总 2 7 3 4 2 2" xfId="14463"/>
    <cellStyle name="输入 2 6 4 6 4" xfId="14464"/>
    <cellStyle name="计算 2 10 12 2 2" xfId="14465"/>
    <cellStyle name="汇总 2 3 3 7 2" xfId="14466"/>
    <cellStyle name="检查单元格 2 10 4 9" xfId="14467"/>
    <cellStyle name="汇总 2 3 3 7 2 2" xfId="14468"/>
    <cellStyle name="汇总 2 9 11 15" xfId="14469"/>
    <cellStyle name="汇总 2 3 3 7 3" xfId="14470"/>
    <cellStyle name="输出 2 11 3 15" xfId="14471"/>
    <cellStyle name="汇总 2 3 3 7 3 2" xfId="14472"/>
    <cellStyle name="检查单元格 2 10 5 9" xfId="14473"/>
    <cellStyle name="输出 2 12 2 12 2" xfId="14474"/>
    <cellStyle name="汇总 2 3 3 7 4" xfId="14475"/>
    <cellStyle name="计算 2 10 10 7 4 2" xfId="14476"/>
    <cellStyle name="计算 2 8 2 8 2 2" xfId="14477"/>
    <cellStyle name="汇总 2 3 3 7 5 2" xfId="14478"/>
    <cellStyle name="注释 2 2 4 2 8" xfId="14479"/>
    <cellStyle name="输出 2 14 6 3 2" xfId="14480"/>
    <cellStyle name="汇总 2 3 3 7 6" xfId="14481"/>
    <cellStyle name="计算 2 8 2 8 3" xfId="14482"/>
    <cellStyle name="汇总 2 7 3 4 3 2" xfId="14483"/>
    <cellStyle name="输入 2 6 4 7 4" xfId="14484"/>
    <cellStyle name="计算 2 10 12 3 2" xfId="14485"/>
    <cellStyle name="汇总 2 6 8 6 2" xfId="14486"/>
    <cellStyle name="输入 2 4 3 4 5" xfId="14487"/>
    <cellStyle name="汇总 2 3 3 8" xfId="14488"/>
    <cellStyle name="汇总 2 6 8 6 2 2" xfId="14489"/>
    <cellStyle name="计算 2 11 4 13" xfId="14490"/>
    <cellStyle name="输入 2 4 3 4 5 2" xfId="14491"/>
    <cellStyle name="汇总 2 3 3 8 2" xfId="14492"/>
    <cellStyle name="输出 2 6 10 4 4" xfId="14493"/>
    <cellStyle name="汇总 2 3 3 8 2 2" xfId="14494"/>
    <cellStyle name="汇总 2 3 3 8 3" xfId="14495"/>
    <cellStyle name="计算 2 11 4 14" xfId="14496"/>
    <cellStyle name="输出 2 6 10 5 4" xfId="14497"/>
    <cellStyle name="输出 2 11 8 15" xfId="14498"/>
    <cellStyle name="汇总 2 3 3 8 3 2" xfId="14499"/>
    <cellStyle name="计算 2 10 10 7 5 2" xfId="14500"/>
    <cellStyle name="汇总 2 3 3 8 4" xfId="14501"/>
    <cellStyle name="计算 2 11 4 15" xfId="14502"/>
    <cellStyle name="输出 2 6 10 6 4" xfId="14503"/>
    <cellStyle name="汇总 2 3 3 8 4 2" xfId="14504"/>
    <cellStyle name="汇总 2 6 8 6 3" xfId="14505"/>
    <cellStyle name="输入 2 4 3 4 6" xfId="14506"/>
    <cellStyle name="汇总 2 3 3 9" xfId="14507"/>
    <cellStyle name="汇总 2 6 8 6 3 2" xfId="14508"/>
    <cellStyle name="汇总 2 3 3 9 2" xfId="14509"/>
    <cellStyle name="输出 2 6 7 5 2" xfId="14510"/>
    <cellStyle name="汇总 2 3 4 3 5" xfId="14511"/>
    <cellStyle name="计算 2 8 3 4 2" xfId="14512"/>
    <cellStyle name="计算 2 11 8 16" xfId="14513"/>
    <cellStyle name="汇总 2 3 4" xfId="14514"/>
    <cellStyle name="输出 2 6 7 5 2 2" xfId="14515"/>
    <cellStyle name="计算 2 8 10 2 4" xfId="14516"/>
    <cellStyle name="汇总 2 3 4 3 5 2" xfId="14517"/>
    <cellStyle name="计算 2 8 3 4 2 2" xfId="14518"/>
    <cellStyle name="输入 2 12 7 5" xfId="14519"/>
    <cellStyle name="汇总 2 3 4 2" xfId="14520"/>
    <cellStyle name="汇总 2 3 4 3" xfId="14521"/>
    <cellStyle name="汇总 2 3 4 3 2" xfId="14522"/>
    <cellStyle name="输入 2 5 11 16" xfId="14523"/>
    <cellStyle name="计算 2 11 8 13" xfId="14524"/>
    <cellStyle name="汇总 2 3 5" xfId="14525"/>
    <cellStyle name="注释 2 11 11 11 2" xfId="14526"/>
    <cellStyle name="汇总 2 7 4 12 2" xfId="14527"/>
    <cellStyle name="输入 2 12 7 6 6" xfId="14528"/>
    <cellStyle name="计算 2 10 9 2 2" xfId="14529"/>
    <cellStyle name="输出 2 6 7 5 3" xfId="14530"/>
    <cellStyle name="汇总 2 3 4 3 6" xfId="14531"/>
    <cellStyle name="计算 2 8 3 4 3" xfId="14532"/>
    <cellStyle name="汇总 2 3 4 4" xfId="14533"/>
    <cellStyle name="汇总 2 3 4 4 2" xfId="14534"/>
    <cellStyle name="汇总 2 4 2" xfId="14535"/>
    <cellStyle name="检查单元格 2 5 6 3 3 2" xfId="14536"/>
    <cellStyle name="汇总 2 3 4 4 3" xfId="14537"/>
    <cellStyle name="汇总 2 4 2 2" xfId="14538"/>
    <cellStyle name="汇总 2 3 4 4 3 2" xfId="14539"/>
    <cellStyle name="检查单元格 2 3 2 3 2 2" xfId="14540"/>
    <cellStyle name="汇总 2 4 3" xfId="14541"/>
    <cellStyle name="注释 2 9 15 2 2" xfId="14542"/>
    <cellStyle name="汇总 2 3 4 4 4" xfId="14543"/>
    <cellStyle name="输入 2 9 6 3 5 2" xfId="14544"/>
    <cellStyle name="汇总 2 4 3 2" xfId="14545"/>
    <cellStyle name="汇总 2 3 4 4 4 2" xfId="14546"/>
    <cellStyle name="汇总 2 4 4" xfId="14547"/>
    <cellStyle name="输出 2 6 7 6 2" xfId="14548"/>
    <cellStyle name="汇总 2 3 4 4 5" xfId="14549"/>
    <cellStyle name="计算 2 8 3 5 2" xfId="14550"/>
    <cellStyle name="计算 2 11 6 2 2 2" xfId="14551"/>
    <cellStyle name="输入 2 6 5 4 3" xfId="14552"/>
    <cellStyle name="汇总 2 4 4 2" xfId="14553"/>
    <cellStyle name="输出 2 6 7 6 2 2" xfId="14554"/>
    <cellStyle name="计算 2 8 11 2 4" xfId="14555"/>
    <cellStyle name="汇总 2 3 4 4 5 2" xfId="14556"/>
    <cellStyle name="计算 2 8 3 5 2 2" xfId="14557"/>
    <cellStyle name="输入 2 13 7 5" xfId="14558"/>
    <cellStyle name="汇总 2 4 5" xfId="14559"/>
    <cellStyle name="注释 2 11 11 12 2" xfId="14560"/>
    <cellStyle name="计算 2 10 9 3 2" xfId="14561"/>
    <cellStyle name="输出 2 6 7 6 3" xfId="14562"/>
    <cellStyle name="汇总 2 3 4 4 6" xfId="14563"/>
    <cellStyle name="计算 2 8 3 5 3" xfId="14564"/>
    <cellStyle name="输出 2 7 10 12 2" xfId="14565"/>
    <cellStyle name="输入 2 4 3 5 2" xfId="14566"/>
    <cellStyle name="汇总 2 3 4 5" xfId="14567"/>
    <cellStyle name="输出 2 9 6 3 5 2" xfId="14568"/>
    <cellStyle name="汇总 2 3 4 5 2" xfId="14569"/>
    <cellStyle name="汇总 2 5 2" xfId="14570"/>
    <cellStyle name="检查单元格 2 5 6 3 4 2" xfId="14571"/>
    <cellStyle name="汇总 2 3 4 5 3" xfId="14572"/>
    <cellStyle name="输出 2 6 12 5" xfId="14573"/>
    <cellStyle name="汇总 2 5 2 2" xfId="14574"/>
    <cellStyle name="汇总 2 3 4 5 3 2" xfId="14575"/>
    <cellStyle name="检查单元格 2 3 2 3 3 2" xfId="14576"/>
    <cellStyle name="汇总 2 5 3" xfId="14577"/>
    <cellStyle name="注释 2 9 15 3 2" xfId="14578"/>
    <cellStyle name="汇总 2 3 4 5 4" xfId="14579"/>
    <cellStyle name="计算 2 10 10 8 2 2" xfId="14580"/>
    <cellStyle name="输出 2 9 8 5 5 2" xfId="14581"/>
    <cellStyle name="输出 2 6 13 5" xfId="14582"/>
    <cellStyle name="汇总 2 5 3 2" xfId="14583"/>
    <cellStyle name="汇总 2 3 4 5 4 2" xfId="14584"/>
    <cellStyle name="汇总 2 5 4" xfId="14585"/>
    <cellStyle name="汇总 2 9 7 5 2 2" xfId="14586"/>
    <cellStyle name="输入 2 7 2 3 5 2" xfId="14587"/>
    <cellStyle name="输出 2 6 7 7 2" xfId="14588"/>
    <cellStyle name="汇总 2 3 4 5 5" xfId="14589"/>
    <cellStyle name="输入 2 2 9 4 2 2" xfId="14590"/>
    <cellStyle name="计算 2 8 3 6 2" xfId="14591"/>
    <cellStyle name="计算 2 11 6 2 3 2" xfId="14592"/>
    <cellStyle name="输入 2 6 5 5 3" xfId="14593"/>
    <cellStyle name="输出 2 6 14 5" xfId="14594"/>
    <cellStyle name="汇总 2 5 4 2" xfId="14595"/>
    <cellStyle name="输出 2 6 7 7 2 2" xfId="14596"/>
    <cellStyle name="汇总 2 3 4 5 5 2" xfId="14597"/>
    <cellStyle name="注释 2 3 2 2 8" xfId="14598"/>
    <cellStyle name="计算 2 8 3 6 2 2" xfId="14599"/>
    <cellStyle name="汇总 2 5 5" xfId="14600"/>
    <cellStyle name="计算 2 10 9 4 2" xfId="14601"/>
    <cellStyle name="输出 2 6 7 7 3" xfId="14602"/>
    <cellStyle name="汇总 2 3 4 5 6" xfId="14603"/>
    <cellStyle name="计算 2 8 3 6 3" xfId="14604"/>
    <cellStyle name="汇总 2 3 4 6" xfId="14605"/>
    <cellStyle name="汇总 2 3 4 6 2" xfId="14606"/>
    <cellStyle name="汇总 2 6 2" xfId="14607"/>
    <cellStyle name="检查单元格 2 5 6 3 5 2" xfId="14608"/>
    <cellStyle name="汇总 2 3 4 6 3" xfId="14609"/>
    <cellStyle name="汇总 2 6 2 2" xfId="14610"/>
    <cellStyle name="汇总 2 3 4 6 3 2" xfId="14611"/>
    <cellStyle name="检查单元格 2 3 2 3 4 2" xfId="14612"/>
    <cellStyle name="汇总 2 6 3" xfId="14613"/>
    <cellStyle name="注释 2 9 15 4 2" xfId="14614"/>
    <cellStyle name="汇总 2 3 4 6 4" xfId="14615"/>
    <cellStyle name="计算 2 10 10 8 3 2" xfId="14616"/>
    <cellStyle name="汇总 2 6 3 2" xfId="14617"/>
    <cellStyle name="汇总 2 3 4 6 4 2" xfId="14618"/>
    <cellStyle name="汇总 2 6 4 2" xfId="14619"/>
    <cellStyle name="输出 2 6 7 8 2 2" xfId="14620"/>
    <cellStyle name="汇总 2 3 4 6 5 2" xfId="14621"/>
    <cellStyle name="注释 2 3 3 2 8" xfId="14622"/>
    <cellStyle name="计算 2 8 3 7 2 2" xfId="14623"/>
    <cellStyle name="汇总 2 6 5" xfId="14624"/>
    <cellStyle name="计算 2 10 9 5 2" xfId="14625"/>
    <cellStyle name="输出 2 6 7 8 3" xfId="14626"/>
    <cellStyle name="输出 2 14 7 2 2" xfId="14627"/>
    <cellStyle name="汇总 2 3 4 6 6" xfId="14628"/>
    <cellStyle name="计算 2 8 3 7 3" xfId="14629"/>
    <cellStyle name="汇总 2 7 3 5 2 2" xfId="14630"/>
    <cellStyle name="输入 2 6 5 6 4" xfId="14631"/>
    <cellStyle name="计算 2 10 13 2 2" xfId="14632"/>
    <cellStyle name="汇总 2 3 4 7" xfId="14633"/>
    <cellStyle name="汇总 2 3 4 7 2" xfId="14634"/>
    <cellStyle name="注释 2 6 10 2 7" xfId="14635"/>
    <cellStyle name="汇总 2 7 2" xfId="14636"/>
    <cellStyle name="汇总 2 3 4 7 3" xfId="14637"/>
    <cellStyle name="注释 2 6 10 2 8" xfId="14638"/>
    <cellStyle name="汇总 2 3 4 7 3 2" xfId="14639"/>
    <cellStyle name="汇总 2 3 4 7 4" xfId="14640"/>
    <cellStyle name="注释 2 6 10 2 9" xfId="14641"/>
    <cellStyle name="计算 2 10 10 8 4 2" xfId="14642"/>
    <cellStyle name="汇总 2 3 4 7 4 2" xfId="14643"/>
    <cellStyle name="计算 2 8 3 8 2 2" xfId="14644"/>
    <cellStyle name="注释 2 7 3 10 2" xfId="14645"/>
    <cellStyle name="汇总 2 3 4 7 5 2" xfId="14646"/>
    <cellStyle name="注释 2 3 4 2 8" xfId="14647"/>
    <cellStyle name="输出 2 14 7 3 2" xfId="14648"/>
    <cellStyle name="汇总 2 3 4 7 6" xfId="14649"/>
    <cellStyle name="计算 2 8 3 8 3" xfId="14650"/>
    <cellStyle name="注释 2 7 3 11" xfId="14651"/>
    <cellStyle name="汇总 2 7 3 5 3 2" xfId="14652"/>
    <cellStyle name="输入 2 6 5 7 4" xfId="14653"/>
    <cellStyle name="计算 2 10 13 3 2" xfId="14654"/>
    <cellStyle name="汇总 2 6 8 7 2" xfId="14655"/>
    <cellStyle name="输入 2 4 3 5 5" xfId="14656"/>
    <cellStyle name="汇总 2 3 4 8" xfId="14657"/>
    <cellStyle name="汇总 2 6 8 7 2 2" xfId="14658"/>
    <cellStyle name="计算 2 11 9 13" xfId="14659"/>
    <cellStyle name="输入 2 4 3 5 5 2" xfId="14660"/>
    <cellStyle name="汇总 2 3 4 8 2" xfId="14661"/>
    <cellStyle name="汇总 2 4 11 9" xfId="14662"/>
    <cellStyle name="注释 2 3 10 5 6" xfId="14663"/>
    <cellStyle name="汇总 2 3 4 8 2 2" xfId="14664"/>
    <cellStyle name="汇总 2 3 4 8 3" xfId="14665"/>
    <cellStyle name="计算 2 11 9 14" xfId="14666"/>
    <cellStyle name="汇总 2 4 12 9" xfId="14667"/>
    <cellStyle name="注释 2 3 10 6 6" xfId="14668"/>
    <cellStyle name="汇总 2 3 4 8 3 2" xfId="14669"/>
    <cellStyle name="汇总 2 3 4 8 4" xfId="14670"/>
    <cellStyle name="计算 2 11 9 15" xfId="14671"/>
    <cellStyle name="汇总 2 6 8 7 3" xfId="14672"/>
    <cellStyle name="输入 2 4 3 5 6" xfId="14673"/>
    <cellStyle name="汇总 2 3 4 9" xfId="14674"/>
    <cellStyle name="汇总 2 6 8 7 3 2" xfId="14675"/>
    <cellStyle name="汇总 2 3 4 9 2" xfId="14676"/>
    <cellStyle name="输出 2 5 9 11 2" xfId="14677"/>
    <cellStyle name="汇总 2 6 6 5 2 2" xfId="14678"/>
    <cellStyle name="输出 2 4 3 5 4 2" xfId="14679"/>
    <cellStyle name="汇总 2 3 7 3" xfId="14680"/>
    <cellStyle name="汇总 2 3 5 10" xfId="14681"/>
    <cellStyle name="汇总 2 3 7 3 2" xfId="14682"/>
    <cellStyle name="汇总 2 3 5 10 2" xfId="14683"/>
    <cellStyle name="汇总 2 3 7 4" xfId="14684"/>
    <cellStyle name="汇总 2 3 5 11" xfId="14685"/>
    <cellStyle name="汇总 2 3 7 4 2" xfId="14686"/>
    <cellStyle name="汇总 2 3 5 11 2" xfId="14687"/>
    <cellStyle name="汇总 2 3 7 5" xfId="14688"/>
    <cellStyle name="汇总 2 3 5 12" xfId="14689"/>
    <cellStyle name="汇总 2 3 7 5 2" xfId="14690"/>
    <cellStyle name="汇总 2 3 5 12 2" xfId="14691"/>
    <cellStyle name="注释 2 5 5 2 9" xfId="14692"/>
    <cellStyle name="输出 2 2 9 4 4 2" xfId="14693"/>
    <cellStyle name="汇总 2 3 7 6" xfId="14694"/>
    <cellStyle name="计算 2 4 5 3 4 2" xfId="14695"/>
    <cellStyle name="输入 2 4 3 8 3" xfId="14696"/>
    <cellStyle name="输出 2 10 3 10" xfId="14697"/>
    <cellStyle name="汇总 2 3 5 13" xfId="14698"/>
    <cellStyle name="汇总 2 9 5 3 5 2" xfId="14699"/>
    <cellStyle name="汇总 2 6 10 2 3 2" xfId="14700"/>
    <cellStyle name="注释 2 7 8 3 2 2" xfId="14701"/>
    <cellStyle name="输出 2 10 3 12" xfId="14702"/>
    <cellStyle name="汇总 2 3 5 15" xfId="14703"/>
    <cellStyle name="汇总 2 3 7 8" xfId="14704"/>
    <cellStyle name="汇总 2 3 7 9" xfId="14705"/>
    <cellStyle name="输出 2 10 3 13" xfId="14706"/>
    <cellStyle name="汇总 2 3 5 16" xfId="14707"/>
    <cellStyle name="计算 2 6 11 2 6" xfId="14708"/>
    <cellStyle name="汇总 2 3 5 2" xfId="14709"/>
    <cellStyle name="计算 2 8 10 16" xfId="14710"/>
    <cellStyle name="计算 2 10 9 2 2 2" xfId="14711"/>
    <cellStyle name="汇总 2 6 5 4 5 2" xfId="14712"/>
    <cellStyle name="输出 2 9 8 6 2 2" xfId="14713"/>
    <cellStyle name="检查单元格 2 8 9 2" xfId="14714"/>
    <cellStyle name="汇总 2 3 5 2 4" xfId="14715"/>
    <cellStyle name="输入 2 9 6 4 3 2" xfId="14716"/>
    <cellStyle name="输出 2 6 8 4 3" xfId="14717"/>
    <cellStyle name="检查单元格 2 8 9 4" xfId="14718"/>
    <cellStyle name="汇总 2 3 5 2 6" xfId="14719"/>
    <cellStyle name="计算 2 8 4 3 3" xfId="14720"/>
    <cellStyle name="注释 2 7 7 11" xfId="14721"/>
    <cellStyle name="输出 2 4 3 5 2 2" xfId="14722"/>
    <cellStyle name="汇总 2 3 5 3" xfId="14723"/>
    <cellStyle name="汇总 2 3 5 3 2" xfId="14724"/>
    <cellStyle name="检查单元格 2 5 6 4 2 2" xfId="14725"/>
    <cellStyle name="汇总 2 3 5 3 3" xfId="14726"/>
    <cellStyle name="汇总 2 8 12 9" xfId="14727"/>
    <cellStyle name="汇总 2 3 5 3 3 2" xfId="14728"/>
    <cellStyle name="计算 2 10 8 7 6" xfId="14729"/>
    <cellStyle name="汇总 2 3 5 3 4" xfId="14730"/>
    <cellStyle name="输入 2 9 6 4 4 2" xfId="14731"/>
    <cellStyle name="汇总 2 3 5 3 4 2" xfId="14732"/>
    <cellStyle name="输出 2 6 8 5 2 2" xfId="14733"/>
    <cellStyle name="汇总 2 3 5 3 5 2" xfId="14734"/>
    <cellStyle name="计算 2 8 4 4 2 2" xfId="14735"/>
    <cellStyle name="输出 2 6 8 5 3" xfId="14736"/>
    <cellStyle name="汇总 2 3 5 3 6" xfId="14737"/>
    <cellStyle name="计算 2 8 4 4 3" xfId="14738"/>
    <cellStyle name="汇总 2 3 5 4" xfId="14739"/>
    <cellStyle name="汇总 2 3 5 5" xfId="14740"/>
    <cellStyle name="汇总 2 3 5 5 2" xfId="14741"/>
    <cellStyle name="检查单元格 2 5 6 4 4 2" xfId="14742"/>
    <cellStyle name="汇总 2 3 5 5 3" xfId="14743"/>
    <cellStyle name="汇总 2 3 5 5 3 2" xfId="14744"/>
    <cellStyle name="汇总 2 3 5 5 4" xfId="14745"/>
    <cellStyle name="输出 2 6 8 7 2" xfId="14746"/>
    <cellStyle name="汇总 2 3 5 5 5" xfId="14747"/>
    <cellStyle name="输入 2 2 9 5 2 2" xfId="14748"/>
    <cellStyle name="计算 2 8 4 6 2" xfId="14749"/>
    <cellStyle name="计算 2 11 6 3 3 2" xfId="14750"/>
    <cellStyle name="输入 2 6 6 5 3" xfId="14751"/>
    <cellStyle name="输出 2 6 8 7 2 2" xfId="14752"/>
    <cellStyle name="汇总 2 3 5 5 5 2" xfId="14753"/>
    <cellStyle name="注释 2 4 2 2 8" xfId="14754"/>
    <cellStyle name="计算 2 8 4 6 2 2" xfId="14755"/>
    <cellStyle name="输出 2 6 8 7 3" xfId="14756"/>
    <cellStyle name="汇总 2 3 5 5 6" xfId="14757"/>
    <cellStyle name="计算 2 8 4 6 3" xfId="14758"/>
    <cellStyle name="输出 2 2 9 4 2 2" xfId="14759"/>
    <cellStyle name="汇总 2 3 5 6" xfId="14760"/>
    <cellStyle name="计算 2 4 5 3 2 2" xfId="14761"/>
    <cellStyle name="输入 2 4 3 6 3" xfId="14762"/>
    <cellStyle name="汇总 2 3 5 6 2" xfId="14763"/>
    <cellStyle name="检查单元格 2 5 6 4 5 2" xfId="14764"/>
    <cellStyle name="汇总 2 3 5 6 3" xfId="14765"/>
    <cellStyle name="汇总 2 3 5 6 3 2" xfId="14766"/>
    <cellStyle name="汇总 2 3 5 6 4" xfId="14767"/>
    <cellStyle name="汇总 2 3 5 6 4 2" xfId="14768"/>
    <cellStyle name="输出 2 6 8 8 2 2" xfId="14769"/>
    <cellStyle name="汇总 2 3 5 6 5 2" xfId="14770"/>
    <cellStyle name="注释 2 4 3 2 8" xfId="14771"/>
    <cellStyle name="计算 2 8 4 7 2 2" xfId="14772"/>
    <cellStyle name="输出 2 6 8 8 3" xfId="14773"/>
    <cellStyle name="输出 2 14 8 2 2" xfId="14774"/>
    <cellStyle name="汇总 2 3 5 6 6" xfId="14775"/>
    <cellStyle name="计算 2 8 4 7 3" xfId="14776"/>
    <cellStyle name="汇总 2 7 3 6 2 2" xfId="14777"/>
    <cellStyle name="输入 2 6 6 6 4" xfId="14778"/>
    <cellStyle name="计算 2 10 14 2 2" xfId="14779"/>
    <cellStyle name="汇总 2 3 5 7" xfId="14780"/>
    <cellStyle name="汇总 2 3 5 7 2" xfId="14781"/>
    <cellStyle name="汇总 2 3 5 7 3" xfId="14782"/>
    <cellStyle name="汇总 2 3 5 7 3 2" xfId="14783"/>
    <cellStyle name="汇总 2 3 5 7 4" xfId="14784"/>
    <cellStyle name="汇总 2 3 5 7 4 2" xfId="14785"/>
    <cellStyle name="计算 2 8 4 8 2 2" xfId="14786"/>
    <cellStyle name="注释 2 7 8 10 2" xfId="14787"/>
    <cellStyle name="汇总 2 3 5 7 5 2" xfId="14788"/>
    <cellStyle name="注释 2 4 4 2 8" xfId="14789"/>
    <cellStyle name="输出 2 14 8 3 2" xfId="14790"/>
    <cellStyle name="汇总 2 3 5 7 6" xfId="14791"/>
    <cellStyle name="计算 2 8 4 8 3" xfId="14792"/>
    <cellStyle name="注释 2 7 8 11" xfId="14793"/>
    <cellStyle name="汇总 2 7 3 6 3 2" xfId="14794"/>
    <cellStyle name="输入 2 6 6 7 4" xfId="14795"/>
    <cellStyle name="计算 2 10 14 3 2" xfId="14796"/>
    <cellStyle name="汇总 2 6 8 8 2" xfId="14797"/>
    <cellStyle name="输入 2 4 3 6 5" xfId="14798"/>
    <cellStyle name="汇总 2 3 5 8" xfId="14799"/>
    <cellStyle name="汇总 2 6 8 8 2 2" xfId="14800"/>
    <cellStyle name="输入 2 4 3 6 5 2" xfId="14801"/>
    <cellStyle name="汇总 2 3 5 8 2" xfId="14802"/>
    <cellStyle name="输出 2 11 3 4" xfId="14803"/>
    <cellStyle name="汇总 2 9 11 9" xfId="14804"/>
    <cellStyle name="汇总 2 3 5 8 2 2" xfId="14805"/>
    <cellStyle name="计算 2 11 10 2 9" xfId="14806"/>
    <cellStyle name="汇总 2 3 5 8 3" xfId="14807"/>
    <cellStyle name="汇总 2 3 5 8 3 2" xfId="14808"/>
    <cellStyle name="输出 2 11 4 4" xfId="14809"/>
    <cellStyle name="汇总 2 9 12 9" xfId="14810"/>
    <cellStyle name="汇总 2 3 5 8 4" xfId="14811"/>
    <cellStyle name="汇总 2 3 5 8 4 2" xfId="14812"/>
    <cellStyle name="汇总 2 6 8 8 3" xfId="14813"/>
    <cellStyle name="输入 2 4 3 6 6" xfId="14814"/>
    <cellStyle name="汇总 2 3 5 9" xfId="14815"/>
    <cellStyle name="汇总 2 4 6 4 4" xfId="14816"/>
    <cellStyle name="输入 2 9 7 5 5 2" xfId="14817"/>
    <cellStyle name="输出 2 10 12 7" xfId="14818"/>
    <cellStyle name="汇总 2 3 6 10" xfId="14819"/>
    <cellStyle name="检查单元格 2 3 3 5 2 2" xfId="14820"/>
    <cellStyle name="汇总 2 4 6 4 4 2" xfId="14821"/>
    <cellStyle name="计算 2 3 5 2 4" xfId="14822"/>
    <cellStyle name="输入 2 7 7 4 2 2" xfId="14823"/>
    <cellStyle name="汇总 2 3 6 10 2" xfId="14824"/>
    <cellStyle name="汇总 2 8 5 2 5" xfId="14825"/>
    <cellStyle name="计算 2 9 5 5 2" xfId="14826"/>
    <cellStyle name="汇总 2 4 6 4 5" xfId="14827"/>
    <cellStyle name="输出 2 7 9 6 2" xfId="14828"/>
    <cellStyle name="计算 2 11 7 4 2 2" xfId="14829"/>
    <cellStyle name="输入 2 7 7 4 3" xfId="14830"/>
    <cellStyle name="输出 2 10 12 8" xfId="14831"/>
    <cellStyle name="汇总 2 3 6 11" xfId="14832"/>
    <cellStyle name="输入 2 7 3 5 4 2" xfId="14833"/>
    <cellStyle name="计算 2 9 5 5 2 2" xfId="14834"/>
    <cellStyle name="汇总 2 4 6 4 5 2" xfId="14835"/>
    <cellStyle name="输出 2 7 9 6 2 2" xfId="14836"/>
    <cellStyle name="计算 2 3 5 3 4" xfId="14837"/>
    <cellStyle name="输入 2 7 7 4 3 2" xfId="14838"/>
    <cellStyle name="汇总 2 3 6 11 2" xfId="14839"/>
    <cellStyle name="汇总 2 8 5 3 5" xfId="14840"/>
    <cellStyle name="计算 2 9 5 5 3" xfId="14841"/>
    <cellStyle name="汇总 2 4 6 4 6" xfId="14842"/>
    <cellStyle name="输出 2 7 9 6 3" xfId="14843"/>
    <cellStyle name="输出 2 10 12 9" xfId="14844"/>
    <cellStyle name="汇总 2 3 6 12" xfId="14845"/>
    <cellStyle name="汇总 2 3 6 12 2" xfId="14846"/>
    <cellStyle name="汇总 2 8 5 4 5" xfId="14847"/>
    <cellStyle name="输出 2 10 4 10" xfId="14848"/>
    <cellStyle name="汇总 2 3 6 13" xfId="14849"/>
    <cellStyle name="输出 2 11 11 13" xfId="14850"/>
    <cellStyle name="计算 2 6 11 3 6" xfId="14851"/>
    <cellStyle name="汇总 2 3 6 2" xfId="14852"/>
    <cellStyle name="计算 2 10 9 2 3 2" xfId="14853"/>
    <cellStyle name="汇总 2 3 6 2 3 2" xfId="14854"/>
    <cellStyle name="计算 2 11 7 7 6" xfId="14855"/>
    <cellStyle name="输入 2 2 10 4 5 2" xfId="14856"/>
    <cellStyle name="汇总 2 6 5 5 5 2" xfId="14857"/>
    <cellStyle name="输出 2 9 8 7 2 2" xfId="14858"/>
    <cellStyle name="检查单元格 2 9 9 2" xfId="14859"/>
    <cellStyle name="汇总 2 3 6 2 4" xfId="14860"/>
    <cellStyle name="输入 2 9 6 5 3 2" xfId="14861"/>
    <cellStyle name="检查单元格 2 9 9 2 2" xfId="14862"/>
    <cellStyle name="汇总 2 3 6 2 4 2" xfId="14863"/>
    <cellStyle name="输出 2 6 9 4 2" xfId="14864"/>
    <cellStyle name="检查单元格 2 9 9 3" xfId="14865"/>
    <cellStyle name="汇总 2 3 6 2 5" xfId="14866"/>
    <cellStyle name="计算 2 8 5 3 2" xfId="14867"/>
    <cellStyle name="输出 2 6 9 4 2 2" xfId="14868"/>
    <cellStyle name="检查单元格 2 9 9 3 2" xfId="14869"/>
    <cellStyle name="汇总 2 3 6 2 5 2" xfId="14870"/>
    <cellStyle name="计算 2 8 5 3 2 2" xfId="14871"/>
    <cellStyle name="输出 2 6 9 4 3" xfId="14872"/>
    <cellStyle name="检查单元格 2 9 9 4" xfId="14873"/>
    <cellStyle name="汇总 2 3 6 2 6" xfId="14874"/>
    <cellStyle name="计算 2 8 5 3 3" xfId="14875"/>
    <cellStyle name="输出 2 4 3 5 3 2" xfId="14876"/>
    <cellStyle name="输出 2 11 11 14" xfId="14877"/>
    <cellStyle name="汇总 2 3 6 3" xfId="14878"/>
    <cellStyle name="汇总 2 3 6 3 2" xfId="14879"/>
    <cellStyle name="检查单元格 2 5 6 5 2 2" xfId="14880"/>
    <cellStyle name="输入 2 2 10 5 5" xfId="14881"/>
    <cellStyle name="汇总 2 3 6 3 3" xfId="14882"/>
    <cellStyle name="汇总 2 8 3 11 2" xfId="14883"/>
    <cellStyle name="汇总 2 3 6 3 3 2" xfId="14884"/>
    <cellStyle name="计算 2 11 8 7 6" xfId="14885"/>
    <cellStyle name="输入 2 2 10 5 5 2" xfId="14886"/>
    <cellStyle name="汇总 2 3 6 3 4" xfId="14887"/>
    <cellStyle name="输入 2 9 6 5 4 2" xfId="14888"/>
    <cellStyle name="汇总 2 3 6 3 4 2" xfId="14889"/>
    <cellStyle name="输出 2 6 9 5 2" xfId="14890"/>
    <cellStyle name="汇总 2 3 6 3 5" xfId="14891"/>
    <cellStyle name="计算 2 8 5 4 2" xfId="14892"/>
    <cellStyle name="输出 2 6 9 5 2 2" xfId="14893"/>
    <cellStyle name="汇总 2 3 6 3 5 2" xfId="14894"/>
    <cellStyle name="计算 2 8 5 4 2 2" xfId="14895"/>
    <cellStyle name="输出 2 6 9 5 3" xfId="14896"/>
    <cellStyle name="汇总 2 3 6 3 6" xfId="14897"/>
    <cellStyle name="计算 2 8 5 4 3" xfId="14898"/>
    <cellStyle name="输出 2 11 11 15" xfId="14899"/>
    <cellStyle name="汇总 2 3 6 4" xfId="14900"/>
    <cellStyle name="输出 2 6 9 6 2 2" xfId="14901"/>
    <cellStyle name="汇总 2 3 6 4 5 2" xfId="14902"/>
    <cellStyle name="计算 2 8 5 5 2 2" xfId="14903"/>
    <cellStyle name="输出 2 11 11 16" xfId="14904"/>
    <cellStyle name="汇总 2 3 6 5" xfId="14905"/>
    <cellStyle name="汇总 2 3 6 5 2" xfId="14906"/>
    <cellStyle name="检查单元格 2 5 6 5 4 2" xfId="14907"/>
    <cellStyle name="输入 2 2 10 7 5" xfId="14908"/>
    <cellStyle name="汇总 2 3 6 5 3" xfId="14909"/>
    <cellStyle name="汇总 2 3 6 5 3 2" xfId="14910"/>
    <cellStyle name="汇总 2 3 6 5 4" xfId="14911"/>
    <cellStyle name="输出 2 6 9 7 2" xfId="14912"/>
    <cellStyle name="汇总 2 3 6 5 5" xfId="14913"/>
    <cellStyle name="输入 2 2 9 6 2 2" xfId="14914"/>
    <cellStyle name="计算 2 8 5 6 2" xfId="14915"/>
    <cellStyle name="计算 2 11 6 4 3 2" xfId="14916"/>
    <cellStyle name="输入 2 6 7 5 3" xfId="14917"/>
    <cellStyle name="输出 2 6 9 7 2 2" xfId="14918"/>
    <cellStyle name="汇总 2 3 6 5 5 2" xfId="14919"/>
    <cellStyle name="注释 2 5 2 2 8" xfId="14920"/>
    <cellStyle name="计算 2 8 5 6 2 2" xfId="14921"/>
    <cellStyle name="输出 2 6 9 7 3" xfId="14922"/>
    <cellStyle name="汇总 2 3 6 5 6" xfId="14923"/>
    <cellStyle name="计算 2 8 5 6 3" xfId="14924"/>
    <cellStyle name="输出 2 2 9 4 3 2" xfId="14925"/>
    <cellStyle name="汇总 2 3 6 6" xfId="14926"/>
    <cellStyle name="计算 2 4 5 3 3 2" xfId="14927"/>
    <cellStyle name="输入 2 4 3 7 3" xfId="14928"/>
    <cellStyle name="汇总 2 3 6 6 2" xfId="14929"/>
    <cellStyle name="汇总 2 6 3 10" xfId="14930"/>
    <cellStyle name="输入 2 2 10 8 5" xfId="14931"/>
    <cellStyle name="汇总 2 3 6 6 3" xfId="14932"/>
    <cellStyle name="汇总 2 6 3 10 2" xfId="14933"/>
    <cellStyle name="汇总 2 3 6 6 3 2" xfId="14934"/>
    <cellStyle name="汇总 2 6 3 11" xfId="14935"/>
    <cellStyle name="汇总 2 3 6 6 4" xfId="14936"/>
    <cellStyle name="输出 2 10 5 13" xfId="14937"/>
    <cellStyle name="汇总 2 3 7 16" xfId="14938"/>
    <cellStyle name="输入 2 6 7 6 2 2" xfId="14939"/>
    <cellStyle name="汇总 2 6 3 11 2" xfId="14940"/>
    <cellStyle name="汇总 2 3 6 6 4 2" xfId="14941"/>
    <cellStyle name="输出 2 6 9 8 2 2" xfId="14942"/>
    <cellStyle name="汇总 2 3 6 6 5 2" xfId="14943"/>
    <cellStyle name="注释 2 5 3 2 8" xfId="14944"/>
    <cellStyle name="计算 2 8 5 7 2 2" xfId="14945"/>
    <cellStyle name="汇总 2 6 3 12 2" xfId="14946"/>
    <cellStyle name="输出 2 6 9 8 3" xfId="14947"/>
    <cellStyle name="汇总 2 3 6 6 6" xfId="14948"/>
    <cellStyle name="计算 2 8 5 7 3" xfId="14949"/>
    <cellStyle name="汇总 2 6 3 13" xfId="14950"/>
    <cellStyle name="汇总 2 7 3 7 2 2" xfId="14951"/>
    <cellStyle name="输入 2 6 7 6 4" xfId="14952"/>
    <cellStyle name="计算 2 10 15 2 2" xfId="14953"/>
    <cellStyle name="汇总 2 3 6 7" xfId="14954"/>
    <cellStyle name="汇总 2 3 6 7 2" xfId="14955"/>
    <cellStyle name="汇总 2 3 6 7 3" xfId="14956"/>
    <cellStyle name="汇总 2 3 6 7 3 2" xfId="14957"/>
    <cellStyle name="汇总 2 3 6 7 4" xfId="14958"/>
    <cellStyle name="汇总 2 3 6 7 4 2" xfId="14959"/>
    <cellStyle name="计算 2 8 5 8 2 2" xfId="14960"/>
    <cellStyle name="汇总 2 3 6 7 5 2" xfId="14961"/>
    <cellStyle name="注释 2 5 4 2 8" xfId="14962"/>
    <cellStyle name="计算 2 8 5 8 3" xfId="14963"/>
    <cellStyle name="汇总 2 3 6 7 6" xfId="14964"/>
    <cellStyle name="汇总 2 7 3 7 3 2" xfId="14965"/>
    <cellStyle name="输入 2 6 7 7 4" xfId="14966"/>
    <cellStyle name="计算 2 10 15 3 2" xfId="14967"/>
    <cellStyle name="汇总 2 6 8 9 2" xfId="14968"/>
    <cellStyle name="输入 2 4 3 7 5" xfId="14969"/>
    <cellStyle name="汇总 2 3 6 8" xfId="14970"/>
    <cellStyle name="汇总 2 6 10 2 2 2" xfId="14971"/>
    <cellStyle name="汇总 2 3 6 8 2" xfId="14972"/>
    <cellStyle name="汇总 2 3 6 8 3" xfId="14973"/>
    <cellStyle name="汇总 2 3 6 8 3 2" xfId="14974"/>
    <cellStyle name="汇总 2 3 6 8 4" xfId="14975"/>
    <cellStyle name="汇总 2 3 6 8 4 2" xfId="14976"/>
    <cellStyle name="汇总 2 3 6 9" xfId="14977"/>
    <cellStyle name="汇总 2 3 7 10" xfId="14978"/>
    <cellStyle name="注释 2 9 5 8 3 2" xfId="14979"/>
    <cellStyle name="输出 2 11 3 5 4" xfId="14980"/>
    <cellStyle name="汇总 2 3 7 10 2" xfId="14981"/>
    <cellStyle name="汇总 2 3 7 12" xfId="14982"/>
    <cellStyle name="计算 2 2 4 7 4 2" xfId="14983"/>
    <cellStyle name="输出 2 10 5 10" xfId="14984"/>
    <cellStyle name="输出 2 10 11 3 3 2" xfId="14985"/>
    <cellStyle name="汇总 2 3 7 13" xfId="14986"/>
    <cellStyle name="输出 2 10 5 12" xfId="14987"/>
    <cellStyle name="汇总 2 3 7 15" xfId="14988"/>
    <cellStyle name="汇总 2 4 10 8 5" xfId="14989"/>
    <cellStyle name="汇总 2 3 7 2 2" xfId="14990"/>
    <cellStyle name="计算 2 9 7 15" xfId="14991"/>
    <cellStyle name="汇总 2 3 7 2 2 2" xfId="14992"/>
    <cellStyle name="计算 2 12 7 6 6" xfId="14993"/>
    <cellStyle name="输入 2 2 11 4 4 2" xfId="14994"/>
    <cellStyle name="汇总 2 3 7 2 3 2" xfId="14995"/>
    <cellStyle name="计算 2 2 27" xfId="14996"/>
    <cellStyle name="计算 2 12 7 7 6" xfId="14997"/>
    <cellStyle name="输入 2 2 11 4 5 2" xfId="14998"/>
    <cellStyle name="汇总 2 6 5 6 5 2" xfId="14999"/>
    <cellStyle name="输出 2 9 8 8 2 2" xfId="15000"/>
    <cellStyle name="汇总 2 3 7 2 4" xfId="15001"/>
    <cellStyle name="输入 2 9 6 6 3 2" xfId="15002"/>
    <cellStyle name="汇总 2 3 7 2 4 2" xfId="15003"/>
    <cellStyle name="计算 2 8 6 3 2 2" xfId="15004"/>
    <cellStyle name="汇总 2 3 7 2 5 2" xfId="15005"/>
    <cellStyle name="计算 2 8 6 3 3" xfId="15006"/>
    <cellStyle name="计算 2 6 10 10" xfId="15007"/>
    <cellStyle name="汇总 2 3 7 2 6" xfId="15008"/>
    <cellStyle name="汇总 2 3 7 3 2 2" xfId="15009"/>
    <cellStyle name="计算 2 12 8 6 6" xfId="15010"/>
    <cellStyle name="输入 2 2 11 5 4 2" xfId="15011"/>
    <cellStyle name="汇总 2 3 7 3 3" xfId="15012"/>
    <cellStyle name="输入 2 11 5 2 3 2" xfId="15013"/>
    <cellStyle name="计算 2 7 27" xfId="15014"/>
    <cellStyle name="汇总 2 3 7 3 3 2" xfId="15015"/>
    <cellStyle name="计算 2 12 8 7 6" xfId="15016"/>
    <cellStyle name="输入 2 2 11 5 5 2" xfId="15017"/>
    <cellStyle name="汇总 2 3 7 3 4" xfId="15018"/>
    <cellStyle name="输入 2 9 6 6 4 2" xfId="15019"/>
    <cellStyle name="汇总 2 3 7 3 4 2" xfId="15020"/>
    <cellStyle name="计算 2 8 6 4 2 2" xfId="15021"/>
    <cellStyle name="汇总 2 3 7 3 5 2" xfId="15022"/>
    <cellStyle name="计算 2 8 6 4 3" xfId="15023"/>
    <cellStyle name="汇总 2 3 7 3 6" xfId="15024"/>
    <cellStyle name="汇总 2 3 7 4 3" xfId="15025"/>
    <cellStyle name="输入 2 11 5 2 4 2" xfId="15026"/>
    <cellStyle name="汇总 2 3 7 4 3 2" xfId="15027"/>
    <cellStyle name="计算 2 12 9 7 6" xfId="15028"/>
    <cellStyle name="输入 2 2 11 6 5 2" xfId="15029"/>
    <cellStyle name="汇总 2 3 7 4 4" xfId="15030"/>
    <cellStyle name="输入 2 9 6 6 5 2" xfId="15031"/>
    <cellStyle name="汇总 2 3 7 4 4 2" xfId="15032"/>
    <cellStyle name="计算 2 8 6 5 2 2" xfId="15033"/>
    <cellStyle name="汇总 2 3 7 4 5 2" xfId="15034"/>
    <cellStyle name="计算 2 8 6 5 3" xfId="15035"/>
    <cellStyle name="汇总 2 3 7 4 6" xfId="15036"/>
    <cellStyle name="汇总 2 3 7 5 2 2" xfId="15037"/>
    <cellStyle name="注释 2 4 19 5" xfId="15038"/>
    <cellStyle name="计算 2 4 10 6 6" xfId="15039"/>
    <cellStyle name="输入 2 2 11 7 4 2" xfId="15040"/>
    <cellStyle name="汇总 2 3 7 5 3" xfId="15041"/>
    <cellStyle name="输入 2 11 5 2 5 2" xfId="15042"/>
    <cellStyle name="汇总 2 3 7 5 3 2" xfId="15043"/>
    <cellStyle name="计算 2 4 10 7 6" xfId="15044"/>
    <cellStyle name="输入 2 2 11 7 5 2" xfId="15045"/>
    <cellStyle name="汇总 2 3 7 5 4" xfId="15046"/>
    <cellStyle name="汇总 2 3 7 5 4 2" xfId="15047"/>
    <cellStyle name="汇总 2 8 2 16" xfId="15048"/>
    <cellStyle name="输入 2 6 8 5 2 2" xfId="15049"/>
    <cellStyle name="计算 2 8 6 6 2 2" xfId="15050"/>
    <cellStyle name="汇总 2 3 7 5 5 2" xfId="15051"/>
    <cellStyle name="注释 2 6 2 2 8" xfId="15052"/>
    <cellStyle name="计算 2 8 6 6 3" xfId="15053"/>
    <cellStyle name="汇总 2 3 7 5 6" xfId="15054"/>
    <cellStyle name="汇总 2 3 7 6 2" xfId="15055"/>
    <cellStyle name="汇总 2 3 7 6 2 2" xfId="15056"/>
    <cellStyle name="计算 2 4 11 6 6" xfId="15057"/>
    <cellStyle name="输入 2 2 11 8 4 2" xfId="15058"/>
    <cellStyle name="汇总 2 6 8 10" xfId="15059"/>
    <cellStyle name="输入 2 2 11 8 5" xfId="15060"/>
    <cellStyle name="汇总 2 3 7 6 3" xfId="15061"/>
    <cellStyle name="汇总 2 6 8 10 2" xfId="15062"/>
    <cellStyle name="计算 2 4 11 7 6" xfId="15063"/>
    <cellStyle name="汇总 2 3 7 6 3 2" xfId="15064"/>
    <cellStyle name="汇总 2 6 8 11" xfId="15065"/>
    <cellStyle name="汇总 2 3 7 6 4" xfId="15066"/>
    <cellStyle name="汇总 2 6 8 11 2" xfId="15067"/>
    <cellStyle name="汇总 2 3 7 6 4 2" xfId="15068"/>
    <cellStyle name="汇总 2 8 7 16" xfId="15069"/>
    <cellStyle name="输入 2 6 8 6 2 2" xfId="15070"/>
    <cellStyle name="计算 2 8 6 7 2 2" xfId="15071"/>
    <cellStyle name="汇总 2 6 8 12 2" xfId="15072"/>
    <cellStyle name="汇总 2 3 7 6 5 2" xfId="15073"/>
    <cellStyle name="注释 2 6 3 2 8" xfId="15074"/>
    <cellStyle name="计算 2 8 6 7 3" xfId="15075"/>
    <cellStyle name="汇总 2 6 8 13" xfId="15076"/>
    <cellStyle name="汇总 2 3 7 6 6" xfId="15077"/>
    <cellStyle name="汇总 2 7 3 8 2 2" xfId="15078"/>
    <cellStyle name="输入 2 6 8 6 4" xfId="15079"/>
    <cellStyle name="计算 2 10 16 2 2" xfId="15080"/>
    <cellStyle name="汇总 2 3 7 7 2" xfId="15081"/>
    <cellStyle name="输出 2 10 10 4" xfId="15082"/>
    <cellStyle name="汇总 2 3 7 7 2 2" xfId="15083"/>
    <cellStyle name="汇总 2 3 7 7 3" xfId="15084"/>
    <cellStyle name="输出 2 10 11 4" xfId="15085"/>
    <cellStyle name="汇总 2 3 7 7 3 2" xfId="15086"/>
    <cellStyle name="汇总 2 3 7 7 4" xfId="15087"/>
    <cellStyle name="输出 2 10 12 4" xfId="15088"/>
    <cellStyle name="汇总 2 3 7 7 4 2" xfId="15089"/>
    <cellStyle name="输出 2 10 13 4" xfId="15090"/>
    <cellStyle name="汇总 2 3 7 7 5 2" xfId="15091"/>
    <cellStyle name="注释 2 6 4 2 8" xfId="15092"/>
    <cellStyle name="计算 2 8 6 8 2 2" xfId="15093"/>
    <cellStyle name="计算 2 8 6 8 3" xfId="15094"/>
    <cellStyle name="计算 2 6 11 10" xfId="15095"/>
    <cellStyle name="汇总 2 3 7 7 6" xfId="15096"/>
    <cellStyle name="汇总 2 7 3 8 3 2" xfId="15097"/>
    <cellStyle name="输入 2 6 8 7 4" xfId="15098"/>
    <cellStyle name="计算 2 10 16 3 2" xfId="15099"/>
    <cellStyle name="汇总 2 3 7 8 2" xfId="15100"/>
    <cellStyle name="汇总 2 3 7 8 2 2" xfId="15101"/>
    <cellStyle name="汇总 2 3 7 8 3" xfId="15102"/>
    <cellStyle name="汇总 2 3 7 8 3 2" xfId="15103"/>
    <cellStyle name="汇总 2 3 7 8 4" xfId="15104"/>
    <cellStyle name="汇总 2 3 7 8 4 2" xfId="15105"/>
    <cellStyle name="汇总 2 3 7 9 2" xfId="15106"/>
    <cellStyle name="输出 2 2 8 2" xfId="15107"/>
    <cellStyle name="输出 2 11 8 6 4" xfId="15108"/>
    <cellStyle name="汇总 2 3 8 11 2" xfId="15109"/>
    <cellStyle name="检查单元格 2 4 7 5 2 2" xfId="15110"/>
    <cellStyle name="输出 2 2 9" xfId="15111"/>
    <cellStyle name="汇总 2 3 8 12" xfId="15112"/>
    <cellStyle name="检查单元格 2 4 7 5 3" xfId="15113"/>
    <cellStyle name="输出 2 2 9 2" xfId="15114"/>
    <cellStyle name="输出 2 11 8 7 4" xfId="15115"/>
    <cellStyle name="汇总 2 3 8 12 2" xfId="15116"/>
    <cellStyle name="检查单元格 2 4 7 5 3 2" xfId="15117"/>
    <cellStyle name="输出 2 10 6 10" xfId="15118"/>
    <cellStyle name="汇总 2 3 8 13" xfId="15119"/>
    <cellStyle name="检查单元格 2 4 7 5 4" xfId="15120"/>
    <cellStyle name="输出 2 10 6 11" xfId="15121"/>
    <cellStyle name="汇总 2 3 8 14" xfId="15122"/>
    <cellStyle name="注释 2 8 10 5 2" xfId="15123"/>
    <cellStyle name="检查单元格 2 4 7 5 5" xfId="15124"/>
    <cellStyle name="输出 2 10 6 12" xfId="15125"/>
    <cellStyle name="汇总 2 3 8 15" xfId="15126"/>
    <cellStyle name="注释 2 8 10 5 3" xfId="15127"/>
    <cellStyle name="汇总 2 3 8 2 2 2" xfId="15128"/>
    <cellStyle name="汇总 2 3 8 2 3 2" xfId="15129"/>
    <cellStyle name="汇总 2 6 5 7 5 2" xfId="15130"/>
    <cellStyle name="汇总 2 5 5 10 2" xfId="15131"/>
    <cellStyle name="汇总 2 3 8 2 4" xfId="15132"/>
    <cellStyle name="输入 2 9 6 7 3 2" xfId="15133"/>
    <cellStyle name="汇总 2 3 8 2 4 2" xfId="15134"/>
    <cellStyle name="计算 2 8 7 3 2 2" xfId="15135"/>
    <cellStyle name="汇总 2 3 8 2 5 2" xfId="15136"/>
    <cellStyle name="计算 2 8 7 3 3" xfId="15137"/>
    <cellStyle name="汇总 2 3 8 2 6" xfId="15138"/>
    <cellStyle name="计算 2 8 7 3 6" xfId="15139"/>
    <cellStyle name="汇总 2 3 8 2 9" xfId="15140"/>
    <cellStyle name="输入 2 2 16 3" xfId="15141"/>
    <cellStyle name="输出 2 2 12 2" xfId="15142"/>
    <cellStyle name="汇总 2 3 8 3 2 2" xfId="15143"/>
    <cellStyle name="输出 2 2 13" xfId="15144"/>
    <cellStyle name="汇总 2 3 8 3 3" xfId="15145"/>
    <cellStyle name="输入 2 11 5 3 3 2" xfId="15146"/>
    <cellStyle name="计算 2 12 3 14" xfId="15147"/>
    <cellStyle name="输出 2 2 13 2" xfId="15148"/>
    <cellStyle name="汇总 2 3 8 3 3 2" xfId="15149"/>
    <cellStyle name="输出 2 2 14" xfId="15150"/>
    <cellStyle name="汇总 2 3 8 3 4" xfId="15151"/>
    <cellStyle name="输入 2 9 6 7 4 2" xfId="15152"/>
    <cellStyle name="汇总 2 5 5 11 2" xfId="15153"/>
    <cellStyle name="计算 2 12 3 15" xfId="15154"/>
    <cellStyle name="输出 2 2 14 2" xfId="15155"/>
    <cellStyle name="汇总 2 3 8 3 4 2" xfId="15156"/>
    <cellStyle name="输出 2 2 20 2" xfId="15157"/>
    <cellStyle name="输出 2 2 15 2" xfId="15158"/>
    <cellStyle name="汇总 2 3 8 3 5 2" xfId="15159"/>
    <cellStyle name="计算 2 8 7 4 2 2" xfId="15160"/>
    <cellStyle name="输出 2 2 21" xfId="15161"/>
    <cellStyle name="输出 2 2 16" xfId="15162"/>
    <cellStyle name="汇总 2 3 8 3 6" xfId="15163"/>
    <cellStyle name="计算 2 8 7 4 3" xfId="15164"/>
    <cellStyle name="汇总 2 3 8 4 2" xfId="15165"/>
    <cellStyle name="输出 2 7 9 2 2 2" xfId="15166"/>
    <cellStyle name="汇总 2 3 8 4 2 2" xfId="15167"/>
    <cellStyle name="汇总 2 3 8 4 3" xfId="15168"/>
    <cellStyle name="输入 2 11 5 3 4 2" xfId="15169"/>
    <cellStyle name="汇总 2 3 8 4 3 2" xfId="15170"/>
    <cellStyle name="汇总 2 5 5 12 2" xfId="15171"/>
    <cellStyle name="汇总 2 3 8 4 4" xfId="15172"/>
    <cellStyle name="输入 2 9 6 7 5 2" xfId="15173"/>
    <cellStyle name="汇总 2 3 8 4 4 2" xfId="15174"/>
    <cellStyle name="汇总 2 5 10 2 6" xfId="15175"/>
    <cellStyle name="输入 2 4 11 7 5 2" xfId="15176"/>
    <cellStyle name="注释 2 2 8 3 5" xfId="15177"/>
    <cellStyle name="计算 2 8 7 5 2 2" xfId="15178"/>
    <cellStyle name="汇总 2 3 8 4 5 2" xfId="15179"/>
    <cellStyle name="计算 2 8 7 5 3" xfId="15180"/>
    <cellStyle name="汇总 2 3 8 4 6" xfId="15181"/>
    <cellStyle name="汇总 2 3 8 5 2" xfId="15182"/>
    <cellStyle name="输出 2 7 9 2 3 2" xfId="15183"/>
    <cellStyle name="输出 2 12 3 12" xfId="15184"/>
    <cellStyle name="汇总 2 5 5 15" xfId="15185"/>
    <cellStyle name="输入 2 4 11 8 2 2" xfId="15186"/>
    <cellStyle name="汇总 2 3 8 5 2 2" xfId="15187"/>
    <cellStyle name="注释 2 9 19 5" xfId="15188"/>
    <cellStyle name="汇总 2 3 8 5 3" xfId="15189"/>
    <cellStyle name="输入 2 11 5 3 5 2" xfId="15190"/>
    <cellStyle name="汇总 2 3 8 5 3 2" xfId="15191"/>
    <cellStyle name="输出 2 12 3 10 2" xfId="15192"/>
    <cellStyle name="汇总 2 3 8 5 4" xfId="15193"/>
    <cellStyle name="汇总 2 7 10 2 4" xfId="15194"/>
    <cellStyle name="输入 2 6 9 5 2 2" xfId="15195"/>
    <cellStyle name="汇总 2 3 8 5 4 2" xfId="15196"/>
    <cellStyle name="汇总 2 7 10 3 4" xfId="15197"/>
    <cellStyle name="输入 2 6 9 5 3 2" xfId="15198"/>
    <cellStyle name="计算 2 8 7 6 2 2" xfId="15199"/>
    <cellStyle name="汇总 2 3 8 5 5 2" xfId="15200"/>
    <cellStyle name="注释 2 7 2 2 8" xfId="15201"/>
    <cellStyle name="汇总 2 5 11 2 6" xfId="15202"/>
    <cellStyle name="注释 2 2 9 3 5" xfId="15203"/>
    <cellStyle name="计算 2 8 7 6 3" xfId="15204"/>
    <cellStyle name="汇总 2 3 8 5 6" xfId="15205"/>
    <cellStyle name="汇总 2 3 8 6 2" xfId="15206"/>
    <cellStyle name="输出 2 7 9 2 4 2" xfId="15207"/>
    <cellStyle name="汇总 2 3 8 6 2 2" xfId="15208"/>
    <cellStyle name="汇总 2 3 8 6 3" xfId="15209"/>
    <cellStyle name="汇总 2 3 8 6 3 2" xfId="15210"/>
    <cellStyle name="输出 2 12 3 11 2" xfId="15211"/>
    <cellStyle name="汇总 2 3 8 6 4" xfId="15212"/>
    <cellStyle name="汇总 2 7 11 2 4" xfId="15213"/>
    <cellStyle name="输入 2 6 9 6 2 2" xfId="15214"/>
    <cellStyle name="汇总 2 3 8 6 4 2" xfId="15215"/>
    <cellStyle name="汇总 2 7 11 3 4" xfId="15216"/>
    <cellStyle name="输入 2 6 9 6 3 2" xfId="15217"/>
    <cellStyle name="计算 2 8 7 7 2 2" xfId="15218"/>
    <cellStyle name="汇总 2 3 8 6 5 2" xfId="15219"/>
    <cellStyle name="注释 2 7 3 2 8" xfId="15220"/>
    <cellStyle name="计算 2 8 7 7 3" xfId="15221"/>
    <cellStyle name="汇总 2 3 8 6 6" xfId="15222"/>
    <cellStyle name="计算 2 10 17 2 2" xfId="15223"/>
    <cellStyle name="汇总 2 3 8 7 2" xfId="15224"/>
    <cellStyle name="输出 2 7 9 2 5 2" xfId="15225"/>
    <cellStyle name="汇总 2 3 8 7 2 2" xfId="15226"/>
    <cellStyle name="汇总 2 3 8 7 3" xfId="15227"/>
    <cellStyle name="汇总 2 3 8 7 3 2" xfId="15228"/>
    <cellStyle name="输出 2 12 3 12 2" xfId="15229"/>
    <cellStyle name="汇总 2 3 8 7 4" xfId="15230"/>
    <cellStyle name="汇总 2 3 8 7 4 2" xfId="15231"/>
    <cellStyle name="计算 2 8 7 8 2 2" xfId="15232"/>
    <cellStyle name="汇总 2 3 8 7 5 2" xfId="15233"/>
    <cellStyle name="注释 2 7 4 2 8" xfId="15234"/>
    <cellStyle name="计算 2 8 7 8 3" xfId="15235"/>
    <cellStyle name="汇总 2 3 8 7 6" xfId="15236"/>
    <cellStyle name="计算 2 10 17 3 2" xfId="15237"/>
    <cellStyle name="汇总 2 6 10 2 4 2" xfId="15238"/>
    <cellStyle name="注释 2 7 8 3 3 2" xfId="15239"/>
    <cellStyle name="汇总 2 3 8 8" xfId="15240"/>
    <cellStyle name="输出 2 7 9 2 6" xfId="15241"/>
    <cellStyle name="输出 2 3 12" xfId="15242"/>
    <cellStyle name="汇总 2 3 8 8 2" xfId="15243"/>
    <cellStyle name="计算 2 12 4 13" xfId="15244"/>
    <cellStyle name="输出 2 7 10 4 4" xfId="15245"/>
    <cellStyle name="输出 2 3 12 2" xfId="15246"/>
    <cellStyle name="汇总 2 3 8 8 2 2" xfId="15247"/>
    <cellStyle name="输出 2 3 13" xfId="15248"/>
    <cellStyle name="汇总 2 3 8 8 3" xfId="15249"/>
    <cellStyle name="计算 2 12 4 14" xfId="15250"/>
    <cellStyle name="计算 2 2 8 2 2 2" xfId="15251"/>
    <cellStyle name="输出 2 7 10 5 4" xfId="15252"/>
    <cellStyle name="输出 2 3 13 2" xfId="15253"/>
    <cellStyle name="汇总 2 3 8 8 3 2" xfId="15254"/>
    <cellStyle name="输出 2 3 14" xfId="15255"/>
    <cellStyle name="汇总 2 3 8 8 4" xfId="15256"/>
    <cellStyle name="汇总 2 5 4 2 2 2" xfId="15257"/>
    <cellStyle name="计算 2 12 4 15" xfId="15258"/>
    <cellStyle name="输出 2 7 10 6 4" xfId="15259"/>
    <cellStyle name="输出 2 3 14 2" xfId="15260"/>
    <cellStyle name="汇总 2 3 8 8 4 2" xfId="15261"/>
    <cellStyle name="汇总 2 3 8 9" xfId="15262"/>
    <cellStyle name="输出 2 7 9 2 7" xfId="15263"/>
    <cellStyle name="注释 2 5 4 3 2 2" xfId="15264"/>
    <cellStyle name="汇总 2 3 8 9 2" xfId="15265"/>
    <cellStyle name="汇总 2 4 2 3" xfId="15266"/>
    <cellStyle name="检查单元格 2 7 8 2 3 2" xfId="15267"/>
    <cellStyle name="注释 2 8 7 2 4" xfId="15268"/>
    <cellStyle name="汇总 2 3 9 10" xfId="15269"/>
    <cellStyle name="输出 2 7 7" xfId="15270"/>
    <cellStyle name="输入 2 10 6 6 2" xfId="15271"/>
    <cellStyle name="汇总 2 4 2 3 2" xfId="15272"/>
    <cellStyle name="汇总 2 3 9 10 2" xfId="15273"/>
    <cellStyle name="输出 2 7 7 2" xfId="15274"/>
    <cellStyle name="输入 2 10 6 6 2 2" xfId="15275"/>
    <cellStyle name="汇总 2 4 2 4" xfId="15276"/>
    <cellStyle name="汇总 2 3 9 11" xfId="15277"/>
    <cellStyle name="输出 2 7 8" xfId="15278"/>
    <cellStyle name="输入 2 10 6 6 3" xfId="15279"/>
    <cellStyle name="汇总 2 4 2 4 2" xfId="15280"/>
    <cellStyle name="汇总 2 3 9 11 2" xfId="15281"/>
    <cellStyle name="输出 2 7 8 2" xfId="15282"/>
    <cellStyle name="输入 2 10 6 6 3 2" xfId="15283"/>
    <cellStyle name="汇总 2 4 2 5" xfId="15284"/>
    <cellStyle name="输出 2 9 6 4 3 2" xfId="15285"/>
    <cellStyle name="计算 2 9 17 2 2" xfId="15286"/>
    <cellStyle name="注释 2 8 7 2 6" xfId="15287"/>
    <cellStyle name="汇总 2 3 9 12" xfId="15288"/>
    <cellStyle name="输出 2 7 9" xfId="15289"/>
    <cellStyle name="输入 2 10 6 6 4" xfId="15290"/>
    <cellStyle name="汇总 2 4 2 5 2" xfId="15291"/>
    <cellStyle name="汇总 2 3 9 12 2" xfId="15292"/>
    <cellStyle name="输出 2 7 9 2" xfId="15293"/>
    <cellStyle name="输入 2 10 6 6 4 2" xfId="15294"/>
    <cellStyle name="汇总 2 4 2 6" xfId="15295"/>
    <cellStyle name="输出 2 7 2 4 2 2" xfId="15296"/>
    <cellStyle name="输出 2 10 7 10" xfId="15297"/>
    <cellStyle name="汇总 2 3 9 13" xfId="15298"/>
    <cellStyle name="输入 2 10 6 6 5" xfId="15299"/>
    <cellStyle name="汇总 2 4 2 7" xfId="15300"/>
    <cellStyle name="计算 2 11 11 5 4 2" xfId="15301"/>
    <cellStyle name="输入 2 4 4 3 4" xfId="15302"/>
    <cellStyle name="注释 2 4 6 2 3 2" xfId="15303"/>
    <cellStyle name="输出 2 10 7 11" xfId="15304"/>
    <cellStyle name="汇总 2 3 9 14" xfId="15305"/>
    <cellStyle name="输入 2 10 6 6 6" xfId="15306"/>
    <cellStyle name="计算 2 9 8 2 3 2" xfId="15307"/>
    <cellStyle name="汇总 2 4 2 8" xfId="15308"/>
    <cellStyle name="汇总 2 6 9 5 2" xfId="15309"/>
    <cellStyle name="输入 2 4 4 3 5" xfId="15310"/>
    <cellStyle name="输出 2 10 7 12" xfId="15311"/>
    <cellStyle name="汇总 2 3 9 15" xfId="15312"/>
    <cellStyle name="汇总 2 6 9 5 3" xfId="15313"/>
    <cellStyle name="输入 2 11 8 4 5 2" xfId="15314"/>
    <cellStyle name="输入 2 4 4 3 6" xfId="15315"/>
    <cellStyle name="汇总 2 4 2 9" xfId="15316"/>
    <cellStyle name="输出 2 5 8 3 2 2" xfId="15317"/>
    <cellStyle name="输出 2 10 7 13" xfId="15318"/>
    <cellStyle name="计算 2 7 4 2 2 2" xfId="15319"/>
    <cellStyle name="汇总 2 3 9 16" xfId="15320"/>
    <cellStyle name="汇总 2 3 9 2 2" xfId="15321"/>
    <cellStyle name="汇总 2 3 9 2 2 2" xfId="15322"/>
    <cellStyle name="汇总 2 3 9 2 3 2" xfId="15323"/>
    <cellStyle name="汇总 2 3 9 2 4 2" xfId="15324"/>
    <cellStyle name="计算 2 8 8 3 2 2" xfId="15325"/>
    <cellStyle name="注释 2 8 2 10 2" xfId="15326"/>
    <cellStyle name="汇总 2 3 9 2 5 2" xfId="15327"/>
    <cellStyle name="计算 2 8 8 3 3" xfId="15328"/>
    <cellStyle name="注释 2 8 2 11" xfId="15329"/>
    <cellStyle name="汇总 2 3 9 2 6" xfId="15330"/>
    <cellStyle name="计算 2 8 8 3 6" xfId="15331"/>
    <cellStyle name="注释 2 8 2 14" xfId="15332"/>
    <cellStyle name="汇总 2 3 9 2 9" xfId="15333"/>
    <cellStyle name="输出 2 7 12" xfId="15334"/>
    <cellStyle name="汇总 2 3 9 3 2" xfId="15335"/>
    <cellStyle name="计算 2 12 8 13" xfId="15336"/>
    <cellStyle name="计算 2 3 2 2 4" xfId="15337"/>
    <cellStyle name="输出 2 7 12 2" xfId="15338"/>
    <cellStyle name="汇总 2 3 9 3 2 2" xfId="15339"/>
    <cellStyle name="计算 2 3 2 2 4 2" xfId="15340"/>
    <cellStyle name="输出 2 7 13" xfId="15341"/>
    <cellStyle name="汇总 2 3 9 3 3" xfId="15342"/>
    <cellStyle name="输入 2 11 5 4 3 2" xfId="15343"/>
    <cellStyle name="计算 2 12 8 14" xfId="15344"/>
    <cellStyle name="计算 2 3 2 2 5" xfId="15345"/>
    <cellStyle name="输出 2 7 13 2" xfId="15346"/>
    <cellStyle name="汇总 2 3 9 3 3 2" xfId="15347"/>
    <cellStyle name="计算 2 3 2 2 5 2" xfId="15348"/>
    <cellStyle name="输出 2 7 14" xfId="15349"/>
    <cellStyle name="汇总 2 3 9 3 4" xfId="15350"/>
    <cellStyle name="输入 2 9 6 8 4 2" xfId="15351"/>
    <cellStyle name="计算 2 12 8 15" xfId="15352"/>
    <cellStyle name="输入 2 7 11 11 2" xfId="15353"/>
    <cellStyle name="计算 2 3 2 2 6" xfId="15354"/>
    <cellStyle name="输入 2 6 11 7 2" xfId="15355"/>
    <cellStyle name="输出 2 7 14 2" xfId="15356"/>
    <cellStyle name="汇总 2 3 9 3 4 2" xfId="15357"/>
    <cellStyle name="输出 2 7 20 2" xfId="15358"/>
    <cellStyle name="输出 2 7 15 2" xfId="15359"/>
    <cellStyle name="计算 2 9 10 2 4" xfId="15360"/>
    <cellStyle name="汇总 2 3 9 3 5 2" xfId="15361"/>
    <cellStyle name="计算 2 8 8 4 2 2" xfId="15362"/>
    <cellStyle name="输出 2 7 21" xfId="15363"/>
    <cellStyle name="输出 2 7 16" xfId="15364"/>
    <cellStyle name="汇总 2 3 9 3 6" xfId="15365"/>
    <cellStyle name="计算 2 8 8 4 3" xfId="15366"/>
    <cellStyle name="计算 2 3 2 2 8" xfId="15367"/>
    <cellStyle name="输入 2 6 11 7 4" xfId="15368"/>
    <cellStyle name="注释 2 4 8 8 3 2" xfId="15369"/>
    <cellStyle name="计算 2 9 5 2 2 2" xfId="15370"/>
    <cellStyle name="汇总 2 3 9 4 2" xfId="15371"/>
    <cellStyle name="输出 2 7 9 3 2 2" xfId="15372"/>
    <cellStyle name="计算 2 3 2 3 4" xfId="15373"/>
    <cellStyle name="汇总 2 3 9 4 2 2" xfId="15374"/>
    <cellStyle name="计算 2 3 2 3 4 2" xfId="15375"/>
    <cellStyle name="输入 2 3 2 10" xfId="15376"/>
    <cellStyle name="汇总 2 3 9 4 3" xfId="15377"/>
    <cellStyle name="输入 2 11 5 4 4 2" xfId="15378"/>
    <cellStyle name="计算 2 3 2 3 5" xfId="15379"/>
    <cellStyle name="汇总 2 3 9 4 3 2" xfId="15380"/>
    <cellStyle name="计算 2 3 2 3 5 2" xfId="15381"/>
    <cellStyle name="汇总 2 3 9 4 4" xfId="15382"/>
    <cellStyle name="计算 2 3 2 3 6" xfId="15383"/>
    <cellStyle name="输入 2 6 11 8 2" xfId="15384"/>
    <cellStyle name="汇总 2 3 9 4 4 2" xfId="15385"/>
    <cellStyle name="计算 2 8 8 5 3" xfId="15386"/>
    <cellStyle name="汇总 2 3 9 4 6" xfId="15387"/>
    <cellStyle name="计算 2 9 5 2 3 2" xfId="15388"/>
    <cellStyle name="汇总 2 3 9 5 2" xfId="15389"/>
    <cellStyle name="输出 2 7 9 3 3 2" xfId="15390"/>
    <cellStyle name="计算 2 3 2 4 4" xfId="15391"/>
    <cellStyle name="汇总 2 3 9 5 2 2" xfId="15392"/>
    <cellStyle name="计算 2 3 2 4 4 2" xfId="15393"/>
    <cellStyle name="输入 2 3 7 10" xfId="15394"/>
    <cellStyle name="计算 2 9 5 2 4" xfId="15395"/>
    <cellStyle name="汇总 2 3 9 6" xfId="15396"/>
    <cellStyle name="输出 2 7 9 3 4" xfId="15397"/>
    <cellStyle name="计算 2 9 5 2 4 2" xfId="15398"/>
    <cellStyle name="汇总 2 3 9 6 2" xfId="15399"/>
    <cellStyle name="输出 2 7 9 3 4 2" xfId="15400"/>
    <cellStyle name="计算 2 3 2 5 4" xfId="15401"/>
    <cellStyle name="输出 2 4 2 2 3" xfId="15402"/>
    <cellStyle name="汇总 2 5 12 6" xfId="15403"/>
    <cellStyle name="检查单元格 2 6 5" xfId="15404"/>
    <cellStyle name="汇总 2 8 2 5 5 2" xfId="15405"/>
    <cellStyle name="汇总 2 3 9 6 2 2" xfId="15406"/>
    <cellStyle name="计算 2 3 2 5 4 2" xfId="15407"/>
    <cellStyle name="汇总 2 3 9 6 3" xfId="15408"/>
    <cellStyle name="计算 2 3 2 5 5" xfId="15409"/>
    <cellStyle name="输出 2 4 2 3 3" xfId="15410"/>
    <cellStyle name="汇总 2 5 13 6" xfId="15411"/>
    <cellStyle name="检查单元格 2 7 5" xfId="15412"/>
    <cellStyle name="检查单元格 2 5 12" xfId="15413"/>
    <cellStyle name="汇总 2 3 9 6 3 2" xfId="15414"/>
    <cellStyle name="计算 2 3 2 5 5 2" xfId="15415"/>
    <cellStyle name="计算 2 4 9 13" xfId="15416"/>
    <cellStyle name="汇总 2 3 9 6 4" xfId="15417"/>
    <cellStyle name="计算 2 3 2 5 6" xfId="15418"/>
    <cellStyle name="输出 2 4 2 4 3" xfId="15419"/>
    <cellStyle name="汇总 2 5 14 6" xfId="15420"/>
    <cellStyle name="检查单元格 2 8 5" xfId="15421"/>
    <cellStyle name="汇总 2 3 9 6 4 2" xfId="15422"/>
    <cellStyle name="计算 2 8 8 7 2" xfId="15423"/>
    <cellStyle name="汇总 2 3 9 6 5" xfId="15424"/>
    <cellStyle name="计算 2 11 6 7 4 2" xfId="15425"/>
    <cellStyle name="输出 2 4 2 5 3" xfId="15426"/>
    <cellStyle name="汇总 2 5 15 6" xfId="15427"/>
    <cellStyle name="检查单元格 2 9 5" xfId="15428"/>
    <cellStyle name="计算 2 8 8 7 2 2" xfId="15429"/>
    <cellStyle name="输入 2 10 2 6 6" xfId="15430"/>
    <cellStyle name="汇总 2 3 9 6 5 2" xfId="15431"/>
    <cellStyle name="注释 2 12 15" xfId="15432"/>
    <cellStyle name="注释 2 12 20" xfId="15433"/>
    <cellStyle name="注释 2 8 3 2 8" xfId="15434"/>
    <cellStyle name="计算 2 8 8 7 3" xfId="15435"/>
    <cellStyle name="汇总 2 3 9 6 6" xfId="15436"/>
    <cellStyle name="计算 2 10 18 2 2" xfId="15437"/>
    <cellStyle name="计算 2 7 14 5" xfId="15438"/>
    <cellStyle name="汇总 2 5 24" xfId="15439"/>
    <cellStyle name="汇总 2 5 19" xfId="15440"/>
    <cellStyle name="输出 2 4 3 2 3" xfId="15441"/>
    <cellStyle name="汇总 2 8 2 6 5 2" xfId="15442"/>
    <cellStyle name="汇总 2 3 9 7 2 2" xfId="15443"/>
    <cellStyle name="计算 2 3 2 6 4 2" xfId="15444"/>
    <cellStyle name="汇总 2 3 9 7 3" xfId="15445"/>
    <cellStyle name="计算 2 3 2 6 5" xfId="15446"/>
    <cellStyle name="汇总 2 3 9 7 3 2" xfId="15447"/>
    <cellStyle name="计算 2 3 2 6 5 2" xfId="15448"/>
    <cellStyle name="汇总 2 3 9 7 4" xfId="15449"/>
    <cellStyle name="计算 2 3 2 6 6" xfId="15450"/>
    <cellStyle name="汇总 2 3 9 7 4 2" xfId="15451"/>
    <cellStyle name="计算 2 8 8 8 2" xfId="15452"/>
    <cellStyle name="注释 2 8 3 10" xfId="15453"/>
    <cellStyle name="汇总 2 3 9 7 5" xfId="15454"/>
    <cellStyle name="计算 2 11 6 7 5 2" xfId="15455"/>
    <cellStyle name="计算 2 8 8 8 2 2" xfId="15456"/>
    <cellStyle name="输入 2 10 3 6 6" xfId="15457"/>
    <cellStyle name="注释 2 8 3 10 2" xfId="15458"/>
    <cellStyle name="汇总 2 3 9 7 5 2" xfId="15459"/>
    <cellStyle name="注释 2 17 15" xfId="15460"/>
    <cellStyle name="注释 2 8 4 2 8" xfId="15461"/>
    <cellStyle name="计算 2 8 8 8 3" xfId="15462"/>
    <cellStyle name="注释 2 8 3 11" xfId="15463"/>
    <cellStyle name="汇总 2 3 9 7 6" xfId="15464"/>
    <cellStyle name="计算 2 10 18 3 2" xfId="15465"/>
    <cellStyle name="汇总 2 3 9 8 2 2" xfId="15466"/>
    <cellStyle name="输出 2 8 12 2" xfId="15467"/>
    <cellStyle name="计算 2 3 2 7 4 2" xfId="15468"/>
    <cellStyle name="汇总 2 3 9 8 3 2" xfId="15469"/>
    <cellStyle name="输出 2 8 13 2" xfId="15470"/>
    <cellStyle name="计算 2 3 2 7 5 2" xfId="15471"/>
    <cellStyle name="汇总 2 5 4 3 2 2" xfId="15472"/>
    <cellStyle name="计算 2 12 9 15" xfId="15473"/>
    <cellStyle name="汇总 2 3 9 8 4" xfId="15474"/>
    <cellStyle name="输出 2 8 14" xfId="15475"/>
    <cellStyle name="计算 2 3 2 7 6" xfId="15476"/>
    <cellStyle name="汇总 2 3 9 8 4 2" xfId="15477"/>
    <cellStyle name="输出 2 8 14 2" xfId="15478"/>
    <cellStyle name="计算 2 8 8 9 2" xfId="15479"/>
    <cellStyle name="计算 2 12 9 16" xfId="15480"/>
    <cellStyle name="汇总 2 3 9 8 5" xfId="15481"/>
    <cellStyle name="输出 2 8 15" xfId="15482"/>
    <cellStyle name="输出 2 8 20" xfId="15483"/>
    <cellStyle name="输出 2 5 4 2 3" xfId="15484"/>
    <cellStyle name="汇总 2 4 10" xfId="15485"/>
    <cellStyle name="汇总 2 8 3 7 5 2" xfId="15486"/>
    <cellStyle name="汇总 2 6 6 3 3" xfId="15487"/>
    <cellStyle name="汇总 2 4 10 10" xfId="15488"/>
    <cellStyle name="汇总 2 6 6 3 3 2" xfId="15489"/>
    <cellStyle name="汇总 2 4 10 10 2" xfId="15490"/>
    <cellStyle name="汇总 2 6 6 3 4" xfId="15491"/>
    <cellStyle name="输入 2 9 9 5 4 2" xfId="15492"/>
    <cellStyle name="汇总 2 4 10 11" xfId="15493"/>
    <cellStyle name="汇总 2 6 6 3 4 2" xfId="15494"/>
    <cellStyle name="汇总 2 4 10 11 2" xfId="15495"/>
    <cellStyle name="汇总 2 7 15" xfId="15496"/>
    <cellStyle name="汇总 2 7 20" xfId="15497"/>
    <cellStyle name="输入 2 9 7 3 2 2" xfId="15498"/>
    <cellStyle name="汇总 2 6 6 3 5" xfId="15499"/>
    <cellStyle name="输出 2 9 9 5 2" xfId="15500"/>
    <cellStyle name="汇总 2 4 10 12" xfId="15501"/>
    <cellStyle name="输入 2 7 5 2" xfId="15502"/>
    <cellStyle name="计算 2 9 3 6 2 2" xfId="15503"/>
    <cellStyle name="汇总 2 4 4 5 5 2" xfId="15504"/>
    <cellStyle name="输出 2 7 7 7 2 2" xfId="15505"/>
    <cellStyle name="汇总 2 4 4 2 4" xfId="15506"/>
    <cellStyle name="输入 2 9 7 3 3 2" xfId="15507"/>
    <cellStyle name="汇总 2 6 6 3 5 2" xfId="15508"/>
    <cellStyle name="输出 2 9 9 5 2 2" xfId="15509"/>
    <cellStyle name="汇总 2 4 10 12 2" xfId="15510"/>
    <cellStyle name="输入 2 7 5 2 2" xfId="15511"/>
    <cellStyle name="汇总 2 6 6 3 6" xfId="15512"/>
    <cellStyle name="输出 2 9 9 5 3" xfId="15513"/>
    <cellStyle name="汇总 2 4 10 13" xfId="15514"/>
    <cellStyle name="输入 2 7 5 3" xfId="15515"/>
    <cellStyle name="计算 2 9 7 2 5 2" xfId="15516"/>
    <cellStyle name="汇总 2 6 6 16" xfId="15517"/>
    <cellStyle name="汇总 2 5 9 7 2" xfId="15518"/>
    <cellStyle name="汇总 2 4 10 2 2 2" xfId="15519"/>
    <cellStyle name="输入 2 3 4 5 5" xfId="15520"/>
    <cellStyle name="输入 2 7 15 2 2" xfId="15521"/>
    <cellStyle name="汇总 2 6 10 4 5 2" xfId="15522"/>
    <cellStyle name="注释 2 7 8 5 4 2" xfId="15523"/>
    <cellStyle name="计算 2 9 7 2 6" xfId="15524"/>
    <cellStyle name="汇总 2 5 9 8" xfId="15525"/>
    <cellStyle name="汇总 2 4 10 2 3" xfId="15526"/>
    <cellStyle name="输入 2 7 15 3" xfId="15527"/>
    <cellStyle name="汇总 2 5 9 8 2" xfId="15528"/>
    <cellStyle name="汇总 2 4 10 2 3 2" xfId="15529"/>
    <cellStyle name="输入 2 3 4 6 5" xfId="15530"/>
    <cellStyle name="输入 2 7 15 3 2" xfId="15531"/>
    <cellStyle name="计算 2 9 7 2 7" xfId="15532"/>
    <cellStyle name="汇总 2 5 9 9" xfId="15533"/>
    <cellStyle name="汇总 2 4 10 2 4" xfId="15534"/>
    <cellStyle name="输入 2 7 15 4" xfId="15535"/>
    <cellStyle name="注释 2 5 4 5 3 2" xfId="15536"/>
    <cellStyle name="汇总 2 5 9 9 2" xfId="15537"/>
    <cellStyle name="汇总 2 4 10 2 4 2" xfId="15538"/>
    <cellStyle name="输入 2 3 4 7 5" xfId="15539"/>
    <cellStyle name="输入 2 7 15 4 2" xfId="15540"/>
    <cellStyle name="汇总 2 4 10 2 5 2" xfId="15541"/>
    <cellStyle name="输入 2 3 4 8 5" xfId="15542"/>
    <cellStyle name="输入 2 7 15 5 2" xfId="15543"/>
    <cellStyle name="汇总 2 6 6 11" xfId="15544"/>
    <cellStyle name="汇总 2 5 16 4 2" xfId="15545"/>
    <cellStyle name="汇总 2 4 10 2 7" xfId="15546"/>
    <cellStyle name="汇总 2 6 6 12" xfId="15547"/>
    <cellStyle name="检查单元格 2 5 3 2 4 2" xfId="15548"/>
    <cellStyle name="汇总 2 4 10 2 8" xfId="15549"/>
    <cellStyle name="检查单元格 2 3 3 12" xfId="15550"/>
    <cellStyle name="汇总 2 7 15 5 2" xfId="15551"/>
    <cellStyle name="计算 2 6 8 4 2 2" xfId="15552"/>
    <cellStyle name="汇总 2 6 6 13" xfId="15553"/>
    <cellStyle name="输入 2 3 4 5 2" xfId="15554"/>
    <cellStyle name="汇总 2 4 10 2 9" xfId="15555"/>
    <cellStyle name="汇总 2 4 10 3 4 2" xfId="15556"/>
    <cellStyle name="输入 2 3 5 7 5" xfId="15557"/>
    <cellStyle name="输入 2 7 16 4 2" xfId="15558"/>
    <cellStyle name="输出 2 12 7 7 4 2" xfId="15559"/>
    <cellStyle name="计算 2 5 3 8 4" xfId="15560"/>
    <cellStyle name="计算 2 12 2 5 6" xfId="15561"/>
    <cellStyle name="输出 2 11 7 3 3" xfId="15562"/>
    <cellStyle name="输入 2 6 10 2 7" xfId="15563"/>
    <cellStyle name="汇总 2 4 10 3 5 2" xfId="15564"/>
    <cellStyle name="输入 2 3 5 8 5" xfId="15565"/>
    <cellStyle name="输入 2 7 16 5 2" xfId="15566"/>
    <cellStyle name="输出 2 12 7 7 5 2" xfId="15567"/>
    <cellStyle name="计算 2 12 2 6 6" xfId="15568"/>
    <cellStyle name="输出 2 11 7 4 3" xfId="15569"/>
    <cellStyle name="计算 2 8 7 15" xfId="15570"/>
    <cellStyle name="汇总 2 4 10 3 6" xfId="15571"/>
    <cellStyle name="输入 2 7 16 6" xfId="15572"/>
    <cellStyle name="计算 2 10 8 3 2 2" xfId="15573"/>
    <cellStyle name="输出 2 6 24" xfId="15574"/>
    <cellStyle name="输出 2 6 19" xfId="15575"/>
    <cellStyle name="汇总 2 4 10 4 4 2" xfId="15576"/>
    <cellStyle name="输入 2 3 6 7 5" xfId="15577"/>
    <cellStyle name="输入 2 7 17 4 2" xfId="15578"/>
    <cellStyle name="输出 2 12 7 8 4 2" xfId="15579"/>
    <cellStyle name="计算 2 5 4 8 4" xfId="15580"/>
    <cellStyle name="计算 2 12 3 5 6" xfId="15581"/>
    <cellStyle name="注释 2 10 4 15" xfId="15582"/>
    <cellStyle name="输出 2 11 8 3 3" xfId="15583"/>
    <cellStyle name="汇总 2 4 10 4 5 2" xfId="15584"/>
    <cellStyle name="输入 2 3 6 8 5" xfId="15585"/>
    <cellStyle name="输入 2 7 17 5 2" xfId="15586"/>
    <cellStyle name="输出 2 11 8 4 3" xfId="15587"/>
    <cellStyle name="计算 2 12 3 6 6" xfId="15588"/>
    <cellStyle name="检查单元格 2 10 7 4 2 2" xfId="15589"/>
    <cellStyle name="汇总 2 4 10 4 6" xfId="15590"/>
    <cellStyle name="输入 2 7 17 6" xfId="15591"/>
    <cellStyle name="计算 2 10 8 3 3 2" xfId="15592"/>
    <cellStyle name="输出 2 6 6 12 2" xfId="15593"/>
    <cellStyle name="汇总 2 4 10 5 4 2" xfId="15594"/>
    <cellStyle name="输入 2 3 7 7 5" xfId="15595"/>
    <cellStyle name="输入 2 7 18 4 2" xfId="15596"/>
    <cellStyle name="输出 2 11 9 3 3" xfId="15597"/>
    <cellStyle name="计算 2 5 5 8 4" xfId="15598"/>
    <cellStyle name="计算 2 12 4 5 6" xfId="15599"/>
    <cellStyle name="注释 2 10 9 15" xfId="15600"/>
    <cellStyle name="输出 2 6 6 13" xfId="15601"/>
    <cellStyle name="汇总 2 4 10 5 5" xfId="15602"/>
    <cellStyle name="输入 2 7 18 5" xfId="15603"/>
    <cellStyle name="汇总 2 4 10 5 5 2" xfId="15604"/>
    <cellStyle name="输入 2 3 7 8 5" xfId="15605"/>
    <cellStyle name="输入 2 7 18 5 2" xfId="15606"/>
    <cellStyle name="输出 2 11 9 4 3" xfId="15607"/>
    <cellStyle name="计算 2 12 4 6 6" xfId="15608"/>
    <cellStyle name="汇总 2 4 10 6" xfId="15609"/>
    <cellStyle name="输入 2 7 19" xfId="15610"/>
    <cellStyle name="输入 2 7 24" xfId="15611"/>
    <cellStyle name="注释 2 3 10 4 3" xfId="15612"/>
    <cellStyle name="汇总 2 4 10 6 4 2" xfId="15613"/>
    <cellStyle name="输入 2 3 8 7 5" xfId="15614"/>
    <cellStyle name="输入 2 7 19 4 2" xfId="15615"/>
    <cellStyle name="计算 2 5 6 8 4" xfId="15616"/>
    <cellStyle name="计算 2 12 5 5 6" xfId="15617"/>
    <cellStyle name="输入 2 2 11 2 3 2" xfId="15618"/>
    <cellStyle name="计算 2 3 11 11" xfId="15619"/>
    <cellStyle name="注释 2 3 18 5" xfId="15620"/>
    <cellStyle name="汇总 2 4 10 6 5" xfId="15621"/>
    <cellStyle name="输入 2 7 19 5" xfId="15622"/>
    <cellStyle name="汇总 2 4 10 6 5 2" xfId="15623"/>
    <cellStyle name="输入 2 3 8 8 5" xfId="15624"/>
    <cellStyle name="计算 2 12 5 6 6" xfId="15625"/>
    <cellStyle name="输入 2 2 11 2 4 2" xfId="15626"/>
    <cellStyle name="汇总 2 4 10 7 4 2" xfId="15627"/>
    <cellStyle name="输入 2 3 9 7 5" xfId="15628"/>
    <cellStyle name="计算 2 5 7 8 4" xfId="15629"/>
    <cellStyle name="计算 2 12 6 5 6" xfId="15630"/>
    <cellStyle name="输入 2 2 11 3 3 2" xfId="15631"/>
    <cellStyle name="汇总 2 4 10 7 5" xfId="15632"/>
    <cellStyle name="汇总 2 4 10 7 5 2" xfId="15633"/>
    <cellStyle name="输入 2 3 9 8 5" xfId="15634"/>
    <cellStyle name="计算 2 9 2 15" xfId="15635"/>
    <cellStyle name="计算 2 12 6 6 6" xfId="15636"/>
    <cellStyle name="输入 2 2 11 3 4 2" xfId="15637"/>
    <cellStyle name="检查单元格 2 9 4 7 2" xfId="15638"/>
    <cellStyle name="汇总 2 5 8 8 2 2" xfId="15639"/>
    <cellStyle name="输入 2 3 3 6 5 2" xfId="15640"/>
    <cellStyle name="汇总 2 4 10 8" xfId="15641"/>
    <cellStyle name="输入 2 7 26" xfId="15642"/>
    <cellStyle name="注释 2 3 10 4 5" xfId="15643"/>
    <cellStyle name="汇总 2 4 10 8 4 2" xfId="15644"/>
    <cellStyle name="计算 2 5 8 8 4" xfId="15645"/>
    <cellStyle name="计算 2 12 7 5 6" xfId="15646"/>
    <cellStyle name="输入 2 2 11 4 3 2" xfId="15647"/>
    <cellStyle name="注释 2 2 9 8" xfId="15648"/>
    <cellStyle name="汇总 2 4 10 9" xfId="15649"/>
    <cellStyle name="输入 2 7 27" xfId="15650"/>
    <cellStyle name="注释 2 3 10 4 6" xfId="15651"/>
    <cellStyle name="输出 2 4 3 13" xfId="15652"/>
    <cellStyle name="计算 2 11 9 12 2" xfId="15653"/>
    <cellStyle name="输出 2 5 4 2 4" xfId="15654"/>
    <cellStyle name="输出 2 18 4 2" xfId="15655"/>
    <cellStyle name="汇总 2 4 11" xfId="15656"/>
    <cellStyle name="汇总 2 7 7 2 2" xfId="15657"/>
    <cellStyle name="汇总 2 6 6 8 3" xfId="15658"/>
    <cellStyle name="汇总 2 4 11 10" xfId="15659"/>
    <cellStyle name="输出 2 12 3 2 4 2" xfId="15660"/>
    <cellStyle name="汇总 2 6 8 3" xfId="15661"/>
    <cellStyle name="汇总 2 6 6 8 3 2" xfId="15662"/>
    <cellStyle name="汇总 2 4 11 10 2" xfId="15663"/>
    <cellStyle name="汇总 2 6 6 8 4" xfId="15664"/>
    <cellStyle name="汇总 2 4 11 11" xfId="15665"/>
    <cellStyle name="汇总 2 4 9 2 4" xfId="15666"/>
    <cellStyle name="输入 2 9 7 8 3 2" xfId="15667"/>
    <cellStyle name="输出 2 2 6 2 6" xfId="15668"/>
    <cellStyle name="汇总 2 4 11 12 2" xfId="15669"/>
    <cellStyle name="检查单元格 2 3 3 8 2" xfId="15670"/>
    <cellStyle name="汇总 2 5 2 7 3 2" xfId="15671"/>
    <cellStyle name="输出 2 2 17 4 2" xfId="15672"/>
    <cellStyle name="汇总 2 4 11 14" xfId="15673"/>
    <cellStyle name="汇总 2 4 11 15" xfId="15674"/>
    <cellStyle name="输出 2 3 2 3 2" xfId="15675"/>
    <cellStyle name="汇总 2 4 11 16" xfId="15676"/>
    <cellStyle name="检查单元格 2 7 2 5 2 2" xfId="15677"/>
    <cellStyle name="计算 2 5 10 4 3 2" xfId="15678"/>
    <cellStyle name="汇总 2 6 9 8 2" xfId="15679"/>
    <cellStyle name="汇总 2 4 11 2 3 2" xfId="15680"/>
    <cellStyle name="输入 2 4 4 6 5" xfId="15681"/>
    <cellStyle name="汇总 2 4 5 8" xfId="15682"/>
    <cellStyle name="汇总 2 6 10 3 3 2" xfId="15683"/>
    <cellStyle name="注释 2 7 8 4 2 2" xfId="15684"/>
    <cellStyle name="汇总 2 4 7 8" xfId="15685"/>
    <cellStyle name="汇总 2 4 11 2 5 2" xfId="15686"/>
    <cellStyle name="输入 2 4 4 8 5" xfId="15687"/>
    <cellStyle name="计算 2 9 8 3 5 2" xfId="15688"/>
    <cellStyle name="汇总 2 5 4 8" xfId="15689"/>
    <cellStyle name="输入 2 7 10 3" xfId="15690"/>
    <cellStyle name="汇总 2 4 11 3 2 2" xfId="15691"/>
    <cellStyle name="输入 2 4 5 5 5" xfId="15692"/>
    <cellStyle name="计算 2 9 8 3 6" xfId="15693"/>
    <cellStyle name="输入 2 6 10 2 3 2" xfId="15694"/>
    <cellStyle name="汇总 2 4 9 2 9" xfId="15695"/>
    <cellStyle name="汇总 2 4 11 3 3" xfId="15696"/>
    <cellStyle name="计算 2 12 2 5 2 2" xfId="15697"/>
    <cellStyle name="汇总 2 5 5 8" xfId="15698"/>
    <cellStyle name="输入 2 7 11 3" xfId="15699"/>
    <cellStyle name="汇总 2 4 11 3 3 2" xfId="15700"/>
    <cellStyle name="输入 2 4 5 6 5" xfId="15701"/>
    <cellStyle name="汇总 2 6 10 4 2" xfId="15702"/>
    <cellStyle name="汇总 2 4 11 3 4" xfId="15703"/>
    <cellStyle name="注释 2 5 4 6 4 2" xfId="15704"/>
    <cellStyle name="汇总 2 6 10 4 2 2" xfId="15705"/>
    <cellStyle name="汇总 2 5 6 8" xfId="15706"/>
    <cellStyle name="输入 2 7 12 3" xfId="15707"/>
    <cellStyle name="汇总 2 4 11 3 4 2" xfId="15708"/>
    <cellStyle name="输入 2 4 5 7 5" xfId="15709"/>
    <cellStyle name="汇总 2 6 10 4 3 2" xfId="15710"/>
    <cellStyle name="注释 2 7 8 5 2 2" xfId="15711"/>
    <cellStyle name="输出 2 6 5 11" xfId="15712"/>
    <cellStyle name="汇总 2 4 11 3 5 2" xfId="15713"/>
    <cellStyle name="输入 2 4 5 8 5" xfId="15714"/>
    <cellStyle name="汇总 2 5 7 8" xfId="15715"/>
    <cellStyle name="输入 2 7 13 3" xfId="15716"/>
    <cellStyle name="汇总 2 6 10 4 4" xfId="15717"/>
    <cellStyle name="输入 2 6 4 5 4 2" xfId="15718"/>
    <cellStyle name="注释 2 7 8 5 3" xfId="15719"/>
    <cellStyle name="汇总 2 4 11 3 6" xfId="15720"/>
    <cellStyle name="计算 2 10 8 4 2 2" xfId="15721"/>
    <cellStyle name="计算 2 9 8 4 5 2" xfId="15722"/>
    <cellStyle name="汇总 2 6 4 8" xfId="15723"/>
    <cellStyle name="汇总 2 4 11 4 2 2" xfId="15724"/>
    <cellStyle name="输入 2 4 6 5 5" xfId="15725"/>
    <cellStyle name="输出 2 4 8 7 4" xfId="15726"/>
    <cellStyle name="输出 2 12 8 8 2 2" xfId="15727"/>
    <cellStyle name="计算 2 6 4 6 4" xfId="15728"/>
    <cellStyle name="计算 2 12 2 10 2" xfId="15729"/>
    <cellStyle name="输出 2 12 8 8 3" xfId="15730"/>
    <cellStyle name="计算 2 12 2 11" xfId="15731"/>
    <cellStyle name="计算 2 9 8 4 6" xfId="15732"/>
    <cellStyle name="输入 2 6 10 2 4 2" xfId="15733"/>
    <cellStyle name="汇总 2 4 11 4 3" xfId="15734"/>
    <cellStyle name="计算 2 12 2 5 3 2" xfId="15735"/>
    <cellStyle name="汇总 2 6 5 8" xfId="15736"/>
    <cellStyle name="汇总 2 4 11 4 3 2" xfId="15737"/>
    <cellStyle name="输入 2 4 6 6 5" xfId="15738"/>
    <cellStyle name="输出 2 4 8 8 4" xfId="15739"/>
    <cellStyle name="输出 2 12 8 2 3" xfId="15740"/>
    <cellStyle name="输出 2 12 8 8 3 2" xfId="15741"/>
    <cellStyle name="计算 2 6 4 7 4" xfId="15742"/>
    <cellStyle name="计算 2 12 2 11 2" xfId="15743"/>
    <cellStyle name="汇总 2 6 10 5 2" xfId="15744"/>
    <cellStyle name="汇总 2 4 11 4 4" xfId="15745"/>
    <cellStyle name="注释 2 5 4 6 5 2" xfId="15746"/>
    <cellStyle name="输出 2 12 8 8 4" xfId="15747"/>
    <cellStyle name="计算 2 12 2 12" xfId="15748"/>
    <cellStyle name="检查单元格 2 4 8 5 4 2" xfId="15749"/>
    <cellStyle name="汇总 2 6 6 8" xfId="15750"/>
    <cellStyle name="汇总 2 4 11 4 4 2" xfId="15751"/>
    <cellStyle name="输入 2 4 6 7 5" xfId="15752"/>
    <cellStyle name="输出 2 12 8 8 4 2" xfId="15753"/>
    <cellStyle name="计算 2 6 4 8 4" xfId="15754"/>
    <cellStyle name="计算 2 12 2 12 2" xfId="15755"/>
    <cellStyle name="输出 2 12 8 3 3" xfId="15756"/>
    <cellStyle name="汇总 2 6 10 5 2 2" xfId="15757"/>
    <cellStyle name="汇总 2 6 7 8" xfId="15758"/>
    <cellStyle name="输入 2 2 11 12" xfId="15759"/>
    <cellStyle name="汇总 2 4 11 4 5 2" xfId="15760"/>
    <cellStyle name="输入 2 4 6 8 5" xfId="15761"/>
    <cellStyle name="汇总 2 6 10 5 3 2" xfId="15762"/>
    <cellStyle name="注释 2 7 8 6 2 2" xfId="15763"/>
    <cellStyle name="汇总 2 6 10 5 4" xfId="15764"/>
    <cellStyle name="汇总 2 8 9 7 2 2" xfId="15765"/>
    <cellStyle name="输入 2 6 4 5 5 2" xfId="15766"/>
    <cellStyle name="注释 2 7 8 6 3" xfId="15767"/>
    <cellStyle name="检查单元格 2 10 7 5 2 2" xfId="15768"/>
    <cellStyle name="汇总 2 4 11 4 6" xfId="15769"/>
    <cellStyle name="计算 2 10 8 4 3 2" xfId="15770"/>
    <cellStyle name="计算 2 12 2 14" xfId="15771"/>
    <cellStyle name="计算 2 9 8 5 5" xfId="15772"/>
    <cellStyle name="汇总 2 4 11 5 2" xfId="15773"/>
    <cellStyle name="注释 2 3 10 5 2 2" xfId="15774"/>
    <cellStyle name="计算 2 9 8 5 5 2" xfId="15775"/>
    <cellStyle name="汇总 2 7 4 8" xfId="15776"/>
    <cellStyle name="汇总 2 4 11 5 2 2" xfId="15777"/>
    <cellStyle name="输入 2 4 7 5 5" xfId="15778"/>
    <cellStyle name="计算 2 9 8 5 6" xfId="15779"/>
    <cellStyle name="输入 2 6 10 2 5 2" xfId="15780"/>
    <cellStyle name="计算 2 5 3 8 2 2" xfId="15781"/>
    <cellStyle name="汇总 2 4 11 5 3" xfId="15782"/>
    <cellStyle name="计算 2 12 2 5 4 2" xfId="15783"/>
    <cellStyle name="汇总 2 4 11 5 3 2" xfId="15784"/>
    <cellStyle name="输入 2 4 7 6 5" xfId="15785"/>
    <cellStyle name="汇总 2 7 5 8" xfId="15786"/>
    <cellStyle name="汇总 2 6 10 6 2" xfId="15787"/>
    <cellStyle name="汇总 2 4 11 5 4" xfId="15788"/>
    <cellStyle name="输出 2 2 10 2 5" xfId="15789"/>
    <cellStyle name="汇总 2 6 10 6 2 2" xfId="15790"/>
    <cellStyle name="汇总 2 4 11 5 4 2" xfId="15791"/>
    <cellStyle name="输入 2 4 7 7 5" xfId="15792"/>
    <cellStyle name="汇总 2 7 6 8" xfId="15793"/>
    <cellStyle name="输出 2 5 10" xfId="15794"/>
    <cellStyle name="计算 2 6 5 8 4" xfId="15795"/>
    <cellStyle name="输出 2 12 9 3 3" xfId="15796"/>
    <cellStyle name="计算 2 12 6 11" xfId="15797"/>
    <cellStyle name="检查单元格 2 2 4 5 4 2" xfId="15798"/>
    <cellStyle name="汇总 2 6 10 6 3" xfId="15799"/>
    <cellStyle name="注释 2 7 8 7 2" xfId="15800"/>
    <cellStyle name="汇总 2 4 11 5 5" xfId="15801"/>
    <cellStyle name="输出 2 2 10 3 5" xfId="15802"/>
    <cellStyle name="汇总 2 6 10 6 3 2" xfId="15803"/>
    <cellStyle name="注释 2 7 8 7 2 2" xfId="15804"/>
    <cellStyle name="汇总 2 4 11 5 5 2" xfId="15805"/>
    <cellStyle name="输入 2 4 7 8 5" xfId="15806"/>
    <cellStyle name="汇总 2 7 7 8" xfId="15807"/>
    <cellStyle name="汇总 2 6 11 8 2 2" xfId="15808"/>
    <cellStyle name="汇总 2 4 11 6" xfId="15809"/>
    <cellStyle name="注释 2 3 10 5 3" xfId="15810"/>
    <cellStyle name="计算 2 9 8 6 5" xfId="15811"/>
    <cellStyle name="汇总 2 4 11 6 2" xfId="15812"/>
    <cellStyle name="注释 2 3 10 5 3 2" xfId="15813"/>
    <cellStyle name="计算 2 9 8 6 5 2" xfId="15814"/>
    <cellStyle name="汇总 2 8 4 8" xfId="15815"/>
    <cellStyle name="注释 2 11 2 2 6" xfId="15816"/>
    <cellStyle name="汇总 2 4 11 6 2 2" xfId="15817"/>
    <cellStyle name="输入 2 4 8 5 5" xfId="15818"/>
    <cellStyle name="输出 2 11 7 3 2 2" xfId="15819"/>
    <cellStyle name="计算 2 9 8 6 6" xfId="15820"/>
    <cellStyle name="计算 2 5 3 8 3 2" xfId="15821"/>
    <cellStyle name="汇总 2 4 11 6 3" xfId="15822"/>
    <cellStyle name="计算 2 12 2 5 5 2" xfId="15823"/>
    <cellStyle name="汇总 2 4 11 6 3 2" xfId="15824"/>
    <cellStyle name="输入 2 4 8 6 5" xfId="15825"/>
    <cellStyle name="汇总 2 8 5 8" xfId="15826"/>
    <cellStyle name="注释 2 11 2 3 6" xfId="15827"/>
    <cellStyle name="汇总 2 6 10 7 2" xfId="15828"/>
    <cellStyle name="汇总 2 4 11 6 4" xfId="15829"/>
    <cellStyle name="输出 2 2 11 2 5" xfId="15830"/>
    <cellStyle name="汇总 2 6 10 7 2 2" xfId="15831"/>
    <cellStyle name="检查单元格 2 10 4 6" xfId="15832"/>
    <cellStyle name="汇总 2 9 11 12" xfId="15833"/>
    <cellStyle name="汇总 2 4 11 6 4 2" xfId="15834"/>
    <cellStyle name="输入 2 4 8 7 5" xfId="15835"/>
    <cellStyle name="汇总 2 8 6 8" xfId="15836"/>
    <cellStyle name="注释 2 11 2 4 6" xfId="15837"/>
    <cellStyle name="输出 2 4 10 3 3" xfId="15838"/>
    <cellStyle name="计算 2 4 11 11" xfId="15839"/>
    <cellStyle name="注释 2 8 18 5" xfId="15840"/>
    <cellStyle name="计算 2 6 6 8 4" xfId="15841"/>
    <cellStyle name="汇总 2 6 10 7 3" xfId="15842"/>
    <cellStyle name="注释 2 7 8 8 2" xfId="15843"/>
    <cellStyle name="汇总 2 4 11 6 5" xfId="15844"/>
    <cellStyle name="输出 2 2 11 3 5" xfId="15845"/>
    <cellStyle name="汇总 2 6 10 7 3 2" xfId="15846"/>
    <cellStyle name="注释 2 7 8 8 2 2" xfId="15847"/>
    <cellStyle name="输出 2 11 3 12" xfId="15848"/>
    <cellStyle name="汇总 2 4 5 15" xfId="15849"/>
    <cellStyle name="输入 2 4 11 3 2 2" xfId="15850"/>
    <cellStyle name="检查单元格 2 10 5 6" xfId="15851"/>
    <cellStyle name="汇总 2 4 11 6 5 2" xfId="15852"/>
    <cellStyle name="输入 2 4 8 8 5" xfId="15853"/>
    <cellStyle name="汇总 2 8 7 8" xfId="15854"/>
    <cellStyle name="注释 2 11 2 5 6" xfId="15855"/>
    <cellStyle name="计算 2 9 8 7 5" xfId="15856"/>
    <cellStyle name="汇总 2 4 11 7 2" xfId="15857"/>
    <cellStyle name="注释 2 3 10 5 4 2" xfId="15858"/>
    <cellStyle name="输出 2 11 22" xfId="15859"/>
    <cellStyle name="输出 2 11 17" xfId="15860"/>
    <cellStyle name="计算 2 9 8 7 5 2" xfId="15861"/>
    <cellStyle name="汇总 2 9 4 8" xfId="15862"/>
    <cellStyle name="注释 2 11 3 2 6" xfId="15863"/>
    <cellStyle name="汇总 2 4 11 7 2 2" xfId="15864"/>
    <cellStyle name="输入 2 4 9 5 5" xfId="15865"/>
    <cellStyle name="计算 2 6 7 6 4" xfId="15866"/>
    <cellStyle name="计算 2 11 10 13" xfId="15867"/>
    <cellStyle name="输出 2 11 7 3 3 2" xfId="15868"/>
    <cellStyle name="计算 2 9 8 7 6" xfId="15869"/>
    <cellStyle name="计算 2 5 3 8 4 2" xfId="15870"/>
    <cellStyle name="汇总 2 4 11 7 3" xfId="15871"/>
    <cellStyle name="汇总 2 4 11 7 3 2" xfId="15872"/>
    <cellStyle name="输入 2 4 9 6 5" xfId="15873"/>
    <cellStyle name="汇总 2 9 5 8" xfId="15874"/>
    <cellStyle name="注释 2 11 3 3 6" xfId="15875"/>
    <cellStyle name="汇总 2 6 10 8 2" xfId="15876"/>
    <cellStyle name="输入 2 10 9 14" xfId="15877"/>
    <cellStyle name="汇总 2 4 11 7 4" xfId="15878"/>
    <cellStyle name="汇总 2 6 10 8 2 2" xfId="15879"/>
    <cellStyle name="输入 2 2 8 7" xfId="15880"/>
    <cellStyle name="汇总 2 4 11 7 4 2" xfId="15881"/>
    <cellStyle name="输入 2 4 9 7 5" xfId="15882"/>
    <cellStyle name="汇总 2 9 6 8" xfId="15883"/>
    <cellStyle name="注释 2 11 3 4 6" xfId="15884"/>
    <cellStyle name="汇总 2 6 10 8 3 2" xfId="15885"/>
    <cellStyle name="输入 2 2 9 7" xfId="15886"/>
    <cellStyle name="汇总 2 4 11 7 5 2" xfId="15887"/>
    <cellStyle name="输入 2 4 9 8 5" xfId="15888"/>
    <cellStyle name="汇总 2 9 7 8" xfId="15889"/>
    <cellStyle name="注释 2 11 3 5 6" xfId="15890"/>
    <cellStyle name="警告文本 3" xfId="15891"/>
    <cellStyle name="汇总 2 5 8 8 3 2" xfId="15892"/>
    <cellStyle name="检查单元格 2 9 4 8 2" xfId="15893"/>
    <cellStyle name="汇总 2 4 11 8" xfId="15894"/>
    <cellStyle name="注释 2 3 10 5 5" xfId="15895"/>
    <cellStyle name="计算 2 9 8 8 5" xfId="15896"/>
    <cellStyle name="汇总 2 4 11 8 2" xfId="15897"/>
    <cellStyle name="注释 2 3 10 5 5 2" xfId="15898"/>
    <cellStyle name="汇总 2 4 11 8 2 2" xfId="15899"/>
    <cellStyle name="输出 2 11 7 3 4 2" xfId="15900"/>
    <cellStyle name="汇总 2 4 11 8 3" xfId="15901"/>
    <cellStyle name="汇总 2 4 11 8 3 2" xfId="15902"/>
    <cellStyle name="汇总 2 4 11 8 4 2" xfId="15903"/>
    <cellStyle name="汇总 2 4 11 9 2" xfId="15904"/>
    <cellStyle name="输出 2 10 6 2 9" xfId="15905"/>
    <cellStyle name="计算 2 12 3 10" xfId="15906"/>
    <cellStyle name="计算 2 9 9 4 5" xfId="15907"/>
    <cellStyle name="注释 2 10 12 5" xfId="15908"/>
    <cellStyle name="汇总 2 4 12 4 2" xfId="15909"/>
    <cellStyle name="输出 2 12 9 8 2" xfId="15910"/>
    <cellStyle name="计算 2 12 7 10" xfId="15911"/>
    <cellStyle name="汇总 2 4 12 5" xfId="15912"/>
    <cellStyle name="注释 2 3 10 6 2" xfId="15913"/>
    <cellStyle name="计算 2 9 9 5 5" xfId="15914"/>
    <cellStyle name="注释 2 10 13 5" xfId="15915"/>
    <cellStyle name="汇总 2 4 12 5 2" xfId="15916"/>
    <cellStyle name="注释 2 3 10 6 2 2" xfId="15917"/>
    <cellStyle name="汇总 2 6 11 8 3 2" xfId="15918"/>
    <cellStyle name="汇总 2 4 12 6" xfId="15919"/>
    <cellStyle name="注释 2 3 10 6 3" xfId="15920"/>
    <cellStyle name="检查单元格 2 9 4 9 2" xfId="15921"/>
    <cellStyle name="汇总 2 5 8 8 4 2" xfId="15922"/>
    <cellStyle name="输入 2 18" xfId="15923"/>
    <cellStyle name="汇总 2 4 12 8" xfId="15924"/>
    <cellStyle name="注释 2 3 10 6 5" xfId="15925"/>
    <cellStyle name="输出 2 5 4 2 6" xfId="15926"/>
    <cellStyle name="汇总 2 6 9 6 5 2" xfId="15927"/>
    <cellStyle name="汇总 2 4 13" xfId="15928"/>
    <cellStyle name="汇总 2 7 7 2 4" xfId="15929"/>
    <cellStyle name="汇总 2 4 13 4 2" xfId="15930"/>
    <cellStyle name="汇总 2 4 13 5" xfId="15931"/>
    <cellStyle name="注释 2 3 10 7 2" xfId="15932"/>
    <cellStyle name="输出 2 11 4 11" xfId="15933"/>
    <cellStyle name="汇总 2 4 6 14" xfId="15934"/>
    <cellStyle name="注释 2 12 3 6 5 2" xfId="15935"/>
    <cellStyle name="注释 2 2 4 5 4" xfId="15936"/>
    <cellStyle name="计算 2 3 9 12 2" xfId="15937"/>
    <cellStyle name="汇总 2 4 13 5 2" xfId="15938"/>
    <cellStyle name="注释 2 3 10 7 2 2" xfId="15939"/>
    <cellStyle name="汇总 2 6 11 8 4 2" xfId="15940"/>
    <cellStyle name="汇总 2 4 13 6" xfId="15941"/>
    <cellStyle name="注释 2 3 10 7 3" xfId="15942"/>
    <cellStyle name="汇总 2 4 5 6 4 2" xfId="15943"/>
    <cellStyle name="计算 2 2 7 2 4" xfId="15944"/>
    <cellStyle name="输入 2 7 6 6 2 2" xfId="15945"/>
    <cellStyle name="输出 2 5 4 2 7" xfId="15946"/>
    <cellStyle name="汇总 2 4 14" xfId="15947"/>
    <cellStyle name="汇总 2 7 7 2 5" xfId="15948"/>
    <cellStyle name="检查单元格 2 6 2 2 6" xfId="15949"/>
    <cellStyle name="汇总 2 4 14 4 2" xfId="15950"/>
    <cellStyle name="汇总 2 4 14 5" xfId="15951"/>
    <cellStyle name="注释 2 3 10 8 2" xfId="15952"/>
    <cellStyle name="检查单元格 2 6 2 3 6" xfId="15953"/>
    <cellStyle name="汇总 2 4 14 5 2" xfId="15954"/>
    <cellStyle name="注释 2 3 10 8 2 2" xfId="15955"/>
    <cellStyle name="汇总 2 4 14 6" xfId="15956"/>
    <cellStyle name="注释 2 3 10 8 3" xfId="15957"/>
    <cellStyle name="输出 2 5 4 2 8" xfId="15958"/>
    <cellStyle name="汇总 2 4 20" xfId="15959"/>
    <cellStyle name="汇总 2 4 15" xfId="15960"/>
    <cellStyle name="汇总 2 7 7 2 6" xfId="15961"/>
    <cellStyle name="汇总 2 4 15 3 2" xfId="15962"/>
    <cellStyle name="输入 2 8 16 2" xfId="15963"/>
    <cellStyle name="输入 2 8 21 2" xfId="15964"/>
    <cellStyle name="注释 2 11 4 8 5" xfId="15965"/>
    <cellStyle name="适中 3" xfId="15966"/>
    <cellStyle name="检查单元格 2 2 9 2 2" xfId="15967"/>
    <cellStyle name="汇总 2 4 15 4" xfId="15968"/>
    <cellStyle name="输入 2 8 17" xfId="15969"/>
    <cellStyle name="输入 2 8 22" xfId="15970"/>
    <cellStyle name="检查单元格 2 6 3 2 6" xfId="15971"/>
    <cellStyle name="汇总 2 4 15 4 2" xfId="15972"/>
    <cellStyle name="输入 2 8 17 2" xfId="15973"/>
    <cellStyle name="输入 2 8 22 2" xfId="15974"/>
    <cellStyle name="汇总 2 4 15 5" xfId="15975"/>
    <cellStyle name="输入 2 8 18" xfId="15976"/>
    <cellStyle name="输入 2 8 23" xfId="15977"/>
    <cellStyle name="注释 2 3 10 9 2" xfId="15978"/>
    <cellStyle name="检查单元格 2 6 3 3 6" xfId="15979"/>
    <cellStyle name="汇总 2 4 15 5 2" xfId="15980"/>
    <cellStyle name="输入 2 8 18 2" xfId="15981"/>
    <cellStyle name="输入 2 8 23 2" xfId="15982"/>
    <cellStyle name="汇总 2 4 15 6" xfId="15983"/>
    <cellStyle name="输入 2 8 19" xfId="15984"/>
    <cellStyle name="输入 2 8 24" xfId="15985"/>
    <cellStyle name="汇总 2 4 21 2" xfId="15986"/>
    <cellStyle name="汇总 2 4 16 2" xfId="15987"/>
    <cellStyle name="汇总 2 4 16 2 2" xfId="15988"/>
    <cellStyle name="注释 2 11 5 7 5" xfId="15989"/>
    <cellStyle name="汇总 2 4 16 3" xfId="15990"/>
    <cellStyle name="计算 2 4 17 2 2" xfId="15991"/>
    <cellStyle name="汇总 2 4 16 3 2" xfId="15992"/>
    <cellStyle name="注释 2 11 5 8 5" xfId="15993"/>
    <cellStyle name="输出 2 6 2 4 2 2" xfId="15994"/>
    <cellStyle name="检查单元格 2 2 9 3 2" xfId="15995"/>
    <cellStyle name="汇总 2 4 16 4" xfId="15996"/>
    <cellStyle name="汇总 2 4 16 5" xfId="15997"/>
    <cellStyle name="检查单元格 2 6 4 3 6" xfId="15998"/>
    <cellStyle name="汇总 2 4 16 5 2" xfId="15999"/>
    <cellStyle name="汇总 2 4 16 6" xfId="16000"/>
    <cellStyle name="输入 2 8 10 6 2 2" xfId="16001"/>
    <cellStyle name="汇总 2 4 22" xfId="16002"/>
    <cellStyle name="汇总 2 4 17" xfId="16003"/>
    <cellStyle name="注释 2 11 11 4 2 2" xfId="16004"/>
    <cellStyle name="汇总 2 7 7 2 8" xfId="16005"/>
    <cellStyle name="汇总 2 4 22 2" xfId="16006"/>
    <cellStyle name="汇总 2 4 17 2" xfId="16007"/>
    <cellStyle name="汇总 2 4 17 2 2" xfId="16008"/>
    <cellStyle name="注释 2 11 6 7 5" xfId="16009"/>
    <cellStyle name="汇总 2 4 17 3" xfId="16010"/>
    <cellStyle name="计算 2 4 17 3 2" xfId="16011"/>
    <cellStyle name="检查单元格 2 7 2 3 4 2" xfId="16012"/>
    <cellStyle name="汇总 2 5 10 2 5" xfId="16013"/>
    <cellStyle name="注释 2 2 8 3 4" xfId="16014"/>
    <cellStyle name="计算 2 5 10 2 5 2" xfId="16015"/>
    <cellStyle name="汇总 2 4 17 3 2" xfId="16016"/>
    <cellStyle name="注释 2 11 6 8 5" xfId="16017"/>
    <cellStyle name="输出 2 6 2 4 3 2" xfId="16018"/>
    <cellStyle name="检查单元格 2 2 9 4 2" xfId="16019"/>
    <cellStyle name="汇总 2 4 17 4" xfId="16020"/>
    <cellStyle name="检查单元格 2 7 2 3 5 2" xfId="16021"/>
    <cellStyle name="汇总 2 5 10 3 5" xfId="16022"/>
    <cellStyle name="注释 2 2 8 4 4" xfId="16023"/>
    <cellStyle name="检查单元格 2 4 2 5" xfId="16024"/>
    <cellStyle name="检查单元格 2 6 5 2 6" xfId="16025"/>
    <cellStyle name="汇总 2 4 17 4 2" xfId="16026"/>
    <cellStyle name="汇总 2 4 17 5" xfId="16027"/>
    <cellStyle name="检查单元格 2 4 3 5" xfId="16028"/>
    <cellStyle name="汇总 2 5 10 4 5" xfId="16029"/>
    <cellStyle name="注释 2 2 8 5 4" xfId="16030"/>
    <cellStyle name="检查单元格 2 6 5 3 6" xfId="16031"/>
    <cellStyle name="汇总 2 4 17 5 2" xfId="16032"/>
    <cellStyle name="汇总 2 4 17 6" xfId="16033"/>
    <cellStyle name="输入 2 8 10 6 3 2" xfId="16034"/>
    <cellStyle name="汇总 2 4 23" xfId="16035"/>
    <cellStyle name="汇总 2 4 18" xfId="16036"/>
    <cellStyle name="注释 2 10 2 2 2 2" xfId="16037"/>
    <cellStyle name="汇总 2 7 7 2 9" xfId="16038"/>
    <cellStyle name="计算 2 12 5 3 2 2" xfId="16039"/>
    <cellStyle name="汇总 2 4 23 2" xfId="16040"/>
    <cellStyle name="汇总 2 4 18 2" xfId="16041"/>
    <cellStyle name="输出 2 4 15 6" xfId="16042"/>
    <cellStyle name="计算 2 3 11 2 6" xfId="16043"/>
    <cellStyle name="汇总 2 7 10 2 3" xfId="16044"/>
    <cellStyle name="汇总 2 4 18 2 2" xfId="16045"/>
    <cellStyle name="注释 2 11 7 7 5" xfId="16046"/>
    <cellStyle name="汇总 2 4 18 3" xfId="16047"/>
    <cellStyle name="计算 2 4 17 4 2" xfId="16048"/>
    <cellStyle name="汇总 2 7 10 3 3" xfId="16049"/>
    <cellStyle name="汇总 2 4 18 3 2" xfId="16050"/>
    <cellStyle name="注释 2 11 7 8 5" xfId="16051"/>
    <cellStyle name="检查单元格 2 7 2 4 4 2" xfId="16052"/>
    <cellStyle name="汇总 2 5 11 2 5" xfId="16053"/>
    <cellStyle name="注释 2 2 9 3 4" xfId="16054"/>
    <cellStyle name="计算 2 5 10 3 5 2" xfId="16055"/>
    <cellStyle name="输出 2 6 2 4 4 2" xfId="16056"/>
    <cellStyle name="检查单元格 2 2 9 5 2" xfId="16057"/>
    <cellStyle name="汇总 2 4 18 4" xfId="16058"/>
    <cellStyle name="汇总 2 8 5 4 2 2" xfId="16059"/>
    <cellStyle name="注释 2 3 5 6 3" xfId="16060"/>
    <cellStyle name="检查单元格 2 6 6 2 6" xfId="16061"/>
    <cellStyle name="汇总 2 4 18 4 2" xfId="16062"/>
    <cellStyle name="汇总 2 7 10 4 3" xfId="16063"/>
    <cellStyle name="检查单元格 2 7 2 4 5 2" xfId="16064"/>
    <cellStyle name="汇总 2 5 11 3 5" xfId="16065"/>
    <cellStyle name="注释 2 2 9 4 4" xfId="16066"/>
    <cellStyle name="检查单元格 2 5 2 5" xfId="16067"/>
    <cellStyle name="汇总 2 4 18 5" xfId="16068"/>
    <cellStyle name="检查单元格 2 6 6 3 6" xfId="16069"/>
    <cellStyle name="汇总 2 4 18 5 2" xfId="16070"/>
    <cellStyle name="检查单元格 2 2 3 13" xfId="16071"/>
    <cellStyle name="汇总 2 7 10 5 3" xfId="16072"/>
    <cellStyle name="输出 2 12 4 11" xfId="16073"/>
    <cellStyle name="汇总 2 5 6 14" xfId="16074"/>
    <cellStyle name="汇总 2 5 11 4 5" xfId="16075"/>
    <cellStyle name="注释 2 2 9 5 4" xfId="16076"/>
    <cellStyle name="检查单元格 2 5 3 5" xfId="16077"/>
    <cellStyle name="汇总 2 4 18 6" xfId="16078"/>
    <cellStyle name="输入 2 8 10 6 4 2" xfId="16079"/>
    <cellStyle name="汇总 2 4 24" xfId="16080"/>
    <cellStyle name="汇总 2 4 19" xfId="16081"/>
    <cellStyle name="汇总 2 4 19 2" xfId="16082"/>
    <cellStyle name="输出 2 4 16 6" xfId="16083"/>
    <cellStyle name="计算 2 3 11 3 6" xfId="16084"/>
    <cellStyle name="汇总 2 7 11 2 3" xfId="16085"/>
    <cellStyle name="汇总 2 4 19 2 2" xfId="16086"/>
    <cellStyle name="注释 2 11 8 7 5" xfId="16087"/>
    <cellStyle name="输出 2 2 9 10 2" xfId="16088"/>
    <cellStyle name="汇总 2 4 19 3" xfId="16089"/>
    <cellStyle name="计算 2 4 17 5 2" xfId="16090"/>
    <cellStyle name="汇总 2 7 11 3 3" xfId="16091"/>
    <cellStyle name="汇总 2 4 19 3 2" xfId="16092"/>
    <cellStyle name="注释 2 11 8 8 5" xfId="16093"/>
    <cellStyle name="输出 2 6 2 4 5 2" xfId="16094"/>
    <cellStyle name="汇总 2 4 19 4" xfId="16095"/>
    <cellStyle name="汇总 2 8 5 4 3 2" xfId="16096"/>
    <cellStyle name="注释 2 3 5 7 3" xfId="16097"/>
    <cellStyle name="检查单元格 2 6 7 2 6" xfId="16098"/>
    <cellStyle name="汇总 2 4 19 4 2" xfId="16099"/>
    <cellStyle name="汇总 2 7 11 4 3" xfId="16100"/>
    <cellStyle name="汇总 2 4 19 5" xfId="16101"/>
    <cellStyle name="汇总 2 5 5 4 3 2" xfId="16102"/>
    <cellStyle name="输出 2 3 2 4 5 2" xfId="16103"/>
    <cellStyle name="汇总 2 9 10 3 4 2" xfId="16104"/>
    <cellStyle name="输出 2 10 7 3 5" xfId="16105"/>
    <cellStyle name="汇总 2 4 2 10" xfId="16106"/>
    <cellStyle name="汇总 2 4 2 11" xfId="16107"/>
    <cellStyle name="汇总 2 4 2 12" xfId="16108"/>
    <cellStyle name="输出 2 10 11 7 3 2" xfId="16109"/>
    <cellStyle name="汇总 2 4 2 13" xfId="16110"/>
    <cellStyle name="汇总 2 4 4 10 2" xfId="16111"/>
    <cellStyle name="汇总 2 4 2 14" xfId="16112"/>
    <cellStyle name="汇总 2 8 2 3 2" xfId="16113"/>
    <cellStyle name="汇总 2 4 2 15" xfId="16114"/>
    <cellStyle name="汇总 2 8 2 3 3" xfId="16115"/>
    <cellStyle name="汇总 2 4 2 16" xfId="16116"/>
    <cellStyle name="汇总 2 8 2 3 4" xfId="16117"/>
    <cellStyle name="汇总 2 4 2 2 2" xfId="16118"/>
    <cellStyle name="汇总 2 4 2 2 2 2" xfId="16119"/>
    <cellStyle name="汇总 2 4 2 2 3" xfId="16120"/>
    <cellStyle name="汇总 2 4 2 2 4" xfId="16121"/>
    <cellStyle name="汇总 2 4 2 2 5" xfId="16122"/>
    <cellStyle name="输出 2 7 5 4 2" xfId="16123"/>
    <cellStyle name="计算 2 9 2 4 2" xfId="16124"/>
    <cellStyle name="汇总 2 4 3 3 5" xfId="16125"/>
    <cellStyle name="输出 2 7 6 5 2" xfId="16126"/>
    <cellStyle name="计算 2 4 6 10 2" xfId="16127"/>
    <cellStyle name="汇总 2 4 2 2 5 2" xfId="16128"/>
    <cellStyle name="输出 2 7 5 4 2 2" xfId="16129"/>
    <cellStyle name="汇总 2 4 2 2 6" xfId="16130"/>
    <cellStyle name="输出 2 7 5 4 3" xfId="16131"/>
    <cellStyle name="汇总 2 4 2 2 7" xfId="16132"/>
    <cellStyle name="输出 2 7 5 4 4" xfId="16133"/>
    <cellStyle name="检查单元格 2 2 11" xfId="16134"/>
    <cellStyle name="汇总 2 9 8 4 2" xfId="16135"/>
    <cellStyle name="输入 2 7 3 2 5" xfId="16136"/>
    <cellStyle name="注释 2 11 3 6 2 2" xfId="16137"/>
    <cellStyle name="汇总 2 4 2 3 2 2" xfId="16138"/>
    <cellStyle name="汇总 2 4 2 3 3" xfId="16139"/>
    <cellStyle name="计算 2 9 3 2 2" xfId="16140"/>
    <cellStyle name="汇总 2 7 16" xfId="16141"/>
    <cellStyle name="汇总 2 7 21" xfId="16142"/>
    <cellStyle name="输出 2 7 7 3 2" xfId="16143"/>
    <cellStyle name="汇总 2 4 2 3 3 2" xfId="16144"/>
    <cellStyle name="汇总 2 4 2 3 4" xfId="16145"/>
    <cellStyle name="计算 2 9 3 3 2" xfId="16146"/>
    <cellStyle name="汇总 2 4 4 2 5" xfId="16147"/>
    <cellStyle name="输出 2 7 7 4 2" xfId="16148"/>
    <cellStyle name="汇总 2 4 2 3 4 2" xfId="16149"/>
    <cellStyle name="汇总 2 4 2 3 5" xfId="16150"/>
    <cellStyle name="输出 2 7 5 5 2" xfId="16151"/>
    <cellStyle name="计算 2 9 3 4 2" xfId="16152"/>
    <cellStyle name="汇总 2 4 4 3 5" xfId="16153"/>
    <cellStyle name="输出 2 7 7 5 2" xfId="16154"/>
    <cellStyle name="汇总 2 4 2 3 5 2" xfId="16155"/>
    <cellStyle name="输出 2 7 5 5 2 2" xfId="16156"/>
    <cellStyle name="汇总 2 4 2 3 6" xfId="16157"/>
    <cellStyle name="输出 2 7 5 5 3" xfId="16158"/>
    <cellStyle name="汇总 2 4 2 4 3" xfId="16159"/>
    <cellStyle name="汇总 2 4 2 4 4" xfId="16160"/>
    <cellStyle name="计算 2 9 4 3 2" xfId="16161"/>
    <cellStyle name="汇总 2 4 5 2 5" xfId="16162"/>
    <cellStyle name="输出 2 7 8 4 2" xfId="16163"/>
    <cellStyle name="汇总 2 4 2 4 4 2" xfId="16164"/>
    <cellStyle name="汇总 2 4 2 4 5" xfId="16165"/>
    <cellStyle name="输出 2 7 5 6 2" xfId="16166"/>
    <cellStyle name="计算 2 9 4 4 2" xfId="16167"/>
    <cellStyle name="汇总 2 4 5 3 5" xfId="16168"/>
    <cellStyle name="输出 2 7 8 5 2" xfId="16169"/>
    <cellStyle name="汇总 2 4 2 4 5 2" xfId="16170"/>
    <cellStyle name="输出 2 7 5 6 2 2" xfId="16171"/>
    <cellStyle name="汇总 2 4 2 4 6" xfId="16172"/>
    <cellStyle name="输出 2 7 5 6 3" xfId="16173"/>
    <cellStyle name="汇总 2 4 2 5 3" xfId="16174"/>
    <cellStyle name="汇总 2 4 2 5 4" xfId="16175"/>
    <cellStyle name="计算 2 10 11 6 2 2" xfId="16176"/>
    <cellStyle name="输出 2 9 9 3 5 2" xfId="16177"/>
    <cellStyle name="计算 2 9 5 3 2" xfId="16178"/>
    <cellStyle name="汇总 2 4 6 2 5" xfId="16179"/>
    <cellStyle name="输出 2 7 9 4 2" xfId="16180"/>
    <cellStyle name="输出 2 3 5 15" xfId="16181"/>
    <cellStyle name="汇总 2 4 2 5 4 2" xfId="16182"/>
    <cellStyle name="汇总 2 4 2 5 5" xfId="16183"/>
    <cellStyle name="输出 2 7 5 7 2" xfId="16184"/>
    <cellStyle name="汇总 2 4 2 5 6" xfId="16185"/>
    <cellStyle name="输出 2 7 5 7 3" xfId="16186"/>
    <cellStyle name="汇总 2 4 2 6 2" xfId="16187"/>
    <cellStyle name="汇总 2 4 8 4" xfId="16188"/>
    <cellStyle name="计算 2 8 11 6 6" xfId="16189"/>
    <cellStyle name="汇总 2 4 2 6 2 2" xfId="16190"/>
    <cellStyle name="汇总 2 4 2 6 3" xfId="16191"/>
    <cellStyle name="计算 2 9 6 2 2" xfId="16192"/>
    <cellStyle name="汇总 2 4 9 4" xfId="16193"/>
    <cellStyle name="检查单元格 2 8 4 11" xfId="16194"/>
    <cellStyle name="汇总 2 4 2 6 3 2" xfId="16195"/>
    <cellStyle name="计算 2 8 11 7 6" xfId="16196"/>
    <cellStyle name="汇总 2 4 2 7 2" xfId="16197"/>
    <cellStyle name="汇总 2 5 8 4" xfId="16198"/>
    <cellStyle name="汇总 2 4 2 7 2 2" xfId="16199"/>
    <cellStyle name="汇总 2 4 2 7 3" xfId="16200"/>
    <cellStyle name="计算 2 9 7 2 2" xfId="16201"/>
    <cellStyle name="汇总 2 5 9 4" xfId="16202"/>
    <cellStyle name="汇总 2 4 2 7 3 2" xfId="16203"/>
    <cellStyle name="汇总 2 6 9 5 2 2" xfId="16204"/>
    <cellStyle name="输入 2 4 4 3 5 2" xfId="16205"/>
    <cellStyle name="汇总 2 4 2 8 2" xfId="16206"/>
    <cellStyle name="汇总 2 6 8 4" xfId="16207"/>
    <cellStyle name="汇总 2 4 2 8 2 2" xfId="16208"/>
    <cellStyle name="汇总 2 4 2 8 3" xfId="16209"/>
    <cellStyle name="输出 2 17 2 4" xfId="16210"/>
    <cellStyle name="汇总 2 6 9 5 3 2" xfId="16211"/>
    <cellStyle name="汇总 2 4 2 9 2" xfId="16212"/>
    <cellStyle name="汇总 2 4 25" xfId="16213"/>
    <cellStyle name="汇总 2 4 26" xfId="16214"/>
    <cellStyle name="汇总 2 4 3 10" xfId="16215"/>
    <cellStyle name="注释 2 10 7 2 4 2" xfId="16216"/>
    <cellStyle name="检查单元格 2 2 2 4 3 2" xfId="16217"/>
    <cellStyle name="注释 2 4 16 3 2" xfId="16218"/>
    <cellStyle name="计算 2 4 10 3 4 2" xfId="16219"/>
    <cellStyle name="注释 2 5 7 6 2" xfId="16220"/>
    <cellStyle name="输出 2 6 4 6 4 2" xfId="16221"/>
    <cellStyle name="汇总 2 4 3 11" xfId="16222"/>
    <cellStyle name="汇总 2 8 7 6 2 2" xfId="16223"/>
    <cellStyle name="输入 2 6 2 4 5 2" xfId="16224"/>
    <cellStyle name="注释 2 5 7 6 3" xfId="16225"/>
    <cellStyle name="计算 2 9 11 3 4 2" xfId="16226"/>
    <cellStyle name="汇总 2 4 3 12" xfId="16227"/>
    <cellStyle name="汇总 2 4 3 12 2" xfId="16228"/>
    <cellStyle name="汇总 2 4 3 13" xfId="16229"/>
    <cellStyle name="计算 2 6 6 4 4 2" xfId="16230"/>
    <cellStyle name="汇总 2 4 3 14" xfId="16231"/>
    <cellStyle name="注释 2 8 14 5 2" xfId="16232"/>
    <cellStyle name="汇总 2 8 2 8 2" xfId="16233"/>
    <cellStyle name="注释 2 5 7 6 6" xfId="16234"/>
    <cellStyle name="汇总 2 8 2 8 3" xfId="16235"/>
    <cellStyle name="汇总 2 4 3 15" xfId="16236"/>
    <cellStyle name="汇总 2 9 2 4 4 2" xfId="16237"/>
    <cellStyle name="汇总 2 4 3 16" xfId="16238"/>
    <cellStyle name="汇总 2 8 2 8 4" xfId="16239"/>
    <cellStyle name="汇总 2 4 3 2 3 2" xfId="16240"/>
    <cellStyle name="汇总 2 5 3 3 5" xfId="16241"/>
    <cellStyle name="输出 2 8 6 5 2" xfId="16242"/>
    <cellStyle name="计算 2 9 2 3 2 2" xfId="16243"/>
    <cellStyle name="注释 2 3 6 3" xfId="16244"/>
    <cellStyle name="计算 2 6 22" xfId="16245"/>
    <cellStyle name="计算 2 6 17" xfId="16246"/>
    <cellStyle name="汇总 2 4 3 2 5 2" xfId="16247"/>
    <cellStyle name="输出 2 7 6 4 2 2" xfId="16248"/>
    <cellStyle name="计算 2 9 2 3 4" xfId="16249"/>
    <cellStyle name="汇总 2 4 3 2 7" xfId="16250"/>
    <cellStyle name="输出 2 7 6 4 4" xfId="16251"/>
    <cellStyle name="输出 2 12 13 2" xfId="16252"/>
    <cellStyle name="汇总 2 9 9 4 2" xfId="16253"/>
    <cellStyle name="输入 2 7 4 2 5" xfId="16254"/>
    <cellStyle name="注释 2 11 3 7 2 2" xfId="16255"/>
    <cellStyle name="检查单元格 2 7 11" xfId="16256"/>
    <cellStyle name="汇总 2 4 3 3" xfId="16257"/>
    <cellStyle name="汇总 2 4 3 3 2" xfId="16258"/>
    <cellStyle name="汇总 2 4 3 3 2 2" xfId="16259"/>
    <cellStyle name="检查单元格 2 5 7 2 2 2" xfId="16260"/>
    <cellStyle name="汇总 2 4 3 3 3" xfId="16261"/>
    <cellStyle name="汇总 2 4 3 3 3 2" xfId="16262"/>
    <cellStyle name="汇总 2 5 9 11 2" xfId="16263"/>
    <cellStyle name="汇总 2 4 3 3 4" xfId="16264"/>
    <cellStyle name="输入 2 9 7 2 4 2" xfId="16265"/>
    <cellStyle name="输出 2 12 3 16" xfId="16266"/>
    <cellStyle name="汇总 2 5 4 2 5" xfId="16267"/>
    <cellStyle name="输出 2 8 7 4 2" xfId="16268"/>
    <cellStyle name="汇总 2 4 3 3 4 2" xfId="16269"/>
    <cellStyle name="汇总 2 5 4 3 5" xfId="16270"/>
    <cellStyle name="输出 2 8 7 5 2" xfId="16271"/>
    <cellStyle name="计算 2 9 2 4 2 2" xfId="16272"/>
    <cellStyle name="注释 2 4 6 3" xfId="16273"/>
    <cellStyle name="汇总 2 4 3 3 5 2" xfId="16274"/>
    <cellStyle name="输出 2 7 6 5 2 2" xfId="16275"/>
    <cellStyle name="计算 2 9 2 4 3" xfId="16276"/>
    <cellStyle name="汇总 2 4 3 3 6" xfId="16277"/>
    <cellStyle name="输出 2 7 6 5 3" xfId="16278"/>
    <cellStyle name="汇总 2 4 3 4" xfId="16279"/>
    <cellStyle name="汇总 2 4 3 4 2" xfId="16280"/>
    <cellStyle name="汇总 2 4 3 4 2 2" xfId="16281"/>
    <cellStyle name="检查单元格 2 5 7 2 3 2" xfId="16282"/>
    <cellStyle name="汇总 2 4 3 4 3" xfId="16283"/>
    <cellStyle name="汇总 2 4 3 4 3 2" xfId="16284"/>
    <cellStyle name="汇总 2 5 9 12 2" xfId="16285"/>
    <cellStyle name="汇总 2 4 3 4 4" xfId="16286"/>
    <cellStyle name="输入 2 9 7 2 5 2" xfId="16287"/>
    <cellStyle name="输出 2 12 8 16" xfId="16288"/>
    <cellStyle name="汇总 2 5 5 2 5" xfId="16289"/>
    <cellStyle name="输出 2 8 8 4 2" xfId="16290"/>
    <cellStyle name="汇总 2 4 3 4 4 2" xfId="16291"/>
    <cellStyle name="计算 2 9 2 5 2" xfId="16292"/>
    <cellStyle name="汇总 2 4 3 4 5" xfId="16293"/>
    <cellStyle name="输出 2 7 6 6 2" xfId="16294"/>
    <cellStyle name="计算 2 4 6 11 2" xfId="16295"/>
    <cellStyle name="检查单元格 2 2 10 2 2" xfId="16296"/>
    <cellStyle name="注释 2 14 12 2" xfId="16297"/>
    <cellStyle name="汇总 2 5 5 3 5" xfId="16298"/>
    <cellStyle name="输出 2 8 8 5 2" xfId="16299"/>
    <cellStyle name="汇总 2 9 10 2 6" xfId="16300"/>
    <cellStyle name="输入 2 6 10 10" xfId="16301"/>
    <cellStyle name="计算 2 9 2 5 2 2" xfId="16302"/>
    <cellStyle name="注释 2 5 6 3" xfId="16303"/>
    <cellStyle name="汇总 2 4 3 4 5 2" xfId="16304"/>
    <cellStyle name="输出 2 7 6 6 2 2" xfId="16305"/>
    <cellStyle name="计算 2 9 2 5 3" xfId="16306"/>
    <cellStyle name="汇总 2 4 3 4 6" xfId="16307"/>
    <cellStyle name="输出 2 7 6 6 3" xfId="16308"/>
    <cellStyle name="汇总 2 4 3 5" xfId="16309"/>
    <cellStyle name="输出 2 9 6 4 4 2" xfId="16310"/>
    <cellStyle name="汇总 2 4 3 5 2" xfId="16311"/>
    <cellStyle name="汇总 2 4 3 5 2 2" xfId="16312"/>
    <cellStyle name="输入 2 9 11 7" xfId="16313"/>
    <cellStyle name="检查单元格 2 5 7 2 4 2" xfId="16314"/>
    <cellStyle name="汇总 2 4 3 5 3" xfId="16315"/>
    <cellStyle name="汇总 2 4 3 5 3 2" xfId="16316"/>
    <cellStyle name="输入 2 9 12 7" xfId="16317"/>
    <cellStyle name="输出 2 12 7 10 2" xfId="16318"/>
    <cellStyle name="汇总 2 4 3 5 4" xfId="16319"/>
    <cellStyle name="计算 2 10 11 7 2 2" xfId="16320"/>
    <cellStyle name="输出 2 9 9 4 5 2" xfId="16321"/>
    <cellStyle name="汇总 2 5 6 2 5" xfId="16322"/>
    <cellStyle name="输出 2 8 9 4 2" xfId="16323"/>
    <cellStyle name="汇总 2 4 3 5 4 2" xfId="16324"/>
    <cellStyle name="计算 2 9 2 6 2" xfId="16325"/>
    <cellStyle name="汇总 2 4 3 5 5" xfId="16326"/>
    <cellStyle name="输出 2 7 6 7 2" xfId="16327"/>
    <cellStyle name="计算 2 4 6 12 2" xfId="16328"/>
    <cellStyle name="计算 2 9 2 6 3" xfId="16329"/>
    <cellStyle name="汇总 2 4 3 5 6" xfId="16330"/>
    <cellStyle name="输出 2 7 6 7 3" xfId="16331"/>
    <cellStyle name="汇总 2 4 3 6" xfId="16332"/>
    <cellStyle name="汇总 2 4 3 7" xfId="16333"/>
    <cellStyle name="计算 2 11 11 5 5 2" xfId="16334"/>
    <cellStyle name="输入 2 4 4 4 4" xfId="16335"/>
    <cellStyle name="注释 2 4 6 2 4 2" xfId="16336"/>
    <cellStyle name="汇总 2 4 3 7 2" xfId="16337"/>
    <cellStyle name="汇总 2 4 3 7 3" xfId="16338"/>
    <cellStyle name="汇总 2 4 3 7 3 2" xfId="16339"/>
    <cellStyle name="汇总 2 5 8 2 5" xfId="16340"/>
    <cellStyle name="输出 2 9 10 5 6" xfId="16341"/>
    <cellStyle name="汇总 2 4 3 7 4 2" xfId="16342"/>
    <cellStyle name="汇总 2 5 8 3 5" xfId="16343"/>
    <cellStyle name="输出 2 9 10 6 6" xfId="16344"/>
    <cellStyle name="计算 2 9 2 8 2 2" xfId="16345"/>
    <cellStyle name="注释 2 8 6 3" xfId="16346"/>
    <cellStyle name="汇总 2 4 3 7 5 2" xfId="16347"/>
    <cellStyle name="输出 2 15 6 3 2" xfId="16348"/>
    <cellStyle name="汇总 2 4 3 7 6" xfId="16349"/>
    <cellStyle name="计算 2 9 2 8 3" xfId="16350"/>
    <cellStyle name="检查单元格 2 8 10" xfId="16351"/>
    <cellStyle name="汇总 2 7 4 4 3 2" xfId="16352"/>
    <cellStyle name="输入 2 7 4 7 4" xfId="16353"/>
    <cellStyle name="计算 2 9 8 2 4 2" xfId="16354"/>
    <cellStyle name="汇总 2 4 3 8" xfId="16355"/>
    <cellStyle name="汇总 2 6 9 6 2" xfId="16356"/>
    <cellStyle name="输入 2 4 4 4 5" xfId="16357"/>
    <cellStyle name="汇总 2 6 9 6 2 2" xfId="16358"/>
    <cellStyle name="输入 2 4 4 4 5 2" xfId="16359"/>
    <cellStyle name="汇总 2 4 3 8 2" xfId="16360"/>
    <cellStyle name="汇总 2 4 3 8 2 2" xfId="16361"/>
    <cellStyle name="汇总 2 4 3 8 3" xfId="16362"/>
    <cellStyle name="汇总 2 4 3 8 3 2" xfId="16363"/>
    <cellStyle name="汇总 2 5 9 2 5" xfId="16364"/>
    <cellStyle name="输出 2 9 11 5 6" xfId="16365"/>
    <cellStyle name="汇总 2 4 3 8 4 2" xfId="16366"/>
    <cellStyle name="汇总 2 6 9 6 3" xfId="16367"/>
    <cellStyle name="输入 2 4 4 4 6" xfId="16368"/>
    <cellStyle name="汇总 2 4 3 9" xfId="16369"/>
    <cellStyle name="汇总 2 6 9 6 3 2" xfId="16370"/>
    <cellStyle name="汇总 2 4 3 9 2" xfId="16371"/>
    <cellStyle name="汇总 2 4 4 10" xfId="16372"/>
    <cellStyle name="汇总 2 4 4 11" xfId="16373"/>
    <cellStyle name="汇总 2 4 4 12" xfId="16374"/>
    <cellStyle name="汇总 2 4 4 12 2" xfId="16375"/>
    <cellStyle name="输出 2 11 2 11" xfId="16376"/>
    <cellStyle name="汇总 2 4 4 14" xfId="16377"/>
    <cellStyle name="输出 2 11 2 12" xfId="16378"/>
    <cellStyle name="汇总 2 4 4 15" xfId="16379"/>
    <cellStyle name="汇总 2 4 4 2 2" xfId="16380"/>
    <cellStyle name="汇总 2 4 4 2 2 2" xfId="16381"/>
    <cellStyle name="汇总 2 4 4 2 3 2" xfId="16382"/>
    <cellStyle name="输出 2 9 6 4 2" xfId="16383"/>
    <cellStyle name="汇总 2 6 3 2 5" xfId="16384"/>
    <cellStyle name="汇总 2 4 4 2 4 2" xfId="16385"/>
    <cellStyle name="输出 2 9 6 5 2" xfId="16386"/>
    <cellStyle name="汇总 2 6 3 3 5" xfId="16387"/>
    <cellStyle name="输出 2 7 7 4 2 2" xfId="16388"/>
    <cellStyle name="汇总 2 4 4 2 5 2" xfId="16389"/>
    <cellStyle name="计算 2 9 3 3 2 2" xfId="16390"/>
    <cellStyle name="输出 2 7 7 4 3" xfId="16391"/>
    <cellStyle name="汇总 2 4 4 2 6" xfId="16392"/>
    <cellStyle name="计算 2 9 3 3 3" xfId="16393"/>
    <cellStyle name="输出 2 7 7 4 4" xfId="16394"/>
    <cellStyle name="汇总 2 4 4 2 7" xfId="16395"/>
    <cellStyle name="计算 2 9 3 3 4" xfId="16396"/>
    <cellStyle name="汇总 2 4 4 3" xfId="16397"/>
    <cellStyle name="输入 2 6 11 16" xfId="16398"/>
    <cellStyle name="汇总 2 4 4 3 2" xfId="16399"/>
    <cellStyle name="汇总 2 4 4 3 2 2" xfId="16400"/>
    <cellStyle name="汇总 2 4 4 3 3" xfId="16401"/>
    <cellStyle name="检查单元格 2 5 7 3 2 2" xfId="16402"/>
    <cellStyle name="汇总 2 4 4 3 3 2" xfId="16403"/>
    <cellStyle name="输入 2 9 7 3 4 2" xfId="16404"/>
    <cellStyle name="汇总 2 4 4 3 4" xfId="16405"/>
    <cellStyle name="输出 2 9 7 4 2" xfId="16406"/>
    <cellStyle name="汇总 2 6 4 2 5" xfId="16407"/>
    <cellStyle name="汇总 2 4 4 3 4 2" xfId="16408"/>
    <cellStyle name="输出 2 9 7 5 2" xfId="16409"/>
    <cellStyle name="汇总 2 6 4 3 5" xfId="16410"/>
    <cellStyle name="输出 2 7 7 5 2 2" xfId="16411"/>
    <cellStyle name="汇总 2 4 4 3 5 2" xfId="16412"/>
    <cellStyle name="计算 2 9 3 4 2 2" xfId="16413"/>
    <cellStyle name="输出 2 7 7 5 3" xfId="16414"/>
    <cellStyle name="汇总 2 4 4 3 6" xfId="16415"/>
    <cellStyle name="计算 2 9 3 4 3" xfId="16416"/>
    <cellStyle name="汇总 2 4 4 4" xfId="16417"/>
    <cellStyle name="汇总 2 4 4 4 2" xfId="16418"/>
    <cellStyle name="汇总 2 4 4 4 2 2" xfId="16419"/>
    <cellStyle name="汇总 2 4 4 4 3" xfId="16420"/>
    <cellStyle name="检查单元格 2 5 7 3 3 2" xfId="16421"/>
    <cellStyle name="汇总 2 4 4 4 3 2" xfId="16422"/>
    <cellStyle name="输入 2 9 7 3 5 2" xfId="16423"/>
    <cellStyle name="汇总 2 4 4 4 4" xfId="16424"/>
    <cellStyle name="输入 2 9 6 2 3" xfId="16425"/>
    <cellStyle name="检查单元格 2 6 9" xfId="16426"/>
    <cellStyle name="汇总 2 5 4 10" xfId="16427"/>
    <cellStyle name="输出 2 4 2 2 7" xfId="16428"/>
    <cellStyle name="输出 2 9 8 4 2" xfId="16429"/>
    <cellStyle name="汇总 2 6 5 2 5" xfId="16430"/>
    <cellStyle name="汇总 2 4 4 4 4 2" xfId="16431"/>
    <cellStyle name="输入 2 7 5 4 3" xfId="16432"/>
    <cellStyle name="计算 2 11 7 2 2 2" xfId="16433"/>
    <cellStyle name="输出 2 7 7 6 2" xfId="16434"/>
    <cellStyle name="汇总 2 4 4 4 5" xfId="16435"/>
    <cellStyle name="计算 2 9 3 5 2" xfId="16436"/>
    <cellStyle name="输出 2 7 7 6 3" xfId="16437"/>
    <cellStyle name="汇总 2 4 4 4 6" xfId="16438"/>
    <cellStyle name="计算 2 9 3 5 3" xfId="16439"/>
    <cellStyle name="输出 2 9 6 4 5 2" xfId="16440"/>
    <cellStyle name="汇总 2 4 4 5" xfId="16441"/>
    <cellStyle name="汇总 2 4 4 5 2" xfId="16442"/>
    <cellStyle name="汇总 2 4 4 5 2 2" xfId="16443"/>
    <cellStyle name="汇总 2 4 4 5 3" xfId="16444"/>
    <cellStyle name="检查单元格 2 5 7 3 4 2" xfId="16445"/>
    <cellStyle name="汇总 2 4 4 5 3 2" xfId="16446"/>
    <cellStyle name="输出 2 9 9 5 5 2" xfId="16447"/>
    <cellStyle name="计算 2 10 11 8 2 2" xfId="16448"/>
    <cellStyle name="汇总 2 4 4 5 4" xfId="16449"/>
    <cellStyle name="汇总 2 5 9 10" xfId="16450"/>
    <cellStyle name="输出 2 4 3 2 7" xfId="16451"/>
    <cellStyle name="输出 2 9 9 4 2" xfId="16452"/>
    <cellStyle name="汇总 2 6 6 2 5" xfId="16453"/>
    <cellStyle name="汇总 2 4 4 5 4 2" xfId="16454"/>
    <cellStyle name="输入 2 7 5 5 3" xfId="16455"/>
    <cellStyle name="计算 2 11 7 2 3 2" xfId="16456"/>
    <cellStyle name="输出 2 7 7 7 2" xfId="16457"/>
    <cellStyle name="汇总 2 4 4 5 5" xfId="16458"/>
    <cellStyle name="计算 2 9 3 6 2" xfId="16459"/>
    <cellStyle name="输出 2 7 7 7 3" xfId="16460"/>
    <cellStyle name="汇总 2 4 4 5 6" xfId="16461"/>
    <cellStyle name="计算 2 9 3 6 3" xfId="16462"/>
    <cellStyle name="汇总 2 4 4 6" xfId="16463"/>
    <cellStyle name="汇总 2 8 13" xfId="16464"/>
    <cellStyle name="汇总 2 4 4 6 2" xfId="16465"/>
    <cellStyle name="汇总 2 8 13 2" xfId="16466"/>
    <cellStyle name="汇总 2 4 4 6 2 2" xfId="16467"/>
    <cellStyle name="汇总 2 8 14" xfId="16468"/>
    <cellStyle name="汇总 2 4 4 6 3" xfId="16469"/>
    <cellStyle name="检查单元格 2 5 7 3 5 2" xfId="16470"/>
    <cellStyle name="汇总 2 8 14 2" xfId="16471"/>
    <cellStyle name="汇总 2 4 4 6 3 2" xfId="16472"/>
    <cellStyle name="计算 2 10 11 8 3 2" xfId="16473"/>
    <cellStyle name="汇总 2 8 20" xfId="16474"/>
    <cellStyle name="汇总 2 8 15" xfId="16475"/>
    <cellStyle name="汇总 2 4 4 6 4" xfId="16476"/>
    <cellStyle name="汇总 2 6 7 2 5" xfId="16477"/>
    <cellStyle name="汇总 2 8 20 2" xfId="16478"/>
    <cellStyle name="汇总 2 8 15 2" xfId="16479"/>
    <cellStyle name="汇总 2 4 4 6 4 2" xfId="16480"/>
    <cellStyle name="汇总 2 6 7 3 5" xfId="16481"/>
    <cellStyle name="输出 2 7 7 8 2 2" xfId="16482"/>
    <cellStyle name="汇总 2 8 21 2" xfId="16483"/>
    <cellStyle name="汇总 2 8 16 2" xfId="16484"/>
    <cellStyle name="汇总 2 4 4 6 5 2" xfId="16485"/>
    <cellStyle name="计算 2 9 3 7 2 2" xfId="16486"/>
    <cellStyle name="计算 2 9 3 7 3" xfId="16487"/>
    <cellStyle name="输出 2 7 7 8 3" xfId="16488"/>
    <cellStyle name="汇总 2 8 22" xfId="16489"/>
    <cellStyle name="汇总 2 8 17" xfId="16490"/>
    <cellStyle name="汇总 2 4 4 6 6" xfId="16491"/>
    <cellStyle name="输出 2 15 7 2 2" xfId="16492"/>
    <cellStyle name="输入 2 7 5 6 4" xfId="16493"/>
    <cellStyle name="汇总 2 7 4 5 2 2" xfId="16494"/>
    <cellStyle name="汇总 2 4 4 7" xfId="16495"/>
    <cellStyle name="汇总 2 9" xfId="16496"/>
    <cellStyle name="汇总 2 4 4 7 2" xfId="16497"/>
    <cellStyle name="汇总 2 9 2" xfId="16498"/>
    <cellStyle name="汇总 2 4 4 7 2 2" xfId="16499"/>
    <cellStyle name="汇总 2 4 4 7 3" xfId="16500"/>
    <cellStyle name="汇总 2 4 4 7 3 2" xfId="16501"/>
    <cellStyle name="计算 2 10 11 8 4 2" xfId="16502"/>
    <cellStyle name="汇总 2 4 4 7 4" xfId="16503"/>
    <cellStyle name="汇总 2 6 8 2 5" xfId="16504"/>
    <cellStyle name="汇总 2 4 4 7 4 2" xfId="16505"/>
    <cellStyle name="汇总 2 6 8 3 5" xfId="16506"/>
    <cellStyle name="汇总 2 4 4 7 5 2" xfId="16507"/>
    <cellStyle name="计算 2 9 3 8 2 2" xfId="16508"/>
    <cellStyle name="输入 2 7 5 7 4" xfId="16509"/>
    <cellStyle name="汇总 2 7 4 5 3 2" xfId="16510"/>
    <cellStyle name="计算 2 9 3 8 3" xfId="16511"/>
    <cellStyle name="汇总 2 4 4 7 6" xfId="16512"/>
    <cellStyle name="输出 2 15 7 3 2" xfId="16513"/>
    <cellStyle name="汇总 2 4 4 8 3" xfId="16514"/>
    <cellStyle name="汇总 2 4 4 8 3 2" xfId="16515"/>
    <cellStyle name="汇总 2 4 4 8 4" xfId="16516"/>
    <cellStyle name="汇总 2 4 4 9" xfId="16517"/>
    <cellStyle name="输入 2 4 4 5 6" xfId="16518"/>
    <cellStyle name="汇总 2 6 9 7 3" xfId="16519"/>
    <cellStyle name="汇总 2 4 4 9 2" xfId="16520"/>
    <cellStyle name="汇总 2 6 9 7 3 2" xfId="16521"/>
    <cellStyle name="汇总 2 8 7 3 2" xfId="16522"/>
    <cellStyle name="汇总 2 5 2 14" xfId="16523"/>
    <cellStyle name="检查单元格 2 4 8 5" xfId="16524"/>
    <cellStyle name="输出 2 6 4 3 4" xfId="16525"/>
    <cellStyle name="汇总 2 4 5 10 2" xfId="16526"/>
    <cellStyle name="汇总 2 4 5 11" xfId="16527"/>
    <cellStyle name="检查单元格 2 10 5 2" xfId="16528"/>
    <cellStyle name="汇总 2 4 5 12" xfId="16529"/>
    <cellStyle name="检查单元格 2 10 5 3" xfId="16530"/>
    <cellStyle name="计算 2 10 6 2 3" xfId="16531"/>
    <cellStyle name="汇总 2 4 5 12 2" xfId="16532"/>
    <cellStyle name="检查单元格 2 10 5 3 2" xfId="16533"/>
    <cellStyle name="检查单元格 2 10 5 4" xfId="16534"/>
    <cellStyle name="汇总 2 4 5 13" xfId="16535"/>
    <cellStyle name="输出 2 11 3 10" xfId="16536"/>
    <cellStyle name="计算 2 10 9 3 2 2" xfId="16537"/>
    <cellStyle name="汇总 2 4 5 2" xfId="16538"/>
    <cellStyle name="汇总 2 4 5 2 2" xfId="16539"/>
    <cellStyle name="计算 2 6 10 7 5" xfId="16540"/>
    <cellStyle name="计算 2 6 9" xfId="16541"/>
    <cellStyle name="计算 2 10 4 8" xfId="16542"/>
    <cellStyle name="输出 2 2 2 2 4 2" xfId="16543"/>
    <cellStyle name="汇总 2 4 5 2 2 2" xfId="16544"/>
    <cellStyle name="计算 2 6 10 7 5 2" xfId="16545"/>
    <cellStyle name="计算 2 6 9 2" xfId="16546"/>
    <cellStyle name="输入 2 9 7 4 3 2" xfId="16547"/>
    <cellStyle name="汇总 2 4 5 2 4" xfId="16548"/>
    <cellStyle name="输出 2 9 9 6 2 2" xfId="16549"/>
    <cellStyle name="汇总 2 6 6 4 5 2" xfId="16550"/>
    <cellStyle name="输出 2 2 2 2 6" xfId="16551"/>
    <cellStyle name="输入 2 7 6 2 2 2" xfId="16552"/>
    <cellStyle name="计算 2 2 3 2 4" xfId="16553"/>
    <cellStyle name="计算 2 10 6 8" xfId="16554"/>
    <cellStyle name="汇总 2 4 5 2 4 2" xfId="16555"/>
    <cellStyle name="输入 2 7 6 2 3 2" xfId="16556"/>
    <cellStyle name="计算 2 2 3 3 4" xfId="16557"/>
    <cellStyle name="计算 2 10 7 8" xfId="16558"/>
    <cellStyle name="输出 2 7 8 4 2 2" xfId="16559"/>
    <cellStyle name="汇总 2 4 5 2 5 2" xfId="16560"/>
    <cellStyle name="计算 2 9 4 3 2 2" xfId="16561"/>
    <cellStyle name="输出 2 7 8 4 3" xfId="16562"/>
    <cellStyle name="汇总 2 4 5 2 6" xfId="16563"/>
    <cellStyle name="输入 2 12 11 2" xfId="16564"/>
    <cellStyle name="计算 2 9 4 3 3" xfId="16565"/>
    <cellStyle name="输出 2 7 8 4 4" xfId="16566"/>
    <cellStyle name="汇总 2 4 5 2 7" xfId="16567"/>
    <cellStyle name="输入 2 12 11 3" xfId="16568"/>
    <cellStyle name="计算 2 9 4 3 4" xfId="16569"/>
    <cellStyle name="汇总 2 4 5 3" xfId="16570"/>
    <cellStyle name="输出 2 4 3 6 2 2" xfId="16571"/>
    <cellStyle name="汇总 2 4 5 3 2" xfId="16572"/>
    <cellStyle name="计算 2 6 10 8 5" xfId="16573"/>
    <cellStyle name="计算 2 7 9" xfId="16574"/>
    <cellStyle name="计算 2 11 4 8" xfId="16575"/>
    <cellStyle name="输出 2 2 2 3 4 2" xfId="16576"/>
    <cellStyle name="汇总 2 4 5 3 2 2" xfId="16577"/>
    <cellStyle name="计算 2 7 9 2" xfId="16578"/>
    <cellStyle name="汇总 2 4 5 3 3" xfId="16579"/>
    <cellStyle name="检查单元格 2 5 7 4 2 2" xfId="16580"/>
    <cellStyle name="计算 2 11 5 8" xfId="16581"/>
    <cellStyle name="输出 2 2 2 3 5 2" xfId="16582"/>
    <cellStyle name="汇总 2 4 5 3 3 2" xfId="16583"/>
    <cellStyle name="输入 2 9 7 4 4 2" xfId="16584"/>
    <cellStyle name="汇总 2 4 5 3 4" xfId="16585"/>
    <cellStyle name="输入 2 7 6 3 2 2" xfId="16586"/>
    <cellStyle name="计算 2 2 4 2 4" xfId="16587"/>
    <cellStyle name="计算 2 11 6 8" xfId="16588"/>
    <cellStyle name="汇总 2 4 5 3 4 2" xfId="16589"/>
    <cellStyle name="输入 2 7 6 3 3 2" xfId="16590"/>
    <cellStyle name="计算 2 2 4 3 4" xfId="16591"/>
    <cellStyle name="计算 2 11 7 8" xfId="16592"/>
    <cellStyle name="输入 2 5 10 10 2" xfId="16593"/>
    <cellStyle name="输出 2 2 2 13" xfId="16594"/>
    <cellStyle name="输出 2 7 8 5 2 2" xfId="16595"/>
    <cellStyle name="汇总 2 4 5 3 5 2" xfId="16596"/>
    <cellStyle name="计算 2 9 4 4 2 2" xfId="16597"/>
    <cellStyle name="输出 2 7 8 5 3" xfId="16598"/>
    <cellStyle name="汇总 2 4 5 3 6" xfId="16599"/>
    <cellStyle name="输入 2 12 12 2" xfId="16600"/>
    <cellStyle name="计算 2 9 4 4 3" xfId="16601"/>
    <cellStyle name="汇总 2 4 5 4" xfId="16602"/>
    <cellStyle name="汇总 2 4 5 4 2" xfId="16603"/>
    <cellStyle name="计算 2 8 9" xfId="16604"/>
    <cellStyle name="计算 2 12 4 8" xfId="16605"/>
    <cellStyle name="输出 2 2 2 4 4 2" xfId="16606"/>
    <cellStyle name="汇总 2 4 5 4 2 2" xfId="16607"/>
    <cellStyle name="计算 2 8 9 2" xfId="16608"/>
    <cellStyle name="汇总 2 4 5 4 3" xfId="16609"/>
    <cellStyle name="检查单元格 2 5 7 4 3 2" xfId="16610"/>
    <cellStyle name="计算 2 12 5 8" xfId="16611"/>
    <cellStyle name="输出 2 2 2 4 5 2" xfId="16612"/>
    <cellStyle name="汇总 2 4 5 4 3 2" xfId="16613"/>
    <cellStyle name="输入 2 9 7 4 5 2" xfId="16614"/>
    <cellStyle name="汇总 2 4 5 4 4" xfId="16615"/>
    <cellStyle name="输入 2 7 6 4 2 2" xfId="16616"/>
    <cellStyle name="计算 2 2 5 2 4" xfId="16617"/>
    <cellStyle name="计算 2 12 6 8" xfId="16618"/>
    <cellStyle name="汇总 2 4 5 4 4 2" xfId="16619"/>
    <cellStyle name="输入 2 7 6 4 3" xfId="16620"/>
    <cellStyle name="计算 2 11 7 3 2 2" xfId="16621"/>
    <cellStyle name="输出 2 7 8 6 2" xfId="16622"/>
    <cellStyle name="汇总 2 4 5 4 5" xfId="16623"/>
    <cellStyle name="计算 2 9 4 5 2" xfId="16624"/>
    <cellStyle name="检查单元格 2 10 5 10" xfId="16625"/>
    <cellStyle name="输入 2 7 6 4 3 2" xfId="16626"/>
    <cellStyle name="计算 2 2 5 3 4" xfId="16627"/>
    <cellStyle name="计算 2 12 7 8" xfId="16628"/>
    <cellStyle name="输出 2 2 7 13" xfId="16629"/>
    <cellStyle name="输出 2 7 8 6 2 2" xfId="16630"/>
    <cellStyle name="汇总 2 4 5 4 5 2" xfId="16631"/>
    <cellStyle name="注释 2 10 4 7" xfId="16632"/>
    <cellStyle name="计算 2 9 4 5 2 2" xfId="16633"/>
    <cellStyle name="输出 2 7 8 6 3" xfId="16634"/>
    <cellStyle name="汇总 2 4 5 4 6" xfId="16635"/>
    <cellStyle name="输入 2 12 13 2" xfId="16636"/>
    <cellStyle name="计算 2 9 4 5 3" xfId="16637"/>
    <cellStyle name="检查单元格 2 10 5 11" xfId="16638"/>
    <cellStyle name="汇总 2 4 5 5" xfId="16639"/>
    <cellStyle name="输入 2 4 4 6 3" xfId="16640"/>
    <cellStyle name="计算 2 4 5 4 2 2" xfId="16641"/>
    <cellStyle name="汇总 2 4 5 6" xfId="16642"/>
    <cellStyle name="输出 2 2 9 5 2 2" xfId="16643"/>
    <cellStyle name="汇总 2 4 5 6 2" xfId="16644"/>
    <cellStyle name="注释 2 15 10" xfId="16645"/>
    <cellStyle name="汇总 2 4 5 6 2 2" xfId="16646"/>
    <cellStyle name="汇总 2 4 5 6 3" xfId="16647"/>
    <cellStyle name="检查单元格 2 5 7 4 5 2" xfId="16648"/>
    <cellStyle name="汇总 2 4 5 6 3 2" xfId="16649"/>
    <cellStyle name="汇总 2 4 5 6 4" xfId="16650"/>
    <cellStyle name="输入 2 7 6 6 4" xfId="16651"/>
    <cellStyle name="汇总 2 7 4 6 2 2" xfId="16652"/>
    <cellStyle name="输入 2 12 20 2" xfId="16653"/>
    <cellStyle name="输入 2 12 15 2" xfId="16654"/>
    <cellStyle name="计算 2 9 4 7 3" xfId="16655"/>
    <cellStyle name="输出 2 7 8 8 3" xfId="16656"/>
    <cellStyle name="汇总 2 4 5 6 6" xfId="16657"/>
    <cellStyle name="输出 2 15 8 2 2" xfId="16658"/>
    <cellStyle name="汇总 2 4 5 7" xfId="16659"/>
    <cellStyle name="汇总 2 4 5 7 2" xfId="16660"/>
    <cellStyle name="汇总 2 4 5 7 2 2" xfId="16661"/>
    <cellStyle name="汇总 2 4 5 7 3" xfId="16662"/>
    <cellStyle name="汇总 2 4 5 7 3 2" xfId="16663"/>
    <cellStyle name="汇总 2 4 5 7 4" xfId="16664"/>
    <cellStyle name="输入 2 7 6 7 2 2" xfId="16665"/>
    <cellStyle name="计算 2 2 8 2 4" xfId="16666"/>
    <cellStyle name="汇总 2 4 5 7 4 2" xfId="16667"/>
    <cellStyle name="输入 2 7 6 7 4" xfId="16668"/>
    <cellStyle name="汇总 2 7 4 6 3 2" xfId="16669"/>
    <cellStyle name="输入 2 12 21 2" xfId="16670"/>
    <cellStyle name="输入 2 12 16 2" xfId="16671"/>
    <cellStyle name="计算 2 9 4 8 3" xfId="16672"/>
    <cellStyle name="汇总 2 4 5 7 6" xfId="16673"/>
    <cellStyle name="输出 2 15 8 3 2" xfId="16674"/>
    <cellStyle name="汇总 2 4 5 8 2" xfId="16675"/>
    <cellStyle name="输入 2 4 4 6 5 2" xfId="16676"/>
    <cellStyle name="汇总 2 6 9 8 2 2" xfId="16677"/>
    <cellStyle name="汇总 2 4 5 8 2 2" xfId="16678"/>
    <cellStyle name="汇总 2 4 5 8 3" xfId="16679"/>
    <cellStyle name="汇总 2 4 5 8 4" xfId="16680"/>
    <cellStyle name="输入 2 7 6 8 2 2" xfId="16681"/>
    <cellStyle name="计算 2 2 9 2 4" xfId="16682"/>
    <cellStyle name="输出 2 10 2 2 5 2" xfId="16683"/>
    <cellStyle name="汇总 2 4 5 8 4 2" xfId="16684"/>
    <cellStyle name="汇总 2 4 5 9 2" xfId="16685"/>
    <cellStyle name="汇总 2 6 9 8 3 2" xfId="16686"/>
    <cellStyle name="注释 2 2 4 3 3 2" xfId="16687"/>
    <cellStyle name="计算 2 10 9 3 3" xfId="16688"/>
    <cellStyle name="检查单元格 2 10 8 4 2" xfId="16689"/>
    <cellStyle name="汇总 2 4 6" xfId="16690"/>
    <cellStyle name="输出 2 2 11 6 3 2" xfId="16691"/>
    <cellStyle name="注释 2 2 4 5 5" xfId="16692"/>
    <cellStyle name="汇总 2 4 6 15" xfId="16693"/>
    <cellStyle name="输出 2 11 4 12" xfId="16694"/>
    <cellStyle name="注释 2 2 4 5 6" xfId="16695"/>
    <cellStyle name="汇总 2 4 6 16" xfId="16696"/>
    <cellStyle name="输出 2 11 4 13" xfId="16697"/>
    <cellStyle name="计算 2 10 9 3 3 2" xfId="16698"/>
    <cellStyle name="注释 2 2 4 15" xfId="16699"/>
    <cellStyle name="汇总 2 4 6 2" xfId="16700"/>
    <cellStyle name="汇总 2 4 6 2 2" xfId="16701"/>
    <cellStyle name="计算 2 6 11 7 5" xfId="16702"/>
    <cellStyle name="汇总 2 4 6 2 2 2" xfId="16703"/>
    <cellStyle name="计算 2 6 11 7 5 2" xfId="16704"/>
    <cellStyle name="汇总 2 4 6 2 3 2" xfId="16705"/>
    <cellStyle name="输入 2 9 7 5 3 2" xfId="16706"/>
    <cellStyle name="汇总 2 4 6 2 4" xfId="16707"/>
    <cellStyle name="输出 2 9 9 7 2 2" xfId="16708"/>
    <cellStyle name="汇总 2 6 6 5 5 2" xfId="16709"/>
    <cellStyle name="输出 2 2 3 2 6" xfId="16710"/>
    <cellStyle name="输入 2 7 7 2 2 2" xfId="16711"/>
    <cellStyle name="计算 2 3 3 2 4" xfId="16712"/>
    <cellStyle name="汇总 2 4 6 2 4 2" xfId="16713"/>
    <cellStyle name="输入 2 7 7 2 3 2" xfId="16714"/>
    <cellStyle name="计算 2 3 3 3 4" xfId="16715"/>
    <cellStyle name="输出 2 7 9 4 2 2" xfId="16716"/>
    <cellStyle name="汇总 2 4 6 2 5 2" xfId="16717"/>
    <cellStyle name="计算 2 9 5 3 2 2" xfId="16718"/>
    <cellStyle name="输出 2 7 9 4 3" xfId="16719"/>
    <cellStyle name="汇总 2 4 6 2 6" xfId="16720"/>
    <cellStyle name="计算 2 9 5 3 3" xfId="16721"/>
    <cellStyle name="输出 2 7 9 4 4" xfId="16722"/>
    <cellStyle name="汇总 2 4 6 2 7" xfId="16723"/>
    <cellStyle name="计算 2 9 5 3 4" xfId="16724"/>
    <cellStyle name="注释 2 2 4 16" xfId="16725"/>
    <cellStyle name="汇总 2 4 6 3" xfId="16726"/>
    <cellStyle name="输出 2 4 3 6 3 2" xfId="16727"/>
    <cellStyle name="汇总 2 4 6 3 2" xfId="16728"/>
    <cellStyle name="计算 2 6 11 8 5" xfId="16729"/>
    <cellStyle name="汇总 2 4 6 3 2 2" xfId="16730"/>
    <cellStyle name="汇总 2 4 6 4" xfId="16731"/>
    <cellStyle name="汇总 2 4 6 4 2" xfId="16732"/>
    <cellStyle name="汇总 2 4 6 4 2 2" xfId="16733"/>
    <cellStyle name="汇总 2 8 8 12 2" xfId="16734"/>
    <cellStyle name="汇总 2 4 6 4 3" xfId="16735"/>
    <cellStyle name="检查单元格 2 5 7 5 3 2" xfId="16736"/>
    <cellStyle name="汇总 2 4 6 4 3 2" xfId="16737"/>
    <cellStyle name="汇总 2 4 6 5" xfId="16738"/>
    <cellStyle name="输入 2 4 4 7 3" xfId="16739"/>
    <cellStyle name="计算 2 4 5 4 3 2" xfId="16740"/>
    <cellStyle name="汇总 2 4 6 6" xfId="16741"/>
    <cellStyle name="输出 2 2 9 5 3 2" xfId="16742"/>
    <cellStyle name="汇总 2 4 6 6 2" xfId="16743"/>
    <cellStyle name="输入 2 5 10 3 5" xfId="16744"/>
    <cellStyle name="汇总 2 4 6 6 2 2" xfId="16745"/>
    <cellStyle name="汇总 2 4 6 6 3" xfId="16746"/>
    <cellStyle name="输入 2 5 10 4 5" xfId="16747"/>
    <cellStyle name="汇总 2 4 6 6 3 2" xfId="16748"/>
    <cellStyle name="汇总 2 4 6 6 4" xfId="16749"/>
    <cellStyle name="输入 2 7 7 6 2 2" xfId="16750"/>
    <cellStyle name="计算 2 3 7 2 4" xfId="16751"/>
    <cellStyle name="输入 2 5 10 5 5" xfId="16752"/>
    <cellStyle name="汇总 2 4 6 6 4 2" xfId="16753"/>
    <cellStyle name="输入 2 7 7 6 4" xfId="16754"/>
    <cellStyle name="汇总 2 7 4 7 2 2" xfId="16755"/>
    <cellStyle name="输出 2 7 9 8 3" xfId="16756"/>
    <cellStyle name="汇总 2 4 6 6 6" xfId="16757"/>
    <cellStyle name="计算 2 9 5 7 3" xfId="16758"/>
    <cellStyle name="汇总 2 4 6 7" xfId="16759"/>
    <cellStyle name="汇总 2 4 6 7 2" xfId="16760"/>
    <cellStyle name="输入 2 5 11 3 5" xfId="16761"/>
    <cellStyle name="汇总 2 4 6 7 2 2" xfId="16762"/>
    <cellStyle name="汇总 2 7 10 7 6" xfId="16763"/>
    <cellStyle name="输出 2 2 3 7 4 2" xfId="16764"/>
    <cellStyle name="汇总 2 4 6 7 3" xfId="16765"/>
    <cellStyle name="输入 2 5 11 4 5" xfId="16766"/>
    <cellStyle name="汇总 2 4 6 7 3 2" xfId="16767"/>
    <cellStyle name="汇总 2 4 6 7 4" xfId="16768"/>
    <cellStyle name="输入 2 7 7 7 2 2" xfId="16769"/>
    <cellStyle name="计算 2 3 8 2 4" xfId="16770"/>
    <cellStyle name="输入 2 5 11 5 5" xfId="16771"/>
    <cellStyle name="汇总 2 4 6 7 4 2" xfId="16772"/>
    <cellStyle name="输入 2 7 7 7 4" xfId="16773"/>
    <cellStyle name="汇总 2 7 4 7 3 2" xfId="16774"/>
    <cellStyle name="汇总 2 4 6 7 6" xfId="16775"/>
    <cellStyle name="计算 2 9 5 8 3" xfId="16776"/>
    <cellStyle name="汇总 2 4 6 8 2" xfId="16777"/>
    <cellStyle name="汇总 2 4 6 8 2 2" xfId="16778"/>
    <cellStyle name="汇总 2 7 11 7 6" xfId="16779"/>
    <cellStyle name="输出 2 10 3 2 3 2" xfId="16780"/>
    <cellStyle name="输出 2 2 3 8 4 2" xfId="16781"/>
    <cellStyle name="汇总 2 4 6 9 2" xfId="16782"/>
    <cellStyle name="输出 2 10 8 3 5" xfId="16783"/>
    <cellStyle name="汇总 2 9 10 4 4 2" xfId="16784"/>
    <cellStyle name="输出 2 3 2 5 5 2" xfId="16785"/>
    <cellStyle name="汇总 2 5 5 5 3 2" xfId="16786"/>
    <cellStyle name="汇总 2 4 7 10" xfId="16787"/>
    <cellStyle name="汇总 2 4 7 10 2" xfId="16788"/>
    <cellStyle name="汇总 2 4 7 11" xfId="16789"/>
    <cellStyle name="汇总 2 4 7 11 2" xfId="16790"/>
    <cellStyle name="汇总 2 4 7 12" xfId="16791"/>
    <cellStyle name="汇总 2 4 7 12 2" xfId="16792"/>
    <cellStyle name="汇总 2 4 7 13" xfId="16793"/>
    <cellStyle name="输出 2 10 11 8 3 2" xfId="16794"/>
    <cellStyle name="输出 2 11 5 10" xfId="16795"/>
    <cellStyle name="汇总 2 8 3 3 3" xfId="16796"/>
    <cellStyle name="汇总 2 4 7 15" xfId="16797"/>
    <cellStyle name="输出 2 11 5 12" xfId="16798"/>
    <cellStyle name="汇总 2 8 3 3 4" xfId="16799"/>
    <cellStyle name="汇总 2 6 4 11 2" xfId="16800"/>
    <cellStyle name="汇总 2 4 7 16" xfId="16801"/>
    <cellStyle name="输出 2 11 5 13" xfId="16802"/>
    <cellStyle name="汇总 2 4 7 2 2" xfId="16803"/>
    <cellStyle name="汇总 2 4 7 2 2 2" xfId="16804"/>
    <cellStyle name="汇总 2 4 7 2 3 2" xfId="16805"/>
    <cellStyle name="输入 2 9 7 6 3 2" xfId="16806"/>
    <cellStyle name="汇总 2 4 7 2 4" xfId="16807"/>
    <cellStyle name="输出 2 9 9 8 2 2" xfId="16808"/>
    <cellStyle name="汇总 2 6 6 6 5 2" xfId="16809"/>
    <cellStyle name="输出 2 2 4 2 6" xfId="16810"/>
    <cellStyle name="输入 2 7 8 2 2 2" xfId="16811"/>
    <cellStyle name="计算 2 4 3 2 4" xfId="16812"/>
    <cellStyle name="输出 2 2 7 3 4" xfId="16813"/>
    <cellStyle name="汇总 2 4 7 2 4 2" xfId="16814"/>
    <cellStyle name="输入 2 7 8 2 3 2" xfId="16815"/>
    <cellStyle name="计算 2 4 3 3 4" xfId="16816"/>
    <cellStyle name="输入 2 2 9 12" xfId="16817"/>
    <cellStyle name="输出 2 2 7 4 4" xfId="16818"/>
    <cellStyle name="输入 2 2 5 2 5" xfId="16819"/>
    <cellStyle name="汇总 2 4 7 2 5 2" xfId="16820"/>
    <cellStyle name="计算 2 9 6 3 2 2" xfId="16821"/>
    <cellStyle name="汇总 2 4 7 3" xfId="16822"/>
    <cellStyle name="输出 2 4 3 6 4 2" xfId="16823"/>
    <cellStyle name="汇总 2 6 6 6 2 2" xfId="16824"/>
    <cellStyle name="注释 2 2 5 14" xfId="16825"/>
    <cellStyle name="汇总 2 4 7 3 2" xfId="16826"/>
    <cellStyle name="汇总 2 4 7 3 2 2" xfId="16827"/>
    <cellStyle name="注释 2 2 5 15" xfId="16828"/>
    <cellStyle name="输入 2 11 6 2 3 2" xfId="16829"/>
    <cellStyle name="汇总 2 4 7 3 3" xfId="16830"/>
    <cellStyle name="汇总 2 4 7 3 3 2" xfId="16831"/>
    <cellStyle name="注释 2 2 5 16" xfId="16832"/>
    <cellStyle name="输入 2 9 7 6 4 2" xfId="16833"/>
    <cellStyle name="汇总 2 4 7 3 4" xfId="16834"/>
    <cellStyle name="输入 2 7 8 3 2 2" xfId="16835"/>
    <cellStyle name="计算 2 4 4 2 4" xfId="16836"/>
    <cellStyle name="输出 2 2 8 3 4" xfId="16837"/>
    <cellStyle name="汇总 2 4 7 3 4 2" xfId="16838"/>
    <cellStyle name="输入 2 7 8 3 3 2" xfId="16839"/>
    <cellStyle name="计算 2 4 4 3 4" xfId="16840"/>
    <cellStyle name="输出 2 2 8 4 4" xfId="16841"/>
    <cellStyle name="输入 2 2 6 2 5" xfId="16842"/>
    <cellStyle name="汇总 2 4 7 3 5 2" xfId="16843"/>
    <cellStyle name="计算 2 9 6 4 2 2" xfId="16844"/>
    <cellStyle name="汇总 2 4 7 4" xfId="16845"/>
    <cellStyle name="输入 2 2 2 2 5" xfId="16846"/>
    <cellStyle name="汇总 2 4 7 4 2" xfId="16847"/>
    <cellStyle name="输入 2 2 2 2 5 2" xfId="16848"/>
    <cellStyle name="汇总 2 4 7 4 2 2" xfId="16849"/>
    <cellStyle name="输出 2 12 10" xfId="16850"/>
    <cellStyle name="输入 2 2 2 2 6" xfId="16851"/>
    <cellStyle name="输入 2 11 6 2 4 2" xfId="16852"/>
    <cellStyle name="汇总 2 4 7 4 3" xfId="16853"/>
    <cellStyle name="汇总 2 4 7 4 3 2" xfId="16854"/>
    <cellStyle name="输入 2 9 7 6 5 2" xfId="16855"/>
    <cellStyle name="输入 2 2 2 2 7" xfId="16856"/>
    <cellStyle name="汇总 2 4 7 4 4" xfId="16857"/>
    <cellStyle name="输入 2 7 8 4 2 2" xfId="16858"/>
    <cellStyle name="计算 2 4 5 2 4" xfId="16859"/>
    <cellStyle name="输出 2 2 9 3 4" xfId="16860"/>
    <cellStyle name="注释 2 3 5 14" xfId="16861"/>
    <cellStyle name="汇总 2 4 7 4 4 2" xfId="16862"/>
    <cellStyle name="输入 2 7 8 4 3 2" xfId="16863"/>
    <cellStyle name="计算 2 4 5 3 4" xfId="16864"/>
    <cellStyle name="输出 2 2 9 4 4" xfId="16865"/>
    <cellStyle name="输入 2 2 7 2 5" xfId="16866"/>
    <cellStyle name="汇总 2 4 7 4 5 2" xfId="16867"/>
    <cellStyle name="计算 2 9 6 5 2 2" xfId="16868"/>
    <cellStyle name="汇总 2 4 7 5" xfId="16869"/>
    <cellStyle name="输入 2 2 2 3 5" xfId="16870"/>
    <cellStyle name="汇总 2 4 7 5 2" xfId="16871"/>
    <cellStyle name="输入 2 2 2 3 5 2" xfId="16872"/>
    <cellStyle name="汇总 2 4 7 5 2 2" xfId="16873"/>
    <cellStyle name="输出 2 17 10" xfId="16874"/>
    <cellStyle name="计算 2 9 10 6 6" xfId="16875"/>
    <cellStyle name="输出 2 7 19 4" xfId="16876"/>
    <cellStyle name="输入 2 2 2 3 6" xfId="16877"/>
    <cellStyle name="输入 2 11 6 2 5 2" xfId="16878"/>
    <cellStyle name="汇总 2 4 7 5 3" xfId="16879"/>
    <cellStyle name="汇总 2 4 7 5 3 2" xfId="16880"/>
    <cellStyle name="计算 2 9 10 7 6" xfId="16881"/>
    <cellStyle name="汇总 2 4 7 5 4" xfId="16882"/>
    <cellStyle name="输入 2 7 8 5 2 2" xfId="16883"/>
    <cellStyle name="计算 2 4 6 2 4" xfId="16884"/>
    <cellStyle name="汇总 2 4 7 5 4 2" xfId="16885"/>
    <cellStyle name="输入 2 4 4 8 3" xfId="16886"/>
    <cellStyle name="计算 2 4 5 4 4 2" xfId="16887"/>
    <cellStyle name="汇总 2 4 7 6" xfId="16888"/>
    <cellStyle name="输出 2 2 9 5 4 2" xfId="16889"/>
    <cellStyle name="输入 2 2 2 4 5" xfId="16890"/>
    <cellStyle name="汇总 2 4 7 6 2" xfId="16891"/>
    <cellStyle name="输入 2 2 2 4 5 2" xfId="16892"/>
    <cellStyle name="汇总 2 4 7 6 2 2" xfId="16893"/>
    <cellStyle name="计算 2 9 11 6 6" xfId="16894"/>
    <cellStyle name="输入 2 2 2 4 6" xfId="16895"/>
    <cellStyle name="汇总 2 4 7 6 3" xfId="16896"/>
    <cellStyle name="汇总 2 4 7 6 4" xfId="16897"/>
    <cellStyle name="输入 2 7 8 6 2 2" xfId="16898"/>
    <cellStyle name="计算 2 4 7 2 4" xfId="16899"/>
    <cellStyle name="汇总 2 4 7 6 4 2" xfId="16900"/>
    <cellStyle name="输入 2 2 2 5 5" xfId="16901"/>
    <cellStyle name="汇总 2 4 7 7 2" xfId="16902"/>
    <cellStyle name="输入 2 2 2 5 5 2" xfId="16903"/>
    <cellStyle name="汇总 2 4 7 7 2 2" xfId="16904"/>
    <cellStyle name="输入 2 2 2 5 6" xfId="16905"/>
    <cellStyle name="汇总 2 4 7 7 3" xfId="16906"/>
    <cellStyle name="汇总 2 4 7 7 3 2" xfId="16907"/>
    <cellStyle name="汇总 2 4 7 7 4" xfId="16908"/>
    <cellStyle name="输入 2 7 8 7 2 2" xfId="16909"/>
    <cellStyle name="计算 2 4 8 2 4" xfId="16910"/>
    <cellStyle name="汇总 2 4 7 7 4 2" xfId="16911"/>
    <cellStyle name="注释 2 2 6 14" xfId="16912"/>
    <cellStyle name="输入 2 2 2 6 5" xfId="16913"/>
    <cellStyle name="汇总 2 4 7 8 2" xfId="16914"/>
    <cellStyle name="输入 2 2 2 6 5 2" xfId="16915"/>
    <cellStyle name="汇总 2 4 7 8 2 2" xfId="16916"/>
    <cellStyle name="注释 2 2 6 15" xfId="16917"/>
    <cellStyle name="输入 2 2 2 6 6" xfId="16918"/>
    <cellStyle name="汇总 2 4 7 8 3" xfId="16919"/>
    <cellStyle name="汇总 2 4 7 8 3 2" xfId="16920"/>
    <cellStyle name="注释 2 2 6 16" xfId="16921"/>
    <cellStyle name="汇总 2 4 7 8 4" xfId="16922"/>
    <cellStyle name="输入 2 7 8 8 2 2" xfId="16923"/>
    <cellStyle name="计算 2 4 9 2 4" xfId="16924"/>
    <cellStyle name="输出 2 10 4 2 5 2" xfId="16925"/>
    <cellStyle name="汇总 2 4 7 8 4 2" xfId="16926"/>
    <cellStyle name="输入 2 2 2 7 5" xfId="16927"/>
    <cellStyle name="汇总 2 4 7 9 2" xfId="16928"/>
    <cellStyle name="注释 2 5 8 6 2" xfId="16929"/>
    <cellStyle name="计算 2 4 10 4 4 2" xfId="16930"/>
    <cellStyle name="注释 2 4 17 3 2" xfId="16931"/>
    <cellStyle name="检查单元格 2 2 2 5 3 2" xfId="16932"/>
    <cellStyle name="注释 2 10 7 3 4 2" xfId="16933"/>
    <cellStyle name="汇总 2 4 8 10" xfId="16934"/>
    <cellStyle name="计算 2 2 11 7 6" xfId="16935"/>
    <cellStyle name="汇总 2 4 8 10 2" xfId="16936"/>
    <cellStyle name="注释 2 5 8 6 3" xfId="16937"/>
    <cellStyle name="输入 2 6 2 5 5 2" xfId="16938"/>
    <cellStyle name="汇总 2 8 7 7 2 2" xfId="16939"/>
    <cellStyle name="汇总 2 4 8 11" xfId="16940"/>
    <cellStyle name="输出 2 6 4 7 4 2" xfId="16941"/>
    <cellStyle name="汇总 2 4 8 11 2" xfId="16942"/>
    <cellStyle name="汇总 2 4 8 12" xfId="16943"/>
    <cellStyle name="计算 2 9 11 4 4 2" xfId="16944"/>
    <cellStyle name="注释 2 5 8 6 4 2" xfId="16945"/>
    <cellStyle name="汇总 2 8 10" xfId="16946"/>
    <cellStyle name="汇总 2 4 8 12 2" xfId="16947"/>
    <cellStyle name="汇总 2 4 8 13" xfId="16948"/>
    <cellStyle name="输出 2 11 6 10" xfId="16949"/>
    <cellStyle name="注释 2 5 8 6 6" xfId="16950"/>
    <cellStyle name="汇总 2 8 3 8 2" xfId="16951"/>
    <cellStyle name="计算 2 6 6 5 4 2" xfId="16952"/>
    <cellStyle name="注释 2 8 15 5 2" xfId="16953"/>
    <cellStyle name="汇总 2 4 8 14" xfId="16954"/>
    <cellStyle name="输出 2 11 6 11" xfId="16955"/>
    <cellStyle name="汇总 2 9 2 5 4 2" xfId="16956"/>
    <cellStyle name="汇总 2 4 8 15" xfId="16957"/>
    <cellStyle name="输出 2 11 6 12" xfId="16958"/>
    <cellStyle name="汇总 2 8 3 8 3" xfId="16959"/>
    <cellStyle name="汇总 2 8 3 8 4" xfId="16960"/>
    <cellStyle name="汇总 2 4 8 16" xfId="16961"/>
    <cellStyle name="输出 2 11 6 13" xfId="16962"/>
    <cellStyle name="汇总 2 4 8 2 2" xfId="16963"/>
    <cellStyle name="汇总 2 4 8 2 2 2" xfId="16964"/>
    <cellStyle name="汇总 2 4 8 2 3 2" xfId="16965"/>
    <cellStyle name="输入 2 9 7 7 3 2" xfId="16966"/>
    <cellStyle name="汇总 2 4 8 2 4" xfId="16967"/>
    <cellStyle name="汇总 2 6 6 7 5 2" xfId="16968"/>
    <cellStyle name="输出 2 2 5 2 6" xfId="16969"/>
    <cellStyle name="汇总 2 4 8 2 4 2" xfId="16970"/>
    <cellStyle name="输入 2 3 5 2 5" xfId="16971"/>
    <cellStyle name="汇总 2 4 8 2 5 2" xfId="16972"/>
    <cellStyle name="计算 2 9 7 3 2 2" xfId="16973"/>
    <cellStyle name="汇总 2 4 8 3" xfId="16974"/>
    <cellStyle name="输出 2 4 3 6 5 2" xfId="16975"/>
    <cellStyle name="汇总 2 6 6 6 3 2" xfId="16976"/>
    <cellStyle name="汇总 2 4 8 3 2" xfId="16977"/>
    <cellStyle name="计算 2 3 13 6" xfId="16978"/>
    <cellStyle name="汇总 2 4 8 3 2 2" xfId="16979"/>
    <cellStyle name="输入 2 11 6 3 3 2" xfId="16980"/>
    <cellStyle name="汇总 2 4 8 3 3" xfId="16981"/>
    <cellStyle name="计算 2 3 14 6" xfId="16982"/>
    <cellStyle name="汇总 2 4 8 3 3 2" xfId="16983"/>
    <cellStyle name="输入 2 9 7 7 4 2" xfId="16984"/>
    <cellStyle name="汇总 2 4 8 3 4" xfId="16985"/>
    <cellStyle name="计算 2 3 15 6" xfId="16986"/>
    <cellStyle name="汇总 2 4 8 3 4 2" xfId="16987"/>
    <cellStyle name="输入 2 3 6 2 5" xfId="16988"/>
    <cellStyle name="汇总 2 4 8 3 5 2" xfId="16989"/>
    <cellStyle name="计算 2 3 16 6" xfId="16990"/>
    <cellStyle name="计算 2 9 7 4 2 2" xfId="16991"/>
    <cellStyle name="输出 2 5 19" xfId="16992"/>
    <cellStyle name="输出 2 5 24" xfId="16993"/>
    <cellStyle name="输入 2 2 3 2 5" xfId="16994"/>
    <cellStyle name="汇总 2 4 8 4 2" xfId="16995"/>
    <cellStyle name="输入 2 2 3 2 5 2" xfId="16996"/>
    <cellStyle name="汇总 2 4 8 4 2 2" xfId="16997"/>
    <cellStyle name="输入 2 2 3 2 6" xfId="16998"/>
    <cellStyle name="输入 2 11 6 3 4 2" xfId="16999"/>
    <cellStyle name="汇总 2 4 8 4 3" xfId="17000"/>
    <cellStyle name="汇总 2 4 8 4 3 2" xfId="17001"/>
    <cellStyle name="输入 2 9 7 7 5 2" xfId="17002"/>
    <cellStyle name="输入 2 2 3 2 7" xfId="17003"/>
    <cellStyle name="汇总 2 4 8 4 4" xfId="17004"/>
    <cellStyle name="注释 2 8 5 14" xfId="17005"/>
    <cellStyle name="汇总 2 4 8 4 4 2" xfId="17006"/>
    <cellStyle name="输入 2 3 7 2 5" xfId="17007"/>
    <cellStyle name="汇总 2 4 8 4 5 2" xfId="17008"/>
    <cellStyle name="计算 2 9 7 5 2 2" xfId="17009"/>
    <cellStyle name="汇总 2 4 8 5" xfId="17010"/>
    <cellStyle name="计算 2 2 2 9" xfId="17011"/>
    <cellStyle name="输入 2 2 3 3 5" xfId="17012"/>
    <cellStyle name="汇总 2 4 8 5 2" xfId="17013"/>
    <cellStyle name="计算 2 2 2 9 2" xfId="17014"/>
    <cellStyle name="输入 2 2 3 3 5 2" xfId="17015"/>
    <cellStyle name="汇总 2 4 8 5 2 2" xfId="17016"/>
    <cellStyle name="输入 2 2 3 3 6" xfId="17017"/>
    <cellStyle name="输入 2 11 6 3 5 2" xfId="17018"/>
    <cellStyle name="汇总 2 4 8 5 3" xfId="17019"/>
    <cellStyle name="汇总 2 4 8 5 3 2" xfId="17020"/>
    <cellStyle name="汇总 2 4 8 5 4" xfId="17021"/>
    <cellStyle name="输出 2 12 8 10 2" xfId="17022"/>
    <cellStyle name="汇总 2 4 8 5 4 2" xfId="17023"/>
    <cellStyle name="注释 2 3 13 5" xfId="17024"/>
    <cellStyle name="计算 2 3 10 11" xfId="17025"/>
    <cellStyle name="输入 2 7 9 5 3 2" xfId="17026"/>
    <cellStyle name="计算 2 5 6 3 4" xfId="17027"/>
    <cellStyle name="输入 2 3 8 2 5" xfId="17028"/>
    <cellStyle name="汇总 2 4 8 5 5 2" xfId="17029"/>
    <cellStyle name="计算 2 9 7 6 2 2" xfId="17030"/>
    <cellStyle name="计算 2 4 5 4 5 2" xfId="17031"/>
    <cellStyle name="汇总 2 4 8 6" xfId="17032"/>
    <cellStyle name="输出 2 2 9 5 5 2" xfId="17033"/>
    <cellStyle name="计算 2 2 3 9" xfId="17034"/>
    <cellStyle name="输入 2 2 3 4 5" xfId="17035"/>
    <cellStyle name="汇总 2 4 8 6 2" xfId="17036"/>
    <cellStyle name="计算 2 2 3 9 2" xfId="17037"/>
    <cellStyle name="输入 2 2 3 4 5 2" xfId="17038"/>
    <cellStyle name="汇总 2 4 8 6 2 2" xfId="17039"/>
    <cellStyle name="输入 2 2 3 4 6" xfId="17040"/>
    <cellStyle name="汇总 2 4 8 6 3" xfId="17041"/>
    <cellStyle name="汇总 2 7 5 16" xfId="17042"/>
    <cellStyle name="汇总 2 4 8 6 3 2" xfId="17043"/>
    <cellStyle name="汇总 2 4 8 6 4" xfId="17044"/>
    <cellStyle name="输出 2 12 8 11 2" xfId="17045"/>
    <cellStyle name="汇总 2 4 8 6 4 2" xfId="17046"/>
    <cellStyle name="输入 2 3 9 2 5" xfId="17047"/>
    <cellStyle name="汇总 2 4 8 6 5 2" xfId="17048"/>
    <cellStyle name="计算 2 9 7 7 2 2" xfId="17049"/>
    <cellStyle name="计算 2 2 4 9" xfId="17050"/>
    <cellStyle name="输入 2 2 3 5 5" xfId="17051"/>
    <cellStyle name="汇总 2 4 8 7 2" xfId="17052"/>
    <cellStyle name="输入 2 2 3 5 6" xfId="17053"/>
    <cellStyle name="汇总 2 4 8 7 3" xfId="17054"/>
    <cellStyle name="汇总 2 4 8 7 4" xfId="17055"/>
    <cellStyle name="输出 2 12 8 12 2" xfId="17056"/>
    <cellStyle name="汇总 2 4 8 7 4 2" xfId="17057"/>
    <cellStyle name="汇总 2 4 8 7 5 2" xfId="17058"/>
    <cellStyle name="计算 2 9 7 8 2 2" xfId="17059"/>
    <cellStyle name="注释 2 7 8 4 3 2" xfId="17060"/>
    <cellStyle name="汇总 2 6 10 3 4 2" xfId="17061"/>
    <cellStyle name="汇总 2 4 8 8" xfId="17062"/>
    <cellStyle name="计算 2 2 5 9" xfId="17063"/>
    <cellStyle name="输入 2 2 3 6 5" xfId="17064"/>
    <cellStyle name="汇总 2 4 8 8 2" xfId="17065"/>
    <cellStyle name="计算 2 4 13 6" xfId="17066"/>
    <cellStyle name="计算 2 2 5 9 2" xfId="17067"/>
    <cellStyle name="输入 2 2 3 6 5 2" xfId="17068"/>
    <cellStyle name="汇总 2 4 8 8 2 2" xfId="17069"/>
    <cellStyle name="计算 2 2 9 2 2 2" xfId="17070"/>
    <cellStyle name="输入 2 2 3 6 6" xfId="17071"/>
    <cellStyle name="汇总 2 4 8 8 3" xfId="17072"/>
    <cellStyle name="计算 2 4 14 6" xfId="17073"/>
    <cellStyle name="汇总 2 4 8 8 3 2" xfId="17074"/>
    <cellStyle name="汇总 2 4 8 8 4" xfId="17075"/>
    <cellStyle name="汇总 2 5 5 2 2 2" xfId="17076"/>
    <cellStyle name="计算 2 4 15 6" xfId="17077"/>
    <cellStyle name="汇总 2 4 8 8 4 2" xfId="17078"/>
    <cellStyle name="汇总 2 4 9 10" xfId="17079"/>
    <cellStyle name="汇总 2 4 9 10 2" xfId="17080"/>
    <cellStyle name="汇总 2 4 9 11" xfId="17081"/>
    <cellStyle name="输出 2 9 4 4 3 2" xfId="17082"/>
    <cellStyle name="计算 2 3 2 6" xfId="17083"/>
    <cellStyle name="汇总 2 4 9 11 2" xfId="17084"/>
    <cellStyle name="汇总 2 4 9 12" xfId="17085"/>
    <cellStyle name="输出 2 9 4 4 4 2" xfId="17086"/>
    <cellStyle name="计算 2 3 3 6" xfId="17087"/>
    <cellStyle name="汇总 2 4 9 12 2" xfId="17088"/>
    <cellStyle name="汇总 2 4 9 14" xfId="17089"/>
    <cellStyle name="输出 2 11 7 11" xfId="17090"/>
    <cellStyle name="汇总 2 4 9 15" xfId="17091"/>
    <cellStyle name="输出 2 11 7 12" xfId="17092"/>
    <cellStyle name="汇总 2 4 9 2 2" xfId="17093"/>
    <cellStyle name="汇总 2 4 9 2 2 2" xfId="17094"/>
    <cellStyle name="汇总 2 6 11 7" xfId="17095"/>
    <cellStyle name="输出 2 2 6 2 4 2" xfId="17096"/>
    <cellStyle name="汇总 2 4 9 2 3 2" xfId="17097"/>
    <cellStyle name="汇总 2 6 12 7" xfId="17098"/>
    <cellStyle name="输出 2 2 6 2 5 2" xfId="17099"/>
    <cellStyle name="输出 2 4 7 2 4" xfId="17100"/>
    <cellStyle name="汇总 2 4 9 2 4 2" xfId="17101"/>
    <cellStyle name="输入 2 4 5 2 5" xfId="17102"/>
    <cellStyle name="汇总 2 4 9 2 5 2" xfId="17103"/>
    <cellStyle name="计算 2 9 8 3 2 2" xfId="17104"/>
    <cellStyle name="汇总 2 4 9 2 7" xfId="17105"/>
    <cellStyle name="计算 2 9 8 3 4" xfId="17106"/>
    <cellStyle name="输入 2 9 7 6 2 2" xfId="17107"/>
    <cellStyle name="汇总 2 4 9 3" xfId="17108"/>
    <cellStyle name="汇总 2 6 6 6 4 2" xfId="17109"/>
    <cellStyle name="计算 2 4 2 2 4" xfId="17110"/>
    <cellStyle name="输出 2 2 6 3 4" xfId="17111"/>
    <cellStyle name="汇总 2 4 9 3 2" xfId="17112"/>
    <cellStyle name="计算 2 4 2 2 4 2" xfId="17113"/>
    <cellStyle name="输出 2 2 6 3 4 2" xfId="17114"/>
    <cellStyle name="汇总 2 4 9 3 2 2" xfId="17115"/>
    <cellStyle name="计算 2 8 13 6" xfId="17116"/>
    <cellStyle name="计算 2 4 2 2 5" xfId="17117"/>
    <cellStyle name="输出 2 2 6 3 5" xfId="17118"/>
    <cellStyle name="输入 2 11 6 4 3 2" xfId="17119"/>
    <cellStyle name="汇总 2 4 9 3 3" xfId="17120"/>
    <cellStyle name="计算 2 4 2 2 5 2" xfId="17121"/>
    <cellStyle name="输出 2 2 6 3 5 2" xfId="17122"/>
    <cellStyle name="输出 2 4 8 2 4" xfId="17123"/>
    <cellStyle name="汇总 2 4 9 3 3 2" xfId="17124"/>
    <cellStyle name="计算 2 8 14 6" xfId="17125"/>
    <cellStyle name="计算 2 4 2 2 6" xfId="17126"/>
    <cellStyle name="输出 2 2 6 3 6" xfId="17127"/>
    <cellStyle name="输入 2 9 7 8 4 2" xfId="17128"/>
    <cellStyle name="汇总 2 4 9 3 4" xfId="17129"/>
    <cellStyle name="汇总 2 4 9 3 4 2" xfId="17130"/>
    <cellStyle name="计算 2 8 15 6" xfId="17131"/>
    <cellStyle name="输入 2 4 6 2 5" xfId="17132"/>
    <cellStyle name="汇总 2 4 9 3 5 2" xfId="17133"/>
    <cellStyle name="计算 2 8 16 6" xfId="17134"/>
    <cellStyle name="计算 2 9 8 4 2 2" xfId="17135"/>
    <cellStyle name="计算 2 4 2 3 4" xfId="17136"/>
    <cellStyle name="输入 2 2 4 12" xfId="17137"/>
    <cellStyle name="输出 2 2 6 4 4" xfId="17138"/>
    <cellStyle name="输入 2 2 4 2 5" xfId="17139"/>
    <cellStyle name="汇总 2 4 9 4 2" xfId="17140"/>
    <cellStyle name="计算 2 9 6 2 2 2" xfId="17141"/>
    <cellStyle name="计算 2 4 2 3 4 2" xfId="17142"/>
    <cellStyle name="输入 2 2 4 12 2" xfId="17143"/>
    <cellStyle name="输出 2 2 6 4 4 2" xfId="17144"/>
    <cellStyle name="输入 2 2 4 2 5 2" xfId="17145"/>
    <cellStyle name="汇总 2 4 9 4 2 2" xfId="17146"/>
    <cellStyle name="计算 2 4 2 3 5" xfId="17147"/>
    <cellStyle name="输入 2 2 4 13" xfId="17148"/>
    <cellStyle name="输出 2 2 6 4 5" xfId="17149"/>
    <cellStyle name="输入 2 2 4 2 6" xfId="17150"/>
    <cellStyle name="输入 2 11 6 4 4 2" xfId="17151"/>
    <cellStyle name="汇总 2 4 9 4 3" xfId="17152"/>
    <cellStyle name="计算 2 4 2 3 5 2" xfId="17153"/>
    <cellStyle name="输出 2 2 6 4 5 2" xfId="17154"/>
    <cellStyle name="输出 2 4 9 2 4" xfId="17155"/>
    <cellStyle name="汇总 2 4 9 4 3 2" xfId="17156"/>
    <cellStyle name="计算 2 4 2 3 6" xfId="17157"/>
    <cellStyle name="输入 2 2 4 14" xfId="17158"/>
    <cellStyle name="输出 2 2 6 4 6" xfId="17159"/>
    <cellStyle name="输入 2 2 4 2 7" xfId="17160"/>
    <cellStyle name="汇总 2 4 9 4 4" xfId="17161"/>
    <cellStyle name="汇总 2 4 9 4 4 2" xfId="17162"/>
    <cellStyle name="计算 2 6 5 3 4" xfId="17163"/>
    <cellStyle name="输出 2 4 10" xfId="17164"/>
    <cellStyle name="计算 2 12 5 11" xfId="17165"/>
    <cellStyle name="输出 2 4 9 4 4" xfId="17166"/>
    <cellStyle name="输入 2 4 7 2 5" xfId="17167"/>
    <cellStyle name="汇总 2 4 9 4 5 2" xfId="17168"/>
    <cellStyle name="计算 2 9 8 5 2 2" xfId="17169"/>
    <cellStyle name="汇总 2 4 9 5" xfId="17170"/>
    <cellStyle name="计算 2 9 6 2 3" xfId="17171"/>
    <cellStyle name="计算 2 4 2 4 4" xfId="17172"/>
    <cellStyle name="输出 2 2 6 5 4" xfId="17173"/>
    <cellStyle name="输入 2 2 4 3 5" xfId="17174"/>
    <cellStyle name="汇总 2 4 9 5 2" xfId="17175"/>
    <cellStyle name="计算 2 3 2 9" xfId="17176"/>
    <cellStyle name="计算 2 9 6 2 3 2" xfId="17177"/>
    <cellStyle name="计算 2 4 2 4 4 2" xfId="17178"/>
    <cellStyle name="注释 2 8 10 5" xfId="17179"/>
    <cellStyle name="输出 2 2 6 5 4 2" xfId="17180"/>
    <cellStyle name="计算 2 3 2 9 2" xfId="17181"/>
    <cellStyle name="输入 2 2 4 3 5 2" xfId="17182"/>
    <cellStyle name="汇总 2 4 9 5 2 2" xfId="17183"/>
    <cellStyle name="计算 2 4 2 4 5" xfId="17184"/>
    <cellStyle name="注释 2 14 4 2 2" xfId="17185"/>
    <cellStyle name="输出 2 2 6 5 5" xfId="17186"/>
    <cellStyle name="输入 2 2 4 3 6" xfId="17187"/>
    <cellStyle name="输入 2 11 6 4 5 2" xfId="17188"/>
    <cellStyle name="汇总 2 4 9 5 3" xfId="17189"/>
    <cellStyle name="计算 2 4 2 4 5 2" xfId="17190"/>
    <cellStyle name="注释 2 8 11 5" xfId="17191"/>
    <cellStyle name="输出 2 2 6 5 5 2" xfId="17192"/>
    <cellStyle name="汇总 2 4 9 5 3 2" xfId="17193"/>
    <cellStyle name="计算 2 4 2 4 6" xfId="17194"/>
    <cellStyle name="输出 2 2 6 5 6" xfId="17195"/>
    <cellStyle name="汇总 2 4 9 5 4" xfId="17196"/>
    <cellStyle name="汇总 2 4 9 5 4 2" xfId="17197"/>
    <cellStyle name="注释 2 8 13 5" xfId="17198"/>
    <cellStyle name="计算 2 4 10 11" xfId="17199"/>
    <cellStyle name="输出 2 9 10" xfId="17200"/>
    <cellStyle name="计算 2 6 6 3 4" xfId="17201"/>
    <cellStyle name="输入 2 4 8 2 5" xfId="17202"/>
    <cellStyle name="汇总 2 4 9 5 5 2" xfId="17203"/>
    <cellStyle name="计算 2 9 8 6 2 2" xfId="17204"/>
    <cellStyle name="汇总 2 4 9 6" xfId="17205"/>
    <cellStyle name="计算 2 9 6 2 4" xfId="17206"/>
    <cellStyle name="计算 2 4 2 5 4" xfId="17207"/>
    <cellStyle name="输出 2 2 6 6 4" xfId="17208"/>
    <cellStyle name="输入 2 2 4 4 5" xfId="17209"/>
    <cellStyle name="汇总 2 4 9 6 2" xfId="17210"/>
    <cellStyle name="计算 2 3 3 9" xfId="17211"/>
    <cellStyle name="计算 2 9 6 2 4 2" xfId="17212"/>
    <cellStyle name="计算 2 4 2 5 4 2" xfId="17213"/>
    <cellStyle name="输出 2 2 6 6 4 2" xfId="17214"/>
    <cellStyle name="计算 2 3 3 9 2" xfId="17215"/>
    <cellStyle name="计算 2 10 2 6 4" xfId="17216"/>
    <cellStyle name="输入 2 2 4 4 5 2" xfId="17217"/>
    <cellStyle name="汇总 2 4 9 6 2 2" xfId="17218"/>
    <cellStyle name="计算 2 4 2 5 5" xfId="17219"/>
    <cellStyle name="注释 2 14 4 3 2" xfId="17220"/>
    <cellStyle name="输出 2 2 6 6 5" xfId="17221"/>
    <cellStyle name="输入 2 2 4 4 6" xfId="17222"/>
    <cellStyle name="汇总 2 4 9 6 3" xfId="17223"/>
    <cellStyle name="计算 2 4 2 5 5 2" xfId="17224"/>
    <cellStyle name="输出 2 2 6 6 5 2" xfId="17225"/>
    <cellStyle name="汇总 2 4 9 6 3 2" xfId="17226"/>
    <cellStyle name="计算 2 10 2 7 4" xfId="17227"/>
    <cellStyle name="输出 2 10 17" xfId="17228"/>
    <cellStyle name="输出 2 10 22" xfId="17229"/>
    <cellStyle name="输出 2 2 6 6 6" xfId="17230"/>
    <cellStyle name="计算 2 4 2 5 6" xfId="17231"/>
    <cellStyle name="输出 2 3 2 3 2 2" xfId="17232"/>
    <cellStyle name="汇总 2 4 9 6 4" xfId="17233"/>
    <cellStyle name="计算 2 10 2 8 4" xfId="17234"/>
    <cellStyle name="汇总 2 4 9 6 4 2" xfId="17235"/>
    <cellStyle name="计算 2 11 7 7 4 2" xfId="17236"/>
    <cellStyle name="汇总 2 4 9 6 5" xfId="17237"/>
    <cellStyle name="计算 2 9 8 7 2" xfId="17238"/>
    <cellStyle name="输入 2 4 9 2 5" xfId="17239"/>
    <cellStyle name="汇总 2 4 9 6 5 2" xfId="17240"/>
    <cellStyle name="计算 2 9 8 7 2 2" xfId="17241"/>
    <cellStyle name="汇总 2 4 9 6 6" xfId="17242"/>
    <cellStyle name="计算 2 9 8 7 3" xfId="17243"/>
    <cellStyle name="计算 2 4 2 6 4 2" xfId="17244"/>
    <cellStyle name="汇总 2 7 11 7" xfId="17245"/>
    <cellStyle name="输出 2 2 6 7 4 2" xfId="17246"/>
    <cellStyle name="计算 2 3 4 9 2" xfId="17247"/>
    <cellStyle name="计算 2 10 3 6 4" xfId="17248"/>
    <cellStyle name="输入 2 2 4 5 5 2" xfId="17249"/>
    <cellStyle name="汇总 2 4 9 7 2 2" xfId="17250"/>
    <cellStyle name="计算 2 4 2 6 5" xfId="17251"/>
    <cellStyle name="注释 2 14 4 4 2" xfId="17252"/>
    <cellStyle name="输出 2 2 6 7 5" xfId="17253"/>
    <cellStyle name="输入 2 2 4 5 6" xfId="17254"/>
    <cellStyle name="汇总 2 4 9 7 3" xfId="17255"/>
    <cellStyle name="输出 2 3 2 10 2" xfId="17256"/>
    <cellStyle name="计算 2 4 2 6 5 2" xfId="17257"/>
    <cellStyle name="汇总 2 7 12 7" xfId="17258"/>
    <cellStyle name="输出 2 2 6 7 5 2" xfId="17259"/>
    <cellStyle name="计算 2 10 3 7 4" xfId="17260"/>
    <cellStyle name="汇总 2 4 9 7 3 2" xfId="17261"/>
    <cellStyle name="输出 2 2 6 7 6" xfId="17262"/>
    <cellStyle name="计算 2 4 2 6 6" xfId="17263"/>
    <cellStyle name="汇总 2 9 10 2 2 2" xfId="17264"/>
    <cellStyle name="输出 2 3 2 3 3 2" xfId="17265"/>
    <cellStyle name="汇总 2 4 9 7 4" xfId="17266"/>
    <cellStyle name="计算 2 10 3 8 4" xfId="17267"/>
    <cellStyle name="汇总 2 4 9 7 4 2" xfId="17268"/>
    <cellStyle name="计算 2 11 7 7 5 2" xfId="17269"/>
    <cellStyle name="汇总 2 4 9 7 5" xfId="17270"/>
    <cellStyle name="计算 2 9 8 8 2" xfId="17271"/>
    <cellStyle name="汇总 2 4 9 7 5 2" xfId="17272"/>
    <cellStyle name="计算 2 9 8 8 2 2" xfId="17273"/>
    <cellStyle name="汇总 2 4 9 7 6" xfId="17274"/>
    <cellStyle name="计算 2 9 8 8 3" xfId="17275"/>
    <cellStyle name="计算 2 4 2 7 4 2" xfId="17276"/>
    <cellStyle name="注释 2 9 10 5 6" xfId="17277"/>
    <cellStyle name="输出 2 10 6 2 3 2" xfId="17278"/>
    <cellStyle name="输出 2 2 6 8 4 2" xfId="17279"/>
    <cellStyle name="输入 2 2 4 6 5 2" xfId="17280"/>
    <cellStyle name="汇总 2 4 9 8 2 2" xfId="17281"/>
    <cellStyle name="计算 2 3 5 9 2" xfId="17282"/>
    <cellStyle name="计算 2 10 4 6 4" xfId="17283"/>
    <cellStyle name="计算 2 9 13 6" xfId="17284"/>
    <cellStyle name="计算 2 4 2 7 5 2" xfId="17285"/>
    <cellStyle name="注释 2 9 10 6 6" xfId="17286"/>
    <cellStyle name="输出 2 10 6 2 4 2" xfId="17287"/>
    <cellStyle name="汇总 2 4 9 8 3 2" xfId="17288"/>
    <cellStyle name="计算 2 10 4 7 4" xfId="17289"/>
    <cellStyle name="计算 2 9 14 6" xfId="17290"/>
    <cellStyle name="输出 2 10 6 2 5" xfId="17291"/>
    <cellStyle name="计算 2 4 2 7 6" xfId="17292"/>
    <cellStyle name="汇总 2 9 10 2 3 2" xfId="17293"/>
    <cellStyle name="输出 2 3 2 3 4 2" xfId="17294"/>
    <cellStyle name="汇总 2 4 9 8 4" xfId="17295"/>
    <cellStyle name="汇总 2 5 5 3 2 2" xfId="17296"/>
    <cellStyle name="汇总 2 4 9 8 4 2" xfId="17297"/>
    <cellStyle name="计算 2 10 4 8 4" xfId="17298"/>
    <cellStyle name="计算 2 9 15 6" xfId="17299"/>
    <cellStyle name="汇总 2 4 9 8 5" xfId="17300"/>
    <cellStyle name="计算 2 9 8 9 2" xfId="17301"/>
    <cellStyle name="汇总 2 5 10" xfId="17302"/>
    <cellStyle name="输出 2 5 4 7 3" xfId="17303"/>
    <cellStyle name="注释 2 7 10 2 4 2" xfId="17304"/>
    <cellStyle name="注释 2 5 9 5 3 2" xfId="17305"/>
    <cellStyle name="注释 2 2 8 3 3" xfId="17306"/>
    <cellStyle name="汇总 2 5 10 2 4" xfId="17307"/>
    <cellStyle name="计算 2 2 4 4 6" xfId="17308"/>
    <cellStyle name="注释 2 2 8 3 3 2" xfId="17309"/>
    <cellStyle name="汇总 2 5 10 2 4 2" xfId="17310"/>
    <cellStyle name="注释 2 2 8 3 6" xfId="17311"/>
    <cellStyle name="汇总 2 5 10 2 7" xfId="17312"/>
    <cellStyle name="汇总 2 5 3 5 2" xfId="17313"/>
    <cellStyle name="汇总 2 6 16 4 2" xfId="17314"/>
    <cellStyle name="汇总 2 5 10 2 8" xfId="17315"/>
    <cellStyle name="汇总 2 5 3 5 3" xfId="17316"/>
    <cellStyle name="检查单元格 2 5 8 2 4 2" xfId="17317"/>
    <cellStyle name="汇总 2 5 10 2 9" xfId="17318"/>
    <cellStyle name="汇总 2 5 3 5 4" xfId="17319"/>
    <cellStyle name="计算 2 2 5 4 6" xfId="17320"/>
    <cellStyle name="注释 2 2 8 4 3 2" xfId="17321"/>
    <cellStyle name="注释 2 10 5 9" xfId="17322"/>
    <cellStyle name="汇总 2 5 10 3 4 2" xfId="17323"/>
    <cellStyle name="检查单元格 2 4 2 4 2" xfId="17324"/>
    <cellStyle name="注释 2 2 8 4 5" xfId="17325"/>
    <cellStyle name="汇总 2 5 10 3 6" xfId="17326"/>
    <cellStyle name="检查单元格 2 4 2 6" xfId="17327"/>
    <cellStyle name="注释 2 2 8 5 5" xfId="17328"/>
    <cellStyle name="汇总 2 5 10 4 6" xfId="17329"/>
    <cellStyle name="检查单元格 2 4 3 6" xfId="17330"/>
    <cellStyle name="注释 2 3 15 4 2" xfId="17331"/>
    <cellStyle name="汇总 2 5 10 5" xfId="17332"/>
    <cellStyle name="计算 2 12 5 2 5 2" xfId="17333"/>
    <cellStyle name="计算 2 5 6 5 3 2" xfId="17334"/>
    <cellStyle name="检查单元格 2 4 4" xfId="17335"/>
    <cellStyle name="注释 2 2 8 6 5" xfId="17336"/>
    <cellStyle name="汇总 2 5 10 5 6" xfId="17337"/>
    <cellStyle name="检查单元格 2 4 4 6" xfId="17338"/>
    <cellStyle name="汇总 2 5 10 6" xfId="17339"/>
    <cellStyle name="汇总 2 8 2 5 3 2" xfId="17340"/>
    <cellStyle name="检查单元格 2 4 5" xfId="17341"/>
    <cellStyle name="注释 2 2 8 7 4" xfId="17342"/>
    <cellStyle name="汇总 2 5 10 6 5" xfId="17343"/>
    <cellStyle name="检查单元格 2 4 5 5" xfId="17344"/>
    <cellStyle name="注释 2 2 8 7 5" xfId="17345"/>
    <cellStyle name="汇总 2 5 10 6 6" xfId="17346"/>
    <cellStyle name="检查单元格 2 4 5 6" xfId="17347"/>
    <cellStyle name="汇总 2 5 10 7" xfId="17348"/>
    <cellStyle name="检查单元格 2 4 6" xfId="17349"/>
    <cellStyle name="注释 2 2 8 8 4" xfId="17350"/>
    <cellStyle name="汇总 2 5 10 7 5" xfId="17351"/>
    <cellStyle name="检查单元格 2 4 6 5" xfId="17352"/>
    <cellStyle name="注释 2 2 8 8 5" xfId="17353"/>
    <cellStyle name="汇总 2 5 10 7 6" xfId="17354"/>
    <cellStyle name="检查单元格 2 4 6 6" xfId="17355"/>
    <cellStyle name="汇总 2 8 7 2 2" xfId="17356"/>
    <cellStyle name="汇总 2 5 10 8 5" xfId="17357"/>
    <cellStyle name="检查单元格 2 4 7 5" xfId="17358"/>
    <cellStyle name="输出 2 6 4 2 4" xfId="17359"/>
    <cellStyle name="汇总 2 5 10 9" xfId="17360"/>
    <cellStyle name="汇总 2 6 8 4 3 2" xfId="17361"/>
    <cellStyle name="检查单元格 2 4 8" xfId="17362"/>
    <cellStyle name="输入 2 5 2 5 5" xfId="17363"/>
    <cellStyle name="汇总 2 7 7 7 2" xfId="17364"/>
    <cellStyle name="汇总 2 5 11" xfId="17365"/>
    <cellStyle name="输出 2 12 9 4 2 2" xfId="17366"/>
    <cellStyle name="输出 2 5 4 7 4" xfId="17367"/>
    <cellStyle name="汇总 2 5 11 15" xfId="17368"/>
    <cellStyle name="汇总 2 5 13 4" xfId="17369"/>
    <cellStyle name="检查单元格 2 5 10" xfId="17370"/>
    <cellStyle name="检查单元格 2 7 3" xfId="17371"/>
    <cellStyle name="计算 2 5 11 4 3 2" xfId="17372"/>
    <cellStyle name="检查单元格 2 7 3 5 2 2" xfId="17373"/>
    <cellStyle name="输出 2 5 10 9" xfId="17374"/>
    <cellStyle name="检查单元格 2 5 11" xfId="17375"/>
    <cellStyle name="检查单元格 2 7 4" xfId="17376"/>
    <cellStyle name="汇总 2 5 11 16" xfId="17377"/>
    <cellStyle name="汇总 2 5 13 5" xfId="17378"/>
    <cellStyle name="输出 2 4 2 3 2" xfId="17379"/>
    <cellStyle name="计算 2 3 4 2 6" xfId="17380"/>
    <cellStyle name="汇总 2 5 11 2 2 2" xfId="17381"/>
    <cellStyle name="计算 2 3 4 3 6" xfId="17382"/>
    <cellStyle name="输出 2 7 2 15" xfId="17383"/>
    <cellStyle name="注释 2 2 9 3 2 2" xfId="17384"/>
    <cellStyle name="汇总 2 5 11 2 3 2" xfId="17385"/>
    <cellStyle name="汇总 2 7 10 3 2" xfId="17386"/>
    <cellStyle name="注释 2 11 7 8 4" xfId="17387"/>
    <cellStyle name="检查单元格 2 9 6 4 5 2" xfId="17388"/>
    <cellStyle name="注释 2 7 10 3 4 2" xfId="17389"/>
    <cellStyle name="注释 2 5 9 6 3 2" xfId="17390"/>
    <cellStyle name="注释 2 2 9 3 3" xfId="17391"/>
    <cellStyle name="汇总 2 5 11 2 4" xfId="17392"/>
    <cellStyle name="汇总 2 7 10 3 2 2" xfId="17393"/>
    <cellStyle name="计算 2 3 4 4 6" xfId="17394"/>
    <cellStyle name="检查单元格 2 10 2 2 7" xfId="17395"/>
    <cellStyle name="注释 2 2 9 3 3 2" xfId="17396"/>
    <cellStyle name="汇总 2 5 11 2 4 2" xfId="17397"/>
    <cellStyle name="汇总 2 7 10 3 3 2" xfId="17398"/>
    <cellStyle name="注释 2 11 10 10" xfId="17399"/>
    <cellStyle name="计算 2 3 4 5 6" xfId="17400"/>
    <cellStyle name="计算 2 10 3 2 8" xfId="17401"/>
    <cellStyle name="注释 2 2 9 3 4 2" xfId="17402"/>
    <cellStyle name="汇总 2 7 3 11" xfId="17403"/>
    <cellStyle name="汇总 2 5 11 2 5 2" xfId="17404"/>
    <cellStyle name="计算 2 3 5 2 6" xfId="17405"/>
    <cellStyle name="汇总 2 5 11 3 2 2" xfId="17406"/>
    <cellStyle name="检查单元格 2 5 2 2 2" xfId="17407"/>
    <cellStyle name="计算 2 3 5 3 6" xfId="17408"/>
    <cellStyle name="计算 2 9 3 10" xfId="17409"/>
    <cellStyle name="注释 2 2 9 4 2 2" xfId="17410"/>
    <cellStyle name="汇总 2 5 11 3 3 2" xfId="17411"/>
    <cellStyle name="检查单元格 2 5 2 3 2" xfId="17412"/>
    <cellStyle name="注释 2 7 2 3 6" xfId="17413"/>
    <cellStyle name="计算 2 4 9 2 9" xfId="17414"/>
    <cellStyle name="汇总 2 7 10 4 2" xfId="17415"/>
    <cellStyle name="检查单元格 2 6 6 2 5" xfId="17416"/>
    <cellStyle name="注释 2 7 10 3 5 2" xfId="17417"/>
    <cellStyle name="注释 2 5 9 6 4 2" xfId="17418"/>
    <cellStyle name="注释 2 2 9 4 3" xfId="17419"/>
    <cellStyle name="汇总 2 5 11 3 4" xfId="17420"/>
    <cellStyle name="检查单元格 2 5 2 4" xfId="17421"/>
    <cellStyle name="汇总 2 7 10 4 2 2" xfId="17422"/>
    <cellStyle name="检查单元格 2 6 6 2 5 2" xfId="17423"/>
    <cellStyle name="计算 2 3 5 4 6" xfId="17424"/>
    <cellStyle name="检查单元格 2 10 3 2 7" xfId="17425"/>
    <cellStyle name="注释 2 2 9 4 3 2" xfId="17426"/>
    <cellStyle name="汇总 2 5 11 3 4 2" xfId="17427"/>
    <cellStyle name="检查单元格 2 5 2 4 2" xfId="17428"/>
    <cellStyle name="汇总 2 7 10 4 3 2" xfId="17429"/>
    <cellStyle name="检查单元格 2 4 5 10" xfId="17430"/>
    <cellStyle name="计算 2 3 5 5 6" xfId="17431"/>
    <cellStyle name="计算 2 10 4 2 8" xfId="17432"/>
    <cellStyle name="注释 2 2 9 4 4 2" xfId="17433"/>
    <cellStyle name="汇总 2 7 8 11" xfId="17434"/>
    <cellStyle name="汇总 2 5 11 3 5 2" xfId="17435"/>
    <cellStyle name="检查单元格 2 5 2 5 2" xfId="17436"/>
    <cellStyle name="输入 2 6 9 5 4 2" xfId="17437"/>
    <cellStyle name="汇总 2 7 10 4 4" xfId="17438"/>
    <cellStyle name="检查单元格 2 6 6 2 7" xfId="17439"/>
    <cellStyle name="注释 2 2 9 4 5" xfId="17440"/>
    <cellStyle name="汇总 2 5 11 3 6" xfId="17441"/>
    <cellStyle name="检查单元格 2 5 2 6" xfId="17442"/>
    <cellStyle name="计算 2 3 6 2 6" xfId="17443"/>
    <cellStyle name="汇总 2 5 11 4 2 2" xfId="17444"/>
    <cellStyle name="汇总 2 5 6 11 2" xfId="17445"/>
    <cellStyle name="检查单元格 2 5 3 2 2" xfId="17446"/>
    <cellStyle name="输入 2 6 9 5 5 2" xfId="17447"/>
    <cellStyle name="汇总 2 7 10 5 4" xfId="17448"/>
    <cellStyle name="检查单元格 2 5 3 6" xfId="17449"/>
    <cellStyle name="注释 2 2 9 5 5" xfId="17450"/>
    <cellStyle name="汇总 2 5 11 4 6" xfId="17451"/>
    <cellStyle name="汇总 2 5 6 15" xfId="17452"/>
    <cellStyle name="输出 2 12 4 12" xfId="17453"/>
    <cellStyle name="注释 2 3 15 5 2" xfId="17454"/>
    <cellStyle name="汇总 2 5 11 5" xfId="17455"/>
    <cellStyle name="计算 2 5 6 5 4 2" xfId="17456"/>
    <cellStyle name="检查单元格 2 5 4" xfId="17457"/>
    <cellStyle name="计算 2 3 7 2 6" xfId="17458"/>
    <cellStyle name="汇总 2 5 11 5 2 2" xfId="17459"/>
    <cellStyle name="检查单元格 2 5 4 2 2" xfId="17460"/>
    <cellStyle name="汇总 2 7 10 6 4" xfId="17461"/>
    <cellStyle name="注释 2 2 9 6 5" xfId="17462"/>
    <cellStyle name="汇总 2 5 11 5 6" xfId="17463"/>
    <cellStyle name="检查单元格 2 5 4 6" xfId="17464"/>
    <cellStyle name="汇总 2 5 11 6" xfId="17465"/>
    <cellStyle name="汇总 2 8 2 5 4 2" xfId="17466"/>
    <cellStyle name="检查单元格 2 5 5" xfId="17467"/>
    <cellStyle name="汇总 2 5 11 6 2" xfId="17468"/>
    <cellStyle name="检查单元格 2 5 5 2" xfId="17469"/>
    <cellStyle name="计算 2 3 8 2 6" xfId="17470"/>
    <cellStyle name="汇总 2 5 11 6 2 2" xfId="17471"/>
    <cellStyle name="检查单元格 2 5 5 2 2" xfId="17472"/>
    <cellStyle name="注释 2 2 9 7 2" xfId="17473"/>
    <cellStyle name="计算 2 12 7 5 5 2" xfId="17474"/>
    <cellStyle name="汇总 2 5 11 6 3" xfId="17475"/>
    <cellStyle name="计算 2 5 8 8 3 2" xfId="17476"/>
    <cellStyle name="检查单元格 2 5 5 3" xfId="17477"/>
    <cellStyle name="注释 2 7 2 6 6" xfId="17478"/>
    <cellStyle name="计算 2 3 4 8 2 2" xfId="17479"/>
    <cellStyle name="计算 2 10 3 5 4 2" xfId="17480"/>
    <cellStyle name="输出 2 7 3 11 2" xfId="17481"/>
    <cellStyle name="汇总 2 7 10 7 2" xfId="17482"/>
    <cellStyle name="检查单元格 2 6 6 5 5" xfId="17483"/>
    <cellStyle name="注释 2 2 9 7 3" xfId="17484"/>
    <cellStyle name="汇总 2 8 4 8 3 2" xfId="17485"/>
    <cellStyle name="汇总 2 5 11 6 4" xfId="17486"/>
    <cellStyle name="检查单元格 2 5 5 4" xfId="17487"/>
    <cellStyle name="汇总 2 7 10 7 3" xfId="17488"/>
    <cellStyle name="注释 2 2 9 7 4" xfId="17489"/>
    <cellStyle name="汇总 2 5 11 6 5" xfId="17490"/>
    <cellStyle name="检查单元格 2 5 5 5" xfId="17491"/>
    <cellStyle name="汇总 2 7 10 7 4" xfId="17492"/>
    <cellStyle name="注释 2 2 9 7 5" xfId="17493"/>
    <cellStyle name="汇总 2 5 11 6 6" xfId="17494"/>
    <cellStyle name="检查单元格 2 5 5 6" xfId="17495"/>
    <cellStyle name="汇总 2 5 11 7" xfId="17496"/>
    <cellStyle name="检查单元格 2 5 6" xfId="17497"/>
    <cellStyle name="汇总 2 5 11 7 2" xfId="17498"/>
    <cellStyle name="检查单元格 2 5 6 2" xfId="17499"/>
    <cellStyle name="注释 2 6 2 3 3" xfId="17500"/>
    <cellStyle name="计算 2 3 9 2 6" xfId="17501"/>
    <cellStyle name="计算 2 7 2 10 2" xfId="17502"/>
    <cellStyle name="汇总 2 5 11 7 2 2" xfId="17503"/>
    <cellStyle name="检查单元格 2 5 6 2 2" xfId="17504"/>
    <cellStyle name="注释 2 2 9 8 2" xfId="17505"/>
    <cellStyle name="汇总 2 5 11 7 3" xfId="17506"/>
    <cellStyle name="计算 2 5 8 8 4 2" xfId="17507"/>
    <cellStyle name="检查单元格 2 5 6 3" xfId="17508"/>
    <cellStyle name="注释 2 7 2 7 6" xfId="17509"/>
    <cellStyle name="计算 2 3 4 8 3 2" xfId="17510"/>
    <cellStyle name="计算 2 10 3 5 5 2" xfId="17511"/>
    <cellStyle name="输出 2 7 3 12 2" xfId="17512"/>
    <cellStyle name="输入 2 12 5 2 6" xfId="17513"/>
    <cellStyle name="汇总 2 7 10 8 2" xfId="17514"/>
    <cellStyle name="注释 2 2 9 8 3" xfId="17515"/>
    <cellStyle name="汇总 2 8 4 8 4 2" xfId="17516"/>
    <cellStyle name="汇总 2 5 11 7 4" xfId="17517"/>
    <cellStyle name="检查单元格 2 5 6 4" xfId="17518"/>
    <cellStyle name="输入 2 12 5 2 8" xfId="17519"/>
    <cellStyle name="汇总 2 7 10 8 4" xfId="17520"/>
    <cellStyle name="注释 2 2 9 8 5" xfId="17521"/>
    <cellStyle name="汇总 2 5 11 7 6" xfId="17522"/>
    <cellStyle name="检查单元格 2 5 6 6" xfId="17523"/>
    <cellStyle name="汇总 2 5 11 8 2" xfId="17524"/>
    <cellStyle name="检查单元格 2 5 7 2" xfId="17525"/>
    <cellStyle name="汇总 2 5 11 8 2 2" xfId="17526"/>
    <cellStyle name="检查单元格 2 5 7 2 2" xfId="17527"/>
    <cellStyle name="注释 2 2 9 9 2" xfId="17528"/>
    <cellStyle name="汇总 2 5 11 8 3" xfId="17529"/>
    <cellStyle name="检查单元格 2 5 7 3" xfId="17530"/>
    <cellStyle name="输出 2 6 5 2 2" xfId="17531"/>
    <cellStyle name="计算 2 3 4 8 4 2" xfId="17532"/>
    <cellStyle name="输入 2 12 5 3 6" xfId="17533"/>
    <cellStyle name="汇总 2 7 10 9 2" xfId="17534"/>
    <cellStyle name="汇总 2 5 11 8 4" xfId="17535"/>
    <cellStyle name="检查单元格 2 5 7 4" xfId="17536"/>
    <cellStyle name="输出 2 6 5 2 3" xfId="17537"/>
    <cellStyle name="汇总 2 5 11 9" xfId="17538"/>
    <cellStyle name="汇总 2 6 8 4 4 2" xfId="17539"/>
    <cellStyle name="检查单元格 2 5 8" xfId="17540"/>
    <cellStyle name="汇总 2 5 11 9 2" xfId="17541"/>
    <cellStyle name="汇总 2 5 7 11" xfId="17542"/>
    <cellStyle name="检查单元格 2 5 8 2" xfId="17543"/>
    <cellStyle name="计算 2 5 11 4 2 2" xfId="17544"/>
    <cellStyle name="计算 2 5 6 5 5 2" xfId="17545"/>
    <cellStyle name="检查单元格 2 6 4" xfId="17546"/>
    <cellStyle name="汇总 2 5 12 5" xfId="17547"/>
    <cellStyle name="输出 2 4 2 2 2" xfId="17548"/>
    <cellStyle name="检查单元格 2 6 6" xfId="17549"/>
    <cellStyle name="汇总 2 5 12 7" xfId="17550"/>
    <cellStyle name="输出 2 4 2 2 4" xfId="17551"/>
    <cellStyle name="汇总 2 6 5 2 2" xfId="17552"/>
    <cellStyle name="输入 2 9 6 2 2" xfId="17553"/>
    <cellStyle name="检查单元格 2 6 8" xfId="17554"/>
    <cellStyle name="汇总 2 5 12 9" xfId="17555"/>
    <cellStyle name="汇总 2 6 8 4 5 2" xfId="17556"/>
    <cellStyle name="输出 2 4 2 2 6" xfId="17557"/>
    <cellStyle name="输入 2 9 9 4 3 2" xfId="17558"/>
    <cellStyle name="汇总 2 6 5 2 4" xfId="17559"/>
    <cellStyle name="汇总 2 5 13 3 2" xfId="17560"/>
    <cellStyle name="检查单元格 2 7 2 2" xfId="17561"/>
    <cellStyle name="检查单元格 2 5 11 2" xfId="17562"/>
    <cellStyle name="检查单元格 2 7 4 2" xfId="17563"/>
    <cellStyle name="汇总 2 5 13 5 2" xfId="17564"/>
    <cellStyle name="输出 2 4 2 3 2 2" xfId="17565"/>
    <cellStyle name="汇总 2 5 14 2 2" xfId="17566"/>
    <cellStyle name="输入 2 10 2 5 3" xfId="17567"/>
    <cellStyle name="汇总 2 5 3 7 4 2" xfId="17568"/>
    <cellStyle name="检查单元格 2 4 3 9 2" xfId="17569"/>
    <cellStyle name="汇总 2 5 14 3" xfId="17570"/>
    <cellStyle name="检查单元格 2 8 2" xfId="17571"/>
    <cellStyle name="汇总 2 5 14 3 2" xfId="17572"/>
    <cellStyle name="检查单元格 2 8 2 2" xfId="17573"/>
    <cellStyle name="汇总 2 5 14 4" xfId="17574"/>
    <cellStyle name="检查单元格 2 8 3" xfId="17575"/>
    <cellStyle name="计算 2 5 11 4 4 2" xfId="17576"/>
    <cellStyle name="检查单元格 2 7 3 5 3 2" xfId="17577"/>
    <cellStyle name="输出 2 5 11 9" xfId="17578"/>
    <cellStyle name="检查单元格 2 8 4" xfId="17579"/>
    <cellStyle name="汇总 2 5 14 5" xfId="17580"/>
    <cellStyle name="输出 2 4 2 4 2" xfId="17581"/>
    <cellStyle name="检查单元格 2 8 4 2" xfId="17582"/>
    <cellStyle name="汇总 2 5 14 5 2" xfId="17583"/>
    <cellStyle name="输出 2 4 2 4 2 2" xfId="17584"/>
    <cellStyle name="输入 2 10 2 6 3" xfId="17585"/>
    <cellStyle name="汇总 2 5 3 7 5 2" xfId="17586"/>
    <cellStyle name="汇总 2 5 15 3" xfId="17587"/>
    <cellStyle name="检查单元格 2 9 2" xfId="17588"/>
    <cellStyle name="汇总 2 5 15 3 2" xfId="17589"/>
    <cellStyle name="检查单元格 2 9 2 2" xfId="17590"/>
    <cellStyle name="汇总 2 5 15 4" xfId="17591"/>
    <cellStyle name="检查单元格 2 9 3" xfId="17592"/>
    <cellStyle name="汇总 2 5 15 4 2" xfId="17593"/>
    <cellStyle name="检查单元格 2 9 3 2" xfId="17594"/>
    <cellStyle name="计算 2 5 11 4 5 2" xfId="17595"/>
    <cellStyle name="检查单元格 2 7 3 5 4 2" xfId="17596"/>
    <cellStyle name="输出 2 5 12 9" xfId="17597"/>
    <cellStyle name="检查单元格 2 9 4" xfId="17598"/>
    <cellStyle name="汇总 2 5 15 5" xfId="17599"/>
    <cellStyle name="输出 2 4 2 5 2" xfId="17600"/>
    <cellStyle name="注释 2 2 10 4 5 2" xfId="17601"/>
    <cellStyle name="汇总 2 5 16 2" xfId="17602"/>
    <cellStyle name="汇总 2 5 21 2" xfId="17603"/>
    <cellStyle name="计算 2 7 14 2 2" xfId="17604"/>
    <cellStyle name="汇总 2 5 16 2 2" xfId="17605"/>
    <cellStyle name="计算 2 12 8 6 2 2" xfId="17606"/>
    <cellStyle name="汇总 2 5 16 3" xfId="17607"/>
    <cellStyle name="汇总 2 5 16 3 2" xfId="17608"/>
    <cellStyle name="汇总 2 5 16 4" xfId="17609"/>
    <cellStyle name="汇总 2 5 16 5" xfId="17610"/>
    <cellStyle name="输出 2 4 2 6 2" xfId="17611"/>
    <cellStyle name="汇总 2 5 16 5 2" xfId="17612"/>
    <cellStyle name="输出 2 4 2 6 2 2" xfId="17613"/>
    <cellStyle name="汇总 2 5 16 6" xfId="17614"/>
    <cellStyle name="输出 2 4 2 6 3" xfId="17615"/>
    <cellStyle name="计算 2 10 9 12 2" xfId="17616"/>
    <cellStyle name="注释 2 2 10 4 6" xfId="17617"/>
    <cellStyle name="汇总 2 5 17" xfId="17618"/>
    <cellStyle name="汇总 2 5 22" xfId="17619"/>
    <cellStyle name="计算 2 7 14 3" xfId="17620"/>
    <cellStyle name="汇总 2 5 17 2" xfId="17621"/>
    <cellStyle name="汇总 2 5 22 2" xfId="17622"/>
    <cellStyle name="计算 2 7 14 3 2" xfId="17623"/>
    <cellStyle name="汇总 2 5 17 2 2" xfId="17624"/>
    <cellStyle name="计算 2 12 8 6 3 2" xfId="17625"/>
    <cellStyle name="汇总 2 5 17 3" xfId="17626"/>
    <cellStyle name="注释 2 7 8 3 4" xfId="17627"/>
    <cellStyle name="汇总 2 6 10 2 5" xfId="17628"/>
    <cellStyle name="检查单元格 2 7 7 3 4 2" xfId="17629"/>
    <cellStyle name="汇总 2 5 17 3 2" xfId="17630"/>
    <cellStyle name="汇总 2 5 17 4" xfId="17631"/>
    <cellStyle name="汇总 2 5 17 5" xfId="17632"/>
    <cellStyle name="输出 2 4 2 7 2" xfId="17633"/>
    <cellStyle name="注释 2 7 8 5 4" xfId="17634"/>
    <cellStyle name="汇总 2 6 10 4 5" xfId="17635"/>
    <cellStyle name="汇总 2 5 17 5 2" xfId="17636"/>
    <cellStyle name="输出 2 4 2 7 2 2" xfId="17637"/>
    <cellStyle name="汇总 2 5 17 6" xfId="17638"/>
    <cellStyle name="输出 2 4 2 7 3" xfId="17639"/>
    <cellStyle name="计算 2 5 11 5 2 2" xfId="17640"/>
    <cellStyle name="汇总 2 5 18" xfId="17641"/>
    <cellStyle name="汇总 2 5 23" xfId="17642"/>
    <cellStyle name="计算 2 7 14 4" xfId="17643"/>
    <cellStyle name="汇总 2 8 10 2 3" xfId="17644"/>
    <cellStyle name="汇总 2 5 18 2 2" xfId="17645"/>
    <cellStyle name="注释 2 7 9 3 4" xfId="17646"/>
    <cellStyle name="汇总 2 6 11 2 5" xfId="17647"/>
    <cellStyle name="检查单元格 2 7 7 4 4 2" xfId="17648"/>
    <cellStyle name="计算 2 11 25" xfId="17649"/>
    <cellStyle name="汇总 2 8 10 3 3" xfId="17650"/>
    <cellStyle name="汇总 2 5 18 3 2" xfId="17651"/>
    <cellStyle name="注释 2 7 9 4 4" xfId="17652"/>
    <cellStyle name="汇总 2 6 11 3 5" xfId="17653"/>
    <cellStyle name="检查单元格 2 7 7 4 5 2" xfId="17654"/>
    <cellStyle name="汇总 2 5 18 4 2" xfId="17655"/>
    <cellStyle name="汇总 2 8 10 4 3" xfId="17656"/>
    <cellStyle name="检查单元格 2 6 10 2" xfId="17657"/>
    <cellStyle name="检查单元格 2 6 11" xfId="17658"/>
    <cellStyle name="汇总 2 5 18 5" xfId="17659"/>
    <cellStyle name="输出 2 4 2 8 2" xfId="17660"/>
    <cellStyle name="注释 2 7 9 5 4" xfId="17661"/>
    <cellStyle name="汇总 2 6 11 4 5" xfId="17662"/>
    <cellStyle name="汇总 2 8 10 5 3" xfId="17663"/>
    <cellStyle name="检查单元格 2 6 11 2" xfId="17664"/>
    <cellStyle name="汇总 2 5 18 5 2" xfId="17665"/>
    <cellStyle name="输出 2 4 2 8 2 2" xfId="17666"/>
    <cellStyle name="检查单元格 2 6 12" xfId="17667"/>
    <cellStyle name="汇总 2 5 18 6" xfId="17668"/>
    <cellStyle name="输出 2 12 2 2 2" xfId="17669"/>
    <cellStyle name="输出 2 4 2 8 3" xfId="17670"/>
    <cellStyle name="汇总 2 5 19 2" xfId="17671"/>
    <cellStyle name="计算 2 7 14 5 2" xfId="17672"/>
    <cellStyle name="汇总 2 8 11 2 3" xfId="17673"/>
    <cellStyle name="汇总 2 5 19 2 2" xfId="17674"/>
    <cellStyle name="计算 2 12 8 6 5 2" xfId="17675"/>
    <cellStyle name="汇总 2 5 19 3" xfId="17676"/>
    <cellStyle name="汇总 2 5 19 4" xfId="17677"/>
    <cellStyle name="汇总 2 8 11 4 3" xfId="17678"/>
    <cellStyle name="汇总 2 5 19 4 2" xfId="17679"/>
    <cellStyle name="汇总 2 5 19 5" xfId="17680"/>
    <cellStyle name="输出 2 4 2 9 2" xfId="17681"/>
    <cellStyle name="汇总 2 5 2 13" xfId="17682"/>
    <cellStyle name="检查单元格 2 4 8 4" xfId="17683"/>
    <cellStyle name="输出 2 6 4 3 3" xfId="17684"/>
    <cellStyle name="汇总 2 5 2 2 2" xfId="17685"/>
    <cellStyle name="输出 2 6 12 5 2" xfId="17686"/>
    <cellStyle name="注释 2 11 3 5 3" xfId="17687"/>
    <cellStyle name="汇总 2 9 7 5" xfId="17688"/>
    <cellStyle name="汇总 2 5 2 2 2 2" xfId="17689"/>
    <cellStyle name="汇总 2 5 2 2 3" xfId="17690"/>
    <cellStyle name="注释 2 11 3 6 3" xfId="17691"/>
    <cellStyle name="汇总 2 9 8 5" xfId="17692"/>
    <cellStyle name="汇总 2 5 2 2 3 2" xfId="17693"/>
    <cellStyle name="汇总 2 5 2 2 4" xfId="17694"/>
    <cellStyle name="计算 2 11 11 10" xfId="17695"/>
    <cellStyle name="汇总 2 5 2 2 4 2" xfId="17696"/>
    <cellStyle name="注释 2 11 3 7 3" xfId="17697"/>
    <cellStyle name="输入 2 8 3 2 2 2" xfId="17698"/>
    <cellStyle name="汇总 2 9 9 5" xfId="17699"/>
    <cellStyle name="输出 2 12 14" xfId="17700"/>
    <cellStyle name="汇总 2 5 2 3" xfId="17701"/>
    <cellStyle name="输出 2 6 12 6" xfId="17702"/>
    <cellStyle name="输入 2 3 11 16" xfId="17703"/>
    <cellStyle name="汇总 2 6 15 2" xfId="17704"/>
    <cellStyle name="汇总 2 6 20 2" xfId="17705"/>
    <cellStyle name="注释 2 6 5 14" xfId="17706"/>
    <cellStyle name="汇总 2 5 2 3 2" xfId="17707"/>
    <cellStyle name="汇总 2 6 15 2 2" xfId="17708"/>
    <cellStyle name="汇总 2 5 2 3 2 2" xfId="17709"/>
    <cellStyle name="注释 2 6 5 15" xfId="17710"/>
    <cellStyle name="汇总 2 5 2 3 3" xfId="17711"/>
    <cellStyle name="汇总 2 5 2 3 3 2" xfId="17712"/>
    <cellStyle name="注释 2 6 5 16" xfId="17713"/>
    <cellStyle name="汇总 2 5 2 3 4" xfId="17714"/>
    <cellStyle name="汇总 2 5 2 3 4 2" xfId="17715"/>
    <cellStyle name="汇总 2 5 2 4" xfId="17716"/>
    <cellStyle name="输出 2 6 12 7" xfId="17717"/>
    <cellStyle name="汇总 2 6 15 3" xfId="17718"/>
    <cellStyle name="检查单元格 2 5 4 3 2 2" xfId="17719"/>
    <cellStyle name="注释 2 2 7 2 6" xfId="17720"/>
    <cellStyle name="汇总 2 5 2 4 2" xfId="17721"/>
    <cellStyle name="输入 2 11 8 14" xfId="17722"/>
    <cellStyle name="汇总 2 6 15 3 2" xfId="17723"/>
    <cellStyle name="输入 2 3 3 16" xfId="17724"/>
    <cellStyle name="汇总 2 5 2 4 2 2" xfId="17725"/>
    <cellStyle name="注释 2 2 7 2 7" xfId="17726"/>
    <cellStyle name="汇总 2 5 2 4 3" xfId="17727"/>
    <cellStyle name="汇总 2 5 2 4 3 2" xfId="17728"/>
    <cellStyle name="注释 2 2 7 2 8" xfId="17729"/>
    <cellStyle name="汇总 2 5 2 4 4" xfId="17730"/>
    <cellStyle name="汇总 2 5 2 4 4 2" xfId="17731"/>
    <cellStyle name="输出 2 9 6 5 3 2" xfId="17732"/>
    <cellStyle name="汇总 2 5 2 5" xfId="17733"/>
    <cellStyle name="输入 2 4 5 3 2" xfId="17734"/>
    <cellStyle name="输出 2 6 12 8" xfId="17735"/>
    <cellStyle name="输入 2 9 4 3 4 2" xfId="17736"/>
    <cellStyle name="汇总 2 6 15 4" xfId="17737"/>
    <cellStyle name="注释 2 2 7 3 6" xfId="17738"/>
    <cellStyle name="汇总 2 5 2 5 2" xfId="17739"/>
    <cellStyle name="汇总 2 6 15 4 2" xfId="17740"/>
    <cellStyle name="输入 2 3 8 16" xfId="17741"/>
    <cellStyle name="汇总 2 5 2 5 2 2" xfId="17742"/>
    <cellStyle name="汇总 2 5 2 5 3" xfId="17743"/>
    <cellStyle name="汇总 2 5 2 5 3 2" xfId="17744"/>
    <cellStyle name="汇总 2 5 2 5 4" xfId="17745"/>
    <cellStyle name="汇总 2 5 2 5 4 2" xfId="17746"/>
    <cellStyle name="汇总 2 5 2 6" xfId="17747"/>
    <cellStyle name="输入 2 4 5 3 3" xfId="17748"/>
    <cellStyle name="输出 2 6 12 9" xfId="17749"/>
    <cellStyle name="计算 2 6 3 4 2" xfId="17750"/>
    <cellStyle name="汇总 2 6 15 5" xfId="17751"/>
    <cellStyle name="输出 2 4 7 5 2" xfId="17752"/>
    <cellStyle name="汇总 2 5 5 12" xfId="17753"/>
    <cellStyle name="汇总 2 5 2 6 2 2" xfId="17754"/>
    <cellStyle name="注释 2 9 19 2" xfId="17755"/>
    <cellStyle name="检查单元格 2 3 2 7 2" xfId="17756"/>
    <cellStyle name="汇总 2 5 2 6 3" xfId="17757"/>
    <cellStyle name="注释 2 9 25" xfId="17758"/>
    <cellStyle name="注释 2 10 9 8 4 2" xfId="17759"/>
    <cellStyle name="检查单元格 2 3 2 8" xfId="17760"/>
    <cellStyle name="汇总 2 5 2 6 4" xfId="17761"/>
    <cellStyle name="注释 2 9 26" xfId="17762"/>
    <cellStyle name="检查单元格 2 3 2 9" xfId="17763"/>
    <cellStyle name="汇总 2 5 2 6 4 2" xfId="17764"/>
    <cellStyle name="检查单元格 2 3 2 9 2" xfId="17765"/>
    <cellStyle name="注释 2 2 10 10 2" xfId="17766"/>
    <cellStyle name="汇总 2 5 2 7" xfId="17767"/>
    <cellStyle name="注释 2 4 6 3 3 2" xfId="17768"/>
    <cellStyle name="输入 2 4 5 3 4" xfId="17769"/>
    <cellStyle name="计算 2 11 11 6 4 2" xfId="17770"/>
    <cellStyle name="输出 2 6 4 10" xfId="17771"/>
    <cellStyle name="计算 2 6 3 4 3" xfId="17772"/>
    <cellStyle name="汇总 2 6 15 6" xfId="17773"/>
    <cellStyle name="输出 2 4 7 5 3" xfId="17774"/>
    <cellStyle name="注释 2 2 7 5 6" xfId="17775"/>
    <cellStyle name="汇总 2 5 2 7 2" xfId="17776"/>
    <cellStyle name="输入 2 4 5 3 4 2" xfId="17777"/>
    <cellStyle name="检查单元格 2 3 3 7" xfId="17778"/>
    <cellStyle name="输出 2 6 4 10 2" xfId="17779"/>
    <cellStyle name="汇总 2 5 2 7 2 2" xfId="17780"/>
    <cellStyle name="检查单元格 2 3 3 7 2" xfId="17781"/>
    <cellStyle name="汇总 2 5 2 7 3" xfId="17782"/>
    <cellStyle name="输入 2 4 16 2 2" xfId="17783"/>
    <cellStyle name="检查单元格 2 3 3 8" xfId="17784"/>
    <cellStyle name="汇总 2 5 2 7 4" xfId="17785"/>
    <cellStyle name="检查单元格 2 3 3 9" xfId="17786"/>
    <cellStyle name="汇总 2 5 2 7 4 2" xfId="17787"/>
    <cellStyle name="检查单元格 2 3 3 9 2" xfId="17788"/>
    <cellStyle name="输入 2 8 3 7 4" xfId="17789"/>
    <cellStyle name="汇总 2 7 5 3 3 2" xfId="17790"/>
    <cellStyle name="汇总 2 5 2 7 6" xfId="17791"/>
    <cellStyle name="输出 2 16 5 3 2" xfId="17792"/>
    <cellStyle name="输出 2 5 2 3 5 2" xfId="17793"/>
    <cellStyle name="汇总 2 5 2 8" xfId="17794"/>
    <cellStyle name="计算 2 9 8 3 3 2" xfId="17795"/>
    <cellStyle name="输入 2 4 5 3 5" xfId="17796"/>
    <cellStyle name="输出 2 6 4 11" xfId="17797"/>
    <cellStyle name="注释 2 6 6 14" xfId="17798"/>
    <cellStyle name="注释 2 2 7 6 6" xfId="17799"/>
    <cellStyle name="汇总 2 5 2 8 2" xfId="17800"/>
    <cellStyle name="输入 2 4 5 3 5 2" xfId="17801"/>
    <cellStyle name="检查单元格 2 3 4 7" xfId="17802"/>
    <cellStyle name="输出 2 6 4 11 2" xfId="17803"/>
    <cellStyle name="汇总 2 5 2 8 2 2" xfId="17804"/>
    <cellStyle name="检查单元格 2 3 4 7 2" xfId="17805"/>
    <cellStyle name="注释 2 6 6 15" xfId="17806"/>
    <cellStyle name="汇总 2 5 2 8 3" xfId="17807"/>
    <cellStyle name="输入 2 4 16 3 2" xfId="17808"/>
    <cellStyle name="检查单元格 2 3 4 8" xfId="17809"/>
    <cellStyle name="汇总 2 5 2 8 3 2" xfId="17810"/>
    <cellStyle name="检查单元格 2 3 4 8 2" xfId="17811"/>
    <cellStyle name="注释 2 6 6 16" xfId="17812"/>
    <cellStyle name="汇总 2 5 2 8 4" xfId="17813"/>
    <cellStyle name="检查单元格 2 3 4 9" xfId="17814"/>
    <cellStyle name="汇总 2 5 2 8 4 2" xfId="17815"/>
    <cellStyle name="检查单元格 2 3 4 9 2" xfId="17816"/>
    <cellStyle name="注释 2 2 7 7 6" xfId="17817"/>
    <cellStyle name="汇总 2 5 2 9 2" xfId="17818"/>
    <cellStyle name="检查单元格 2 3 5 7" xfId="17819"/>
    <cellStyle name="输出 2 6 4 12 2" xfId="17820"/>
    <cellStyle name="汇总 2 6 6 2 2" xfId="17821"/>
    <cellStyle name="汇总 2 5 25" xfId="17822"/>
    <cellStyle name="计算 2 7 14 6" xfId="17823"/>
    <cellStyle name="汇总 2 5 27" xfId="17824"/>
    <cellStyle name="输入 2 9 9 5 3 2" xfId="17825"/>
    <cellStyle name="汇总 2 6 6 2 4" xfId="17826"/>
    <cellStyle name="汇总 2 6 8 5 5 2" xfId="17827"/>
    <cellStyle name="输出 2 4 3 2 6" xfId="17828"/>
    <cellStyle name="计算 2 4 10 8 4 2" xfId="17829"/>
    <cellStyle name="注释 2 10 7 7 4 2" xfId="17830"/>
    <cellStyle name="汇总 2 5 3 10" xfId="17831"/>
    <cellStyle name="汇总 2 5 3 10 2" xfId="17832"/>
    <cellStyle name="计算 2 10 10 5 3 2" xfId="17833"/>
    <cellStyle name="汇总 2 5 3 11" xfId="17834"/>
    <cellStyle name="计算 2 10 3 15" xfId="17835"/>
    <cellStyle name="汇总 2 5 3 11 2" xfId="17836"/>
    <cellStyle name="输入 2 6 2 6 3" xfId="17837"/>
    <cellStyle name="计算 2 4 7 2 2 2" xfId="17838"/>
    <cellStyle name="汇总 2 5 3 12" xfId="17839"/>
    <cellStyle name="计算 2 9 11 8 4 2" xfId="17840"/>
    <cellStyle name="输出 2 6 4 8 2" xfId="17841"/>
    <cellStyle name="汇总 2 5 3 12 2" xfId="17842"/>
    <cellStyle name="输出 2 6 4 8 2 2" xfId="17843"/>
    <cellStyle name="计算 2 10 10 2 2" xfId="17844"/>
    <cellStyle name="输入 2 6 2 6 4" xfId="17845"/>
    <cellStyle name="汇总 2 7 3 2 2 2" xfId="17846"/>
    <cellStyle name="汇总 2 5 3 13" xfId="17847"/>
    <cellStyle name="输出 2 14 4 2 2" xfId="17848"/>
    <cellStyle name="输出 2 6 4 8 3" xfId="17849"/>
    <cellStyle name="计算 2 10 10 2 3" xfId="17850"/>
    <cellStyle name="输入 2 6 2 6 5" xfId="17851"/>
    <cellStyle name="汇总 2 8 7 8 2" xfId="17852"/>
    <cellStyle name="汇总 2 5 3 14" xfId="17853"/>
    <cellStyle name="输出 2 4 10 4 3 2" xfId="17854"/>
    <cellStyle name="输出 2 6 4 8 4" xfId="17855"/>
    <cellStyle name="汇总 2 5 3 2 2" xfId="17856"/>
    <cellStyle name="输出 2 6 13 5 2" xfId="17857"/>
    <cellStyle name="汇总 2 5 3 2 3" xfId="17858"/>
    <cellStyle name="输入 2 9 8 2 3 2" xfId="17859"/>
    <cellStyle name="汇总 2 5 3 2 4" xfId="17860"/>
    <cellStyle name="汇总 2 6 7 2 5 2" xfId="17861"/>
    <cellStyle name="输出 2 8 6 4 3" xfId="17862"/>
    <cellStyle name="汇总 2 5 3 2 6" xfId="17863"/>
    <cellStyle name="输出 2 8 6 4 4" xfId="17864"/>
    <cellStyle name="汇总 2 5 3 2 7" xfId="17865"/>
    <cellStyle name="输入 2 8 4 2 7" xfId="17866"/>
    <cellStyle name="计算 2 3 15 2 2" xfId="17867"/>
    <cellStyle name="输出 2 8 6 4 6" xfId="17868"/>
    <cellStyle name="汇总 2 5 3 2 9" xfId="17869"/>
    <cellStyle name="汇总 2 5 3 3" xfId="17870"/>
    <cellStyle name="输出 2 6 13 6" xfId="17871"/>
    <cellStyle name="汇总 2 6 16 2" xfId="17872"/>
    <cellStyle name="汇总 2 6 21 2" xfId="17873"/>
    <cellStyle name="计算 2 7 19 2 2" xfId="17874"/>
    <cellStyle name="汇总 2 5 3 3 2" xfId="17875"/>
    <cellStyle name="汇总 2 6 16 2 2" xfId="17876"/>
    <cellStyle name="汇总 2 5 3 3 3" xfId="17877"/>
    <cellStyle name="检查单元格 2 5 8 2 2 2" xfId="17878"/>
    <cellStyle name="汇总 2 5 3 3 3 2" xfId="17879"/>
    <cellStyle name="输入 2 9 8 2 4 2" xfId="17880"/>
    <cellStyle name="汇总 2 5 3 3 4" xfId="17881"/>
    <cellStyle name="注释 2 3 10 9" xfId="17882"/>
    <cellStyle name="汇总 2 5 3 3 4 2" xfId="17883"/>
    <cellStyle name="注释 2 3 11 9" xfId="17884"/>
    <cellStyle name="输出 2 8 6 5 2 2" xfId="17885"/>
    <cellStyle name="汇总 2 5 3 3 5 2" xfId="17886"/>
    <cellStyle name="输出 2 8 6 5 3" xfId="17887"/>
    <cellStyle name="汇总 2 5 3 3 6" xfId="17888"/>
    <cellStyle name="汇总 2 6 16 3" xfId="17889"/>
    <cellStyle name="计算 2 13 2 2 2" xfId="17890"/>
    <cellStyle name="检查单元格 2 5 4 3 3 2" xfId="17891"/>
    <cellStyle name="汇总 2 5 3 4" xfId="17892"/>
    <cellStyle name="注释 2 2 8 2 6" xfId="17893"/>
    <cellStyle name="汇总 2 5 3 4 2" xfId="17894"/>
    <cellStyle name="汇总 2 6 16 3 2" xfId="17895"/>
    <cellStyle name="计算 2 2 3 7 6" xfId="17896"/>
    <cellStyle name="输入 2 8 3 16" xfId="17897"/>
    <cellStyle name="汇总 2 5 3 4 2 2" xfId="17898"/>
    <cellStyle name="注释 2 2 8 2 7" xfId="17899"/>
    <cellStyle name="汇总 2 5 3 4 3" xfId="17900"/>
    <cellStyle name="检查单元格 2 5 8 2 3 2" xfId="17901"/>
    <cellStyle name="汇总 2 5 3 4 3 2" xfId="17902"/>
    <cellStyle name="注释 2 2 8 2 8" xfId="17903"/>
    <cellStyle name="输入 2 9 8 2 5 2" xfId="17904"/>
    <cellStyle name="汇总 2 5 3 4 4" xfId="17905"/>
    <cellStyle name="汇总 2 5 3 4 4 2" xfId="17906"/>
    <cellStyle name="注释 2 2 8 2 9" xfId="17907"/>
    <cellStyle name="输出 2 8 6 6 2" xfId="17908"/>
    <cellStyle name="汇总 2 5 3 4 5" xfId="17909"/>
    <cellStyle name="输出 2 8 6 6 2 2" xfId="17910"/>
    <cellStyle name="汇总 2 5 3 4 5 2" xfId="17911"/>
    <cellStyle name="输出 2 8 6 6 3" xfId="17912"/>
    <cellStyle name="汇总 2 5 3 4 6" xfId="17913"/>
    <cellStyle name="输出 2 5 2 4 2 2" xfId="17914"/>
    <cellStyle name="输出 2 9 6 5 4 2" xfId="17915"/>
    <cellStyle name="汇总 2 5 3 5" xfId="17916"/>
    <cellStyle name="输入 2 9 4 3 5 2" xfId="17917"/>
    <cellStyle name="汇总 2 6 16 4" xfId="17918"/>
    <cellStyle name="计算 2 2 4 7 6" xfId="17919"/>
    <cellStyle name="输入 2 8 8 16" xfId="17920"/>
    <cellStyle name="汇总 2 5 3 5 2 2" xfId="17921"/>
    <cellStyle name="汇总 2 5 3 5 3 2" xfId="17922"/>
    <cellStyle name="汇总 2 5 3 5 4 2" xfId="17923"/>
    <cellStyle name="输出 2 8 6 7 2" xfId="17924"/>
    <cellStyle name="汇总 2 5 3 5 5" xfId="17925"/>
    <cellStyle name="输出 2 8 6 7 3" xfId="17926"/>
    <cellStyle name="汇总 2 5 3 5 6" xfId="17927"/>
    <cellStyle name="输出 2 5 2 4 3 2" xfId="17928"/>
    <cellStyle name="输入 2 4 5 4 3" xfId="17929"/>
    <cellStyle name="计算 2 11 4 2 2 2" xfId="17930"/>
    <cellStyle name="汇总 2 5 3 6" xfId="17931"/>
    <cellStyle name="计算 2 6 3 5 2" xfId="17932"/>
    <cellStyle name="汇总 2 6 16 5" xfId="17933"/>
    <cellStyle name="输出 2 4 7 6 2" xfId="17934"/>
    <cellStyle name="汇总 2 5 3 6 3" xfId="17935"/>
    <cellStyle name="检查单元格 2 4 2 8" xfId="17936"/>
    <cellStyle name="检查单元格 2 5 8 2 5 2" xfId="17937"/>
    <cellStyle name="计算 2 4 4 10" xfId="17938"/>
    <cellStyle name="注释 2 12 7 6 3" xfId="17939"/>
    <cellStyle name="输出 2 2 8 15" xfId="17940"/>
    <cellStyle name="注释 2 10 9 9" xfId="17941"/>
    <cellStyle name="汇总 2 5 3 6 3 2" xfId="17942"/>
    <cellStyle name="检查单元格 2 4 2 8 2" xfId="17943"/>
    <cellStyle name="汇总 2 5 3 6 4" xfId="17944"/>
    <cellStyle name="检查单元格 2 4 2 9" xfId="17945"/>
    <cellStyle name="汇总 2 5 3 6 4 2" xfId="17946"/>
    <cellStyle name="检查单元格 2 4 2 9 2" xfId="17947"/>
    <cellStyle name="输入 2 8 4 6 4" xfId="17948"/>
    <cellStyle name="汇总 2 7 5 4 2 2" xfId="17949"/>
    <cellStyle name="输出 2 8 6 8 3" xfId="17950"/>
    <cellStyle name="汇总 2 5 3 6 6" xfId="17951"/>
    <cellStyle name="输出 2 16 6 2 2" xfId="17952"/>
    <cellStyle name="输出 2 5 2 4 4 2" xfId="17953"/>
    <cellStyle name="输出 2 6 11 10" xfId="17954"/>
    <cellStyle name="注释 2 4 6 3 4 2" xfId="17955"/>
    <cellStyle name="输入 2 4 5 4 4" xfId="17956"/>
    <cellStyle name="计算 2 11 11 6 5 2" xfId="17957"/>
    <cellStyle name="注释 2 2 10 11 2" xfId="17958"/>
    <cellStyle name="汇总 2 5 3 7" xfId="17959"/>
    <cellStyle name="计算 2 6 3 5 3" xfId="17960"/>
    <cellStyle name="汇总 2 6 16 6" xfId="17961"/>
    <cellStyle name="输出 2 4 7 6 3" xfId="17962"/>
    <cellStyle name="注释 2 2 8 5 6" xfId="17963"/>
    <cellStyle name="汇总 2 5 3 7 2" xfId="17964"/>
    <cellStyle name="输入 2 4 5 4 4 2" xfId="17965"/>
    <cellStyle name="检查单元格 2 4 3 7" xfId="17966"/>
    <cellStyle name="汇总 2 5 3 7 3" xfId="17967"/>
    <cellStyle name="输入 2 4 17 2 2" xfId="17968"/>
    <cellStyle name="检查单元格 2 4 3 8" xfId="17969"/>
    <cellStyle name="汇总 2 5 3 7 4" xfId="17970"/>
    <cellStyle name="检查单元格 2 4 3 9" xfId="17971"/>
    <cellStyle name="输入 2 8 4 7 4" xfId="17972"/>
    <cellStyle name="汇总 2 7 5 4 3 2" xfId="17973"/>
    <cellStyle name="汇总 2 5 3 7 6" xfId="17974"/>
    <cellStyle name="输出 2 16 6 3 2" xfId="17975"/>
    <cellStyle name="输出 2 5 2 4 5 2" xfId="17976"/>
    <cellStyle name="汇总 2 5 3 8" xfId="17977"/>
    <cellStyle name="计算 2 9 8 3 4 2" xfId="17978"/>
    <cellStyle name="注释 2 2 8 6 6" xfId="17979"/>
    <cellStyle name="汇总 2 5 3 8 2" xfId="17980"/>
    <cellStyle name="输入 2 4 5 4 5 2" xfId="17981"/>
    <cellStyle name="检查单元格 2 4 4 7" xfId="17982"/>
    <cellStyle name="汇总 2 5 3 8 3" xfId="17983"/>
    <cellStyle name="输入 2 4 17 3 2" xfId="17984"/>
    <cellStyle name="检查单元格 2 4 4 8" xfId="17985"/>
    <cellStyle name="汇总 2 5 3 8 4" xfId="17986"/>
    <cellStyle name="检查单元格 2 4 4 9" xfId="17987"/>
    <cellStyle name="注释 2 4 10 9" xfId="17988"/>
    <cellStyle name="输入 2 10 3 5 3" xfId="17989"/>
    <cellStyle name="汇总 2 5 3 8 4 2" xfId="17990"/>
    <cellStyle name="检查单元格 2 4 4 9 2" xfId="17991"/>
    <cellStyle name="汇总 2 5 3 9" xfId="17992"/>
    <cellStyle name="注释 2 2 8 7 6" xfId="17993"/>
    <cellStyle name="汇总 2 5 3 9 2" xfId="17994"/>
    <cellStyle name="检查单元格 2 4 5 7" xfId="17995"/>
    <cellStyle name="汇总 2 5 4 11" xfId="17996"/>
    <cellStyle name="输出 2 4 2 2 8" xfId="17997"/>
    <cellStyle name="输出 2 9 8 4 3" xfId="17998"/>
    <cellStyle name="汇总 2 6 5 2 6" xfId="17999"/>
    <cellStyle name="输出 2 9 8 4 6" xfId="18000"/>
    <cellStyle name="计算 2 10 10 7 3" xfId="18001"/>
    <cellStyle name="汇总 2 6 5 2 9" xfId="18002"/>
    <cellStyle name="输入 2 9 6 2 7" xfId="18003"/>
    <cellStyle name="汇总 2 8 11 2 4 2" xfId="18004"/>
    <cellStyle name="汇总 2 5 4 14" xfId="18005"/>
    <cellStyle name="输出 2 12 2 11" xfId="18006"/>
    <cellStyle name="注释 2 5 6 2 4 2" xfId="18007"/>
    <cellStyle name="计算 2 10 10 7 4" xfId="18008"/>
    <cellStyle name="汇总 2 5 4 15" xfId="18009"/>
    <cellStyle name="输出 2 12 2 12" xfId="18010"/>
    <cellStyle name="计算 2 10 10 7 5" xfId="18011"/>
    <cellStyle name="汇总 2 5 4 16" xfId="18012"/>
    <cellStyle name="输出 2 12 2 13" xfId="18013"/>
    <cellStyle name="汇总 2 5 4 2 2" xfId="18014"/>
    <cellStyle name="汇总 2 5 5 16" xfId="18015"/>
    <cellStyle name="输出 2 12 3 13" xfId="18016"/>
    <cellStyle name="输出 2 6 14 5 2" xfId="18017"/>
    <cellStyle name="汇总 2 5 4 2 3 2" xfId="18018"/>
    <cellStyle name="输入 2 9 8 3 3 2" xfId="18019"/>
    <cellStyle name="汇总 2 5 4 2 4" xfId="18020"/>
    <cellStyle name="输出 2 12 3 15" xfId="18021"/>
    <cellStyle name="汇总 2 6 7 3 5 2" xfId="18022"/>
    <cellStyle name="汇总 2 5 4 2 4 2" xfId="18023"/>
    <cellStyle name="输出 2 8 7 4 2 2" xfId="18024"/>
    <cellStyle name="汇总 2 5 4 2 5 2" xfId="18025"/>
    <cellStyle name="输出 2 4 9 2 8" xfId="18026"/>
    <cellStyle name="输出 2 8 7 4 3" xfId="18027"/>
    <cellStyle name="汇总 2 5 4 2 6" xfId="18028"/>
    <cellStyle name="输出 2 8 7 4 4" xfId="18029"/>
    <cellStyle name="汇总 2 5 4 2 7" xfId="18030"/>
    <cellStyle name="汇总 2 5 4 3" xfId="18031"/>
    <cellStyle name="输出 2 6 14 6" xfId="18032"/>
    <cellStyle name="汇总 2 6 17 2" xfId="18033"/>
    <cellStyle name="汇总 2 6 22 2" xfId="18034"/>
    <cellStyle name="计算 2 7 19 3 2" xfId="18035"/>
    <cellStyle name="输入 2 7 11 16" xfId="18036"/>
    <cellStyle name="汇总 2 5 4 3 2" xfId="18037"/>
    <cellStyle name="汇总 2 6 17 2 2" xfId="18038"/>
    <cellStyle name="汇总 2 5 4 3 3" xfId="18039"/>
    <cellStyle name="检查单元格 2 5 8 3 2 2" xfId="18040"/>
    <cellStyle name="汇总 2 5 4 3 3 2" xfId="18041"/>
    <cellStyle name="输入 2 9 8 3 4 2" xfId="18042"/>
    <cellStyle name="汇总 2 5 4 3 4" xfId="18043"/>
    <cellStyle name="注释 2 8 10 9" xfId="18044"/>
    <cellStyle name="汇总 2 5 4 3 4 2" xfId="18045"/>
    <cellStyle name="注释 2 8 11 9" xfId="18046"/>
    <cellStyle name="输出 2 8 7 5 2 2" xfId="18047"/>
    <cellStyle name="汇总 2 5 4 3 5 2" xfId="18048"/>
    <cellStyle name="输出 2 8 7 5 3" xfId="18049"/>
    <cellStyle name="汇总 2 5 4 3 6" xfId="18050"/>
    <cellStyle name="汇总 2 6 17 3" xfId="18051"/>
    <cellStyle name="计算 2 13 2 3 2" xfId="18052"/>
    <cellStyle name="检查单元格 2 5 4 3 4 2" xfId="18053"/>
    <cellStyle name="汇总 2 5 4 4" xfId="18054"/>
    <cellStyle name="汇总 2 7 10 2 5" xfId="18055"/>
    <cellStyle name="注释 2 2 9 2 6" xfId="18056"/>
    <cellStyle name="汇总 2 5 4 4 2" xfId="18057"/>
    <cellStyle name="汇总 2 6 17 3 2" xfId="18058"/>
    <cellStyle name="汇总 2 7 10 2 5 2" xfId="18059"/>
    <cellStyle name="输入 2 6 4 12 2" xfId="18060"/>
    <cellStyle name="计算 2 3 3 7 6" xfId="18061"/>
    <cellStyle name="汇总 2 5 4 4 2 2" xfId="18062"/>
    <cellStyle name="汇总 2 7 10 2 6" xfId="18063"/>
    <cellStyle name="注释 2 2 9 2 7" xfId="18064"/>
    <cellStyle name="汇总 2 5 4 4 3" xfId="18065"/>
    <cellStyle name="检查单元格 2 5 8 3 3 2" xfId="18066"/>
    <cellStyle name="汇总 2 5 4 4 3 2" xfId="18067"/>
    <cellStyle name="汇总 2 8 16 4 2" xfId="18068"/>
    <cellStyle name="检查单元格 2 3 4 3 2 2" xfId="18069"/>
    <cellStyle name="注释 2 4 7 2" xfId="18070"/>
    <cellStyle name="汇总 2 7 10 2 7" xfId="18071"/>
    <cellStyle name="注释 2 2 9 2 8" xfId="18072"/>
    <cellStyle name="输入 2 9 8 3 5 2" xfId="18073"/>
    <cellStyle name="计算 2 2 10 2 2" xfId="18074"/>
    <cellStyle name="汇总 2 5 4 4 4" xfId="18075"/>
    <cellStyle name="计算 2 2 10 2 2 2" xfId="18076"/>
    <cellStyle name="汇总 2 5 4 4 4 2" xfId="18077"/>
    <cellStyle name="注释 2 4 7 3" xfId="18078"/>
    <cellStyle name="汇总 2 7 10 2 8" xfId="18079"/>
    <cellStyle name="计算 2 9 2 4 3 2" xfId="18080"/>
    <cellStyle name="注释 2 2 9 2 9" xfId="18081"/>
    <cellStyle name="输出 2 8 7 6 2" xfId="18082"/>
    <cellStyle name="计算 2 2 10 2 3" xfId="18083"/>
    <cellStyle name="汇总 2 5 4 4 5" xfId="18084"/>
    <cellStyle name="输入 2 8 5 4 3" xfId="18085"/>
    <cellStyle name="计算 2 11 8 2 2 2" xfId="18086"/>
    <cellStyle name="输出 2 8 7 6 2 2" xfId="18087"/>
    <cellStyle name="计算 2 2 10 2 3 2" xfId="18088"/>
    <cellStyle name="汇总 2 5 4 4 5 2" xfId="18089"/>
    <cellStyle name="注释 2 4 7 4" xfId="18090"/>
    <cellStyle name="计算 2 12 9 3 2" xfId="18091"/>
    <cellStyle name="汇总 2 7 10 2 9" xfId="18092"/>
    <cellStyle name="输出 2 8 7 6 3" xfId="18093"/>
    <cellStyle name="计算 2 2 10 2 4" xfId="18094"/>
    <cellStyle name="汇总 2 5 4 4 6" xfId="18095"/>
    <cellStyle name="输出 2 5 2 5 2 2" xfId="18096"/>
    <cellStyle name="输出 2 9 6 5 5 2" xfId="18097"/>
    <cellStyle name="汇总 2 5 4 5" xfId="18098"/>
    <cellStyle name="汇总 2 6 17 4" xfId="18099"/>
    <cellStyle name="输入 2 10 2 10 2" xfId="18100"/>
    <cellStyle name="汇总 2 7 10 3 5" xfId="18101"/>
    <cellStyle name="注释 2 2 9 3 6" xfId="18102"/>
    <cellStyle name="汇总 2 5 4 5 2" xfId="18103"/>
    <cellStyle name="汇总 2 6 17 4 2" xfId="18104"/>
    <cellStyle name="汇总 2 7 10 3 5 2" xfId="18105"/>
    <cellStyle name="计算 2 3 4 7 6" xfId="18106"/>
    <cellStyle name="汇总 2 5 4 5 2 2" xfId="18107"/>
    <cellStyle name="汇总 2 7 10 3 6" xfId="18108"/>
    <cellStyle name="汇总 2 5 4 5 3" xfId="18109"/>
    <cellStyle name="检查单元格 2 5 8 3 4 2" xfId="18110"/>
    <cellStyle name="汇总 2 5 4 5 3 2" xfId="18111"/>
    <cellStyle name="计算 2 2 10 3 2" xfId="18112"/>
    <cellStyle name="汇总 2 5 4 5 4" xfId="18113"/>
    <cellStyle name="计算 2 2 10 3 2 2" xfId="18114"/>
    <cellStyle name="汇总 2 5 4 5 4 2" xfId="18115"/>
    <cellStyle name="输出 2 8 7 7 2" xfId="18116"/>
    <cellStyle name="计算 2 2 10 3 3" xfId="18117"/>
    <cellStyle name="汇总 2 5 4 5 5" xfId="18118"/>
    <cellStyle name="输入 2 8 5 5 3" xfId="18119"/>
    <cellStyle name="计算 2 11 8 2 3 2" xfId="18120"/>
    <cellStyle name="输出 2 8 7 7 2 2" xfId="18121"/>
    <cellStyle name="计算 2 2 10 3 3 2" xfId="18122"/>
    <cellStyle name="汇总 2 7 4 11" xfId="18123"/>
    <cellStyle name="汇总 2 5 4 5 5 2" xfId="18124"/>
    <cellStyle name="输出 2 8 7 7 3" xfId="18125"/>
    <cellStyle name="计算 2 2 10 3 4" xfId="18126"/>
    <cellStyle name="汇总 2 5 4 5 6" xfId="18127"/>
    <cellStyle name="输出 2 5 2 5 3 2" xfId="18128"/>
    <cellStyle name="输入 2 4 5 5 3" xfId="18129"/>
    <cellStyle name="计算 2 11 4 2 3 2" xfId="18130"/>
    <cellStyle name="汇总 2 5 4 6" xfId="18131"/>
    <cellStyle name="计算 2 6 3 6 2" xfId="18132"/>
    <cellStyle name="输入 2 2 7 4 2 2" xfId="18133"/>
    <cellStyle name="汇总 2 6 17 5" xfId="18134"/>
    <cellStyle name="输出 2 4 7 7 2" xfId="18135"/>
    <cellStyle name="输入 2 10 2 11 2" xfId="18136"/>
    <cellStyle name="汇总 2 7 10 4 5" xfId="18137"/>
    <cellStyle name="检查单元格 2 6 6 2 8" xfId="18138"/>
    <cellStyle name="注释 2 2 9 4 6" xfId="18139"/>
    <cellStyle name="汇总 2 5 4 6 2" xfId="18140"/>
    <cellStyle name="输入 2 4 5 5 3 2" xfId="18141"/>
    <cellStyle name="检查单元格 2 5 2 7" xfId="18142"/>
    <cellStyle name="计算 2 6 3 6 2 2" xfId="18143"/>
    <cellStyle name="汇总 2 6 17 5 2" xfId="18144"/>
    <cellStyle name="输出 2 4 7 7 2 2" xfId="18145"/>
    <cellStyle name="注释 2 6 27" xfId="18146"/>
    <cellStyle name="汇总 2 7 10 4 5 2" xfId="18147"/>
    <cellStyle name="计算 2 3 5 7 6" xfId="18148"/>
    <cellStyle name="汇总 2 5 4 6 2 2" xfId="18149"/>
    <cellStyle name="检查单元格 2 5 2 7 2" xfId="18150"/>
    <cellStyle name="汇总 2 7 10 4 6" xfId="18151"/>
    <cellStyle name="检查单元格 2 6 6 2 9" xfId="18152"/>
    <cellStyle name="汇总 2 5 4 6 3" xfId="18153"/>
    <cellStyle name="检查单元格 2 5 2 8" xfId="18154"/>
    <cellStyle name="检查单元格 2 5 8 3 5 2" xfId="18155"/>
    <cellStyle name="汇总 2 5 4 6 3 2" xfId="18156"/>
    <cellStyle name="检查单元格 2 5 2 8 2" xfId="18157"/>
    <cellStyle name="计算 2 2 10 4 2" xfId="18158"/>
    <cellStyle name="汇总 2 5 4 6 4" xfId="18159"/>
    <cellStyle name="检查单元格 2 5 2 9" xfId="18160"/>
    <cellStyle name="计算 2 2 10 4 2 2" xfId="18161"/>
    <cellStyle name="汇总 2 5 4 6 4 2" xfId="18162"/>
    <cellStyle name="检查单元格 2 5 2 9 2" xfId="18163"/>
    <cellStyle name="输出 2 8 7 8 2 2" xfId="18164"/>
    <cellStyle name="计算 2 2 10 4 3 2" xfId="18165"/>
    <cellStyle name="汇总 2 7 9 11" xfId="18166"/>
    <cellStyle name="汇总 2 5 4 6 5 2" xfId="18167"/>
    <cellStyle name="输出 2 8 7 8 3" xfId="18168"/>
    <cellStyle name="计算 2 2 10 4 4" xfId="18169"/>
    <cellStyle name="汇总 2 5 4 6 6" xfId="18170"/>
    <cellStyle name="输出 2 16 7 2 2" xfId="18171"/>
    <cellStyle name="输出 2 5 2 5 4 2" xfId="18172"/>
    <cellStyle name="输入 2 8 5 6 4" xfId="18173"/>
    <cellStyle name="汇总 2 7 5 5 2 2" xfId="18174"/>
    <cellStyle name="注释 2 2 10 12 2" xfId="18175"/>
    <cellStyle name="输入 2 7 10 2" xfId="18176"/>
    <cellStyle name="汇总 2 5 4 7" xfId="18177"/>
    <cellStyle name="计算 2 6 3 6 3" xfId="18178"/>
    <cellStyle name="汇总 2 6 17 6" xfId="18179"/>
    <cellStyle name="输出 2 4 7 7 3" xfId="18180"/>
    <cellStyle name="输入 2 10 2 12 2" xfId="18181"/>
    <cellStyle name="汇总 2 7 10 5 5" xfId="18182"/>
    <cellStyle name="输入 2 4 5 5 4 2" xfId="18183"/>
    <cellStyle name="检查单元格 2 5 3 7" xfId="18184"/>
    <cellStyle name="注释 2 2 9 5 6" xfId="18185"/>
    <cellStyle name="输入 2 7 10 2 2" xfId="18186"/>
    <cellStyle name="汇总 2 5 4 7 2" xfId="18187"/>
    <cellStyle name="汇总 2 5 6 16" xfId="18188"/>
    <cellStyle name="输出 2 12 4 13" xfId="18189"/>
    <cellStyle name="汇总 2 7 10 5 6" xfId="18190"/>
    <cellStyle name="输出 2 2 3 7 2 2" xfId="18191"/>
    <cellStyle name="输入 2 4 18 2 2" xfId="18192"/>
    <cellStyle name="检查单元格 2 5 3 8" xfId="18193"/>
    <cellStyle name="输入 2 7 10 2 3" xfId="18194"/>
    <cellStyle name="汇总 2 5 4 7 3" xfId="18195"/>
    <cellStyle name="输出 2 12 4 14" xfId="18196"/>
    <cellStyle name="输出 2 3 6 10 2" xfId="18197"/>
    <cellStyle name="检查单元格 2 5 3 9" xfId="18198"/>
    <cellStyle name="输入 2 7 10 2 4" xfId="18199"/>
    <cellStyle name="计算 2 2 10 5 2" xfId="18200"/>
    <cellStyle name="汇总 2 5 4 7 4" xfId="18201"/>
    <cellStyle name="输出 2 12 4 15" xfId="18202"/>
    <cellStyle name="计算 2 4 22" xfId="18203"/>
    <cellStyle name="计算 2 4 17" xfId="18204"/>
    <cellStyle name="输入 2 7 10 2 4 2" xfId="18205"/>
    <cellStyle name="输入 2 11 2 5 3" xfId="18206"/>
    <cellStyle name="计算 2 2 10 5 2 2" xfId="18207"/>
    <cellStyle name="汇总 2 5 4 7 4 2" xfId="18208"/>
    <cellStyle name="检查单元格 2 5 3 9 2" xfId="18209"/>
    <cellStyle name="输入 2 7 10 2 5 2" xfId="18210"/>
    <cellStyle name="输入 2 11 2 6 3" xfId="18211"/>
    <cellStyle name="计算 2 2 10 5 3 2" xfId="18212"/>
    <cellStyle name="汇总 2 5 4 7 5 2" xfId="18213"/>
    <cellStyle name="输入 2 7 10 2 6" xfId="18214"/>
    <cellStyle name="计算 2 2 10 5 4" xfId="18215"/>
    <cellStyle name="汇总 2 5 4 7 6" xfId="18216"/>
    <cellStyle name="输出 2 16 7 3 2" xfId="18217"/>
    <cellStyle name="输出 2 5 2 5 5 2" xfId="18218"/>
    <cellStyle name="输入 2 8 5 7 4" xfId="18219"/>
    <cellStyle name="汇总 2 7 5 5 3 2" xfId="18220"/>
    <cellStyle name="汇总 2 7 10 6 5" xfId="18221"/>
    <cellStyle name="注释 2 2 9 6 6" xfId="18222"/>
    <cellStyle name="输入 2 7 10 3 2" xfId="18223"/>
    <cellStyle name="汇总 2 5 4 8 2" xfId="18224"/>
    <cellStyle name="输入 2 4 5 5 5 2" xfId="18225"/>
    <cellStyle name="检查单元格 2 5 4 7" xfId="18226"/>
    <cellStyle name="汇总 2 7 10 6 6" xfId="18227"/>
    <cellStyle name="输出 2 2 3 7 3 2" xfId="18228"/>
    <cellStyle name="输入 2 4 18 3 2" xfId="18229"/>
    <cellStyle name="检查单元格 2 5 4 8" xfId="18230"/>
    <cellStyle name="输入 2 7 10 3 3" xfId="18231"/>
    <cellStyle name="汇总 2 5 4 8 3" xfId="18232"/>
    <cellStyle name="输出 2 3 6 11 2" xfId="18233"/>
    <cellStyle name="输入 2 7 10 3 4" xfId="18234"/>
    <cellStyle name="计算 2 2 10 6 2" xfId="18235"/>
    <cellStyle name="汇总 2 5 4 8 4" xfId="18236"/>
    <cellStyle name="检查单元格 2 5 4 9" xfId="18237"/>
    <cellStyle name="注释 2 9 10 9" xfId="18238"/>
    <cellStyle name="输入 2 7 10 3 4 2" xfId="18239"/>
    <cellStyle name="输入 2 11 3 5 3" xfId="18240"/>
    <cellStyle name="计算 2 2 10 6 2 2" xfId="18241"/>
    <cellStyle name="汇总 2 5 4 8 4 2" xfId="18242"/>
    <cellStyle name="检查单元格 2 5 4 9 2" xfId="18243"/>
    <cellStyle name="输入 2 7 10 4" xfId="18244"/>
    <cellStyle name="汇总 2 5 4 9" xfId="18245"/>
    <cellStyle name="汇总 2 7 10 7 5" xfId="18246"/>
    <cellStyle name="注释 2 2 9 7 6" xfId="18247"/>
    <cellStyle name="输入 2 7 10 4 2" xfId="18248"/>
    <cellStyle name="汇总 2 5 4 9 2" xfId="18249"/>
    <cellStyle name="检查单元格 2 5 5 7" xfId="18250"/>
    <cellStyle name="汇总 2 5 5 13" xfId="18251"/>
    <cellStyle name="输出 2 12 3 10" xfId="18252"/>
    <cellStyle name="计算 2 5 10 3 2 2" xfId="18253"/>
    <cellStyle name="汇总 2 5 5 14" xfId="18254"/>
    <cellStyle name="输出 2 12 3 11" xfId="18255"/>
    <cellStyle name="汇总 2 5 5 2 2" xfId="18256"/>
    <cellStyle name="输出 2 12 8 13" xfId="18257"/>
    <cellStyle name="输出 2 6 15 5 2" xfId="18258"/>
    <cellStyle name="汇总 2 5 5 2 3 2" xfId="18259"/>
    <cellStyle name="输入 2 9 8 4 3 2" xfId="18260"/>
    <cellStyle name="汇总 2 5 5 2 4" xfId="18261"/>
    <cellStyle name="输出 2 12 8 15" xfId="18262"/>
    <cellStyle name="汇总 2 6 7 4 5 2" xfId="18263"/>
    <cellStyle name="输出 2 3 2 2 6" xfId="18264"/>
    <cellStyle name="汇总 2 5 5 2 4 2" xfId="18265"/>
    <cellStyle name="输出 2 8 8 4 2 2" xfId="18266"/>
    <cellStyle name="汇总 2 5 5 2 5 2" xfId="18267"/>
    <cellStyle name="输出 2 5 9 2 8" xfId="18268"/>
    <cellStyle name="输出 2 8 8 4 3" xfId="18269"/>
    <cellStyle name="汇总 2 5 5 2 6" xfId="18270"/>
    <cellStyle name="输出 2 8 8 4 4" xfId="18271"/>
    <cellStyle name="汇总 2 5 5 2 7" xfId="18272"/>
    <cellStyle name="输入 2 8 6 2 7" xfId="18273"/>
    <cellStyle name="计算 2 3 17 2 2" xfId="18274"/>
    <cellStyle name="汇总 2 8 10 2 4 2" xfId="18275"/>
    <cellStyle name="输出 2 8 8 4 6" xfId="18276"/>
    <cellStyle name="汇总 2 5 5 2 9" xfId="18277"/>
    <cellStyle name="汇总 2 5 5 3" xfId="18278"/>
    <cellStyle name="输出 2 4 3 7 2 2" xfId="18279"/>
    <cellStyle name="输出 2 6 15 6" xfId="18280"/>
    <cellStyle name="汇总 2 6 18 2" xfId="18281"/>
    <cellStyle name="汇总 2 6 23 2" xfId="18282"/>
    <cellStyle name="计算 2 7 19 4 2" xfId="18283"/>
    <cellStyle name="汇总 2 6 18 2 2" xfId="18284"/>
    <cellStyle name="汇总 2 9 10 2 3" xfId="18285"/>
    <cellStyle name="输出 2 3 2 3 4" xfId="18286"/>
    <cellStyle name="汇总 2 5 5 3 2" xfId="18287"/>
    <cellStyle name="注释 2 6 4 5 3 2" xfId="18288"/>
    <cellStyle name="汇总 2 9 10 2 4" xfId="18289"/>
    <cellStyle name="输出 2 3 2 3 5" xfId="18290"/>
    <cellStyle name="汇总 2 5 5 3 3" xfId="18291"/>
    <cellStyle name="检查单元格 2 5 8 4 2 2" xfId="18292"/>
    <cellStyle name="输入 2 2 5 14" xfId="18293"/>
    <cellStyle name="输出 2 10 6 3 5" xfId="18294"/>
    <cellStyle name="汇总 2 9 10 2 4 2" xfId="18295"/>
    <cellStyle name="输出 2 3 2 3 5 2" xfId="18296"/>
    <cellStyle name="汇总 2 5 5 3 3 2" xfId="18297"/>
    <cellStyle name="汇总 2 9 10 2 5" xfId="18298"/>
    <cellStyle name="输出 2 3 2 3 6" xfId="18299"/>
    <cellStyle name="输入 2 9 8 4 4 2" xfId="18300"/>
    <cellStyle name="汇总 2 5 5 3 4" xfId="18301"/>
    <cellStyle name="汇总 2 9 10 2 5 2" xfId="18302"/>
    <cellStyle name="输入 2 8 6 3 2 2" xfId="18303"/>
    <cellStyle name="输出 2 10 6 4 5" xfId="18304"/>
    <cellStyle name="汇总 2 5 5 3 4 2" xfId="18305"/>
    <cellStyle name="输入 2 6 10 10 2" xfId="18306"/>
    <cellStyle name="计算 2 12 10 6" xfId="18307"/>
    <cellStyle name="输入 2 8 6 3 3 2" xfId="18308"/>
    <cellStyle name="输出 2 10 6 5 5" xfId="18309"/>
    <cellStyle name="输出 2 8 8 5 2 2" xfId="18310"/>
    <cellStyle name="汇总 2 5 5 3 5 2" xfId="18311"/>
    <cellStyle name="输入 2 6 10 11" xfId="18312"/>
    <cellStyle name="汇总 2 9 10 2 7" xfId="18313"/>
    <cellStyle name="输出 2 8 8 5 3" xfId="18314"/>
    <cellStyle name="汇总 2 5 5 3 6" xfId="18315"/>
    <cellStyle name="汇总 2 6 18 3" xfId="18316"/>
    <cellStyle name="计算 2 13 2 4 2" xfId="18317"/>
    <cellStyle name="检查单元格 2 5 4 3 5 2" xfId="18318"/>
    <cellStyle name="汇总 2 5 5 4" xfId="18319"/>
    <cellStyle name="汇总 2 7 11 2 5" xfId="18320"/>
    <cellStyle name="汇总 2 6 18 3 2" xfId="18321"/>
    <cellStyle name="输入 2 6 9 12" xfId="18322"/>
    <cellStyle name="汇总 2 9 10 3 3" xfId="18323"/>
    <cellStyle name="输出 2 3 2 4 4" xfId="18324"/>
    <cellStyle name="汇总 2 5 5 4 2" xfId="18325"/>
    <cellStyle name="汇总 2 7 11 2 5 2" xfId="18326"/>
    <cellStyle name="输出 2 10 7 2 5" xfId="18327"/>
    <cellStyle name="输入 2 6 9 12 2" xfId="18328"/>
    <cellStyle name="计算 2 4 3 7 6" xfId="18329"/>
    <cellStyle name="汇总 2 9 10 3 3 2" xfId="18330"/>
    <cellStyle name="输出 2 3 2 4 4 2" xfId="18331"/>
    <cellStyle name="汇总 2 5 5 4 2 2" xfId="18332"/>
    <cellStyle name="汇总 2 7 11 2 6" xfId="18333"/>
    <cellStyle name="注释 2 6 4 5 4 2" xfId="18334"/>
    <cellStyle name="输入 2 6 9 13" xfId="18335"/>
    <cellStyle name="汇总 2 9 10 3 4" xfId="18336"/>
    <cellStyle name="输出 2 3 2 4 5" xfId="18337"/>
    <cellStyle name="汇总 2 5 5 4 3" xfId="18338"/>
    <cellStyle name="检查单元格 2 5 8 4 3 2" xfId="18339"/>
    <cellStyle name="输入 2 9 8 4 5 2" xfId="18340"/>
    <cellStyle name="计算 2 2 11 2 2" xfId="18341"/>
    <cellStyle name="汇总 2 5 5 4 4" xfId="18342"/>
    <cellStyle name="输入 2 6 9 14" xfId="18343"/>
    <cellStyle name="输入 2 12 2 10 2" xfId="18344"/>
    <cellStyle name="汇总 2 9 10 3 5" xfId="18345"/>
    <cellStyle name="输出 2 3 2 4 6" xfId="18346"/>
    <cellStyle name="输出 2 8 8 6 2" xfId="18347"/>
    <cellStyle name="计算 2 2 11 2 3" xfId="18348"/>
    <cellStyle name="汇总 2 5 5 4 5" xfId="18349"/>
    <cellStyle name="检查单元格 2 2 10 3 2" xfId="18350"/>
    <cellStyle name="输入 2 8 6 4 3" xfId="18351"/>
    <cellStyle name="计算 2 11 8 3 2 2" xfId="18352"/>
    <cellStyle name="输入 2 6 9 15" xfId="18353"/>
    <cellStyle name="汇总 2 9 10 3 6" xfId="18354"/>
    <cellStyle name="输出 2 8 8 6 2 2" xfId="18355"/>
    <cellStyle name="计算 2 2 11 2 3 2" xfId="18356"/>
    <cellStyle name="汇总 2 5 5 4 5 2" xfId="18357"/>
    <cellStyle name="输出 2 8 8 6 3" xfId="18358"/>
    <cellStyle name="计算 2 2 11 2 4" xfId="18359"/>
    <cellStyle name="汇总 2 5 5 4 6" xfId="18360"/>
    <cellStyle name="输出 2 5 2 6 2 2" xfId="18361"/>
    <cellStyle name="汇总 2 5 5 5" xfId="18362"/>
    <cellStyle name="汇总 2 6 18 4" xfId="18363"/>
    <cellStyle name="汇总 2 7 11 3 5" xfId="18364"/>
    <cellStyle name="汇总 2 6 18 4 2" xfId="18365"/>
    <cellStyle name="汇总 2 9 10 4 3" xfId="18366"/>
    <cellStyle name="计算 2 7 6 15" xfId="18367"/>
    <cellStyle name="输出 2 3 2 5 4" xfId="18368"/>
    <cellStyle name="汇总 2 5 5 5 2" xfId="18369"/>
    <cellStyle name="汇总 2 7 11 3 5 2" xfId="18370"/>
    <cellStyle name="输出 2 10 8 2 5" xfId="18371"/>
    <cellStyle name="计算 2 4 4 7 6" xfId="18372"/>
    <cellStyle name="汇总 2 9 10 4 3 2" xfId="18373"/>
    <cellStyle name="输出 2 3 2 5 4 2" xfId="18374"/>
    <cellStyle name="汇总 2 5 5 5 2 2" xfId="18375"/>
    <cellStyle name="汇总 2 7 11 3 6" xfId="18376"/>
    <cellStyle name="注释 2 6 4 5 5 2" xfId="18377"/>
    <cellStyle name="汇总 2 9 10 4 4" xfId="18378"/>
    <cellStyle name="计算 2 7 6 16" xfId="18379"/>
    <cellStyle name="输出 2 3 2 5 5" xfId="18380"/>
    <cellStyle name="汇总 2 5 5 5 3" xfId="18381"/>
    <cellStyle name="检查单元格 2 5 8 4 4 2" xfId="18382"/>
    <cellStyle name="计算 2 2 11 3 2" xfId="18383"/>
    <cellStyle name="汇总 2 5 5 5 4" xfId="18384"/>
    <cellStyle name="输入 2 12 2 11 2" xfId="18385"/>
    <cellStyle name="汇总 2 9 10 4 5" xfId="18386"/>
    <cellStyle name="输出 2 3 2 5 6" xfId="18387"/>
    <cellStyle name="输出 2 8 8 7 2" xfId="18388"/>
    <cellStyle name="计算 2 2 11 3 3" xfId="18389"/>
    <cellStyle name="汇总 2 5 5 5 5" xfId="18390"/>
    <cellStyle name="检查单元格 2 2 10 4 2" xfId="18391"/>
    <cellStyle name="输入 2 8 6 5 3" xfId="18392"/>
    <cellStyle name="计算 2 11 8 3 3 2" xfId="18393"/>
    <cellStyle name="汇总 2 9 10 4 6" xfId="18394"/>
    <cellStyle name="输出 2 8 8 7 2 2" xfId="18395"/>
    <cellStyle name="计算 2 2 11 3 3 2" xfId="18396"/>
    <cellStyle name="汇总 2 5 5 5 5 2" xfId="18397"/>
    <cellStyle name="输出 2 8 8 7 3" xfId="18398"/>
    <cellStyle name="计算 2 2 11 3 4" xfId="18399"/>
    <cellStyle name="汇总 2 5 5 5 6" xfId="18400"/>
    <cellStyle name="输出 2 5 2 6 3 2" xfId="18401"/>
    <cellStyle name="输入 2 4 5 6 3" xfId="18402"/>
    <cellStyle name="计算 2 4 5 5 2 2" xfId="18403"/>
    <cellStyle name="计算 2 11 4 2 4 2" xfId="18404"/>
    <cellStyle name="汇总 2 5 5 6" xfId="18405"/>
    <cellStyle name="输出 2 2 9 6 2 2" xfId="18406"/>
    <cellStyle name="计算 2 6 3 7 2" xfId="18407"/>
    <cellStyle name="输入 2 2 7 4 3 2" xfId="18408"/>
    <cellStyle name="汇总 2 6 18 5" xfId="18409"/>
    <cellStyle name="输出 2 4 7 8 2" xfId="18410"/>
    <cellStyle name="汇总 2 7 11 4 5" xfId="18411"/>
    <cellStyle name="检查单元格 2 6 7 2 8" xfId="18412"/>
    <cellStyle name="汇总 2 9 10 5 3" xfId="18413"/>
    <cellStyle name="计算 2 6 3 7 2 2" xfId="18414"/>
    <cellStyle name="输出 2 3 2 6 4" xfId="18415"/>
    <cellStyle name="汇总 2 6 18 5 2" xfId="18416"/>
    <cellStyle name="输出 2 4 7 8 2 2" xfId="18417"/>
    <cellStyle name="汇总 2 5 5 6 2" xfId="18418"/>
    <cellStyle name="输入 2 4 5 6 3 2" xfId="18419"/>
    <cellStyle name="检查单元格 2 6 2 7" xfId="18420"/>
    <cellStyle name="汇总 2 7 11 4 5 2" xfId="18421"/>
    <cellStyle name="输出 2 10 9 2 5" xfId="18422"/>
    <cellStyle name="计算 2 4 5 7 6" xfId="18423"/>
    <cellStyle name="汇总 2 9 10 5 3 2" xfId="18424"/>
    <cellStyle name="输出 2 3 2 6 4 2" xfId="18425"/>
    <cellStyle name="汇总 2 5 5 6 2 2" xfId="18426"/>
    <cellStyle name="注释 2 3 6 16" xfId="18427"/>
    <cellStyle name="检查单元格 2 6 2 7 2" xfId="18428"/>
    <cellStyle name="汇总 2 7 11 4 6" xfId="18429"/>
    <cellStyle name="检查单元格 2 6 7 2 9" xfId="18430"/>
    <cellStyle name="汇总 2 9 10 5 4" xfId="18431"/>
    <cellStyle name="输出 2 10 16 2 2" xfId="18432"/>
    <cellStyle name="输出 2 3 2 6 5" xfId="18433"/>
    <cellStyle name="汇总 2 5 5 6 3" xfId="18434"/>
    <cellStyle name="检查单元格 2 5 8 4 5 2" xfId="18435"/>
    <cellStyle name="检查单元格 2 6 2 8" xfId="18436"/>
    <cellStyle name="输出 2 10 9 3 5" xfId="18437"/>
    <cellStyle name="汇总 2 9 10 5 4 2" xfId="18438"/>
    <cellStyle name="输出 2 3 2 6 5 2" xfId="18439"/>
    <cellStyle name="汇总 2 5 5 6 3 2" xfId="18440"/>
    <cellStyle name="检查单元格 2 6 2 8 2" xfId="18441"/>
    <cellStyle name="计算 2 2 11 4 2" xfId="18442"/>
    <cellStyle name="汇总 2 5 5 6 4" xfId="18443"/>
    <cellStyle name="检查单元格 2 6 2 9" xfId="18444"/>
    <cellStyle name="输入 2 12 2 12 2" xfId="18445"/>
    <cellStyle name="汇总 2 9 10 5 5" xfId="18446"/>
    <cellStyle name="输出 2 3 2 6 6" xfId="18447"/>
    <cellStyle name="计算 2 2 11 4 2 2" xfId="18448"/>
    <cellStyle name="汇总 2 5 5 6 4 2" xfId="18449"/>
    <cellStyle name="检查单元格 2 6 2 9 2" xfId="18450"/>
    <cellStyle name="汇总 2 9 10 5 5 2" xfId="18451"/>
    <cellStyle name="输入 2 8 6 6 2 2" xfId="18452"/>
    <cellStyle name="输出 2 10 9 4 5" xfId="18453"/>
    <cellStyle name="输出 2 8 8 8 2 2" xfId="18454"/>
    <cellStyle name="计算 2 2 11 4 3 2" xfId="18455"/>
    <cellStyle name="汇总 2 5 5 6 5 2" xfId="18456"/>
    <cellStyle name="输出 2 14 12" xfId="18457"/>
    <cellStyle name="输出 2 8 8 8 3" xfId="18458"/>
    <cellStyle name="计算 2 2 11 4 4" xfId="18459"/>
    <cellStyle name="汇总 2 5 5 6 6" xfId="18460"/>
    <cellStyle name="输出 2 16 8 2 2" xfId="18461"/>
    <cellStyle name="输出 2 5 2 6 4 2" xfId="18462"/>
    <cellStyle name="输入 2 8 6 6 4" xfId="18463"/>
    <cellStyle name="汇总 2 7 5 6 2 2" xfId="18464"/>
    <cellStyle name="输入 2 7 11 2" xfId="18465"/>
    <cellStyle name="汇总 2 5 5 7" xfId="18466"/>
    <cellStyle name="计算 2 6 3 7 3" xfId="18467"/>
    <cellStyle name="汇总 2 6 18 6" xfId="18468"/>
    <cellStyle name="输出 2 12 7 2 2" xfId="18469"/>
    <cellStyle name="输出 2 4 7 8 3" xfId="18470"/>
    <cellStyle name="汇总 2 7 11 5 5" xfId="18471"/>
    <cellStyle name="汇总 2 9 10 6 3" xfId="18472"/>
    <cellStyle name="计算 2 6 3 7 3 2" xfId="18473"/>
    <cellStyle name="输出 2 3 2 7 4" xfId="18474"/>
    <cellStyle name="输出 2 12 7 2 2 2" xfId="18475"/>
    <cellStyle name="输出 2 4 7 8 3 2" xfId="18476"/>
    <cellStyle name="输入 2 4 5 6 4 2" xfId="18477"/>
    <cellStyle name="检查单元格 2 6 3 7" xfId="18478"/>
    <cellStyle name="输入 2 7 11 2 2" xfId="18479"/>
    <cellStyle name="汇总 2 5 5 7 2" xfId="18480"/>
    <cellStyle name="输出 2 12 9 13" xfId="18481"/>
    <cellStyle name="汇总 2 7 11 5 6" xfId="18482"/>
    <cellStyle name="输出 2 2 3 8 2 2" xfId="18483"/>
    <cellStyle name="汇总 2 9 10 6 4" xfId="18484"/>
    <cellStyle name="输出 2 10 16 3 2" xfId="18485"/>
    <cellStyle name="输出 2 3 2 7 5" xfId="18486"/>
    <cellStyle name="输入 2 4 19 2 2" xfId="18487"/>
    <cellStyle name="检查单元格 2 6 3 8" xfId="18488"/>
    <cellStyle name="输入 2 7 11 2 3" xfId="18489"/>
    <cellStyle name="汇总 2 5 5 7 3" xfId="18490"/>
    <cellStyle name="输出 2 12 9 14" xfId="18491"/>
    <cellStyle name="检查单元格 2 6 3 9" xfId="18492"/>
    <cellStyle name="输入 2 7 11 2 4" xfId="18493"/>
    <cellStyle name="计算 2 2 11 5 2" xfId="18494"/>
    <cellStyle name="汇总 2 5 5 7 4" xfId="18495"/>
    <cellStyle name="输出 2 12 9 15" xfId="18496"/>
    <cellStyle name="汇总 2 9 10 6 5" xfId="18497"/>
    <cellStyle name="输出 2 3 2 7 6" xfId="18498"/>
    <cellStyle name="输入 2 7 11 2 4 2" xfId="18499"/>
    <cellStyle name="输入 2 12 2 5 3" xfId="18500"/>
    <cellStyle name="计算 2 2 11 5 2 2" xfId="18501"/>
    <cellStyle name="汇总 2 5 5 7 4 2" xfId="18502"/>
    <cellStyle name="检查单元格 2 6 3 9 2" xfId="18503"/>
    <cellStyle name="汇总 2 9 10 6 5 2" xfId="18504"/>
    <cellStyle name="输入 2 7 11 2 5 2" xfId="18505"/>
    <cellStyle name="输入 2 12 2 6 3" xfId="18506"/>
    <cellStyle name="计算 2 2 11 5 3 2" xfId="18507"/>
    <cellStyle name="汇总 2 5 5 7 5 2" xfId="18508"/>
    <cellStyle name="输入 2 7 11 2 6" xfId="18509"/>
    <cellStyle name="计算 2 2 11 5 4" xfId="18510"/>
    <cellStyle name="汇总 2 5 5 7 6" xfId="18511"/>
    <cellStyle name="输出 2 16 8 3 2" xfId="18512"/>
    <cellStyle name="输出 2 5 2 6 5 2" xfId="18513"/>
    <cellStyle name="输入 2 8 6 7 4" xfId="18514"/>
    <cellStyle name="汇总 2 7 5 6 3 2" xfId="18515"/>
    <cellStyle name="汇总 2 7 11 6 5" xfId="18516"/>
    <cellStyle name="汇总 2 9 10 7 3" xfId="18517"/>
    <cellStyle name="计算 2 6 3 7 4 2" xfId="18518"/>
    <cellStyle name="输出 2 11 2 2 3" xfId="18519"/>
    <cellStyle name="输出 2 3 2 8 4" xfId="18520"/>
    <cellStyle name="输出 2 12 7 2 3 2" xfId="18521"/>
    <cellStyle name="输出 2 4 7 8 4 2" xfId="18522"/>
    <cellStyle name="输入 2 7 11 3 2" xfId="18523"/>
    <cellStyle name="汇总 2 5 5 8 2" xfId="18524"/>
    <cellStyle name="输入 2 4 5 6 5 2" xfId="18525"/>
    <cellStyle name="检查单元格 2 6 4 7" xfId="18526"/>
    <cellStyle name="汇总 2 7 11 6 6" xfId="18527"/>
    <cellStyle name="输出 2 10 3 2 2 2" xfId="18528"/>
    <cellStyle name="输出 2 2 3 8 3 2" xfId="18529"/>
    <cellStyle name="汇总 2 9 10 7 4" xfId="18530"/>
    <cellStyle name="输出 2 10 16 4 2" xfId="18531"/>
    <cellStyle name="输出 2 11 2 2 4" xfId="18532"/>
    <cellStyle name="输出 2 3 2 8 5" xfId="18533"/>
    <cellStyle name="输入 2 7 11 3 3" xfId="18534"/>
    <cellStyle name="汇总 2 5 5 8 3" xfId="18535"/>
    <cellStyle name="输入 2 4 19 3 2" xfId="18536"/>
    <cellStyle name="检查单元格 2 6 4 8" xfId="18537"/>
    <cellStyle name="输入 2 7 11 3 4" xfId="18538"/>
    <cellStyle name="计算 2 2 11 6 2" xfId="18539"/>
    <cellStyle name="汇总 2 5 5 8 4" xfId="18540"/>
    <cellStyle name="检查单元格 2 6 4 9" xfId="18541"/>
    <cellStyle name="汇总 2 9 10 7 5" xfId="18542"/>
    <cellStyle name="输出 2 11 2 2 5" xfId="18543"/>
    <cellStyle name="输入 2 7 11 3 4 2" xfId="18544"/>
    <cellStyle name="输入 2 12 3 5 3" xfId="18545"/>
    <cellStyle name="计算 2 2 11 6 2 2" xfId="18546"/>
    <cellStyle name="汇总 2 5 5 8 4 2" xfId="18547"/>
    <cellStyle name="检查单元格 2 6 4 9 2" xfId="18548"/>
    <cellStyle name="汇总 2 9 10 7 5 2" xfId="18549"/>
    <cellStyle name="输出 2 11 2 2 5 2" xfId="18550"/>
    <cellStyle name="汇总 2 7 11 7 5" xfId="18551"/>
    <cellStyle name="汇总 2 9 10 8 3" xfId="18552"/>
    <cellStyle name="计算 2 6 3 7 5 2" xfId="18553"/>
    <cellStyle name="输出 2 11 2 3 3" xfId="18554"/>
    <cellStyle name="输出 2 12 7 2 4 2" xfId="18555"/>
    <cellStyle name="输入 2 7 11 4 2" xfId="18556"/>
    <cellStyle name="汇总 2 5 5 9 2" xfId="18557"/>
    <cellStyle name="检查单元格 2 6 5 7" xfId="18558"/>
    <cellStyle name="注释 2 2 4 3 4 2" xfId="18559"/>
    <cellStyle name="计算 2 10 9 4 3" xfId="18560"/>
    <cellStyle name="检查单元格 2 10 8 5 2" xfId="18561"/>
    <cellStyle name="汇总 2 5 6" xfId="18562"/>
    <cellStyle name="输出 2 2 11 6 4 2" xfId="18563"/>
    <cellStyle name="汇总 2 5 6 10 2" xfId="18564"/>
    <cellStyle name="计算 2 10 9 4 3 2" xfId="18565"/>
    <cellStyle name="注释 2 2 9 15" xfId="18566"/>
    <cellStyle name="汇总 2 5 6 2" xfId="18567"/>
    <cellStyle name="输出 2 6 16 5" xfId="18568"/>
    <cellStyle name="汇总 2 5 6 2 2" xfId="18569"/>
    <cellStyle name="计算 2 2 14 6" xfId="18570"/>
    <cellStyle name="输出 2 6 16 5 2" xfId="18571"/>
    <cellStyle name="汇总 2 5 8 8 4" xfId="18572"/>
    <cellStyle name="汇总 2 5 6 2 2 2" xfId="18573"/>
    <cellStyle name="检查单元格 2 9 4 9" xfId="18574"/>
    <cellStyle name="汇总 2 5 6 2 3 2" xfId="18575"/>
    <cellStyle name="检查单元格 2 9 5 9" xfId="18576"/>
    <cellStyle name="输入 2 9 8 5 3 2" xfId="18577"/>
    <cellStyle name="汇总 2 5 6 2 4" xfId="18578"/>
    <cellStyle name="汇总 2 6 7 5 5 2" xfId="18579"/>
    <cellStyle name="输出 2 3 3 2 6" xfId="18580"/>
    <cellStyle name="汇总 2 5 6 2 4 2" xfId="18581"/>
    <cellStyle name="检查单元格 2 9 6 9" xfId="18582"/>
    <cellStyle name="输出 2 8 9 4 2 2" xfId="18583"/>
    <cellStyle name="汇总 2 5 6 2 5 2" xfId="18584"/>
    <cellStyle name="检查单元格 2 9 7 9" xfId="18585"/>
    <cellStyle name="输出 2 6 9 2 8" xfId="18586"/>
    <cellStyle name="输出 2 8 9 4 3" xfId="18587"/>
    <cellStyle name="汇总 2 5 6 2 6" xfId="18588"/>
    <cellStyle name="输出 2 8 9 4 4" xfId="18589"/>
    <cellStyle name="汇总 2 5 6 2 7" xfId="18590"/>
    <cellStyle name="计算 2 6 10 2 3" xfId="18591"/>
    <cellStyle name="输入 2 8 7 2 7" xfId="18592"/>
    <cellStyle name="计算 2 3 18 2 2" xfId="18593"/>
    <cellStyle name="汇总 2 8 10 3 4 2" xfId="18594"/>
    <cellStyle name="检查单元格 2 10 10 5" xfId="18595"/>
    <cellStyle name="输出 2 8 9 4 6" xfId="18596"/>
    <cellStyle name="计算 2 12 3 2 2 2" xfId="18597"/>
    <cellStyle name="汇总 2 5 6 2 9" xfId="18598"/>
    <cellStyle name="注释 2 2 9 16" xfId="18599"/>
    <cellStyle name="汇总 2 5 6 3" xfId="18600"/>
    <cellStyle name="输出 2 4 3 7 3 2" xfId="18601"/>
    <cellStyle name="输出 2 6 16 6" xfId="18602"/>
    <cellStyle name="汇总 2 6 19 2" xfId="18603"/>
    <cellStyle name="计算 2 2 15 6" xfId="18604"/>
    <cellStyle name="汇总 2 5 6 3 2" xfId="18605"/>
    <cellStyle name="汇总 2 6 19 2 2" xfId="18606"/>
    <cellStyle name="汇总 2 9 11 2 3" xfId="18607"/>
    <cellStyle name="输出 2 3 3 3 4" xfId="18608"/>
    <cellStyle name="输出 2 11 6 2 5" xfId="18609"/>
    <cellStyle name="汇总 2 9 11 2 3 2" xfId="18610"/>
    <cellStyle name="计算 2 5 2 7 6" xfId="18611"/>
    <cellStyle name="输出 2 3 3 3 4 2" xfId="18612"/>
    <cellStyle name="汇总 2 5 6 3 2 2" xfId="18613"/>
    <cellStyle name="汇总 2 5 9 8 4" xfId="18614"/>
    <cellStyle name="计算 2 13 2 5 2" xfId="18615"/>
    <cellStyle name="汇总 2 6 19 3" xfId="18616"/>
    <cellStyle name="汇总 2 5 6 4" xfId="18617"/>
    <cellStyle name="计算 2 2 16 6" xfId="18618"/>
    <cellStyle name="汇总 2 5 6 4 2" xfId="18619"/>
    <cellStyle name="输入 2 12 3 14" xfId="18620"/>
    <cellStyle name="汇总 2 6 19 3 2" xfId="18621"/>
    <cellStyle name="汇总 2 9 11 3 3" xfId="18622"/>
    <cellStyle name="输出 2 3 3 4 4" xfId="18623"/>
    <cellStyle name="输出 2 11 7 2 5" xfId="18624"/>
    <cellStyle name="汇总 2 9 11 3 3 2" xfId="18625"/>
    <cellStyle name="计算 2 5 3 7 6" xfId="18626"/>
    <cellStyle name="输出 2 3 3 4 4 2" xfId="18627"/>
    <cellStyle name="输入 2 2 11 5" xfId="18628"/>
    <cellStyle name="汇总 2 5 6 4 2 2" xfId="18629"/>
    <cellStyle name="注释 2 6 4 6 4 2" xfId="18630"/>
    <cellStyle name="汇总 2 9 11 3 4" xfId="18631"/>
    <cellStyle name="输出 2 3 3 4 5" xfId="18632"/>
    <cellStyle name="汇总 2 5 6 4 3" xfId="18633"/>
    <cellStyle name="检查单元格 2 5 8 5 3 2" xfId="18634"/>
    <cellStyle name="输入 2 6 10 2 9" xfId="18635"/>
    <cellStyle name="输出 2 11 7 3 5" xfId="18636"/>
    <cellStyle name="汇总 2 9 11 3 4 2" xfId="18637"/>
    <cellStyle name="输出 2 3 3 4 5 2" xfId="18638"/>
    <cellStyle name="输入 2 2 12 5" xfId="18639"/>
    <cellStyle name="汇总 2 5 6 4 3 2" xfId="18640"/>
    <cellStyle name="计算 2 3 2" xfId="18641"/>
    <cellStyle name="汇总 2 9 11 3 5" xfId="18642"/>
    <cellStyle name="输出 2 3 3 4 6" xfId="18643"/>
    <cellStyle name="输入 2 9 8 5 5 2" xfId="18644"/>
    <cellStyle name="计算 2 2 12 2 2" xfId="18645"/>
    <cellStyle name="汇总 2 5 6 4 4" xfId="18646"/>
    <cellStyle name="计算 2 3 2 2" xfId="18647"/>
    <cellStyle name="汇总 2 9 11 3 5 2" xfId="18648"/>
    <cellStyle name="输入 2 8 7 4 2 2" xfId="18649"/>
    <cellStyle name="输出 2 11 7 4 5" xfId="18650"/>
    <cellStyle name="输入 2 2 13 5" xfId="18651"/>
    <cellStyle name="汇总 2 5 6 4 4 2" xfId="18652"/>
    <cellStyle name="输入 2 8 7 4 3" xfId="18653"/>
    <cellStyle name="计算 2 11 8 4 2 2" xfId="18654"/>
    <cellStyle name="计算 2 3 3" xfId="18655"/>
    <cellStyle name="汇总 2 9 11 3 6" xfId="18656"/>
    <cellStyle name="输出 2 8 9 6 2" xfId="18657"/>
    <cellStyle name="汇总 2 5 6 4 5" xfId="18658"/>
    <cellStyle name="检查单元格 2 2 11 3 2" xfId="18659"/>
    <cellStyle name="检查单元格 2 5 3 10" xfId="18660"/>
    <cellStyle name="计算 2 3 3 2" xfId="18661"/>
    <cellStyle name="输入 2 8 7 4 3 2" xfId="18662"/>
    <cellStyle name="输出 2 11 7 5 5" xfId="18663"/>
    <cellStyle name="输入 2 2 14 5" xfId="18664"/>
    <cellStyle name="输出 2 8 9 6 2 2" xfId="18665"/>
    <cellStyle name="汇总 2 5 6 4 5 2" xfId="18666"/>
    <cellStyle name="计算 2 3 4" xfId="18667"/>
    <cellStyle name="输入 2 8 7 4 4" xfId="18668"/>
    <cellStyle name="检查单元格 2 10 12 2" xfId="18669"/>
    <cellStyle name="检查单元格 2 5 3 11" xfId="18670"/>
    <cellStyle name="输出 2 8 9 6 3" xfId="18671"/>
    <cellStyle name="汇总 2 5 6 4 6" xfId="18672"/>
    <cellStyle name="输出 2 5 2 7 2 2" xfId="18673"/>
    <cellStyle name="汇总 2 5 6 5" xfId="18674"/>
    <cellStyle name="汇总 2 6 19 4" xfId="18675"/>
    <cellStyle name="输入 2 4 5 7 2 2" xfId="18676"/>
    <cellStyle name="计算 2 2 17 6" xfId="18677"/>
    <cellStyle name="汇总 2 5 6 5 2" xfId="18678"/>
    <cellStyle name="汇总 2 6 19 4 2" xfId="18679"/>
    <cellStyle name="汇总 2 9 11 4 3" xfId="18680"/>
    <cellStyle name="输出 2 3 3 5 4" xfId="18681"/>
    <cellStyle name="输出 2 11 8 2 5" xfId="18682"/>
    <cellStyle name="输出 2 2 4 3" xfId="18683"/>
    <cellStyle name="汇总 2 9 11 4 3 2" xfId="18684"/>
    <cellStyle name="计算 2 5 4 7 6" xfId="18685"/>
    <cellStyle name="输出 2 3 3 5 4 2" xfId="18686"/>
    <cellStyle name="汇总 2 5 6 5 2 2" xfId="18687"/>
    <cellStyle name="注释 2 6 4 6 5 2" xfId="18688"/>
    <cellStyle name="汇总 2 9 11 4 4" xfId="18689"/>
    <cellStyle name="输出 2 3 3 5 5" xfId="18690"/>
    <cellStyle name="汇总 2 5 6 5 3" xfId="18691"/>
    <cellStyle name="检查单元格 2 5 8 5 4 2" xfId="18692"/>
    <cellStyle name="输出 2 11 8 3 5" xfId="18693"/>
    <cellStyle name="输出 2 2 5 3" xfId="18694"/>
    <cellStyle name="汇总 2 9 11 4 4 2" xfId="18695"/>
    <cellStyle name="输出 2 3 3 5 5 2" xfId="18696"/>
    <cellStyle name="汇总 2 5 6 5 3 2" xfId="18697"/>
    <cellStyle name="输出 2 6 26" xfId="18698"/>
    <cellStyle name="计算 2 4 2" xfId="18699"/>
    <cellStyle name="汇总 2 9 11 4 5" xfId="18700"/>
    <cellStyle name="输出 2 3 3 5 6" xfId="18701"/>
    <cellStyle name="计算 2 2 12 3 2" xfId="18702"/>
    <cellStyle name="汇总 2 5 6 5 4" xfId="18703"/>
    <cellStyle name="计算 2 4 2 2" xfId="18704"/>
    <cellStyle name="汇总 2 9 11 4 5 2" xfId="18705"/>
    <cellStyle name="输入 2 8 7 5 2 2" xfId="18706"/>
    <cellStyle name="输出 2 11 8 4 5" xfId="18707"/>
    <cellStyle name="输出 2 2 6 3" xfId="18708"/>
    <cellStyle name="汇总 2 5 6 5 4 2" xfId="18709"/>
    <cellStyle name="输入 2 8 7 5 3" xfId="18710"/>
    <cellStyle name="计算 2 11 8 4 3 2" xfId="18711"/>
    <cellStyle name="计算 2 4 3" xfId="18712"/>
    <cellStyle name="汇总 2 9 11 4 6" xfId="18713"/>
    <cellStyle name="输出 2 8 9 7 2" xfId="18714"/>
    <cellStyle name="汇总 2 5 6 5 5" xfId="18715"/>
    <cellStyle name="检查单元格 2 2 11 4 2" xfId="18716"/>
    <cellStyle name="计算 2 4 3 2" xfId="18717"/>
    <cellStyle name="输入 2 8 7 5 3 2" xfId="18718"/>
    <cellStyle name="输出 2 11 8 5 5" xfId="18719"/>
    <cellStyle name="输出 2 2 7 3" xfId="18720"/>
    <cellStyle name="输出 2 8 9 7 2 2" xfId="18721"/>
    <cellStyle name="汇总 2 5 6 5 5 2" xfId="18722"/>
    <cellStyle name="计算 2 4 4" xfId="18723"/>
    <cellStyle name="输入 2 8 7 5 4" xfId="18724"/>
    <cellStyle name="检查单元格 2 10 13 2" xfId="18725"/>
    <cellStyle name="计算 2 2 5 10" xfId="18726"/>
    <cellStyle name="输出 2 8 9 7 3" xfId="18727"/>
    <cellStyle name="汇总 2 5 6 5 6" xfId="18728"/>
    <cellStyle name="输出 2 5 2 7 3 2" xfId="18729"/>
    <cellStyle name="输入 2 4 5 7 3" xfId="18730"/>
    <cellStyle name="计算 2 4 5 5 3 2" xfId="18731"/>
    <cellStyle name="计算 2 11 4 2 5 2" xfId="18732"/>
    <cellStyle name="汇总 2 5 6 6" xfId="18733"/>
    <cellStyle name="输出 2 2 9 6 3 2" xfId="18734"/>
    <cellStyle name="计算 2 6 3 8 2" xfId="18735"/>
    <cellStyle name="输入 2 2 7 4 4 2" xfId="18736"/>
    <cellStyle name="汇总 2 6 19 5" xfId="18737"/>
    <cellStyle name="输出 2 4 7 9 2" xfId="18738"/>
    <cellStyle name="汇总 2 5 6 6 2" xfId="18739"/>
    <cellStyle name="输入 2 4 5 7 3 2" xfId="18740"/>
    <cellStyle name="计算 2 2 18 6" xfId="18741"/>
    <cellStyle name="检查单元格 2 7 2 7" xfId="18742"/>
    <cellStyle name="汇总 2 9 11 5 3" xfId="18743"/>
    <cellStyle name="计算 2 6 3 8 2 2" xfId="18744"/>
    <cellStyle name="输出 2 3 3 6 4" xfId="18745"/>
    <cellStyle name="计算 2 5 10 6 3" xfId="18746"/>
    <cellStyle name="汇总 2 5 6 6 2 2" xfId="18747"/>
    <cellStyle name="注释 2 8 6 16" xfId="18748"/>
    <cellStyle name="检查单元格 2 7 2 7 2" xfId="18749"/>
    <cellStyle name="汇总 2 9 11 5 3 2" xfId="18750"/>
    <cellStyle name="计算 2 5 5 7 6" xfId="18751"/>
    <cellStyle name="输出 2 3 3 6 4 2" xfId="18752"/>
    <cellStyle name="输出 2 11 9 2 5" xfId="18753"/>
    <cellStyle name="输出 2 3 4 3" xfId="18754"/>
    <cellStyle name="汇总 2 9 11 5 4" xfId="18755"/>
    <cellStyle name="输出 2 10 17 2 2" xfId="18756"/>
    <cellStyle name="输出 2 3 3 6 5" xfId="18757"/>
    <cellStyle name="汇总 2 5 6 6 3" xfId="18758"/>
    <cellStyle name="检查单元格 2 7 2 8" xfId="18759"/>
    <cellStyle name="计算 2 5 10 7 3" xfId="18760"/>
    <cellStyle name="汇总 2 5 6 6 3 2" xfId="18761"/>
    <cellStyle name="检查单元格 2 7 2 8 2" xfId="18762"/>
    <cellStyle name="汇总 2 9 11 5 4 2" xfId="18763"/>
    <cellStyle name="输出 2 3 3 6 5 2" xfId="18764"/>
    <cellStyle name="输出 2 11 9 3 5" xfId="18765"/>
    <cellStyle name="输出 2 3 5 3" xfId="18766"/>
    <cellStyle name="计算 2 2 12 4 2" xfId="18767"/>
    <cellStyle name="汇总 2 5 6 6 4" xfId="18768"/>
    <cellStyle name="检查单元格 2 7 2 9" xfId="18769"/>
    <cellStyle name="汇总 2 9 11 5 5" xfId="18770"/>
    <cellStyle name="计算 2 5 2" xfId="18771"/>
    <cellStyle name="输出 2 3 3 6 6" xfId="18772"/>
    <cellStyle name="计算 2 5 10 8 3" xfId="18773"/>
    <cellStyle name="汇总 2 5 6 6 4 2" xfId="18774"/>
    <cellStyle name="检查单元格 2 7 2 9 2" xfId="18775"/>
    <cellStyle name="汇总 2 9 11 5 5 2" xfId="18776"/>
    <cellStyle name="计算 2 5 2 2" xfId="18777"/>
    <cellStyle name="输入 2 8 7 6 2 2" xfId="18778"/>
    <cellStyle name="输出 2 11 9 4 5" xfId="18779"/>
    <cellStyle name="输出 2 3 6 3" xfId="18780"/>
    <cellStyle name="输出 2 8 9 8 2 2" xfId="18781"/>
    <cellStyle name="汇总 2 5 6 6 5 2" xfId="18782"/>
    <cellStyle name="计算 2 5 4" xfId="18783"/>
    <cellStyle name="输入 2 8 7 6 4" xfId="18784"/>
    <cellStyle name="汇总 2 7 5 7 2 2" xfId="18785"/>
    <cellStyle name="检查单元格 2 10 14 2" xfId="18786"/>
    <cellStyle name="输出 2 8 9 8 3" xfId="18787"/>
    <cellStyle name="汇总 2 5 6 6 6" xfId="18788"/>
    <cellStyle name="输出 2 5 2 7 4 2" xfId="18789"/>
    <cellStyle name="输入 2 7 12 2" xfId="18790"/>
    <cellStyle name="汇总 2 5 6 7" xfId="18791"/>
    <cellStyle name="输出 2 12 7 3 2 2" xfId="18792"/>
    <cellStyle name="汇总 2 9 11 6 3" xfId="18793"/>
    <cellStyle name="计算 2 6 3 8 3 2" xfId="18794"/>
    <cellStyle name="输出 2 3 3 7 4" xfId="18795"/>
    <cellStyle name="输入 2 7 12 2 2" xfId="18796"/>
    <cellStyle name="汇总 2 5 6 7 2" xfId="18797"/>
    <cellStyle name="输入 2 4 5 7 4 2" xfId="18798"/>
    <cellStyle name="检查单元格 2 7 3 7" xfId="18799"/>
    <cellStyle name="汇总 2 9 11 6 3 2" xfId="18800"/>
    <cellStyle name="计算 2 5 6 7 6" xfId="18801"/>
    <cellStyle name="输出 2 3 3 7 4 2" xfId="18802"/>
    <cellStyle name="输出 2 4 4 3" xfId="18803"/>
    <cellStyle name="汇总 2 5 6 7 2 2" xfId="18804"/>
    <cellStyle name="计算 2 5 11 6 3" xfId="18805"/>
    <cellStyle name="检查单元格 2 7 3 7 2" xfId="18806"/>
    <cellStyle name="汇总 2 9 11 6 4" xfId="18807"/>
    <cellStyle name="输出 2 10 17 3 2" xfId="18808"/>
    <cellStyle name="输出 2 3 3 7 5" xfId="18809"/>
    <cellStyle name="汇总 2 5 6 7 3" xfId="18810"/>
    <cellStyle name="检查单元格 2 7 3 8" xfId="18811"/>
    <cellStyle name="汇总 2 9 11 6 4 2" xfId="18812"/>
    <cellStyle name="输出 2 3 3 7 5 2" xfId="18813"/>
    <cellStyle name="计算 2 3 11 13" xfId="18814"/>
    <cellStyle name="输出 2 4 5 3" xfId="18815"/>
    <cellStyle name="汇总 2 5 6 7 3 2" xfId="18816"/>
    <cellStyle name="计算 2 5 11 7 3" xfId="18817"/>
    <cellStyle name="检查单元格 2 7 3 8 2" xfId="18818"/>
    <cellStyle name="计算 2 2 12 5 2" xfId="18819"/>
    <cellStyle name="汇总 2 5 6 7 4" xfId="18820"/>
    <cellStyle name="检查单元格 2 7 3 9" xfId="18821"/>
    <cellStyle name="汇总 2 9 11 6 5" xfId="18822"/>
    <cellStyle name="计算 2 6 2" xfId="18823"/>
    <cellStyle name="输出 2 3 3 7 6" xfId="18824"/>
    <cellStyle name="汇总 2 9 11 6 5 2" xfId="18825"/>
    <cellStyle name="计算 2 6 2 2" xfId="18826"/>
    <cellStyle name="输入 2 8 7 7 2 2" xfId="18827"/>
    <cellStyle name="输出 2 4 6 3" xfId="18828"/>
    <cellStyle name="汇总 2 5 6 7 4 2" xfId="18829"/>
    <cellStyle name="计算 2 5 11 8 3" xfId="18830"/>
    <cellStyle name="检查单元格 2 7 3 9 2" xfId="18831"/>
    <cellStyle name="汇总 2 5 6 7 5 2" xfId="18832"/>
    <cellStyle name="计算 2 6 4" xfId="18833"/>
    <cellStyle name="输入 2 8 7 7 4" xfId="18834"/>
    <cellStyle name="汇总 2 7 5 7 3 2" xfId="18835"/>
    <cellStyle name="检查单元格 2 10 15 2" xfId="18836"/>
    <cellStyle name="汇总 2 5 6 7 6" xfId="18837"/>
    <cellStyle name="输出 2 5 2 7 5 2" xfId="18838"/>
    <cellStyle name="输出 2 12 7 3 3 2" xfId="18839"/>
    <cellStyle name="汇总 2 9 11 7 3" xfId="18840"/>
    <cellStyle name="计算 2 6 3 8 4 2" xfId="18841"/>
    <cellStyle name="输出 2 11 3 2 3" xfId="18842"/>
    <cellStyle name="输出 2 3 3 8 4" xfId="18843"/>
    <cellStyle name="输入 2 7 12 3 2" xfId="18844"/>
    <cellStyle name="汇总 2 5 6 8 2" xfId="18845"/>
    <cellStyle name="输入 2 4 5 7 5 2" xfId="18846"/>
    <cellStyle name="检查单元格 2 7 4 7" xfId="18847"/>
    <cellStyle name="汇总 2 9 11 7 3 2" xfId="18848"/>
    <cellStyle name="计算 2 5 7 7 6" xfId="18849"/>
    <cellStyle name="输出 2 11 3 2 3 2" xfId="18850"/>
    <cellStyle name="输出 2 3 3 8 4 2" xfId="18851"/>
    <cellStyle name="输出 2 5 4 3" xfId="18852"/>
    <cellStyle name="汇总 2 5 6 8 2 2" xfId="18853"/>
    <cellStyle name="检查单元格 2 7 4 7 2" xfId="18854"/>
    <cellStyle name="汇总 2 9 11 8 3" xfId="18855"/>
    <cellStyle name="输出 2 11 3 3 3" xfId="18856"/>
    <cellStyle name="输入 2 12 4 14" xfId="18857"/>
    <cellStyle name="输出 2 12 7 3 4 2" xfId="18858"/>
    <cellStyle name="输入 2 7 12 4 2" xfId="18859"/>
    <cellStyle name="汇总 2 5 6 9 2" xfId="18860"/>
    <cellStyle name="检查单元格 2 7 5 7" xfId="18861"/>
    <cellStyle name="汇总 2 5 7 10 2" xfId="18862"/>
    <cellStyle name="汇总 2 5 7 11 2" xfId="18863"/>
    <cellStyle name="检查单元格 2 5 8 2 2" xfId="18864"/>
    <cellStyle name="汇总 2 5 7 12" xfId="18865"/>
    <cellStyle name="检查单元格 2 5 8 3" xfId="18866"/>
    <cellStyle name="输出 2 6 5 3 2" xfId="18867"/>
    <cellStyle name="汇总 2 5 7 13" xfId="18868"/>
    <cellStyle name="输出 2 12 5 10" xfId="18869"/>
    <cellStyle name="检查单元格 2 5 8 4" xfId="18870"/>
    <cellStyle name="输出 2 6 5 3 3" xfId="18871"/>
    <cellStyle name="汇总 2 5 7 2 2" xfId="18872"/>
    <cellStyle name="输出 2 6 17 5 2" xfId="18873"/>
    <cellStyle name="汇总 2 5 7 2 2 2" xfId="18874"/>
    <cellStyle name="汇总 2 6 8 8 4" xfId="18875"/>
    <cellStyle name="汇总 2 5 7 3" xfId="18876"/>
    <cellStyle name="输出 2 4 3 7 4 2" xfId="18877"/>
    <cellStyle name="输出 2 6 17 6" xfId="18878"/>
    <cellStyle name="汇总 2 6 6 7 2 2" xfId="18879"/>
    <cellStyle name="注释 2 7 5 14" xfId="18880"/>
    <cellStyle name="汇总 2 5 7 3 2" xfId="18881"/>
    <cellStyle name="汇总 2 5 7 3 2 2" xfId="18882"/>
    <cellStyle name="汇总 2 6 9 8 4" xfId="18883"/>
    <cellStyle name="注释 2 7 5 15" xfId="18884"/>
    <cellStyle name="输入 2 11 7 2 3 2" xfId="18885"/>
    <cellStyle name="汇总 2 5 7 3 3" xfId="18886"/>
    <cellStyle name="汇总 2 5 7 3 3 2" xfId="18887"/>
    <cellStyle name="注释 2 7 5 16" xfId="18888"/>
    <cellStyle name="输入 2 9 8 6 4 2" xfId="18889"/>
    <cellStyle name="汇总 2 5 7 3 4" xfId="18890"/>
    <cellStyle name="汇总 2 5 7 4" xfId="18891"/>
    <cellStyle name="输入 2 3 2 2 5" xfId="18892"/>
    <cellStyle name="汇总 2 5 7 4 2" xfId="18893"/>
    <cellStyle name="输入 2 7 11 5" xfId="18894"/>
    <cellStyle name="输入 2 3 2 2 5 2" xfId="18895"/>
    <cellStyle name="汇总 2 5 7 4 2 2" xfId="18896"/>
    <cellStyle name="输入 2 3 2 2 6" xfId="18897"/>
    <cellStyle name="输入 2 11 7 2 4 2" xfId="18898"/>
    <cellStyle name="汇总 2 5 7 4 3" xfId="18899"/>
    <cellStyle name="输入 2 7 12 5" xfId="18900"/>
    <cellStyle name="汇总 2 5 7 4 3 2" xfId="18901"/>
    <cellStyle name="输入 2 9 8 6 5 2" xfId="18902"/>
    <cellStyle name="输入 2 3 2 2 7" xfId="18903"/>
    <cellStyle name="计算 2 2 13 2 2" xfId="18904"/>
    <cellStyle name="汇总 2 5 7 4 4" xfId="18905"/>
    <cellStyle name="输入 2 7 13 5" xfId="18906"/>
    <cellStyle name="汇总 2 5 7 4 4 2" xfId="18907"/>
    <cellStyle name="输出 2 6 5 13" xfId="18908"/>
    <cellStyle name="汇总 2 5 7 5" xfId="18909"/>
    <cellStyle name="输入 2 3 2 3 5" xfId="18910"/>
    <cellStyle name="汇总 2 5 7 5 2" xfId="18911"/>
    <cellStyle name="输入 2 3 2 3 5 2" xfId="18912"/>
    <cellStyle name="汇总 2 5 7 5 2 2" xfId="18913"/>
    <cellStyle name="输入 2 3 2 3 6" xfId="18914"/>
    <cellStyle name="输入 2 11 7 2 5 2" xfId="18915"/>
    <cellStyle name="汇总 2 5 7 5 3" xfId="18916"/>
    <cellStyle name="汇总 2 5 7 5 3 2" xfId="18917"/>
    <cellStyle name="计算 2 2 13 3 2" xfId="18918"/>
    <cellStyle name="汇总 2 5 7 5 4" xfId="18919"/>
    <cellStyle name="输入 2 2 11 14" xfId="18920"/>
    <cellStyle name="汇总 2 5 7 5 4 2" xfId="18921"/>
    <cellStyle name="输入 2 4 5 8 3" xfId="18922"/>
    <cellStyle name="计算 2 4 5 5 4 2" xfId="18923"/>
    <cellStyle name="汇总 2 5 7 6" xfId="18924"/>
    <cellStyle name="输出 2 2 9 6 4 2" xfId="18925"/>
    <cellStyle name="输入 2 3 2 4 5 2" xfId="18926"/>
    <cellStyle name="汇总 2 5 7 6 2 2" xfId="18927"/>
    <cellStyle name="检查单元格 2 8 2 7 2" xfId="18928"/>
    <cellStyle name="计算 2 12 6 13" xfId="18929"/>
    <cellStyle name="输出 2 12 9 3 5" xfId="18930"/>
    <cellStyle name="输出 2 3 4 6 5 2" xfId="18931"/>
    <cellStyle name="输出 2 5 12" xfId="18932"/>
    <cellStyle name="汇总 2 5 7 6 3 2" xfId="18933"/>
    <cellStyle name="检查单元格 2 8 2 8 2" xfId="18934"/>
    <cellStyle name="汇总 2 5 7 6 4 2" xfId="18935"/>
    <cellStyle name="检查单元格 2 8 2 9 2" xfId="18936"/>
    <cellStyle name="输入 2 7 13 2 2" xfId="18937"/>
    <cellStyle name="输入 2 3 2 5 5" xfId="18938"/>
    <cellStyle name="汇总 2 5 7 7 2" xfId="18939"/>
    <cellStyle name="输入 2 4 5 8 4 2" xfId="18940"/>
    <cellStyle name="检查单元格 2 8 3 7" xfId="18941"/>
    <cellStyle name="输出 2 6 5 10 2" xfId="18942"/>
    <cellStyle name="输入 2 3 2 5 5 2" xfId="18943"/>
    <cellStyle name="汇总 2 5 7 7 2 2" xfId="18944"/>
    <cellStyle name="检查单元格 2 8 3 7 2" xfId="18945"/>
    <cellStyle name="输入 2 3 2 5 6" xfId="18946"/>
    <cellStyle name="汇总 2 5 7 7 3" xfId="18947"/>
    <cellStyle name="检查单元格 2 8 3 8" xfId="18948"/>
    <cellStyle name="输出 2 3 4 7 5 2" xfId="18949"/>
    <cellStyle name="计算 2 4 11 13" xfId="18950"/>
    <cellStyle name="输出 2 4 10 3 5" xfId="18951"/>
    <cellStyle name="汇总 2 5 7 7 3 2" xfId="18952"/>
    <cellStyle name="检查单元格 2 8 3 8 2" xfId="18953"/>
    <cellStyle name="计算 2 2 13 5 2" xfId="18954"/>
    <cellStyle name="汇总 2 5 7 7 4" xfId="18955"/>
    <cellStyle name="检查单元格 2 8 3 9" xfId="18956"/>
    <cellStyle name="汇总 2 5 7 7 4 2" xfId="18957"/>
    <cellStyle name="检查单元格 2 8 3 9 2" xfId="18958"/>
    <cellStyle name="输入 2 8 8 7 4" xfId="18959"/>
    <cellStyle name="汇总 2 7 5 8 3 2" xfId="18960"/>
    <cellStyle name="汇总 2 5 7 7 6" xfId="18961"/>
    <cellStyle name="计算 2 8 11 10" xfId="18962"/>
    <cellStyle name="注释 2 7 6 14" xfId="18963"/>
    <cellStyle name="输入 2 7 13 3 2" xfId="18964"/>
    <cellStyle name="输入 2 3 2 6 5" xfId="18965"/>
    <cellStyle name="汇总 2 5 7 8 2" xfId="18966"/>
    <cellStyle name="检查单元格 2 8 4 7" xfId="18967"/>
    <cellStyle name="输出 2 6 5 11 2" xfId="18968"/>
    <cellStyle name="输入 2 3 2 6 5 2" xfId="18969"/>
    <cellStyle name="汇总 2 5 7 8 2 2" xfId="18970"/>
    <cellStyle name="检查单元格 2 8 4 7 2" xfId="18971"/>
    <cellStyle name="注释 2 7 6 15" xfId="18972"/>
    <cellStyle name="输入 2 3 2 6 6" xfId="18973"/>
    <cellStyle name="汇总 2 5 7 8 3" xfId="18974"/>
    <cellStyle name="检查单元格 2 8 4 8" xfId="18975"/>
    <cellStyle name="汇总 2 5 7 8 3 2" xfId="18976"/>
    <cellStyle name="检查单元格 2 8 4 8 2" xfId="18977"/>
    <cellStyle name="注释 2 7 6 16" xfId="18978"/>
    <cellStyle name="汇总 2 5 7 8 4" xfId="18979"/>
    <cellStyle name="检查单元格 2 8 4 9" xfId="18980"/>
    <cellStyle name="汇总 2 5 7 8 4 2" xfId="18981"/>
    <cellStyle name="检查单元格 2 8 4 9 2" xfId="18982"/>
    <cellStyle name="输入 2 7 13 4 2" xfId="18983"/>
    <cellStyle name="输入 2 3 2 7 5" xfId="18984"/>
    <cellStyle name="汇总 2 5 7 9 2" xfId="18985"/>
    <cellStyle name="检查单元格 2 8 5 7" xfId="18986"/>
    <cellStyle name="输出 2 6 5 12 2" xfId="18987"/>
    <cellStyle name="输出 2 9 10 5 3" xfId="18988"/>
    <cellStyle name="汇总 2 5 8 2 2" xfId="18989"/>
    <cellStyle name="输出 2 6 18 5 2" xfId="18990"/>
    <cellStyle name="输入 2 9 8 7 3 2" xfId="18991"/>
    <cellStyle name="输出 2 9 10 5 5" xfId="18992"/>
    <cellStyle name="汇总 2 5 8 2 4" xfId="18993"/>
    <cellStyle name="注释 2 2 11 7" xfId="18994"/>
    <cellStyle name="汇总 2 6 7 7 5 2" xfId="18995"/>
    <cellStyle name="输出 2 3 5 2 6" xfId="18996"/>
    <cellStyle name="输出 2 9 10 5 5 2" xfId="18997"/>
    <cellStyle name="计算 2 11 18 4" xfId="18998"/>
    <cellStyle name="汇总 2 5 8 2 4 2" xfId="18999"/>
    <cellStyle name="计算 2 2 4 15" xfId="19000"/>
    <cellStyle name="输出 2 8 9 2 8" xfId="19001"/>
    <cellStyle name="计算 2 11 19 4" xfId="19002"/>
    <cellStyle name="汇总 2 5 8 2 5 2" xfId="19003"/>
    <cellStyle name="汇总 2 5 8 2 6" xfId="19004"/>
    <cellStyle name="汇总 2 5 8 2 7" xfId="19005"/>
    <cellStyle name="计算 2 12 3 4 2 2" xfId="19006"/>
    <cellStyle name="汇总 2 5 8 2 9" xfId="19007"/>
    <cellStyle name="输入 2 8 9 2 7" xfId="19008"/>
    <cellStyle name="汇总 2 8 10 5 4 2" xfId="19009"/>
    <cellStyle name="检查单元格 2 6 11 3 2" xfId="19010"/>
    <cellStyle name="汇总 2 5 8 3" xfId="19011"/>
    <cellStyle name="输出 2 4 3 7 5 2" xfId="19012"/>
    <cellStyle name="输出 2 6 18 6" xfId="19013"/>
    <cellStyle name="汇总 2 6 6 7 3 2" xfId="19014"/>
    <cellStyle name="输出 2 9 10 6 3" xfId="19015"/>
    <cellStyle name="汇总 2 5 8 3 2" xfId="19016"/>
    <cellStyle name="输入 2 11 7 3 3 2" xfId="19017"/>
    <cellStyle name="输出 2 9 10 6 4" xfId="19018"/>
    <cellStyle name="汇总 2 5 8 3 3" xfId="19019"/>
    <cellStyle name="输入 2 9 8 7 4 2" xfId="19020"/>
    <cellStyle name="输出 2 9 10 6 5" xfId="19021"/>
    <cellStyle name="汇总 2 5 8 3 4" xfId="19022"/>
    <cellStyle name="汇总 2 5 8 3 6" xfId="19023"/>
    <cellStyle name="输入 2 3 3 2 5" xfId="19024"/>
    <cellStyle name="输出 2 9 10 7 3" xfId="19025"/>
    <cellStyle name="汇总 2 5 8 4 2" xfId="19026"/>
    <cellStyle name="输入 2 3 3 2 6" xfId="19027"/>
    <cellStyle name="输入 2 11 7 3 4 2" xfId="19028"/>
    <cellStyle name="输出 2 9 10 7 4" xfId="19029"/>
    <cellStyle name="汇总 2 5 8 4 3" xfId="19030"/>
    <cellStyle name="输入 2 9 8 7 5 2" xfId="19031"/>
    <cellStyle name="输入 2 3 3 2 7" xfId="19032"/>
    <cellStyle name="输出 2 9 10 7 5" xfId="19033"/>
    <cellStyle name="计算 2 2 14 2 2" xfId="19034"/>
    <cellStyle name="汇总 2 5 8 4 4" xfId="19035"/>
    <cellStyle name="注释 2 10 11 8 4" xfId="19036"/>
    <cellStyle name="输出 2 9 10 7 5 2" xfId="19037"/>
    <cellStyle name="汇总 2 5 8 4 4 2" xfId="19038"/>
    <cellStyle name="输入 2 8 9 4 3" xfId="19039"/>
    <cellStyle name="计算 2 11 8 6 2 2" xfId="19040"/>
    <cellStyle name="输入 2 3 3 2 8" xfId="19041"/>
    <cellStyle name="输出 2 9 10 7 6" xfId="19042"/>
    <cellStyle name="汇总 2 5 8 4 5" xfId="19043"/>
    <cellStyle name="汇总 2 5 8 4 5 2" xfId="19044"/>
    <cellStyle name="输入 2 3 3 2 9" xfId="19045"/>
    <cellStyle name="汇总 2 5 8 4 6" xfId="19046"/>
    <cellStyle name="汇总 2 5 8 5" xfId="19047"/>
    <cellStyle name="输入 2 3 3 3 5" xfId="19048"/>
    <cellStyle name="输出 2 9 10 8 3" xfId="19049"/>
    <cellStyle name="汇总 2 5 8 5 2" xfId="19050"/>
    <cellStyle name="输入 2 3 3 3 6" xfId="19051"/>
    <cellStyle name="输入 2 11 7 3 5 2" xfId="19052"/>
    <cellStyle name="输出 2 9 10 8 4" xfId="19053"/>
    <cellStyle name="汇总 2 5 8 5 3" xfId="19054"/>
    <cellStyle name="输出 2 9 10 8 5" xfId="19055"/>
    <cellStyle name="计算 2 2 14 3 2" xfId="19056"/>
    <cellStyle name="汇总 2 5 8 5 4" xfId="19057"/>
    <cellStyle name="输入 2 3 11 14" xfId="19058"/>
    <cellStyle name="汇总 2 5 8 5 4 2" xfId="19059"/>
    <cellStyle name="输入 2 8 9 5 3" xfId="19060"/>
    <cellStyle name="计算 2 11 8 6 3 2" xfId="19061"/>
    <cellStyle name="汇总 2 5 8 5 5" xfId="19062"/>
    <cellStyle name="汇总 2 5 8 5 5 2" xfId="19063"/>
    <cellStyle name="汇总 2 5 8 5 6" xfId="19064"/>
    <cellStyle name="计算 2 4 5 5 5 2" xfId="19065"/>
    <cellStyle name="汇总 2 5 8 6" xfId="19066"/>
    <cellStyle name="输出 2 2 9 6 5 2" xfId="19067"/>
    <cellStyle name="输入 2 3 3 4 5" xfId="19068"/>
    <cellStyle name="汇总 2 5 8 6 2" xfId="19069"/>
    <cellStyle name="检查单元格 2 9 2 7" xfId="19070"/>
    <cellStyle name="输入 2 3 3 4 6" xfId="19071"/>
    <cellStyle name="汇总 2 5 8 6 3" xfId="19072"/>
    <cellStyle name="检查单元格 2 9 2 8" xfId="19073"/>
    <cellStyle name="计算 2 2 14 4 2" xfId="19074"/>
    <cellStyle name="汇总 2 5 8 6 4" xfId="19075"/>
    <cellStyle name="检查单元格 2 9 2 9" xfId="19076"/>
    <cellStyle name="汇总 2 5 8 6 4 2" xfId="19077"/>
    <cellStyle name="输入 2 2 2 12" xfId="19078"/>
    <cellStyle name="检查单元格 2 9 2 9 2" xfId="19079"/>
    <cellStyle name="汇总 2 5 8 6 5 2" xfId="19080"/>
    <cellStyle name="汇总 2 5 8 6 6" xfId="19081"/>
    <cellStyle name="输入 2 7 14 2 2" xfId="19082"/>
    <cellStyle name="输入 2 3 3 5 5" xfId="19083"/>
    <cellStyle name="汇总 2 5 8 7 2" xfId="19084"/>
    <cellStyle name="检查单元格 2 9 3 7" xfId="19085"/>
    <cellStyle name="输入 2 3 3 5 6" xfId="19086"/>
    <cellStyle name="汇总 2 5 8 7 3" xfId="19087"/>
    <cellStyle name="检查单元格 2 9 3 8" xfId="19088"/>
    <cellStyle name="计算 2 2 14 5 2" xfId="19089"/>
    <cellStyle name="汇总 2 5 8 7 4" xfId="19090"/>
    <cellStyle name="检查单元格 2 9 3 9" xfId="19091"/>
    <cellStyle name="汇总 2 5 8 7 4 2" xfId="19092"/>
    <cellStyle name="输入 2 2 7 12" xfId="19093"/>
    <cellStyle name="检查单元格 2 9 3 9 2" xfId="19094"/>
    <cellStyle name="输出 2 13 3" xfId="19095"/>
    <cellStyle name="汇总 2 5 8 7 5 2" xfId="19096"/>
    <cellStyle name="计算 2 3 4 15" xfId="19097"/>
    <cellStyle name="输出 2 14 3" xfId="19098"/>
    <cellStyle name="汇总 2 5 8 7 6" xfId="19099"/>
    <cellStyle name="注释 2 7 8 5 3 2" xfId="19100"/>
    <cellStyle name="汇总 2 6 10 4 4 2" xfId="19101"/>
    <cellStyle name="输入 2 7 14 3" xfId="19102"/>
    <cellStyle name="汇总 2 5 8 8" xfId="19103"/>
    <cellStyle name="输入 2 7 14 3 2" xfId="19104"/>
    <cellStyle name="输入 2 3 3 6 5" xfId="19105"/>
    <cellStyle name="汇总 2 5 8 8 2" xfId="19106"/>
    <cellStyle name="检查单元格 2 9 4 7" xfId="19107"/>
    <cellStyle name="输入 2 3 3 6 6" xfId="19108"/>
    <cellStyle name="汇总 2 5 8 8 3" xfId="19109"/>
    <cellStyle name="检查单元格 2 9 4 8" xfId="19110"/>
    <cellStyle name="输入 2 7 14 4 2" xfId="19111"/>
    <cellStyle name="输入 2 3 3 7 5" xfId="19112"/>
    <cellStyle name="汇总 2 5 8 9 2" xfId="19113"/>
    <cellStyle name="检查单元格 2 9 5 7" xfId="19114"/>
    <cellStyle name="汇总 2 5 9 11" xfId="19115"/>
    <cellStyle name="输出 2 4 3 2 8" xfId="19116"/>
    <cellStyle name="输出 2 9 9 4 3" xfId="19117"/>
    <cellStyle name="汇总 2 6 6 2 6" xfId="19118"/>
    <cellStyle name="输出 2 9 11 5 3" xfId="19119"/>
    <cellStyle name="汇总 2 5 9 2 2" xfId="19120"/>
    <cellStyle name="汇总 2 6 5 16" xfId="19121"/>
    <cellStyle name="输入 2 9 8 8 3 2" xfId="19122"/>
    <cellStyle name="输出 2 9 11 5 5" xfId="19123"/>
    <cellStyle name="汇总 2 5 9 2 4" xfId="19124"/>
    <cellStyle name="汇总 2 5 9 2 6" xfId="19125"/>
    <cellStyle name="汇总 2 5 9 2 7" xfId="19126"/>
    <cellStyle name="注释 2 10 4 11 2" xfId="19127"/>
    <cellStyle name="计算 2 12 3 5 2 2" xfId="19128"/>
    <cellStyle name="汇总 2 5 9 2 9" xfId="19129"/>
    <cellStyle name="汇总 2 8 10 6 4 2" xfId="19130"/>
    <cellStyle name="检查单元格 2 6 12 3 2" xfId="19131"/>
    <cellStyle name="输出 2 6 15 2" xfId="19132"/>
    <cellStyle name="输出 2 6 20 2" xfId="19133"/>
    <cellStyle name="输入 2 9 7 7 2 2" xfId="19134"/>
    <cellStyle name="汇总 2 5 9 3" xfId="19135"/>
    <cellStyle name="汇总 2 6 6 7 4 2" xfId="19136"/>
    <cellStyle name="输出 2 9 11 6 3" xfId="19137"/>
    <cellStyle name="汇总 2 5 9 3 2" xfId="19138"/>
    <cellStyle name="输入 2 11 7 4 3 2" xfId="19139"/>
    <cellStyle name="输出 2 9 11 6 4" xfId="19140"/>
    <cellStyle name="汇总 2 5 9 3 3" xfId="19141"/>
    <cellStyle name="输入 2 9 8 8 4 2" xfId="19142"/>
    <cellStyle name="输出 2 9 11 6 5" xfId="19143"/>
    <cellStyle name="汇总 2 5 9 3 4" xfId="19144"/>
    <cellStyle name="输出 2 9 11 6 5 2" xfId="19145"/>
    <cellStyle name="汇总 2 5 9 3 4 2" xfId="19146"/>
    <cellStyle name="输出 2 9 11 6 6" xfId="19147"/>
    <cellStyle name="汇总 2 5 9 3 5" xfId="19148"/>
    <cellStyle name="汇总 2 5 9 3 5 2" xfId="19149"/>
    <cellStyle name="输入 2 8 2 8" xfId="19150"/>
    <cellStyle name="计算 2 7 9 15" xfId="19151"/>
    <cellStyle name="汇总 2 5 9 3 6" xfId="19152"/>
    <cellStyle name="输入 2 3 4 2 5" xfId="19153"/>
    <cellStyle name="输出 2 9 11 7 3" xfId="19154"/>
    <cellStyle name="汇总 2 5 9 4 2" xfId="19155"/>
    <cellStyle name="计算 2 9 7 2 2 2" xfId="19156"/>
    <cellStyle name="输入 2 3 4 2 6" xfId="19157"/>
    <cellStyle name="输入 2 11 7 4 4 2" xfId="19158"/>
    <cellStyle name="输出 2 9 11 7 4" xfId="19159"/>
    <cellStyle name="汇总 2 5 9 4 3" xfId="19160"/>
    <cellStyle name="输入 2 3 4 2 7" xfId="19161"/>
    <cellStyle name="输出 2 9 11 7 5" xfId="19162"/>
    <cellStyle name="计算 2 2 15 2 2" xfId="19163"/>
    <cellStyle name="汇总 2 5 9 4 4" xfId="19164"/>
    <cellStyle name="输入 2 12 6 14" xfId="19165"/>
    <cellStyle name="输出 2 9 11 7 5 2" xfId="19166"/>
    <cellStyle name="汇总 2 5 9 4 4 2" xfId="19167"/>
    <cellStyle name="计算 2 11 8 7 2 2" xfId="19168"/>
    <cellStyle name="输入 2 3 4 2 8" xfId="19169"/>
    <cellStyle name="输出 2 9 11 7 6" xfId="19170"/>
    <cellStyle name="汇总 2 5 9 4 5" xfId="19171"/>
    <cellStyle name="汇总 2 5 9 4 5 2" xfId="19172"/>
    <cellStyle name="汇总 2 5 9 5" xfId="19173"/>
    <cellStyle name="计算 2 9 7 2 3" xfId="19174"/>
    <cellStyle name="输入 2 3 4 3 5" xfId="19175"/>
    <cellStyle name="输出 2 9 11 8 3" xfId="19176"/>
    <cellStyle name="汇总 2 5 9 5 2" xfId="19177"/>
    <cellStyle name="计算 2 9 7 2 3 2" xfId="19178"/>
    <cellStyle name="输入 2 3 4 3 6" xfId="19179"/>
    <cellStyle name="输入 2 11 7 4 5 2" xfId="19180"/>
    <cellStyle name="输出 2 9 11 8 4" xfId="19181"/>
    <cellStyle name="汇总 2 5 9 5 3" xfId="19182"/>
    <cellStyle name="输出 2 9 11 8 5" xfId="19183"/>
    <cellStyle name="计算 2 2 15 3 2" xfId="19184"/>
    <cellStyle name="汇总 2 5 9 5 4" xfId="19185"/>
    <cellStyle name="输入 2 4 11 14" xfId="19186"/>
    <cellStyle name="汇总 2 5 9 5 4 2" xfId="19187"/>
    <cellStyle name="计算 2 11 8 7 3 2" xfId="19188"/>
    <cellStyle name="汇总 2 5 9 5 5" xfId="19189"/>
    <cellStyle name="汇总 2 5 9 5 6" xfId="19190"/>
    <cellStyle name="汇总 2 5 9 6" xfId="19191"/>
    <cellStyle name="计算 2 9 7 2 4" xfId="19192"/>
    <cellStyle name="输入 2 3 4 4 5" xfId="19193"/>
    <cellStyle name="汇总 2 5 9 6 2" xfId="19194"/>
    <cellStyle name="计算 2 9 7 2 4 2" xfId="19195"/>
    <cellStyle name="输入 2 3 4 4 6" xfId="19196"/>
    <cellStyle name="汇总 2 5 9 6 3" xfId="19197"/>
    <cellStyle name="计算 2 2 15 4 2" xfId="19198"/>
    <cellStyle name="汇总 2 5 9 6 4" xfId="19199"/>
    <cellStyle name="汇总 2 5 9 6 4 2" xfId="19200"/>
    <cellStyle name="计算 2 11 8 7 4 2" xfId="19201"/>
    <cellStyle name="汇总 2 5 9 6 5" xfId="19202"/>
    <cellStyle name="汇总 2 5 9 6 5 2" xfId="19203"/>
    <cellStyle name="汇总 2 5 9 6 6" xfId="19204"/>
    <cellStyle name="输入 2 3 4 5 6" xfId="19205"/>
    <cellStyle name="汇总 2 5 9 7 3" xfId="19206"/>
    <cellStyle name="输出 2 3 7 10 2" xfId="19207"/>
    <cellStyle name="计算 2 2 15 5 2" xfId="19208"/>
    <cellStyle name="汇总 2 5 9 7 4" xfId="19209"/>
    <cellStyle name="汇总 2 9 11 2 2 2" xfId="19210"/>
    <cellStyle name="计算 2 5 2 6 6" xfId="19211"/>
    <cellStyle name="输出 2 3 3 3 3 2" xfId="19212"/>
    <cellStyle name="输出 2 3 6 7 6" xfId="19213"/>
    <cellStyle name="汇总 2 5 9 7 4 2" xfId="19214"/>
    <cellStyle name="计算 2 11 8 7 5 2" xfId="19215"/>
    <cellStyle name="汇总 2 5 9 7 5" xfId="19216"/>
    <cellStyle name="汇总 2 5 9 7 5 2" xfId="19217"/>
    <cellStyle name="计算 2 8 4 15" xfId="19218"/>
    <cellStyle name="汇总 2 5 9 7 6" xfId="19219"/>
    <cellStyle name="输入 2 3 4 6 5 2" xfId="19220"/>
    <cellStyle name="汇总 2 5 9 8 2 2" xfId="19221"/>
    <cellStyle name="汇总 2 5 9 8 3 2" xfId="19222"/>
    <cellStyle name="汇总 2 5 9 8 4 2" xfId="19223"/>
    <cellStyle name="汇总 2 5 9 8 5" xfId="19224"/>
    <cellStyle name="注释 2 7 8 3 5" xfId="19225"/>
    <cellStyle name="汇总 2 6 10 2 6" xfId="19226"/>
    <cellStyle name="注释 2 7 8 3 6" xfId="19227"/>
    <cellStyle name="汇总 2 6 10 2 7" xfId="19228"/>
    <cellStyle name="汇总 2 7 16 4 2" xfId="19229"/>
    <cellStyle name="汇总 2 6 10 2 8" xfId="19230"/>
    <cellStyle name="汇总 2 6 10 2 9" xfId="19231"/>
    <cellStyle name="汇总 2 6 10 4" xfId="19232"/>
    <cellStyle name="注释 2 7 8 5 5" xfId="19233"/>
    <cellStyle name="汇总 2 6 10 4 6" xfId="19234"/>
    <cellStyle name="计算 2 12 5 7 5 2" xfId="19235"/>
    <cellStyle name="汇总 2 6 10 5" xfId="19236"/>
    <cellStyle name="汇总 2 6 8 8" xfId="19237"/>
    <cellStyle name="注释 2 7 8 6 3 2" xfId="19238"/>
    <cellStyle name="汇总 2 6 10 5 4 2" xfId="19239"/>
    <cellStyle name="注释 2 7 8 6 4" xfId="19240"/>
    <cellStyle name="汇总 2 6 10 5 5" xfId="19241"/>
    <cellStyle name="注释 2 7 8 6 5" xfId="19242"/>
    <cellStyle name="汇总 2 6 10 5 6" xfId="19243"/>
    <cellStyle name="汇总 2 6 10 6" xfId="19244"/>
    <cellStyle name="注释 2 7 8 7 3 2" xfId="19245"/>
    <cellStyle name="汇总 2 6 10 6 4 2" xfId="19246"/>
    <cellStyle name="输出 2 2 10 4 5" xfId="19247"/>
    <cellStyle name="汇总 2 6 5 7 2 2" xfId="19248"/>
    <cellStyle name="输入 2 6 10 3 2" xfId="19249"/>
    <cellStyle name="计算 2 8 7 10" xfId="19250"/>
    <cellStyle name="注释 2 7 8 7 4" xfId="19251"/>
    <cellStyle name="汇总 2 6 10 6 5" xfId="19252"/>
    <cellStyle name="注释 2 7 8 7 5" xfId="19253"/>
    <cellStyle name="汇总 2 6 10 6 6" xfId="19254"/>
    <cellStyle name="汇总 2 6 10 7" xfId="19255"/>
    <cellStyle name="输出 2 2 6 2 3 2" xfId="19256"/>
    <cellStyle name="汇总 2 6 5 7 3 2" xfId="19257"/>
    <cellStyle name="注释 2 7 8 8 4" xfId="19258"/>
    <cellStyle name="汇总 2 6 10 7 5" xfId="19259"/>
    <cellStyle name="注释 2 7 8 8 4 2" xfId="19260"/>
    <cellStyle name="输入 2 5 4 11" xfId="19261"/>
    <cellStyle name="汇总 2 6 10 7 5 2" xfId="19262"/>
    <cellStyle name="输出 2 2 11 5 5" xfId="19263"/>
    <cellStyle name="注释 2 7 8 8 5" xfId="19264"/>
    <cellStyle name="汇总 2 6 10 7 6" xfId="19265"/>
    <cellStyle name="汇总 2 6 10 8 4 2" xfId="19266"/>
    <cellStyle name="汇总 2 6 5 7 4 2" xfId="19267"/>
    <cellStyle name="汇总 2 6 10 8 5" xfId="19268"/>
    <cellStyle name="汇总 2 8 10 2 3 2" xfId="19269"/>
    <cellStyle name="汇总 2 6 11" xfId="19270"/>
    <cellStyle name="汇总 2 6 11 15" xfId="19271"/>
    <cellStyle name="汇总 2 6 11 16" xfId="19272"/>
    <cellStyle name="输出 2 5 2 3 2" xfId="19273"/>
    <cellStyle name="汇总 2 6 11 2 2 2" xfId="19274"/>
    <cellStyle name="汇总 2 8 5 15" xfId="19275"/>
    <cellStyle name="注释 2 7 9 3 2 2" xfId="19276"/>
    <cellStyle name="汇总 2 6 11 2 3 2" xfId="19277"/>
    <cellStyle name="注释 2 7 9 3 3 2" xfId="19278"/>
    <cellStyle name="汇总 2 6 11 2 4 2" xfId="19279"/>
    <cellStyle name="注释 2 7 9 3 4 2" xfId="19280"/>
    <cellStyle name="输入 2 9 4 11" xfId="19281"/>
    <cellStyle name="汇总 2 6 11 2 5 2" xfId="19282"/>
    <cellStyle name="注释 2 7 9 3 5" xfId="19283"/>
    <cellStyle name="汇总 2 6 11 2 6" xfId="19284"/>
    <cellStyle name="注释 2 7 9 4 5" xfId="19285"/>
    <cellStyle name="汇总 2 6 11 3 6" xfId="19286"/>
    <cellStyle name="汇总 2 6 11 4" xfId="19287"/>
    <cellStyle name="汇总 2 6 3 3 2 2" xfId="19288"/>
    <cellStyle name="汇总 2 6 11 4 2" xfId="19289"/>
    <cellStyle name="输出 2 2 10 6 6" xfId="19290"/>
    <cellStyle name="汇总 2 6 11 4 2 2" xfId="19291"/>
    <cellStyle name="输出 2 6 3" xfId="19292"/>
    <cellStyle name="注释 2 7 9 5 2 2" xfId="19293"/>
    <cellStyle name="汇总 2 6 11 4 3 2" xfId="19294"/>
    <cellStyle name="输出 2 7 3" xfId="19295"/>
    <cellStyle name="注释 2 7 9 5 3" xfId="19296"/>
    <cellStyle name="输入 2 6 4 6 4 2" xfId="19297"/>
    <cellStyle name="汇总 2 6 11 4 4" xfId="19298"/>
    <cellStyle name="注释 2 7 9 5 3 2" xfId="19299"/>
    <cellStyle name="输出 2 8 3" xfId="19300"/>
    <cellStyle name="汇总 2 6 11 4 4 2" xfId="19301"/>
    <cellStyle name="注释 2 7 9 5 4 2" xfId="19302"/>
    <cellStyle name="输出 2 9 3" xfId="19303"/>
    <cellStyle name="汇总 2 6 11 4 5 2" xfId="19304"/>
    <cellStyle name="注释 2 7 9 5 5" xfId="19305"/>
    <cellStyle name="汇总 2 6 11 4 6" xfId="19306"/>
    <cellStyle name="汇总 2 6 11 5" xfId="19307"/>
    <cellStyle name="汇总 2 6 11 5 2" xfId="19308"/>
    <cellStyle name="输出 2 2 10 7 6" xfId="19309"/>
    <cellStyle name="汇总 2 6 11 5 2 2" xfId="19310"/>
    <cellStyle name="注释 2 7 9 6 2 2" xfId="19311"/>
    <cellStyle name="汇总 2 6 11 5 3 2" xfId="19312"/>
    <cellStyle name="注释 2 7 9 6 3" xfId="19313"/>
    <cellStyle name="输入 2 6 4 6 5 2" xfId="19314"/>
    <cellStyle name="汇总 2 8 9 8 2 2" xfId="19315"/>
    <cellStyle name="汇总 2 6 11 5 4" xfId="19316"/>
    <cellStyle name="注释 2 7 9 6 3 2" xfId="19317"/>
    <cellStyle name="汇总 2 6 11 5 4 2" xfId="19318"/>
    <cellStyle name="注释 2 7 9 6 4" xfId="19319"/>
    <cellStyle name="汇总 2 6 11 5 5" xfId="19320"/>
    <cellStyle name="注释 2 7 9 6 4 2" xfId="19321"/>
    <cellStyle name="汇总 2 6 11 5 5 2" xfId="19322"/>
    <cellStyle name="注释 2 7 9 6 5" xfId="19323"/>
    <cellStyle name="汇总 2 6 11 5 6" xfId="19324"/>
    <cellStyle name="汇总 2 6 11 6" xfId="19325"/>
    <cellStyle name="汇总 2 6 11 6 2" xfId="19326"/>
    <cellStyle name="注释 2 5 10 4" xfId="19327"/>
    <cellStyle name="汇总 2 6 11 6 2 2" xfId="19328"/>
    <cellStyle name="注释 2 7 9 7 2" xfId="19329"/>
    <cellStyle name="汇总 2 6 11 6 3" xfId="19330"/>
    <cellStyle name="注释 2 7 9 7 2 2" xfId="19331"/>
    <cellStyle name="注释 2 5 11 4" xfId="19332"/>
    <cellStyle name="汇总 2 6 11 6 3 2" xfId="19333"/>
    <cellStyle name="注释 2 7 9 7 3 2" xfId="19334"/>
    <cellStyle name="注释 2 5 12 4" xfId="19335"/>
    <cellStyle name="汇总 2 6 11 6 4 2" xfId="19336"/>
    <cellStyle name="汇总 2 8 10 7 3" xfId="19337"/>
    <cellStyle name="检查单元格 2 6 13 2" xfId="19338"/>
    <cellStyle name="输出 2 12 2 2 3 2" xfId="19339"/>
    <cellStyle name="输出 2 4 2 8 4 2" xfId="19340"/>
    <cellStyle name="汇总 2 6 5 8 2 2" xfId="19341"/>
    <cellStyle name="注释 2 7 9 7 4" xfId="19342"/>
    <cellStyle name="汇总 2 6 11 6 5" xfId="19343"/>
    <cellStyle name="注释 2 7 9 7 4 2" xfId="19344"/>
    <cellStyle name="注释 2 5 13 4" xfId="19345"/>
    <cellStyle name="汇总 2 6 11 6 5 2" xfId="19346"/>
    <cellStyle name="注释 2 7 9 7 5" xfId="19347"/>
    <cellStyle name="汇总 2 6 11 6 6" xfId="19348"/>
    <cellStyle name="汇总 2 6 11 7 2" xfId="19349"/>
    <cellStyle name="汇总 2 6 11 7 2 2" xfId="19350"/>
    <cellStyle name="注释 2 7 9 8 2" xfId="19351"/>
    <cellStyle name="汇总 2 6 11 7 3" xfId="19352"/>
    <cellStyle name="汇总 2 9 5 15" xfId="19353"/>
    <cellStyle name="注释 2 7 9 8 2 2" xfId="19354"/>
    <cellStyle name="汇总 2 6 11 7 3 2" xfId="19355"/>
    <cellStyle name="注释 2 7 9 8 3 2" xfId="19356"/>
    <cellStyle name="汇总 2 6 11 7 4 2" xfId="19357"/>
    <cellStyle name="注释 2 7 9 8 4 2" xfId="19358"/>
    <cellStyle name="汇总 2 6 11 7 5 2" xfId="19359"/>
    <cellStyle name="注释 2 7 9 8 5" xfId="19360"/>
    <cellStyle name="汇总 2 6 11 7 6" xfId="19361"/>
    <cellStyle name="汇总 2 6 11 8 2" xfId="19362"/>
    <cellStyle name="注释 2 7 9 9 2" xfId="19363"/>
    <cellStyle name="汇总 2 6 11 8 3" xfId="19364"/>
    <cellStyle name="汇总 2 6 11 9" xfId="19365"/>
    <cellStyle name="汇总 2 6 11 9 2" xfId="19366"/>
    <cellStyle name="汇总 2 6 12" xfId="19367"/>
    <cellStyle name="汇总 2 6 12 3 2" xfId="19368"/>
    <cellStyle name="输入 2 5 4 12" xfId="19369"/>
    <cellStyle name="输出 2 2 11 5 6" xfId="19370"/>
    <cellStyle name="汇总 2 6 12 4" xfId="19371"/>
    <cellStyle name="汇总 2 6 3 3 3 2" xfId="19372"/>
    <cellStyle name="汇总 2 6 12 4 2" xfId="19373"/>
    <cellStyle name="输出 2 2 11 6 6" xfId="19374"/>
    <cellStyle name="汇总 2 6 12 5" xfId="19375"/>
    <cellStyle name="输出 2 4 7 2 2" xfId="19376"/>
    <cellStyle name="输出 2 2 11 7 6" xfId="19377"/>
    <cellStyle name="汇总 2 6 12 5 2" xfId="19378"/>
    <cellStyle name="输出 2 4 7 2 2 2" xfId="19379"/>
    <cellStyle name="汇总 2 6 12 6" xfId="19380"/>
    <cellStyle name="输出 2 4 7 2 3" xfId="19381"/>
    <cellStyle name="汇总 2 6 12 9" xfId="19382"/>
    <cellStyle name="输出 2 4 7 2 6" xfId="19383"/>
    <cellStyle name="注释 2 2 10 9 2" xfId="19384"/>
    <cellStyle name="汇总 2 6 13" xfId="19385"/>
    <cellStyle name="汇总 2 6 13 3 2" xfId="19386"/>
    <cellStyle name="输入 2 9 4 3 2 2" xfId="19387"/>
    <cellStyle name="汇总 2 6 13 4" xfId="19388"/>
    <cellStyle name="汇总 2 6 3 3 4 2" xfId="19389"/>
    <cellStyle name="输出 2 6 10 8" xfId="19390"/>
    <cellStyle name="汇总 2 6 13 4 2" xfId="19391"/>
    <cellStyle name="计算 2 6 6 15" xfId="19392"/>
    <cellStyle name="计算 2 6 3 2 2" xfId="19393"/>
    <cellStyle name="汇总 2 6 13 5" xfId="19394"/>
    <cellStyle name="输出 2 4 7 3 2" xfId="19395"/>
    <cellStyle name="计算 2 6 3 2 2 2" xfId="19396"/>
    <cellStyle name="汇总 2 6 13 5 2" xfId="19397"/>
    <cellStyle name="输出 2 4 7 3 2 2" xfId="19398"/>
    <cellStyle name="计算 2 11 11 6 2 2" xfId="19399"/>
    <cellStyle name="计算 2 6 3 2 3" xfId="19400"/>
    <cellStyle name="汇总 2 6 13 6" xfId="19401"/>
    <cellStyle name="输出 2 4 7 3 3" xfId="19402"/>
    <cellStyle name="汇总 2 6 14" xfId="19403"/>
    <cellStyle name="汇总 2 6 14 2 2" xfId="19404"/>
    <cellStyle name="输入 2 11 3 14" xfId="19405"/>
    <cellStyle name="汇总 2 6 14 3 2" xfId="19406"/>
    <cellStyle name="输入 2 9 4 3 3 2" xfId="19407"/>
    <cellStyle name="汇总 2 6 14 4" xfId="19408"/>
    <cellStyle name="输出 2 9 6 5 2 2" xfId="19409"/>
    <cellStyle name="汇总 2 6 3 3 5 2" xfId="19410"/>
    <cellStyle name="输入 2 4 5 2 2" xfId="19411"/>
    <cellStyle name="输出 2 6 11 8" xfId="19412"/>
    <cellStyle name="汇总 2 6 14 4 2" xfId="19413"/>
    <cellStyle name="计算 2 6 3 3 2" xfId="19414"/>
    <cellStyle name="汇总 2 6 14 5" xfId="19415"/>
    <cellStyle name="输出 2 4 7 4 2" xfId="19416"/>
    <cellStyle name="计算 2 6 3 3 2 2" xfId="19417"/>
    <cellStyle name="汇总 2 6 14 5 2" xfId="19418"/>
    <cellStyle name="输出 2 4 7 4 2 2" xfId="19419"/>
    <cellStyle name="注释 2 4 6 3 2 2" xfId="19420"/>
    <cellStyle name="输入 2 4 5 2 4" xfId="19421"/>
    <cellStyle name="计算 2 11 11 6 3 2" xfId="19422"/>
    <cellStyle name="计算 2 6 3 3 3" xfId="19423"/>
    <cellStyle name="汇总 2 6 14 6" xfId="19424"/>
    <cellStyle name="输出 2 4 7 4 3" xfId="19425"/>
    <cellStyle name="汇总 2 6 15" xfId="19426"/>
    <cellStyle name="汇总 2 6 20" xfId="19427"/>
    <cellStyle name="计算 2 12 8 7 3 2" xfId="19428"/>
    <cellStyle name="汇总 2 6 16" xfId="19429"/>
    <cellStyle name="汇总 2 6 21" xfId="19430"/>
    <cellStyle name="计算 2 7 19 2" xfId="19431"/>
    <cellStyle name="输入 2 11 6 11 2" xfId="19432"/>
    <cellStyle name="汇总 2 6 17" xfId="19433"/>
    <cellStyle name="汇总 2 6 22" xfId="19434"/>
    <cellStyle name="计算 2 7 19 3" xfId="19435"/>
    <cellStyle name="汇总 2 6 18" xfId="19436"/>
    <cellStyle name="汇总 2 6 23" xfId="19437"/>
    <cellStyle name="计算 2 7 19 4" xfId="19438"/>
    <cellStyle name="汇总 2 6 19" xfId="19439"/>
    <cellStyle name="汇总 2 6 24" xfId="19440"/>
    <cellStyle name="计算 2 7 19 5" xfId="19441"/>
    <cellStyle name="输入 2 2 10 3 5 2" xfId="19442"/>
    <cellStyle name="计算 2 11 6 7 6" xfId="19443"/>
    <cellStyle name="汇总 2 6 2 10 2" xfId="19444"/>
    <cellStyle name="输入 2 2 10 3 6" xfId="19445"/>
    <cellStyle name="汇总 2 6 2 11" xfId="19446"/>
    <cellStyle name="输入 2 9 6 5 2 2" xfId="19447"/>
    <cellStyle name="检查单元格 2 9 8 2" xfId="19448"/>
    <cellStyle name="汇总 2 6 5 5 4 2" xfId="19449"/>
    <cellStyle name="汇总 2 6 2 12" xfId="19450"/>
    <cellStyle name="计算 2 8 5 2 2" xfId="19451"/>
    <cellStyle name="检查单元格 2 9 8 3" xfId="19452"/>
    <cellStyle name="输出 2 6 9 3 2" xfId="19453"/>
    <cellStyle name="计算 2 10 6" xfId="19454"/>
    <cellStyle name="汇总 2 6 2 12 2" xfId="19455"/>
    <cellStyle name="计算 2 8 5 2 2 2" xfId="19456"/>
    <cellStyle name="检查单元格 2 9 8 3 2" xfId="19457"/>
    <cellStyle name="输出 2 6 9 3 2 2" xfId="19458"/>
    <cellStyle name="汇总 2 6 2 13" xfId="19459"/>
    <cellStyle name="计算 2 8 5 2 3" xfId="19460"/>
    <cellStyle name="检查单元格 2 9 8 4" xfId="19461"/>
    <cellStyle name="输出 2 6 9 3 3" xfId="19462"/>
    <cellStyle name="注释 2 11 10 7 6" xfId="19463"/>
    <cellStyle name="汇总 2 6 2 2 2" xfId="19464"/>
    <cellStyle name="汇总 2 6 2 2 2 2" xfId="19465"/>
    <cellStyle name="汇总 2 6 2 2 3" xfId="19466"/>
    <cellStyle name="汇总 2 6 2 2 3 2" xfId="19467"/>
    <cellStyle name="汇总 2 6 5 13" xfId="19468"/>
    <cellStyle name="汇总 2 6 2 2 4" xfId="19469"/>
    <cellStyle name="汇总 2 6 2 2 4 2" xfId="19470"/>
    <cellStyle name="注释 2 7 10 8 2 2" xfId="19471"/>
    <cellStyle name="输出 2 12 7 2 9" xfId="19472"/>
    <cellStyle name="汇总 2 7 20 2" xfId="19473"/>
    <cellStyle name="汇总 2 7 15 2" xfId="19474"/>
    <cellStyle name="输出 2 9 5 4 2" xfId="19475"/>
    <cellStyle name="汇总 2 6 2 2 5" xfId="19476"/>
    <cellStyle name="汇总 2 7 15 2 2" xfId="19477"/>
    <cellStyle name="输出 2 9 5 4 2 2" xfId="19478"/>
    <cellStyle name="汇总 2 6 2 2 5 2" xfId="19479"/>
    <cellStyle name="输入 2 11 3 4 3 2" xfId="19480"/>
    <cellStyle name="汇总 2 7 15 3" xfId="19481"/>
    <cellStyle name="输出 2 9 5 4 3" xfId="19482"/>
    <cellStyle name="汇总 2 6 2 2 6" xfId="19483"/>
    <cellStyle name="输入 2 9 4 8 4 2" xfId="19484"/>
    <cellStyle name="汇总 2 7 15 4" xfId="19485"/>
    <cellStyle name="输出 2 9 5 4 4" xfId="19486"/>
    <cellStyle name="汇总 2 6 2 2 7" xfId="19487"/>
    <cellStyle name="汇总 2 7 15 6" xfId="19488"/>
    <cellStyle name="计算 2 6 8 4 3" xfId="19489"/>
    <cellStyle name="输出 2 9 5 4 6" xfId="19490"/>
    <cellStyle name="汇总 2 6 2 2 9" xfId="19491"/>
    <cellStyle name="汇总 2 6 2 3" xfId="19492"/>
    <cellStyle name="汇总 2 6 2 3 2" xfId="19493"/>
    <cellStyle name="汇总 2 6 2 3 2 2" xfId="19494"/>
    <cellStyle name="汇总 2 6 2 3 3" xfId="19495"/>
    <cellStyle name="汇总 2 6 2 3 3 2" xfId="19496"/>
    <cellStyle name="汇总 2 6 2 3 4" xfId="19497"/>
    <cellStyle name="汇总 2 6 2 3 4 2" xfId="19498"/>
    <cellStyle name="输出 2 12 8 2 9" xfId="19499"/>
    <cellStyle name="输出 2 7 7 3 2 2" xfId="19500"/>
    <cellStyle name="汇总 2 7 21 2" xfId="19501"/>
    <cellStyle name="汇总 2 7 16 2" xfId="19502"/>
    <cellStyle name="计算 2 9 3 2 2 2" xfId="19503"/>
    <cellStyle name="输出 2 9 5 5 2" xfId="19504"/>
    <cellStyle name="汇总 2 6 2 3 5" xfId="19505"/>
    <cellStyle name="汇总 2 7 16 2 2" xfId="19506"/>
    <cellStyle name="输出 2 9 5 5 2 2" xfId="19507"/>
    <cellStyle name="汇总 2 6 2 3 5 2" xfId="19508"/>
    <cellStyle name="计算 2 13 7 2 2" xfId="19509"/>
    <cellStyle name="输入 2 11 3 4 4 2" xfId="19510"/>
    <cellStyle name="汇总 2 7 16 3" xfId="19511"/>
    <cellStyle name="输出 2 9 5 5 3" xfId="19512"/>
    <cellStyle name="汇总 2 6 2 3 6" xfId="19513"/>
    <cellStyle name="汇总 2 6 2 4" xfId="19514"/>
    <cellStyle name="计算 2 8 17 2" xfId="19515"/>
    <cellStyle name="计算 2 8 22 2" xfId="19516"/>
    <cellStyle name="计算 2 10 5 11" xfId="19517"/>
    <cellStyle name="注释 2 3 7 2 6" xfId="19518"/>
    <cellStyle name="汇总 2 6 2 4 2" xfId="19519"/>
    <cellStyle name="计算 2 8 17 2 2" xfId="19520"/>
    <cellStyle name="计算 2 3 13 3" xfId="19521"/>
    <cellStyle name="汇总 2 6 2 4 2 2" xfId="19522"/>
    <cellStyle name="计算 2 10 5 11 2" xfId="19523"/>
    <cellStyle name="计算 2 10 27" xfId="19524"/>
    <cellStyle name="注释 2 6 5 2 4 2" xfId="19525"/>
    <cellStyle name="计算 2 10 5 12" xfId="19526"/>
    <cellStyle name="注释 2 3 7 2 7" xfId="19527"/>
    <cellStyle name="汇总 2 6 2 4 3" xfId="19528"/>
    <cellStyle name="计算 2 3 14 3" xfId="19529"/>
    <cellStyle name="汇总 2 6 2 4 3 2" xfId="19530"/>
    <cellStyle name="计算 2 10 5 12 2" xfId="19531"/>
    <cellStyle name="计算 2 10 5 13" xfId="19532"/>
    <cellStyle name="注释 2 3 7 2 8" xfId="19533"/>
    <cellStyle name="汇总 2 6 2 4 4" xfId="19534"/>
    <cellStyle name="计算 2 3 15 3" xfId="19535"/>
    <cellStyle name="汇总 2 6 2 4 4 2" xfId="19536"/>
    <cellStyle name="输出 2 7 7 3 3 2" xfId="19537"/>
    <cellStyle name="汇总 2 7 22 2" xfId="19538"/>
    <cellStyle name="汇总 2 7 17 2" xfId="19539"/>
    <cellStyle name="计算 2 9 3 2 3 2" xfId="19540"/>
    <cellStyle name="计算 2 10 5 14" xfId="19541"/>
    <cellStyle name="注释 2 3 7 2 9" xfId="19542"/>
    <cellStyle name="输出 2 9 5 6 2" xfId="19543"/>
    <cellStyle name="汇总 2 6 2 4 5" xfId="19544"/>
    <cellStyle name="汇总 2 7 17 2 2" xfId="19545"/>
    <cellStyle name="输出 2 9 5 6 2 2" xfId="19546"/>
    <cellStyle name="计算 2 3 16 3" xfId="19547"/>
    <cellStyle name="汇总 2 6 2 4 5 2" xfId="19548"/>
    <cellStyle name="输出 2 5 16" xfId="19549"/>
    <cellStyle name="输出 2 5 21" xfId="19550"/>
    <cellStyle name="计算 2 13 7 3 2" xfId="19551"/>
    <cellStyle name="输入 2 11 3 4 5 2" xfId="19552"/>
    <cellStyle name="汇总 2 7 17 3" xfId="19553"/>
    <cellStyle name="计算 2 10 5 15" xfId="19554"/>
    <cellStyle name="输入 2 9 3 4 4" xfId="19555"/>
    <cellStyle name="检查单元格 2 12 2 2" xfId="19556"/>
    <cellStyle name="输出 2 9 5 6 3" xfId="19557"/>
    <cellStyle name="汇总 2 6 2 4 6" xfId="19558"/>
    <cellStyle name="输出 2 5 3 3 2 2" xfId="19559"/>
    <cellStyle name="输出 2 9 6 6 3 2" xfId="19560"/>
    <cellStyle name="汇总 2 6 2 5" xfId="19561"/>
    <cellStyle name="计算 2 8 17 3" xfId="19562"/>
    <cellStyle name="注释 2 3 7 3 6" xfId="19563"/>
    <cellStyle name="汇总 2 6 2 5 2" xfId="19564"/>
    <cellStyle name="计算 2 8 17 3 2" xfId="19565"/>
    <cellStyle name="汇总 2 6 2 5 2 2" xfId="19566"/>
    <cellStyle name="汇总 2 6 2 5 3" xfId="19567"/>
    <cellStyle name="汇总 2 6 2 5 3 2" xfId="19568"/>
    <cellStyle name="汇总 2 6 2 5 4" xfId="19569"/>
    <cellStyle name="汇总 2 6 2 5 4 2" xfId="19570"/>
    <cellStyle name="注释 2 8 5 11" xfId="19571"/>
    <cellStyle name="输出 2 4 10 2 9" xfId="19572"/>
    <cellStyle name="输出 2 7 7 3 4 2" xfId="19573"/>
    <cellStyle name="汇总 2 7 23 2" xfId="19574"/>
    <cellStyle name="汇总 2 7 18 2" xfId="19575"/>
    <cellStyle name="计算 2 9 3 2 4 2" xfId="19576"/>
    <cellStyle name="输出 2 9 5 7 2" xfId="19577"/>
    <cellStyle name="汇总 2 6 2 5 5" xfId="19578"/>
    <cellStyle name="汇总 2 7 18 2 2" xfId="19579"/>
    <cellStyle name="输出 2 9 5 7 2 2" xfId="19580"/>
    <cellStyle name="汇总 2 6 2 5 5 2" xfId="19581"/>
    <cellStyle name="计算 2 13 7 4 2" xfId="19582"/>
    <cellStyle name="汇总 2 7 18 3" xfId="19583"/>
    <cellStyle name="输出 2 9 5 7 3" xfId="19584"/>
    <cellStyle name="汇总 2 6 2 5 6" xfId="19585"/>
    <cellStyle name="输出 2 5 3 3 3 2" xfId="19586"/>
    <cellStyle name="输入 2 2 10 10" xfId="19587"/>
    <cellStyle name="汇总 2 6 2 6" xfId="19588"/>
    <cellStyle name="计算 2 8 17 4" xfId="19589"/>
    <cellStyle name="注释 2 3 7 4 6" xfId="19590"/>
    <cellStyle name="输入 2 2 10 10 2" xfId="19591"/>
    <cellStyle name="汇总 2 6 2 6 2" xfId="19592"/>
    <cellStyle name="计算 2 8 17 4 2" xfId="19593"/>
    <cellStyle name="汇总 2 6 2 6 2 2" xfId="19594"/>
    <cellStyle name="汇总 2 6 2 6 3" xfId="19595"/>
    <cellStyle name="汇总 2 6 2 6 3 2" xfId="19596"/>
    <cellStyle name="汇总 2 6 2 6 4" xfId="19597"/>
    <cellStyle name="汇总 2 6 2 6 4 2" xfId="19598"/>
    <cellStyle name="汇总 2 7 19 2 2" xfId="19599"/>
    <cellStyle name="输出 2 9 5 8 2 2" xfId="19600"/>
    <cellStyle name="汇总 2 6 2 6 5 2" xfId="19601"/>
    <cellStyle name="计算 2 13 7 5 2" xfId="19602"/>
    <cellStyle name="汇总 2 7 19 3" xfId="19603"/>
    <cellStyle name="注释 2 3 14" xfId="19604"/>
    <cellStyle name="输入 2 9 3 6 4" xfId="19605"/>
    <cellStyle name="汇总 2 7 6 3 2 2" xfId="19606"/>
    <cellStyle name="检查单元格 2 12 4 2" xfId="19607"/>
    <cellStyle name="输出 2 9 5 8 3" xfId="19608"/>
    <cellStyle name="汇总 2 6 2 6 6" xfId="19609"/>
    <cellStyle name="输出 2 17 5 2 2" xfId="19610"/>
    <cellStyle name="输出 2 5 3 3 4 2" xfId="19611"/>
    <cellStyle name="输入 2 2 10 11" xfId="19612"/>
    <cellStyle name="汇总 2 6 2 7" xfId="19613"/>
    <cellStyle name="计算 2 8 17 5" xfId="19614"/>
    <cellStyle name="注释 2 4 6 4 3 2" xfId="19615"/>
    <cellStyle name="输入 2 4 6 3 4" xfId="19616"/>
    <cellStyle name="计算 2 11 11 7 4 2" xfId="19617"/>
    <cellStyle name="输出 2 6 9 10" xfId="19618"/>
    <cellStyle name="注释 2 3 7 5 6" xfId="19619"/>
    <cellStyle name="输入 2 2 10 11 2" xfId="19620"/>
    <cellStyle name="汇总 2 6 2 7 2" xfId="19621"/>
    <cellStyle name="计算 2 8 17 5 2" xfId="19622"/>
    <cellStyle name="输入 2 4 6 3 4 2" xfId="19623"/>
    <cellStyle name="输出 2 6 9 10 2" xfId="19624"/>
    <cellStyle name="汇总 2 6 2 7 2 2" xfId="19625"/>
    <cellStyle name="汇总 2 6 2 7 3" xfId="19626"/>
    <cellStyle name="汇总 2 7 5 13" xfId="19627"/>
    <cellStyle name="汇总 2 6 2 7 3 2" xfId="19628"/>
    <cellStyle name="汇总 2 6 2 7 4" xfId="19629"/>
    <cellStyle name="汇总 2 6 2 7 4 2" xfId="19630"/>
    <cellStyle name="汇总 2 6 2 7 5 2" xfId="19631"/>
    <cellStyle name="输入 2 2 10 12" xfId="19632"/>
    <cellStyle name="汇总 2 6 2 8" xfId="19633"/>
    <cellStyle name="计算 2 8 17 6" xfId="19634"/>
    <cellStyle name="计算 2 9 8 4 3 2" xfId="19635"/>
    <cellStyle name="输入 2 4 6 3 5" xfId="19636"/>
    <cellStyle name="输出 2 6 9 11" xfId="19637"/>
    <cellStyle name="注释 2 3 7 6 6" xfId="19638"/>
    <cellStyle name="输入 2 2 10 12 2" xfId="19639"/>
    <cellStyle name="汇总 2 6 2 8 2" xfId="19640"/>
    <cellStyle name="输入 2 4 6 3 5 2" xfId="19641"/>
    <cellStyle name="输出 2 6 9 11 2" xfId="19642"/>
    <cellStyle name="汇总 2 6 2 8 3" xfId="19643"/>
    <cellStyle name="汇总 2 6 2 8 4" xfId="19644"/>
    <cellStyle name="计算 2 10 6 11" xfId="19645"/>
    <cellStyle name="计算 2 6 4 4 5 2" xfId="19646"/>
    <cellStyle name="输出 2 4 8 5 5 2" xfId="19647"/>
    <cellStyle name="注释 2 3 7 7 6" xfId="19648"/>
    <cellStyle name="汇总 2 6 2 9 2" xfId="19649"/>
    <cellStyle name="输出 2 6 9 12 2" xfId="19650"/>
    <cellStyle name="输入 2 4 6 7 4 2" xfId="19651"/>
    <cellStyle name="汇总 2 6 25" xfId="19652"/>
    <cellStyle name="汇总 2 6 6 7 2" xfId="19653"/>
    <cellStyle name="汇总 2 6 26" xfId="19654"/>
    <cellStyle name="汇总 2 6 6 7 3" xfId="19655"/>
    <cellStyle name="汇总 2 6 27" xfId="19656"/>
    <cellStyle name="汇总 2 6 6 7 4" xfId="19657"/>
    <cellStyle name="汇总 2 6 3 14" xfId="19658"/>
    <cellStyle name="计算 2 8 5 7 4" xfId="19659"/>
    <cellStyle name="输出 2 6 9 8 4" xfId="19660"/>
    <cellStyle name="注释 2 11 11 7 6" xfId="19661"/>
    <cellStyle name="汇总 2 6 3 2 2" xfId="19662"/>
    <cellStyle name="汇总 2 6 3 2 3" xfId="19663"/>
    <cellStyle name="汇总 2 6 3 2 3 2" xfId="19664"/>
    <cellStyle name="输入 2 9 9 2 3 2" xfId="19665"/>
    <cellStyle name="汇总 2 6 3 2 4" xfId="19666"/>
    <cellStyle name="注释 2 6 11 7" xfId="19667"/>
    <cellStyle name="汇总 2 6 8 2 5 2" xfId="19668"/>
    <cellStyle name="汇总 2 6 3 2 4 2" xfId="19669"/>
    <cellStyle name="输出 2 9 6 4 2 2" xfId="19670"/>
    <cellStyle name="汇总 2 6 3 2 5 2" xfId="19671"/>
    <cellStyle name="输出 2 9 6 4 3" xfId="19672"/>
    <cellStyle name="汇总 2 6 3 2 6" xfId="19673"/>
    <cellStyle name="输出 2 9 6 4 4" xfId="19674"/>
    <cellStyle name="汇总 2 6 3 2 7" xfId="19675"/>
    <cellStyle name="输出 2 9 6 4 6" xfId="19676"/>
    <cellStyle name="汇总 2 6 3 2 9" xfId="19677"/>
    <cellStyle name="汇总 2 6 3 3" xfId="19678"/>
    <cellStyle name="汇总 2 6 3 3 2" xfId="19679"/>
    <cellStyle name="汇总 2 6 3 3 3" xfId="19680"/>
    <cellStyle name="输入 2 9 9 2 4 2" xfId="19681"/>
    <cellStyle name="汇总 2 6 3 3 4" xfId="19682"/>
    <cellStyle name="输出 2 9 6 5 3" xfId="19683"/>
    <cellStyle name="汇总 2 6 3 3 6" xfId="19684"/>
    <cellStyle name="计算 2 13 3 2 2" xfId="19685"/>
    <cellStyle name="检查单元格 2 5 4 4 3 2" xfId="19686"/>
    <cellStyle name="汇总 2 6 3 4" xfId="19687"/>
    <cellStyle name="计算 2 8 18 2" xfId="19688"/>
    <cellStyle name="计算 2 8 23 2" xfId="19689"/>
    <cellStyle name="注释 2 3 8 2 6" xfId="19690"/>
    <cellStyle name="汇总 2 6 3 4 2" xfId="19691"/>
    <cellStyle name="计算 2 8 18 2 2" xfId="19692"/>
    <cellStyle name="汇总 2 6 3 4 2 2" xfId="19693"/>
    <cellStyle name="计算 2 8 13 3" xfId="19694"/>
    <cellStyle name="注释 2 3 8 2 7" xfId="19695"/>
    <cellStyle name="汇总 2 6 3 4 3" xfId="19696"/>
    <cellStyle name="汇总 2 6 3 4 3 2" xfId="19697"/>
    <cellStyle name="计算 2 8 14 3" xfId="19698"/>
    <cellStyle name="注释 2 3 8 2 8" xfId="19699"/>
    <cellStyle name="输入 2 9 9 2 5 2" xfId="19700"/>
    <cellStyle name="汇总 2 6 3 4 4" xfId="19701"/>
    <cellStyle name="汇总 2 6 3 4 4 2" xfId="19702"/>
    <cellStyle name="计算 2 8 15 3" xfId="19703"/>
    <cellStyle name="注释 2 3 8 2 9" xfId="19704"/>
    <cellStyle name="输出 2 9 6 6 2" xfId="19705"/>
    <cellStyle name="汇总 2 6 3 4 5" xfId="19706"/>
    <cellStyle name="输出 2 9 6 6 2 2" xfId="19707"/>
    <cellStyle name="汇总 2 6 3 4 5 2" xfId="19708"/>
    <cellStyle name="计算 2 8 16 3" xfId="19709"/>
    <cellStyle name="输出 2 9 6 6 3" xfId="19710"/>
    <cellStyle name="汇总 2 6 3 4 6" xfId="19711"/>
    <cellStyle name="输出 2 5 3 4 2 2" xfId="19712"/>
    <cellStyle name="输入 2 11 7 10 2" xfId="19713"/>
    <cellStyle name="输出 2 9 6 6 4 2" xfId="19714"/>
    <cellStyle name="汇总 2 6 3 5" xfId="19715"/>
    <cellStyle name="计算 2 8 18 3" xfId="19716"/>
    <cellStyle name="汇总 2 6 3 5 2 2" xfId="19717"/>
    <cellStyle name="汇总 2 6 3 5 3 2" xfId="19718"/>
    <cellStyle name="汇总 2 6 3 5 4" xfId="19719"/>
    <cellStyle name="汇总 2 6 3 5 4 2" xfId="19720"/>
    <cellStyle name="输出 2 9 6 7 2" xfId="19721"/>
    <cellStyle name="汇总 2 6 3 5 5" xfId="19722"/>
    <cellStyle name="输出 2 9 6 7 2 2" xfId="19723"/>
    <cellStyle name="汇总 2 6 3 5 5 2" xfId="19724"/>
    <cellStyle name="输出 2 9 6 7 3" xfId="19725"/>
    <cellStyle name="汇总 2 6 3 5 6" xfId="19726"/>
    <cellStyle name="输出 2 5 3 4 3 2" xfId="19727"/>
    <cellStyle name="输入 2 4 6 4 3" xfId="19728"/>
    <cellStyle name="计算 2 11 4 3 2 2" xfId="19729"/>
    <cellStyle name="汇总 2 6 3 6" xfId="19730"/>
    <cellStyle name="计算 2 8 18 4" xfId="19731"/>
    <cellStyle name="注释 2 3 8 4 6" xfId="19732"/>
    <cellStyle name="汇总 2 6 3 6 2" xfId="19733"/>
    <cellStyle name="计算 2 8 18 4 2" xfId="19734"/>
    <cellStyle name="汇总 2 6 3 6 3" xfId="19735"/>
    <cellStyle name="汇总 2 6 3 6 3 2" xfId="19736"/>
    <cellStyle name="汇总 2 6 3 6 4" xfId="19737"/>
    <cellStyle name="汇总 2 6 3 6 4 2" xfId="19738"/>
    <cellStyle name="输出 2 9 6 8 2 2" xfId="19739"/>
    <cellStyle name="汇总 2 6 3 6 5 2" xfId="19740"/>
    <cellStyle name="注释 2 8 14" xfId="19741"/>
    <cellStyle name="输入 2 9 4 6 4" xfId="19742"/>
    <cellStyle name="汇总 2 7 6 4 2 2" xfId="19743"/>
    <cellStyle name="输出 2 9 6 8 3" xfId="19744"/>
    <cellStyle name="汇总 2 6 3 6 6" xfId="19745"/>
    <cellStyle name="输出 2 17 6 2 2" xfId="19746"/>
    <cellStyle name="输出 2 5 3 4 4 2" xfId="19747"/>
    <cellStyle name="输入 2 4 8 3" xfId="19748"/>
    <cellStyle name="输出 2 7 11 10" xfId="19749"/>
    <cellStyle name="注释 2 4 6 4 4 2" xfId="19750"/>
    <cellStyle name="输入 2 4 6 4 4" xfId="19751"/>
    <cellStyle name="计算 2 11 11 7 5 2" xfId="19752"/>
    <cellStyle name="汇总 2 6 3 7" xfId="19753"/>
    <cellStyle name="计算 2 8 18 5" xfId="19754"/>
    <cellStyle name="注释 2 3 8 5 6" xfId="19755"/>
    <cellStyle name="汇总 2 6 3 7 2" xfId="19756"/>
    <cellStyle name="计算 2 8 18 5 2" xfId="19757"/>
    <cellStyle name="汇总 2 6 3 7 3" xfId="19758"/>
    <cellStyle name="汇总 2 6 3 7 3 2" xfId="19759"/>
    <cellStyle name="输出 2 10 14" xfId="19760"/>
    <cellStyle name="汇总 2 6 3 7 4" xfId="19761"/>
    <cellStyle name="汇总 2 6 3 7 4 2" xfId="19762"/>
    <cellStyle name="汇总 2 6 3 7 5 2" xfId="19763"/>
    <cellStyle name="汇总 2 6 3 8" xfId="19764"/>
    <cellStyle name="计算 2 8 18 6" xfId="19765"/>
    <cellStyle name="计算 2 9 8 4 4 2" xfId="19766"/>
    <cellStyle name="注释 2 3 8 6 6" xfId="19767"/>
    <cellStyle name="汇总 2 6 3 8 2" xfId="19768"/>
    <cellStyle name="汇总 2 6 3 8 2 2" xfId="19769"/>
    <cellStyle name="汇总 2 7 11 4" xfId="19770"/>
    <cellStyle name="汇总 2 6 3 8 3" xfId="19771"/>
    <cellStyle name="汇总 2 6 3 8 3 2" xfId="19772"/>
    <cellStyle name="输出 2 15 14" xfId="19773"/>
    <cellStyle name="汇总 2 7 12 4" xfId="19774"/>
    <cellStyle name="汇总 2 6 3 8 4" xfId="19775"/>
    <cellStyle name="汇总 2 6 3 8 4 2" xfId="19776"/>
    <cellStyle name="输出 2 7 10 8" xfId="19777"/>
    <cellStyle name="输入 2 9 4 8 2 2" xfId="19778"/>
    <cellStyle name="汇总 2 7 13 4" xfId="19779"/>
    <cellStyle name="汇总 2 6 3 9" xfId="19780"/>
    <cellStyle name="注释 2 3 8 7 6" xfId="19781"/>
    <cellStyle name="汇总 2 6 3 9 2" xfId="19782"/>
    <cellStyle name="汇总 2 6 4 10" xfId="19783"/>
    <cellStyle name="输出 2 4 7 2 7" xfId="19784"/>
    <cellStyle name="汇总 2 8 3 2 4" xfId="19785"/>
    <cellStyle name="汇总 2 6 4 10 2" xfId="19786"/>
    <cellStyle name="输出 2 8 7 2 2 2" xfId="19787"/>
    <cellStyle name="汇总 2 6 4 11" xfId="19788"/>
    <cellStyle name="输出 2 4 7 2 8" xfId="19789"/>
    <cellStyle name="注释 2 5 8 2 8" xfId="19790"/>
    <cellStyle name="汇总 2 8 3 4 4" xfId="19791"/>
    <cellStyle name="汇总 2 6 4 12 2" xfId="19792"/>
    <cellStyle name="汇总 2 6 4 13" xfId="19793"/>
    <cellStyle name="计算 2 12 4 6 2 2" xfId="19794"/>
    <cellStyle name="汇总 2 8 11 7 4 2" xfId="19795"/>
    <cellStyle name="汇总 2 6 4 14" xfId="19796"/>
    <cellStyle name="汇总 2 6 4 15" xfId="19797"/>
    <cellStyle name="汇总 2 6 4 16" xfId="19798"/>
    <cellStyle name="汇总 2 6 4 2 2" xfId="19799"/>
    <cellStyle name="计算 2 2 7 10" xfId="19800"/>
    <cellStyle name="汇总 2 6 4 2 2 2" xfId="19801"/>
    <cellStyle name="汇总 2 6 4 2 3 2" xfId="19802"/>
    <cellStyle name="输入 2 9 9 3 3 2" xfId="19803"/>
    <cellStyle name="汇总 2 6 4 2 4" xfId="19804"/>
    <cellStyle name="汇总 2 6 8 3 5 2" xfId="19805"/>
    <cellStyle name="汇总 2 6 4 2 4 2" xfId="19806"/>
    <cellStyle name="输出 2 9 7 4 3" xfId="19807"/>
    <cellStyle name="汇总 2 6 4 2 6" xfId="19808"/>
    <cellStyle name="输出 2 9 7 4 4" xfId="19809"/>
    <cellStyle name="汇总 2 6 4 2 7" xfId="19810"/>
    <cellStyle name="注释 2 10 8 11 2" xfId="19811"/>
    <cellStyle name="输出 2 9 7 4 6" xfId="19812"/>
    <cellStyle name="汇总 2 6 4 2 9" xfId="19813"/>
    <cellStyle name="汇总 2 6 4 3" xfId="19814"/>
    <cellStyle name="汇总 2 6 4 3 3" xfId="19815"/>
    <cellStyle name="汇总 2 6 4 3 3 2" xfId="19816"/>
    <cellStyle name="输入 2 9 9 3 4 2" xfId="19817"/>
    <cellStyle name="汇总 2 6 4 3 4" xfId="19818"/>
    <cellStyle name="汇总 2 6 4 3 4 2" xfId="19819"/>
    <cellStyle name="输出 2 9 7 5 3" xfId="19820"/>
    <cellStyle name="汇总 2 6 4 3 6" xfId="19821"/>
    <cellStyle name="计算 2 13 3 3 2" xfId="19822"/>
    <cellStyle name="检查单元格 2 5 4 4 4 2" xfId="19823"/>
    <cellStyle name="汇总 2 6 4 4" xfId="19824"/>
    <cellStyle name="计算 2 8 19 2" xfId="19825"/>
    <cellStyle name="汇总 2 6 4 4 2 2" xfId="19826"/>
    <cellStyle name="注释 2 3 9 2 7" xfId="19827"/>
    <cellStyle name="汇总 2 6 4 4 3" xfId="19828"/>
    <cellStyle name="汇总 2 6 4 4 3 2" xfId="19829"/>
    <cellStyle name="注释 2 3 9 2 8" xfId="19830"/>
    <cellStyle name="输入 2 9 9 3 5 2" xfId="19831"/>
    <cellStyle name="汇总 2 6 4 4 4" xfId="19832"/>
    <cellStyle name="汇总 2 6 4 4 4 2" xfId="19833"/>
    <cellStyle name="输入 2 9 5 4 3" xfId="19834"/>
    <cellStyle name="计算 2 11 9 2 2 2" xfId="19835"/>
    <cellStyle name="注释 2 3 9 2 9" xfId="19836"/>
    <cellStyle name="输出 2 9 7 6 2" xfId="19837"/>
    <cellStyle name="汇总 2 6 4 4 5" xfId="19838"/>
    <cellStyle name="输出 2 9 7 6 3" xfId="19839"/>
    <cellStyle name="汇总 2 6 4 4 6" xfId="19840"/>
    <cellStyle name="输出 2 5 3 5 2 2" xfId="19841"/>
    <cellStyle name="输入 2 11 7 11 2" xfId="19842"/>
    <cellStyle name="输出 2 9 6 6 5 2" xfId="19843"/>
    <cellStyle name="汇总 2 6 4 5" xfId="19844"/>
    <cellStyle name="计算 2 8 19 3" xfId="19845"/>
    <cellStyle name="汇总 2 6 4 5 4" xfId="19846"/>
    <cellStyle name="输入 2 9 5 5 3" xfId="19847"/>
    <cellStyle name="计算 2 11 9 2 3 2" xfId="19848"/>
    <cellStyle name="输出 2 9 7 7 2" xfId="19849"/>
    <cellStyle name="汇总 2 6 4 5 5" xfId="19850"/>
    <cellStyle name="输出 2 9 7 7 3" xfId="19851"/>
    <cellStyle name="汇总 2 6 4 5 6" xfId="19852"/>
    <cellStyle name="输出 2 5 3 5 3 2" xfId="19853"/>
    <cellStyle name="输入 2 4 6 5 3" xfId="19854"/>
    <cellStyle name="计算 2 11 4 3 3 2" xfId="19855"/>
    <cellStyle name="汇总 2 6 4 6" xfId="19856"/>
    <cellStyle name="计算 2 8 19 4" xfId="19857"/>
    <cellStyle name="汇总 2 6 4 6 3" xfId="19858"/>
    <cellStyle name="汇总 2 6 4 6 4" xfId="19859"/>
    <cellStyle name="输入 2 9 5 6 4" xfId="19860"/>
    <cellStyle name="汇总 2 7 6 5 2 2" xfId="19861"/>
    <cellStyle name="输出 2 9 7 8 3" xfId="19862"/>
    <cellStyle name="汇总 2 6 4 6 6" xfId="19863"/>
    <cellStyle name="输出 2 17 7 2 2" xfId="19864"/>
    <cellStyle name="输出 2 5 3 5 4 2" xfId="19865"/>
    <cellStyle name="汇总 2 6 4 7" xfId="19866"/>
    <cellStyle name="计算 2 8 19 5" xfId="19867"/>
    <cellStyle name="注释 2 3 9 5 6" xfId="19868"/>
    <cellStyle name="汇总 2 6 4 7 2" xfId="19869"/>
    <cellStyle name="汇总 2 6 4 7 3" xfId="19870"/>
    <cellStyle name="汇总 2 6 4 7 4" xfId="19871"/>
    <cellStyle name="注释 2 3 9 6 6" xfId="19872"/>
    <cellStyle name="汇总 2 6 4 8 2" xfId="19873"/>
    <cellStyle name="汇总 2 6 4 8 3" xfId="19874"/>
    <cellStyle name="汇总 2 6 4 8 4" xfId="19875"/>
    <cellStyle name="汇总 2 6 4 9" xfId="19876"/>
    <cellStyle name="注释 2 3 9 7 6" xfId="19877"/>
    <cellStyle name="汇总 2 6 4 9 2" xfId="19878"/>
    <cellStyle name="汇总 2 6 5 10" xfId="19879"/>
    <cellStyle name="汇总 2 8 8 2 4" xfId="19880"/>
    <cellStyle name="汇总 2 6 5 10 2" xfId="19881"/>
    <cellStyle name="汇总 2 6 5 11" xfId="19882"/>
    <cellStyle name="计算 2 3 6 2 3 2" xfId="19883"/>
    <cellStyle name="汇总 2 6 5 12" xfId="19884"/>
    <cellStyle name="计算 2 5 10 8 2 2" xfId="19885"/>
    <cellStyle name="汇总 2 6 5 14" xfId="19886"/>
    <cellStyle name="输出 2 9 11 5 2" xfId="19887"/>
    <cellStyle name="汇总 2 6 5 15" xfId="19888"/>
    <cellStyle name="计算 2 10 9 5 2 2" xfId="19889"/>
    <cellStyle name="汇总 2 6 5 2" xfId="19890"/>
    <cellStyle name="汇总 2 6 5 2 2 2" xfId="19891"/>
    <cellStyle name="计算 2 7 7 10" xfId="19892"/>
    <cellStyle name="汇总 2 6 5 2 3 2" xfId="19893"/>
    <cellStyle name="汇总 2 6 5 2 4 2" xfId="19894"/>
    <cellStyle name="汇总 2 6 5 3" xfId="19895"/>
    <cellStyle name="输出 2 4 3 8 2 2" xfId="19896"/>
    <cellStyle name="汇总 2 6 5 3 2" xfId="19897"/>
    <cellStyle name="汇总 2 6 5 3 2 2" xfId="19898"/>
    <cellStyle name="计算 2 13 3 4 2" xfId="19899"/>
    <cellStyle name="检查单元格 2 5 4 4 5 2" xfId="19900"/>
    <cellStyle name="汇总 2 6 5 4" xfId="19901"/>
    <cellStyle name="汇总 2 6 5 4 2" xfId="19902"/>
    <cellStyle name="汇总 2 6 5 4 2 2" xfId="19903"/>
    <cellStyle name="汇总 2 6 5 4 3" xfId="19904"/>
    <cellStyle name="汇总 2 6 5 4 3 2" xfId="19905"/>
    <cellStyle name="输入 2 9 9 4 5 2" xfId="19906"/>
    <cellStyle name="汇总 2 6 5 4 4" xfId="19907"/>
    <cellStyle name="汇总 2 6 5 4 4 2" xfId="19908"/>
    <cellStyle name="输入 2 9 6 4 3" xfId="19909"/>
    <cellStyle name="计算 2 11 9 3 2 2" xfId="19910"/>
    <cellStyle name="检查单元格 2 8 9" xfId="19911"/>
    <cellStyle name="输出 2 9 8 6 2" xfId="19912"/>
    <cellStyle name="汇总 2 6 5 4 5" xfId="19913"/>
    <cellStyle name="输出 2 9 8 6 3" xfId="19914"/>
    <cellStyle name="汇总 2 6 5 4 6" xfId="19915"/>
    <cellStyle name="输出 2 5 3 6 2 2" xfId="19916"/>
    <cellStyle name="输入 2 11 7 12 2" xfId="19917"/>
    <cellStyle name="汇总 2 6 5 5" xfId="19918"/>
    <cellStyle name="汇总 2 6 5 5 2" xfId="19919"/>
    <cellStyle name="输出 2 5 4 11" xfId="19920"/>
    <cellStyle name="汇总 2 6 5 5 3" xfId="19921"/>
    <cellStyle name="输出 2 5 4 12" xfId="19922"/>
    <cellStyle name="汇总 2 6 5 5 3 2" xfId="19923"/>
    <cellStyle name="输出 2 5 4 12 2" xfId="19924"/>
    <cellStyle name="汇总 2 6 5 5 4" xfId="19925"/>
    <cellStyle name="输出 2 5 4 13" xfId="19926"/>
    <cellStyle name="输入 2 9 6 5 3" xfId="19927"/>
    <cellStyle name="计算 2 11 9 3 3 2" xfId="19928"/>
    <cellStyle name="检查单元格 2 9 9" xfId="19929"/>
    <cellStyle name="输出 2 9 8 7 2" xfId="19930"/>
    <cellStyle name="汇总 2 6 5 5 5" xfId="19931"/>
    <cellStyle name="输出 2 5 4 14" xfId="19932"/>
    <cellStyle name="输出 2 9 8 7 3" xfId="19933"/>
    <cellStyle name="汇总 2 6 5 5 6" xfId="19934"/>
    <cellStyle name="输出 2 5 3 6 3 2" xfId="19935"/>
    <cellStyle name="输出 2 5 4 15" xfId="19936"/>
    <cellStyle name="输入 2 4 6 6 3" xfId="19937"/>
    <cellStyle name="计算 2 4 5 6 2 2" xfId="19938"/>
    <cellStyle name="计算 2 11 4 3 4 2" xfId="19939"/>
    <cellStyle name="汇总 2 6 5 6" xfId="19940"/>
    <cellStyle name="输出 2 2 9 7 2 2" xfId="19941"/>
    <cellStyle name="汇总 2 6 5 6 2" xfId="19942"/>
    <cellStyle name="计算 2 8 2 10" xfId="19943"/>
    <cellStyle name="汇总 2 6 5 6 2 2" xfId="19944"/>
    <cellStyle name="输出 2 6 6 15" xfId="19945"/>
    <cellStyle name="汇总 2 6 5 6 3" xfId="19946"/>
    <cellStyle name="汇总 2 6 5 6 3 2" xfId="19947"/>
    <cellStyle name="汇总 2 6 5 6 4" xfId="19948"/>
    <cellStyle name="汇总 2 6 5 6 4 2" xfId="19949"/>
    <cellStyle name="输入 2 2 11 3 6" xfId="19950"/>
    <cellStyle name="汇总 2 6 7 11" xfId="19951"/>
    <cellStyle name="输入 2 9 6 6 4" xfId="19952"/>
    <cellStyle name="汇总 2 7 6 6 2 2" xfId="19953"/>
    <cellStyle name="输出 2 9 8 8 3" xfId="19954"/>
    <cellStyle name="汇总 2 6 5 6 6" xfId="19955"/>
    <cellStyle name="输出 2 17 8 2 2" xfId="19956"/>
    <cellStyle name="输出 2 5 3 6 4 2" xfId="19957"/>
    <cellStyle name="汇总 2 6 5 7" xfId="19958"/>
    <cellStyle name="汇总 2 6 5 7 2" xfId="19959"/>
    <cellStyle name="汇总 2 6 5 7 3" xfId="19960"/>
    <cellStyle name="汇总 2 6 5 7 4" xfId="19961"/>
    <cellStyle name="汇总 2 6 5 8 2" xfId="19962"/>
    <cellStyle name="汇总 2 6 5 9 2" xfId="19963"/>
    <cellStyle name="注释 2 2 4 3 5 2" xfId="19964"/>
    <cellStyle name="计算 2 10 9 5 3" xfId="19965"/>
    <cellStyle name="汇总 2 6 6" xfId="19966"/>
    <cellStyle name="输出 2 2 11 6 5 2" xfId="19967"/>
    <cellStyle name="汇总 2 6 6 10 2" xfId="19968"/>
    <cellStyle name="输出 2 11 6 5 3" xfId="19969"/>
    <cellStyle name="输入 2 3 4 5 3" xfId="19970"/>
    <cellStyle name="汇总 2 6 6 14" xfId="19971"/>
    <cellStyle name="注释 2 4 5 2 5 2" xfId="19972"/>
    <cellStyle name="输入 2 3 4 5 4" xfId="19973"/>
    <cellStyle name="汇总 2 6 6 15" xfId="19974"/>
    <cellStyle name="计算 2 10 9 5 3 2" xfId="19975"/>
    <cellStyle name="汇总 2 6 6 2" xfId="19976"/>
    <cellStyle name="汇总 2 6 6 2 2 2" xfId="19977"/>
    <cellStyle name="汇总 2 6 6 2 3 2" xfId="19978"/>
    <cellStyle name="汇总 2 6 6 3" xfId="19979"/>
    <cellStyle name="输出 2 12 3 2 2 2" xfId="19980"/>
    <cellStyle name="输出 2 4 3 8 3 2" xfId="19981"/>
    <cellStyle name="汇总 2 6 6 3 2" xfId="19982"/>
    <cellStyle name="计算 2 7 15 6" xfId="19983"/>
    <cellStyle name="汇总 2 6 6 3 2 2" xfId="19984"/>
    <cellStyle name="计算 2 13 3 5 2" xfId="19985"/>
    <cellStyle name="汇总 2 6 6 4" xfId="19986"/>
    <cellStyle name="汇总 2 6 6 4 2" xfId="19987"/>
    <cellStyle name="计算 2 7 16 6" xfId="19988"/>
    <cellStyle name="汇总 2 6 6 4 3" xfId="19989"/>
    <cellStyle name="输入 2 9 9 5 5 2" xfId="19990"/>
    <cellStyle name="汇总 2 6 6 4 4" xfId="19991"/>
    <cellStyle name="输入 2 9 7 4 3" xfId="19992"/>
    <cellStyle name="计算 2 11 9 4 2 2" xfId="19993"/>
    <cellStyle name="注释 2 4 6 10 2" xfId="19994"/>
    <cellStyle name="输出 2 9 9 6 2" xfId="19995"/>
    <cellStyle name="汇总 2 6 6 4 5" xfId="19996"/>
    <cellStyle name="输出 2 9 9 6 3" xfId="19997"/>
    <cellStyle name="汇总 2 6 6 4 6" xfId="19998"/>
    <cellStyle name="输出 2 5 3 7 2 2" xfId="19999"/>
    <cellStyle name="汇总 2 6 6 5" xfId="20000"/>
    <cellStyle name="输入 2 4 6 7 2 2" xfId="20001"/>
    <cellStyle name="计算 2 7 17 6" xfId="20002"/>
    <cellStyle name="汇总 2 6 6 5 2" xfId="20003"/>
    <cellStyle name="输出 2 5 9 11" xfId="20004"/>
    <cellStyle name="汇总 2 6 6 5 3" xfId="20005"/>
    <cellStyle name="输出 2 5 9 12" xfId="20006"/>
    <cellStyle name="汇总 2 6 6 5 4" xfId="20007"/>
    <cellStyle name="输出 2 5 9 13" xfId="20008"/>
    <cellStyle name="输入 2 9 7 5 3" xfId="20009"/>
    <cellStyle name="计算 2 11 9 4 3 2" xfId="20010"/>
    <cellStyle name="注释 2 4 6 11 2" xfId="20011"/>
    <cellStyle name="输出 2 9 9 7 2" xfId="20012"/>
    <cellStyle name="汇总 2 6 6 5 5" xfId="20013"/>
    <cellStyle name="输出 2 5 9 14" xfId="20014"/>
    <cellStyle name="输入 2 7 7 3" xfId="20015"/>
    <cellStyle name="计算 2 7 5 10" xfId="20016"/>
    <cellStyle name="输出 2 9 9 7 3" xfId="20017"/>
    <cellStyle name="汇总 2 6 6 5 6" xfId="20018"/>
    <cellStyle name="输出 2 5 3 7 3 2" xfId="20019"/>
    <cellStyle name="输出 2 5 9 15" xfId="20020"/>
    <cellStyle name="输入 2 4 6 7 3" xfId="20021"/>
    <cellStyle name="计算 2 4 5 6 3 2" xfId="20022"/>
    <cellStyle name="计算 2 11 4 3 5 2" xfId="20023"/>
    <cellStyle name="汇总 2 6 6 6" xfId="20024"/>
    <cellStyle name="输出 2 2 9 7 3 2" xfId="20025"/>
    <cellStyle name="汇总 2 6 6 6 2" xfId="20026"/>
    <cellStyle name="输入 2 4 6 7 3 2" xfId="20027"/>
    <cellStyle name="计算 2 7 18 6" xfId="20028"/>
    <cellStyle name="汇总 2 6 6 6 3" xfId="20029"/>
    <cellStyle name="汇总 2 6 6 6 4" xfId="20030"/>
    <cellStyle name="输入 2 9 7 6 4" xfId="20031"/>
    <cellStyle name="汇总 2 7 6 7 2 2" xfId="20032"/>
    <cellStyle name="输出 2 9 9 8 3" xfId="20033"/>
    <cellStyle name="汇总 2 6 6 6 6" xfId="20034"/>
    <cellStyle name="输出 2 5 3 7 4 2" xfId="20035"/>
    <cellStyle name="汇总 2 6 6 7" xfId="20036"/>
    <cellStyle name="汇总 2 6 6 8 2" xfId="20037"/>
    <cellStyle name="输入 2 2 3 14" xfId="20038"/>
    <cellStyle name="汇总 2 6 6 8 2 2" xfId="20039"/>
    <cellStyle name="汇总 2 6 7 3" xfId="20040"/>
    <cellStyle name="输出 2 12 3 2 3 2" xfId="20041"/>
    <cellStyle name="输出 2 4 3 8 4 2" xfId="20042"/>
    <cellStyle name="汇总 2 6 6 9 2" xfId="20043"/>
    <cellStyle name="输入 2 2 11 3 5 2" xfId="20044"/>
    <cellStyle name="计算 2 12 6 7 6" xfId="20045"/>
    <cellStyle name="汇总 2 6 7 10 2" xfId="20046"/>
    <cellStyle name="计算 2 10 11 13" xfId="20047"/>
    <cellStyle name="汇总 2 6 7 11 2" xfId="20048"/>
    <cellStyle name="汇总 2 7 7 16" xfId="20049"/>
    <cellStyle name="汇总 2 6 7 12" xfId="20050"/>
    <cellStyle name="计算 2 8 6 2 2" xfId="20051"/>
    <cellStyle name="汇总 2 6 7 12 2" xfId="20052"/>
    <cellStyle name="计算 2 8 6 2 2 2" xfId="20053"/>
    <cellStyle name="汇总 2 6 7 13" xfId="20054"/>
    <cellStyle name="计算 2 8 6 2 3" xfId="20055"/>
    <cellStyle name="汇总 2 6 7 2 2" xfId="20056"/>
    <cellStyle name="汇总 2 6 7 2 2 2" xfId="20057"/>
    <cellStyle name="汇总 2 6 7 2 3 2" xfId="20058"/>
    <cellStyle name="输入 2 9 9 6 3 2" xfId="20059"/>
    <cellStyle name="汇总 2 6 7 2 4" xfId="20060"/>
    <cellStyle name="汇总 2 6 8 6 5 2" xfId="20061"/>
    <cellStyle name="输出 2 4 4 2 6" xfId="20062"/>
    <cellStyle name="汇总 2 6 7 2 4 2" xfId="20063"/>
    <cellStyle name="汇总 2 6 7 2 6" xfId="20064"/>
    <cellStyle name="计算 2 9 10 10" xfId="20065"/>
    <cellStyle name="汇总 2 6 7 2 8" xfId="20066"/>
    <cellStyle name="计算 2 9 10 12" xfId="20067"/>
    <cellStyle name="计算 2 12 4 3 2 2" xfId="20068"/>
    <cellStyle name="汇总 2 6 7 2 9" xfId="20069"/>
    <cellStyle name="计算 2 9 10 13" xfId="20070"/>
    <cellStyle name="输入 2 9 8 2 7" xfId="20071"/>
    <cellStyle name="汇总 2 8 11 4 4 2" xfId="20072"/>
    <cellStyle name="汇总 2 6 7 3 2" xfId="20073"/>
    <cellStyle name="输入 2 6 3 14" xfId="20074"/>
    <cellStyle name="汇总 2 6 7 3 2 2" xfId="20075"/>
    <cellStyle name="输入 2 11 8 2 3 2" xfId="20076"/>
    <cellStyle name="汇总 2 6 7 3 3" xfId="20077"/>
    <cellStyle name="汇总 2 6 7 3 3 2" xfId="20078"/>
    <cellStyle name="输入 2 9 9 6 4 2" xfId="20079"/>
    <cellStyle name="汇总 2 6 7 3 4" xfId="20080"/>
    <cellStyle name="汇总 2 6 7 3 4 2" xfId="20081"/>
    <cellStyle name="汇总 2 6 7 3 6" xfId="20082"/>
    <cellStyle name="汇总 2 6 7 4" xfId="20083"/>
    <cellStyle name="计算 2 11 5 11" xfId="20084"/>
    <cellStyle name="输出 2 4 4 4 4" xfId="20085"/>
    <cellStyle name="输入 2 4 2 2 5" xfId="20086"/>
    <cellStyle name="汇总 2 6 7 4 2" xfId="20087"/>
    <cellStyle name="计算 2 11 5 11 2" xfId="20088"/>
    <cellStyle name="输出 2 4 4 4 4 2" xfId="20089"/>
    <cellStyle name="输入 2 6 8 14" xfId="20090"/>
    <cellStyle name="输入 2 4 2 2 5 2" xfId="20091"/>
    <cellStyle name="汇总 2 6 7 4 2 2" xfId="20092"/>
    <cellStyle name="注释 2 6 5 7 4 2" xfId="20093"/>
    <cellStyle name="计算 2 11 5 12" xfId="20094"/>
    <cellStyle name="输出 2 4 4 4 5" xfId="20095"/>
    <cellStyle name="输入 2 4 2 2 6" xfId="20096"/>
    <cellStyle name="输入 2 11 8 2 4 2" xfId="20097"/>
    <cellStyle name="汇总 2 6 7 4 3" xfId="20098"/>
    <cellStyle name="计算 2 11 5 12 2" xfId="20099"/>
    <cellStyle name="输出 2 4 4 4 5 2" xfId="20100"/>
    <cellStyle name="汇总 2 6 7 4 3 2" xfId="20101"/>
    <cellStyle name="计算 2 11 5 13" xfId="20102"/>
    <cellStyle name="输出 2 4 4 4 6" xfId="20103"/>
    <cellStyle name="输出 2 5 11 2 3 2" xfId="20104"/>
    <cellStyle name="输入 2 9 9 6 5 2" xfId="20105"/>
    <cellStyle name="输入 2 4 2 2 7" xfId="20106"/>
    <cellStyle name="汇总 2 6 7 4 4" xfId="20107"/>
    <cellStyle name="汇总 2 6 7 4 4 2" xfId="20108"/>
    <cellStyle name="输入 2 9 8 4 3" xfId="20109"/>
    <cellStyle name="计算 2 11 9 5 2 2" xfId="20110"/>
    <cellStyle name="计算 2 11 5 14" xfId="20111"/>
    <cellStyle name="输入 2 4 2 2 8" xfId="20112"/>
    <cellStyle name="汇总 2 6 7 4 5" xfId="20113"/>
    <cellStyle name="计算 2 11 5 15" xfId="20114"/>
    <cellStyle name="输入 2 4 2 2 9" xfId="20115"/>
    <cellStyle name="汇总 2 6 7 4 6" xfId="20116"/>
    <cellStyle name="输出 2 5 3 8 2 2" xfId="20117"/>
    <cellStyle name="汇总 2 6 7 5" xfId="20118"/>
    <cellStyle name="汇总 2 6 7 5 4" xfId="20119"/>
    <cellStyle name="汇总 2 6 7 5 4 2" xfId="20120"/>
    <cellStyle name="输出 2 5 10 2 9" xfId="20121"/>
    <cellStyle name="输入 2 9 8 5 3" xfId="20122"/>
    <cellStyle name="计算 2 11 9 5 3 2" xfId="20123"/>
    <cellStyle name="汇总 2 6 7 5 5" xfId="20124"/>
    <cellStyle name="计算 2 2" xfId="20125"/>
    <cellStyle name="汇总 2 6 7 5 6" xfId="20126"/>
    <cellStyle name="输出 2 5 3 8 3 2" xfId="20127"/>
    <cellStyle name="输入 2 4 6 8 3" xfId="20128"/>
    <cellStyle name="计算 2 4 5 6 4 2" xfId="20129"/>
    <cellStyle name="输入 2 2 11 10" xfId="20130"/>
    <cellStyle name="汇总 2 6 7 6" xfId="20131"/>
    <cellStyle name="输出 2 2 9 7 4 2" xfId="20132"/>
    <cellStyle name="汇总 2 6 7 6 4" xfId="20133"/>
    <cellStyle name="输入 2 9 8 6 4" xfId="20134"/>
    <cellStyle name="汇总 2 7 6 8 2 2" xfId="20135"/>
    <cellStyle name="汇总 2 6 7 6 6" xfId="20136"/>
    <cellStyle name="输出 2 5 10 2 2" xfId="20137"/>
    <cellStyle name="输出 2 5 3 8 4 2" xfId="20138"/>
    <cellStyle name="汇总 2 6 7 7 4" xfId="20139"/>
    <cellStyle name="注释 2 2 10 7" xfId="20140"/>
    <cellStyle name="汇总 2 6 7 7 4 2" xfId="20141"/>
    <cellStyle name="汇总 2 6 7 8 4" xfId="20142"/>
    <cellStyle name="汇总 2 6 7 8 4 2" xfId="20143"/>
    <cellStyle name="汇总 2 6 8 14" xfId="20144"/>
    <cellStyle name="计算 2 8 6 7 4" xfId="20145"/>
    <cellStyle name="汇总 2 6 8 2 2" xfId="20146"/>
    <cellStyle name="计算 2 10 9 13" xfId="20147"/>
    <cellStyle name="汇总 2 6 8 2 2 2" xfId="20148"/>
    <cellStyle name="汇总 2 6 8 2 3 2" xfId="20149"/>
    <cellStyle name="输入 2 9 9 7 3 2" xfId="20150"/>
    <cellStyle name="汇总 2 6 8 2 4" xfId="20151"/>
    <cellStyle name="注释 2 7 11 7" xfId="20152"/>
    <cellStyle name="汇总 2 6 8 7 5 2" xfId="20153"/>
    <cellStyle name="输出 2 4 5 2 6" xfId="20154"/>
    <cellStyle name="注释 2 6 10 7" xfId="20155"/>
    <cellStyle name="汇总 2 6 8 2 4 2" xfId="20156"/>
    <cellStyle name="汇总 2 6 8 2 6" xfId="20157"/>
    <cellStyle name="汇总 2 6 8 2 8" xfId="20158"/>
    <cellStyle name="计算 2 12 4 4 2 2" xfId="20159"/>
    <cellStyle name="汇总 2 6 8 2 9" xfId="20160"/>
    <cellStyle name="输入 2 9 9 2 7" xfId="20161"/>
    <cellStyle name="汇总 2 8 11 5 4 2" xfId="20162"/>
    <cellStyle name="汇总 2 6 8 3 2" xfId="20163"/>
    <cellStyle name="汇总 2 6 8 3 2 2" xfId="20164"/>
    <cellStyle name="输入 2 11 8 3 3 2" xfId="20165"/>
    <cellStyle name="汇总 2 6 8 3 3" xfId="20166"/>
    <cellStyle name="汇总 2 6 8 3 3 2" xfId="20167"/>
    <cellStyle name="输入 2 9 9 7 4 2" xfId="20168"/>
    <cellStyle name="汇总 2 6 8 3 4" xfId="20169"/>
    <cellStyle name="汇总 2 6 8 3 4 2" xfId="20170"/>
    <cellStyle name="汇总 2 6 8 3 6" xfId="20171"/>
    <cellStyle name="输入 2 4 3 2 5" xfId="20172"/>
    <cellStyle name="汇总 2 6 8 4 2" xfId="20173"/>
    <cellStyle name="输入 2 4 3 2 5 2" xfId="20174"/>
    <cellStyle name="汇总 2 6 8 4 2 2" xfId="20175"/>
    <cellStyle name="检查单元格 2 3 8" xfId="20176"/>
    <cellStyle name="输入 2 4 3 2 6" xfId="20177"/>
    <cellStyle name="输入 2 11 8 3 4 2" xfId="20178"/>
    <cellStyle name="汇总 2 6 8 4 3" xfId="20179"/>
    <cellStyle name="输入 2 9 9 7 5 2" xfId="20180"/>
    <cellStyle name="输入 2 4 3 2 7" xfId="20181"/>
    <cellStyle name="汇总 2 6 8 4 4" xfId="20182"/>
    <cellStyle name="输入 2 9 9 4 3" xfId="20183"/>
    <cellStyle name="计算 2 11 9 6 2 2" xfId="20184"/>
    <cellStyle name="输入 2 4 3 2 8" xfId="20185"/>
    <cellStyle name="汇总 2 6 8 4 5" xfId="20186"/>
    <cellStyle name="输入 2 4 3 2 9" xfId="20187"/>
    <cellStyle name="汇总 2 6 8 4 6" xfId="20188"/>
    <cellStyle name="汇总 2 6 8 5" xfId="20189"/>
    <cellStyle name="汇总 2 6 8 5 4" xfId="20190"/>
    <cellStyle name="汇总 2 6 8 5 4 2" xfId="20191"/>
    <cellStyle name="输入 2 9 9 5 3" xfId="20192"/>
    <cellStyle name="计算 2 11 9 6 3 2" xfId="20193"/>
    <cellStyle name="汇总 2 6 8 5 5" xfId="20194"/>
    <cellStyle name="汇总 2 6 8 5 6" xfId="20195"/>
    <cellStyle name="计算 2 4 5 6 5 2" xfId="20196"/>
    <cellStyle name="汇总 2 6 8 6" xfId="20197"/>
    <cellStyle name="输出 2 2 9 7 5 2" xfId="20198"/>
    <cellStyle name="汇总 2 6 8 6 4" xfId="20199"/>
    <cellStyle name="汇总 2 6 8 6 4 2" xfId="20200"/>
    <cellStyle name="汇总 2 6 8 6 6" xfId="20201"/>
    <cellStyle name="输出 2 5 11 2 2" xfId="20202"/>
    <cellStyle name="汇总 2 6 8 7 4" xfId="20203"/>
    <cellStyle name="注释 2 7 10 7" xfId="20204"/>
    <cellStyle name="汇总 2 6 8 7 4 2" xfId="20205"/>
    <cellStyle name="汇总 2 6 8 8 4 2" xfId="20206"/>
    <cellStyle name="汇总 2 6 9 10" xfId="20207"/>
    <cellStyle name="输出 2 4 8 2 7" xfId="20208"/>
    <cellStyle name="汇总 2 9 3 2 4" xfId="20209"/>
    <cellStyle name="汇总 2 6 9 10 2" xfId="20210"/>
    <cellStyle name="输出 2 8 7 3 2 2" xfId="20211"/>
    <cellStyle name="汇总 2 6 9 11" xfId="20212"/>
    <cellStyle name="输出 2 4 8 2 8" xfId="20213"/>
    <cellStyle name="汇总 2 9 7 16" xfId="20214"/>
    <cellStyle name="汇总 2 9 3 3 4" xfId="20215"/>
    <cellStyle name="汇总 2 6 9 11 2" xfId="20216"/>
    <cellStyle name="注释 2 6 8 2 8" xfId="20217"/>
    <cellStyle name="汇总 2 9 3 4 4" xfId="20218"/>
    <cellStyle name="汇总 2 6 9 12 2" xfId="20219"/>
    <cellStyle name="汇总 2 6 9 13" xfId="20220"/>
    <cellStyle name="计算 2 12 4 7 2 2" xfId="20221"/>
    <cellStyle name="汇总 2 8 11 8 4 2" xfId="20222"/>
    <cellStyle name="汇总 2 6 9 14" xfId="20223"/>
    <cellStyle name="汇总 2 6 9 15" xfId="20224"/>
    <cellStyle name="汇总 2 6 9 16" xfId="20225"/>
    <cellStyle name="汇总 2 6 9 2 3 2" xfId="20226"/>
    <cellStyle name="输出 2 14 2 4" xfId="20227"/>
    <cellStyle name="汇总 2 6 9 3 4 2" xfId="20228"/>
    <cellStyle name="输出 2 15 3 4" xfId="20229"/>
    <cellStyle name="汇总 2 7 4 2 4" xfId="20230"/>
    <cellStyle name="汇总 2 6 9 3 5 2" xfId="20231"/>
    <cellStyle name="输出 2 15 4 4" xfId="20232"/>
    <cellStyle name="输入 2 4 4 2 5" xfId="20233"/>
    <cellStyle name="汇总 2 6 9 4 2" xfId="20234"/>
    <cellStyle name="计算 2 9 8 2 2 2" xfId="20235"/>
    <cellStyle name="输入 2 4 4 2 5 2" xfId="20236"/>
    <cellStyle name="汇总 2 6 9 4 2 2" xfId="20237"/>
    <cellStyle name="输入 2 4 4 2 6" xfId="20238"/>
    <cellStyle name="输入 2 11 8 4 4 2" xfId="20239"/>
    <cellStyle name="汇总 2 6 9 4 3" xfId="20240"/>
    <cellStyle name="汇总 2 6 9 4 3 2" xfId="20241"/>
    <cellStyle name="输出 2 16 2 4" xfId="20242"/>
    <cellStyle name="输入 2 4 4 2 7" xfId="20243"/>
    <cellStyle name="汇总 2 6 9 4 4" xfId="20244"/>
    <cellStyle name="汇总 2 6 9 4 4 2" xfId="20245"/>
    <cellStyle name="输出 2 16 3 4" xfId="20246"/>
    <cellStyle name="计算 2 11 9 7 2 2" xfId="20247"/>
    <cellStyle name="输入 2 4 4 2 8" xfId="20248"/>
    <cellStyle name="汇总 2 6 9 4 5" xfId="20249"/>
    <cellStyle name="汇总 2 7 5 2 4" xfId="20250"/>
    <cellStyle name="汇总 2 6 9 4 5 2" xfId="20251"/>
    <cellStyle name="输出 2 16 4 4" xfId="20252"/>
    <cellStyle name="输出 2 5 2 2 6" xfId="20253"/>
    <cellStyle name="输入 2 4 4 2 9" xfId="20254"/>
    <cellStyle name="汇总 2 6 9 4 6" xfId="20255"/>
    <cellStyle name="汇总 2 6 9 6 4" xfId="20256"/>
    <cellStyle name="汇总 2 6 9 6 4 2" xfId="20257"/>
    <cellStyle name="计算 2 11 9 7 4 2" xfId="20258"/>
    <cellStyle name="汇总 2 6 9 6 5" xfId="20259"/>
    <cellStyle name="汇总 2 6 9 6 6" xfId="20260"/>
    <cellStyle name="输出 2 5 12 2 2" xfId="20261"/>
    <cellStyle name="汇总 2 6 9 7 4" xfId="20262"/>
    <cellStyle name="计算 2 2 2 15" xfId="20263"/>
    <cellStyle name="汇总 2 6 9 7 4 2" xfId="20264"/>
    <cellStyle name="计算 2 11 9 7 5 2" xfId="20265"/>
    <cellStyle name="汇总 2 6 9 7 5" xfId="20266"/>
    <cellStyle name="计算 2 11 10 4" xfId="20267"/>
    <cellStyle name="汇总 2 7 8 2 4" xfId="20268"/>
    <cellStyle name="汇总 2 9 13" xfId="20269"/>
    <cellStyle name="汇总 2 6 9 7 5 2" xfId="20270"/>
    <cellStyle name="输出 2 5 5 2 6" xfId="20271"/>
    <cellStyle name="汇总 2 6 9 7 6" xfId="20272"/>
    <cellStyle name="输出 2 5 12 3 2" xfId="20273"/>
    <cellStyle name="汇总 2 6 9 8 5" xfId="20274"/>
    <cellStyle name="计算 2 3 5 12 2" xfId="20275"/>
    <cellStyle name="汇总 2 7" xfId="20276"/>
    <cellStyle name="输出 2 8 8 8 5" xfId="20277"/>
    <cellStyle name="计算 2 2 11 4 6" xfId="20278"/>
    <cellStyle name="汇总 2 7 10" xfId="20279"/>
    <cellStyle name="汇总 2 7 10 2" xfId="20280"/>
    <cellStyle name="检查单元格 2 9 6 4 4" xfId="20281"/>
    <cellStyle name="输出 2 10 9 8 5" xfId="20282"/>
    <cellStyle name="汇总 2 7 10 2 2" xfId="20283"/>
    <cellStyle name="注释 2 11 7 7 4" xfId="20284"/>
    <cellStyle name="检查单元格 2 9 6 4 4 2" xfId="20285"/>
    <cellStyle name="汇总 2 7 10 2 2 2" xfId="20286"/>
    <cellStyle name="汇总 2 7 10 2 3 2" xfId="20287"/>
    <cellStyle name="汇总 2 7 10 2 4 2" xfId="20288"/>
    <cellStyle name="计算 2 10 6 5 3 2" xfId="20289"/>
    <cellStyle name="汇总 2 7 10 3" xfId="20290"/>
    <cellStyle name="检查单元格 2 9 6 4 5" xfId="20291"/>
    <cellStyle name="汇总 2 7 10 3 4 2" xfId="20292"/>
    <cellStyle name="汇总 2 7 10 4" xfId="20293"/>
    <cellStyle name="注释 2 6 17 4 2" xfId="20294"/>
    <cellStyle name="检查单元格 2 9 6 4 6" xfId="20295"/>
    <cellStyle name="汇总 2 7 10 4 4 2" xfId="20296"/>
    <cellStyle name="计算 2 10 3 5 2" xfId="20297"/>
    <cellStyle name="汇总 2 7 10 5" xfId="20298"/>
    <cellStyle name="计算 2 10 3 5 3" xfId="20299"/>
    <cellStyle name="检查单元格 2 10 2 6 2" xfId="20300"/>
    <cellStyle name="输出 2 7 3 10" xfId="20301"/>
    <cellStyle name="汇总 2 7 10 6" xfId="20302"/>
    <cellStyle name="计算 2 4 2 6 3 2" xfId="20303"/>
    <cellStyle name="汇总 2 7 10 7" xfId="20304"/>
    <cellStyle name="输出 2 2 6 7 3 2" xfId="20305"/>
    <cellStyle name="计算 2 3 4 8 2" xfId="20306"/>
    <cellStyle name="计算 2 10 3 5 4" xfId="20307"/>
    <cellStyle name="输入 2 2 4 5 4 2" xfId="20308"/>
    <cellStyle name="输出 2 7 3 11" xfId="20309"/>
    <cellStyle name="注释 2 9 9 6 2 2" xfId="20310"/>
    <cellStyle name="计算 2 3 4 8 3" xfId="20311"/>
    <cellStyle name="计算 2 10 3 5 5" xfId="20312"/>
    <cellStyle name="输出 2 7 3 12" xfId="20313"/>
    <cellStyle name="汇总 2 7 10 8" xfId="20314"/>
    <cellStyle name="输入 2 12 5 2 9" xfId="20315"/>
    <cellStyle name="汇总 2 7 10 8 5" xfId="20316"/>
    <cellStyle name="输入 2 3 6 3 5 2" xfId="20317"/>
    <cellStyle name="汇总 2 7 11" xfId="20318"/>
    <cellStyle name="汇总 2 7 11 16" xfId="20319"/>
    <cellStyle name="检查单元格 2 2 8 3" xfId="20320"/>
    <cellStyle name="输出 2 6 2 3 2" xfId="20321"/>
    <cellStyle name="汇总 2 7 11 2" xfId="20322"/>
    <cellStyle name="检查单元格 2 9 6 5 4" xfId="20323"/>
    <cellStyle name="汇总 2 7 11 2 2" xfId="20324"/>
    <cellStyle name="注释 2 11 8 7 4" xfId="20325"/>
    <cellStyle name="检查单元格 2 9 6 5 4 2" xfId="20326"/>
    <cellStyle name="输出 2 3 10 4 6" xfId="20327"/>
    <cellStyle name="汇总 2 7 11 4 2" xfId="20328"/>
    <cellStyle name="检查单元格 2 6 7 2 5" xfId="20329"/>
    <cellStyle name="输出 2 3 10 6 6" xfId="20330"/>
    <cellStyle name="汇总 2 7 11 4 2 2" xfId="20331"/>
    <cellStyle name="检查单元格 2 6 7 2 5 2" xfId="20332"/>
    <cellStyle name="计算 2 10 2 14" xfId="20333"/>
    <cellStyle name="汇总 2 7 11 4 3 2" xfId="20334"/>
    <cellStyle name="检查单元格 2 9 5 10" xfId="20335"/>
    <cellStyle name="输入 2 6 9 6 4 2" xfId="20336"/>
    <cellStyle name="汇总 2 7 11 4 4" xfId="20337"/>
    <cellStyle name="检查单元格 2 6 7 2 7" xfId="20338"/>
    <cellStyle name="汇总 2 7 11 4 4 2" xfId="20339"/>
    <cellStyle name="计算 2 10 3 6 2" xfId="20340"/>
    <cellStyle name="汇总 2 7 11 5" xfId="20341"/>
    <cellStyle name="汇总 2 7 11 5 3" xfId="20342"/>
    <cellStyle name="检查单元格 2 6 7 3 6" xfId="20343"/>
    <cellStyle name="输入 2 6 9 6 5 2" xfId="20344"/>
    <cellStyle name="汇总 2 7 11 5 4" xfId="20345"/>
    <cellStyle name="计算 2 10 3 6 3" xfId="20346"/>
    <cellStyle name="检查单元格 2 10 2 7 2" xfId="20347"/>
    <cellStyle name="汇总 2 7 11 6" xfId="20348"/>
    <cellStyle name="汇总 2 7 11 6 3" xfId="20349"/>
    <cellStyle name="检查单元格 2 6 7 4 6" xfId="20350"/>
    <cellStyle name="汇总 2 7 11 6 4" xfId="20351"/>
    <cellStyle name="注释 2 7 3 6 6" xfId="20352"/>
    <cellStyle name="计算 2 10 3 6 4 2" xfId="20353"/>
    <cellStyle name="汇总 2 7 11 7 2" xfId="20354"/>
    <cellStyle name="检查单元格 2 6 7 5 5" xfId="20355"/>
    <cellStyle name="汇总 2 7 11 7 3" xfId="20356"/>
    <cellStyle name="汇总 2 7 11 7 4" xfId="20357"/>
    <cellStyle name="注释 2 9 9 6 3 2" xfId="20358"/>
    <cellStyle name="计算 2 10 3 6 5" xfId="20359"/>
    <cellStyle name="汇总 2 7 11 8" xfId="20360"/>
    <cellStyle name="注释 2 7 3 7 6" xfId="20361"/>
    <cellStyle name="计算 2 10 3 6 5 2" xfId="20362"/>
    <cellStyle name="输入 2 12 6 2 6" xfId="20363"/>
    <cellStyle name="汇总 2 7 11 8 2" xfId="20364"/>
    <cellStyle name="输入 2 12 6 2 7" xfId="20365"/>
    <cellStyle name="汇总 2 7 11 8 3" xfId="20366"/>
    <cellStyle name="输入 2 12 6 2 8" xfId="20367"/>
    <cellStyle name="汇总 2 7 11 8 4" xfId="20368"/>
    <cellStyle name="输入 2 12 6 2 9" xfId="20369"/>
    <cellStyle name="汇总 2 7 11 8 5" xfId="20370"/>
    <cellStyle name="输入 2 12 6 3 6" xfId="20371"/>
    <cellStyle name="汇总 2 7 11 9 2" xfId="20372"/>
    <cellStyle name="汇总 2 7 12" xfId="20373"/>
    <cellStyle name="汇总 2 7 12 2" xfId="20374"/>
    <cellStyle name="汇总 2 7 12 2 2" xfId="20375"/>
    <cellStyle name="注释 2 11 9 7 4" xfId="20376"/>
    <cellStyle name="输出 2 3 11 4 6" xfId="20377"/>
    <cellStyle name="汇总 2 7 12 3 2" xfId="20378"/>
    <cellStyle name="注释 2 11 9 8 4" xfId="20379"/>
    <cellStyle name="输出 2 3 11 5 6" xfId="20380"/>
    <cellStyle name="汇总 2 7 12 4 2" xfId="20381"/>
    <cellStyle name="检查单元格 2 6 8 2 5" xfId="20382"/>
    <cellStyle name="输出 2 3 11 6 6" xfId="20383"/>
    <cellStyle name="检查单元格 2 10 2 8 2" xfId="20384"/>
    <cellStyle name="计算 2 10 3 7 3" xfId="20385"/>
    <cellStyle name="输出 2 15 16" xfId="20386"/>
    <cellStyle name="汇总 2 7 12 6" xfId="20387"/>
    <cellStyle name="计算 2 10 3 7 6" xfId="20388"/>
    <cellStyle name="汇总 2 7 12 9" xfId="20389"/>
    <cellStyle name="汇总 2 7 13" xfId="20390"/>
    <cellStyle name="汇总 2 7 13 2" xfId="20391"/>
    <cellStyle name="汇总 2 7 13 2 2" xfId="20392"/>
    <cellStyle name="汇总 2 7 13 3 2" xfId="20393"/>
    <cellStyle name="汇总 2 7 13 4 2" xfId="20394"/>
    <cellStyle name="计算 2 10 3 8 3" xfId="20395"/>
    <cellStyle name="检查单元格 2 10 2 9 2" xfId="20396"/>
    <cellStyle name="汇总 2 7 13 6" xfId="20397"/>
    <cellStyle name="计算 2 6 8 2 3" xfId="20398"/>
    <cellStyle name="汇总 2 7 14 2" xfId="20399"/>
    <cellStyle name="注释 2 12 10 4" xfId="20400"/>
    <cellStyle name="汇总 2 7 14 2 2" xfId="20401"/>
    <cellStyle name="输入 2 9 4 8 3 2" xfId="20402"/>
    <cellStyle name="汇总 2 7 14 4" xfId="20403"/>
    <cellStyle name="注释 2 12 12 4" xfId="20404"/>
    <cellStyle name="汇总 2 7 14 4 2" xfId="20405"/>
    <cellStyle name="注释 2 12 13 4" xfId="20406"/>
    <cellStyle name="汇总 2 7 14 5 2" xfId="20407"/>
    <cellStyle name="计算 2 6 8 3 2 2" xfId="20408"/>
    <cellStyle name="汇总 2 7 14 6" xfId="20409"/>
    <cellStyle name="计算 2 6 8 3 3" xfId="20410"/>
    <cellStyle name="汇总 2 7 15 3 2" xfId="20411"/>
    <cellStyle name="汇总 2 7 15 4 2" xfId="20412"/>
    <cellStyle name="汇总 2 7 16 3 2" xfId="20413"/>
    <cellStyle name="汇总 2 7 16 4" xfId="20414"/>
    <cellStyle name="汇总 2 7 16 6" xfId="20415"/>
    <cellStyle name="计算 2 6 8 5 3" xfId="20416"/>
    <cellStyle name="输出 2 7 7 3 3" xfId="20417"/>
    <cellStyle name="汇总 2 7 22" xfId="20418"/>
    <cellStyle name="汇总 2 7 17" xfId="20419"/>
    <cellStyle name="计算 2 9 3 2 3" xfId="20420"/>
    <cellStyle name="汇总 2 7 17 3 2" xfId="20421"/>
    <cellStyle name="汇总 2 7 17 4" xfId="20422"/>
    <cellStyle name="汇总 2 7 17 4 2" xfId="20423"/>
    <cellStyle name="汇总 2 7 17 5 2" xfId="20424"/>
    <cellStyle name="输入 2 12 9" xfId="20425"/>
    <cellStyle name="计算 2 6 8 6 2 2" xfId="20426"/>
    <cellStyle name="汇总 2 7 17 6" xfId="20427"/>
    <cellStyle name="计算 2 6 8 6 3" xfId="20428"/>
    <cellStyle name="输出 2 7 7 3 4" xfId="20429"/>
    <cellStyle name="汇总 2 7 23" xfId="20430"/>
    <cellStyle name="汇总 2 7 18" xfId="20431"/>
    <cellStyle name="计算 2 9 3 2 4" xfId="20432"/>
    <cellStyle name="汇总 2 7 18 3 2" xfId="20433"/>
    <cellStyle name="汇总 2 7 18 4" xfId="20434"/>
    <cellStyle name="计算 2 11 4 7 4 2" xfId="20435"/>
    <cellStyle name="汇总 2 7 18 5" xfId="20436"/>
    <cellStyle name="计算 2 6 8 7 2" xfId="20437"/>
    <cellStyle name="汇总 2 7 18 5 2" xfId="20438"/>
    <cellStyle name="输出 2 8 2 6 4" xfId="20439"/>
    <cellStyle name="计算 2 6 8 7 2 2" xfId="20440"/>
    <cellStyle name="计算 2 6 8 7 3" xfId="20441"/>
    <cellStyle name="汇总 2 7 18 6" xfId="20442"/>
    <cellStyle name="输出 2 4 12 2 2" xfId="20443"/>
    <cellStyle name="汇总 2 7 19 3 2" xfId="20444"/>
    <cellStyle name="汇总 2 7 19 4" xfId="20445"/>
    <cellStyle name="汇总 2 7 19 4 2" xfId="20446"/>
    <cellStyle name="计算 2 11 4 7 5 2" xfId="20447"/>
    <cellStyle name="注释 2 11 4 4 4" xfId="20448"/>
    <cellStyle name="输出 2 10 9 5 2 2" xfId="20449"/>
    <cellStyle name="汇总 2 7 19 5" xfId="20450"/>
    <cellStyle name="计算 2 6 8 8 2" xfId="20451"/>
    <cellStyle name="注释 2 9 6 2 3 2" xfId="20452"/>
    <cellStyle name="汇总 2 7 2 10" xfId="20453"/>
    <cellStyle name="汇总 2 7 2 10 2" xfId="20454"/>
    <cellStyle name="汇总 2 7 2 11" xfId="20455"/>
    <cellStyle name="输出 2 12 2 4 5 2" xfId="20456"/>
    <cellStyle name="汇总 2 7 2 11 2" xfId="20457"/>
    <cellStyle name="计算 2 12 5 8 2" xfId="20458"/>
    <cellStyle name="汇总 2 7 2 12" xfId="20459"/>
    <cellStyle name="计算 2 12 5 8 2 2" xfId="20460"/>
    <cellStyle name="汇总 2 7 2 12 2" xfId="20461"/>
    <cellStyle name="计算 2 12 5 8 3" xfId="20462"/>
    <cellStyle name="输出 2 6 11 4 4 2" xfId="20463"/>
    <cellStyle name="汇总 2 7 2 13" xfId="20464"/>
    <cellStyle name="计算 2 12 5 8 4" xfId="20465"/>
    <cellStyle name="汇总 2 7 2 14" xfId="20466"/>
    <cellStyle name="注释 2 10 2 7 4" xfId="20467"/>
    <cellStyle name="输出 2 10 8 3 5 2" xfId="20468"/>
    <cellStyle name="计算 2 12 5 8 5" xfId="20469"/>
    <cellStyle name="汇总 2 7 2 15" xfId="20470"/>
    <cellStyle name="汇总 2 7 2 16" xfId="20471"/>
    <cellStyle name="汇总 2 7 2 2" xfId="20472"/>
    <cellStyle name="汇总 2 7 2 2 2" xfId="20473"/>
    <cellStyle name="输入 2 5 2 6 4" xfId="20474"/>
    <cellStyle name="汇总 2 7 2 2 2 2" xfId="20475"/>
    <cellStyle name="汇总 2 7 2 2 3" xfId="20476"/>
    <cellStyle name="输入 2 5 2 7 4" xfId="20477"/>
    <cellStyle name="汇总 2 7 2 2 3 2" xfId="20478"/>
    <cellStyle name="汇总 2 7 2 2 4" xfId="20479"/>
    <cellStyle name="输入 2 5 2 8 4" xfId="20480"/>
    <cellStyle name="汇总 2 7 2 2 4 2" xfId="20481"/>
    <cellStyle name="汇总 2 7 2 2 5" xfId="20482"/>
    <cellStyle name="汇总 2 7 2 2 5 2" xfId="20483"/>
    <cellStyle name="汇总 2 7 2 3" xfId="20484"/>
    <cellStyle name="汇总 2 7 2 3 2" xfId="20485"/>
    <cellStyle name="汇总 2 7 2 3 3" xfId="20486"/>
    <cellStyle name="汇总 2 7 2 3 4" xfId="20487"/>
    <cellStyle name="输入 2 5 3 8 4" xfId="20488"/>
    <cellStyle name="汇总 2 7 2 3 4 2" xfId="20489"/>
    <cellStyle name="检查单元格 2 5 2 13" xfId="20490"/>
    <cellStyle name="汇总 2 7 2 3 5" xfId="20491"/>
    <cellStyle name="计算 2 2 4 12" xfId="20492"/>
    <cellStyle name="汇总 2 7 2 3 5 2" xfId="20493"/>
    <cellStyle name="汇总 2 7 2 4" xfId="20494"/>
    <cellStyle name="注释 2 4 7 2 6" xfId="20495"/>
    <cellStyle name="汇总 2 7 2 4 2" xfId="20496"/>
    <cellStyle name="注释 2 4 7 2 7" xfId="20497"/>
    <cellStyle name="汇总 2 7 2 4 3" xfId="20498"/>
    <cellStyle name="注释 2 4 7 2 8" xfId="20499"/>
    <cellStyle name="汇总 2 7 2 4 4" xfId="20500"/>
    <cellStyle name="输入 2 5 4 8 4" xfId="20501"/>
    <cellStyle name="汇总 2 7 2 4 4 2" xfId="20502"/>
    <cellStyle name="检查单元格 2 5 7 13" xfId="20503"/>
    <cellStyle name="注释 2 4 7 2 9" xfId="20504"/>
    <cellStyle name="汇总 2 7 2 4 5" xfId="20505"/>
    <cellStyle name="计算 2 2 9 12" xfId="20506"/>
    <cellStyle name="汇总 2 7 2 4 5 2" xfId="20507"/>
    <cellStyle name="输出 2 9 6 7 3 2" xfId="20508"/>
    <cellStyle name="汇总 2 7 2 5" xfId="20509"/>
    <cellStyle name="注释 2 4 7 3 6" xfId="20510"/>
    <cellStyle name="汇总 2 7 2 5 2" xfId="20511"/>
    <cellStyle name="输入 2 10 11 2 2" xfId="20512"/>
    <cellStyle name="汇总 2 7 2 5 3" xfId="20513"/>
    <cellStyle name="输入 2 10 11 2 3" xfId="20514"/>
    <cellStyle name="汇总 2 7 2 5 4" xfId="20515"/>
    <cellStyle name="输入 2 5 5 8 4" xfId="20516"/>
    <cellStyle name="输入 2 10 11 2 3 2" xfId="20517"/>
    <cellStyle name="汇总 2 7 2 5 4 2" xfId="20518"/>
    <cellStyle name="输入 2 10 11 2 4" xfId="20519"/>
    <cellStyle name="汇总 2 7 2 5 5" xfId="20520"/>
    <cellStyle name="输入 2 10 11 2 4 2" xfId="20521"/>
    <cellStyle name="汇总 2 7 2 5 5 2" xfId="20522"/>
    <cellStyle name="输入 2 10 11 2 5" xfId="20523"/>
    <cellStyle name="汇总 2 7 2 5 6" xfId="20524"/>
    <cellStyle name="输出 2 5 4 3 3 2" xfId="20525"/>
    <cellStyle name="汇总 2 7 2 6" xfId="20526"/>
    <cellStyle name="注释 2 4 7 4 6" xfId="20527"/>
    <cellStyle name="汇总 2 7 2 6 2" xfId="20528"/>
    <cellStyle name="输入 2 10 11 3 2" xfId="20529"/>
    <cellStyle name="汇总 2 7 2 6 3" xfId="20530"/>
    <cellStyle name="输入 2 10 11 3 3" xfId="20531"/>
    <cellStyle name="汇总 2 7 2 6 4" xfId="20532"/>
    <cellStyle name="输入 2 5 6 8 4" xfId="20533"/>
    <cellStyle name="输入 2 10 11 3 3 2" xfId="20534"/>
    <cellStyle name="汇总 2 7 2 6 4 2" xfId="20535"/>
    <cellStyle name="输入 2 10 11 3 4" xfId="20536"/>
    <cellStyle name="汇总 2 7 2 6 5" xfId="20537"/>
    <cellStyle name="输入 2 10 11 3 4 2" xfId="20538"/>
    <cellStyle name="汇总 2 7 2 6 5 2" xfId="20539"/>
    <cellStyle name="汇总 2 7 7 3 2 2" xfId="20540"/>
    <cellStyle name="输入 2 10 11 3 5" xfId="20541"/>
    <cellStyle name="汇总 2 7 2 6 6" xfId="20542"/>
    <cellStyle name="输出 2 5 4 3 4 2" xfId="20543"/>
    <cellStyle name="注释 2 4 6 5 3 2" xfId="20544"/>
    <cellStyle name="输入 2 4 7 3 4" xfId="20545"/>
    <cellStyle name="计算 2 11 11 8 4 2" xfId="20546"/>
    <cellStyle name="汇总 2 7 2 7" xfId="20547"/>
    <cellStyle name="输入 2 5 7 8 4" xfId="20548"/>
    <cellStyle name="输入 2 10 11 4 3 2" xfId="20549"/>
    <cellStyle name="汇总 2 7 2 7 4 2" xfId="20550"/>
    <cellStyle name="汇总 2 7 2 8" xfId="20551"/>
    <cellStyle name="计算 2 9 8 5 3 2" xfId="20552"/>
    <cellStyle name="注释 2 4 7 6 6" xfId="20553"/>
    <cellStyle name="汇总 2 7 2 8 2" xfId="20554"/>
    <cellStyle name="输入 2 10 11 5 2" xfId="20555"/>
    <cellStyle name="汇总 2 7 2 8 3" xfId="20556"/>
    <cellStyle name="输入 2 10 11 5 3" xfId="20557"/>
    <cellStyle name="汇总 2 7 2 8 4" xfId="20558"/>
    <cellStyle name="输入 2 5 8 8 4" xfId="20559"/>
    <cellStyle name="输入 2 10 11 5 3 2" xfId="20560"/>
    <cellStyle name="汇总 2 7 2 8 4 2" xfId="20561"/>
    <cellStyle name="检查单元格 2 6 2 13" xfId="20562"/>
    <cellStyle name="输入 2 10 11 5 4" xfId="20563"/>
    <cellStyle name="汇总 2 7 2 8 5" xfId="20564"/>
    <cellStyle name="汇总 2 7 2 9" xfId="20565"/>
    <cellStyle name="注释 2 4 7 7 6" xfId="20566"/>
    <cellStyle name="汇总 2 7 2 9 2" xfId="20567"/>
    <cellStyle name="注释 2 9 15 5 2" xfId="20568"/>
    <cellStyle name="汇总 2 7 3" xfId="20569"/>
    <cellStyle name="检查单元格 2 3 2 3 5 2" xfId="20570"/>
    <cellStyle name="计算 2 3 4 5 5" xfId="20571"/>
    <cellStyle name="计算 2 10 3 2 7" xfId="20572"/>
    <cellStyle name="注释 2 13 6 3 2" xfId="20573"/>
    <cellStyle name="检查单元格 2 10 2 3 6" xfId="20574"/>
    <cellStyle name="汇总 2 7 3 10" xfId="20575"/>
    <cellStyle name="计算 2 3 4 5 5 2" xfId="20576"/>
    <cellStyle name="计算 2 2 11 16" xfId="20577"/>
    <cellStyle name="输入 2 12 2 4 6" xfId="20578"/>
    <cellStyle name="汇总 2 7 3 10 2" xfId="20579"/>
    <cellStyle name="输入 2 12 2 5 6" xfId="20580"/>
    <cellStyle name="汇总 2 7 3 11 2" xfId="20581"/>
    <cellStyle name="计算 2 10 4 2" xfId="20582"/>
    <cellStyle name="汇总 2 7 3 12" xfId="20583"/>
    <cellStyle name="注释 2 11 10 11" xfId="20584"/>
    <cellStyle name="计算 2 10 3 2 9" xfId="20585"/>
    <cellStyle name="计算 2 10 4 2 2" xfId="20586"/>
    <cellStyle name="输入 2 12 2 6 6" xfId="20587"/>
    <cellStyle name="汇总 2 7 3 12 2" xfId="20588"/>
    <cellStyle name="计算 2 10 4 3" xfId="20589"/>
    <cellStyle name="汇总 2 7 3 13" xfId="20590"/>
    <cellStyle name="注释 2 11 10 13" xfId="20591"/>
    <cellStyle name="计算 2 3 3 3 2 2" xfId="20592"/>
    <cellStyle name="计算 2 10 4 4" xfId="20593"/>
    <cellStyle name="汇总 2 7 3 14" xfId="20594"/>
    <cellStyle name="计算 2 10 4 5" xfId="20595"/>
    <cellStyle name="汇总 2 7 3 15" xfId="20596"/>
    <cellStyle name="计算 2 10 4 6" xfId="20597"/>
    <cellStyle name="汇总 2 7 3 16" xfId="20598"/>
    <cellStyle name="输出 2 11 6 5 3 2" xfId="20599"/>
    <cellStyle name="计算 2 3 4 16" xfId="20600"/>
    <cellStyle name="输出 2 14 4" xfId="20601"/>
    <cellStyle name="计算 2 10 10" xfId="20602"/>
    <cellStyle name="汇总 2 7 3 2" xfId="20603"/>
    <cellStyle name="计算 2 10 10 2" xfId="20604"/>
    <cellStyle name="汇总 2 7 3 2 2" xfId="20605"/>
    <cellStyle name="计算 2 10 10 3" xfId="20606"/>
    <cellStyle name="汇总 2 7 3 2 3" xfId="20607"/>
    <cellStyle name="计算 2 10 10 4 2" xfId="20608"/>
    <cellStyle name="输入 2 6 2 8 4" xfId="20609"/>
    <cellStyle name="汇总 2 7 3 2 4 2" xfId="20610"/>
    <cellStyle name="计算 2 10 10 5" xfId="20611"/>
    <cellStyle name="汇总 2 7 3 2 5" xfId="20612"/>
    <cellStyle name="输出 2 9 8 2 5" xfId="20613"/>
    <cellStyle name="计算 2 10 10 5 2" xfId="20614"/>
    <cellStyle name="输入 2 6 2 5" xfId="20615"/>
    <cellStyle name="汇总 2 7 3 2 5 2" xfId="20616"/>
    <cellStyle name="计算 2 10 11" xfId="20617"/>
    <cellStyle name="汇总 2 7 3 3" xfId="20618"/>
    <cellStyle name="计算 2 10 11 2" xfId="20619"/>
    <cellStyle name="汇总 2 7 3 3 2" xfId="20620"/>
    <cellStyle name="计算 2 10 11 3" xfId="20621"/>
    <cellStyle name="汇总 2 7 3 3 3" xfId="20622"/>
    <cellStyle name="计算 2 10 11 4 2" xfId="20623"/>
    <cellStyle name="输入 2 6 3 8 4" xfId="20624"/>
    <cellStyle name="汇总 2 7 3 3 4 2" xfId="20625"/>
    <cellStyle name="计算 2 10 11 5" xfId="20626"/>
    <cellStyle name="汇总 2 7 3 3 5" xfId="20627"/>
    <cellStyle name="输出 2 9 9 2 5" xfId="20628"/>
    <cellStyle name="计算 2 10 11 5 2" xfId="20629"/>
    <cellStyle name="输入 2 7 2 5" xfId="20630"/>
    <cellStyle name="汇总 2 7 3 3 5 2" xfId="20631"/>
    <cellStyle name="计算 2 7 4 12" xfId="20632"/>
    <cellStyle name="计算 2 13 4 2 2" xfId="20633"/>
    <cellStyle name="检查单元格 2 5 4 5 3 2" xfId="20634"/>
    <cellStyle name="输出 2 14 6" xfId="20635"/>
    <cellStyle name="计算 2 10 12" xfId="20636"/>
    <cellStyle name="汇总 2 7 3 4" xfId="20637"/>
    <cellStyle name="计算 2 10 12 2" xfId="20638"/>
    <cellStyle name="注释 2 4 8 2 6" xfId="20639"/>
    <cellStyle name="汇总 2 7 3 4 2" xfId="20640"/>
    <cellStyle name="计算 2 10 12 3" xfId="20641"/>
    <cellStyle name="注释 2 4 8 2 7" xfId="20642"/>
    <cellStyle name="汇总 2 7 3 4 3" xfId="20643"/>
    <cellStyle name="计算 2 10 12 4" xfId="20644"/>
    <cellStyle name="注释 2 4 8 2 8" xfId="20645"/>
    <cellStyle name="汇总 2 7 3 4 4" xfId="20646"/>
    <cellStyle name="计算 2 10 12 4 2" xfId="20647"/>
    <cellStyle name="输入 2 6 4 8 4" xfId="20648"/>
    <cellStyle name="汇总 2 7 3 4 4 2" xfId="20649"/>
    <cellStyle name="计算 2 10 12 5" xfId="20650"/>
    <cellStyle name="注释 2 4 8 2 9" xfId="20651"/>
    <cellStyle name="汇总 2 7 3 4 5" xfId="20652"/>
    <cellStyle name="计算 2 10 12 5 2" xfId="20653"/>
    <cellStyle name="输入 2 8 2 5" xfId="20654"/>
    <cellStyle name="汇总 2 7 3 4 5 2" xfId="20655"/>
    <cellStyle name="计算 2 7 9 12" xfId="20656"/>
    <cellStyle name="输入 2 4 7 4 2" xfId="20657"/>
    <cellStyle name="计算 2 10 13" xfId="20658"/>
    <cellStyle name="输出 2 9 6 7 4 2" xfId="20659"/>
    <cellStyle name="汇总 2 7 3 5" xfId="20660"/>
    <cellStyle name="输入 2 4 7 4 2 2" xfId="20661"/>
    <cellStyle name="计算 2 10 13 2" xfId="20662"/>
    <cellStyle name="注释 2 4 8 3 6" xfId="20663"/>
    <cellStyle name="汇总 2 7 3 5 2" xfId="20664"/>
    <cellStyle name="计算 2 10 13 3" xfId="20665"/>
    <cellStyle name="输入 2 10 12 2 2" xfId="20666"/>
    <cellStyle name="汇总 2 7 3 5 3" xfId="20667"/>
    <cellStyle name="计算 2 10 13 4" xfId="20668"/>
    <cellStyle name="汇总 2 7 3 5 4" xfId="20669"/>
    <cellStyle name="输入 2 12 6 11" xfId="20670"/>
    <cellStyle name="计算 2 10 13 4 2" xfId="20671"/>
    <cellStyle name="输入 2 6 5 8 4" xfId="20672"/>
    <cellStyle name="汇总 2 7 3 5 4 2" xfId="20673"/>
    <cellStyle name="计算 2 10 13 5" xfId="20674"/>
    <cellStyle name="汇总 2 7 3 5 5" xfId="20675"/>
    <cellStyle name="计算 2 10 13 5 2" xfId="20676"/>
    <cellStyle name="输入 2 9 2 5" xfId="20677"/>
    <cellStyle name="汇总 2 7 3 5 5 2" xfId="20678"/>
    <cellStyle name="计算 2 10 13 6" xfId="20679"/>
    <cellStyle name="汇总 2 7 3 5 6" xfId="20680"/>
    <cellStyle name="输出 2 5 4 4 3 2" xfId="20681"/>
    <cellStyle name="输入 2 4 7 4 3" xfId="20682"/>
    <cellStyle name="计算 2 11 4 4 2 2" xfId="20683"/>
    <cellStyle name="计算 2 10 14" xfId="20684"/>
    <cellStyle name="汇总 2 7 3 6" xfId="20685"/>
    <cellStyle name="输入 2 4 7 4 3 2" xfId="20686"/>
    <cellStyle name="计算 2 10 14 2" xfId="20687"/>
    <cellStyle name="注释 2 4 8 4 6" xfId="20688"/>
    <cellStyle name="汇总 2 7 3 6 2" xfId="20689"/>
    <cellStyle name="计算 2 10 14 3" xfId="20690"/>
    <cellStyle name="输入 2 10 12 3 2" xfId="20691"/>
    <cellStyle name="汇总 2 7 3 6 3" xfId="20692"/>
    <cellStyle name="计算 2 10 14 4" xfId="20693"/>
    <cellStyle name="汇总 2 7 3 6 4" xfId="20694"/>
    <cellStyle name="输入 2 4 11 11" xfId="20695"/>
    <cellStyle name="计算 2 10 14 4 2" xfId="20696"/>
    <cellStyle name="输入 2 6 6 8 4" xfId="20697"/>
    <cellStyle name="汇总 2 7 3 6 4 2" xfId="20698"/>
    <cellStyle name="计算 2 10 14 5" xfId="20699"/>
    <cellStyle name="汇总 2 7 3 6 5" xfId="20700"/>
    <cellStyle name="输出 2 8 11 10" xfId="20701"/>
    <cellStyle name="计算 2 10 14 6" xfId="20702"/>
    <cellStyle name="汇总 2 7 3 6 6" xfId="20703"/>
    <cellStyle name="输出 2 5 4 4 4 2" xfId="20704"/>
    <cellStyle name="输入 2 5 2 2 5 2" xfId="20705"/>
    <cellStyle name="汇总 2 7 7 4 2 2" xfId="20706"/>
    <cellStyle name="注释 2 4 6 5 4 2" xfId="20707"/>
    <cellStyle name="输入 2 4 7 4 4" xfId="20708"/>
    <cellStyle name="计算 2 10 20" xfId="20709"/>
    <cellStyle name="计算 2 10 15" xfId="20710"/>
    <cellStyle name="汇总 2 7 3 7" xfId="20711"/>
    <cellStyle name="输入 2 4 7 4 4 2" xfId="20712"/>
    <cellStyle name="计算 2 10 20 2" xfId="20713"/>
    <cellStyle name="计算 2 10 15 2" xfId="20714"/>
    <cellStyle name="注释 2 4 8 5 6" xfId="20715"/>
    <cellStyle name="汇总 2 7 3 7 2" xfId="20716"/>
    <cellStyle name="计算 2 10 15 3" xfId="20717"/>
    <cellStyle name="输入 2 10 12 4 2" xfId="20718"/>
    <cellStyle name="汇总 2 7 3 7 3" xfId="20719"/>
    <cellStyle name="计算 2 10 15 4" xfId="20720"/>
    <cellStyle name="汇总 2 7 3 7 4" xfId="20721"/>
    <cellStyle name="计算 2 10 15 4 2" xfId="20722"/>
    <cellStyle name="输入 2 6 7 8 4" xfId="20723"/>
    <cellStyle name="汇总 2 7 3 7 4 2" xfId="20724"/>
    <cellStyle name="计算 2 10 15 5" xfId="20725"/>
    <cellStyle name="汇总 2 7 3 7 5" xfId="20726"/>
    <cellStyle name="输入 2 4 7 4 5" xfId="20727"/>
    <cellStyle name="计算 2 10 21" xfId="20728"/>
    <cellStyle name="计算 2 10 16" xfId="20729"/>
    <cellStyle name="汇总 2 7 3 8" xfId="20730"/>
    <cellStyle name="计算 2 9 8 5 4 2" xfId="20731"/>
    <cellStyle name="输入 2 4 7 4 5 2" xfId="20732"/>
    <cellStyle name="计算 2 10 21 2" xfId="20733"/>
    <cellStyle name="计算 2 10 16 2" xfId="20734"/>
    <cellStyle name="注释 2 4 8 6 6" xfId="20735"/>
    <cellStyle name="汇总 2 7 3 8 2" xfId="20736"/>
    <cellStyle name="计算 2 10 16 3" xfId="20737"/>
    <cellStyle name="输入 2 10 12 5 2" xfId="20738"/>
    <cellStyle name="汇总 2 7 3 8 3" xfId="20739"/>
    <cellStyle name="计算 2 10 16 4" xfId="20740"/>
    <cellStyle name="汇总 2 7 3 8 4" xfId="20741"/>
    <cellStyle name="计算 2 10 16 4 2" xfId="20742"/>
    <cellStyle name="输入 2 6 8 8 4" xfId="20743"/>
    <cellStyle name="汇总 2 7 3 8 4 2" xfId="20744"/>
    <cellStyle name="计算 2 10 16 5" xfId="20745"/>
    <cellStyle name="汇总 2 7 3 8 5" xfId="20746"/>
    <cellStyle name="输入 2 4 7 4 6" xfId="20747"/>
    <cellStyle name="计算 2 10 22" xfId="20748"/>
    <cellStyle name="计算 2 10 17" xfId="20749"/>
    <cellStyle name="汇总 2 7 3 9" xfId="20750"/>
    <cellStyle name="计算 2 10 22 2" xfId="20751"/>
    <cellStyle name="计算 2 10 17 2" xfId="20752"/>
    <cellStyle name="注释 2 4 8 7 6" xfId="20753"/>
    <cellStyle name="汇总 2 7 3 9 2" xfId="20754"/>
    <cellStyle name="计算 2 2 8 5 5 2" xfId="20755"/>
    <cellStyle name="汇总 2 7 4 10" xfId="20756"/>
    <cellStyle name="输入 2 12 7 4 6" xfId="20757"/>
    <cellStyle name="汇总 2 7 4 10 2" xfId="20758"/>
    <cellStyle name="计算 2 10 9 2" xfId="20759"/>
    <cellStyle name="输入 2 12 3 8 4 2" xfId="20760"/>
    <cellStyle name="汇总 2 7 4 12" xfId="20761"/>
    <cellStyle name="注释 2 3 7 5 2 2" xfId="20762"/>
    <cellStyle name="计算 2 10 9 3" xfId="20763"/>
    <cellStyle name="汇总 2 7 4 13" xfId="20764"/>
    <cellStyle name="计算 2 10 9 4" xfId="20765"/>
    <cellStyle name="汇总 2 7 4 14" xfId="20766"/>
    <cellStyle name="计算 2 8 9 5 2 2" xfId="20767"/>
    <cellStyle name="注释 2 5 9 10 2" xfId="20768"/>
    <cellStyle name="输入 2 10 9 7 4 2" xfId="20769"/>
    <cellStyle name="计算 2 10 9 5" xfId="20770"/>
    <cellStyle name="汇总 2 7 4 15" xfId="20771"/>
    <cellStyle name="计算 2 2 3 5 2" xfId="20772"/>
    <cellStyle name="计算 2 10 9 6" xfId="20773"/>
    <cellStyle name="汇总 2 7 4 16" xfId="20774"/>
    <cellStyle name="汇总 2 7 4 2" xfId="20775"/>
    <cellStyle name="汇总 2 7 4 2 2" xfId="20776"/>
    <cellStyle name="汇总 2 7 4 2 3" xfId="20777"/>
    <cellStyle name="汇总 2 7 4 2 5" xfId="20778"/>
    <cellStyle name="汇总 2 7 4 3" xfId="20779"/>
    <cellStyle name="输入 2 9 11 16" xfId="20780"/>
    <cellStyle name="汇总 2 7 4 3 2" xfId="20781"/>
    <cellStyle name="汇总 2 7 4 3 3" xfId="20782"/>
    <cellStyle name="汇总 2 7 4 3 4" xfId="20783"/>
    <cellStyle name="汇总 2 7 4 3 5" xfId="20784"/>
    <cellStyle name="计算 2 13 4 3 2" xfId="20785"/>
    <cellStyle name="检查单元格 2 5 4 5 4 2" xfId="20786"/>
    <cellStyle name="输出 2 15 6" xfId="20787"/>
    <cellStyle name="汇总 2 7 4 4" xfId="20788"/>
    <cellStyle name="注释 2 4 9 2 6" xfId="20789"/>
    <cellStyle name="汇总 2 7 4 4 2" xfId="20790"/>
    <cellStyle name="注释 2 4 9 2 7" xfId="20791"/>
    <cellStyle name="汇总 2 7 4 4 3" xfId="20792"/>
    <cellStyle name="注释 2 4 9 2 8" xfId="20793"/>
    <cellStyle name="汇总 2 7 4 4 4" xfId="20794"/>
    <cellStyle name="输入 2 7 4 8 4" xfId="20795"/>
    <cellStyle name="汇总 2 7 4 4 4 2" xfId="20796"/>
    <cellStyle name="注释 2 4 9 2 9" xfId="20797"/>
    <cellStyle name="汇总 2 7 4 4 5" xfId="20798"/>
    <cellStyle name="汇总 2 7 4 4 5 2" xfId="20799"/>
    <cellStyle name="输出 2 9 6 7 5 2" xfId="20800"/>
    <cellStyle name="汇总 2 7 4 5" xfId="20801"/>
    <cellStyle name="注释 2 4 9 3 6" xfId="20802"/>
    <cellStyle name="汇总 2 7 4 5 2" xfId="20803"/>
    <cellStyle name="输入 2 10 13 2 2" xfId="20804"/>
    <cellStyle name="汇总 2 7 4 5 3" xfId="20805"/>
    <cellStyle name="汇总 2 7 4 5 4" xfId="20806"/>
    <cellStyle name="输入 2 7 5 8 4" xfId="20807"/>
    <cellStyle name="汇总 2 7 4 5 4 2" xfId="20808"/>
    <cellStyle name="汇总 2 7 4 5 5" xfId="20809"/>
    <cellStyle name="汇总 2 7 4 5 5 2" xfId="20810"/>
    <cellStyle name="汇总 2 7 4 5 6" xfId="20811"/>
    <cellStyle name="输出 2 5 4 5 3 2" xfId="20812"/>
    <cellStyle name="输入 2 4 7 5 3" xfId="20813"/>
    <cellStyle name="计算 2 11 4 4 3 2" xfId="20814"/>
    <cellStyle name="汇总 2 7 4 6" xfId="20815"/>
    <cellStyle name="注释 2 4 9 4 6" xfId="20816"/>
    <cellStyle name="汇总 2 7 4 6 2" xfId="20817"/>
    <cellStyle name="输入 2 10 13 3 2" xfId="20818"/>
    <cellStyle name="汇总 2 7 4 6 3" xfId="20819"/>
    <cellStyle name="汇总 2 7 4 6 4" xfId="20820"/>
    <cellStyle name="输入 2 7 6 8 4" xfId="20821"/>
    <cellStyle name="汇总 2 7 4 6 4 2" xfId="20822"/>
    <cellStyle name="输入 2 5 11 11" xfId="20823"/>
    <cellStyle name="输出 2 10 2 2 7" xfId="20824"/>
    <cellStyle name="汇总 2 7 4 6 5" xfId="20825"/>
    <cellStyle name="汇总 2 7 4 6 5 2" xfId="20826"/>
    <cellStyle name="输入 2 5 2 3 5 2" xfId="20827"/>
    <cellStyle name="输入 2 12 24" xfId="20828"/>
    <cellStyle name="输入 2 12 19" xfId="20829"/>
    <cellStyle name="汇总 2 7 7 5 2 2" xfId="20830"/>
    <cellStyle name="汇总 2 7 4 6 6" xfId="20831"/>
    <cellStyle name="输出 2 5 4 5 4 2" xfId="20832"/>
    <cellStyle name="汇总 2 7 4 7" xfId="20833"/>
    <cellStyle name="注释 2 4 9 5 6" xfId="20834"/>
    <cellStyle name="汇总 2 7 4 7 2" xfId="20835"/>
    <cellStyle name="输入 2 10 13 4 2" xfId="20836"/>
    <cellStyle name="汇总 2 7 4 7 3" xfId="20837"/>
    <cellStyle name="汇总 2 7 4 7 4" xfId="20838"/>
    <cellStyle name="汇总 2 7 4 7 5" xfId="20839"/>
    <cellStyle name="汇总 2 7 4 7 5 2" xfId="20840"/>
    <cellStyle name="注释 2 4 9 6 6" xfId="20841"/>
    <cellStyle name="汇总 2 7 4 8 2" xfId="20842"/>
    <cellStyle name="输入 2 10 13 5 2" xfId="20843"/>
    <cellStyle name="汇总 2 7 4 8 3" xfId="20844"/>
    <cellStyle name="汇总 2 7 4 8 4" xfId="20845"/>
    <cellStyle name="输入 2 7 8 8 4" xfId="20846"/>
    <cellStyle name="汇总 2 7 4 8 4 2" xfId="20847"/>
    <cellStyle name="输出 2 10 4 2 7" xfId="20848"/>
    <cellStyle name="汇总 2 7 4 8 5" xfId="20849"/>
    <cellStyle name="汇总 2 7 4 9" xfId="20850"/>
    <cellStyle name="注释 2 4 9 7 6" xfId="20851"/>
    <cellStyle name="汇总 2 7 4 9 2" xfId="20852"/>
    <cellStyle name="计算 2 2 3 5 2 2" xfId="20853"/>
    <cellStyle name="计算 2 10 9 6 2" xfId="20854"/>
    <cellStyle name="汇总 2 7 5" xfId="20855"/>
    <cellStyle name="汇总 2 7 5 10" xfId="20856"/>
    <cellStyle name="汇总 2 7 5 10 2" xfId="20857"/>
    <cellStyle name="汇总 2 7 5 11" xfId="20858"/>
    <cellStyle name="汇总 2 7 5 11 2" xfId="20859"/>
    <cellStyle name="计算 2 3 6 7 3 2" xfId="20860"/>
    <cellStyle name="计算 2 10 5 4 5 2" xfId="20861"/>
    <cellStyle name="汇总 2 7 5 12" xfId="20862"/>
    <cellStyle name="检查单元格 2 10 4 5 4 2" xfId="20863"/>
    <cellStyle name="汇总 2 8 2 2 9" xfId="20864"/>
    <cellStyle name="汇总 2 7 5 12 2" xfId="20865"/>
    <cellStyle name="汇总 2 7 5 14" xfId="20866"/>
    <cellStyle name="输出 2 9 16 5 2" xfId="20867"/>
    <cellStyle name="汇总 2 7 5 15" xfId="20868"/>
    <cellStyle name="计算 2 10 9 6 2 2" xfId="20869"/>
    <cellStyle name="输出 2 16 4" xfId="20870"/>
    <cellStyle name="汇总 2 7 5 2" xfId="20871"/>
    <cellStyle name="汇总 2 7 5 2 2" xfId="20872"/>
    <cellStyle name="输入 2 8 2 6 4" xfId="20873"/>
    <cellStyle name="汇总 2 7 5 2 2 2" xfId="20874"/>
    <cellStyle name="汇总 2 7 5 2 3" xfId="20875"/>
    <cellStyle name="输入 2 8 2 7 4" xfId="20876"/>
    <cellStyle name="汇总 2 7 5 2 3 2" xfId="20877"/>
    <cellStyle name="输入 2 8 2 8 4" xfId="20878"/>
    <cellStyle name="汇总 2 7 5 2 4 2" xfId="20879"/>
    <cellStyle name="汇总 2 7 5 2 5" xfId="20880"/>
    <cellStyle name="汇总 2 7 5 2 5 2" xfId="20881"/>
    <cellStyle name="汇总 2 7 5 3" xfId="20882"/>
    <cellStyle name="汇总 2 7 5 3 2" xfId="20883"/>
    <cellStyle name="汇总 2 7 5 3 3" xfId="20884"/>
    <cellStyle name="汇总 2 7 5 3 4" xfId="20885"/>
    <cellStyle name="输入 2 8 3 8 4" xfId="20886"/>
    <cellStyle name="汇总 2 7 5 3 4 2" xfId="20887"/>
    <cellStyle name="汇总 2 7 5 3 5" xfId="20888"/>
    <cellStyle name="汇总 2 7 5 3 5 2" xfId="20889"/>
    <cellStyle name="计算 2 13 4 4 2" xfId="20890"/>
    <cellStyle name="输出 2 16 6" xfId="20891"/>
    <cellStyle name="汇总 2 7 5 4" xfId="20892"/>
    <cellStyle name="汇总 2 7 5 4 2" xfId="20893"/>
    <cellStyle name="汇总 2 7 5 4 3" xfId="20894"/>
    <cellStyle name="汇总 2 7 5 4 4" xfId="20895"/>
    <cellStyle name="输入 2 8 4 8 4" xfId="20896"/>
    <cellStyle name="汇总 2 7 5 4 4 2" xfId="20897"/>
    <cellStyle name="汇总 2 7 5 4 5" xfId="20898"/>
    <cellStyle name="汇总 2 7 5 4 5 2" xfId="20899"/>
    <cellStyle name="汇总 2 7 5 5" xfId="20900"/>
    <cellStyle name="汇总 2 7 5 5 2" xfId="20901"/>
    <cellStyle name="输入 2 10 14 2 2" xfId="20902"/>
    <cellStyle name="汇总 2 7 5 5 3" xfId="20903"/>
    <cellStyle name="汇总 2 7 5 5 4" xfId="20904"/>
    <cellStyle name="输入 2 7 10 3 6" xfId="20905"/>
    <cellStyle name="计算 2 2 10 6 4" xfId="20906"/>
    <cellStyle name="输出 2 16 7 4 2" xfId="20907"/>
    <cellStyle name="输入 2 8 5 8 4" xfId="20908"/>
    <cellStyle name="汇总 2 7 5 5 4 2" xfId="20909"/>
    <cellStyle name="汇总 2 7 5 5 5" xfId="20910"/>
    <cellStyle name="汇总 2 7 5 5 6" xfId="20911"/>
    <cellStyle name="输出 2 5 4 6 3 2" xfId="20912"/>
    <cellStyle name="输入 2 4 7 6 3" xfId="20913"/>
    <cellStyle name="计算 2 4 5 7 2 2" xfId="20914"/>
    <cellStyle name="计算 2 11 4 4 4 2" xfId="20915"/>
    <cellStyle name="汇总 2 7 5 6" xfId="20916"/>
    <cellStyle name="输出 2 2 9 8 2 2" xfId="20917"/>
    <cellStyle name="汇总 2 7 5 6 2" xfId="20918"/>
    <cellStyle name="输入 2 10 14 3 2" xfId="20919"/>
    <cellStyle name="汇总 2 7 5 6 3" xfId="20920"/>
    <cellStyle name="汇总 2 7 5 6 4" xfId="20921"/>
    <cellStyle name="输入 2 7 11 3 6" xfId="20922"/>
    <cellStyle name="计算 2 2 11 6 4" xfId="20923"/>
    <cellStyle name="输出 2 16 8 4 2" xfId="20924"/>
    <cellStyle name="输入 2 8 6 8 4" xfId="20925"/>
    <cellStyle name="汇总 2 7 5 6 4 2" xfId="20926"/>
    <cellStyle name="输入 2 6 11 11" xfId="20927"/>
    <cellStyle name="输出 2 11 2 2 7" xfId="20928"/>
    <cellStyle name="汇总 2 7 5 6 5" xfId="20929"/>
    <cellStyle name="输入 2 7 11 4 6" xfId="20930"/>
    <cellStyle name="计算 2 2 11 7 4" xfId="20931"/>
    <cellStyle name="汇总 2 7 5 6 5 2" xfId="20932"/>
    <cellStyle name="输入 2 5 2 4 5 2" xfId="20933"/>
    <cellStyle name="汇总 2 7 7 6 2 2" xfId="20934"/>
    <cellStyle name="汇总 2 7 5 6 6" xfId="20935"/>
    <cellStyle name="输出 2 5 4 6 4 2" xfId="20936"/>
    <cellStyle name="汇总 2 7 5 7" xfId="20937"/>
    <cellStyle name="汇总 2 7 5 7 2" xfId="20938"/>
    <cellStyle name="检查单元格 2 10 14" xfId="20939"/>
    <cellStyle name="输入 2 10 14 4 2" xfId="20940"/>
    <cellStyle name="汇总 2 7 5 7 3" xfId="20941"/>
    <cellStyle name="检查单元格 2 10 15" xfId="20942"/>
    <cellStyle name="汇总 2 7 5 7 4" xfId="20943"/>
    <cellStyle name="检查单元格 2 10 16" xfId="20944"/>
    <cellStyle name="汇总 2 7 5 7 5" xfId="20945"/>
    <cellStyle name="检查单元格 2 10 17" xfId="20946"/>
    <cellStyle name="汇总 2 7 5 7 5 2" xfId="20947"/>
    <cellStyle name="计算 2 8 4" xfId="20948"/>
    <cellStyle name="汇总 2 7 5 8 2" xfId="20949"/>
    <cellStyle name="输入 2 10 14 5 2" xfId="20950"/>
    <cellStyle name="汇总 2 7 5 8 3" xfId="20951"/>
    <cellStyle name="汇总 2 7 5 8 4" xfId="20952"/>
    <cellStyle name="输入 2 8 8 8 4" xfId="20953"/>
    <cellStyle name="汇总 2 7 5 8 4 2" xfId="20954"/>
    <cellStyle name="输出 2 11 4 2 7" xfId="20955"/>
    <cellStyle name="汇总 2 7 5 8 5" xfId="20956"/>
    <cellStyle name="汇总 2 7 5 9" xfId="20957"/>
    <cellStyle name="汇总 2 7 5 9 2" xfId="20958"/>
    <cellStyle name="计算 2 10 9 6 3" xfId="20959"/>
    <cellStyle name="汇总 2 7 6" xfId="20960"/>
    <cellStyle name="汇总 2 8 13 4 2" xfId="20961"/>
    <cellStyle name="汇总 2 7 6 10" xfId="20962"/>
    <cellStyle name="汇总 2 7 6 10 2" xfId="20963"/>
    <cellStyle name="汇总 2 7 6 11" xfId="20964"/>
    <cellStyle name="汇总 2 7 6 11 2" xfId="20965"/>
    <cellStyle name="计算 2 12 6 3 2" xfId="20966"/>
    <cellStyle name="汇总 2 7 6 12" xfId="20967"/>
    <cellStyle name="计算 2 12 6 3 2 2" xfId="20968"/>
    <cellStyle name="汇总 2 8 7 2 9" xfId="20969"/>
    <cellStyle name="汇总 2 7 6 12 2" xfId="20970"/>
    <cellStyle name="计算 2 12 6 3 3" xfId="20971"/>
    <cellStyle name="输出 2 8 10 8 5" xfId="20972"/>
    <cellStyle name="计算 2 10 10 10" xfId="20973"/>
    <cellStyle name="输入 2 3 9 5 2" xfId="20974"/>
    <cellStyle name="汇总 2 7 6 13" xfId="20975"/>
    <cellStyle name="输入 2 2 6 8 2 2" xfId="20976"/>
    <cellStyle name="计算 2 10 10 11" xfId="20977"/>
    <cellStyle name="计算 2 12 6 3 4" xfId="20978"/>
    <cellStyle name="计算 2 5 7 6 2" xfId="20979"/>
    <cellStyle name="输入 2 3 9 5 3" xfId="20980"/>
    <cellStyle name="计算 2 11 3 6 3 2" xfId="20981"/>
    <cellStyle name="汇总 2 7 6 14" xfId="20982"/>
    <cellStyle name="计算 2 10 10 12" xfId="20983"/>
    <cellStyle name="计算 2 12 6 3 5" xfId="20984"/>
    <cellStyle name="计算 2 5 7 6 3" xfId="20985"/>
    <cellStyle name="注释 2 4 5 7 5 2" xfId="20986"/>
    <cellStyle name="输入 2 3 9 5 4" xfId="20987"/>
    <cellStyle name="汇总 2 7 6 15" xfId="20988"/>
    <cellStyle name="计算 2 10 9 6 3 2" xfId="20989"/>
    <cellStyle name="输出 2 17 4" xfId="20990"/>
    <cellStyle name="汇总 2 7 6 2" xfId="20991"/>
    <cellStyle name="汇总 2 7 6 2 2" xfId="20992"/>
    <cellStyle name="检查单元格 2 11 4" xfId="20993"/>
    <cellStyle name="输入 2 9 2 6 4" xfId="20994"/>
    <cellStyle name="汇总 2 7 6 2 2 2" xfId="20995"/>
    <cellStyle name="检查单元格 2 11 4 2" xfId="20996"/>
    <cellStyle name="汇总 2 7 6 2 3" xfId="20997"/>
    <cellStyle name="检查单元格 2 11 5" xfId="20998"/>
    <cellStyle name="输入 2 9 2 7 4" xfId="20999"/>
    <cellStyle name="汇总 2 7 6 2 3 2" xfId="21000"/>
    <cellStyle name="检查单元格 2 11 5 2" xfId="21001"/>
    <cellStyle name="汇总 2 7 6 3" xfId="21002"/>
    <cellStyle name="输出 2 12 3 3 2 2" xfId="21003"/>
    <cellStyle name="汇总 2 7 6 3 2" xfId="21004"/>
    <cellStyle name="检查单元格 2 12 4" xfId="21005"/>
    <cellStyle name="计算 2 13 4 5 2" xfId="21006"/>
    <cellStyle name="输出 2 17 6" xfId="21007"/>
    <cellStyle name="汇总 2 7 6 4" xfId="21008"/>
    <cellStyle name="汇总 2 7 6 4 2" xfId="21009"/>
    <cellStyle name="汇总 2 7 6 5" xfId="21010"/>
    <cellStyle name="汇总 2 7 6 5 2" xfId="21011"/>
    <cellStyle name="输入 2 4 7 7 3" xfId="21012"/>
    <cellStyle name="计算 2 4 5 7 3 2" xfId="21013"/>
    <cellStyle name="计算 2 11 4 4 5 2" xfId="21014"/>
    <cellStyle name="汇总 2 7 6 6" xfId="21015"/>
    <cellStyle name="输出 2 10 9 2 2 2" xfId="21016"/>
    <cellStyle name="输出 2 2 9 8 3 2" xfId="21017"/>
    <cellStyle name="汇总 2 7 6 6 2" xfId="21018"/>
    <cellStyle name="计算 2 12 6 10" xfId="21019"/>
    <cellStyle name="输出 2 12 9 3 2" xfId="21020"/>
    <cellStyle name="计算 2 6 5 8 3" xfId="21021"/>
    <cellStyle name="输出 2 17 9" xfId="21022"/>
    <cellStyle name="汇总 2 7 6 7" xfId="21023"/>
    <cellStyle name="计算 2 12 6 10 2" xfId="21024"/>
    <cellStyle name="输出 2 12 9 3 2 2" xfId="21025"/>
    <cellStyle name="计算 2 6 5 8 3 2" xfId="21026"/>
    <cellStyle name="输出 2 17 9 2" xfId="21027"/>
    <cellStyle name="输出 2 5 3 7 4" xfId="21028"/>
    <cellStyle name="汇总 2 7 6 7 2" xfId="21029"/>
    <cellStyle name="计算 2 12 6 11 2" xfId="21030"/>
    <cellStyle name="输出 2 12 9 3 3 2" xfId="21031"/>
    <cellStyle name="计算 2 6 5 8 4 2" xfId="21032"/>
    <cellStyle name="计算 3" xfId="21033"/>
    <cellStyle name="输出 2 5 10 2" xfId="21034"/>
    <cellStyle name="输出 2 5 3 8 4" xfId="21035"/>
    <cellStyle name="汇总 2 7 6 8 2" xfId="21036"/>
    <cellStyle name="计算 2 12 6 12" xfId="21037"/>
    <cellStyle name="输出 2 12 9 3 4" xfId="21038"/>
    <cellStyle name="计算 2 6 5 8 5" xfId="21039"/>
    <cellStyle name="输出 2 5 11" xfId="21040"/>
    <cellStyle name="汇总 2 7 6 9" xfId="21041"/>
    <cellStyle name="计算 2 12 6 12 2" xfId="21042"/>
    <cellStyle name="输出 2 12 9 3 4 2" xfId="21043"/>
    <cellStyle name="输出 2 5 11 2" xfId="21044"/>
    <cellStyle name="汇总 2 7 6 9 2" xfId="21045"/>
    <cellStyle name="注释 2 9 6 3 3 2" xfId="21046"/>
    <cellStyle name="汇总 2 7 7 10" xfId="21047"/>
    <cellStyle name="汇总 2 7 7 10 2" xfId="21048"/>
    <cellStyle name="汇总 2 7 7 11" xfId="21049"/>
    <cellStyle name="输出 2 12 2 5 5 2" xfId="21050"/>
    <cellStyle name="汇总 2 7 7 11 2" xfId="21051"/>
    <cellStyle name="计算 2 2 5 2 4 2" xfId="21052"/>
    <cellStyle name="计算 2 12 6 8 2" xfId="21053"/>
    <cellStyle name="汇总 2 7 7 12" xfId="21054"/>
    <cellStyle name="计算 2 12 6 8 2 2" xfId="21055"/>
    <cellStyle name="汇总 2 7 7 12 2" xfId="21056"/>
    <cellStyle name="计算 2 12 6 8 3" xfId="21057"/>
    <cellStyle name="计算 2 10 11 10" xfId="21058"/>
    <cellStyle name="输出 2 6 11 5 4 2" xfId="21059"/>
    <cellStyle name="汇总 2 7 7 13" xfId="21060"/>
    <cellStyle name="计算 2 12 6 8 4" xfId="21061"/>
    <cellStyle name="计算 2 10 11 11" xfId="21062"/>
    <cellStyle name="汇总 2 7 7 14" xfId="21063"/>
    <cellStyle name="注释 2 10 3 7 4" xfId="21064"/>
    <cellStyle name="输出 2 10 8 4 5 2" xfId="21065"/>
    <cellStyle name="计算 2 12 6 8 5" xfId="21066"/>
    <cellStyle name="计算 2 10 11 12" xfId="21067"/>
    <cellStyle name="汇总 2 7 7 15" xfId="21068"/>
    <cellStyle name="输入 2 2 8 13" xfId="21069"/>
    <cellStyle name="计算 2 10 9 6 4 2" xfId="21070"/>
    <cellStyle name="输出 2 18 4" xfId="21071"/>
    <cellStyle name="汇总 2 7 7 2" xfId="21072"/>
    <cellStyle name="汇总 2 7 7 3" xfId="21073"/>
    <cellStyle name="输出 2 12 3 3 3 2" xfId="21074"/>
    <cellStyle name="汇总 2 7 7 3 2" xfId="21075"/>
    <cellStyle name="汇总 2 7 7 4" xfId="21076"/>
    <cellStyle name="输入 2 5 2 2 5" xfId="21077"/>
    <cellStyle name="汇总 2 7 7 4 2" xfId="21078"/>
    <cellStyle name="汇总 2 7 7 5" xfId="21079"/>
    <cellStyle name="输入 2 5 2 3 5" xfId="21080"/>
    <cellStyle name="汇总 2 7 7 5 2" xfId="21081"/>
    <cellStyle name="输入 2 4 7 8 3" xfId="21082"/>
    <cellStyle name="计算 2 4 5 7 4 2" xfId="21083"/>
    <cellStyle name="汇总 2 7 7 6" xfId="21084"/>
    <cellStyle name="输出 2 10 9 2 3 2" xfId="21085"/>
    <cellStyle name="输出 2 2 9 8 4 2" xfId="21086"/>
    <cellStyle name="输入 2 5 2 4 5" xfId="21087"/>
    <cellStyle name="汇总 2 7 7 6 2" xfId="21088"/>
    <cellStyle name="输入 2 5 2 6 5" xfId="21089"/>
    <cellStyle name="汇总 2 7 7 8 2" xfId="21090"/>
    <cellStyle name="汇总 2 7 7 9" xfId="21091"/>
    <cellStyle name="输入 2 5 2 7 5" xfId="21092"/>
    <cellStyle name="汇总 2 7 7 9 2" xfId="21093"/>
    <cellStyle name="计算 2 10 9 6 5" xfId="21094"/>
    <cellStyle name="汇总 2 7 8" xfId="21095"/>
    <cellStyle name="计算 2 3 5 5 5" xfId="21096"/>
    <cellStyle name="计算 2 10 4 2 7" xfId="21097"/>
    <cellStyle name="注释 2 13 7 3 2" xfId="21098"/>
    <cellStyle name="检查单元格 2 10 3 3 6" xfId="21099"/>
    <cellStyle name="输入 2 11 10 2 3 2" xfId="21100"/>
    <cellStyle name="汇总 2 7 8 10" xfId="21101"/>
    <cellStyle name="计算 2 3 5 5 5 2" xfId="21102"/>
    <cellStyle name="计算 2 3 11 16" xfId="21103"/>
    <cellStyle name="输出 2 4 5 6" xfId="21104"/>
    <cellStyle name="汇总 2 7 8 10 2" xfId="21105"/>
    <cellStyle name="计算 2 5 11 7 6" xfId="21106"/>
    <cellStyle name="汇总 2 7 8 11 2" xfId="21107"/>
    <cellStyle name="检查单元格 2 5 2 5 2 2" xfId="21108"/>
    <cellStyle name="汇总 2 7 8 12" xfId="21109"/>
    <cellStyle name="检查单元格 2 4 2 2 5 2" xfId="21110"/>
    <cellStyle name="计算 2 11 4 2" xfId="21111"/>
    <cellStyle name="检查单元格 2 5 2 5 3" xfId="21112"/>
    <cellStyle name="计算 2 10 4 2 9" xfId="21113"/>
    <cellStyle name="汇总 2 7 8 12 2" xfId="21114"/>
    <cellStyle name="计算 2 11 4 2 2" xfId="21115"/>
    <cellStyle name="检查单元格 2 5 2 5 3 2" xfId="21116"/>
    <cellStyle name="汇总 2 7 8 13" xfId="21117"/>
    <cellStyle name="计算 2 11 4 3" xfId="21118"/>
    <cellStyle name="检查单元格 2 5 2 5 4" xfId="21119"/>
    <cellStyle name="计算 2 3 3 4 2 2" xfId="21120"/>
    <cellStyle name="汇总 2 7 8 14" xfId="21121"/>
    <cellStyle name="计算 2 11 4 4" xfId="21122"/>
    <cellStyle name="检查单元格 2 5 2 5 5" xfId="21123"/>
    <cellStyle name="计算 2 11 4 5" xfId="21124"/>
    <cellStyle name="汇总 2 7 8 15" xfId="21125"/>
    <cellStyle name="计算 2 3 5 16" xfId="21126"/>
    <cellStyle name="计算 2 10 9 6 5 2" xfId="21127"/>
    <cellStyle name="计算 2 11 10" xfId="21128"/>
    <cellStyle name="汇总 2 7 8 2" xfId="21129"/>
    <cellStyle name="计算 2 11 10 2" xfId="21130"/>
    <cellStyle name="汇总 2 7 8 2 2" xfId="21131"/>
    <cellStyle name="汇总 2 9 11" xfId="21132"/>
    <cellStyle name="输出 2 5 5 2 4" xfId="21133"/>
    <cellStyle name="计算 2 11 10 2 2" xfId="21134"/>
    <cellStyle name="汇总 2 7 8 2 2 2" xfId="21135"/>
    <cellStyle name="汇总 2 9 11 2" xfId="21136"/>
    <cellStyle name="输出 2 5 5 2 4 2" xfId="21137"/>
    <cellStyle name="计算 2 11 10 3" xfId="21138"/>
    <cellStyle name="输入 2 11 9 3 2 2" xfId="21139"/>
    <cellStyle name="汇总 2 7 8 2 3" xfId="21140"/>
    <cellStyle name="汇总 2 9 12" xfId="21141"/>
    <cellStyle name="注释 2 6 6 8 2 2" xfId="21142"/>
    <cellStyle name="输出 2 5 5 2 5" xfId="21143"/>
    <cellStyle name="计算 2 11 10 3 2" xfId="21144"/>
    <cellStyle name="汇总 2 7 8 2 3 2" xfId="21145"/>
    <cellStyle name="汇总 2 9 12 2" xfId="21146"/>
    <cellStyle name="输出 2 5 5 2 5 2" xfId="21147"/>
    <cellStyle name="输出 2 9 10 6" xfId="21148"/>
    <cellStyle name="计算 2 11 10 4 2" xfId="21149"/>
    <cellStyle name="汇总 2 7 8 2 4 2" xfId="21150"/>
    <cellStyle name="汇总 2 9 13 2" xfId="21151"/>
    <cellStyle name="计算 2 11 10 5" xfId="21152"/>
    <cellStyle name="汇总 2 7 8 2 5" xfId="21153"/>
    <cellStyle name="汇总 2 9 14" xfId="21154"/>
    <cellStyle name="输出 2 5 5 2 7" xfId="21155"/>
    <cellStyle name="输出 2 9 11 6" xfId="21156"/>
    <cellStyle name="计算 2 11 10 5 2" xfId="21157"/>
    <cellStyle name="注释 2 5 8 16" xfId="21158"/>
    <cellStyle name="汇总 2 7 8 2 5 2" xfId="21159"/>
    <cellStyle name="汇总 2 9 14 2" xfId="21160"/>
    <cellStyle name="计算 2 11 10 6" xfId="21161"/>
    <cellStyle name="汇总 2 7 8 2 6" xfId="21162"/>
    <cellStyle name="汇总 2 9 20" xfId="21163"/>
    <cellStyle name="汇总 2 9 15" xfId="21164"/>
    <cellStyle name="输出 2 5 5 2 8" xfId="21165"/>
    <cellStyle name="计算 2 11 10 8" xfId="21166"/>
    <cellStyle name="汇总 2 7 8 2 8" xfId="21167"/>
    <cellStyle name="注释 2 11 11 5 2 2" xfId="21168"/>
    <cellStyle name="汇总 2 9 22" xfId="21169"/>
    <cellStyle name="汇总 2 9 17" xfId="21170"/>
    <cellStyle name="计算 2 11 10 9" xfId="21171"/>
    <cellStyle name="计算 2 12 5 4 2 2" xfId="21172"/>
    <cellStyle name="汇总 2 7 8 2 9" xfId="21173"/>
    <cellStyle name="注释 2 10 2 3 2 2" xfId="21174"/>
    <cellStyle name="汇总 2 9 23" xfId="21175"/>
    <cellStyle name="汇总 2 9 18" xfId="21176"/>
    <cellStyle name="汇总 2 7 8 3" xfId="21177"/>
    <cellStyle name="计算 2 11 11" xfId="21178"/>
    <cellStyle name="输出 2 12 3 3 4 2" xfId="21179"/>
    <cellStyle name="计算 2 11 11 2" xfId="21180"/>
    <cellStyle name="汇总 2 7 8 3 2" xfId="21181"/>
    <cellStyle name="计算 2 11 11 2 2" xfId="21182"/>
    <cellStyle name="汇总 2 7 8 3 2 2" xfId="21183"/>
    <cellStyle name="汇总 2 8 2 6 6" xfId="21184"/>
    <cellStyle name="输出 2 5 5 3 4 2" xfId="21185"/>
    <cellStyle name="计算 2 11 12" xfId="21186"/>
    <cellStyle name="汇总 2 7 8 4" xfId="21187"/>
    <cellStyle name="计算 2 11 12 2 2" xfId="21188"/>
    <cellStyle name="输入 2 5 3 2 5 2" xfId="21189"/>
    <cellStyle name="汇总 2 7 8 4 2 2" xfId="21190"/>
    <cellStyle name="汇总 2 8 3 6 6" xfId="21191"/>
    <cellStyle name="输出 2 5 5 4 4 2" xfId="21192"/>
    <cellStyle name="输入 2 4 7 9 2" xfId="21193"/>
    <cellStyle name="计算 2 11 13" xfId="21194"/>
    <cellStyle name="汇总 2 7 8 5" xfId="21195"/>
    <cellStyle name="计算 2 11 13 2" xfId="21196"/>
    <cellStyle name="输入 2 5 3 3 5" xfId="21197"/>
    <cellStyle name="汇总 2 7 8 5 2" xfId="21198"/>
    <cellStyle name="计算 2 11 13 2 2" xfId="21199"/>
    <cellStyle name="输入 2 5 3 3 5 2" xfId="21200"/>
    <cellStyle name="汇总 2 7 8 5 2 2" xfId="21201"/>
    <cellStyle name="汇总 2 8 4 6 6" xfId="21202"/>
    <cellStyle name="输出 2 5 5 5 4 2" xfId="21203"/>
    <cellStyle name="计算 2 4 5 7 5 2" xfId="21204"/>
    <cellStyle name="计算 2 11 14" xfId="21205"/>
    <cellStyle name="汇总 2 7 8 6" xfId="21206"/>
    <cellStyle name="输出 2 10 9 2 4 2" xfId="21207"/>
    <cellStyle name="计算 2 11 14 2" xfId="21208"/>
    <cellStyle name="输入 2 5 3 4 5" xfId="21209"/>
    <cellStyle name="计算 2 2 3 13" xfId="21210"/>
    <cellStyle name="汇总 2 7 8 6 2" xfId="21211"/>
    <cellStyle name="计算 2 11 14 2 2" xfId="21212"/>
    <cellStyle name="输入 2 5 3 4 5 2" xfId="21213"/>
    <cellStyle name="汇总 2 7 8 6 2 2" xfId="21214"/>
    <cellStyle name="输入 2 11 10" xfId="21215"/>
    <cellStyle name="汇总 2 8 5 6 6" xfId="21216"/>
    <cellStyle name="输出 2 5 5 6 4 2" xfId="21217"/>
    <cellStyle name="计算 2 11 20 2" xfId="21218"/>
    <cellStyle name="计算 2 11 15 2" xfId="21219"/>
    <cellStyle name="输入 2 5 3 5 5" xfId="21220"/>
    <cellStyle name="汇总 2 7 8 7 2" xfId="21221"/>
    <cellStyle name="计算 2 11 21" xfId="21222"/>
    <cellStyle name="计算 2 11 16" xfId="21223"/>
    <cellStyle name="汇总 2 7 8 8" xfId="21224"/>
    <cellStyle name="计算 2 11 21 2" xfId="21225"/>
    <cellStyle name="计算 2 11 16 2" xfId="21226"/>
    <cellStyle name="输入 2 5 3 6 5" xfId="21227"/>
    <cellStyle name="汇总 2 7 8 8 2" xfId="21228"/>
    <cellStyle name="计算 2 11 22" xfId="21229"/>
    <cellStyle name="计算 2 11 17" xfId="21230"/>
    <cellStyle name="注释 2 5 4 7 2 2" xfId="21231"/>
    <cellStyle name="汇总 2 7 8 9" xfId="21232"/>
    <cellStyle name="计算 2 11 22 2" xfId="21233"/>
    <cellStyle name="计算 2 11 17 2" xfId="21234"/>
    <cellStyle name="输入 2 5 3 7 5" xfId="21235"/>
    <cellStyle name="汇总 2 7 8 9 2" xfId="21236"/>
    <cellStyle name="计算 2 2 8 6 5 2" xfId="21237"/>
    <cellStyle name="汇总 2 7 9 10" xfId="21238"/>
    <cellStyle name="汇总 2 7 9 10 2" xfId="21239"/>
    <cellStyle name="汇总 2 7 9 11 2" xfId="21240"/>
    <cellStyle name="注释 2 9 2 2 6" xfId="21241"/>
    <cellStyle name="计算 2 11 9 2" xfId="21242"/>
    <cellStyle name="汇总 2 7 9 12" xfId="21243"/>
    <cellStyle name="计算 2 11 9 2 2" xfId="21244"/>
    <cellStyle name="汇总 2 7 9 12 2" xfId="21245"/>
    <cellStyle name="注释 2 9 2 2 7" xfId="21246"/>
    <cellStyle name="注释 2 3 7 6 2 2" xfId="21247"/>
    <cellStyle name="计算 2 11 9 3" xfId="21248"/>
    <cellStyle name="汇总 2 7 9 13" xfId="21249"/>
    <cellStyle name="注释 2 9 2 2 8" xfId="21250"/>
    <cellStyle name="计算 2 11 9 4" xfId="21251"/>
    <cellStyle name="汇总 2 7 9 14" xfId="21252"/>
    <cellStyle name="计算 2 8 9 6 2 2" xfId="21253"/>
    <cellStyle name="注释 2 9 2 2 9" xfId="21254"/>
    <cellStyle name="输入 2 10 9 8 4 2" xfId="21255"/>
    <cellStyle name="计算 2 11 9 5" xfId="21256"/>
    <cellStyle name="汇总 2 7 9 15" xfId="21257"/>
    <cellStyle name="计算 2 2 4 5 2" xfId="21258"/>
    <cellStyle name="计算 2 11 9 6" xfId="21259"/>
    <cellStyle name="汇总 2 7 9 16" xfId="21260"/>
    <cellStyle name="汇总 2 7 9 2 2 2" xfId="21261"/>
    <cellStyle name="输入 2 11 9 4 2 2" xfId="21262"/>
    <cellStyle name="汇总 2 7 9 2 3" xfId="21263"/>
    <cellStyle name="输出 2 10 2 5 2" xfId="21264"/>
    <cellStyle name="汇总 2 7 9 2 3 2" xfId="21265"/>
    <cellStyle name="输出 2 10 2 5 2 2" xfId="21266"/>
    <cellStyle name="汇总 2 7 9 2 4" xfId="21267"/>
    <cellStyle name="输出 2 10 2 5 3" xfId="21268"/>
    <cellStyle name="汇总 2 7 9 2 5" xfId="21269"/>
    <cellStyle name="输出 2 10 2 5 4" xfId="21270"/>
    <cellStyle name="汇总 2 7 9 2 6" xfId="21271"/>
    <cellStyle name="输出 2 10 2 5 5" xfId="21272"/>
    <cellStyle name="汇总 2 7 9 2 8" xfId="21273"/>
    <cellStyle name="计算 2 12 5 5 2 2" xfId="21274"/>
    <cellStyle name="汇总 2 7 9 2 9" xfId="21275"/>
    <cellStyle name="计算 2 7 2 2 4 2" xfId="21276"/>
    <cellStyle name="输出 2 3 10 11 2" xfId="21277"/>
    <cellStyle name="汇总 2 9 2 6 6" xfId="21278"/>
    <cellStyle name="输出 2 5 6 3 4 2" xfId="21279"/>
    <cellStyle name="汇总 2 7 9 3 2 2" xfId="21280"/>
    <cellStyle name="计算 2 7 2 3 4 2" xfId="21281"/>
    <cellStyle name="输入 2 5 27" xfId="21282"/>
    <cellStyle name="汇总 2 9 3 6 6" xfId="21283"/>
    <cellStyle name="输出 2 5 6 4 4 2" xfId="21284"/>
    <cellStyle name="输入 2 5 4 2 5 2" xfId="21285"/>
    <cellStyle name="汇总 2 7 9 4 2 2" xfId="21286"/>
    <cellStyle name="计算 2 7 2 4 4 2" xfId="21287"/>
    <cellStyle name="汇总 2 9 4 6 6" xfId="21288"/>
    <cellStyle name="输出 2 11 15 6" xfId="21289"/>
    <cellStyle name="输出 2 5 6 5 4 2" xfId="21290"/>
    <cellStyle name="输入 2 5 4 3 5 2" xfId="21291"/>
    <cellStyle name="汇总 2 7 9 5 2 2" xfId="21292"/>
    <cellStyle name="输出 2 4 6 13" xfId="21293"/>
    <cellStyle name="输入 2 5 4 4 5" xfId="21294"/>
    <cellStyle name="计算 2 2 8 13" xfId="21295"/>
    <cellStyle name="汇总 2 7 9 6 2" xfId="21296"/>
    <cellStyle name="注释 2 10 10 4 2" xfId="21297"/>
    <cellStyle name="计算 2 9 9 2 4 2" xfId="21298"/>
    <cellStyle name="计算 2 7 2 5 4 2" xfId="21299"/>
    <cellStyle name="汇总 2 9 5 6 6" xfId="21300"/>
    <cellStyle name="输出 2 5 6 6 4 2" xfId="21301"/>
    <cellStyle name="输入 2 5 4 4 5 2" xfId="21302"/>
    <cellStyle name="汇总 2 7 9 6 2 2" xfId="21303"/>
    <cellStyle name="输入 2 5 4 5 5" xfId="21304"/>
    <cellStyle name="汇总 2 7 9 7 2" xfId="21305"/>
    <cellStyle name="注释 2 10 10 5 2" xfId="21306"/>
    <cellStyle name="计算 2 9 9 2 5 2" xfId="21307"/>
    <cellStyle name="输入 2 5 4 6 5" xfId="21308"/>
    <cellStyle name="汇总 2 7 9 8 2" xfId="21309"/>
    <cellStyle name="输入 2 5 4 7 5" xfId="21310"/>
    <cellStyle name="汇总 2 7 9 9 2" xfId="21311"/>
    <cellStyle name="汇总 2 8" xfId="21312"/>
    <cellStyle name="汇总 2 8 10 10 2" xfId="21313"/>
    <cellStyle name="汇总 2 8 10 11" xfId="21314"/>
    <cellStyle name="汇总 2 8 10 12" xfId="21315"/>
    <cellStyle name="检查单元格 2 3 11 2 2" xfId="21316"/>
    <cellStyle name="汇总 2 8 10 12 2" xfId="21317"/>
    <cellStyle name="注释 2 7 4 4 5 2" xfId="21318"/>
    <cellStyle name="汇总 2 8 10 14" xfId="21319"/>
    <cellStyle name="汇总 2 8 10 15" xfId="21320"/>
    <cellStyle name="检查单元格 2 9 10 2" xfId="21321"/>
    <cellStyle name="计算 2 4 18 3 2" xfId="21322"/>
    <cellStyle name="计算 2 7 10 3 3" xfId="21323"/>
    <cellStyle name="注释 2 3 6 5 2" xfId="21324"/>
    <cellStyle name="计算 2 12 8 2 3 2" xfId="21325"/>
    <cellStyle name="汇总 2 8 10 16" xfId="21326"/>
    <cellStyle name="计算 2 6 19 2" xfId="21327"/>
    <cellStyle name="检查单元格 2 9 10 3" xfId="21328"/>
    <cellStyle name="汇总 2 8 10 2" xfId="21329"/>
    <cellStyle name="汇总 2 8 10 2 2" xfId="21330"/>
    <cellStyle name="输出 2 12 9 4 6" xfId="21331"/>
    <cellStyle name="汇总 2 8 10 2 2 2" xfId="21332"/>
    <cellStyle name="计算 2 3 22 2" xfId="21333"/>
    <cellStyle name="计算 2 3 17 2" xfId="21334"/>
    <cellStyle name="汇总 2 8 10 2 4" xfId="21335"/>
    <cellStyle name="输出 2 9 5 6 3 2" xfId="21336"/>
    <cellStyle name="计算 2 3 17 3" xfId="21337"/>
    <cellStyle name="汇总 2 8 10 2 5" xfId="21338"/>
    <cellStyle name="计算 2 3 17 3 2" xfId="21339"/>
    <cellStyle name="汇总 2 8 10 2 5 2" xfId="21340"/>
    <cellStyle name="计算 2 3 17 4" xfId="21341"/>
    <cellStyle name="汇总 2 8 10 2 6" xfId="21342"/>
    <cellStyle name="注释 2 4 5 4 3 2" xfId="21343"/>
    <cellStyle name="输入 2 3 6 3 4" xfId="21344"/>
    <cellStyle name="计算 2 11 10 7 4 2" xfId="21345"/>
    <cellStyle name="计算 2 3 17 5" xfId="21346"/>
    <cellStyle name="汇总 2 8 10 2 7" xfId="21347"/>
    <cellStyle name="计算 2 5 4 4 3" xfId="21348"/>
    <cellStyle name="汇总 2 9 16 4 2" xfId="21349"/>
    <cellStyle name="输出 2 3 8 5 3" xfId="21350"/>
    <cellStyle name="计算 2 3 17 6" xfId="21351"/>
    <cellStyle name="汇总 2 8 10 2 8" xfId="21352"/>
    <cellStyle name="计算 2 9 7 4 3 2" xfId="21353"/>
    <cellStyle name="汇总 2 8 10 2 9" xfId="21354"/>
    <cellStyle name="注释 2 9 14 4 2" xfId="21355"/>
    <cellStyle name="汇总 2 8 10 3" xfId="21356"/>
    <cellStyle name="检查单元格 2 3 2 2 4 2" xfId="21357"/>
    <cellStyle name="计算 2 11 24" xfId="21358"/>
    <cellStyle name="计算 2 11 19" xfId="21359"/>
    <cellStyle name="汇总 2 8 10 3 2" xfId="21360"/>
    <cellStyle name="输出 2 12 9 5 6" xfId="21361"/>
    <cellStyle name="计算 2 2 4 13" xfId="21362"/>
    <cellStyle name="输出 2 8 9 2 6" xfId="21363"/>
    <cellStyle name="计算 2 11 19 2" xfId="21364"/>
    <cellStyle name="汇总 2 8 10 3 2 2" xfId="21365"/>
    <cellStyle name="汇总 2 8 10 3 3 2" xfId="21366"/>
    <cellStyle name="计算 2 3 23 2" xfId="21367"/>
    <cellStyle name="计算 2 3 18 2" xfId="21368"/>
    <cellStyle name="汇总 2 8 10 3 4" xfId="21369"/>
    <cellStyle name="计算 2 12 3 2 2" xfId="21370"/>
    <cellStyle name="计算 2 11 26" xfId="21371"/>
    <cellStyle name="检查单元格 2 5 3 4 3 2" xfId="21372"/>
    <cellStyle name="输入 2 11 2 10 2" xfId="21373"/>
    <cellStyle name="输出 2 9 5 6 4 2" xfId="21374"/>
    <cellStyle name="计算 2 3 18 3" xfId="21375"/>
    <cellStyle name="汇总 2 8 10 3 5" xfId="21376"/>
    <cellStyle name="计算 2 12 3 2 3" xfId="21377"/>
    <cellStyle name="计算 2 11 27" xfId="21378"/>
    <cellStyle name="输入 2 3 6 4 3" xfId="21379"/>
    <cellStyle name="计算 2 11 3 3 2 2" xfId="21380"/>
    <cellStyle name="计算 2 3 18 4" xfId="21381"/>
    <cellStyle name="汇总 2 8 10 3 6" xfId="21382"/>
    <cellStyle name="计算 2 12 3 2 4" xfId="21383"/>
    <cellStyle name="计算 2 5 4 5 2" xfId="21384"/>
    <cellStyle name="输出 2 3 8 6 2" xfId="21385"/>
    <cellStyle name="汇总 2 8 10 4 2" xfId="21386"/>
    <cellStyle name="输出 2 12 9 6 6" xfId="21387"/>
    <cellStyle name="计算 2 2 9 13" xfId="21388"/>
    <cellStyle name="汇总 2 8 10 4 2 2" xfId="21389"/>
    <cellStyle name="汇总 2 8 10 4 3 2" xfId="21390"/>
    <cellStyle name="检查单元格 2 6 10 2 2" xfId="21391"/>
    <cellStyle name="计算 2 3 19 2" xfId="21392"/>
    <cellStyle name="汇总 2 8 10 4 4" xfId="21393"/>
    <cellStyle name="检查单元格 2 6 10 3" xfId="21394"/>
    <cellStyle name="计算 2 12 3 3 2" xfId="21395"/>
    <cellStyle name="检查单元格 2 5 3 4 4 2" xfId="21396"/>
    <cellStyle name="输入 2 11 2 11 2" xfId="21397"/>
    <cellStyle name="输出 2 9 5 6 5 2" xfId="21398"/>
    <cellStyle name="计算 2 3 19 3" xfId="21399"/>
    <cellStyle name="汇总 2 8 10 4 5" xfId="21400"/>
    <cellStyle name="检查单元格 2 6 10 4" xfId="21401"/>
    <cellStyle name="计算 2 12 3 3 3" xfId="21402"/>
    <cellStyle name="计算 2 3 19 3 2" xfId="21403"/>
    <cellStyle name="汇总 2 8 10 4 5 2" xfId="21404"/>
    <cellStyle name="检查单元格 2 6 10 4 2" xfId="21405"/>
    <cellStyle name="输入 2 3 6 5 2 2" xfId="21406"/>
    <cellStyle name="计算 2 6 11 3 3" xfId="21407"/>
    <cellStyle name="输出 2 11 11 10" xfId="21408"/>
    <cellStyle name="计算 2 12 3 3 3 2" xfId="21409"/>
    <cellStyle name="输入 2 3 6 5 3" xfId="21410"/>
    <cellStyle name="计算 2 11 3 3 3 2" xfId="21411"/>
    <cellStyle name="计算 2 3 19 4" xfId="21412"/>
    <cellStyle name="汇总 2 8 10 4 6" xfId="21413"/>
    <cellStyle name="检查单元格 2 6 10 5" xfId="21414"/>
    <cellStyle name="计算 2 12 3 3 4" xfId="21415"/>
    <cellStyle name="计算 2 5 4 6 2" xfId="21416"/>
    <cellStyle name="输入 2 2 6 5 2 2" xfId="21417"/>
    <cellStyle name="输出 2 3 8 7 2" xfId="21418"/>
    <cellStyle name="计算 2 10 8 5 2" xfId="21419"/>
    <cellStyle name="汇总 2 8 10 5" xfId="21420"/>
    <cellStyle name="注释 2 10 11 9" xfId="21421"/>
    <cellStyle name="计算 2 10 8 5 2 2" xfId="21422"/>
    <cellStyle name="汇总 2 8 10 5 2" xfId="21423"/>
    <cellStyle name="输出 2 12 9 7 6" xfId="21424"/>
    <cellStyle name="汇总 2 8 10 5 2 2" xfId="21425"/>
    <cellStyle name="汇总 2 8 10 5 3 2" xfId="21426"/>
    <cellStyle name="检查单元格 2 6 11 2 2" xfId="21427"/>
    <cellStyle name="计算 2 12 3 4 2" xfId="21428"/>
    <cellStyle name="检查单元格 2 5 3 4 5 2" xfId="21429"/>
    <cellStyle name="汇总 2 8 10 5 4" xfId="21430"/>
    <cellStyle name="检查单元格 2 6 11 3" xfId="21431"/>
    <cellStyle name="计算 2 12 3 4 3" xfId="21432"/>
    <cellStyle name="输入 2 11 2 12 2" xfId="21433"/>
    <cellStyle name="汇总 2 8 10 5 5" xfId="21434"/>
    <cellStyle name="检查单元格 2 6 11 4" xfId="21435"/>
    <cellStyle name="计算 2 12 3 4 3 2" xfId="21436"/>
    <cellStyle name="汇总 2 8 10 5 5 2" xfId="21437"/>
    <cellStyle name="检查单元格 2 6 11 4 2" xfId="21438"/>
    <cellStyle name="输入 2 3 6 6 3" xfId="21439"/>
    <cellStyle name="计算 2 4 4 6 2 2" xfId="21440"/>
    <cellStyle name="计算 2 11 3 3 4 2" xfId="21441"/>
    <cellStyle name="汇总 2 8 10 5 6" xfId="21442"/>
    <cellStyle name="检查单元格 2 6 11 5" xfId="21443"/>
    <cellStyle name="输出 2 2 8 7 2 2" xfId="21444"/>
    <cellStyle name="计算 2 12 3 4 4" xfId="21445"/>
    <cellStyle name="计算 2 5 4 7 2" xfId="21446"/>
    <cellStyle name="输入 2 2 6 5 3 2" xfId="21447"/>
    <cellStyle name="输出 2 3 8 8 2" xfId="21448"/>
    <cellStyle name="注释 2 2 4 2 5 2" xfId="21449"/>
    <cellStyle name="计算 2 10 8 5 3" xfId="21450"/>
    <cellStyle name="汇总 2 8 10 6" xfId="21451"/>
    <cellStyle name="输入 2 5 4 11 2" xfId="21452"/>
    <cellStyle name="输出 2 2 11 5 5 2" xfId="21453"/>
    <cellStyle name="计算 2 12 7 14" xfId="21454"/>
    <cellStyle name="汇总 2 8 10 6 2" xfId="21455"/>
    <cellStyle name="输出 2 6 13" xfId="21456"/>
    <cellStyle name="注释 2 10 12 9" xfId="21457"/>
    <cellStyle name="计算 2 10 8 5 3 2" xfId="21458"/>
    <cellStyle name="汇总 2 8 10 6 2 2" xfId="21459"/>
    <cellStyle name="输出 2 6 13 2" xfId="21460"/>
    <cellStyle name="计算 2 12 7 15" xfId="21461"/>
    <cellStyle name="输出 2 12 2 2 2 2" xfId="21462"/>
    <cellStyle name="输出 2 4 2 8 3 2" xfId="21463"/>
    <cellStyle name="汇总 2 8 10 6 3" xfId="21464"/>
    <cellStyle name="检查单元格 2 6 12 2" xfId="21465"/>
    <cellStyle name="输出 2 6 14" xfId="21466"/>
    <cellStyle name="汇总 2 8 10 6 3 2" xfId="21467"/>
    <cellStyle name="检查单元格 2 6 12 2 2" xfId="21468"/>
    <cellStyle name="输出 2 6 14 2" xfId="21469"/>
    <cellStyle name="计算 2 12 7 16" xfId="21470"/>
    <cellStyle name="汇总 2 8 10 6 4" xfId="21471"/>
    <cellStyle name="检查单元格 2 6 12 3" xfId="21472"/>
    <cellStyle name="输出 2 6 15" xfId="21473"/>
    <cellStyle name="输出 2 6 20" xfId="21474"/>
    <cellStyle name="注释 2 10 4 11" xfId="21475"/>
    <cellStyle name="输入 2 3 19 2 2" xfId="21476"/>
    <cellStyle name="计算 2 12 3 5 2" xfId="21477"/>
    <cellStyle name="注释 2 10 4 12" xfId="21478"/>
    <cellStyle name="计算 2 12 3 5 3" xfId="21479"/>
    <cellStyle name="汇总 2 8 10 6 5" xfId="21480"/>
    <cellStyle name="检查单元格 2 6 12 4" xfId="21481"/>
    <cellStyle name="输出 2 6 16" xfId="21482"/>
    <cellStyle name="输出 2 6 21" xfId="21483"/>
    <cellStyle name="注释 2 10 4 12 2" xfId="21484"/>
    <cellStyle name="计算 2 12 3 5 3 2" xfId="21485"/>
    <cellStyle name="汇总 2 8 10 6 5 2" xfId="21486"/>
    <cellStyle name="检查单元格 2 6 12 4 2" xfId="21487"/>
    <cellStyle name="输出 2 6 16 2" xfId="21488"/>
    <cellStyle name="输出 2 6 21 2" xfId="21489"/>
    <cellStyle name="输入 2 3 6 7 3" xfId="21490"/>
    <cellStyle name="计算 2 4 4 6 3 2" xfId="21491"/>
    <cellStyle name="计算 2 11 3 3 5 2" xfId="21492"/>
    <cellStyle name="汇总 2 8 10 6 6" xfId="21493"/>
    <cellStyle name="检查单元格 2 6 12 5" xfId="21494"/>
    <cellStyle name="输出 2 2 8 7 3 2" xfId="21495"/>
    <cellStyle name="输出 2 6 17" xfId="21496"/>
    <cellStyle name="输出 2 6 22" xfId="21497"/>
    <cellStyle name="注释 2 10 4 13" xfId="21498"/>
    <cellStyle name="计算 2 12 3 5 4" xfId="21499"/>
    <cellStyle name="计算 2 5 4 8 2" xfId="21500"/>
    <cellStyle name="输入 2 6 11 2 5" xfId="21501"/>
    <cellStyle name="输入 2 2 6 5 4 2" xfId="21502"/>
    <cellStyle name="输出 2 3 8 9 2" xfId="21503"/>
    <cellStyle name="计算 2 3 9 8 2 2" xfId="21504"/>
    <cellStyle name="计算 2 10 8 5 4 2" xfId="21505"/>
    <cellStyle name="汇总 2 8 10 7 2" xfId="21506"/>
    <cellStyle name="汇总 2 8 10 7 2 2" xfId="21507"/>
    <cellStyle name="汇总 2 8 10 7 3 2" xfId="21508"/>
    <cellStyle name="输入 2 3 19 3 2" xfId="21509"/>
    <cellStyle name="计算 2 12 3 6 2" xfId="21510"/>
    <cellStyle name="汇总 2 8 10 7 4" xfId="21511"/>
    <cellStyle name="计算 2 12 3 6 2 2" xfId="21512"/>
    <cellStyle name="汇总 2 8 10 7 4 2" xfId="21513"/>
    <cellStyle name="计算 2 12 3 6 3" xfId="21514"/>
    <cellStyle name="输入 2 6 11 3 4" xfId="21515"/>
    <cellStyle name="输出 2 6 11 2 2 2" xfId="21516"/>
    <cellStyle name="汇总 2 8 10 7 5" xfId="21517"/>
    <cellStyle name="计算 2 12 3 6 3 2" xfId="21518"/>
    <cellStyle name="汇总 2 8 10 7 5 2" xfId="21519"/>
    <cellStyle name="输入 2 3 6 8 3" xfId="21520"/>
    <cellStyle name="计算 2 4 4 6 4 2" xfId="21521"/>
    <cellStyle name="汇总 2 8 10 7 6" xfId="21522"/>
    <cellStyle name="输出 2 2 8 7 4 2" xfId="21523"/>
    <cellStyle name="计算 2 12 3 6 4" xfId="21524"/>
    <cellStyle name="计算 2 5 4 9 2" xfId="21525"/>
    <cellStyle name="计算 2 3 9 8 3" xfId="21526"/>
    <cellStyle name="计算 2 10 8 5 5" xfId="21527"/>
    <cellStyle name="汇总 2 8 10 8" xfId="21528"/>
    <cellStyle name="计算 2 3 9 8 3 2" xfId="21529"/>
    <cellStyle name="计算 2 12 24" xfId="21530"/>
    <cellStyle name="计算 2 12 19" xfId="21531"/>
    <cellStyle name="计算 2 10 8 5 5 2" xfId="21532"/>
    <cellStyle name="汇总 2 8 10 8 2" xfId="21533"/>
    <cellStyle name="计算 2 3 4 13" xfId="21534"/>
    <cellStyle name="注释 2 12 2 6 6" xfId="21535"/>
    <cellStyle name="计算 2 12 19 2" xfId="21536"/>
    <cellStyle name="汇总 2 8 10 8 2 2" xfId="21537"/>
    <cellStyle name="汇总 2 8 10 8 3 2" xfId="21538"/>
    <cellStyle name="输入 2 3 19 4 2" xfId="21539"/>
    <cellStyle name="计算 2 12 3 7 2" xfId="21540"/>
    <cellStyle name="汇总 2 8 10 8 4" xfId="21541"/>
    <cellStyle name="计算 2 12 3 7 2 2" xfId="21542"/>
    <cellStyle name="汇总 2 8 10 8 4 2" xfId="21543"/>
    <cellStyle name="计算 2 12 3 7 3" xfId="21544"/>
    <cellStyle name="输入 2 6 11 4 4" xfId="21545"/>
    <cellStyle name="输出 2 6 11 2 3 2" xfId="21546"/>
    <cellStyle name="汇总 2 8 10 8 5" xfId="21547"/>
    <cellStyle name="计算 2 3 9 8 4" xfId="21548"/>
    <cellStyle name="计算 2 10 8 5 6" xfId="21549"/>
    <cellStyle name="汇总 2 8 10 9" xfId="21550"/>
    <cellStyle name="计算 2 3 9 8 4 2" xfId="21551"/>
    <cellStyle name="汇总 2 8 10 9 2" xfId="21552"/>
    <cellStyle name="计算 2 3 5 11 2" xfId="21553"/>
    <cellStyle name="汇总 2 8 11" xfId="21554"/>
    <cellStyle name="输出 2 8 3 8 5" xfId="21555"/>
    <cellStyle name="汇总 2 9 4 8 4 2" xfId="21556"/>
    <cellStyle name="输出 2 11 17 4 2" xfId="21557"/>
    <cellStyle name="汇总 2 8 11 10" xfId="21558"/>
    <cellStyle name="汇总 2 8 11 10 2" xfId="21559"/>
    <cellStyle name="检查单元格 2 4 6 4 4" xfId="21560"/>
    <cellStyle name="汇总 2 8 11 11" xfId="21561"/>
    <cellStyle name="汇总 2 8 11 12" xfId="21562"/>
    <cellStyle name="汇总 2 8 11 14" xfId="21563"/>
    <cellStyle name="汇总 2 8 11 16" xfId="21564"/>
    <cellStyle name="输出 2 7 2 3 2" xfId="21565"/>
    <cellStyle name="汇总 2 8 11 2" xfId="21566"/>
    <cellStyle name="汇总 2 8 11 2 2" xfId="21567"/>
    <cellStyle name="输出 2 4 10 4 6" xfId="21568"/>
    <cellStyle name="输出 2 9 8 2 6" xfId="21569"/>
    <cellStyle name="计算 2 10 10 5 3" xfId="21570"/>
    <cellStyle name="汇总 2 8 11 2 2 2" xfId="21571"/>
    <cellStyle name="输出 2 9 8 3 6" xfId="21572"/>
    <cellStyle name="计算 2 10 10 6 3" xfId="21573"/>
    <cellStyle name="汇总 2 8 11 2 3 2" xfId="21574"/>
    <cellStyle name="汇总 2 8 11 2 4" xfId="21575"/>
    <cellStyle name="输出 2 9 5 7 3 2" xfId="21576"/>
    <cellStyle name="汇总 2 8 11 2 5" xfId="21577"/>
    <cellStyle name="汇总 2 8 11 2 6" xfId="21578"/>
    <cellStyle name="注释 2 9 14 5 2" xfId="21579"/>
    <cellStyle name="汇总 2 8 11 3" xfId="21580"/>
    <cellStyle name="检查单元格 2 3 2 2 5 2" xfId="21581"/>
    <cellStyle name="汇总 2 8 11 4 2" xfId="21582"/>
    <cellStyle name="输出 2 4 10 6 6" xfId="21583"/>
    <cellStyle name="汇总 2 8 11 4 2 2" xfId="21584"/>
    <cellStyle name="汇总 2 8 11 4 3 2" xfId="21585"/>
    <cellStyle name="计算 2 12 4 3 2" xfId="21586"/>
    <cellStyle name="检查单元格 2 5 3 5 4 2" xfId="21587"/>
    <cellStyle name="汇总 2 8 11 4 4" xfId="21588"/>
    <cellStyle name="计算 2 12 4 3 3" xfId="21589"/>
    <cellStyle name="输出 2 9 5 7 5 2" xfId="21590"/>
    <cellStyle name="汇总 2 8 11 4 5" xfId="21591"/>
    <cellStyle name="计算 2 2 10 4" xfId="21592"/>
    <cellStyle name="汇总 2 8 11 4 5 2" xfId="21593"/>
    <cellStyle name="计算 2 12 4 3 3 2" xfId="21594"/>
    <cellStyle name="计算 2 12 4 3 4" xfId="21595"/>
    <cellStyle name="计算 2 5 5 6 2" xfId="21596"/>
    <cellStyle name="输入 2 2 6 6 2 2" xfId="21597"/>
    <cellStyle name="输出 2 3 9 7 2" xfId="21598"/>
    <cellStyle name="输入 2 3 7 5 3" xfId="21599"/>
    <cellStyle name="计算 2 11 3 4 3 2" xfId="21600"/>
    <cellStyle name="汇总 2 8 11 4 6" xfId="21601"/>
    <cellStyle name="计算 2 2 3 4 2 2" xfId="21602"/>
    <cellStyle name="计算 2 10 8 6 2" xfId="21603"/>
    <cellStyle name="汇总 2 8 11 5" xfId="21604"/>
    <cellStyle name="计算 2 10 8 6 2 2" xfId="21605"/>
    <cellStyle name="汇总 2 8 11 5 2" xfId="21606"/>
    <cellStyle name="输出 2 4 10 7 6" xfId="21607"/>
    <cellStyle name="汇总 2 8 11 5 2 2" xfId="21608"/>
    <cellStyle name="汇总 2 8 11 5 3" xfId="21609"/>
    <cellStyle name="汇总 2 8 11 5 3 2" xfId="21610"/>
    <cellStyle name="计算 2 12 4 4 2" xfId="21611"/>
    <cellStyle name="汇总 2 8 11 5 4" xfId="21612"/>
    <cellStyle name="计算 2 12 4 4 3" xfId="21613"/>
    <cellStyle name="汇总 2 8 11 5 5" xfId="21614"/>
    <cellStyle name="计算 2 12 4 4 3 2" xfId="21615"/>
    <cellStyle name="汇总 2 8 11 5 5 2" xfId="21616"/>
    <cellStyle name="注释 2 8 6 12" xfId="21617"/>
    <cellStyle name="输入 2 3 7 6 3" xfId="21618"/>
    <cellStyle name="计算 2 4 4 7 2 2" xfId="21619"/>
    <cellStyle name="计算 2 11 3 4 4 2" xfId="21620"/>
    <cellStyle name="汇总 2 8 11 5 6" xfId="21621"/>
    <cellStyle name="输出 2 2 8 8 2 2" xfId="21622"/>
    <cellStyle name="计算 2 12 4 4 4" xfId="21623"/>
    <cellStyle name="计算 2 5 5 7 2" xfId="21624"/>
    <cellStyle name="输入 2 2 6 6 3 2" xfId="21625"/>
    <cellStyle name="输出 2 3 9 8 2" xfId="21626"/>
    <cellStyle name="计算 2 10 8 6 3" xfId="21627"/>
    <cellStyle name="汇总 2 8 11 6" xfId="21628"/>
    <cellStyle name="计算 2 10 8 6 3 2" xfId="21629"/>
    <cellStyle name="汇总 2 8 11 6 2" xfId="21630"/>
    <cellStyle name="汇总 2 8 11 6 3" xfId="21631"/>
    <cellStyle name="输出 2 12 2 3 2 2" xfId="21632"/>
    <cellStyle name="汇总 2 8 11 6 3 2" xfId="21633"/>
    <cellStyle name="注释 2 10 9 11" xfId="21634"/>
    <cellStyle name="计算 2 12 4 5 2" xfId="21635"/>
    <cellStyle name="汇总 2 8 11 6 4" xfId="21636"/>
    <cellStyle name="注释 2 10 9 12" xfId="21637"/>
    <cellStyle name="计算 2 12 4 5 3" xfId="21638"/>
    <cellStyle name="汇总 2 8 11 6 5" xfId="21639"/>
    <cellStyle name="注释 2 10 9 12 2" xfId="21640"/>
    <cellStyle name="计算 2 12 4 5 3 2" xfId="21641"/>
    <cellStyle name="汇总 2 8 11 6 5 2" xfId="21642"/>
    <cellStyle name="输入 2 3 7 7 3" xfId="21643"/>
    <cellStyle name="计算 2 4 4 7 3 2" xfId="21644"/>
    <cellStyle name="计算 2 11 3 4 5 2" xfId="21645"/>
    <cellStyle name="汇总 2 8 11 6 6" xfId="21646"/>
    <cellStyle name="输出 2 10 8 2 2 2" xfId="21647"/>
    <cellStyle name="输出 2 2 8 8 3 2" xfId="21648"/>
    <cellStyle name="注释 2 10 9 13" xfId="21649"/>
    <cellStyle name="计算 2 12 4 5 4" xfId="21650"/>
    <cellStyle name="计算 2 5 5 8 2" xfId="21651"/>
    <cellStyle name="输入 2 2 6 6 4 2" xfId="21652"/>
    <cellStyle name="输出 2 3 9 9 2" xfId="21653"/>
    <cellStyle name="计算 2 10 8 6 4 2" xfId="21654"/>
    <cellStyle name="汇总 2 8 11 7 2" xfId="21655"/>
    <cellStyle name="汇总 2 8 11 7 3" xfId="21656"/>
    <cellStyle name="输出 2 12 2 3 3 2" xfId="21657"/>
    <cellStyle name="汇总 2 8 11 7 3 2" xfId="21658"/>
    <cellStyle name="计算 2 12 4 6 2" xfId="21659"/>
    <cellStyle name="汇总 2 8 11 7 4" xfId="21660"/>
    <cellStyle name="计算 2 12 4 6 3" xfId="21661"/>
    <cellStyle name="输出 2 6 11 3 2 2" xfId="21662"/>
    <cellStyle name="汇总 2 8 11 7 5" xfId="21663"/>
    <cellStyle name="计算 2 12 4 6 3 2" xfId="21664"/>
    <cellStyle name="汇总 2 8 11 7 5 2" xfId="21665"/>
    <cellStyle name="输入 2 3 7 8 3" xfId="21666"/>
    <cellStyle name="计算 2 4 4 7 4 2" xfId="21667"/>
    <cellStyle name="汇总 2 8 11 7 6" xfId="21668"/>
    <cellStyle name="输出 2 10 8 2 3 2" xfId="21669"/>
    <cellStyle name="输出 2 2 8 8 4 2" xfId="21670"/>
    <cellStyle name="计算 2 12 4 6 4" xfId="21671"/>
    <cellStyle name="计算 2 5 5 9 2" xfId="21672"/>
    <cellStyle name="计算 2 10 8 6 5" xfId="21673"/>
    <cellStyle name="汇总 2 8 11 8" xfId="21674"/>
    <cellStyle name="计算 2 10 8 6 5 2" xfId="21675"/>
    <cellStyle name="汇总 2 8 11 8 2" xfId="21676"/>
    <cellStyle name="汇总 2 8 11 8 2 2" xfId="21677"/>
    <cellStyle name="汇总 2 8 11 8 3" xfId="21678"/>
    <cellStyle name="输出 2 12 2 3 4 2" xfId="21679"/>
    <cellStyle name="汇总 2 8 11 8 3 2" xfId="21680"/>
    <cellStyle name="计算 2 12 4 7 2" xfId="21681"/>
    <cellStyle name="汇总 2 8 11 8 4" xfId="21682"/>
    <cellStyle name="计算 2 12 4 7 3" xfId="21683"/>
    <cellStyle name="输出 2 6 11 3 3 2" xfId="21684"/>
    <cellStyle name="汇总 2 8 11 8 5" xfId="21685"/>
    <cellStyle name="汇总 2 8 11 9 2" xfId="21686"/>
    <cellStyle name="汇总 2 8 12" xfId="21687"/>
    <cellStyle name="汇总 2 8 12 2" xfId="21688"/>
    <cellStyle name="汇总 2 8 12 2 2" xfId="21689"/>
    <cellStyle name="输出 2 4 11 4 6" xfId="21690"/>
    <cellStyle name="汇总 2 8 12 3" xfId="21691"/>
    <cellStyle name="汇总 2 8 12 3 2" xfId="21692"/>
    <cellStyle name="输出 2 4 11 5 6" xfId="21693"/>
    <cellStyle name="汇总 2 8 12 4 2" xfId="21694"/>
    <cellStyle name="计算 2 11 11 16" xfId="21695"/>
    <cellStyle name="输出 2 4 11 6 6" xfId="21696"/>
    <cellStyle name="计算 2 2 3 4 3 2" xfId="21697"/>
    <cellStyle name="计算 2 10 8 7 2" xfId="21698"/>
    <cellStyle name="汇总 2 8 12 5" xfId="21699"/>
    <cellStyle name="计算 2 10 8 7 2 2" xfId="21700"/>
    <cellStyle name="汇总 2 8 12 5 2" xfId="21701"/>
    <cellStyle name="输出 2 4 11 7 6" xfId="21702"/>
    <cellStyle name="计算 2 10 8 7 3" xfId="21703"/>
    <cellStyle name="汇总 2 8 12 6" xfId="21704"/>
    <cellStyle name="计算 2 10 8 7 5" xfId="21705"/>
    <cellStyle name="汇总 2 8 12 8" xfId="21706"/>
    <cellStyle name="汇总 2 8 13 2 2" xfId="21707"/>
    <cellStyle name="汇总 2 8 13 3" xfId="21708"/>
    <cellStyle name="汇总 2 8 13 3 2" xfId="21709"/>
    <cellStyle name="计算 2 2 3 4 4 2" xfId="21710"/>
    <cellStyle name="计算 2 10 8 8 2" xfId="21711"/>
    <cellStyle name="汇总 2 8 13 5" xfId="21712"/>
    <cellStyle name="计算 2 10 8 8 2 2" xfId="21713"/>
    <cellStyle name="汇总 2 8 13 5 2" xfId="21714"/>
    <cellStyle name="计算 2 10 8 8 3" xfId="21715"/>
    <cellStyle name="汇总 2 8 13 6" xfId="21716"/>
    <cellStyle name="汇总 2 8 14 2 2" xfId="21717"/>
    <cellStyle name="输出 2 2 12 5" xfId="21718"/>
    <cellStyle name="汇总 2 8 14 3" xfId="21719"/>
    <cellStyle name="汇总 2 8 14 3 2" xfId="21720"/>
    <cellStyle name="输出 2 2 13 5" xfId="21721"/>
    <cellStyle name="汇总 2 8 14 4" xfId="21722"/>
    <cellStyle name="汇总 2 8 14 4 2" xfId="21723"/>
    <cellStyle name="输出 2 2 14 5" xfId="21724"/>
    <cellStyle name="注释 2 2 8" xfId="21725"/>
    <cellStyle name="计算 2 2 3 4 5 2" xfId="21726"/>
    <cellStyle name="计算 2 10 8 9 2" xfId="21727"/>
    <cellStyle name="汇总 2 8 14 5" xfId="21728"/>
    <cellStyle name="汇总 2 8 14 5 2" xfId="21729"/>
    <cellStyle name="输出 2 2 15 5" xfId="21730"/>
    <cellStyle name="汇总 2 8 14 6" xfId="21731"/>
    <cellStyle name="汇总 2 8 15 2 2" xfId="21732"/>
    <cellStyle name="汇总 2 8 15 3" xfId="21733"/>
    <cellStyle name="汇总 2 8 15 3 2" xfId="21734"/>
    <cellStyle name="汇总 2 8 15 4" xfId="21735"/>
    <cellStyle name="检查单元格 2 3 4 2 2" xfId="21736"/>
    <cellStyle name="汇总 2 8 15 4 2" xfId="21737"/>
    <cellStyle name="检查单元格 2 3 4 2 2 2" xfId="21738"/>
    <cellStyle name="汇总 2 8 15 5" xfId="21739"/>
    <cellStyle name="检查单元格 2 3 4 2 3" xfId="21740"/>
    <cellStyle name="汇总 2 8 15 5 2" xfId="21741"/>
    <cellStyle name="检查单元格 2 3 4 2 3 2" xfId="21742"/>
    <cellStyle name="汇总 2 8 15 6" xfId="21743"/>
    <cellStyle name="检查单元格 2 3 4 2 4" xfId="21744"/>
    <cellStyle name="汇总 2 8 16 2 2" xfId="21745"/>
    <cellStyle name="汇总 2 8 16 3" xfId="21746"/>
    <cellStyle name="汇总 2 8 16 3 2" xfId="21747"/>
    <cellStyle name="汇总 2 8 16 4" xfId="21748"/>
    <cellStyle name="检查单元格 2 3 4 3 2" xfId="21749"/>
    <cellStyle name="汇总 2 8 16 5" xfId="21750"/>
    <cellStyle name="计算 2 7 9 6 2 2" xfId="21751"/>
    <cellStyle name="检查单元格 2 3 4 3 3" xfId="21752"/>
    <cellStyle name="汇总 2 8 16 5 2" xfId="21753"/>
    <cellStyle name="检查单元格 2 3 4 3 3 2" xfId="21754"/>
    <cellStyle name="汇总 2 8 16 6" xfId="21755"/>
    <cellStyle name="检查单元格 2 3 4 3 4" xfId="21756"/>
    <cellStyle name="输出 2 7 7 8 3 2" xfId="21757"/>
    <cellStyle name="汇总 2 8 22 2" xfId="21758"/>
    <cellStyle name="汇总 2 8 17 2" xfId="21759"/>
    <cellStyle name="计算 2 9 3 7 3 2" xfId="21760"/>
    <cellStyle name="汇总 2 8 17 2 2" xfId="21761"/>
    <cellStyle name="汇总 2 8 17 3" xfId="21762"/>
    <cellStyle name="汇总 2 8 17 3 2" xfId="21763"/>
    <cellStyle name="汇总 2 8 17 4" xfId="21764"/>
    <cellStyle name="检查单元格 2 3 4 4 2" xfId="21765"/>
    <cellStyle name="汇总 2 8 17 4 2" xfId="21766"/>
    <cellStyle name="检查单元格 2 3 4 4 2 2" xfId="21767"/>
    <cellStyle name="汇总 2 8 17 5" xfId="21768"/>
    <cellStyle name="计算 2 7 9 6 3 2" xfId="21769"/>
    <cellStyle name="检查单元格 2 3 4 4 3" xfId="21770"/>
    <cellStyle name="汇总 2 8 17 5 2" xfId="21771"/>
    <cellStyle name="检查单元格 2 3 4 4 3 2" xfId="21772"/>
    <cellStyle name="汇总 2 8 17 6" xfId="21773"/>
    <cellStyle name="检查单元格 2 3 4 4 4" xfId="21774"/>
    <cellStyle name="输出 2 7 7 8 4" xfId="21775"/>
    <cellStyle name="汇总 2 8 23" xfId="21776"/>
    <cellStyle name="汇总 2 8 18" xfId="21777"/>
    <cellStyle name="计算 2 9 3 7 4" xfId="21778"/>
    <cellStyle name="输出 2 4 11 7 3 2" xfId="21779"/>
    <cellStyle name="输出 2 7 7 8 4 2" xfId="21780"/>
    <cellStyle name="汇总 2 8 23 2" xfId="21781"/>
    <cellStyle name="汇总 2 8 18 2" xfId="21782"/>
    <cellStyle name="计算 2 9 3 7 4 2" xfId="21783"/>
    <cellStyle name="汇总 2 8 18 2 2" xfId="21784"/>
    <cellStyle name="汇总 2 8 18 3" xfId="21785"/>
    <cellStyle name="汇总 2 8 18 3 2" xfId="21786"/>
    <cellStyle name="汇总 2 8 18 4" xfId="21787"/>
    <cellStyle name="检查单元格 2 3 4 5 2" xfId="21788"/>
    <cellStyle name="汇总 2 8 6 10" xfId="21789"/>
    <cellStyle name="汇总 2 8 18 4 2" xfId="21790"/>
    <cellStyle name="检查单元格 2 3 4 5 2 2" xfId="21791"/>
    <cellStyle name="汇总 2 8 18 5" xfId="21792"/>
    <cellStyle name="计算 2 7 9 6 4 2" xfId="21793"/>
    <cellStyle name="检查单元格 2 3 4 5 3" xfId="21794"/>
    <cellStyle name="汇总 2 8 18 5 2" xfId="21795"/>
    <cellStyle name="检查单元格 2 3 4 5 3 2" xfId="21796"/>
    <cellStyle name="计算 2 3 11 4 2 2" xfId="21797"/>
    <cellStyle name="汇总 2 8 18 6" xfId="21798"/>
    <cellStyle name="检查单元格 2 3 4 5 4" xfId="21799"/>
    <cellStyle name="输出 2 4 17 2 2" xfId="21800"/>
    <cellStyle name="汇总 2 8 19 3" xfId="21801"/>
    <cellStyle name="汇总 2 8 19 3 2" xfId="21802"/>
    <cellStyle name="输出 2 3 13 5" xfId="21803"/>
    <cellStyle name="汇总 2 8 19 4" xfId="21804"/>
    <cellStyle name="检查单元格 2 3 4 6 2" xfId="21805"/>
    <cellStyle name="汇总 2 8 19 4 2" xfId="21806"/>
    <cellStyle name="输出 2 3 14 5" xfId="21807"/>
    <cellStyle name="汇总 2 8 19 5" xfId="21808"/>
    <cellStyle name="计算 2 7 9 6 5 2" xfId="21809"/>
    <cellStyle name="汇总 2 8 2" xfId="21810"/>
    <cellStyle name="注释 2 9 6 7 3 2" xfId="21811"/>
    <cellStyle name="汇总 2 8 2 10" xfId="21812"/>
    <cellStyle name="汇总 2 8 2 11 2" xfId="21813"/>
    <cellStyle name="输入 2 9 10 5 4" xfId="21814"/>
    <cellStyle name="计算 2 4 10 8 2" xfId="21815"/>
    <cellStyle name="计算 2 2 5 6 4 2" xfId="21816"/>
    <cellStyle name="汇总 2 8 2 12" xfId="21817"/>
    <cellStyle name="输入 2 9 10 5 4 2" xfId="21818"/>
    <cellStyle name="计算 2 4 10 8 2 2" xfId="21819"/>
    <cellStyle name="输出 2 5 2 14" xfId="21820"/>
    <cellStyle name="汇总 2 8 2 12 2" xfId="21821"/>
    <cellStyle name="输入 2 9 10 5 5" xfId="21822"/>
    <cellStyle name="计算 2 4 10 8 3" xfId="21823"/>
    <cellStyle name="检查单元格 2 2 2 9 2" xfId="21824"/>
    <cellStyle name="汇总 2 8 2 13" xfId="21825"/>
    <cellStyle name="注释 2 5 10 2 5 2" xfId="21826"/>
    <cellStyle name="输入 2 9 10 5 6" xfId="21827"/>
    <cellStyle name="计算 2 4 10 8 4" xfId="21828"/>
    <cellStyle name="汇总 2 8 2 14" xfId="21829"/>
    <cellStyle name="注释 2 10 7 7 4" xfId="21830"/>
    <cellStyle name="检查单元格 2 9 5 4 4 2" xfId="21831"/>
    <cellStyle name="计算 2 4 10 8 5" xfId="21832"/>
    <cellStyle name="汇总 2 8 2 15" xfId="21833"/>
    <cellStyle name="汇总 2 8 2 2" xfId="21834"/>
    <cellStyle name="汇总 2 8 2 2 2" xfId="21835"/>
    <cellStyle name="计算 2 10 4 10" xfId="21836"/>
    <cellStyle name="汇总 2 8 2 2 2 2" xfId="21837"/>
    <cellStyle name="汇总 2 8 2 2 3" xfId="21838"/>
    <cellStyle name="汇总 2 8 2 2 3 2" xfId="21839"/>
    <cellStyle name="汇总 2 8 2 2 4" xfId="21840"/>
    <cellStyle name="汇总 2 8 2 2 4 2" xfId="21841"/>
    <cellStyle name="汇总 2 8 2 2 5" xfId="21842"/>
    <cellStyle name="汇总 2 8 2 2 5 2" xfId="21843"/>
    <cellStyle name="汇总 2 8 2 2 6" xfId="21844"/>
    <cellStyle name="汇总 2 8 2 2 7" xfId="21845"/>
    <cellStyle name="汇总 2 8 2 3" xfId="21846"/>
    <cellStyle name="计算 2 10 9 10" xfId="21847"/>
    <cellStyle name="汇总 2 8 2 3 2 2" xfId="21848"/>
    <cellStyle name="汇总 2 8 2 3 3 2" xfId="21849"/>
    <cellStyle name="汇总 2 8 2 3 4 2" xfId="21850"/>
    <cellStyle name="汇总 2 8 2 3 5" xfId="21851"/>
    <cellStyle name="汇总 2 8 2 3 5 2" xfId="21852"/>
    <cellStyle name="汇总 2 8 2 3 6" xfId="21853"/>
    <cellStyle name="汇总 2 8 2 4" xfId="21854"/>
    <cellStyle name="汇总 2 8 2 4 2 2" xfId="21855"/>
    <cellStyle name="注释 2 5 7 2 7" xfId="21856"/>
    <cellStyle name="汇总 2 8 2 4 3" xfId="21857"/>
    <cellStyle name="汇总 2 8 2 4 3 2" xfId="21858"/>
    <cellStyle name="注释 2 5 7 2 8" xfId="21859"/>
    <cellStyle name="汇总 2 8 2 4 4" xfId="21860"/>
    <cellStyle name="汇总 2 8 2 4 4 2" xfId="21861"/>
    <cellStyle name="注释 2 5 7 2 9" xfId="21862"/>
    <cellStyle name="汇总 2 8 2 4 5" xfId="21863"/>
    <cellStyle name="汇总 2 8 2 4 5 2" xfId="21864"/>
    <cellStyle name="输出 2 9 6 8 3 2" xfId="21865"/>
    <cellStyle name="汇总 2 8 2 5" xfId="21866"/>
    <cellStyle name="输入 2 4 8 3 2" xfId="21867"/>
    <cellStyle name="输出 2 7 11 10 2" xfId="21868"/>
    <cellStyle name="注释 2 5 7 3 6" xfId="21869"/>
    <cellStyle name="汇总 2 8 2 5 2" xfId="21870"/>
    <cellStyle name="汇总 2 8 2 5 2 2" xfId="21871"/>
    <cellStyle name="检查单元格 2 3 5" xfId="21872"/>
    <cellStyle name="汇总 2 8 2 5 3" xfId="21873"/>
    <cellStyle name="汇总 2 8 2 5 4" xfId="21874"/>
    <cellStyle name="汇总 2 8 2 5 5" xfId="21875"/>
    <cellStyle name="汇总 2 8 2 5 6" xfId="21876"/>
    <cellStyle name="输出 2 5 5 3 3 2" xfId="21877"/>
    <cellStyle name="汇总 2 8 2 6" xfId="21878"/>
    <cellStyle name="注释 2 5 7 4 6" xfId="21879"/>
    <cellStyle name="汇总 2 8 2 6 2" xfId="21880"/>
    <cellStyle name="汇总 2 8 2 6 2 2" xfId="21881"/>
    <cellStyle name="汇总 2 9 2 4 2 2" xfId="21882"/>
    <cellStyle name="汇总 2 8 2 6 3" xfId="21883"/>
    <cellStyle name="汇总 2 8 2 6 3 2" xfId="21884"/>
    <cellStyle name="汇总 2 8 2 6 4" xfId="21885"/>
    <cellStyle name="汇总 2 8 2 6 4 2" xfId="21886"/>
    <cellStyle name="汇总 2 8 2 6 5" xfId="21887"/>
    <cellStyle name="汇总 2 8 2 7" xfId="21888"/>
    <cellStyle name="注释 2 5 7 5 6" xfId="21889"/>
    <cellStyle name="汇总 2 8 2 7 2" xfId="21890"/>
    <cellStyle name="计算 2 11 4 10" xfId="21891"/>
    <cellStyle name="汇总 2 8 2 7 2 2" xfId="21892"/>
    <cellStyle name="汇总 2 9 2 4 3 2" xfId="21893"/>
    <cellStyle name="汇总 2 8 2 7 3" xfId="21894"/>
    <cellStyle name="汇总 2 8 2 7 3 2" xfId="21895"/>
    <cellStyle name="汇总 2 8 2 7 4" xfId="21896"/>
    <cellStyle name="汇总 2 8 2 7 4 2" xfId="21897"/>
    <cellStyle name="汇总 2 8 2 7 5" xfId="21898"/>
    <cellStyle name="汇总 2 8 2 7 5 2" xfId="21899"/>
    <cellStyle name="输出 2 4 4 2 3" xfId="21900"/>
    <cellStyle name="汇总 2 8 2 8" xfId="21901"/>
    <cellStyle name="计算 2 9 8 6 3 2" xfId="21902"/>
    <cellStyle name="计算 2 11 9 10" xfId="21903"/>
    <cellStyle name="注释 2 6 10 3 4" xfId="21904"/>
    <cellStyle name="汇总 2 8 2 8 2 2" xfId="21905"/>
    <cellStyle name="注释 2 6 10 4 4" xfId="21906"/>
    <cellStyle name="汇总 2 8 2 8 3 2" xfId="21907"/>
    <cellStyle name="注释 2 6 10 5 4" xfId="21908"/>
    <cellStyle name="汇总 2 8 2 8 4 2" xfId="21909"/>
    <cellStyle name="汇总 2 8 2 8 5" xfId="21910"/>
    <cellStyle name="汇总 2 8 2 9" xfId="21911"/>
    <cellStyle name="汇总 2 8 3" xfId="21912"/>
    <cellStyle name="注释 2 6 2 6 2" xfId="21913"/>
    <cellStyle name="计算 2 3 9 5 5" xfId="21914"/>
    <cellStyle name="计算 2 10 8 2 7" xfId="21915"/>
    <cellStyle name="检查单元格 2 10 7 3 6" xfId="21916"/>
    <cellStyle name="输入 2 11 10 6 3 2" xfId="21917"/>
    <cellStyle name="汇总 2 8 3 10" xfId="21918"/>
    <cellStyle name="注释 2 6 2 6 4" xfId="21919"/>
    <cellStyle name="计算 2 10 8 2 9" xfId="21920"/>
    <cellStyle name="汇总 2 8 3 12" xfId="21921"/>
    <cellStyle name="检查单元格 2 5 6 5 3" xfId="21922"/>
    <cellStyle name="汇总 2 8 3 13" xfId="21923"/>
    <cellStyle name="检查单元格 2 5 6 5 4" xfId="21924"/>
    <cellStyle name="注释 2 6 2 6 6" xfId="21925"/>
    <cellStyle name="计算 2 3 3 8 2 2" xfId="21926"/>
    <cellStyle name="计算 2 10 2 5 4 2" xfId="21927"/>
    <cellStyle name="汇总 2 8 3 14" xfId="21928"/>
    <cellStyle name="检查单元格 2 5 6 5 5" xfId="21929"/>
    <cellStyle name="汇总 2 8 3 15" xfId="21930"/>
    <cellStyle name="计算 2 3 9 16" xfId="21931"/>
    <cellStyle name="汇总 2 8 3 2" xfId="21932"/>
    <cellStyle name="汇总 2 8 3 2 2" xfId="21933"/>
    <cellStyle name="汇总 2 8 3 2 2 2" xfId="21934"/>
    <cellStyle name="汇总 2 8 3 2 3" xfId="21935"/>
    <cellStyle name="汇总 2 8 3 2 3 2" xfId="21936"/>
    <cellStyle name="汇总 2 8 3 2 4 2" xfId="21937"/>
    <cellStyle name="汇总 2 8 3 2 5" xfId="21938"/>
    <cellStyle name="输出 2 10 10 7 2" xfId="21939"/>
    <cellStyle name="汇总 2 8 3 2 5 2" xfId="21940"/>
    <cellStyle name="输出 2 10 10 7 2 2" xfId="21941"/>
    <cellStyle name="汇总 2 8 3 2 7" xfId="21942"/>
    <cellStyle name="输出 2 10 10 7 4" xfId="21943"/>
    <cellStyle name="汇总 2 8 3 2 9" xfId="21944"/>
    <cellStyle name="输出 2 10 10 7 6" xfId="21945"/>
    <cellStyle name="汇总 2 8 3 3" xfId="21946"/>
    <cellStyle name="汇总 2 8 3 3 2 2" xfId="21947"/>
    <cellStyle name="汇总 2 8 3 3 3 2" xfId="21948"/>
    <cellStyle name="汇总 2 8 3 3 4 2" xfId="21949"/>
    <cellStyle name="汇总 2 8 3 3 5" xfId="21950"/>
    <cellStyle name="输出 2 10 10 8 2" xfId="21951"/>
    <cellStyle name="汇总 2 8 3 3 5 2" xfId="21952"/>
    <cellStyle name="输出 2 10 10 8 2 2" xfId="21953"/>
    <cellStyle name="计算 2 13 5 2 2" xfId="21954"/>
    <cellStyle name="汇总 2 8 3 4" xfId="21955"/>
    <cellStyle name="汇总 2 8 3 4 2 2" xfId="21956"/>
    <cellStyle name="注释 2 5 8 2 7" xfId="21957"/>
    <cellStyle name="汇总 2 8 3 4 3" xfId="21958"/>
    <cellStyle name="汇总 2 8 3 4 3 2" xfId="21959"/>
    <cellStyle name="输入 2 11 14" xfId="21960"/>
    <cellStyle name="汇总 2 8 3 4 4 2" xfId="21961"/>
    <cellStyle name="注释 2 5 8 2 9" xfId="21962"/>
    <cellStyle name="汇总 2 8 3 4 5" xfId="21963"/>
    <cellStyle name="输出 2 10 10 9 2" xfId="21964"/>
    <cellStyle name="汇总 2 8 3 4 5 2" xfId="21965"/>
    <cellStyle name="输出 2 9 6 8 4 2" xfId="21966"/>
    <cellStyle name="汇总 2 8 3 5" xfId="21967"/>
    <cellStyle name="输入 2 4 8 4 2" xfId="21968"/>
    <cellStyle name="输出 2 7 11 11 2" xfId="21969"/>
    <cellStyle name="注释 2 5 8 3 6" xfId="21970"/>
    <cellStyle name="输入 2 5 6 10" xfId="21971"/>
    <cellStyle name="汇总 2 8 3 5 2" xfId="21972"/>
    <cellStyle name="输入 2 5 6 10 2" xfId="21973"/>
    <cellStyle name="汇总 2 8 3 5 2 2" xfId="21974"/>
    <cellStyle name="输入 2 5 6 11" xfId="21975"/>
    <cellStyle name="汇总 2 8 3 5 3" xfId="21976"/>
    <cellStyle name="输入 2 5 6 11 2" xfId="21977"/>
    <cellStyle name="汇总 2 8 3 5 3 2" xfId="21978"/>
    <cellStyle name="输入 2 5 6 12" xfId="21979"/>
    <cellStyle name="汇总 2 8 3 5 4" xfId="21980"/>
    <cellStyle name="输入 2 5 6 12 2" xfId="21981"/>
    <cellStyle name="汇总 2 8 3 5 4 2" xfId="21982"/>
    <cellStyle name="输入 2 5 6 13" xfId="21983"/>
    <cellStyle name="汇总 2 8 3 5 5" xfId="21984"/>
    <cellStyle name="汇总 2 8 3 5 5 2" xfId="21985"/>
    <cellStyle name="输出 2 5 2 2 3" xfId="21986"/>
    <cellStyle name="输入 2 5 6 14" xfId="21987"/>
    <cellStyle name="汇总 2 8 3 5 6" xfId="21988"/>
    <cellStyle name="输出 2 5 5 4 3 2" xfId="21989"/>
    <cellStyle name="输入 2 4 8 4 3" xfId="21990"/>
    <cellStyle name="计算 2 11 4 5 2 2" xfId="21991"/>
    <cellStyle name="汇总 2 8 3 6" xfId="21992"/>
    <cellStyle name="注释 2 5 8 4 6" xfId="21993"/>
    <cellStyle name="汇总 2 8 3 6 2" xfId="21994"/>
    <cellStyle name="计算 2 6 3 13" xfId="21995"/>
    <cellStyle name="汇总 2 8 3 6 2 2" xfId="21996"/>
    <cellStyle name="汇总 2 9 2 5 2 2" xfId="21997"/>
    <cellStyle name="汇总 2 8 3 6 3" xfId="21998"/>
    <cellStyle name="计算 2 6 3 14" xfId="21999"/>
    <cellStyle name="汇总 2 8 3 6 3 2" xfId="22000"/>
    <cellStyle name="汇总 2 8 3 6 4" xfId="22001"/>
    <cellStyle name="计算 2 6 3 15" xfId="22002"/>
    <cellStyle name="汇总 2 8 3 6 4 2" xfId="22003"/>
    <cellStyle name="汇总 2 8 3 6 5" xfId="22004"/>
    <cellStyle name="计算 2 6 3 16" xfId="22005"/>
    <cellStyle name="汇总 2 8 3 6 5 2" xfId="22006"/>
    <cellStyle name="输出 2 5 3 2 3" xfId="22007"/>
    <cellStyle name="汇总 2 8 3 7" xfId="22008"/>
    <cellStyle name="注释 2 5 8 5 6" xfId="22009"/>
    <cellStyle name="汇总 2 8 3 7 2" xfId="22010"/>
    <cellStyle name="汇总 2 8 3 7 2 2" xfId="22011"/>
    <cellStyle name="汇总 2 9 2 5 3 2" xfId="22012"/>
    <cellStyle name="汇总 2 8 3 7 3" xfId="22013"/>
    <cellStyle name="汇总 2 8 3 7 3 2" xfId="22014"/>
    <cellStyle name="汇总 2 8 3 7 4" xfId="22015"/>
    <cellStyle name="汇总 2 8 3 7 4 2" xfId="22016"/>
    <cellStyle name="汇总 2 8 3 7 5" xfId="22017"/>
    <cellStyle name="汇总 2 8 3 8" xfId="22018"/>
    <cellStyle name="计算 2 9 8 6 4 2" xfId="22019"/>
    <cellStyle name="汇总 2 8 3 8 2 2" xfId="22020"/>
    <cellStyle name="汇总 2 8 3 8 3 2" xfId="22021"/>
    <cellStyle name="计算 2 2 2 12" xfId="22022"/>
    <cellStyle name="汇总 2 8 3 8 4 2" xfId="22023"/>
    <cellStyle name="汇总 2 8 3 8 5" xfId="22024"/>
    <cellStyle name="汇总 2 8 3 9" xfId="22025"/>
    <cellStyle name="输入 2 11 5 6 2" xfId="22026"/>
    <cellStyle name="汇总 2 8 4 10" xfId="22027"/>
    <cellStyle name="输入 2 11 5 6 2 2" xfId="22028"/>
    <cellStyle name="汇总 2 8 4 10 2" xfId="22029"/>
    <cellStyle name="输入 2 7 10 5 5 2" xfId="22030"/>
    <cellStyle name="输入 2 11 5 6 3" xfId="22031"/>
    <cellStyle name="计算 2 2 10 8 3 2" xfId="22032"/>
    <cellStyle name="汇总 2 8 4 11" xfId="22033"/>
    <cellStyle name="计算 2 3 4 2 5" xfId="22034"/>
    <cellStyle name="输入 2 11 5 6 3 2" xfId="22035"/>
    <cellStyle name="汇总 2 8 4 11 2" xfId="22036"/>
    <cellStyle name="输入 2 11 5 6 4" xfId="22037"/>
    <cellStyle name="汇总 2 8 4 12" xfId="22038"/>
    <cellStyle name="计算 2 3 4 3 5" xfId="22039"/>
    <cellStyle name="输出 2 7 2 14" xfId="22040"/>
    <cellStyle name="输入 2 11 5 6 4 2" xfId="22041"/>
    <cellStyle name="汇总 2 8 4 12 2" xfId="22042"/>
    <cellStyle name="输入 2 11 5 6 5" xfId="22043"/>
    <cellStyle name="输出 2 7 3 3 2 2" xfId="22044"/>
    <cellStyle name="汇总 2 8 4 13" xfId="22045"/>
    <cellStyle name="输入 2 11 5 6 6" xfId="22046"/>
    <cellStyle name="汇总 2 8 4 14" xfId="22047"/>
    <cellStyle name="汇总 2 8 4 15" xfId="22048"/>
    <cellStyle name="汇总 2 8 4 16" xfId="22049"/>
    <cellStyle name="计算 2 2 8 5 2" xfId="22050"/>
    <cellStyle name="输出 2 5 9 2 2 2" xfId="22051"/>
    <cellStyle name="汇总 2 8 4 2" xfId="22052"/>
    <cellStyle name="汇总 2 8 4 2 2" xfId="22053"/>
    <cellStyle name="汇总 2 8 4 2 3" xfId="22054"/>
    <cellStyle name="注释 2 2 3 7 3" xfId="22055"/>
    <cellStyle name="汇总 2 8 4 2 3 2" xfId="22056"/>
    <cellStyle name="汇总 2 8 4 2 4" xfId="22057"/>
    <cellStyle name="注释 2 2 3 8 3" xfId="22058"/>
    <cellStyle name="汇总 2 8 4 2 4 2" xfId="22059"/>
    <cellStyle name="汇总 2 8 4 2 5" xfId="22060"/>
    <cellStyle name="输出 2 10 11 7 2" xfId="22061"/>
    <cellStyle name="汇总 2 8 4 2 5 2" xfId="22062"/>
    <cellStyle name="输出 2 10 11 7 2 2" xfId="22063"/>
    <cellStyle name="汇总 2 8 4 2 7" xfId="22064"/>
    <cellStyle name="输出 2 10 11 7 4" xfId="22065"/>
    <cellStyle name="汇总 2 8 4 2 9" xfId="22066"/>
    <cellStyle name="输出 2 10 11 7 6" xfId="22067"/>
    <cellStyle name="汇总 2 8 4 3" xfId="22068"/>
    <cellStyle name="汇总 2 8 4 3 2" xfId="22069"/>
    <cellStyle name="汇总 2 8 4 3 3" xfId="22070"/>
    <cellStyle name="注释 2 2 4 7 3" xfId="22071"/>
    <cellStyle name="汇总 2 8 4 3 3 2" xfId="22072"/>
    <cellStyle name="汇总 2 8 4 3 4" xfId="22073"/>
    <cellStyle name="注释 2 2 4 8 3" xfId="22074"/>
    <cellStyle name="汇总 2 8 4 3 4 2" xfId="22075"/>
    <cellStyle name="汇总 2 8 4 3 5" xfId="22076"/>
    <cellStyle name="输出 2 10 11 8 2" xfId="22077"/>
    <cellStyle name="汇总 2 8 4 3 5 2" xfId="22078"/>
    <cellStyle name="输出 2 10 11 8 2 2" xfId="22079"/>
    <cellStyle name="计算 2 13 5 3 2" xfId="22080"/>
    <cellStyle name="注释 2 11 2 2 2" xfId="22081"/>
    <cellStyle name="汇总 2 8 4 4" xfId="22082"/>
    <cellStyle name="注释 2 5 9 2 6" xfId="22083"/>
    <cellStyle name="注释 2 11 2 2 2 2" xfId="22084"/>
    <cellStyle name="汇总 2 8 4 4 2" xfId="22085"/>
    <cellStyle name="注释 2 2 5 6 3" xfId="22086"/>
    <cellStyle name="汇总 2 8 4 4 2 2" xfId="22087"/>
    <cellStyle name="注释 2 5 9 2 7" xfId="22088"/>
    <cellStyle name="汇总 2 8 4 4 3" xfId="22089"/>
    <cellStyle name="注释 2 2 5 7 3" xfId="22090"/>
    <cellStyle name="汇总 2 8 4 4 3 2" xfId="22091"/>
    <cellStyle name="注释 2 5 9 2 8" xfId="22092"/>
    <cellStyle name="汇总 2 8 4 4 4" xfId="22093"/>
    <cellStyle name="注释 2 2 5 8 3" xfId="22094"/>
    <cellStyle name="汇总 2 8 4 4 4 2" xfId="22095"/>
    <cellStyle name="注释 2 5 9 2 9" xfId="22096"/>
    <cellStyle name="汇总 2 8 4 4 5" xfId="22097"/>
    <cellStyle name="输出 2 10 11 9 2" xfId="22098"/>
    <cellStyle name="汇总 2 8 4 4 5 2" xfId="22099"/>
    <cellStyle name="注释 2 11 2 2 3" xfId="22100"/>
    <cellStyle name="汇总 2 8 4 5" xfId="22101"/>
    <cellStyle name="输入 2 4 8 5 2" xfId="22102"/>
    <cellStyle name="输出 2 7 11 12 2" xfId="22103"/>
    <cellStyle name="注释 2 5 9 3 6" xfId="22104"/>
    <cellStyle name="注释 2 11 2 2 3 2" xfId="22105"/>
    <cellStyle name="汇总 2 8 4 5 2" xfId="22106"/>
    <cellStyle name="注释 2 2 6 6 3" xfId="22107"/>
    <cellStyle name="汇总 2 8 4 5 2 2" xfId="22108"/>
    <cellStyle name="检查单元格 2 2 4 4" xfId="22109"/>
    <cellStyle name="检查单元格 2 4 11 4" xfId="22110"/>
    <cellStyle name="汇总 2 8 4 5 3" xfId="22111"/>
    <cellStyle name="注释 2 2 6 7 3" xfId="22112"/>
    <cellStyle name="汇总 2 8 4 5 3 2" xfId="22113"/>
    <cellStyle name="检查单元格 2 2 5 4" xfId="22114"/>
    <cellStyle name="检查单元格 2 4 12 4" xfId="22115"/>
    <cellStyle name="汇总 2 8 4 5 4" xfId="22116"/>
    <cellStyle name="注释 2 2 6 8 3" xfId="22117"/>
    <cellStyle name="汇总 2 8 4 5 4 2" xfId="22118"/>
    <cellStyle name="检查单元格 2 2 6 4" xfId="22119"/>
    <cellStyle name="汇总 2 8 4 5 5" xfId="22120"/>
    <cellStyle name="汇总 2 8 4 5 5 2" xfId="22121"/>
    <cellStyle name="注释 2 5 21" xfId="22122"/>
    <cellStyle name="注释 2 5 16" xfId="22123"/>
    <cellStyle name="检查单元格 2 2 7 4" xfId="22124"/>
    <cellStyle name="输出 2 6 2 2 3" xfId="22125"/>
    <cellStyle name="汇总 2 8 4 5 6" xfId="22126"/>
    <cellStyle name="输出 2 5 5 5 3 2" xfId="22127"/>
    <cellStyle name="输入 2 4 8 5 3" xfId="22128"/>
    <cellStyle name="计算 2 11 4 5 3 2" xfId="22129"/>
    <cellStyle name="注释 2 11 2 2 4" xfId="22130"/>
    <cellStyle name="汇总 2 8 4 6" xfId="22131"/>
    <cellStyle name="注释 2 5 9 4 6" xfId="22132"/>
    <cellStyle name="注释 2 11 2 2 4 2" xfId="22133"/>
    <cellStyle name="汇总 2 8 4 6 2" xfId="22134"/>
    <cellStyle name="计算 2 6 8 13" xfId="22135"/>
    <cellStyle name="注释 2 6 6 11" xfId="22136"/>
    <cellStyle name="注释 2 2 7 6 3" xfId="22137"/>
    <cellStyle name="汇总 2 8 4 6 2 2" xfId="22138"/>
    <cellStyle name="检查单元格 2 3 4 4" xfId="22139"/>
    <cellStyle name="汇总 2 9 2 6 2 2" xfId="22140"/>
    <cellStyle name="汇总 2 8 4 6 3" xfId="22141"/>
    <cellStyle name="计算 2 6 8 14" xfId="22142"/>
    <cellStyle name="注释 2 2 7 7 3" xfId="22143"/>
    <cellStyle name="汇总 2 8 4 6 3 2" xfId="22144"/>
    <cellStyle name="检查单元格 2 3 5 4" xfId="22145"/>
    <cellStyle name="汇总 2 8 4 6 4" xfId="22146"/>
    <cellStyle name="计算 2 6 8 15" xfId="22147"/>
    <cellStyle name="注释 2 2 7 8 3" xfId="22148"/>
    <cellStyle name="汇总 2 8 4 6 4 2" xfId="22149"/>
    <cellStyle name="检查单元格 2 3 6 4" xfId="22150"/>
    <cellStyle name="汇总 2 8 4 6 5" xfId="22151"/>
    <cellStyle name="计算 2 6 8 16" xfId="22152"/>
    <cellStyle name="汇总 2 8 4 6 5 2" xfId="22153"/>
    <cellStyle name="检查单元格 2 3 7 4" xfId="22154"/>
    <cellStyle name="输出 2 6 3 2 3" xfId="22155"/>
    <cellStyle name="注释 2 11 2 2 5" xfId="22156"/>
    <cellStyle name="汇总 2 8 4 7" xfId="22157"/>
    <cellStyle name="注释 2 7 10 2 7" xfId="22158"/>
    <cellStyle name="注释 2 5 9 5 6" xfId="22159"/>
    <cellStyle name="注释 2 11 2 2 5 2" xfId="22160"/>
    <cellStyle name="汇总 2 8 4 7 2" xfId="22161"/>
    <cellStyle name="汇总 2 9 2 6 3 2" xfId="22162"/>
    <cellStyle name="注释 2 7 10 2 8" xfId="22163"/>
    <cellStyle name="汇总 2 8 4 7 3" xfId="22164"/>
    <cellStyle name="注释 2 7 10 2 9" xfId="22165"/>
    <cellStyle name="汇总 2 8 4 7 4" xfId="22166"/>
    <cellStyle name="汇总 2 8 4 7 5" xfId="22167"/>
    <cellStyle name="注释 2 5 9 6 6" xfId="22168"/>
    <cellStyle name="汇总 2 8 4 8 2" xfId="22169"/>
    <cellStyle name="汇总 2 9 2 6 4 2" xfId="22170"/>
    <cellStyle name="汇总 2 8 4 8 3" xfId="22171"/>
    <cellStyle name="汇总 2 8 4 8 4" xfId="22172"/>
    <cellStyle name="汇总 2 8 4 8 5" xfId="22173"/>
    <cellStyle name="注释 2 11 2 2 7" xfId="22174"/>
    <cellStyle name="汇总 2 8 4 9" xfId="22175"/>
    <cellStyle name="注释 2 5 9 7 6" xfId="22176"/>
    <cellStyle name="汇总 2 8 4 9 2" xfId="22177"/>
    <cellStyle name="计算 2 2 3 5 3 2" xfId="22178"/>
    <cellStyle name="计算 2 10 9 7 2" xfId="22179"/>
    <cellStyle name="汇总 2 8 5" xfId="22180"/>
    <cellStyle name="汇总 2 8 5 10" xfId="22181"/>
    <cellStyle name="汇总 2 8 5 10 2" xfId="22182"/>
    <cellStyle name="汇总 2 8 5 11" xfId="22183"/>
    <cellStyle name="注释 2 6 2 3 2" xfId="22184"/>
    <cellStyle name="计算 2 3 9 2 5" xfId="22185"/>
    <cellStyle name="汇总 2 8 5 11 2" xfId="22186"/>
    <cellStyle name="汇总 2 8 5 12" xfId="22187"/>
    <cellStyle name="注释 2 6 2 4 2" xfId="22188"/>
    <cellStyle name="计算 2 3 9 3 5" xfId="22189"/>
    <cellStyle name="汇总 2 8 5 12 2" xfId="22190"/>
    <cellStyle name="输入 2 11 10 6 3" xfId="22191"/>
    <cellStyle name="计算 2 2 2 3 3 2" xfId="22192"/>
    <cellStyle name="汇总 2 8 5 14" xfId="22193"/>
    <cellStyle name="汇总 2 8 5 16" xfId="22194"/>
    <cellStyle name="计算 2 10 9 7 2 2" xfId="22195"/>
    <cellStyle name="汇总 2 8 5 2" xfId="22196"/>
    <cellStyle name="汇总 2 8 5 2 2" xfId="22197"/>
    <cellStyle name="注释 2 3 3 6 3" xfId="22198"/>
    <cellStyle name="汇总 2 8 5 2 2 2" xfId="22199"/>
    <cellStyle name="汇总 2 8 5 2 3" xfId="22200"/>
    <cellStyle name="注释 2 3 3 7 3" xfId="22201"/>
    <cellStyle name="汇总 2 8 5 2 3 2" xfId="22202"/>
    <cellStyle name="汇总 2 8 5 2 4" xfId="22203"/>
    <cellStyle name="注释 2 3 3 8 3" xfId="22204"/>
    <cellStyle name="汇总 2 8 5 2 4 2" xfId="22205"/>
    <cellStyle name="汇总 2 8 5 2 5 2" xfId="22206"/>
    <cellStyle name="汇总 2 8 5 2 7" xfId="22207"/>
    <cellStyle name="汇总 2 8 5 2 9" xfId="22208"/>
    <cellStyle name="汇总 2 8 5 3" xfId="22209"/>
    <cellStyle name="汇总 2 8 5 3 2" xfId="22210"/>
    <cellStyle name="注释 2 3 4 6 3" xfId="22211"/>
    <cellStyle name="计算 2 3 10 2 8" xfId="22212"/>
    <cellStyle name="汇总 2 8 5 3 2 2" xfId="22213"/>
    <cellStyle name="汇总 2 8 5 3 3" xfId="22214"/>
    <cellStyle name="注释 2 3 4 7 3" xfId="22215"/>
    <cellStyle name="汇总 2 8 5 3 3 2" xfId="22216"/>
    <cellStyle name="汇总 2 8 5 3 4" xfId="22217"/>
    <cellStyle name="注释 2 3 4 8 3" xfId="22218"/>
    <cellStyle name="汇总 2 8 5 3 4 2" xfId="22219"/>
    <cellStyle name="汇总 2 8 5 3 5 2" xfId="22220"/>
    <cellStyle name="计算 2 13 5 4 2" xfId="22221"/>
    <cellStyle name="注释 2 11 2 3 2" xfId="22222"/>
    <cellStyle name="汇总 2 8 5 4" xfId="22223"/>
    <cellStyle name="注释 2 11 2 3 2 2" xfId="22224"/>
    <cellStyle name="汇总 2 8 5 4 2" xfId="22225"/>
    <cellStyle name="汇总 2 8 5 4 3" xfId="22226"/>
    <cellStyle name="汇总 2 8 5 4 4" xfId="22227"/>
    <cellStyle name="注释 2 3 5 8 3" xfId="22228"/>
    <cellStyle name="汇总 2 8 5 4 4 2" xfId="22229"/>
    <cellStyle name="汇总 2 8 5 4 5 2" xfId="22230"/>
    <cellStyle name="注释 2 11 2 3 3" xfId="22231"/>
    <cellStyle name="汇总 2 8 5 5" xfId="22232"/>
    <cellStyle name="注释 2 11 2 3 3 2" xfId="22233"/>
    <cellStyle name="汇总 2 8 5 5 2" xfId="22234"/>
    <cellStyle name="注释 2 3 6 6 3" xfId="22235"/>
    <cellStyle name="汇总 2 8 5 5 2 2" xfId="22236"/>
    <cellStyle name="输入 2 11 5 12 2" xfId="22237"/>
    <cellStyle name="检查单元格 2 9 11 4" xfId="22238"/>
    <cellStyle name="汇总 2 8 5 5 3" xfId="22239"/>
    <cellStyle name="注释 2 3 6 7 3" xfId="22240"/>
    <cellStyle name="汇总 2 8 5 5 3 2" xfId="22241"/>
    <cellStyle name="检查单元格 2 9 12 4" xfId="22242"/>
    <cellStyle name="汇总 2 8 5 5 4" xfId="22243"/>
    <cellStyle name="注释 2 3 6 8 3" xfId="22244"/>
    <cellStyle name="汇总 2 8 5 5 4 2" xfId="22245"/>
    <cellStyle name="汇总 2 8 5 5 5" xfId="22246"/>
    <cellStyle name="输出 2 10 4 10 2" xfId="22247"/>
    <cellStyle name="汇总 2 8 5 5 5 2" xfId="22248"/>
    <cellStyle name="输出 2 7 2 2 3" xfId="22249"/>
    <cellStyle name="输入 2 5 3 4 4 2" xfId="22250"/>
    <cellStyle name="计算 2 2 3 12 2" xfId="22251"/>
    <cellStyle name="汇总 2 8 5 5 6" xfId="22252"/>
    <cellStyle name="输出 2 5 5 6 3 2" xfId="22253"/>
    <cellStyle name="输入 2 4 8 6 3" xfId="22254"/>
    <cellStyle name="计算 2 4 5 8 2 2" xfId="22255"/>
    <cellStyle name="计算 2 11 4 5 4 2" xfId="22256"/>
    <cellStyle name="注释 2 11 2 3 4" xfId="22257"/>
    <cellStyle name="汇总 2 8 5 6" xfId="22258"/>
    <cellStyle name="注释 2 11 2 3 4 2" xfId="22259"/>
    <cellStyle name="汇总 2 8 5 6 2" xfId="22260"/>
    <cellStyle name="注释 2 3 7 6 3" xfId="22261"/>
    <cellStyle name="汇总 2 8 5 6 2 2" xfId="22262"/>
    <cellStyle name="汇总 2 9 2 7 2 2" xfId="22263"/>
    <cellStyle name="输出 2 6 2 6 5" xfId="22264"/>
    <cellStyle name="汇总 2 8 5 6 3" xfId="22265"/>
    <cellStyle name="注释 2 3 7 7 3" xfId="22266"/>
    <cellStyle name="汇总 2 8 5 6 3 2" xfId="22267"/>
    <cellStyle name="汇总 2 8 5 6 4" xfId="22268"/>
    <cellStyle name="注释 2 3 7 8 3" xfId="22269"/>
    <cellStyle name="汇总 2 8 5 6 4 2" xfId="22270"/>
    <cellStyle name="汇总 2 8 5 6 5" xfId="22271"/>
    <cellStyle name="输出 2 10 4 11 2" xfId="22272"/>
    <cellStyle name="汇总 2 8 5 6 5 2" xfId="22273"/>
    <cellStyle name="注释 2 11 2 3 5" xfId="22274"/>
    <cellStyle name="汇总 2 8 5 7" xfId="22275"/>
    <cellStyle name="注释 2 11 2 3 5 2" xfId="22276"/>
    <cellStyle name="汇总 2 8 5 7 2" xfId="22277"/>
    <cellStyle name="注释 2 3 8 6 3" xfId="22278"/>
    <cellStyle name="汇总 2 8 5 7 2 2" xfId="22279"/>
    <cellStyle name="注释 2 6 23" xfId="22280"/>
    <cellStyle name="注释 2 6 18" xfId="22281"/>
    <cellStyle name="汇总 2 9 2 7 3 2" xfId="22282"/>
    <cellStyle name="输出 2 6 2 7 5" xfId="22283"/>
    <cellStyle name="汇总 2 8 5 7 3" xfId="22284"/>
    <cellStyle name="注释 2 3 8 7 3" xfId="22285"/>
    <cellStyle name="汇总 2 8 5 7 3 2" xfId="22286"/>
    <cellStyle name="汇总 2 8 5 7 4" xfId="22287"/>
    <cellStyle name="注释 2 3 8 8 3" xfId="22288"/>
    <cellStyle name="汇总 2 8 5 7 4 2" xfId="22289"/>
    <cellStyle name="汇总 2 8 5 7 5" xfId="22290"/>
    <cellStyle name="输出 2 10 4 12 2" xfId="22291"/>
    <cellStyle name="汇总 2 8 5 7 5 2" xfId="22292"/>
    <cellStyle name="汇总 2 8 5 8 2" xfId="22293"/>
    <cellStyle name="注释 2 3 9 6 3" xfId="22294"/>
    <cellStyle name="汇总 2 8 5 8 2 2" xfId="22295"/>
    <cellStyle name="汇总 2 9 2 7 4 2" xfId="22296"/>
    <cellStyle name="输出 2 6 2 8 5" xfId="22297"/>
    <cellStyle name="汇总 2 8 5 8 3" xfId="22298"/>
    <cellStyle name="注释 2 3 9 7 3" xfId="22299"/>
    <cellStyle name="汇总 2 8 5 8 3 2" xfId="22300"/>
    <cellStyle name="汇总 2 8 5 8 4" xfId="22301"/>
    <cellStyle name="注释 2 3 9 8 3" xfId="22302"/>
    <cellStyle name="汇总 2 8 5 8 4 2" xfId="22303"/>
    <cellStyle name="汇总 2 8 5 8 5" xfId="22304"/>
    <cellStyle name="汇总 2 8 5 9" xfId="22305"/>
    <cellStyle name="汇总 2 8 5 9 2" xfId="22306"/>
    <cellStyle name="计算 2 10 9 7 3" xfId="22307"/>
    <cellStyle name="汇总 2 8 6" xfId="22308"/>
    <cellStyle name="汇总 2 8 6 10 2" xfId="22309"/>
    <cellStyle name="输入 2 7 4 5 4 2" xfId="22310"/>
    <cellStyle name="汇总 2 8 6 11" xfId="22311"/>
    <cellStyle name="汇总 2 8 6 11 2" xfId="22312"/>
    <cellStyle name="注释 2 6 7 4" xfId="22313"/>
    <cellStyle name="计算 2 4 11 3 2" xfId="22314"/>
    <cellStyle name="注释 2 11 2 12 2" xfId="22315"/>
    <cellStyle name="汇总 2 8 6 12" xfId="22316"/>
    <cellStyle name="注释 2 6 7 4 2" xfId="22317"/>
    <cellStyle name="计算 2 4 11 3 2 2" xfId="22318"/>
    <cellStyle name="汇总 2 8 6 12 2" xfId="22319"/>
    <cellStyle name="注释 2 6 7 5" xfId="22320"/>
    <cellStyle name="注释 2 2 6 5 3 2" xfId="22321"/>
    <cellStyle name="计算 2 4 11 3 3" xfId="22322"/>
    <cellStyle name="检查单元格 2 2 3 4 2" xfId="22323"/>
    <cellStyle name="检查单元格 2 4 10 4 2" xfId="22324"/>
    <cellStyle name="汇总 2 8 6 13" xfId="22325"/>
    <cellStyle name="注释 2 6 7 6" xfId="22326"/>
    <cellStyle name="计算 2 4 11 3 4" xfId="22327"/>
    <cellStyle name="计算 2 7 8 5 3 2" xfId="22328"/>
    <cellStyle name="检查单元格 2 2 3 4 3" xfId="22329"/>
    <cellStyle name="汇总 2 8 6 14" xfId="22330"/>
    <cellStyle name="注释 2 6 7 7" xfId="22331"/>
    <cellStyle name="计算 2 4 11 3 5" xfId="22332"/>
    <cellStyle name="检查单元格 2 2 3 4 4" xfId="22333"/>
    <cellStyle name="汇总 2 8 6 15" xfId="22334"/>
    <cellStyle name="注释 2 6 7 8" xfId="22335"/>
    <cellStyle name="计算 2 4 11 3 6" xfId="22336"/>
    <cellStyle name="检查单元格 2 2 3 4 5" xfId="22337"/>
    <cellStyle name="汇总 2 8 6 16" xfId="22338"/>
    <cellStyle name="计算 2 10 9 7 3 2" xfId="22339"/>
    <cellStyle name="汇总 2 8 6 2" xfId="22340"/>
    <cellStyle name="汇总 2 8 6 2 2" xfId="22341"/>
    <cellStyle name="注释 2 4 3 6 3" xfId="22342"/>
    <cellStyle name="汇总 2 8 6 2 2 2" xfId="22343"/>
    <cellStyle name="汇总 2 9 3 10 2" xfId="22344"/>
    <cellStyle name="汇总 2 8 6 2 3" xfId="22345"/>
    <cellStyle name="注释 2 4 3 7 3" xfId="22346"/>
    <cellStyle name="汇总 2 8 6 2 3 2" xfId="22347"/>
    <cellStyle name="注释 2 4 3 8 3" xfId="22348"/>
    <cellStyle name="汇总 2 8 6 2 4 2" xfId="22349"/>
    <cellStyle name="检查单元格 2 3 2 11" xfId="22350"/>
    <cellStyle name="汇总 2 8 6 2 5 2" xfId="22351"/>
    <cellStyle name="汇总 2 8 6 2 7" xfId="22352"/>
    <cellStyle name="计算 2 12 6 2 2 2" xfId="22353"/>
    <cellStyle name="汇总 2 8 6 2 9" xfId="22354"/>
    <cellStyle name="汇总 2 8 6 3 2" xfId="22355"/>
    <cellStyle name="注释 2 4 4 6 3" xfId="22356"/>
    <cellStyle name="汇总 2 8 6 3 2 2" xfId="22357"/>
    <cellStyle name="计算 2 13 5 5 2" xfId="22358"/>
    <cellStyle name="注释 2 11 2 4 2" xfId="22359"/>
    <cellStyle name="汇总 2 8 6 4" xfId="22360"/>
    <cellStyle name="注释 2 11 2 4 2 2" xfId="22361"/>
    <cellStyle name="汇总 2 8 6 4 2" xfId="22362"/>
    <cellStyle name="汇总 2 9 18 4" xfId="22363"/>
    <cellStyle name="检查单元格 2 3 9 5 2" xfId="22364"/>
    <cellStyle name="输出 2 6 3 4 4 2" xfId="22365"/>
    <cellStyle name="注释 2 4 5 6 3" xfId="22366"/>
    <cellStyle name="汇总 2 8 6 4 2 2" xfId="22367"/>
    <cellStyle name="注释 2 11 2 4 3" xfId="22368"/>
    <cellStyle name="汇总 2 8 6 5" xfId="22369"/>
    <cellStyle name="注释 2 11 2 4 3 2" xfId="22370"/>
    <cellStyle name="汇总 2 8 6 5 2" xfId="22371"/>
    <cellStyle name="注释 2 4 6 6 3" xfId="22372"/>
    <cellStyle name="汇总 2 8 6 5 2 2" xfId="22373"/>
    <cellStyle name="输入 2 4 8 7 3" xfId="22374"/>
    <cellStyle name="计算 2 4 5 8 3 2" xfId="22375"/>
    <cellStyle name="计算 2 11 4 5 5 2" xfId="22376"/>
    <cellStyle name="注释 2 11 2 4 4" xfId="22377"/>
    <cellStyle name="汇总 2 8 6 6" xfId="22378"/>
    <cellStyle name="输出 2 10 9 3 2 2" xfId="22379"/>
    <cellStyle name="注释 2 11 2 4 4 2" xfId="22380"/>
    <cellStyle name="汇总 2 8 6 6 2" xfId="22381"/>
    <cellStyle name="注释 2 4 7 6 3" xfId="22382"/>
    <cellStyle name="汇总 2 8 6 6 2 2" xfId="22383"/>
    <cellStyle name="计算 2 6 6 8 3" xfId="22384"/>
    <cellStyle name="注释 2 8 18 4" xfId="22385"/>
    <cellStyle name="计算 2 4 11 10" xfId="22386"/>
    <cellStyle name="输出 2 4 10 3 2" xfId="22387"/>
    <cellStyle name="注释 2 11 2 4 5" xfId="22388"/>
    <cellStyle name="汇总 2 8 6 7" xfId="22389"/>
    <cellStyle name="注释 2 8 18 4 2" xfId="22390"/>
    <cellStyle name="计算 2 4 11 10 2" xfId="22391"/>
    <cellStyle name="输出 2 4 10 3 2 2" xfId="22392"/>
    <cellStyle name="计算 2 6 6 8 3 2" xfId="22393"/>
    <cellStyle name="输出 2 6 3 7 4" xfId="22394"/>
    <cellStyle name="注释 2 11 2 4 5 2" xfId="22395"/>
    <cellStyle name="汇总 2 8 6 7 2" xfId="22396"/>
    <cellStyle name="注释 2 4 8 6 3" xfId="22397"/>
    <cellStyle name="汇总 2 8 6 7 2 2" xfId="22398"/>
    <cellStyle name="注释 2 8 18 5 2" xfId="22399"/>
    <cellStyle name="计算 2 4 11 11 2" xfId="22400"/>
    <cellStyle name="输出 2 4 10 3 3 2" xfId="22401"/>
    <cellStyle name="计算 2 6 6 8 4 2" xfId="22402"/>
    <cellStyle name="输出 2 6 3 8 4" xfId="22403"/>
    <cellStyle name="汇总 2 8 6 8 2" xfId="22404"/>
    <cellStyle name="注释 2 4 9 6 3" xfId="22405"/>
    <cellStyle name="汇总 2 8 6 8 2 2" xfId="22406"/>
    <cellStyle name="计算 2 6 6 8 5" xfId="22407"/>
    <cellStyle name="注释 2 8 18 6" xfId="22408"/>
    <cellStyle name="计算 2 4 11 12" xfId="22409"/>
    <cellStyle name="输出 2 4 10 3 4" xfId="22410"/>
    <cellStyle name="汇总 2 8 6 9" xfId="22411"/>
    <cellStyle name="注释 2 6 8 12" xfId="22412"/>
    <cellStyle name="计算 2 4 11 12 2" xfId="22413"/>
    <cellStyle name="输出 2 4 10 3 4 2" xfId="22414"/>
    <cellStyle name="汇总 2 8 6 9 2" xfId="22415"/>
    <cellStyle name="注释 2 9 6 8 3 2" xfId="22416"/>
    <cellStyle name="汇总 2 8 7 10" xfId="22417"/>
    <cellStyle name="汇总 2 8 7 10 2" xfId="22418"/>
    <cellStyle name="汇总 2 8 7 11 2" xfId="22419"/>
    <cellStyle name="输入 2 9 11 5 4" xfId="22420"/>
    <cellStyle name="计算 2 4 11 8 2" xfId="22421"/>
    <cellStyle name="计算 2 2 5 7 4 2" xfId="22422"/>
    <cellStyle name="汇总 2 8 7 12" xfId="22423"/>
    <cellStyle name="输入 2 9 11 5 4 2" xfId="22424"/>
    <cellStyle name="计算 2 4 11 8 2 2" xfId="22425"/>
    <cellStyle name="汇总 2 8 7 12 2" xfId="22426"/>
    <cellStyle name="输入 2 9 11 5 5" xfId="22427"/>
    <cellStyle name="计算 2 4 11 8 3" xfId="22428"/>
    <cellStyle name="检查单元格 2 2 3 9 2" xfId="22429"/>
    <cellStyle name="汇总 2 8 7 13" xfId="22430"/>
    <cellStyle name="注释 2 5 10 3 5 2" xfId="22431"/>
    <cellStyle name="输入 2 9 11 5 6" xfId="22432"/>
    <cellStyle name="计算 2 4 11 8 4" xfId="22433"/>
    <cellStyle name="汇总 2 8 7 14" xfId="22434"/>
    <cellStyle name="注释 2 10 8 7 4" xfId="22435"/>
    <cellStyle name="检查单元格 2 9 5 5 4 2" xfId="22436"/>
    <cellStyle name="计算 2 4 11 8 5" xfId="22437"/>
    <cellStyle name="汇总 2 8 7 15" xfId="22438"/>
    <cellStyle name="计算 2 10 9 7 4 2" xfId="22439"/>
    <cellStyle name="汇总 2 8 7 2" xfId="22440"/>
    <cellStyle name="汇总 2 8 7 2 3" xfId="22441"/>
    <cellStyle name="汇总 2 8 7 2 4" xfId="22442"/>
    <cellStyle name="注释 2 5 3 8 3" xfId="22443"/>
    <cellStyle name="汇总 2 8 7 2 4 2" xfId="22444"/>
    <cellStyle name="检查单元格 2 8 2 11" xfId="22445"/>
    <cellStyle name="汇总 2 8 7 2 5" xfId="22446"/>
    <cellStyle name="汇总 2 8 7 2 5 2" xfId="22447"/>
    <cellStyle name="计算 2 5 4 10" xfId="22448"/>
    <cellStyle name="输出 2 3 8 15" xfId="22449"/>
    <cellStyle name="汇总 2 8 7 2 7" xfId="22450"/>
    <cellStyle name="汇总 2 8 7 2 8" xfId="22451"/>
    <cellStyle name="注释 2 5 4 6 3" xfId="22452"/>
    <cellStyle name="汇总 2 8 7 3 2 2" xfId="22453"/>
    <cellStyle name="注释 2 11 2 5 2" xfId="22454"/>
    <cellStyle name="汇总 2 8 7 4" xfId="22455"/>
    <cellStyle name="注释 2 5 5 6 3" xfId="22456"/>
    <cellStyle name="输入 2 6 2 2 5 2" xfId="22457"/>
    <cellStyle name="汇总 2 8 7 4 2 2" xfId="22458"/>
    <cellStyle name="注释 2 11 2 5 3" xfId="22459"/>
    <cellStyle name="汇总 2 8 7 5" xfId="22460"/>
    <cellStyle name="注释 2 11 2 5 3 2" xfId="22461"/>
    <cellStyle name="输入 2 6 2 3 5" xfId="22462"/>
    <cellStyle name="汇总 2 8 7 5 2" xfId="22463"/>
    <cellStyle name="注释 2 5 6 6 3" xfId="22464"/>
    <cellStyle name="输入 2 6 2 3 5 2" xfId="22465"/>
    <cellStyle name="汇总 2 8 7 5 2 2" xfId="22466"/>
    <cellStyle name="输入 2 4 8 8 3" xfId="22467"/>
    <cellStyle name="计算 2 4 5 8 4 2" xfId="22468"/>
    <cellStyle name="注释 2 11 2 5 4" xfId="22469"/>
    <cellStyle name="汇总 2 8 7 6" xfId="22470"/>
    <cellStyle name="输出 2 10 9 3 3 2" xfId="22471"/>
    <cellStyle name="注释 2 11 2 5 4 2" xfId="22472"/>
    <cellStyle name="输入 2 6 2 4 5" xfId="22473"/>
    <cellStyle name="汇总 2 8 7 6 2" xfId="22474"/>
    <cellStyle name="注释 2 11 2 5 5 2" xfId="22475"/>
    <cellStyle name="输入 2 6 2 5 5" xfId="22476"/>
    <cellStyle name="汇总 2 8 7 7 2" xfId="22477"/>
    <cellStyle name="计算 2 10 10 2 3 2" xfId="22478"/>
    <cellStyle name="注释 2 7 10 3 4" xfId="22479"/>
    <cellStyle name="注释 2 5 9 6 3" xfId="22480"/>
    <cellStyle name="输入 2 6 2 6 5 2" xfId="22481"/>
    <cellStyle name="汇总 2 8 7 8 2 2" xfId="22482"/>
    <cellStyle name="汇总 2 8 7 9" xfId="22483"/>
    <cellStyle name="计算 2 10 9 7 5" xfId="22484"/>
    <cellStyle name="汇总 2 8 8" xfId="22485"/>
    <cellStyle name="注释 2 6 3 6 2" xfId="22486"/>
    <cellStyle name="计算 2 10 9 2 7" xfId="22487"/>
    <cellStyle name="输入 2 11 10 7 3 2" xfId="22488"/>
    <cellStyle name="汇总 2 8 8 10" xfId="22489"/>
    <cellStyle name="注释 2 6 3 6 3" xfId="22490"/>
    <cellStyle name="计算 2 10 9 2 8" xfId="22491"/>
    <cellStyle name="汇总 2 8 8 2 2 2" xfId="22492"/>
    <cellStyle name="汇总 2 8 8 11" xfId="22493"/>
    <cellStyle name="检查单元格 2 5 7 5 2" xfId="22494"/>
    <cellStyle name="输出 2 6 5 2 4 2" xfId="22495"/>
    <cellStyle name="注释 2 6 3 6 4" xfId="22496"/>
    <cellStyle name="计算 2 10 9 2 9" xfId="22497"/>
    <cellStyle name="汇总 2 8 8 12" xfId="22498"/>
    <cellStyle name="检查单元格 2 5 7 5 3" xfId="22499"/>
    <cellStyle name="汇总 2 8 8 13" xfId="22500"/>
    <cellStyle name="检查单元格 2 5 7 5 4" xfId="22501"/>
    <cellStyle name="注释 2 6 3 6 6" xfId="22502"/>
    <cellStyle name="计算 2 10 2 6 4 2" xfId="22503"/>
    <cellStyle name="汇总 2 8 8 14" xfId="22504"/>
    <cellStyle name="检查单元格 2 5 7 5 5" xfId="22505"/>
    <cellStyle name="汇总 2 8 8 15" xfId="22506"/>
    <cellStyle name="计算 2 10 9 7 5 2" xfId="22507"/>
    <cellStyle name="汇总 2 8 8 2" xfId="22508"/>
    <cellStyle name="汇总 2 8 8 2 3" xfId="22509"/>
    <cellStyle name="注释 2 6 3 7 3" xfId="22510"/>
    <cellStyle name="汇总 2 8 8 2 3 2" xfId="22511"/>
    <cellStyle name="注释 2 6 3 8 3" xfId="22512"/>
    <cellStyle name="汇总 2 8 8 2 4 2" xfId="22513"/>
    <cellStyle name="汇总 2 8 8 2 5" xfId="22514"/>
    <cellStyle name="汇总 2 8 8 2 5 2" xfId="22515"/>
    <cellStyle name="汇总 2 8 8 2 7" xfId="22516"/>
    <cellStyle name="汇总 2 8 8 2 8" xfId="22517"/>
    <cellStyle name="计算 2 12 6 4 2 2" xfId="22518"/>
    <cellStyle name="汇总 2 8 8 2 9" xfId="22519"/>
    <cellStyle name="注释 2 6 4 6 3" xfId="22520"/>
    <cellStyle name="汇总 2 8 8 3 2 2" xfId="22521"/>
    <cellStyle name="注释 2 11 2 6 2" xfId="22522"/>
    <cellStyle name="汇总 2 8 8 4" xfId="22523"/>
    <cellStyle name="注释 2 6 5 6 3" xfId="22524"/>
    <cellStyle name="输入 2 6 3 2 5 2" xfId="22525"/>
    <cellStyle name="汇总 2 8 8 4 2 2" xfId="22526"/>
    <cellStyle name="注释 2 7 3 6 3" xfId="22527"/>
    <cellStyle name="计算 2 11 9 2 8" xfId="22528"/>
    <cellStyle name="汇总 2 8 9 2 2 2" xfId="22529"/>
    <cellStyle name="汇总 2 8 9 2 3" xfId="22530"/>
    <cellStyle name="输出 2 11 2 5 2" xfId="22531"/>
    <cellStyle name="注释 2 7 3 7 3" xfId="22532"/>
    <cellStyle name="汇总 2 8 9 2 3 2" xfId="22533"/>
    <cellStyle name="输出 2 11 2 5 2 2" xfId="22534"/>
    <cellStyle name="汇总 2 8 9 2 4" xfId="22535"/>
    <cellStyle name="输出 2 11 2 5 3" xfId="22536"/>
    <cellStyle name="注释 2 7 3 8 3" xfId="22537"/>
    <cellStyle name="汇总 2 8 9 2 4 2" xfId="22538"/>
    <cellStyle name="输出 2 11 2 5 3 2" xfId="22539"/>
    <cellStyle name="汇总 2 8 9 2 5" xfId="22540"/>
    <cellStyle name="输出 2 11 2 5 4" xfId="22541"/>
    <cellStyle name="汇总 2 8 9 2 5 2" xfId="22542"/>
    <cellStyle name="输出 2 11 2 5 4 2" xfId="22543"/>
    <cellStyle name="汇总 2 8 9 2 7" xfId="22544"/>
    <cellStyle name="输出 2 11 2 5 6" xfId="22545"/>
    <cellStyle name="汇总 2 8 9 2 8" xfId="22546"/>
    <cellStyle name="计算 2 12 6 5 2 2" xfId="22547"/>
    <cellStyle name="汇总 2 8 9 2 9" xfId="22548"/>
    <cellStyle name="注释 2 7 4 6 3" xfId="22549"/>
    <cellStyle name="汇总 2 8 9 3 2 2" xfId="22550"/>
    <cellStyle name="注释 2 7 5 6 3" xfId="22551"/>
    <cellStyle name="输入 2 6 4 2 5 2" xfId="22552"/>
    <cellStyle name="汇总 2 8 9 4 2 2" xfId="22553"/>
    <cellStyle name="注释 2 7 6 6 3" xfId="22554"/>
    <cellStyle name="输入 2 6 4 3 5 2" xfId="22555"/>
    <cellStyle name="汇总 2 8 9 5 2 2" xfId="22556"/>
    <cellStyle name="注释 2 11 2 7 4 2" xfId="22557"/>
    <cellStyle name="输入 2 6 4 4 5" xfId="22558"/>
    <cellStyle name="汇总 2 8 9 6 2" xfId="22559"/>
    <cellStyle name="计算 2 7 8 13" xfId="22560"/>
    <cellStyle name="注释 2 7 7 6 3" xfId="22561"/>
    <cellStyle name="输入 2 6 4 4 5 2" xfId="22562"/>
    <cellStyle name="汇总 2 8 9 6 2 2" xfId="22563"/>
    <cellStyle name="注释 2 11 2 7 5 2" xfId="22564"/>
    <cellStyle name="输入 2 6 4 5 5" xfId="22565"/>
    <cellStyle name="汇总 2 8 9 7 2" xfId="22566"/>
    <cellStyle name="注释 2 11 2 7 6" xfId="22567"/>
    <cellStyle name="汇总 2 8 9 8" xfId="22568"/>
    <cellStyle name="输入 2 6 4 6 5" xfId="22569"/>
    <cellStyle name="汇总 2 8 9 8 2" xfId="22570"/>
    <cellStyle name="注释 2 5 4 8 3 2" xfId="22571"/>
    <cellStyle name="汇总 2 8 9 9" xfId="22572"/>
    <cellStyle name="输入 2 6 4 7 5" xfId="22573"/>
    <cellStyle name="汇总 2 8 9 9 2" xfId="22574"/>
    <cellStyle name="汇总 2 9 10" xfId="22575"/>
    <cellStyle name="输出 2 5 5 2 3" xfId="22576"/>
    <cellStyle name="汇总 2 9 10 11" xfId="22577"/>
    <cellStyle name="计算 2 12 4 10" xfId="22578"/>
    <cellStyle name="汇总 2 9 10 11 2" xfId="22579"/>
    <cellStyle name="汇总 2 9 10 12" xfId="22580"/>
    <cellStyle name="汇总 2 9 10 12 2" xfId="22581"/>
    <cellStyle name="注释 2 7 5 4 5 2" xfId="22582"/>
    <cellStyle name="汇总 2 9 10 14" xfId="22583"/>
    <cellStyle name="计算 2 11 11 8 2" xfId="22584"/>
    <cellStyle name="汇总 2 9 10 15" xfId="22585"/>
    <cellStyle name="注释 2 4 6 5 2" xfId="22586"/>
    <cellStyle name="计算 2 12 9 2 3 2" xfId="22587"/>
    <cellStyle name="计算 2 11 11 8 3" xfId="22588"/>
    <cellStyle name="汇总 2 9 10 16" xfId="22589"/>
    <cellStyle name="汇总 2 9 10 2" xfId="22590"/>
    <cellStyle name="输出 2 5 5 2 3 2" xfId="22591"/>
    <cellStyle name="汇总 2 9 10 2 2" xfId="22592"/>
    <cellStyle name="输出 2 3 2 3 3" xfId="22593"/>
    <cellStyle name="输入 2 6 10 12" xfId="22594"/>
    <cellStyle name="汇总 2 9 10 2 8" xfId="22595"/>
    <cellStyle name="输入 2 8 6 3 5" xfId="22596"/>
    <cellStyle name="检查单元格 2 6 3 2 4 2" xfId="22597"/>
    <cellStyle name="注释 2 9 19 4 2" xfId="22598"/>
    <cellStyle name="汇总 2 9 10 3" xfId="22599"/>
    <cellStyle name="输入 2 6 9 11" xfId="22600"/>
    <cellStyle name="汇总 2 9 10 3 2" xfId="22601"/>
    <cellStyle name="输出 2 3 2 4 3" xfId="22602"/>
    <cellStyle name="汇总 2 9 10 4 2" xfId="22603"/>
    <cellStyle name="计算 2 7 6 14" xfId="22604"/>
    <cellStyle name="输出 2 3 2 5 3" xfId="22605"/>
    <cellStyle name="汇总 2 9 10 5" xfId="22606"/>
    <cellStyle name="汇总 2 9 10 5 2" xfId="22607"/>
    <cellStyle name="输出 2 3 2 6 3" xfId="22608"/>
    <cellStyle name="输出 2 2 9 7 6" xfId="22609"/>
    <cellStyle name="计算 2 4 5 6 6" xfId="22610"/>
    <cellStyle name="汇总 2 9 10 5 2 2" xfId="22611"/>
    <cellStyle name="输出 2 3 2 6 3 2" xfId="22612"/>
    <cellStyle name="汇总 2 9 10 6" xfId="22613"/>
    <cellStyle name="汇总 2 9 10 6 2" xfId="22614"/>
    <cellStyle name="输出 2 3 2 7 3" xfId="22615"/>
    <cellStyle name="计算 2 4 6 6 6" xfId="22616"/>
    <cellStyle name="汇总 2 9 10 6 2 2" xfId="22617"/>
    <cellStyle name="输出 2 3 2 7 3 2" xfId="22618"/>
    <cellStyle name="汇总 2 9 10 7 2" xfId="22619"/>
    <cellStyle name="输出 2 11 2 2 2" xfId="22620"/>
    <cellStyle name="输出 2 3 2 8 3" xfId="22621"/>
    <cellStyle name="汇总 2 9 10 8" xfId="22622"/>
    <cellStyle name="输出 2 11 2 3" xfId="22623"/>
    <cellStyle name="汇总 2 9 10 8 2" xfId="22624"/>
    <cellStyle name="输出 2 11 2 3 2" xfId="22625"/>
    <cellStyle name="汇总 2 9 10 8 4" xfId="22626"/>
    <cellStyle name="输出 2 10 16 5 2" xfId="22627"/>
    <cellStyle name="输出 2 11 2 3 4" xfId="22628"/>
    <cellStyle name="输入 2 7 11 4 4" xfId="22629"/>
    <cellStyle name="计算 2 2 11 7 2" xfId="22630"/>
    <cellStyle name="检查单元格 2 6 5 9" xfId="22631"/>
    <cellStyle name="汇总 2 9 10 8 5" xfId="22632"/>
    <cellStyle name="输出 2 11 2 3 5" xfId="22633"/>
    <cellStyle name="汇总 2 9 10 9" xfId="22634"/>
    <cellStyle name="输出 2 11 2 4" xfId="22635"/>
    <cellStyle name="汇总 2 9 10 9 2" xfId="22636"/>
    <cellStyle name="计算 2 7 7 14" xfId="22637"/>
    <cellStyle name="输出 2 11 2 4 2" xfId="22638"/>
    <cellStyle name="输出 2 9 3 8 5" xfId="22639"/>
    <cellStyle name="汇总 2 9 5 8 4 2" xfId="22640"/>
    <cellStyle name="输出 2 2 11 2 3" xfId="22641"/>
    <cellStyle name="汇总 2 9 11 10" xfId="22642"/>
    <cellStyle name="检查单元格 2 10 4 4" xfId="22643"/>
    <cellStyle name="计算 2 10 5 3 3" xfId="22644"/>
    <cellStyle name="汇总 2 9 11 10 2" xfId="22645"/>
    <cellStyle name="检查单元格 2 10 4 4 2" xfId="22646"/>
    <cellStyle name="汇总 2 9 11 11" xfId="22647"/>
    <cellStyle name="检查单元格 2 10 4 5" xfId="22648"/>
    <cellStyle name="计算 2 10 5 4 3" xfId="22649"/>
    <cellStyle name="汇总 2 9 11 11 2" xfId="22650"/>
    <cellStyle name="检查单元格 2 10 4 5 2" xfId="22651"/>
    <cellStyle name="计算 2 10 5 5 3" xfId="22652"/>
    <cellStyle name="汇总 2 9 11 12 2" xfId="22653"/>
    <cellStyle name="检查单元格 2 10 4 6 2" xfId="22654"/>
    <cellStyle name="检查单元格 2 10 4 8" xfId="22655"/>
    <cellStyle name="汇总 2 9 11 14" xfId="22656"/>
    <cellStyle name="输出 2 3 17 4 2" xfId="22657"/>
    <cellStyle name="输出 2 8 2 3 2" xfId="22658"/>
    <cellStyle name="汇总 2 9 11 16" xfId="22659"/>
    <cellStyle name="计算 2 2 15 5" xfId="22660"/>
    <cellStyle name="计算 2 11 10 2 2 2" xfId="22661"/>
    <cellStyle name="汇总 2 9 11 2 2" xfId="22662"/>
    <cellStyle name="输出 2 3 3 3 3" xfId="22663"/>
    <cellStyle name="输出 2 5 10 4 6" xfId="22664"/>
    <cellStyle name="计算 2 11 10 2 3" xfId="22665"/>
    <cellStyle name="汇总 2 9 11 3" xfId="22666"/>
    <cellStyle name="计算 2 2 16 5" xfId="22667"/>
    <cellStyle name="计算 2 11 10 2 3 2" xfId="22668"/>
    <cellStyle name="汇总 2 9 11 3 2" xfId="22669"/>
    <cellStyle name="输出 2 3 3 4 3" xfId="22670"/>
    <cellStyle name="输入 2 12 3 13" xfId="22671"/>
    <cellStyle name="输出 2 5 10 5 6" xfId="22672"/>
    <cellStyle name="计算 2 2 17 5" xfId="22673"/>
    <cellStyle name="计算 2 11 10 2 4 2" xfId="22674"/>
    <cellStyle name="汇总 2 9 11 4 2" xfId="22675"/>
    <cellStyle name="输出 2 3 3 5 3" xfId="22676"/>
    <cellStyle name="输出 2 5 10 6 6" xfId="22677"/>
    <cellStyle name="计算 2 2 17 5 2" xfId="22678"/>
    <cellStyle name="汇总 2 9 11 4 2 2" xfId="22679"/>
    <cellStyle name="计算 2 5 4 6 6" xfId="22680"/>
    <cellStyle name="输出 2 3 3 5 3 2" xfId="22681"/>
    <cellStyle name="输出 2 2 3 3" xfId="22682"/>
    <cellStyle name="输出 2 3 8 7 6" xfId="22683"/>
    <cellStyle name="计算 2 11 10 2 5" xfId="22684"/>
    <cellStyle name="汇总 2 9 11 5" xfId="22685"/>
    <cellStyle name="计算 2 11 10 2 5 2" xfId="22686"/>
    <cellStyle name="计算 2 2 18 5" xfId="22687"/>
    <cellStyle name="检查单元格 2 7 2 6" xfId="22688"/>
    <cellStyle name="汇总 2 9 11 5 2" xfId="22689"/>
    <cellStyle name="输出 2 3 3 6 3" xfId="22690"/>
    <cellStyle name="输出 2 5 10 7 6" xfId="22691"/>
    <cellStyle name="计算 2 5 10 5 3" xfId="22692"/>
    <cellStyle name="计算 2 2 18 5 2" xfId="22693"/>
    <cellStyle name="检查单元格 2 7 2 6 2" xfId="22694"/>
    <cellStyle name="汇总 2 9 11 5 2 2" xfId="22695"/>
    <cellStyle name="计算 2 5 5 6 6" xfId="22696"/>
    <cellStyle name="输出 2 3 3 6 3 2" xfId="22697"/>
    <cellStyle name="输出 2 3 3 3" xfId="22698"/>
    <cellStyle name="输出 2 3 9 7 6" xfId="22699"/>
    <cellStyle name="计算 2 11 10 2 6" xfId="22700"/>
    <cellStyle name="汇总 2 9 11 6" xfId="22701"/>
    <cellStyle name="计算 2 2 19 5" xfId="22702"/>
    <cellStyle name="检查单元格 2 5 10 6" xfId="22703"/>
    <cellStyle name="检查单元格 2 7 3 6" xfId="22704"/>
    <cellStyle name="汇总 2 9 11 6 2" xfId="22705"/>
    <cellStyle name="输出 2 3 3 7 3" xfId="22706"/>
    <cellStyle name="注释 2 10 2 2 8" xfId="22707"/>
    <cellStyle name="计算 2 5 11 5 3" xfId="22708"/>
    <cellStyle name="检查单元格 2 7 3 6 2" xfId="22709"/>
    <cellStyle name="汇总 2 9 11 6 2 2" xfId="22710"/>
    <cellStyle name="计算 2 5 6 6 6" xfId="22711"/>
    <cellStyle name="输出 2 3 3 7 3 2" xfId="22712"/>
    <cellStyle name="输出 2 4 3 3" xfId="22713"/>
    <cellStyle name="汇总 2 9 11 7 2" xfId="22714"/>
    <cellStyle name="输出 2 11 3 2 2" xfId="22715"/>
    <cellStyle name="输出 2 3 3 8 3" xfId="22716"/>
    <cellStyle name="汇总 2 9 11 7 2 2" xfId="22717"/>
    <cellStyle name="计算 2 5 7 6 6" xfId="22718"/>
    <cellStyle name="输出 2 11 3 2 2 2" xfId="22719"/>
    <cellStyle name="输出 2 3 3 8 3 2" xfId="22720"/>
    <cellStyle name="计算 2 10 10 15" xfId="22721"/>
    <cellStyle name="输出 2 5 3 3" xfId="22722"/>
    <cellStyle name="计算 2 11 10 2 8" xfId="22723"/>
    <cellStyle name="汇总 2 9 11 8" xfId="22724"/>
    <cellStyle name="输出 2 11 3 3" xfId="22725"/>
    <cellStyle name="汇总 2 9 11 8 2" xfId="22726"/>
    <cellStyle name="输出 2 11 3 3 2" xfId="22727"/>
    <cellStyle name="汇总 2 9 11 8 2 2" xfId="22728"/>
    <cellStyle name="计算 2 5 8 6 6" xfId="22729"/>
    <cellStyle name="输出 2 11 3 3 2 2" xfId="22730"/>
    <cellStyle name="输出 2 6 3 3" xfId="22731"/>
    <cellStyle name="汇总 2 9 11 8 3 2" xfId="22732"/>
    <cellStyle name="计算 2 5 8 7 6" xfId="22733"/>
    <cellStyle name="输出 2 11 3 3 3 2" xfId="22734"/>
    <cellStyle name="输出 2 6 4 3" xfId="22735"/>
    <cellStyle name="汇总 2 9 11 8 4" xfId="22736"/>
    <cellStyle name="输出 2 10 17 5 2" xfId="22737"/>
    <cellStyle name="输出 2 11 3 3 4" xfId="22738"/>
    <cellStyle name="汇总 2 9 11 8 4 2" xfId="22739"/>
    <cellStyle name="输出 2 11 3 3 4 2" xfId="22740"/>
    <cellStyle name="输出 2 6 5 3" xfId="22741"/>
    <cellStyle name="汇总 2 9 11 8 5" xfId="22742"/>
    <cellStyle name="计算 2 8 2" xfId="22743"/>
    <cellStyle name="输出 2 11 3 3 5" xfId="22744"/>
    <cellStyle name="汇总 2 9 11 9 2" xfId="22745"/>
    <cellStyle name="输出 2 11 3 4 2" xfId="22746"/>
    <cellStyle name="注释 2 7 5 13" xfId="22747"/>
    <cellStyle name="计算 2 11 10 3 2 2" xfId="22748"/>
    <cellStyle name="汇总 2 9 12 2 2" xfId="22749"/>
    <cellStyle name="输出 2 3 4 3 3" xfId="22750"/>
    <cellStyle name="输出 2 5 11 4 6" xfId="22751"/>
    <cellStyle name="计算 2 11 10 3 3" xfId="22752"/>
    <cellStyle name="汇总 2 9 12 3" xfId="22753"/>
    <cellStyle name="输入 2 3 2 2 4" xfId="22754"/>
    <cellStyle name="计算 2 11 10 3 3 2" xfId="22755"/>
    <cellStyle name="强调文字颜色 1 3" xfId="22756"/>
    <cellStyle name="汇总 2 9 12 3 2" xfId="22757"/>
    <cellStyle name="输出 2 3 4 4 3" xfId="22758"/>
    <cellStyle name="输入 2 12 8 13" xfId="22759"/>
    <cellStyle name="输出 2 5 11 5 6" xfId="22760"/>
    <cellStyle name="输入 2 3 2 3 4" xfId="22761"/>
    <cellStyle name="计算 2 11 10 3 4 2" xfId="22762"/>
    <cellStyle name="强调文字颜色 2 3" xfId="22763"/>
    <cellStyle name="汇总 2 9 12 4 2" xfId="22764"/>
    <cellStyle name="输出 2 3 4 5 3" xfId="22765"/>
    <cellStyle name="输出 2 5 11 6 6" xfId="22766"/>
    <cellStyle name="计算 2 11 10 3 5" xfId="22767"/>
    <cellStyle name="汇总 2 9 12 5" xfId="22768"/>
    <cellStyle name="计算 2 11 10 3 6" xfId="22769"/>
    <cellStyle name="汇总 2 9 12 6" xfId="22770"/>
    <cellStyle name="输出 2 10 10 5 2 2" xfId="22771"/>
    <cellStyle name="汇总 2 9 12 8" xfId="22772"/>
    <cellStyle name="输出 2 11 4 3" xfId="22773"/>
    <cellStyle name="输出 2 9 10 6 2" xfId="22774"/>
    <cellStyle name="计算 2 11 10 4 2 2" xfId="22775"/>
    <cellStyle name="注释 2 2 12 4" xfId="22776"/>
    <cellStyle name="汇总 2 9 13 2 2" xfId="22777"/>
    <cellStyle name="输出 2 3 5 3 3" xfId="22778"/>
    <cellStyle name="输出 2 9 10 7" xfId="22779"/>
    <cellStyle name="计算 2 11 10 4 3" xfId="22780"/>
    <cellStyle name="汇总 2 9 13 3" xfId="22781"/>
    <cellStyle name="输入 2 3 3 2 4" xfId="22782"/>
    <cellStyle name="输出 2 9 10 7 2" xfId="22783"/>
    <cellStyle name="计算 2 11 10 4 3 2" xfId="22784"/>
    <cellStyle name="注释 2 2 13 4" xfId="22785"/>
    <cellStyle name="汇总 2 9 13 3 2" xfId="22786"/>
    <cellStyle name="输出 2 3 5 4 3" xfId="22787"/>
    <cellStyle name="输出 2 9 10 8" xfId="22788"/>
    <cellStyle name="计算 2 11 10 4 4" xfId="22789"/>
    <cellStyle name="汇总 2 9 13 4" xfId="22790"/>
    <cellStyle name="输出 2 9 10 9" xfId="22791"/>
    <cellStyle name="计算 2 11 10 4 5" xfId="22792"/>
    <cellStyle name="汇总 2 9 13 5" xfId="22793"/>
    <cellStyle name="输入 2 3 3 4 4" xfId="22794"/>
    <cellStyle name="输出 2 9 10 9 2" xfId="22795"/>
    <cellStyle name="计算 2 11 10 4 5 2" xfId="22796"/>
    <cellStyle name="检查单元格 2 9 2 6" xfId="22797"/>
    <cellStyle name="注释 2 2 15 4" xfId="22798"/>
    <cellStyle name="汇总 2 9 13 5 2" xfId="22799"/>
    <cellStyle name="输出 2 3 5 6 3" xfId="22800"/>
    <cellStyle name="计算 2 11 10 4 6" xfId="22801"/>
    <cellStyle name="汇总 2 9 13 6" xfId="22802"/>
    <cellStyle name="输出 2 10 10 5 3 2" xfId="22803"/>
    <cellStyle name="输出 2 9 11 6 2" xfId="22804"/>
    <cellStyle name="计算 2 11 10 5 2 2" xfId="22805"/>
    <cellStyle name="计算 2 5 2 2 3" xfId="22806"/>
    <cellStyle name="汇总 2 9 14 2 2" xfId="22807"/>
    <cellStyle name="输出 2 3 6 3 3" xfId="22808"/>
    <cellStyle name="注释 2 4 5 2 2" xfId="22809"/>
    <cellStyle name="输出 2 9 11 7" xfId="22810"/>
    <cellStyle name="计算 2 11 10 5 3" xfId="22811"/>
    <cellStyle name="汇总 2 9 14 3" xfId="22812"/>
    <cellStyle name="注释 2 4 5 2 2 2" xfId="22813"/>
    <cellStyle name="输入 2 3 4 2 4" xfId="22814"/>
    <cellStyle name="输出 2 9 11 7 2" xfId="22815"/>
    <cellStyle name="计算 2 11 10 5 3 2" xfId="22816"/>
    <cellStyle name="计算 2 5 2 3 3" xfId="22817"/>
    <cellStyle name="输入 2 7 4 11" xfId="22818"/>
    <cellStyle name="汇总 2 9 14 3 2" xfId="22819"/>
    <cellStyle name="输出 2 3 6 4 3" xfId="22820"/>
    <cellStyle name="注释 2 4 5 2 3" xfId="22821"/>
    <cellStyle name="输出 2 9 11 8" xfId="22822"/>
    <cellStyle name="计算 2 11 10 5 4" xfId="22823"/>
    <cellStyle name="汇总 2 9 14 4" xfId="22824"/>
    <cellStyle name="注释 2 4 5 2 3 2" xfId="22825"/>
    <cellStyle name="输入 2 3 4 3 4" xfId="22826"/>
    <cellStyle name="输出 2 9 11 8 2" xfId="22827"/>
    <cellStyle name="计算 2 11 10 5 4 2" xfId="22828"/>
    <cellStyle name="计算 2 5 2 4 3" xfId="22829"/>
    <cellStyle name="汇总 2 9 14 4 2" xfId="22830"/>
    <cellStyle name="输出 2 3 6 5 3" xfId="22831"/>
    <cellStyle name="注释 2 4 5 2 4" xfId="22832"/>
    <cellStyle name="注释 2 12 5 7 2 2" xfId="22833"/>
    <cellStyle name="输出 2 9 11 9" xfId="22834"/>
    <cellStyle name="计算 2 11 10 5 5" xfId="22835"/>
    <cellStyle name="汇总 2 9 14 5" xfId="22836"/>
    <cellStyle name="注释 2 4 5 2 4 2" xfId="22837"/>
    <cellStyle name="输入 2 3 4 4 4" xfId="22838"/>
    <cellStyle name="输出 2 9 11 9 2" xfId="22839"/>
    <cellStyle name="计算 2 11 10 5 5 2" xfId="22840"/>
    <cellStyle name="计算 2 5 2 5 3" xfId="22841"/>
    <cellStyle name="汇总 2 9 14 5 2" xfId="22842"/>
    <cellStyle name="输出 2 3 6 6 3" xfId="22843"/>
    <cellStyle name="注释 2 4 5 2 5" xfId="22844"/>
    <cellStyle name="计算 2 11 10 5 6" xfId="22845"/>
    <cellStyle name="汇总 2 9 14 6" xfId="22846"/>
    <cellStyle name="输出 2 10 10 5 4 2" xfId="22847"/>
    <cellStyle name="输出 2 9 12 6" xfId="22848"/>
    <cellStyle name="计算 2 11 10 6 2" xfId="22849"/>
    <cellStyle name="汇总 2 9 20 2" xfId="22850"/>
    <cellStyle name="汇总 2 9 15 2" xfId="22851"/>
    <cellStyle name="计算 2 11 10 6 2 2" xfId="22852"/>
    <cellStyle name="计算 2 5 3 2 3" xfId="22853"/>
    <cellStyle name="汇总 2 9 15 2 2" xfId="22854"/>
    <cellStyle name="输出 2 3 7 3 3" xfId="22855"/>
    <cellStyle name="注释 2 4 5 3 2" xfId="22856"/>
    <cellStyle name="输出 2 9 12 7" xfId="22857"/>
    <cellStyle name="计算 2 11 10 6 3" xfId="22858"/>
    <cellStyle name="汇总 2 9 15 3" xfId="22859"/>
    <cellStyle name="注释 2 4 5 3 2 2" xfId="22860"/>
    <cellStyle name="输入 2 3 5 2 4" xfId="22861"/>
    <cellStyle name="计算 2 11 10 6 3 2" xfId="22862"/>
    <cellStyle name="计算 2 5 3 3 3" xfId="22863"/>
    <cellStyle name="输入 2 7 9 11" xfId="22864"/>
    <cellStyle name="汇总 2 9 15 3 2" xfId="22865"/>
    <cellStyle name="输出 2 3 7 4 3" xfId="22866"/>
    <cellStyle name="注释 2 4 5 3 3" xfId="22867"/>
    <cellStyle name="输出 2 9 12 8" xfId="22868"/>
    <cellStyle name="计算 2 11 10 6 4" xfId="22869"/>
    <cellStyle name="汇总 2 9 15 4" xfId="22870"/>
    <cellStyle name="检查单元格 2 3 9 2 2" xfId="22871"/>
    <cellStyle name="注释 2 4 5 3 3 2" xfId="22872"/>
    <cellStyle name="输入 2 3 5 3 4" xfId="22873"/>
    <cellStyle name="计算 2 11 10 6 4 2" xfId="22874"/>
    <cellStyle name="计算 2 5 3 4 3" xfId="22875"/>
    <cellStyle name="汇总 2 9 15 4 2" xfId="22876"/>
    <cellStyle name="计算 2 8 6 14" xfId="22877"/>
    <cellStyle name="输出 2 3 7 5 3" xfId="22878"/>
    <cellStyle name="注释 2 4 5 3 4" xfId="22879"/>
    <cellStyle name="注释 2 12 5 7 3 2" xfId="22880"/>
    <cellStyle name="输出 2 9 12 9" xfId="22881"/>
    <cellStyle name="计算 2 11 10 6 5" xfId="22882"/>
    <cellStyle name="汇总 2 9 15 5" xfId="22883"/>
    <cellStyle name="计算 2 12 2 2 5" xfId="22884"/>
    <cellStyle name="计算 2 5 3 5 3" xfId="22885"/>
    <cellStyle name="汇总 2 9 15 5 2" xfId="22886"/>
    <cellStyle name="输出 2 3 7 6 3" xfId="22887"/>
    <cellStyle name="注释 2 4 5 3 4 2" xfId="22888"/>
    <cellStyle name="输入 2 3 5 4 4" xfId="22889"/>
    <cellStyle name="计算 2 11 10 6 5 2" xfId="22890"/>
    <cellStyle name="注释 2 4 5 3 5" xfId="22891"/>
    <cellStyle name="输出 2 9 4 10" xfId="22892"/>
    <cellStyle name="计算 2 11 10 6 6" xfId="22893"/>
    <cellStyle name="汇总 2 9 15 6" xfId="22894"/>
    <cellStyle name="输出 2 10 10 5 5 2" xfId="22895"/>
    <cellStyle name="输出 2 9 13 6" xfId="22896"/>
    <cellStyle name="计算 2 11 10 7 2" xfId="22897"/>
    <cellStyle name="汇总 2 9 21 2" xfId="22898"/>
    <cellStyle name="汇总 2 9 16 2" xfId="22899"/>
    <cellStyle name="计算 2 3 15 5" xfId="22900"/>
    <cellStyle name="计算 2 11 10 7 2 2" xfId="22901"/>
    <cellStyle name="计算 2 5 4 2 3" xfId="22902"/>
    <cellStyle name="汇总 2 9 16 2 2" xfId="22903"/>
    <cellStyle name="输出 2 3 8 3 3" xfId="22904"/>
    <cellStyle name="注释 2 4 5 4 2" xfId="22905"/>
    <cellStyle name="计算 2 11 10 7 3" xfId="22906"/>
    <cellStyle name="汇总 2 9 16 3" xfId="22907"/>
    <cellStyle name="注释 2 4 5 4 2 2" xfId="22908"/>
    <cellStyle name="输入 2 3 6 2 4" xfId="22909"/>
    <cellStyle name="计算 2 11 10 7 3 2" xfId="22910"/>
    <cellStyle name="计算 2 3 16 5" xfId="22911"/>
    <cellStyle name="输出 2 5 18" xfId="22912"/>
    <cellStyle name="输出 2 5 23" xfId="22913"/>
    <cellStyle name="注释 2 10 3 14" xfId="22914"/>
    <cellStyle name="计算 2 5 4 3 3" xfId="22915"/>
    <cellStyle name="汇总 2 9 16 3 2" xfId="22916"/>
    <cellStyle name="输出 2 3 8 4 3" xfId="22917"/>
    <cellStyle name="注释 2 4 5 4 3" xfId="22918"/>
    <cellStyle name="计算 2 11 10 7 4" xfId="22919"/>
    <cellStyle name="汇总 2 9 16 4" xfId="22920"/>
    <cellStyle name="检查单元格 2 3 9 3 2" xfId="22921"/>
    <cellStyle name="输出 2 6 3 4 2 2" xfId="22922"/>
    <cellStyle name="注释 2 4 5 4 4" xfId="22923"/>
    <cellStyle name="注释 2 12 5 7 4 2" xfId="22924"/>
    <cellStyle name="计算 2 11 10 7 5" xfId="22925"/>
    <cellStyle name="汇总 2 9 16 5" xfId="22926"/>
    <cellStyle name="计算 2 3 18 5" xfId="22927"/>
    <cellStyle name="注释 2 4 5 4 4 2" xfId="22928"/>
    <cellStyle name="输入 2 3 6 4 4" xfId="22929"/>
    <cellStyle name="计算 2 11 10 7 5 2" xfId="22930"/>
    <cellStyle name="计算 2 12 3 2 5" xfId="22931"/>
    <cellStyle name="计算 2 5 4 5 3" xfId="22932"/>
    <cellStyle name="汇总 2 9 16 5 2" xfId="22933"/>
    <cellStyle name="输出 2 3 8 6 3" xfId="22934"/>
    <cellStyle name="注释 2 4 5 4 5" xfId="22935"/>
    <cellStyle name="计算 2 11 10 7 6" xfId="22936"/>
    <cellStyle name="输入 2 8 11 6 2 2" xfId="22937"/>
    <cellStyle name="汇总 2 9 16 6" xfId="22938"/>
    <cellStyle name="输出 2 9 14 6" xfId="22939"/>
    <cellStyle name="计算 2 11 10 8 2" xfId="22940"/>
    <cellStyle name="汇总 2 9 22 2" xfId="22941"/>
    <cellStyle name="汇总 2 9 17 2" xfId="22942"/>
    <cellStyle name="注释 2 8 5 13" xfId="22943"/>
    <cellStyle name="计算 2 11 10 8 2 2" xfId="22944"/>
    <cellStyle name="计算 2 5 5 2 3" xfId="22945"/>
    <cellStyle name="汇总 2 9 17 2 2" xfId="22946"/>
    <cellStyle name="输出 2 3 9 3 3" xfId="22947"/>
    <cellStyle name="注释 2 4 5 5 2" xfId="22948"/>
    <cellStyle name="计算 2 11 10 8 3" xfId="22949"/>
    <cellStyle name="汇总 2 9 17 3" xfId="22950"/>
    <cellStyle name="注释 2 4 5 5 2 2" xfId="22951"/>
    <cellStyle name="输入 2 3 7 2 4" xfId="22952"/>
    <cellStyle name="计算 2 11 10 8 3 2" xfId="22953"/>
    <cellStyle name="注释 2 10 8 14" xfId="22954"/>
    <cellStyle name="计算 2 5 5 3 3" xfId="22955"/>
    <cellStyle name="汇总 2 9 17 3 2" xfId="22956"/>
    <cellStyle name="输出 2 3 9 4 3" xfId="22957"/>
    <cellStyle name="注释 2 4 5 5 3" xfId="22958"/>
    <cellStyle name="计算 2 11 10 8 4" xfId="22959"/>
    <cellStyle name="汇总 2 9 17 4" xfId="22960"/>
    <cellStyle name="检查单元格 2 3 9 4 2" xfId="22961"/>
    <cellStyle name="输出 2 6 3 4 3 2" xfId="22962"/>
    <cellStyle name="注释 2 4 5 5 3 2" xfId="22963"/>
    <cellStyle name="输入 2 3 7 3 4" xfId="22964"/>
    <cellStyle name="计算 2 11 10 8 4 2" xfId="22965"/>
    <cellStyle name="计算 2 5 5 4 3" xfId="22966"/>
    <cellStyle name="汇总 2 9 17 4 2" xfId="22967"/>
    <cellStyle name="输出 2 3 9 5 3" xfId="22968"/>
    <cellStyle name="注释 2 4 5 5 4" xfId="22969"/>
    <cellStyle name="注释 2 12 5 7 5 2" xfId="22970"/>
    <cellStyle name="计算 2 11 10 8 5" xfId="22971"/>
    <cellStyle name="汇总 2 9 17 5" xfId="22972"/>
    <cellStyle name="计算 2 12 4 2 5" xfId="22973"/>
    <cellStyle name="计算 2 5 5 5 3" xfId="22974"/>
    <cellStyle name="汇总 2 9 17 5 2" xfId="22975"/>
    <cellStyle name="输出 2 3 9 6 3" xfId="22976"/>
    <cellStyle name="输入 2 8 11 6 3 2" xfId="22977"/>
    <cellStyle name="汇总 2 9 17 6" xfId="22978"/>
    <cellStyle name="输出 2 9 15 6" xfId="22979"/>
    <cellStyle name="计算 2 11 10 9 2" xfId="22980"/>
    <cellStyle name="汇总 2 9 23 2" xfId="22981"/>
    <cellStyle name="汇总 2 9 18 2" xfId="22982"/>
    <cellStyle name="注释 2 3 12 4" xfId="22983"/>
    <cellStyle name="汇总 2 9 18 2 2" xfId="22984"/>
    <cellStyle name="计算 2 5 6 2 3" xfId="22985"/>
    <cellStyle name="汇总 2 9 18 3" xfId="22986"/>
    <cellStyle name="注释 2 3 13 4" xfId="22987"/>
    <cellStyle name="计算 2 3 10 10" xfId="22988"/>
    <cellStyle name="汇总 2 9 18 3 2" xfId="22989"/>
    <cellStyle name="计算 2 5 6 3 3" xfId="22990"/>
    <cellStyle name="注释 2 3 14 4" xfId="22991"/>
    <cellStyle name="汇总 2 9 18 4 2" xfId="22992"/>
    <cellStyle name="计算 2 5 6 4 3" xfId="22993"/>
    <cellStyle name="汇总 2 9 18 5" xfId="22994"/>
    <cellStyle name="输出 2 7 14 2 2" xfId="22995"/>
    <cellStyle name="注释 2 3 15 4" xfId="22996"/>
    <cellStyle name="汇总 2 9 18 5 2" xfId="22997"/>
    <cellStyle name="计算 2 12 5 2 5" xfId="22998"/>
    <cellStyle name="计算 2 5 6 5 3" xfId="22999"/>
    <cellStyle name="输入 2 8 11 6 4 2" xfId="23000"/>
    <cellStyle name="汇总 2 9 18 6" xfId="23001"/>
    <cellStyle name="汇总 2 9 24" xfId="23002"/>
    <cellStyle name="汇总 2 9 19" xfId="23003"/>
    <cellStyle name="汇总 2 9 19 2" xfId="23004"/>
    <cellStyle name="汇总 2 9 19 2 2" xfId="23005"/>
    <cellStyle name="计算 2 5 7 2 3" xfId="23006"/>
    <cellStyle name="汇总 2 9 19 3" xfId="23007"/>
    <cellStyle name="输入 2 8 4 11" xfId="23008"/>
    <cellStyle name="汇总 2 9 19 3 2" xfId="23009"/>
    <cellStyle name="计算 2 5 7 3 3" xfId="23010"/>
    <cellStyle name="汇总 2 9 19 4 2" xfId="23011"/>
    <cellStyle name="计算 2 5 7 4 3" xfId="23012"/>
    <cellStyle name="汇总 2 9 19 5" xfId="23013"/>
    <cellStyle name="输出 2 7 14 3 2" xfId="23014"/>
    <cellStyle name="汇总 2 9 2 10" xfId="23015"/>
    <cellStyle name="汇总 2 9 2 10 2" xfId="23016"/>
    <cellStyle name="汇总 2 9 2 11 2" xfId="23017"/>
    <cellStyle name="注释 2 8 2 3 3 2" xfId="23018"/>
    <cellStyle name="汇总 2 9 2 12" xfId="23019"/>
    <cellStyle name="注释 2 5 6 2 7" xfId="23020"/>
    <cellStyle name="汇总 2 9 2 12 2" xfId="23021"/>
    <cellStyle name="汇总 2 9 2 13" xfId="23022"/>
    <cellStyle name="汇总 2 9 2 3 2" xfId="23023"/>
    <cellStyle name="汇总 2 9 2 14" xfId="23024"/>
    <cellStyle name="汇总 2 9 2 3 3" xfId="23025"/>
    <cellStyle name="汇总 2 9 2 15" xfId="23026"/>
    <cellStyle name="汇总 2 9 2 3 4" xfId="23027"/>
    <cellStyle name="汇总 2 9 2 16" xfId="23028"/>
    <cellStyle name="汇总 2 9 2 2" xfId="23029"/>
    <cellStyle name="汇总 2 9 2 2 2" xfId="23030"/>
    <cellStyle name="汇总 2 9 2 2 2 2" xfId="23031"/>
    <cellStyle name="计算 2 3 10 7 5 2" xfId="23032"/>
    <cellStyle name="汇总 2 9 2 2 3" xfId="23033"/>
    <cellStyle name="汇总 2 9 2 2 3 2" xfId="23034"/>
    <cellStyle name="汇总 2 9 2 2 4" xfId="23035"/>
    <cellStyle name="汇总 2 9 2 2 4 2" xfId="23036"/>
    <cellStyle name="汇总 2 9 2 2 5" xfId="23037"/>
    <cellStyle name="汇总 2 9 2 2 5 2" xfId="23038"/>
    <cellStyle name="汇总 2 9 2 2 6" xfId="23039"/>
    <cellStyle name="汇总 2 9 2 2 7" xfId="23040"/>
    <cellStyle name="汇总 2 9 2 3" xfId="23041"/>
    <cellStyle name="汇总 2 9 2 3 2 2" xfId="23042"/>
    <cellStyle name="汇总 2 9 2 3 3 2" xfId="23043"/>
    <cellStyle name="输出 2 9 10 3" xfId="23044"/>
    <cellStyle name="汇总 2 9 2 3 4 2" xfId="23045"/>
    <cellStyle name="汇总 2 9 2 3 5" xfId="23046"/>
    <cellStyle name="输出 2 9 11 3" xfId="23047"/>
    <cellStyle name="汇总 2 9 2 3 5 2" xfId="23048"/>
    <cellStyle name="汇总 2 9 2 3 6" xfId="23049"/>
    <cellStyle name="汇总 2 9 2 4" xfId="23050"/>
    <cellStyle name="注释 2 6 7 2 6" xfId="23051"/>
    <cellStyle name="汇总 2 9 2 4 2" xfId="23052"/>
    <cellStyle name="注释 2 6 7 2 7" xfId="23053"/>
    <cellStyle name="汇总 2 9 2 4 3" xfId="23054"/>
    <cellStyle name="注释 2 6 7 2 8" xfId="23055"/>
    <cellStyle name="汇总 2 9 2 4 4" xfId="23056"/>
    <cellStyle name="注释 2 6 7 2 9" xfId="23057"/>
    <cellStyle name="汇总 2 9 2 4 5" xfId="23058"/>
    <cellStyle name="汇总 2 9 2 4 5 2" xfId="23059"/>
    <cellStyle name="计算 2 7 2 2 2 2" xfId="23060"/>
    <cellStyle name="汇总 2 9 2 4 6" xfId="23061"/>
    <cellStyle name="输出 2 5 6 3 2 2" xfId="23062"/>
    <cellStyle name="汇总 2 9 2 5" xfId="23063"/>
    <cellStyle name="注释 2 6 7 3 6" xfId="23064"/>
    <cellStyle name="汇总 2 9 2 5 2" xfId="23065"/>
    <cellStyle name="汇总 2 9 2 5 3" xfId="23066"/>
    <cellStyle name="汇总 2 9 2 5 4" xfId="23067"/>
    <cellStyle name="汇总 2 9 2 5 5" xfId="23068"/>
    <cellStyle name="汇总 2 9 2 5 5 2" xfId="23069"/>
    <cellStyle name="计算 2 7 2 2 3 2" xfId="23070"/>
    <cellStyle name="输出 2 3 10 10 2" xfId="23071"/>
    <cellStyle name="汇总 2 9 2 5 6" xfId="23072"/>
    <cellStyle name="输出 2 5 6 3 3 2" xfId="23073"/>
    <cellStyle name="汇总 2 9 2 6" xfId="23074"/>
    <cellStyle name="注释 2 6 7 4 6" xfId="23075"/>
    <cellStyle name="汇总 2 9 2 6 2" xfId="23076"/>
    <cellStyle name="汇总 2 9 3 4 2 2" xfId="23077"/>
    <cellStyle name="汇总 2 9 2 6 3" xfId="23078"/>
    <cellStyle name="汇总 2 9 2 6 4" xfId="23079"/>
    <cellStyle name="汇总 2 9 2 6 5" xfId="23080"/>
    <cellStyle name="汇总 2 9 2 6 5 2" xfId="23081"/>
    <cellStyle name="汇总 2 9 2 7" xfId="23082"/>
    <cellStyle name="注释 2 6 7 5 6" xfId="23083"/>
    <cellStyle name="汇总 2 9 2 7 2" xfId="23084"/>
    <cellStyle name="汇总 2 9 3 4 3 2" xfId="23085"/>
    <cellStyle name="汇总 2 9 2 7 3" xfId="23086"/>
    <cellStyle name="汇总 2 9 2 7 4" xfId="23087"/>
    <cellStyle name="汇总 2 9 2 7 5" xfId="23088"/>
    <cellStyle name="汇总 2 9 2 7 5 2" xfId="23089"/>
    <cellStyle name="汇总 2 9 2 8" xfId="23090"/>
    <cellStyle name="计算 2 9 8 7 3 2" xfId="23091"/>
    <cellStyle name="汇总 2 9 2 9" xfId="23092"/>
    <cellStyle name="汇总 2 9 25" xfId="23093"/>
    <cellStyle name="汇总 2 9 26" xfId="23094"/>
    <cellStyle name="汇总 2 9 3" xfId="23095"/>
    <cellStyle name="注释 2 6 7 6 2" xfId="23096"/>
    <cellStyle name="计算 2 4 11 3 4 2" xfId="23097"/>
    <cellStyle name="检查单元格 2 2 3 4 3 2" xfId="23098"/>
    <cellStyle name="注释 2 10 8 2 4 2" xfId="23099"/>
    <cellStyle name="汇总 2 9 3 10" xfId="23100"/>
    <cellStyle name="汇总 2 9 3 2" xfId="23101"/>
    <cellStyle name="汇总 2 9 3 2 2" xfId="23102"/>
    <cellStyle name="汇总 2 9 3 2 2 2" xfId="23103"/>
    <cellStyle name="汇总 2 9 3 2 3" xfId="23104"/>
    <cellStyle name="汇总 2 9 3 2 3 2" xfId="23105"/>
    <cellStyle name="汇总 2 9 3 2 4 2" xfId="23106"/>
    <cellStyle name="汇总 2 9 3 2 5" xfId="23107"/>
    <cellStyle name="汇总 2 9 3 2 5 2" xfId="23108"/>
    <cellStyle name="汇总 2 9 3 2 7" xfId="23109"/>
    <cellStyle name="汇总 2 9 3 3" xfId="23110"/>
    <cellStyle name="汇总 2 9 7 14" xfId="23111"/>
    <cellStyle name="汇总 2 9 3 3 2" xfId="23112"/>
    <cellStyle name="汇总 2 9 3 3 2 2" xfId="23113"/>
    <cellStyle name="汇总 2 9 7 15" xfId="23114"/>
    <cellStyle name="汇总 2 9 3 3 3" xfId="23115"/>
    <cellStyle name="汇总 2 9 3 3 3 2" xfId="23116"/>
    <cellStyle name="汇总 2 9 3 3 5" xfId="23117"/>
    <cellStyle name="计算 2 13 6 2 2" xfId="23118"/>
    <cellStyle name="汇总 2 9 3 4" xfId="23119"/>
    <cellStyle name="注释 2 6 8 2 6" xfId="23120"/>
    <cellStyle name="汇总 2 9 3 4 2" xfId="23121"/>
    <cellStyle name="注释 2 6 8 2 7" xfId="23122"/>
    <cellStyle name="汇总 2 9 3 4 3" xfId="23123"/>
    <cellStyle name="汇总 2 9 3 5" xfId="23124"/>
    <cellStyle name="注释 2 6 8 3 6" xfId="23125"/>
    <cellStyle name="汇总 2 9 3 5 2" xfId="23126"/>
    <cellStyle name="输入 2 5 24" xfId="23127"/>
    <cellStyle name="输入 2 5 19" xfId="23128"/>
    <cellStyle name="汇总 2 9 3 6 3" xfId="23129"/>
    <cellStyle name="汇总 2 9 3 5 2 2" xfId="23130"/>
    <cellStyle name="汇总 2 9 3 5 3" xfId="23131"/>
    <cellStyle name="汇总 2 9 3 7 3" xfId="23132"/>
    <cellStyle name="汇总 2 9 3 5 3 2" xfId="23133"/>
    <cellStyle name="汇总 2 9 3 5 4" xfId="23134"/>
    <cellStyle name="计算 2 7 2 3 3 2" xfId="23135"/>
    <cellStyle name="汇总 2 9 3 5 6" xfId="23136"/>
    <cellStyle name="输出 2 5 6 4 3 2" xfId="23137"/>
    <cellStyle name="输入 2 4 9 4 3" xfId="23138"/>
    <cellStyle name="计算 2 11 4 6 2 2" xfId="23139"/>
    <cellStyle name="汇总 2 9 3 6" xfId="23140"/>
    <cellStyle name="注释 2 6 8 4 6" xfId="23141"/>
    <cellStyle name="输入 2 5 23" xfId="23142"/>
    <cellStyle name="输入 2 5 18" xfId="23143"/>
    <cellStyle name="汇总 2 9 3 6 2" xfId="23144"/>
    <cellStyle name="汇总 2 9 4 6 3" xfId="23145"/>
    <cellStyle name="输出 2 11 15 3" xfId="23146"/>
    <cellStyle name="输入 2 5 23 2" xfId="23147"/>
    <cellStyle name="输入 2 5 18 2" xfId="23148"/>
    <cellStyle name="汇总 2 9 3 6 2 2" xfId="23149"/>
    <cellStyle name="输出 2 4 6 10" xfId="23150"/>
    <cellStyle name="汇总 2 9 4 7 3" xfId="23151"/>
    <cellStyle name="输出 2 11 16 3" xfId="23152"/>
    <cellStyle name="输入 2 5 19 2" xfId="23153"/>
    <cellStyle name="汇总 2 9 3 6 3 2" xfId="23154"/>
    <cellStyle name="输入 2 5 25" xfId="23155"/>
    <cellStyle name="汇总 2 9 3 6 4" xfId="23156"/>
    <cellStyle name="汇总 2 9 3 7" xfId="23157"/>
    <cellStyle name="注释 2 6 8 5 6" xfId="23158"/>
    <cellStyle name="汇总 2 9 3 7 2" xfId="23159"/>
    <cellStyle name="汇总 2 9 5 6 3" xfId="23160"/>
    <cellStyle name="汇总 2 9 3 7 2 2" xfId="23161"/>
    <cellStyle name="输出 2 7 2 6 5" xfId="23162"/>
    <cellStyle name="汇总 2 9 5 7 3" xfId="23163"/>
    <cellStyle name="汇总 2 9 3 7 3 2" xfId="23164"/>
    <cellStyle name="输出 2 7 2 7 5" xfId="23165"/>
    <cellStyle name="汇总 2 9 3 7 4" xfId="23166"/>
    <cellStyle name="汇总 2 9 3 8" xfId="23167"/>
    <cellStyle name="计算 2 9 8 7 4 2" xfId="23168"/>
    <cellStyle name="汇总 2 9 3 9" xfId="23169"/>
    <cellStyle name="汇总 2 9 4 10" xfId="23170"/>
    <cellStyle name="输出 2 11 4 5" xfId="23171"/>
    <cellStyle name="汇总 2 9 4 10 2" xfId="23172"/>
    <cellStyle name="输出 2 11 4 5 2" xfId="23173"/>
    <cellStyle name="汇总 2 9 4 2" xfId="23174"/>
    <cellStyle name="输出 2 11 11" xfId="23175"/>
    <cellStyle name="汇总 2 9 4 2 2" xfId="23176"/>
    <cellStyle name="输出 2 11 11 2" xfId="23177"/>
    <cellStyle name="汇总 2 9 4 2 2 2" xfId="23178"/>
    <cellStyle name="输出 2 11 11 2 2" xfId="23179"/>
    <cellStyle name="汇总 2 9 4 2 3" xfId="23180"/>
    <cellStyle name="输出 2 11 11 3" xfId="23181"/>
    <cellStyle name="汇总 2 9 4 2 3 2" xfId="23182"/>
    <cellStyle name="输出 2 11 11 3 2" xfId="23183"/>
    <cellStyle name="汇总 2 9 4 2 4" xfId="23184"/>
    <cellStyle name="输出 2 11 11 4" xfId="23185"/>
    <cellStyle name="汇总 2 9 4 2 4 2" xfId="23186"/>
    <cellStyle name="输出 2 11 11 4 2" xfId="23187"/>
    <cellStyle name="汇总 2 9 4 2 5" xfId="23188"/>
    <cellStyle name="输出 2 11 11 5" xfId="23189"/>
    <cellStyle name="汇总 2 9 4 2 5 2" xfId="23190"/>
    <cellStyle name="输出 2 11 11 5 2" xfId="23191"/>
    <cellStyle name="汇总 2 9 4 2 7" xfId="23192"/>
    <cellStyle name="输出 2 11 11 7" xfId="23193"/>
    <cellStyle name="汇总 2 9 4 3" xfId="23194"/>
    <cellStyle name="输出 2 11 12" xfId="23195"/>
    <cellStyle name="汇总 2 9 4 3 2" xfId="23196"/>
    <cellStyle name="输出 2 11 12 2" xfId="23197"/>
    <cellStyle name="汇总 2 9 4 3 2 2" xfId="23198"/>
    <cellStyle name="输出 2 11 12 2 2" xfId="23199"/>
    <cellStyle name="汇总 2 9 4 3 3" xfId="23200"/>
    <cellStyle name="输出 2 11 12 3" xfId="23201"/>
    <cellStyle name="汇总 2 9 4 3 3 2" xfId="23202"/>
    <cellStyle name="输出 2 11 12 3 2" xfId="23203"/>
    <cellStyle name="汇总 2 9 4 3 4" xfId="23204"/>
    <cellStyle name="输出 2 11 12 4" xfId="23205"/>
    <cellStyle name="汇总 2 9 4 3 4 2" xfId="23206"/>
    <cellStyle name="输出 2 11 12 4 2" xfId="23207"/>
    <cellStyle name="汇总 2 9 4 3 5" xfId="23208"/>
    <cellStyle name="输出 2 11 12 5" xfId="23209"/>
    <cellStyle name="汇总 2 9 4 3 5 2" xfId="23210"/>
    <cellStyle name="输出 2 11 12 5 2" xfId="23211"/>
    <cellStyle name="计算 2 13 6 3 2" xfId="23212"/>
    <cellStyle name="注释 2 11 3 2 2" xfId="23213"/>
    <cellStyle name="汇总 2 9 4 4" xfId="23214"/>
    <cellStyle name="输出 2 11 13" xfId="23215"/>
    <cellStyle name="注释 2 6 9 2 6" xfId="23216"/>
    <cellStyle name="注释 2 11 3 2 2 2" xfId="23217"/>
    <cellStyle name="汇总 2 9 4 4 2" xfId="23218"/>
    <cellStyle name="输出 2 11 13 2" xfId="23219"/>
    <cellStyle name="检查单元格 2 3 3 13" xfId="23220"/>
    <cellStyle name="汇总 2 9 4 4 2 2" xfId="23221"/>
    <cellStyle name="输出 2 11 13 2 2" xfId="23222"/>
    <cellStyle name="注释 2 6 9 2 7" xfId="23223"/>
    <cellStyle name="汇总 2 9 4 4 3" xfId="23224"/>
    <cellStyle name="输出 2 11 13 3" xfId="23225"/>
    <cellStyle name="汇总 2 9 4 4 3 2" xfId="23226"/>
    <cellStyle name="输出 2 11 13 3 2" xfId="23227"/>
    <cellStyle name="注释 2 6 9 2 8" xfId="23228"/>
    <cellStyle name="汇总 2 9 4 4 4" xfId="23229"/>
    <cellStyle name="输出 2 11 13 4" xfId="23230"/>
    <cellStyle name="汇总 2 9 4 4 4 2" xfId="23231"/>
    <cellStyle name="输出 2 11 13 4 2" xfId="23232"/>
    <cellStyle name="计算 2 11 10 10" xfId="23233"/>
    <cellStyle name="注释 2 11 3 2 3" xfId="23234"/>
    <cellStyle name="汇总 2 9 4 5" xfId="23235"/>
    <cellStyle name="输出 2 11 14" xfId="23236"/>
    <cellStyle name="计算 2 11 10 10 2" xfId="23237"/>
    <cellStyle name="注释 2 6 9 3 6" xfId="23238"/>
    <cellStyle name="注释 2 11 3 2 3 2" xfId="23239"/>
    <cellStyle name="汇总 2 9 4 5 2" xfId="23240"/>
    <cellStyle name="输出 2 11 14 2" xfId="23241"/>
    <cellStyle name="汇总 2 9 4 5 2 2" xfId="23242"/>
    <cellStyle name="输出 2 11 14 2 2" xfId="23243"/>
    <cellStyle name="汇总 2 9 4 5 3" xfId="23244"/>
    <cellStyle name="输出 2 11 14 3" xfId="23245"/>
    <cellStyle name="汇总 2 9 4 5 3 2" xfId="23246"/>
    <cellStyle name="输出 2 11 14 3 2" xfId="23247"/>
    <cellStyle name="汇总 2 9 4 5 4" xfId="23248"/>
    <cellStyle name="输出 2 11 14 4" xfId="23249"/>
    <cellStyle name="汇总 2 9 4 5 4 2" xfId="23250"/>
    <cellStyle name="输出 2 11 14 4 2" xfId="23251"/>
    <cellStyle name="汇总 2 9 4 5 5 2" xfId="23252"/>
    <cellStyle name="输出 2 11 14 5 2" xfId="23253"/>
    <cellStyle name="计算 2 7 2 4 3 2" xfId="23254"/>
    <cellStyle name="汇总 2 9 4 5 6" xfId="23255"/>
    <cellStyle name="输出 2 11 14 6" xfId="23256"/>
    <cellStyle name="输出 2 5 6 5 3 2" xfId="23257"/>
    <cellStyle name="输入 2 4 9 5 3" xfId="23258"/>
    <cellStyle name="计算 2 11 4 6 3 2" xfId="23259"/>
    <cellStyle name="注释 2 11 3 2 4" xfId="23260"/>
    <cellStyle name="汇总 2 9 4 6" xfId="23261"/>
    <cellStyle name="输出 2 11 15" xfId="23262"/>
    <cellStyle name="输出 2 11 20" xfId="23263"/>
    <cellStyle name="输入 2 2 7 8 2 2" xfId="23264"/>
    <cellStyle name="计算 2 11 10 11" xfId="23265"/>
    <cellStyle name="计算 2 6 7 6 2" xfId="23266"/>
    <cellStyle name="计算 2 11 10 11 2" xfId="23267"/>
    <cellStyle name="计算 2 6 7 6 2 2" xfId="23268"/>
    <cellStyle name="注释 2 6 9 4 6" xfId="23269"/>
    <cellStyle name="注释 2 11 3 2 4 2" xfId="23270"/>
    <cellStyle name="汇总 2 9 4 6 2" xfId="23271"/>
    <cellStyle name="输出 2 11 15 2" xfId="23272"/>
    <cellStyle name="输出 2 11 20 2" xfId="23273"/>
    <cellStyle name="输入 2 4 10" xfId="23274"/>
    <cellStyle name="汇总 2 9 4 6 2 2" xfId="23275"/>
    <cellStyle name="输出 2 11 15 2 2" xfId="23276"/>
    <cellStyle name="汇总 2 9 4 6 3 2" xfId="23277"/>
    <cellStyle name="输出 2 11 15 3 2" xfId="23278"/>
    <cellStyle name="汇总 2 9 4 6 4" xfId="23279"/>
    <cellStyle name="输出 2 11 15 4" xfId="23280"/>
    <cellStyle name="汇总 2 9 4 6 4 2" xfId="23281"/>
    <cellStyle name="输出 2 11 15 4 2" xfId="23282"/>
    <cellStyle name="汇总 2 9 4 6 5 2" xfId="23283"/>
    <cellStyle name="输出 2 11 15 5 2" xfId="23284"/>
    <cellStyle name="计算 2 11 10 12" xfId="23285"/>
    <cellStyle name="计算 2 6 7 6 3" xfId="23286"/>
    <cellStyle name="注释 2 11 3 2 5" xfId="23287"/>
    <cellStyle name="汇总 2 9 4 7" xfId="23288"/>
    <cellStyle name="输出 2 11 16" xfId="23289"/>
    <cellStyle name="输出 2 11 21" xfId="23290"/>
    <cellStyle name="计算 2 11 10 12 2" xfId="23291"/>
    <cellStyle name="计算 2 6 7 6 3 2" xfId="23292"/>
    <cellStyle name="注释 2 6 9 5 6" xfId="23293"/>
    <cellStyle name="注释 2 11 3 2 5 2" xfId="23294"/>
    <cellStyle name="汇总 2 9 4 7 2" xfId="23295"/>
    <cellStyle name="输出 2 11 16 2" xfId="23296"/>
    <cellStyle name="输出 2 11 21 2" xfId="23297"/>
    <cellStyle name="输入 2 9 10" xfId="23298"/>
    <cellStyle name="输出 2 8 2 6 5" xfId="23299"/>
    <cellStyle name="汇总 2 9 4 7 2 2" xfId="23300"/>
    <cellStyle name="输出 2 11 16 2 2" xfId="23301"/>
    <cellStyle name="输出 2 8 2 7 5" xfId="23302"/>
    <cellStyle name="汇总 2 9 4 7 3 2" xfId="23303"/>
    <cellStyle name="输出 2 11 16 3 2" xfId="23304"/>
    <cellStyle name="汇总 2 9 4 7 4" xfId="23305"/>
    <cellStyle name="输出 2 11 16 4" xfId="23306"/>
    <cellStyle name="输出 2 8 2 8 5" xfId="23307"/>
    <cellStyle name="汇总 2 9 4 7 4 2" xfId="23308"/>
    <cellStyle name="输出 2 11 16 4 2" xfId="23309"/>
    <cellStyle name="汇总 2 9 4 7 5 2" xfId="23310"/>
    <cellStyle name="输出 2 11 16 5 2" xfId="23311"/>
    <cellStyle name="输出 2 8 3 7 5" xfId="23312"/>
    <cellStyle name="汇总 2 9 4 8 3 2" xfId="23313"/>
    <cellStyle name="输出 2 11 17 3 2" xfId="23314"/>
    <cellStyle name="计算 2 11 10 14" xfId="23315"/>
    <cellStyle name="计算 2 6 7 6 5" xfId="23316"/>
    <cellStyle name="注释 2 11 3 2 7" xfId="23317"/>
    <cellStyle name="汇总 2 9 4 9" xfId="23318"/>
    <cellStyle name="输出 2 11 18" xfId="23319"/>
    <cellStyle name="输出 2 11 23" xfId="23320"/>
    <cellStyle name="计算 2 2 3 5 4 2" xfId="23321"/>
    <cellStyle name="计算 2 10 9 8 2" xfId="23322"/>
    <cellStyle name="汇总 2 9 5" xfId="23323"/>
    <cellStyle name="汇总 2 9 5 10" xfId="23324"/>
    <cellStyle name="输出 2 11 9 5" xfId="23325"/>
    <cellStyle name="计算 2 12 4 7 5" xfId="23326"/>
    <cellStyle name="汇总 2 9 5 10 2" xfId="23327"/>
    <cellStyle name="输出 2 11 9 5 2" xfId="23328"/>
    <cellStyle name="汇总 2 9 5 11" xfId="23329"/>
    <cellStyle name="输出 2 11 9 6" xfId="23330"/>
    <cellStyle name="计算 2 12 4 8 5" xfId="23331"/>
    <cellStyle name="汇总 2 9 5 11 2" xfId="23332"/>
    <cellStyle name="输出 2 11 9 6 2" xfId="23333"/>
    <cellStyle name="汇总 2 9 5 12" xfId="23334"/>
    <cellStyle name="输出 2 11 9 7" xfId="23335"/>
    <cellStyle name="汇总 2 9 5 12 2" xfId="23336"/>
    <cellStyle name="输出 2 11 9 7 2" xfId="23337"/>
    <cellStyle name="计算 2 2 2 8 3 2" xfId="23338"/>
    <cellStyle name="汇总 2 9 5 14" xfId="23339"/>
    <cellStyle name="输出 2 11 9 9" xfId="23340"/>
    <cellStyle name="计算 2 10 9 8 2 2" xfId="23341"/>
    <cellStyle name="汇总 2 9 5 2" xfId="23342"/>
    <cellStyle name="汇总 2 9 5 2 2" xfId="23343"/>
    <cellStyle name="计算 2 7 10 7 5" xfId="23344"/>
    <cellStyle name="汇总 2 9 5 2 2 2" xfId="23345"/>
    <cellStyle name="计算 2 7 10 7 5 2" xfId="23346"/>
    <cellStyle name="汇总 2 9 5 2 3" xfId="23347"/>
    <cellStyle name="计算 2 7 10 7 6" xfId="23348"/>
    <cellStyle name="汇总 2 9 5 2 3 2" xfId="23349"/>
    <cellStyle name="汇总 2 9 5 2 4" xfId="23350"/>
    <cellStyle name="汇总 2 9 5 2 4 2" xfId="23351"/>
    <cellStyle name="汇总 2 9 5 2 5" xfId="23352"/>
    <cellStyle name="汇总 2 9 5 2 5 2" xfId="23353"/>
    <cellStyle name="汇总 2 9 5 2 7" xfId="23354"/>
    <cellStyle name="汇总 2 9 5 3" xfId="23355"/>
    <cellStyle name="汇总 2 9 5 3 2" xfId="23356"/>
    <cellStyle name="计算 2 7 10 8 5" xfId="23357"/>
    <cellStyle name="汇总 2 9 5 3 2 2" xfId="23358"/>
    <cellStyle name="计算 2 8 10 2 8" xfId="23359"/>
    <cellStyle name="汇总 2 9 5 3 3" xfId="23360"/>
    <cellStyle name="汇总 2 9 5 3 3 2" xfId="23361"/>
    <cellStyle name="汇总 2 9 5 3 4" xfId="23362"/>
    <cellStyle name="汇总 2 9 5 3 4 2" xfId="23363"/>
    <cellStyle name="汇总 2 9 5 3 5" xfId="23364"/>
    <cellStyle name="计算 2 13 6 4 2" xfId="23365"/>
    <cellStyle name="注释 2 11 3 3 2" xfId="23366"/>
    <cellStyle name="汇总 2 9 5 4" xfId="23367"/>
    <cellStyle name="注释 2 11 3 3 2 2" xfId="23368"/>
    <cellStyle name="汇总 2 9 5 4 2" xfId="23369"/>
    <cellStyle name="汇总 2 9 5 4 2 2" xfId="23370"/>
    <cellStyle name="检查单元格 2 8 3 13" xfId="23371"/>
    <cellStyle name="汇总 2 9 5 4 3" xfId="23372"/>
    <cellStyle name="汇总 2 9 5 4 3 2" xfId="23373"/>
    <cellStyle name="计算 2 5 5 12" xfId="23374"/>
    <cellStyle name="汇总 2 9 5 4 4" xfId="23375"/>
    <cellStyle name="汇总 2 9 5 4 4 2" xfId="23376"/>
    <cellStyle name="汇总 2 9 5 4 5 2" xfId="23377"/>
    <cellStyle name="注释 2 11 3 3 3" xfId="23378"/>
    <cellStyle name="汇总 2 9 5 5" xfId="23379"/>
    <cellStyle name="注释 2 11 3 3 3 2" xfId="23380"/>
    <cellStyle name="汇总 2 9 5 5 2" xfId="23381"/>
    <cellStyle name="输入 2 10 2 11" xfId="23382"/>
    <cellStyle name="汇总 2 9 5 5 2 2" xfId="23383"/>
    <cellStyle name="计算 2 10 2 10" xfId="23384"/>
    <cellStyle name="汇总 2 9 5 5 3" xfId="23385"/>
    <cellStyle name="计算 2 10 2 10 2" xfId="23386"/>
    <cellStyle name="汇总 2 9 5 5 3 2" xfId="23387"/>
    <cellStyle name="计算 2 10 2 11" xfId="23388"/>
    <cellStyle name="汇总 2 9 5 5 4" xfId="23389"/>
    <cellStyle name="计算 2 10 2 11 2" xfId="23390"/>
    <cellStyle name="汇总 2 9 5 5 4 2" xfId="23391"/>
    <cellStyle name="计算 2 10 2 12 2" xfId="23392"/>
    <cellStyle name="汇总 2 9 5 5 5 2" xfId="23393"/>
    <cellStyle name="输入 2 5 4 4 4 2" xfId="23394"/>
    <cellStyle name="计算 2 2 8 12 2" xfId="23395"/>
    <cellStyle name="计算 2 7 2 5 3 2" xfId="23396"/>
    <cellStyle name="计算 2 10 2 13" xfId="23397"/>
    <cellStyle name="汇总 2 9 5 5 6" xfId="23398"/>
    <cellStyle name="输出 2 5 6 6 3 2" xfId="23399"/>
    <cellStyle name="输入 2 4 9 6 3" xfId="23400"/>
    <cellStyle name="计算 2 11 4 6 4 2" xfId="23401"/>
    <cellStyle name="注释 2 11 3 3 4" xfId="23402"/>
    <cellStyle name="汇总 2 9 5 6" xfId="23403"/>
    <cellStyle name="注释 2 11 3 3 4 2" xfId="23404"/>
    <cellStyle name="汇总 2 9 5 6 2" xfId="23405"/>
    <cellStyle name="输入 2 10 7 11" xfId="23406"/>
    <cellStyle name="汇总 2 9 5 6 2 2" xfId="23407"/>
    <cellStyle name="汇总 2 9 5 6 3 2" xfId="23408"/>
    <cellStyle name="汇总 2 9 5 6 4" xfId="23409"/>
    <cellStyle name="汇总 2 9 5 6 4 2" xfId="23410"/>
    <cellStyle name="汇总 2 9 5 6 5 2" xfId="23411"/>
    <cellStyle name="注释 2 11 3 3 5" xfId="23412"/>
    <cellStyle name="汇总 2 9 5 7" xfId="23413"/>
    <cellStyle name="注释 2 11 3 3 5 2" xfId="23414"/>
    <cellStyle name="汇总 2 9 5 7 2" xfId="23415"/>
    <cellStyle name="输出 2 9 2 6 5" xfId="23416"/>
    <cellStyle name="汇总 2 9 5 7 2 2" xfId="23417"/>
    <cellStyle name="输出 2 9 2 7 5" xfId="23418"/>
    <cellStyle name="汇总 2 9 5 7 3 2" xfId="23419"/>
    <cellStyle name="汇总 2 9 5 7 4" xfId="23420"/>
    <cellStyle name="输出 2 9 2 8 5" xfId="23421"/>
    <cellStyle name="汇总 2 9 5 7 4 2" xfId="23422"/>
    <cellStyle name="输出 2 2 10 2 3" xfId="23423"/>
    <cellStyle name="汇总 2 9 5 7 5 2" xfId="23424"/>
    <cellStyle name="输出 2 2 10 3 3" xfId="23425"/>
    <cellStyle name="输出 2 9 3 7 5" xfId="23426"/>
    <cellStyle name="汇总 2 9 5 8 3 2" xfId="23427"/>
    <cellStyle name="汇总 2 9 5 9" xfId="23428"/>
    <cellStyle name="计算 2 10 9 8 3" xfId="23429"/>
    <cellStyle name="汇总 2 9 6" xfId="23430"/>
    <cellStyle name="汇总 2 9 6 10" xfId="23431"/>
    <cellStyle name="计算 2 12 9 7 5" xfId="23432"/>
    <cellStyle name="汇总 2 9 6 10 2" xfId="23433"/>
    <cellStyle name="汇总 2 9 6 11" xfId="23434"/>
    <cellStyle name="计算 2 12 9 8 5" xfId="23435"/>
    <cellStyle name="汇总 2 9 6 11 2" xfId="23436"/>
    <cellStyle name="计算 2 4 16 3 2" xfId="23437"/>
    <cellStyle name="注释 2 3 4 5 2" xfId="23438"/>
    <cellStyle name="注释 2 11 3 12 2" xfId="23439"/>
    <cellStyle name="汇总 2 9 6 12" xfId="23440"/>
    <cellStyle name="注释 2 3 4 5 2 2" xfId="23441"/>
    <cellStyle name="汇总 2 9 6 12 2" xfId="23442"/>
    <cellStyle name="注释 2 3 4 5 3" xfId="23443"/>
    <cellStyle name="汇总 2 9 6 13" xfId="23444"/>
    <cellStyle name="注释 2 3 4 5 4" xfId="23445"/>
    <cellStyle name="注释 2 12 4 6 5 2" xfId="23446"/>
    <cellStyle name="汇总 2 9 6 14" xfId="23447"/>
    <cellStyle name="注释 2 3 4 5 5" xfId="23448"/>
    <cellStyle name="汇总 2 9 6 15" xfId="23449"/>
    <cellStyle name="注释 2 3 4 5 6" xfId="23450"/>
    <cellStyle name="汇总 2 9 6 16" xfId="23451"/>
    <cellStyle name="计算 2 8 14 5 2" xfId="23452"/>
    <cellStyle name="计算 2 10 9 8 3 2" xfId="23453"/>
    <cellStyle name="注释 2 3 4 15" xfId="23454"/>
    <cellStyle name="汇总 2 9 6 2" xfId="23455"/>
    <cellStyle name="汇总 2 9 6 2 2" xfId="23456"/>
    <cellStyle name="计算 2 7 11 7 5" xfId="23457"/>
    <cellStyle name="汇总 2 9 6 2 2 2" xfId="23458"/>
    <cellStyle name="计算 2 7 11 7 5 2" xfId="23459"/>
    <cellStyle name="汇总 2 9 8 10 2" xfId="23460"/>
    <cellStyle name="汇总 2 9 6 2 3" xfId="23461"/>
    <cellStyle name="计算 2 7 11 7 6" xfId="23462"/>
    <cellStyle name="汇总 2 9 6 2 3 2" xfId="23463"/>
    <cellStyle name="汇总 2 9 6 2 4" xfId="23464"/>
    <cellStyle name="汇总 2 9 6 2 4 2" xfId="23465"/>
    <cellStyle name="汇总 2 9 6 2 5" xfId="23466"/>
    <cellStyle name="注释 2 5 2 5" xfId="23467"/>
    <cellStyle name="汇总 2 9 6 2 5 2" xfId="23468"/>
    <cellStyle name="汇总 2 9 6 2 7" xfId="23469"/>
    <cellStyle name="汇总 2 9 6 3 2" xfId="23470"/>
    <cellStyle name="计算 2 7 11 8 5" xfId="23471"/>
    <cellStyle name="汇总 2 9 6 3 2 2" xfId="23472"/>
    <cellStyle name="计算 2 13 6 5 2" xfId="23473"/>
    <cellStyle name="注释 2 11 3 4 2" xfId="23474"/>
    <cellStyle name="汇总 2 9 6 4" xfId="23475"/>
    <cellStyle name="注释 2 11 3 4 2 2" xfId="23476"/>
    <cellStyle name="汇总 2 9 6 4 2" xfId="23477"/>
    <cellStyle name="注释 2 11 3 4 3" xfId="23478"/>
    <cellStyle name="汇总 2 9 6 5" xfId="23479"/>
    <cellStyle name="注释 2 11 3 4 3 2" xfId="23480"/>
    <cellStyle name="汇总 2 9 6 5 2" xfId="23481"/>
    <cellStyle name="输入 2 11 12 3 2" xfId="23482"/>
    <cellStyle name="计算 2 5 11 3" xfId="23483"/>
    <cellStyle name="注释 2 12 2 12" xfId="23484"/>
    <cellStyle name="汇总 2 9 6 5 2 2" xfId="23485"/>
    <cellStyle name="输入 2 4 9 7 3" xfId="23486"/>
    <cellStyle name="计算 2 11 4 6 5 2" xfId="23487"/>
    <cellStyle name="注释 2 11 3 4 4" xfId="23488"/>
    <cellStyle name="汇总 2 9 6 6" xfId="23489"/>
    <cellStyle name="输出 2 10 9 4 2 2" xfId="23490"/>
    <cellStyle name="注释 2 11 3 4 4 2" xfId="23491"/>
    <cellStyle name="汇总 2 9 6 6 2" xfId="23492"/>
    <cellStyle name="注释 2 12 7 12" xfId="23493"/>
    <cellStyle name="汇总 2 9 6 6 2 2" xfId="23494"/>
    <cellStyle name="注释 2 11 3 4 5" xfId="23495"/>
    <cellStyle name="汇总 2 9 6 7" xfId="23496"/>
    <cellStyle name="注释 2 11 3 4 5 2" xfId="23497"/>
    <cellStyle name="汇总 2 9 6 7 2" xfId="23498"/>
    <cellStyle name="汇总 2 9 6 9" xfId="23499"/>
    <cellStyle name="计算 2 3 10 6 5" xfId="23500"/>
    <cellStyle name="汇总 2 9 7 10" xfId="23501"/>
    <cellStyle name="计算 2 3 10 6 5 2" xfId="23502"/>
    <cellStyle name="汇总 2 9 7 10 2" xfId="23503"/>
    <cellStyle name="汇总 2 9 7 11 2" xfId="23504"/>
    <cellStyle name="注释 2 8 2 4 3 2" xfId="23505"/>
    <cellStyle name="汇总 2 9 7 12" xfId="23506"/>
    <cellStyle name="注释 2 6 6 2 7" xfId="23507"/>
    <cellStyle name="汇总 2 9 7 12 2" xfId="23508"/>
    <cellStyle name="汇总 2 9 7 13" xfId="23509"/>
    <cellStyle name="计算 2 10 9 8 4 2" xfId="23510"/>
    <cellStyle name="汇总 2 9 7 2" xfId="23511"/>
    <cellStyle name="汇总 2 9 7 2 2" xfId="23512"/>
    <cellStyle name="汇总 2 9 7 2 2 2" xfId="23513"/>
    <cellStyle name="汇总 2 9 7 2 3 2" xfId="23514"/>
    <cellStyle name="汇总 2 9 7 2 4 2" xfId="23515"/>
    <cellStyle name="汇总 2 9 7 2 5" xfId="23516"/>
    <cellStyle name="汇总 2 9 7 2 7" xfId="23517"/>
    <cellStyle name="汇总 2 9 7 3 2" xfId="23518"/>
    <cellStyle name="汇总 2 9 7 3 2 2" xfId="23519"/>
    <cellStyle name="计算 2 2 6 2 2 2" xfId="23520"/>
    <cellStyle name="注释 2 11 3 5 2" xfId="23521"/>
    <cellStyle name="汇总 2 9 7 4" xfId="23522"/>
    <cellStyle name="注释 2 11 3 5 2 2" xfId="23523"/>
    <cellStyle name="输入 2 7 2 2 5" xfId="23524"/>
    <cellStyle name="汇总 2 9 7 4 2" xfId="23525"/>
    <cellStyle name="输入 2 7 2 2 5 2" xfId="23526"/>
    <cellStyle name="汇总 2 9 7 4 2 2" xfId="23527"/>
    <cellStyle name="注释 2 11 3 5 3 2" xfId="23528"/>
    <cellStyle name="输入 2 7 2 3 5" xfId="23529"/>
    <cellStyle name="汇总 2 9 7 5 2" xfId="23530"/>
    <cellStyle name="注释 2 11 3 5 4" xfId="23531"/>
    <cellStyle name="汇总 2 9 7 6" xfId="23532"/>
    <cellStyle name="输出 2 10 9 4 3 2" xfId="23533"/>
    <cellStyle name="注释 2 11 3 5 4 2" xfId="23534"/>
    <cellStyle name="输入 2 7 2 4 5" xfId="23535"/>
    <cellStyle name="汇总 2 9 7 6 2" xfId="23536"/>
    <cellStyle name="输入 2 7 2 4 5 2" xfId="23537"/>
    <cellStyle name="汇总 2 9 7 6 2 2" xfId="23538"/>
    <cellStyle name="注释 2 11 3 5 5 2" xfId="23539"/>
    <cellStyle name="输入 2 7 2 5 5" xfId="23540"/>
    <cellStyle name="汇总 2 9 7 7 2" xfId="23541"/>
    <cellStyle name="输入 2 7 2 5 5 2" xfId="23542"/>
    <cellStyle name="汇总 2 9 7 7 2 2" xfId="23543"/>
    <cellStyle name="汇总 2 9 7 9" xfId="23544"/>
    <cellStyle name="计算 2 10 9 8 5" xfId="23545"/>
    <cellStyle name="汇总 2 9 8" xfId="23546"/>
    <cellStyle name="注释 2 6 8 6 2" xfId="23547"/>
    <cellStyle name="计算 2 4 11 4 4 2" xfId="23548"/>
    <cellStyle name="检查单元格 2 2 3 5 3 2" xfId="23549"/>
    <cellStyle name="注释 2 10 8 3 4 2" xfId="23550"/>
    <cellStyle name="汇总 2 9 8 10" xfId="23551"/>
    <cellStyle name="汇总 2 9 8 2" xfId="23552"/>
    <cellStyle name="汇总 2 9 8 2 2" xfId="23553"/>
    <cellStyle name="计算 2 8 5 4" xfId="23554"/>
    <cellStyle name="汇总 2 9 8 2 2 2" xfId="23555"/>
    <cellStyle name="输出 2 6 9 5" xfId="23556"/>
    <cellStyle name="汇总 2 9 8 2 3" xfId="23557"/>
    <cellStyle name="汇总 2 9 8 2 3 2" xfId="23558"/>
    <cellStyle name="计算 2 8 6 4" xfId="23559"/>
    <cellStyle name="汇总 2 9 8 2 4" xfId="23560"/>
    <cellStyle name="计算 2 4 2 10" xfId="23561"/>
    <cellStyle name="输出 2 2 6 15" xfId="23562"/>
    <cellStyle name="汇总 2 9 8 2 4 2" xfId="23563"/>
    <cellStyle name="计算 2 8 7 4" xfId="23564"/>
    <cellStyle name="汇总 2 9 8 2 5" xfId="23565"/>
    <cellStyle name="汇总 2 9 8 2 5 2" xfId="23566"/>
    <cellStyle name="计算 2 8 8 4" xfId="23567"/>
    <cellStyle name="汇总 2 9 8 2 7" xfId="23568"/>
    <cellStyle name="汇总 2 9 8 3 2" xfId="23569"/>
    <cellStyle name="输出 2 7 9 5" xfId="23570"/>
    <cellStyle name="汇总 2 9 8 3 2 2" xfId="23571"/>
    <cellStyle name="计算 2 9 5 4" xfId="23572"/>
    <cellStyle name="计算 2 2 6 2 3 2" xfId="23573"/>
    <cellStyle name="注释 2 11 3 6 2" xfId="23574"/>
    <cellStyle name="汇总 2 9 8 4" xfId="23575"/>
    <cellStyle name="输入 2 7 3 2 5 2" xfId="23576"/>
    <cellStyle name="输出 2 8 9 5" xfId="23577"/>
    <cellStyle name="汇总 2 9 8 4 2 2" xfId="23578"/>
    <cellStyle name="检查单元格 2 2 11 2" xfId="23579"/>
    <cellStyle name="注释 2 11 3 6 3 2" xfId="23580"/>
    <cellStyle name="输入 2 7 3 3 5" xfId="23581"/>
    <cellStyle name="汇总 2 9 8 5 2" xfId="23582"/>
    <cellStyle name="输入 2 7 3 3 5 2" xfId="23583"/>
    <cellStyle name="输出 2 9 9 5" xfId="23584"/>
    <cellStyle name="汇总 2 9 8 5 2 2" xfId="23585"/>
    <cellStyle name="注释 2 11 3 6 4" xfId="23586"/>
    <cellStyle name="汇总 2 9 8 6" xfId="23587"/>
    <cellStyle name="输出 2 10 9 4 4 2" xfId="23588"/>
    <cellStyle name="注释 2 11 3 6 4 2" xfId="23589"/>
    <cellStyle name="输入 2 7 3 4 5" xfId="23590"/>
    <cellStyle name="汇总 2 9 8 6 2" xfId="23591"/>
    <cellStyle name="注释 2 11 3 6 5 2" xfId="23592"/>
    <cellStyle name="输入 2 7 3 5 5" xfId="23593"/>
    <cellStyle name="汇总 2 9 8 7 2" xfId="23594"/>
    <cellStyle name="注释 2 11 3 6 6" xfId="23595"/>
    <cellStyle name="汇总 2 9 8 8" xfId="23596"/>
    <cellStyle name="汇总 2 9 8 9" xfId="23597"/>
    <cellStyle name="汇总 2 9 9 2 2" xfId="23598"/>
    <cellStyle name="输出 2 12 11 2" xfId="23599"/>
    <cellStyle name="汇总 2 9 9 2 2 2" xfId="23600"/>
    <cellStyle name="输出 2 12 11 2 2" xfId="23601"/>
    <cellStyle name="汇总 2 9 9 2 3" xfId="23602"/>
    <cellStyle name="输出 2 12 11 3" xfId="23603"/>
    <cellStyle name="输出 2 12 2 5 2" xfId="23604"/>
    <cellStyle name="汇总 2 9 9 2 3 2" xfId="23605"/>
    <cellStyle name="输出 2 12 11 3 2" xfId="23606"/>
    <cellStyle name="输出 2 12 2 5 2 2" xfId="23607"/>
    <cellStyle name="汇总 2 9 9 2 4" xfId="23608"/>
    <cellStyle name="输出 2 12 11 4" xfId="23609"/>
    <cellStyle name="输出 2 12 2 5 3" xfId="23610"/>
    <cellStyle name="汇总 2 9 9 2 4 2" xfId="23611"/>
    <cellStyle name="输出 2 12 11 4 2" xfId="23612"/>
    <cellStyle name="输出 2 12 2 5 3 2" xfId="23613"/>
    <cellStyle name="汇总 2 9 9 2 5" xfId="23614"/>
    <cellStyle name="输出 2 12 11 5" xfId="23615"/>
    <cellStyle name="输出 2 12 2 5 4" xfId="23616"/>
    <cellStyle name="汇总 2 9 9 2 5 2" xfId="23617"/>
    <cellStyle name="输出 2 12 11 5 2" xfId="23618"/>
    <cellStyle name="输出 2 12 2 5 4 2" xfId="23619"/>
    <cellStyle name="汇总 2 9 9 2 7" xfId="23620"/>
    <cellStyle name="输出 2 12 2 5 6" xfId="23621"/>
    <cellStyle name="计算 2 2 6 2 4 2" xfId="23622"/>
    <cellStyle name="注释 2 11 3 7 2" xfId="23623"/>
    <cellStyle name="汇总 2 9 9 4" xfId="23624"/>
    <cellStyle name="输出 2 12 13" xfId="23625"/>
    <cellStyle name="检查单元格 2 7 11 2" xfId="23626"/>
    <cellStyle name="输入 2 7 4 2 5 2" xfId="23627"/>
    <cellStyle name="汇总 2 9 9 4 2 2" xfId="23628"/>
    <cellStyle name="输出 2 12 13 2 2" xfId="23629"/>
    <cellStyle name="计算 2 11 11 10 2" xfId="23630"/>
    <cellStyle name="计算 2 9 2 4 4" xfId="23631"/>
    <cellStyle name="注释 2 11 3 7 3 2" xfId="23632"/>
    <cellStyle name="输入 2 7 4 3 5" xfId="23633"/>
    <cellStyle name="汇总 2 9 9 5 2" xfId="23634"/>
    <cellStyle name="输出 2 12 14 2" xfId="23635"/>
    <cellStyle name="输入 2 7 4 3 5 2" xfId="23636"/>
    <cellStyle name="汇总 2 9 9 5 2 2" xfId="23637"/>
    <cellStyle name="输出 2 12 14 2 2" xfId="23638"/>
    <cellStyle name="计算 2 11 11 11" xfId="23639"/>
    <cellStyle name="注释 2 11 3 7 4" xfId="23640"/>
    <cellStyle name="汇总 2 9 9 6" xfId="23641"/>
    <cellStyle name="输出 2 10 9 4 5 2" xfId="23642"/>
    <cellStyle name="输出 2 12 15" xfId="23643"/>
    <cellStyle name="输出 2 12 20" xfId="23644"/>
    <cellStyle name="计算 2 11 11 11 2" xfId="23645"/>
    <cellStyle name="计算 2 9 2 5 4" xfId="23646"/>
    <cellStyle name="注释 2 11 3 7 4 2" xfId="23647"/>
    <cellStyle name="输入 2 7 4 4 5" xfId="23648"/>
    <cellStyle name="汇总 2 9 9 6 2" xfId="23649"/>
    <cellStyle name="输出 2 12 15 2" xfId="23650"/>
    <cellStyle name="输出 2 12 20 2" xfId="23651"/>
    <cellStyle name="输入 2 7 4 4 5 2" xfId="23652"/>
    <cellStyle name="汇总 2 9 9 6 2 2" xfId="23653"/>
    <cellStyle name="输出 2 12 15 2 2" xfId="23654"/>
    <cellStyle name="计算 2 11 11 12 2" xfId="23655"/>
    <cellStyle name="计算 2 9 2 6 4" xfId="23656"/>
    <cellStyle name="输出 2 4 11 6 2 2" xfId="23657"/>
    <cellStyle name="注释 2 11 3 7 5 2" xfId="23658"/>
    <cellStyle name="输入 2 7 4 5 5" xfId="23659"/>
    <cellStyle name="汇总 2 9 9 7 2" xfId="23660"/>
    <cellStyle name="输出 2 12 16 2" xfId="23661"/>
    <cellStyle name="输出 2 12 21 2" xfId="23662"/>
    <cellStyle name="输入 2 7 4 5 5 2" xfId="23663"/>
    <cellStyle name="汇总 2 9 9 7 2 2" xfId="23664"/>
    <cellStyle name="输出 2 12 16 2 2" xfId="23665"/>
    <cellStyle name="计算 2 11 11 13" xfId="23666"/>
    <cellStyle name="输出 2 4 11 6 3" xfId="23667"/>
    <cellStyle name="注释 2 11 3 7 6" xfId="23668"/>
    <cellStyle name="汇总 2 9 9 8" xfId="23669"/>
    <cellStyle name="输出 2 12 17" xfId="23670"/>
    <cellStyle name="输出 2 12 22" xfId="23671"/>
    <cellStyle name="输入 2 10 7 4 3 2" xfId="23672"/>
    <cellStyle name="计算 2 11 11 14" xfId="23673"/>
    <cellStyle name="输出 2 4 11 6 4" xfId="23674"/>
    <cellStyle name="汇总 2 9 9 9" xfId="23675"/>
    <cellStyle name="计算 2 5 9 10 2" xfId="23676"/>
    <cellStyle name="输出 2 12 18" xfId="23677"/>
    <cellStyle name="输出 2 12 23" xfId="23678"/>
    <cellStyle name="检查单元格 2 8 11" xfId="23679"/>
    <cellStyle name="输入 2 7 4 7 5" xfId="23680"/>
    <cellStyle name="汇总 2 9 9 9 2" xfId="23681"/>
    <cellStyle name="输出 2 12 18 2" xfId="23682"/>
    <cellStyle name="计算 2" xfId="23683"/>
    <cellStyle name="输出 2 13 3 2 2" xfId="23684"/>
    <cellStyle name="输出 2 5 3 8 3" xfId="23685"/>
    <cellStyle name="计算 2 2 4 2 5" xfId="23686"/>
    <cellStyle name="计算 2 11 6 9" xfId="23687"/>
    <cellStyle name="输入 2 11 4 6 3 2" xfId="23688"/>
    <cellStyle name="计算 2 10" xfId="23689"/>
    <cellStyle name="计算 2 10 10 11 2" xfId="23690"/>
    <cellStyle name="计算 2 12 6 3 4 2" xfId="23691"/>
    <cellStyle name="计算 2 5 7 6 2 2" xfId="23692"/>
    <cellStyle name="计算 2 10 10 12 2" xfId="23693"/>
    <cellStyle name="计算 2 12 6 3 5 2" xfId="23694"/>
    <cellStyle name="计算 2 5 7 6 3 2" xfId="23695"/>
    <cellStyle name="计算 2 5 7 6 5" xfId="23696"/>
    <cellStyle name="计算 2 10 10 14" xfId="23697"/>
    <cellStyle name="输出 2 5 3 2" xfId="23698"/>
    <cellStyle name="计算 2 10 10 16" xfId="23699"/>
    <cellStyle name="输出 2 5 3 4" xfId="23700"/>
    <cellStyle name="计算 2 10 10 2 2 2" xfId="23701"/>
    <cellStyle name="计算 2 10 10 2 9" xfId="23702"/>
    <cellStyle name="计算 2 10 10 3 2 2" xfId="23703"/>
    <cellStyle name="计算 2 10 10 3 3 2" xfId="23704"/>
    <cellStyle name="计算 2 10 10 4 2 2" xfId="23705"/>
    <cellStyle name="计算 2 10 10 4 3" xfId="23706"/>
    <cellStyle name="计算 2 10 10 4 3 2" xfId="23707"/>
    <cellStyle name="计算 2 10 10 4 4 2" xfId="23708"/>
    <cellStyle name="输出 2 9 11 4 5 2" xfId="23709"/>
    <cellStyle name="计算 2 10 10 4 5" xfId="23710"/>
    <cellStyle name="计算 2 10 10 4 5 2" xfId="23711"/>
    <cellStyle name="输入 2 12 8 4 3 2" xfId="23712"/>
    <cellStyle name="计算 2 10 10 4 6" xfId="23713"/>
    <cellStyle name="输出 2 9 8 2 5 2" xfId="23714"/>
    <cellStyle name="计算 2 10 10 5 2 2" xfId="23715"/>
    <cellStyle name="注释 2 5 6 2 2 2" xfId="23716"/>
    <cellStyle name="输出 2 9 8 2 7" xfId="23717"/>
    <cellStyle name="计算 2 10 10 5 4" xfId="23718"/>
    <cellStyle name="输出 2 9 8 2 8" xfId="23719"/>
    <cellStyle name="计算 2 10 10 5 5" xfId="23720"/>
    <cellStyle name="计算 2 10 10 5 5 2" xfId="23721"/>
    <cellStyle name="输入 2 12 8 4 4 2" xfId="23722"/>
    <cellStyle name="输出 2 9 8 2 9" xfId="23723"/>
    <cellStyle name="计算 2 10 10 5 6" xfId="23724"/>
    <cellStyle name="注释 2 5 6 2 3 2" xfId="23725"/>
    <cellStyle name="计算 2 10 10 6 4" xfId="23726"/>
    <cellStyle name="计算 2 10 10 6 5" xfId="23727"/>
    <cellStyle name="输入 2 12 8 4 5 2" xfId="23728"/>
    <cellStyle name="计算 2 10 10 6 6" xfId="23729"/>
    <cellStyle name="计算 2 10 10 7 6" xfId="23730"/>
    <cellStyle name="注释 2 5 6 2 5 2" xfId="23731"/>
    <cellStyle name="计算 2 10 10 8 4" xfId="23732"/>
    <cellStyle name="计算 2 10 10 8 5" xfId="23733"/>
    <cellStyle name="注释 2 2 6 10" xfId="23734"/>
    <cellStyle name="计算 2 12 6 8 4 2" xfId="23735"/>
    <cellStyle name="计算 2 10 11 11 2" xfId="23736"/>
    <cellStyle name="计算 2 10 11 12 2" xfId="23737"/>
    <cellStyle name="输入 2 10 6 4 3 2" xfId="23738"/>
    <cellStyle name="计算 2 10 11 14" xfId="23739"/>
    <cellStyle name="输出 2 5 8 2" xfId="23740"/>
    <cellStyle name="计算 2 7 4 2" xfId="23741"/>
    <cellStyle name="输入 2 8 7 8 4 2" xfId="23742"/>
    <cellStyle name="计算 2 10 11 15" xfId="23743"/>
    <cellStyle name="输出 2 5 8 3" xfId="23744"/>
    <cellStyle name="计算 2 7 4 3" xfId="23745"/>
    <cellStyle name="计算 2 10 11 16" xfId="23746"/>
    <cellStyle name="输出 2 5 8 4" xfId="23747"/>
    <cellStyle name="计算 2 10 11 2 2 2" xfId="23748"/>
    <cellStyle name="计算 2 10 11 3 2 2" xfId="23749"/>
    <cellStyle name="注释 2 17 5" xfId="23750"/>
    <cellStyle name="计算 2 10 11 4 2 2" xfId="23751"/>
    <cellStyle name="输出 2 9 9 2 5 2" xfId="23752"/>
    <cellStyle name="计算 2 10 11 5 2 2" xfId="23753"/>
    <cellStyle name="输入 2 7 2 5 2" xfId="23754"/>
    <cellStyle name="计算 2 7 4 12 2" xfId="23755"/>
    <cellStyle name="注释 2 5 6 3 5 2" xfId="23756"/>
    <cellStyle name="计算 2 10 11 8 4" xfId="23757"/>
    <cellStyle name="计算 2 10 11 8 5" xfId="23758"/>
    <cellStyle name="输出 2 9 9 6 5" xfId="23759"/>
    <cellStyle name="计算 2 10 11 9 2" xfId="23760"/>
    <cellStyle name="计算 2 10 12 7" xfId="23761"/>
    <cellStyle name="注释 2 3 12 3 2" xfId="23762"/>
    <cellStyle name="计算 2 10 12 9" xfId="23763"/>
    <cellStyle name="计算 2 5 6 2 2 2" xfId="23764"/>
    <cellStyle name="计算 2 10 16 5 2" xfId="23765"/>
    <cellStyle name="计算 2 8 4 12" xfId="23766"/>
    <cellStyle name="计算 2 10 17 3" xfId="23767"/>
    <cellStyle name="计算 2 10 17 4" xfId="23768"/>
    <cellStyle name="计算 2 10 17 4 2" xfId="23769"/>
    <cellStyle name="计算 2 10 17 5" xfId="23770"/>
    <cellStyle name="输出 2 3 11 8 2 2" xfId="23771"/>
    <cellStyle name="计算 2 10 17 5 2" xfId="23772"/>
    <cellStyle name="计算 2 8 9 12" xfId="23773"/>
    <cellStyle name="计算 2 10 23" xfId="23774"/>
    <cellStyle name="计算 2 10 18" xfId="23775"/>
    <cellStyle name="检查单元格 2 8 2 5 2" xfId="23776"/>
    <cellStyle name="计算 2 10 23 2" xfId="23777"/>
    <cellStyle name="计算 2 10 18 2" xfId="23778"/>
    <cellStyle name="检查单元格 2 8 2 5 2 2" xfId="23779"/>
    <cellStyle name="计算 2 10 18 3" xfId="23780"/>
    <cellStyle name="注释 2 10 6 12" xfId="23781"/>
    <cellStyle name="计算 2 10 18 4 2" xfId="23782"/>
    <cellStyle name="计算 2 10 18 5" xfId="23783"/>
    <cellStyle name="检查单元格 2 6 8 4 2 2" xfId="23784"/>
    <cellStyle name="输出 2 3 11 8 3 2" xfId="23785"/>
    <cellStyle name="计算 2 10 18 5 2" xfId="23786"/>
    <cellStyle name="检查单元格 2 4 5 2 5 2" xfId="23787"/>
    <cellStyle name="计算 2 10 24" xfId="23788"/>
    <cellStyle name="计算 2 10 19" xfId="23789"/>
    <cellStyle name="检查单元格 2 8 2 5 3" xfId="23790"/>
    <cellStyle name="输出 2 8 4 2 6" xfId="23791"/>
    <cellStyle name="计算 2 10 19 2" xfId="23792"/>
    <cellStyle name="检查单元格 2 8 2 5 3 2" xfId="23793"/>
    <cellStyle name="计算 2 10 19 2 2" xfId="23794"/>
    <cellStyle name="输出 2 8 4 2 7" xfId="23795"/>
    <cellStyle name="计算 2 10 19 3" xfId="23796"/>
    <cellStyle name="计算 2 10 19 3 2" xfId="23797"/>
    <cellStyle name="计算 2 10 19 4 2" xfId="23798"/>
    <cellStyle name="输出 2 8 4 2 9" xfId="23799"/>
    <cellStyle name="计算 2 10 19 5" xfId="23800"/>
    <cellStyle name="检查单元格 2 6 8 4 3 2" xfId="23801"/>
    <cellStyle name="输出 2 3 11 8 4 2" xfId="23802"/>
    <cellStyle name="计算 2 2 4 2 5 2" xfId="23803"/>
    <cellStyle name="计算 2 11 6 9 2" xfId="23804"/>
    <cellStyle name="计算 2 10 2" xfId="23805"/>
    <cellStyle name="计算 2 10 2 15" xfId="23806"/>
    <cellStyle name="注释 2 2 5 7 2" xfId="23807"/>
    <cellStyle name="计算 2 10 2 16" xfId="23808"/>
    <cellStyle name="计算 2 5 8 4 3 2" xfId="23809"/>
    <cellStyle name="计算 2 10 2 2" xfId="23810"/>
    <cellStyle name="计算 2 10 2 2 2" xfId="23811"/>
    <cellStyle name="计算 2 12 2 4" xfId="23812"/>
    <cellStyle name="检查单元格 2 5 3 3 5" xfId="23813"/>
    <cellStyle name="计算 2 10 2 2 2 2" xfId="23814"/>
    <cellStyle name="计算 2 9 8 13" xfId="23815"/>
    <cellStyle name="计算 2 10 2 2 3" xfId="23816"/>
    <cellStyle name="计算 2 3 25" xfId="23817"/>
    <cellStyle name="计算 2 10 2 2 3 2" xfId="23818"/>
    <cellStyle name="计算 2 12 3 4" xfId="23819"/>
    <cellStyle name="检查单元格 2 5 3 4 5" xfId="23820"/>
    <cellStyle name="计算 2 3 3 5 2" xfId="23821"/>
    <cellStyle name="计算 2 10 2 2 4" xfId="23822"/>
    <cellStyle name="计算 2 3 3 5 2 2" xfId="23823"/>
    <cellStyle name="计算 2 10 2 2 4 2" xfId="23824"/>
    <cellStyle name="计算 2 12 4 4" xfId="23825"/>
    <cellStyle name="检查单元格 2 5 3 5 5" xfId="23826"/>
    <cellStyle name="计算 2 3 3 5 3" xfId="23827"/>
    <cellStyle name="计算 2 10 2 2 5" xfId="23828"/>
    <cellStyle name="检查单元格 2 3 7 2 3 2" xfId="23829"/>
    <cellStyle name="注释 2 10 2 3" xfId="23830"/>
    <cellStyle name="计算 2 3 3 5 3 2" xfId="23831"/>
    <cellStyle name="计算 2 10 2 2 5 2" xfId="23832"/>
    <cellStyle name="计算 2 12 5 4" xfId="23833"/>
    <cellStyle name="输入 2 7 7 2 5 2" xfId="23834"/>
    <cellStyle name="计算 2 3 3 5 4" xfId="23835"/>
    <cellStyle name="计算 2 10 2 2 6" xfId="23836"/>
    <cellStyle name="计算 2 3 3 5 5" xfId="23837"/>
    <cellStyle name="计算 2 10 2 2 7" xfId="23838"/>
    <cellStyle name="输入 2 6 4 10 2" xfId="23839"/>
    <cellStyle name="计算 2 3 3 5 6" xfId="23840"/>
    <cellStyle name="计算 2 10 2 2 8" xfId="23841"/>
    <cellStyle name="计算 2 11 6 8 4 2" xfId="23842"/>
    <cellStyle name="计算 2 10 2 2 9" xfId="23843"/>
    <cellStyle name="计算 2 10 2 3" xfId="23844"/>
    <cellStyle name="计算 2 10 2 3 2" xfId="23845"/>
    <cellStyle name="计算 2 13 2 4" xfId="23846"/>
    <cellStyle name="检查单元格 2 5 4 3 5" xfId="23847"/>
    <cellStyle name="计算 2 10 2 3 2 2" xfId="23848"/>
    <cellStyle name="计算 2 10 2 3 3" xfId="23849"/>
    <cellStyle name="计算 2 13 3 4" xfId="23850"/>
    <cellStyle name="检查单元格 2 5 4 4 5" xfId="23851"/>
    <cellStyle name="计算 2 10 2 3 3 2" xfId="23852"/>
    <cellStyle name="计算 2 8 25" xfId="23853"/>
    <cellStyle name="计算 2 3 3 6 2" xfId="23854"/>
    <cellStyle name="计算 2 10 2 3 4" xfId="23855"/>
    <cellStyle name="计算 2 3 3 6 2 2" xfId="23856"/>
    <cellStyle name="计算 2 10 2 3 4 2" xfId="23857"/>
    <cellStyle name="计算 2 13 4 4" xfId="23858"/>
    <cellStyle name="检查单元格 2 5 4 5 5" xfId="23859"/>
    <cellStyle name="计算 2 3 3 6 3" xfId="23860"/>
    <cellStyle name="计算 2 10 2 3 5" xfId="23861"/>
    <cellStyle name="检查单元格 2 3 7 2 4 2" xfId="23862"/>
    <cellStyle name="注释 2 11 2 3" xfId="23863"/>
    <cellStyle name="计算 2 3 3 6 3 2" xfId="23864"/>
    <cellStyle name="计算 2 10 2 3 5 2" xfId="23865"/>
    <cellStyle name="计算 2 13 5 4" xfId="23866"/>
    <cellStyle name="计算 2 10 2 4" xfId="23867"/>
    <cellStyle name="计算 2 10 2 4 2" xfId="23868"/>
    <cellStyle name="计算 2 10 2 4 2 2" xfId="23869"/>
    <cellStyle name="计算 2 10 2 4 3" xfId="23870"/>
    <cellStyle name="计算 2 10 2 4 3 2" xfId="23871"/>
    <cellStyle name="计算 2 4 2 5 2 2" xfId="23872"/>
    <cellStyle name="输出 2 2 6 6 2 2" xfId="23873"/>
    <cellStyle name="计算 2 3 3 7 2" xfId="23874"/>
    <cellStyle name="计算 2 10 2 4 4" xfId="23875"/>
    <cellStyle name="计算 2 3 3 7 2 2" xfId="23876"/>
    <cellStyle name="计算 2 10 2 4 4 2" xfId="23877"/>
    <cellStyle name="计算 2 3 3 7 3" xfId="23878"/>
    <cellStyle name="计算 2 10 2 4 5" xfId="23879"/>
    <cellStyle name="检查单元格 2 3 7 2 5 2" xfId="23880"/>
    <cellStyle name="注释 2 12 2 3" xfId="23881"/>
    <cellStyle name="计算 2 3 3 7 3 2" xfId="23882"/>
    <cellStyle name="计算 2 10 2 4 5 2" xfId="23883"/>
    <cellStyle name="计算 2 10 2 5" xfId="23884"/>
    <cellStyle name="计算 2 10 2 5 2" xfId="23885"/>
    <cellStyle name="注释 2 6 2 4 6" xfId="23886"/>
    <cellStyle name="计算 2 10 2 5 2 2" xfId="23887"/>
    <cellStyle name="计算 2 10 2 5 3" xfId="23888"/>
    <cellStyle name="注释 2 6 2 5 6" xfId="23889"/>
    <cellStyle name="计算 2 10 2 5 3 2" xfId="23890"/>
    <cellStyle name="计算 2 4 2 5 3 2" xfId="23891"/>
    <cellStyle name="输出 2 2 6 6 3 2" xfId="23892"/>
    <cellStyle name="计算 2 3 3 8 2" xfId="23893"/>
    <cellStyle name="计算 2 10 2 5 4" xfId="23894"/>
    <cellStyle name="注释 2 9 9 5 2 2" xfId="23895"/>
    <cellStyle name="计算 2 3 3 8 3" xfId="23896"/>
    <cellStyle name="计算 2 10 2 5 5" xfId="23897"/>
    <cellStyle name="注释 2 6 2 7 6" xfId="23898"/>
    <cellStyle name="注释 2 13 2 3" xfId="23899"/>
    <cellStyle name="计算 2 3 3 8 3 2" xfId="23900"/>
    <cellStyle name="计算 2 10 2 5 5 2" xfId="23901"/>
    <cellStyle name="计算 2 10 2 6" xfId="23902"/>
    <cellStyle name="计算 2 10 2 6 2" xfId="23903"/>
    <cellStyle name="注释 2 6 3 4 6" xfId="23904"/>
    <cellStyle name="计算 2 10 2 6 2 2" xfId="23905"/>
    <cellStyle name="计算 2 10 2 6 3" xfId="23906"/>
    <cellStyle name="注释 2 6 3 5 6" xfId="23907"/>
    <cellStyle name="计算 2 10 2 6 3 2" xfId="23908"/>
    <cellStyle name="注释 2 9 9 5 3 2" xfId="23909"/>
    <cellStyle name="计算 2 10 2 6 5" xfId="23910"/>
    <cellStyle name="注释 2 6 3 7 6" xfId="23911"/>
    <cellStyle name="注释 2 14 2 3" xfId="23912"/>
    <cellStyle name="计算 2 10 2 6 5 2" xfId="23913"/>
    <cellStyle name="输入 2 4 7 10 2" xfId="23914"/>
    <cellStyle name="计算 2 10 2 7" xfId="23915"/>
    <cellStyle name="计算 2 10 2 7 2" xfId="23916"/>
    <cellStyle name="输出 2 10 15" xfId="23917"/>
    <cellStyle name="输出 2 10 20" xfId="23918"/>
    <cellStyle name="注释 2 6 4 4 6" xfId="23919"/>
    <cellStyle name="计算 2 10 2 7 2 2" xfId="23920"/>
    <cellStyle name="输出 2 10 15 2" xfId="23921"/>
    <cellStyle name="输出 2 10 20 2" xfId="23922"/>
    <cellStyle name="计算 2 10 2 7 3" xfId="23923"/>
    <cellStyle name="输出 2 10 16" xfId="23924"/>
    <cellStyle name="输出 2 10 21" xfId="23925"/>
    <cellStyle name="注释 2 6 4 5 6" xfId="23926"/>
    <cellStyle name="计算 2 10 2 7 3 2" xfId="23927"/>
    <cellStyle name="输出 2 10 16 2" xfId="23928"/>
    <cellStyle name="输出 2 10 21 2" xfId="23929"/>
    <cellStyle name="注释 2 6 4 6 6" xfId="23930"/>
    <cellStyle name="计算 2 10 2 7 4 2" xfId="23931"/>
    <cellStyle name="输出 2 10 17 2" xfId="23932"/>
    <cellStyle name="输出 2 10 22 2" xfId="23933"/>
    <cellStyle name="注释 2 9 9 5 4 2" xfId="23934"/>
    <cellStyle name="计算 2 10 2 7 5" xfId="23935"/>
    <cellStyle name="输出 2 10 18" xfId="23936"/>
    <cellStyle name="输出 2 10 23" xfId="23937"/>
    <cellStyle name="注释 2 6 4 7 6" xfId="23938"/>
    <cellStyle name="注释 2 15 2 3" xfId="23939"/>
    <cellStyle name="计算 2 10 2 7 5 2" xfId="23940"/>
    <cellStyle name="输出 2 10 18 2" xfId="23941"/>
    <cellStyle name="输出 2 10 23 2" xfId="23942"/>
    <cellStyle name="计算 2 10 2 7 6" xfId="23943"/>
    <cellStyle name="输出 2 10 19" xfId="23944"/>
    <cellStyle name="输出 2 10 24" xfId="23945"/>
    <cellStyle name="计算 2 10 2 8" xfId="23946"/>
    <cellStyle name="输出 2 2 2 2 2 2" xfId="23947"/>
    <cellStyle name="计算 2 10 2 8 2" xfId="23948"/>
    <cellStyle name="注释 2 6 5 4 6" xfId="23949"/>
    <cellStyle name="计算 2 10 2 8 2 2" xfId="23950"/>
    <cellStyle name="计算 2 10 2 8 3" xfId="23951"/>
    <cellStyle name="注释 2 6 5 5 6" xfId="23952"/>
    <cellStyle name="计算 2 10 2 8 3 2" xfId="23953"/>
    <cellStyle name="注释 2 6 5 6 6" xfId="23954"/>
    <cellStyle name="计算 2 10 2 8 4 2" xfId="23955"/>
    <cellStyle name="注释 2 9 9 5 5 2" xfId="23956"/>
    <cellStyle name="计算 2 10 2 8 5" xfId="23957"/>
    <cellStyle name="计算 2 10 7 6 4 2" xfId="23958"/>
    <cellStyle name="计算 2 10 2 9" xfId="23959"/>
    <cellStyle name="计算 2 10 2 9 2" xfId="23960"/>
    <cellStyle name="计算 2 3 6 4 2 2" xfId="23961"/>
    <cellStyle name="计算 2 3 13 2" xfId="23962"/>
    <cellStyle name="检查单元格 2 10 4 2 3 2" xfId="23963"/>
    <cellStyle name="计算 2 10 26" xfId="23964"/>
    <cellStyle name="检查单元格 2 8 2 5 5" xfId="23965"/>
    <cellStyle name="计算 2 10 3" xfId="23966"/>
    <cellStyle name="输出 2 9 5 7 5" xfId="23967"/>
    <cellStyle name="计算 2 10 3 10 2" xfId="23968"/>
    <cellStyle name="输出 2 9 5 8 5" xfId="23969"/>
    <cellStyle name="计算 2 10 3 11 2" xfId="23970"/>
    <cellStyle name="计算 2 10 3 12" xfId="23971"/>
    <cellStyle name="计算 2 10 3 12 2" xfId="23972"/>
    <cellStyle name="计算 2 10 3 14" xfId="23973"/>
    <cellStyle name="计算 2 10 3 16" xfId="23974"/>
    <cellStyle name="计算 2 10 3 2" xfId="23975"/>
    <cellStyle name="计算 2 10 3 2 2" xfId="23976"/>
    <cellStyle name="输出 2 14 15" xfId="23977"/>
    <cellStyle name="计算 2 2 10 16" xfId="23978"/>
    <cellStyle name="计算 2 10 3 2 2 2" xfId="23979"/>
    <cellStyle name="检查单元格 2 10 2 3 2" xfId="23980"/>
    <cellStyle name="计算 2 10 3 2 3" xfId="23981"/>
    <cellStyle name="输出 2 14 16" xfId="23982"/>
    <cellStyle name="计算 2 10 3 2 3 2" xfId="23983"/>
    <cellStyle name="检查单元格 2 10 2 3 2 2" xfId="23984"/>
    <cellStyle name="计算 2 3 4 5 2" xfId="23985"/>
    <cellStyle name="计算 2 10 3 2 4" xfId="23986"/>
    <cellStyle name="检查单元格 2 10 2 3 3" xfId="23987"/>
    <cellStyle name="计算 2 3 4 5 2 2" xfId="23988"/>
    <cellStyle name="计算 2 10 3 2 4 2" xfId="23989"/>
    <cellStyle name="检查单元格 2 10 2 3 3 2" xfId="23990"/>
    <cellStyle name="计算 2 3 4 5 3" xfId="23991"/>
    <cellStyle name="计算 2 10 3 2 5" xfId="23992"/>
    <cellStyle name="检查单元格 2 10 2 3 4" xfId="23993"/>
    <cellStyle name="检查单元格 2 3 7 3 3 2" xfId="23994"/>
    <cellStyle name="计算 2 3 4 5 3 2" xfId="23995"/>
    <cellStyle name="计算 2 10 3 2 5 2" xfId="23996"/>
    <cellStyle name="检查单元格 2 10 2 3 4 2" xfId="23997"/>
    <cellStyle name="输入 2 7 7 3 5 2" xfId="23998"/>
    <cellStyle name="计算 2 3 4 5 4" xfId="23999"/>
    <cellStyle name="计算 2 10 3 2 6" xfId="24000"/>
    <cellStyle name="检查单元格 2 10 2 3 5" xfId="24001"/>
    <cellStyle name="计算 2 10 3 3" xfId="24002"/>
    <cellStyle name="计算 2 10 3 3 2" xfId="24003"/>
    <cellStyle name="计算 2 10 3 3 3" xfId="24004"/>
    <cellStyle name="检查单元格 2 10 2 4 2" xfId="24005"/>
    <cellStyle name="计算 2 3 4 6 2" xfId="24006"/>
    <cellStyle name="计算 2 10 3 3 4" xfId="24007"/>
    <cellStyle name="输入 2 2 4 5 2 2" xfId="24008"/>
    <cellStyle name="检查单元格 2 10 2 4 3" xfId="24009"/>
    <cellStyle name="计算 2 3 4 6 3" xfId="24010"/>
    <cellStyle name="计算 2 10 3 3 5" xfId="24011"/>
    <cellStyle name="检查单元格 2 10 2 4 4" xfId="24012"/>
    <cellStyle name="检查单元格 2 3 7 3 4 2" xfId="24013"/>
    <cellStyle name="计算 2 10 3 4" xfId="24014"/>
    <cellStyle name="计算 2 10 3 4 2" xfId="24015"/>
    <cellStyle name="计算 2 10 3 4 3" xfId="24016"/>
    <cellStyle name="检查单元格 2 10 2 5 2" xfId="24017"/>
    <cellStyle name="计算 2 4 2 6 2 2" xfId="24018"/>
    <cellStyle name="输出 2 2 6 7 2 2" xfId="24019"/>
    <cellStyle name="计算 2 3 4 7 2" xfId="24020"/>
    <cellStyle name="计算 2 10 3 4 4" xfId="24021"/>
    <cellStyle name="输入 2 2 4 5 3 2" xfId="24022"/>
    <cellStyle name="检查单元格 2 10 2 5 3" xfId="24023"/>
    <cellStyle name="计算 2 3 4 7 3" xfId="24024"/>
    <cellStyle name="计算 2 10 3 4 5" xfId="24025"/>
    <cellStyle name="检查单元格 2 10 2 5 4" xfId="24026"/>
    <cellStyle name="检查单元格 2 3 7 3 5 2" xfId="24027"/>
    <cellStyle name="计算 2 10 3 5" xfId="24028"/>
    <cellStyle name="计算 2 10 3 6" xfId="24029"/>
    <cellStyle name="输出 2 11 6 5 2 2" xfId="24030"/>
    <cellStyle name="输入 2 4 7 11 2" xfId="24031"/>
    <cellStyle name="计算 2 10 3 7" xfId="24032"/>
    <cellStyle name="注释 2 7 4 5 6" xfId="24033"/>
    <cellStyle name="计算 2 10 3 7 3 2" xfId="24034"/>
    <cellStyle name="注释 2 7 4 6 6" xfId="24035"/>
    <cellStyle name="计算 2 10 3 7 4 2" xfId="24036"/>
    <cellStyle name="注释 2 7 4 7 6" xfId="24037"/>
    <cellStyle name="计算 2 10 3 7 5 2" xfId="24038"/>
    <cellStyle name="计算 2 10 3 8" xfId="24039"/>
    <cellStyle name="输出 2 2 2 2 3 2" xfId="24040"/>
    <cellStyle name="注释 2 7 5 5 6" xfId="24041"/>
    <cellStyle name="计算 2 10 3 8 3 2" xfId="24042"/>
    <cellStyle name="注释 2 7 5 6 6" xfId="24043"/>
    <cellStyle name="计算 2 10 3 8 4 2" xfId="24044"/>
    <cellStyle name="注释 2 9 9 6 5 2" xfId="24045"/>
    <cellStyle name="计算 2 10 3 8 5" xfId="24046"/>
    <cellStyle name="计算 2 10 7 6 5 2" xfId="24047"/>
    <cellStyle name="计算 2 10 3 9" xfId="24048"/>
    <cellStyle name="注释 2 10 19 2 2" xfId="24049"/>
    <cellStyle name="计算 2 13 12 2" xfId="24050"/>
    <cellStyle name="计算 2 10 4" xfId="24051"/>
    <cellStyle name="计算 2 4" xfId="24052"/>
    <cellStyle name="计算 2 10 4 10 2" xfId="24053"/>
    <cellStyle name="注释 2 11 10 4 5 2" xfId="24054"/>
    <cellStyle name="输入 2 9 8 5 6" xfId="24055"/>
    <cellStyle name="计算 2 2 12 3" xfId="24056"/>
    <cellStyle name="输入 2 2 2 10 2" xfId="24057"/>
    <cellStyle name="计算 2 10 4 11" xfId="24058"/>
    <cellStyle name="输入 2 9 8 6 6" xfId="24059"/>
    <cellStyle name="计算 2 2 13 3" xfId="24060"/>
    <cellStyle name="计算 2 10 4 11 2" xfId="24061"/>
    <cellStyle name="输出 2 5 10 2 4" xfId="24062"/>
    <cellStyle name="计算 2 10 4 12" xfId="24063"/>
    <cellStyle name="输入 2 9 8 7 6" xfId="24064"/>
    <cellStyle name="计算 2 2 14 3" xfId="24065"/>
    <cellStyle name="计算 2 10 4 12 2" xfId="24066"/>
    <cellStyle name="计算 2 9 11 12" xfId="24067"/>
    <cellStyle name="输出 2 5 10 3 4" xfId="24068"/>
    <cellStyle name="计算 2 10 4 13" xfId="24069"/>
    <cellStyle name="计算 2 10 4 14" xfId="24070"/>
    <cellStyle name="计算 2 10 4 16" xfId="24071"/>
    <cellStyle name="计算 2 5 11 2 6" xfId="24072"/>
    <cellStyle name="检查单元格 2 7 3 3 5" xfId="24073"/>
    <cellStyle name="计算 2 3 10 16" xfId="24074"/>
    <cellStyle name="计算 2 10 4 2 2 2" xfId="24075"/>
    <cellStyle name="计算 2 10 4 2 3" xfId="24076"/>
    <cellStyle name="检查单元格 2 10 3 3 2" xfId="24077"/>
    <cellStyle name="计算 2 3 5 5 2" xfId="24078"/>
    <cellStyle name="计算 2 10 4 2 4" xfId="24079"/>
    <cellStyle name="检查单元格 2 10 3 3 3" xfId="24080"/>
    <cellStyle name="计算 2 5 11 4 6" xfId="24081"/>
    <cellStyle name="检查单元格 2 7 3 5 5" xfId="24082"/>
    <cellStyle name="计算 2 3 5 5 2 2" xfId="24083"/>
    <cellStyle name="计算 2 10 4 2 4 2" xfId="24084"/>
    <cellStyle name="检查单元格 2 10 3 3 3 2" xfId="24085"/>
    <cellStyle name="输出 2 4 2 6" xfId="24086"/>
    <cellStyle name="计算 2 3 5 5 3" xfId="24087"/>
    <cellStyle name="计算 2 10 4 2 5" xfId="24088"/>
    <cellStyle name="检查单元格 2 10 3 3 4" xfId="24089"/>
    <cellStyle name="检查单元格 2 3 7 4 3 2" xfId="24090"/>
    <cellStyle name="计算 2 3 5 5 3 2" xfId="24091"/>
    <cellStyle name="计算 2 10 4 2 5 2" xfId="24092"/>
    <cellStyle name="检查单元格 2 10 3 3 4 2" xfId="24093"/>
    <cellStyle name="输出 2 4 3 6" xfId="24094"/>
    <cellStyle name="输入 2 7 7 4 5 2" xfId="24095"/>
    <cellStyle name="计算 2 3 5 5 4" xfId="24096"/>
    <cellStyle name="计算 2 10 4 2 6" xfId="24097"/>
    <cellStyle name="检查单元格 2 10 3 3 5" xfId="24098"/>
    <cellStyle name="计算 2 10 4 3 2" xfId="24099"/>
    <cellStyle name="计算 2 9 10 4" xfId="24100"/>
    <cellStyle name="计算 2 10 4 3 2 2" xfId="24101"/>
    <cellStyle name="计算 2 9 10 4 2" xfId="24102"/>
    <cellStyle name="计算 2 10 4 3 3" xfId="24103"/>
    <cellStyle name="计算 2 9 10 5" xfId="24104"/>
    <cellStyle name="检查单元格 2 10 3 4 2" xfId="24105"/>
    <cellStyle name="计算 2 10 4 3 3 2" xfId="24106"/>
    <cellStyle name="计算 2 9 10 5 2" xfId="24107"/>
    <cellStyle name="检查单元格 2 10 3 4 2 2" xfId="24108"/>
    <cellStyle name="计算 2 3 5 6 2" xfId="24109"/>
    <cellStyle name="计算 2 10 4 3 4" xfId="24110"/>
    <cellStyle name="计算 2 9 10 6" xfId="24111"/>
    <cellStyle name="输入 2 2 4 6 2 2" xfId="24112"/>
    <cellStyle name="检查单元格 2 10 3 4 3" xfId="24113"/>
    <cellStyle name="计算 2 3 5 6 2 2" xfId="24114"/>
    <cellStyle name="计算 2 10 4 3 4 2" xfId="24115"/>
    <cellStyle name="计算 2 9 10 6 2" xfId="24116"/>
    <cellStyle name="检查单元格 2 10 3 4 3 2" xfId="24117"/>
    <cellStyle name="输出 2 5 2 6" xfId="24118"/>
    <cellStyle name="计算 2 3 5 6 3" xfId="24119"/>
    <cellStyle name="计算 2 10 4 3 5" xfId="24120"/>
    <cellStyle name="计算 2 9 10 7" xfId="24121"/>
    <cellStyle name="检查单元格 2 10 3 4 4" xfId="24122"/>
    <cellStyle name="检查单元格 2 3 7 4 4 2" xfId="24123"/>
    <cellStyle name="计算 2 3 5 6 3 2" xfId="24124"/>
    <cellStyle name="计算 2 10 4 3 5 2" xfId="24125"/>
    <cellStyle name="计算 2 9 10 7 2" xfId="24126"/>
    <cellStyle name="检查单元格 2 10 3 4 4 2" xfId="24127"/>
    <cellStyle name="输出 2 5 3 6" xfId="24128"/>
    <cellStyle name="计算 2 10 4 4 2" xfId="24129"/>
    <cellStyle name="计算 2 9 11 4" xfId="24130"/>
    <cellStyle name="计算 2 10 4 4 2 2" xfId="24131"/>
    <cellStyle name="计算 2 9 11 4 2" xfId="24132"/>
    <cellStyle name="计算 2 10 4 4 3" xfId="24133"/>
    <cellStyle name="计算 2 9 11 5" xfId="24134"/>
    <cellStyle name="检查单元格 2 10 3 5 2" xfId="24135"/>
    <cellStyle name="计算 2 10 4 4 3 2" xfId="24136"/>
    <cellStyle name="计算 2 9 11 5 2" xfId="24137"/>
    <cellStyle name="检查单元格 2 10 3 5 2 2" xfId="24138"/>
    <cellStyle name="计算 2 4 2 7 2 2" xfId="24139"/>
    <cellStyle name="注释 2 9 10 3 6" xfId="24140"/>
    <cellStyle name="输出 2 2 6 8 2 2" xfId="24141"/>
    <cellStyle name="计算 2 3 5 7 2" xfId="24142"/>
    <cellStyle name="计算 2 10 4 4 4" xfId="24143"/>
    <cellStyle name="计算 2 9 11 6" xfId="24144"/>
    <cellStyle name="输入 2 2 4 6 3 2" xfId="24145"/>
    <cellStyle name="检查单元格 2 10 3 5 3" xfId="24146"/>
    <cellStyle name="计算 2 3 5 7 2 2" xfId="24147"/>
    <cellStyle name="计算 2 10 4 4 4 2" xfId="24148"/>
    <cellStyle name="计算 2 9 11 6 2" xfId="24149"/>
    <cellStyle name="检查单元格 2 10 3 5 3 2" xfId="24150"/>
    <cellStyle name="输出 2 6 2 6" xfId="24151"/>
    <cellStyle name="计算 2 3 5 7 3" xfId="24152"/>
    <cellStyle name="计算 2 10 4 4 5" xfId="24153"/>
    <cellStyle name="计算 2 9 11 7" xfId="24154"/>
    <cellStyle name="检查单元格 2 10 3 5 4" xfId="24155"/>
    <cellStyle name="检查单元格 2 3 7 4 5 2" xfId="24156"/>
    <cellStyle name="计算 2 10 4 5 2" xfId="24157"/>
    <cellStyle name="计算 2 9 12 4" xfId="24158"/>
    <cellStyle name="注释 2 8 2 4 6" xfId="24159"/>
    <cellStyle name="计算 2 10 4 5 2 2" xfId="24160"/>
    <cellStyle name="计算 2 9 12 4 2" xfId="24161"/>
    <cellStyle name="计算 2 10 4 5 3" xfId="24162"/>
    <cellStyle name="计算 2 9 12 5" xfId="24163"/>
    <cellStyle name="输出 2 7 8 10" xfId="24164"/>
    <cellStyle name="检查单元格 2 10 3 6 2" xfId="24165"/>
    <cellStyle name="注释 2 9 10 4 5 2" xfId="24166"/>
    <cellStyle name="计算 2 4 5 11" xfId="24167"/>
    <cellStyle name="检查单元格 2 7 6 4 5" xfId="24168"/>
    <cellStyle name="输出 2 2 9 16" xfId="24169"/>
    <cellStyle name="注释 2 8 2 5 6" xfId="24170"/>
    <cellStyle name="计算 2 10 4 5 3 2" xfId="24171"/>
    <cellStyle name="计算 2 9 12 5 2" xfId="24172"/>
    <cellStyle name="计算 2 4 2 7 3 2" xfId="24173"/>
    <cellStyle name="注释 2 9 10 4 6" xfId="24174"/>
    <cellStyle name="输出 2 10 6 2 2 2" xfId="24175"/>
    <cellStyle name="输出 2 2 6 8 3 2" xfId="24176"/>
    <cellStyle name="计算 2 3 5 8 2" xfId="24177"/>
    <cellStyle name="计算 2 10 4 5 4" xfId="24178"/>
    <cellStyle name="计算 2 9 12 6" xfId="24179"/>
    <cellStyle name="注释 2 8 2 6 6" xfId="24180"/>
    <cellStyle name="计算 2 3 5 8 2 2" xfId="24181"/>
    <cellStyle name="计算 2 10 4 5 4 2" xfId="24182"/>
    <cellStyle name="输出 2 7 8 11 2" xfId="24183"/>
    <cellStyle name="输出 2 7 2 6" xfId="24184"/>
    <cellStyle name="注释 2 9 9 7 2 2" xfId="24185"/>
    <cellStyle name="计算 2 3 5 8 3" xfId="24186"/>
    <cellStyle name="计算 2 10 4 5 5" xfId="24187"/>
    <cellStyle name="计算 2 9 12 7" xfId="24188"/>
    <cellStyle name="注释 2 8 2 7 6" xfId="24189"/>
    <cellStyle name="计算 2 3 5 8 3 2" xfId="24190"/>
    <cellStyle name="计算 2 10 4 5 5 2" xfId="24191"/>
    <cellStyle name="计算 2 10 4 6 2" xfId="24192"/>
    <cellStyle name="计算 2 9 13 4" xfId="24193"/>
    <cellStyle name="注释 2 8 3 4 6" xfId="24194"/>
    <cellStyle name="计算 2 10 4 6 2 2" xfId="24195"/>
    <cellStyle name="计算 2 9 13 4 2" xfId="24196"/>
    <cellStyle name="计算 2 10 4 6 3" xfId="24197"/>
    <cellStyle name="计算 2 9 13 5" xfId="24198"/>
    <cellStyle name="检查单元格 2 10 3 7 2" xfId="24199"/>
    <cellStyle name="注释 2 8 3 5 6" xfId="24200"/>
    <cellStyle name="计算 2 10 4 6 3 2" xfId="24201"/>
    <cellStyle name="计算 2 9 13 5 2" xfId="24202"/>
    <cellStyle name="注释 2 8 3 6 6" xfId="24203"/>
    <cellStyle name="计算 2 10 4 6 4 2" xfId="24204"/>
    <cellStyle name="注释 2 9 9 7 3 2" xfId="24205"/>
    <cellStyle name="计算 2 10 4 6 5" xfId="24206"/>
    <cellStyle name="注释 2 8 3 7 6" xfId="24207"/>
    <cellStyle name="注释 2 13 13" xfId="24208"/>
    <cellStyle name="计算 2 10 4 6 5 2" xfId="24209"/>
    <cellStyle name="输入 2 4 7 12 2" xfId="24210"/>
    <cellStyle name="计算 2 10 4 7" xfId="24211"/>
    <cellStyle name="计算 2 10 4 7 2" xfId="24212"/>
    <cellStyle name="计算 2 9 14 4" xfId="24213"/>
    <cellStyle name="注释 2 8 4 4 6" xfId="24214"/>
    <cellStyle name="计算 2 10 4 7 2 2" xfId="24215"/>
    <cellStyle name="计算 2 9 14 4 2" xfId="24216"/>
    <cellStyle name="计算 2 10 4 7 3" xfId="24217"/>
    <cellStyle name="计算 2 9 14 5" xfId="24218"/>
    <cellStyle name="检查单元格 2 10 3 8 2" xfId="24219"/>
    <cellStyle name="注释 2 8 4 5 6" xfId="24220"/>
    <cellStyle name="计算 2 10 4 7 3 2" xfId="24221"/>
    <cellStyle name="计算 2 9 14 5 2" xfId="24222"/>
    <cellStyle name="注释 2 8 4 6 6" xfId="24223"/>
    <cellStyle name="计算 2 10 4 7 4 2" xfId="24224"/>
    <cellStyle name="注释 2 9 9 7 4 2" xfId="24225"/>
    <cellStyle name="计算 2 10 4 7 5" xfId="24226"/>
    <cellStyle name="注释 2 8 4 7 6" xfId="24227"/>
    <cellStyle name="计算 2 10 4 7 5 2" xfId="24228"/>
    <cellStyle name="计算 2 10 4 7 6" xfId="24229"/>
    <cellStyle name="计算 2 10 4 8 2" xfId="24230"/>
    <cellStyle name="计算 2 9 15 4" xfId="24231"/>
    <cellStyle name="注释 2 8 5 4 6" xfId="24232"/>
    <cellStyle name="计算 2 10 4 8 2 2" xfId="24233"/>
    <cellStyle name="计算 2 9 15 4 2" xfId="24234"/>
    <cellStyle name="计算 2 10 4 8 3" xfId="24235"/>
    <cellStyle name="计算 2 9 15 5" xfId="24236"/>
    <cellStyle name="检查单元格 2 10 3 9 2" xfId="24237"/>
    <cellStyle name="注释 2 8 5 5 6" xfId="24238"/>
    <cellStyle name="计算 2 10 4 8 3 2" xfId="24239"/>
    <cellStyle name="计算 2 9 15 5 2" xfId="24240"/>
    <cellStyle name="注释 2 8 5 6 6" xfId="24241"/>
    <cellStyle name="计算 2 10 4 8 4 2" xfId="24242"/>
    <cellStyle name="注释 2 9 9 7 5 2" xfId="24243"/>
    <cellStyle name="计算 2 10 4 8 5" xfId="24244"/>
    <cellStyle name="计算 2 10 4 9" xfId="24245"/>
    <cellStyle name="计算 2 10 4 9 2" xfId="24246"/>
    <cellStyle name="计算 2 9 16 4" xfId="24247"/>
    <cellStyle name="计算 2 10 5" xfId="24248"/>
    <cellStyle name="计算 2 10 5 10" xfId="24249"/>
    <cellStyle name="注释 2 3 7 2 5 2" xfId="24250"/>
    <cellStyle name="计算 2 3 12 3" xfId="24251"/>
    <cellStyle name="计算 2 10 5 10 2" xfId="24252"/>
    <cellStyle name="检查单元格 2 8 2 4 6" xfId="24253"/>
    <cellStyle name="计算 2 10 5 16" xfId="24254"/>
    <cellStyle name="计算 2 10 5 2" xfId="24255"/>
    <cellStyle name="计算 2 10 5 2 2" xfId="24256"/>
    <cellStyle name="计算 2 4 10 16" xfId="24257"/>
    <cellStyle name="输出 2 9 20" xfId="24258"/>
    <cellStyle name="输出 2 9 15" xfId="24259"/>
    <cellStyle name="计算 2 10 5 2 2 2" xfId="24260"/>
    <cellStyle name="计算 2 10 5 2 3" xfId="24261"/>
    <cellStyle name="检查单元格 2 10 4 3 2" xfId="24262"/>
    <cellStyle name="计算 2 10 5 2 3 2" xfId="24263"/>
    <cellStyle name="检查单元格 2 10 4 3 2 2" xfId="24264"/>
    <cellStyle name="计算 2 3 6 5 2" xfId="24265"/>
    <cellStyle name="计算 2 10 5 2 4" xfId="24266"/>
    <cellStyle name="检查单元格 2 10 4 3 3" xfId="24267"/>
    <cellStyle name="计算 2 3 6 5 2 2" xfId="24268"/>
    <cellStyle name="计算 2 10 5 2 4 2" xfId="24269"/>
    <cellStyle name="检查单元格 2 10 4 3 3 2" xfId="24270"/>
    <cellStyle name="计算 2 3 6 5 3" xfId="24271"/>
    <cellStyle name="计算 2 10 5 2 5" xfId="24272"/>
    <cellStyle name="检查单元格 2 10 4 3 4" xfId="24273"/>
    <cellStyle name="检查单元格 2 3 7 5 3 2" xfId="24274"/>
    <cellStyle name="计算 2 3 6 5 3 2" xfId="24275"/>
    <cellStyle name="计算 2 10 5 2 5 2" xfId="24276"/>
    <cellStyle name="检查单元格 2 10 4 3 4 2" xfId="24277"/>
    <cellStyle name="输入 2 7 7 5 5 2" xfId="24278"/>
    <cellStyle name="计算 2 3 6 5 4" xfId="24279"/>
    <cellStyle name="计算 2 10 5 2 6" xfId="24280"/>
    <cellStyle name="检查单元格 2 10 4 3 5" xfId="24281"/>
    <cellStyle name="计算 2 3 6 5 5" xfId="24282"/>
    <cellStyle name="计算 2 10 5 2 7" xfId="24283"/>
    <cellStyle name="注释 2 13 8 3 2" xfId="24284"/>
    <cellStyle name="输入 2 9 3 10 2" xfId="24285"/>
    <cellStyle name="检查单元格 2 10 4 3 6" xfId="24286"/>
    <cellStyle name="检查单元格 2 4 2 3 5 2" xfId="24287"/>
    <cellStyle name="计算 2 12 4 2" xfId="24288"/>
    <cellStyle name="检查单元格 2 5 3 5 3" xfId="24289"/>
    <cellStyle name="计算 2 10 5 2 9" xfId="24290"/>
    <cellStyle name="计算 2 10 5 3" xfId="24291"/>
    <cellStyle name="计算 2 10 5 3 2" xfId="24292"/>
    <cellStyle name="计算 2 10 5 3 2 2" xfId="24293"/>
    <cellStyle name="计算 2 10 5 3 3 2" xfId="24294"/>
    <cellStyle name="检查单元格 2 10 4 4 2 2" xfId="24295"/>
    <cellStyle name="计算 2 3 6 6 2" xfId="24296"/>
    <cellStyle name="计算 2 10 5 3 4" xfId="24297"/>
    <cellStyle name="输入 2 2 4 7 2 2" xfId="24298"/>
    <cellStyle name="检查单元格 2 10 4 4 3" xfId="24299"/>
    <cellStyle name="计算 2 3 6 6 2 2" xfId="24300"/>
    <cellStyle name="计算 2 10 5 3 4 2" xfId="24301"/>
    <cellStyle name="检查单元格 2 10 4 4 3 2" xfId="24302"/>
    <cellStyle name="计算 2 3 6 6 3" xfId="24303"/>
    <cellStyle name="计算 2 10 5 3 5" xfId="24304"/>
    <cellStyle name="检查单元格 2 10 4 4 4" xfId="24305"/>
    <cellStyle name="检查单元格 2 3 7 5 4 2" xfId="24306"/>
    <cellStyle name="计算 2 3 6 6 3 2" xfId="24307"/>
    <cellStyle name="计算 2 10 5 3 5 2" xfId="24308"/>
    <cellStyle name="检查单元格 2 10 4 4 4 2" xfId="24309"/>
    <cellStyle name="计算 2 3 3 3 3 2" xfId="24310"/>
    <cellStyle name="计算 2 10 5 4" xfId="24311"/>
    <cellStyle name="计算 2 10 5 4 2" xfId="24312"/>
    <cellStyle name="计算 2 10 5 4 2 2" xfId="24313"/>
    <cellStyle name="计算 2 10 5 4 3 2" xfId="24314"/>
    <cellStyle name="检查单元格 2 10 4 5 2 2" xfId="24315"/>
    <cellStyle name="计算 2 4 2 8 2 2" xfId="24316"/>
    <cellStyle name="计算 2 3 6 7 2" xfId="24317"/>
    <cellStyle name="计算 2 10 5 4 4" xfId="24318"/>
    <cellStyle name="输入 2 2 4 7 3 2" xfId="24319"/>
    <cellStyle name="检查单元格 2 10 4 5 3" xfId="24320"/>
    <cellStyle name="计算 2 3 6 7 2 2" xfId="24321"/>
    <cellStyle name="计算 2 10 5 4 4 2" xfId="24322"/>
    <cellStyle name="检查单元格 2 10 4 5 3 2" xfId="24323"/>
    <cellStyle name="计算 2 3 6 7 3" xfId="24324"/>
    <cellStyle name="计算 2 10 5 4 5" xfId="24325"/>
    <cellStyle name="检查单元格 2 10 4 5 4" xfId="24326"/>
    <cellStyle name="计算 2 10 5 5" xfId="24327"/>
    <cellStyle name="计算 2 10 5 5 2" xfId="24328"/>
    <cellStyle name="注释 2 9 2 4 6" xfId="24329"/>
    <cellStyle name="计算 2 10 5 5 2 2" xfId="24330"/>
    <cellStyle name="计算 2 4 2 8 3 2" xfId="24331"/>
    <cellStyle name="注释 2 9 11 4 6" xfId="24332"/>
    <cellStyle name="输入 2 2 5 11 2" xfId="24333"/>
    <cellStyle name="输出 2 10 6 3 2 2" xfId="24334"/>
    <cellStyle name="计算 2 3 6 8 2" xfId="24335"/>
    <cellStyle name="计算 2 10 5 5 4" xfId="24336"/>
    <cellStyle name="注释 2 9 9 8 2 2" xfId="24337"/>
    <cellStyle name="计算 2 3 6 8 3" xfId="24338"/>
    <cellStyle name="计算 2 10 5 5 5" xfId="24339"/>
    <cellStyle name="计算 2 10 5 6" xfId="24340"/>
    <cellStyle name="输出 2 11 6 5 4 2" xfId="24341"/>
    <cellStyle name="计算 2 4 11" xfId="24342"/>
    <cellStyle name="计算 2 10 5 6 2" xfId="24343"/>
    <cellStyle name="注释 2 9 3 4 6" xfId="24344"/>
    <cellStyle name="计算 2 4 11 2" xfId="24345"/>
    <cellStyle name="计算 2 10 5 6 2 2" xfId="24346"/>
    <cellStyle name="计算 2 4 12" xfId="24347"/>
    <cellStyle name="计算 2 10 5 6 3" xfId="24348"/>
    <cellStyle name="检查单元格 2 10 4 7 2" xfId="24349"/>
    <cellStyle name="注释 2 9 3 5 6" xfId="24350"/>
    <cellStyle name="计算 2 4 12 2" xfId="24351"/>
    <cellStyle name="计算 2 10 5 6 3 2" xfId="24352"/>
    <cellStyle name="计算 2 4 2 8 4 2" xfId="24353"/>
    <cellStyle name="注释 2 9 11 5 6" xfId="24354"/>
    <cellStyle name="输入 2 2 5 12 2" xfId="24355"/>
    <cellStyle name="输出 2 10 6 3 3 2" xfId="24356"/>
    <cellStyle name="计算 2 4 13" xfId="24357"/>
    <cellStyle name="计算 2 3 6 9 2" xfId="24358"/>
    <cellStyle name="计算 2 10 5 6 4" xfId="24359"/>
    <cellStyle name="注释 2 9 3 6 6" xfId="24360"/>
    <cellStyle name="计算 2 4 13 2" xfId="24361"/>
    <cellStyle name="计算 2 10 5 6 4 2" xfId="24362"/>
    <cellStyle name="注释 2 9 9 8 3 2" xfId="24363"/>
    <cellStyle name="计算 2 4 14" xfId="24364"/>
    <cellStyle name="计算 2 10 5 6 5" xfId="24365"/>
    <cellStyle name="注释 2 9 3 7 6" xfId="24366"/>
    <cellStyle name="计算 2 4 14 2" xfId="24367"/>
    <cellStyle name="计算 2 10 5 6 5 2" xfId="24368"/>
    <cellStyle name="计算 2 10 5 7" xfId="24369"/>
    <cellStyle name="计算 2 10 5 7 2" xfId="24370"/>
    <cellStyle name="注释 2 9 4 4 6" xfId="24371"/>
    <cellStyle name="计算 2 10 5 7 2 2" xfId="24372"/>
    <cellStyle name="计算 2 10 5 7 3" xfId="24373"/>
    <cellStyle name="检查单元格 2 10 4 8 2" xfId="24374"/>
    <cellStyle name="注释 2 9 4 5 6" xfId="24375"/>
    <cellStyle name="计算 2 10 5 7 3 2" xfId="24376"/>
    <cellStyle name="计算 2 10 5 7 4" xfId="24377"/>
    <cellStyle name="注释 2 9 4 6 6" xfId="24378"/>
    <cellStyle name="计算 2 10 5 7 4 2" xfId="24379"/>
    <cellStyle name="注释 2 9 9 8 4 2" xfId="24380"/>
    <cellStyle name="计算 2 10 5 7 5" xfId="24381"/>
    <cellStyle name="注释 2 9 4 7 6" xfId="24382"/>
    <cellStyle name="计算 2 10 5 7 5 2" xfId="24383"/>
    <cellStyle name="计算 2 10 5 7 6" xfId="24384"/>
    <cellStyle name="计算 2 10 5 8 2" xfId="24385"/>
    <cellStyle name="计算 2 10 5 8 3" xfId="24386"/>
    <cellStyle name="检查单元格 2 10 4 9 2" xfId="24387"/>
    <cellStyle name="计算 2 10 5 8 4" xfId="24388"/>
    <cellStyle name="计算 2 10 5 8 5" xfId="24389"/>
    <cellStyle name="计算 2 10 5 9" xfId="24390"/>
    <cellStyle name="计算 2 10 5 9 2" xfId="24391"/>
    <cellStyle name="计算 2 10 6 10" xfId="24392"/>
    <cellStyle name="计算 2 7 11 5 6" xfId="24393"/>
    <cellStyle name="注释 2 3 7 7 5 2" xfId="24394"/>
    <cellStyle name="计算 2 4 12 3" xfId="24395"/>
    <cellStyle name="计算 2 10 6 10 2" xfId="24396"/>
    <cellStyle name="检查单元格 2 8 7 4 6" xfId="24397"/>
    <cellStyle name="计算 2 4 13 3" xfId="24398"/>
    <cellStyle name="计算 2 10 6 11 2" xfId="24399"/>
    <cellStyle name="计算 2 5 19" xfId="24400"/>
    <cellStyle name="计算 2 5 24" xfId="24401"/>
    <cellStyle name="计算 2 10 6 12" xfId="24402"/>
    <cellStyle name="计算 2 10 6 13" xfId="24403"/>
    <cellStyle name="计算 2 10 6 14" xfId="24404"/>
    <cellStyle name="注释 2 2 6 2 2" xfId="24405"/>
    <cellStyle name="计算 2 10 6 16" xfId="24406"/>
    <cellStyle name="计算 2 10 6 2" xfId="24407"/>
    <cellStyle name="计算 2 10 6 2 2" xfId="24408"/>
    <cellStyle name="计算 2 3 7 5 2" xfId="24409"/>
    <cellStyle name="计算 2 10 6 2 4" xfId="24410"/>
    <cellStyle name="检查单元格 2 10 5 3 3" xfId="24411"/>
    <cellStyle name="计算 2 3 2 11 2" xfId="24412"/>
    <cellStyle name="计算 2 3 7 5 3" xfId="24413"/>
    <cellStyle name="计算 2 10 6 2 5" xfId="24414"/>
    <cellStyle name="检查单元格 2 10 5 3 4" xfId="24415"/>
    <cellStyle name="输入 2 7 7 6 5 2" xfId="24416"/>
    <cellStyle name="计算 2 3 7 5 4" xfId="24417"/>
    <cellStyle name="计算 2 10 6 2 6" xfId="24418"/>
    <cellStyle name="检查单元格 2 10 5 3 5" xfId="24419"/>
    <cellStyle name="计算 2 3 7 5 5" xfId="24420"/>
    <cellStyle name="计算 2 10 6 2 7" xfId="24421"/>
    <cellStyle name="检查单元格 2 10 5 3 6" xfId="24422"/>
    <cellStyle name="检查单元格 2 4 2 4 5 2" xfId="24423"/>
    <cellStyle name="计算 2 13 4 2" xfId="24424"/>
    <cellStyle name="检查单元格 2 5 4 5 3" xfId="24425"/>
    <cellStyle name="计算 2 10 6 2 9" xfId="24426"/>
    <cellStyle name="计算 2 10 6 3" xfId="24427"/>
    <cellStyle name="计算 2 10 6 3 2" xfId="24428"/>
    <cellStyle name="计算 2 10 6 3 2 2" xfId="24429"/>
    <cellStyle name="检查单元格 2 10 5 4 2" xfId="24430"/>
    <cellStyle name="计算 2 10 6 3 3" xfId="24431"/>
    <cellStyle name="输出 2 11 3 10 2" xfId="24432"/>
    <cellStyle name="计算 2 10 6 3 3 2" xfId="24433"/>
    <cellStyle name="检查单元格 2 10 5 4 2 2" xfId="24434"/>
    <cellStyle name="计算 2 3 7 6 2" xfId="24435"/>
    <cellStyle name="计算 2 10 6 3 4" xfId="24436"/>
    <cellStyle name="输入 2 2 4 8 2 2" xfId="24437"/>
    <cellStyle name="检查单元格 2 10 5 4 3" xfId="24438"/>
    <cellStyle name="计算 2 3 2 12 2" xfId="24439"/>
    <cellStyle name="计算 2 3 7 6 2 2" xfId="24440"/>
    <cellStyle name="计算 2 10 6 3 4 2" xfId="24441"/>
    <cellStyle name="检查单元格 2 10 5 4 3 2" xfId="24442"/>
    <cellStyle name="计算 2 3 7 6 3" xfId="24443"/>
    <cellStyle name="计算 2 10 6 3 5" xfId="24444"/>
    <cellStyle name="检查单元格 2 10 5 4 4" xfId="24445"/>
    <cellStyle name="计算 2 3 7 6 3 2" xfId="24446"/>
    <cellStyle name="计算 2 10 6 3 5 2" xfId="24447"/>
    <cellStyle name="检查单元格 2 10 5 4 4 2" xfId="24448"/>
    <cellStyle name="输入 2 8 2 10" xfId="24449"/>
    <cellStyle name="计算 2 3 3 3 4 2" xfId="24450"/>
    <cellStyle name="计算 2 10 6 4" xfId="24451"/>
    <cellStyle name="计算 2 10 6 4 2" xfId="24452"/>
    <cellStyle name="计算 2 10 6 4 2 2" xfId="24453"/>
    <cellStyle name="检查单元格 2 10 5 5 2" xfId="24454"/>
    <cellStyle name="计算 2 10 6 4 3" xfId="24455"/>
    <cellStyle name="输出 2 11 3 11 2" xfId="24456"/>
    <cellStyle name="计算 2 10 6 4 3 2" xfId="24457"/>
    <cellStyle name="注释 2 5 10 2 6" xfId="24458"/>
    <cellStyle name="检查单元格 2 10 5 5 2 2" xfId="24459"/>
    <cellStyle name="计算 2 3 7 7 2" xfId="24460"/>
    <cellStyle name="计算 2 10 6 4 4" xfId="24461"/>
    <cellStyle name="输入 2 2 4 8 3 2" xfId="24462"/>
    <cellStyle name="检查单元格 2 10 5 5 3" xfId="24463"/>
    <cellStyle name="计算 2 3 7 7 2 2" xfId="24464"/>
    <cellStyle name="计算 2 10 6 4 4 2" xfId="24465"/>
    <cellStyle name="注释 2 5 10 3 6" xfId="24466"/>
    <cellStyle name="检查单元格 2 10 5 5 3 2" xfId="24467"/>
    <cellStyle name="计算 2 3 7 7 3" xfId="24468"/>
    <cellStyle name="计算 2 10 6 4 5" xfId="24469"/>
    <cellStyle name="检查单元格 2 10 5 5 4" xfId="24470"/>
    <cellStyle name="注释 2 5 10 4 6" xfId="24471"/>
    <cellStyle name="检查单元格 2 10 5 5 4 2" xfId="24472"/>
    <cellStyle name="计算 2 3 7 7 3 2" xfId="24473"/>
    <cellStyle name="计算 2 10 6 4 5 2" xfId="24474"/>
    <cellStyle name="输出 2 10 13" xfId="24475"/>
    <cellStyle name="计算 2 10 6 5" xfId="24476"/>
    <cellStyle name="计算 2 10 6 5 2" xfId="24477"/>
    <cellStyle name="计算 2 10 6 5 2 2" xfId="24478"/>
    <cellStyle name="检查单元格 2 10 5 6 2" xfId="24479"/>
    <cellStyle name="计算 2 10 6 5 3" xfId="24480"/>
    <cellStyle name="输出 2 11 3 12 2" xfId="24481"/>
    <cellStyle name="计算 2 3 7 8 2" xfId="24482"/>
    <cellStyle name="计算 2 10 6 5 4" xfId="24483"/>
    <cellStyle name="计算 2 3 7 8 3" xfId="24484"/>
    <cellStyle name="计算 2 10 6 5 5" xfId="24485"/>
    <cellStyle name="计算 2 2 3 2 2" xfId="24486"/>
    <cellStyle name="计算 2 10 6 6" xfId="24487"/>
    <cellStyle name="输出 2 11 6 5 5 2" xfId="24488"/>
    <cellStyle name="计算 2 2 3 2 2 2" xfId="24489"/>
    <cellStyle name="计算 2 10 6 6 2" xfId="24490"/>
    <cellStyle name="计算 2 9 11" xfId="24491"/>
    <cellStyle name="计算 2 10 6 6 2 2" xfId="24492"/>
    <cellStyle name="计算 2 9 11 2" xfId="24493"/>
    <cellStyle name="计算 2 10 6 6 3" xfId="24494"/>
    <cellStyle name="计算 2 9 12" xfId="24495"/>
    <cellStyle name="检查单元格 2 10 5 7 2" xfId="24496"/>
    <cellStyle name="计算 2 19" xfId="24497"/>
    <cellStyle name="计算 2 10 6 6 3 2" xfId="24498"/>
    <cellStyle name="计算 2 9 12 2" xfId="24499"/>
    <cellStyle name="计算 2 3 7 9 2" xfId="24500"/>
    <cellStyle name="计算 2 10 6 6 4" xfId="24501"/>
    <cellStyle name="计算 2 9 13" xfId="24502"/>
    <cellStyle name="计算 2 10 6 6 4 2" xfId="24503"/>
    <cellStyle name="计算 2 9 13 2" xfId="24504"/>
    <cellStyle name="计算 2 10 6 6 5 2" xfId="24505"/>
    <cellStyle name="计算 2 9 14 2" xfId="24506"/>
    <cellStyle name="计算 2 2 3 2 3" xfId="24507"/>
    <cellStyle name="计算 2 10 6 7" xfId="24508"/>
    <cellStyle name="计算 2 2 3 2 3 2" xfId="24509"/>
    <cellStyle name="计算 2 10 6 7 2" xfId="24510"/>
    <cellStyle name="计算 2 10 9" xfId="24511"/>
    <cellStyle name="计算 2 10 6 7 2 2" xfId="24512"/>
    <cellStyle name="计算 2 10 6 7 3" xfId="24513"/>
    <cellStyle name="检查单元格 2 10 5 8 2" xfId="24514"/>
    <cellStyle name="计算 2 11 9" xfId="24515"/>
    <cellStyle name="计算 2 10 6 7 3 2" xfId="24516"/>
    <cellStyle name="计算 2 10 6 7 4" xfId="24517"/>
    <cellStyle name="计算 2 12 9" xfId="24518"/>
    <cellStyle name="计算 2 10 6 7 4 2" xfId="24519"/>
    <cellStyle name="计算 2 10 6 7 5" xfId="24520"/>
    <cellStyle name="计算 2 13 9" xfId="24521"/>
    <cellStyle name="计算 2 10 6 7 5 2" xfId="24522"/>
    <cellStyle name="计算 2 10 6 7 6" xfId="24523"/>
    <cellStyle name="计算 2 2 3 2 4 2" xfId="24524"/>
    <cellStyle name="计算 2 10 6 8 2" xfId="24525"/>
    <cellStyle name="计算 2 10 6 8 2 2" xfId="24526"/>
    <cellStyle name="计算 2 10 6 8 3" xfId="24527"/>
    <cellStyle name="检查单元格 2 10 5 9 2" xfId="24528"/>
    <cellStyle name="计算 2 10 6 8 3 2" xfId="24529"/>
    <cellStyle name="计算 2 10 6 8 4" xfId="24530"/>
    <cellStyle name="计算 2 10 6 8 4 2" xfId="24531"/>
    <cellStyle name="计算 2 10 6 8 5" xfId="24532"/>
    <cellStyle name="计算 2 2 3 2 5" xfId="24533"/>
    <cellStyle name="计算 2 10 6 9" xfId="24534"/>
    <cellStyle name="计算 2 2 3 2 5 2" xfId="24535"/>
    <cellStyle name="计算 2 10 6 9 2" xfId="24536"/>
    <cellStyle name="注释 2 4 11 6 4 2" xfId="24537"/>
    <cellStyle name="计算 2 10 7" xfId="24538"/>
    <cellStyle name="计算 2 10 7 15" xfId="24539"/>
    <cellStyle name="检查单元格 2 2 5 2" xfId="24540"/>
    <cellStyle name="检查单元格 2 4 12 2" xfId="24541"/>
    <cellStyle name="注释 2 2 6 7 2" xfId="24542"/>
    <cellStyle name="计算 2 12 7 2 5 2" xfId="24543"/>
    <cellStyle name="计算 2 10 7 16" xfId="24544"/>
    <cellStyle name="计算 2 5 8 5 3 2" xfId="24545"/>
    <cellStyle name="检查单元格 2 2 5 3" xfId="24546"/>
    <cellStyle name="检查单元格 2 4 12 3" xfId="24547"/>
    <cellStyle name="计算 2 10 7 2" xfId="24548"/>
    <cellStyle name="计算 2 10 7 2 2" xfId="24549"/>
    <cellStyle name="计算 2 10 7 2 3" xfId="24550"/>
    <cellStyle name="检查单元格 2 10 6 3 2" xfId="24551"/>
    <cellStyle name="计算 2 3 8 5 2" xfId="24552"/>
    <cellStyle name="计算 2 10 7 2 4" xfId="24553"/>
    <cellStyle name="检查单元格 2 10 6 3 3" xfId="24554"/>
    <cellStyle name="计算 2 3 8 5 3" xfId="24555"/>
    <cellStyle name="计算 2 10 7 2 5" xfId="24556"/>
    <cellStyle name="检查单元格 2 10 6 3 4" xfId="24557"/>
    <cellStyle name="输入 2 7 7 7 5 2" xfId="24558"/>
    <cellStyle name="计算 2 3 8 5 4" xfId="24559"/>
    <cellStyle name="计算 2 10 7 2 6" xfId="24560"/>
    <cellStyle name="检查单元格 2 10 6 3 5" xfId="24561"/>
    <cellStyle name="计算 2 3 8 5 5" xfId="24562"/>
    <cellStyle name="计算 2 10 7 2 7" xfId="24563"/>
    <cellStyle name="检查单元格 2 10 6 3 6" xfId="24564"/>
    <cellStyle name="计算 2 14 4 2" xfId="24565"/>
    <cellStyle name="检查单元格 2 5 5 5 3" xfId="24566"/>
    <cellStyle name="计算 2 10 7 2 9" xfId="24567"/>
    <cellStyle name="计算 2 10 7 3" xfId="24568"/>
    <cellStyle name="计算 2 10 7 3 2" xfId="24569"/>
    <cellStyle name="计算 2 3 5 3" xfId="24570"/>
    <cellStyle name="输出 2 11 7 7 6" xfId="24571"/>
    <cellStyle name="计算 2 10 7 3 2 2" xfId="24572"/>
    <cellStyle name="计算 2 10 7 3 3" xfId="24573"/>
    <cellStyle name="注释 2 8 10 16" xfId="24574"/>
    <cellStyle name="检查单元格 2 10 6 4 2" xfId="24575"/>
    <cellStyle name="计算 2 3 6 3" xfId="24576"/>
    <cellStyle name="计算 2 10 7 3 3 2" xfId="24577"/>
    <cellStyle name="输入 2 2 17 6" xfId="24578"/>
    <cellStyle name="检查单元格 2 10 6 4 2 2" xfId="24579"/>
    <cellStyle name="输出 2 2 27" xfId="24580"/>
    <cellStyle name="计算 2 3 8 6 2" xfId="24581"/>
    <cellStyle name="计算 2 10 7 3 4" xfId="24582"/>
    <cellStyle name="检查单元格 2 10 6 4 3" xfId="24583"/>
    <cellStyle name="计算 2 3 8 6 2 2" xfId="24584"/>
    <cellStyle name="计算 2 10 7 3 4 2" xfId="24585"/>
    <cellStyle name="输入 2 2 18 6" xfId="24586"/>
    <cellStyle name="检查单元格 2 10 6 4 3 2" xfId="24587"/>
    <cellStyle name="计算 2 3 7 3" xfId="24588"/>
    <cellStyle name="计算 2 3 8 6 3" xfId="24589"/>
    <cellStyle name="计算 2 10 7 3 5" xfId="24590"/>
    <cellStyle name="检查单元格 2 10 6 4 4" xfId="24591"/>
    <cellStyle name="计算 2 3 8 6 3 2" xfId="24592"/>
    <cellStyle name="计算 2 10 7 3 5 2" xfId="24593"/>
    <cellStyle name="检查单元格 2 10 6 4 4 2" xfId="24594"/>
    <cellStyle name="计算 2 3 8 3" xfId="24595"/>
    <cellStyle name="计算 2 3 3 3 5 2" xfId="24596"/>
    <cellStyle name="计算 2 10 7 4" xfId="24597"/>
    <cellStyle name="计算 2 10 7 4 2" xfId="24598"/>
    <cellStyle name="计算 2 4 5 3" xfId="24599"/>
    <cellStyle name="输出 2 11 8 7 6" xfId="24600"/>
    <cellStyle name="输出 2 2 9 4" xfId="24601"/>
    <cellStyle name="计算 2 10 7 4 2 2" xfId="24602"/>
    <cellStyle name="计算 2 10 7 4 3" xfId="24603"/>
    <cellStyle name="检查单元格 2 10 6 5 2" xfId="24604"/>
    <cellStyle name="计算 2 4 6 3" xfId="24605"/>
    <cellStyle name="计算 2 10 7 4 3 2" xfId="24606"/>
    <cellStyle name="检查单元格 2 10 6 5 2 2" xfId="24607"/>
    <cellStyle name="检查单元格 2 6 5 10" xfId="24608"/>
    <cellStyle name="输出 2 7 27" xfId="24609"/>
    <cellStyle name="计算 2 3 8 7 2" xfId="24610"/>
    <cellStyle name="计算 2 10 7 4 4" xfId="24611"/>
    <cellStyle name="检查单元格 2 10 6 5 3" xfId="24612"/>
    <cellStyle name="计算 2 12 10 2 2" xfId="24613"/>
    <cellStyle name="计算 2 4 7 3" xfId="24614"/>
    <cellStyle name="计算 2 3 8 7 2 2" xfId="24615"/>
    <cellStyle name="计算 2 10 7 4 4 2" xfId="24616"/>
    <cellStyle name="检查单元格 2 10 6 5 3 2" xfId="24617"/>
    <cellStyle name="计算 2 3 8 7 3" xfId="24618"/>
    <cellStyle name="计算 2 10 7 4 5" xfId="24619"/>
    <cellStyle name="检查单元格 2 10 6 5 4" xfId="24620"/>
    <cellStyle name="计算 2 4 8 3" xfId="24621"/>
    <cellStyle name="计算 2 3 8 7 3 2" xfId="24622"/>
    <cellStyle name="计算 2 10 7 4 5 2" xfId="24623"/>
    <cellStyle name="检查单元格 2 10 6 5 4 2" xfId="24624"/>
    <cellStyle name="输入 2 10 9 7 2 2" xfId="24625"/>
    <cellStyle name="计算 2 10 7 5" xfId="24626"/>
    <cellStyle name="计算 2 10 7 5 2" xfId="24627"/>
    <cellStyle name="检查单元格 2 2 5 12" xfId="24628"/>
    <cellStyle name="计算 2 10 7 5 2 2" xfId="24629"/>
    <cellStyle name="计算 2 10 7 5 3" xfId="24630"/>
    <cellStyle name="检查单元格 2 10 6 6 2" xfId="24631"/>
    <cellStyle name="检查单元格 2 2 5 13" xfId="24632"/>
    <cellStyle name="计算 2 10 7 5 3 2" xfId="24633"/>
    <cellStyle name="计算 2 3 8 8 2" xfId="24634"/>
    <cellStyle name="计算 2 10 7 5 4" xfId="24635"/>
    <cellStyle name="计算 2 12 10 3 2" xfId="24636"/>
    <cellStyle name="输出 2 10 6 5 2 2" xfId="24637"/>
    <cellStyle name="计算 2 3 8 8 2 2" xfId="24638"/>
    <cellStyle name="计算 2 10 7 5 4 2" xfId="24639"/>
    <cellStyle name="计算 2 3 8 8 3" xfId="24640"/>
    <cellStyle name="计算 2 10 7 5 5" xfId="24641"/>
    <cellStyle name="计算 2 3 8 8 3 2" xfId="24642"/>
    <cellStyle name="计算 2 10 7 5 5 2" xfId="24643"/>
    <cellStyle name="计算 2 2 3 3 2" xfId="24644"/>
    <cellStyle name="计算 2 10 7 6" xfId="24645"/>
    <cellStyle name="计算 2 2 3 3 2 2" xfId="24646"/>
    <cellStyle name="计算 2 10 7 6 2" xfId="24647"/>
    <cellStyle name="计算 2 10 7 6 2 2" xfId="24648"/>
    <cellStyle name="计算 2 10 7 6 3" xfId="24649"/>
    <cellStyle name="检查单元格 2 10 6 7 2" xfId="24650"/>
    <cellStyle name="计算 2 10 7 6 3 2" xfId="24651"/>
    <cellStyle name="计算 2 3 8 9 2" xfId="24652"/>
    <cellStyle name="计算 2 10 7 6 4" xfId="24653"/>
    <cellStyle name="计算 2 12 10 4 2" xfId="24654"/>
    <cellStyle name="输出 2 10 6 5 3 2" xfId="24655"/>
    <cellStyle name="计算 2 10 7 6 5" xfId="24656"/>
    <cellStyle name="计算 2 2 3 3 3" xfId="24657"/>
    <cellStyle name="计算 2 10 7 7" xfId="24658"/>
    <cellStyle name="计算 2 2 3 3 3 2" xfId="24659"/>
    <cellStyle name="计算 2 10 7 7 2" xfId="24660"/>
    <cellStyle name="计算 2 10 7 7 2 2" xfId="24661"/>
    <cellStyle name="计算 2 10 7 7 3" xfId="24662"/>
    <cellStyle name="检查单元格 2 10 6 8 2" xfId="24663"/>
    <cellStyle name="计算 2 10 7 7 3 2" xfId="24664"/>
    <cellStyle name="计算 2 12 10 5 2" xfId="24665"/>
    <cellStyle name="输出 2 10 6 5 4 2" xfId="24666"/>
    <cellStyle name="计算 2 10 7 7 4" xfId="24667"/>
    <cellStyle name="计算 2 11 2 9" xfId="24668"/>
    <cellStyle name="计算 2 10 7 7 4 2" xfId="24669"/>
    <cellStyle name="计算 2 10 7 7 5" xfId="24670"/>
    <cellStyle name="计算 2 11 3 9" xfId="24671"/>
    <cellStyle name="计算 2 10 7 7 5 2" xfId="24672"/>
    <cellStyle name="计算 2 2 3 3 4 2" xfId="24673"/>
    <cellStyle name="计算 2 10 7 8 2" xfId="24674"/>
    <cellStyle name="计算 2 10 7 8 2 2" xfId="24675"/>
    <cellStyle name="计算 2 10 7 8 3" xfId="24676"/>
    <cellStyle name="注释 2 8 11 16" xfId="24677"/>
    <cellStyle name="检查单元格 2 10 6 9 2" xfId="24678"/>
    <cellStyle name="计算 2 10 7 8 3 2" xfId="24679"/>
    <cellStyle name="计算 2 10 7 8 4" xfId="24680"/>
    <cellStyle name="输入 2 3 18 6" xfId="24681"/>
    <cellStyle name="计算 2 12 2 9" xfId="24682"/>
    <cellStyle name="计算 2 10 7 8 4 2" xfId="24683"/>
    <cellStyle name="输出 2 2 6 14" xfId="24684"/>
    <cellStyle name="计算 2 10 7 8 5" xfId="24685"/>
    <cellStyle name="计算 2 2 3 3 5" xfId="24686"/>
    <cellStyle name="计算 2 10 7 9" xfId="24687"/>
    <cellStyle name="计算 2 2 3 3 5 2" xfId="24688"/>
    <cellStyle name="计算 2 10 7 9 2" xfId="24689"/>
    <cellStyle name="输入 2 12 3 8 3" xfId="24690"/>
    <cellStyle name="计算 2 2 11 6 5 2" xfId="24691"/>
    <cellStyle name="计算 2 10 8" xfId="24692"/>
    <cellStyle name="计算 2 10 8 10 2" xfId="24693"/>
    <cellStyle name="计算 2 10 8 11" xfId="24694"/>
    <cellStyle name="计算 2 10 8 11 2" xfId="24695"/>
    <cellStyle name="计算 2 10 8 12" xfId="24696"/>
    <cellStyle name="计算 2 10 8 12 2" xfId="24697"/>
    <cellStyle name="计算 2 10 8 14" xfId="24698"/>
    <cellStyle name="计算 2 10 8 15" xfId="24699"/>
    <cellStyle name="计算 2 10 8 16" xfId="24700"/>
    <cellStyle name="输出 2 6 2 5 2" xfId="24701"/>
    <cellStyle name="计算 2 10 8 2" xfId="24702"/>
    <cellStyle name="计算 2 10 8 2 2" xfId="24703"/>
    <cellStyle name="注释 2 2 4 2 2 2" xfId="24704"/>
    <cellStyle name="计算 2 10 8 2 3" xfId="24705"/>
    <cellStyle name="检查单元格 2 10 7 3 2" xfId="24706"/>
    <cellStyle name="计算 2 3 9 5 2" xfId="24707"/>
    <cellStyle name="计算 2 10 8 2 4" xfId="24708"/>
    <cellStyle name="计算 2 7 6 2 2 2" xfId="24709"/>
    <cellStyle name="检查单元格 2 10 7 3 3" xfId="24710"/>
    <cellStyle name="计算 2 3 9 5 3" xfId="24711"/>
    <cellStyle name="计算 2 10 8 2 5" xfId="24712"/>
    <cellStyle name="检查单元格 2 10 7 3 4" xfId="24713"/>
    <cellStyle name="计算 2 3 9 5 4" xfId="24714"/>
    <cellStyle name="计算 2 10 8 2 6" xfId="24715"/>
    <cellStyle name="检查单元格 2 10 7 3 5" xfId="24716"/>
    <cellStyle name="计算 2 10 8 3" xfId="24717"/>
    <cellStyle name="计算 2 10 8 3 2" xfId="24718"/>
    <cellStyle name="注释 2 2 4 2 3 2" xfId="24719"/>
    <cellStyle name="计算 2 10 8 3 3" xfId="24720"/>
    <cellStyle name="检查单元格 2 10 7 4 2" xfId="24721"/>
    <cellStyle name="计算 2 3 9 6 2" xfId="24722"/>
    <cellStyle name="计算 2 10 8 3 4" xfId="24723"/>
    <cellStyle name="计算 2 7 6 2 3 2" xfId="24724"/>
    <cellStyle name="检查单元格 2 10 7 4 3" xfId="24725"/>
    <cellStyle name="计算 2 3 9 6 3" xfId="24726"/>
    <cellStyle name="计算 2 10 8 3 5" xfId="24727"/>
    <cellStyle name="检查单元格 2 10 7 4 4" xfId="24728"/>
    <cellStyle name="计算 2 3 9 6 4" xfId="24729"/>
    <cellStyle name="计算 2 10 8 3 6" xfId="24730"/>
    <cellStyle name="检查单元格 2 10 7 4 5" xfId="24731"/>
    <cellStyle name="计算 2 10 8 4" xfId="24732"/>
    <cellStyle name="输入 2 10 11 13" xfId="24733"/>
    <cellStyle name="计算 2 10 8 4 2" xfId="24734"/>
    <cellStyle name="注释 2 2 4 2 4 2" xfId="24735"/>
    <cellStyle name="输入 2 10 11 14" xfId="24736"/>
    <cellStyle name="计算 2 10 8 4 3" xfId="24737"/>
    <cellStyle name="检查单元格 2 10 7 5 2" xfId="24738"/>
    <cellStyle name="输入 2 10 11 15" xfId="24739"/>
    <cellStyle name="计算 2 3 9 7 2" xfId="24740"/>
    <cellStyle name="计算 2 10 8 4 4" xfId="24741"/>
    <cellStyle name="计算 2 7 6 2 4 2" xfId="24742"/>
    <cellStyle name="检查单元格 2 10 7 5 3" xfId="24743"/>
    <cellStyle name="计算 2 12 11 2 2" xfId="24744"/>
    <cellStyle name="输入 2 10 11 16" xfId="24745"/>
    <cellStyle name="计算 2 3 9 7 3" xfId="24746"/>
    <cellStyle name="计算 2 10 8 4 5" xfId="24747"/>
    <cellStyle name="检查单元格 2 10 7 5 4" xfId="24748"/>
    <cellStyle name="输入 2 10 9 7 3 2" xfId="24749"/>
    <cellStyle name="计算 2 10 8 5" xfId="24750"/>
    <cellStyle name="计算 2 2 3 4 2" xfId="24751"/>
    <cellStyle name="计算 2 10 8 6" xfId="24752"/>
    <cellStyle name="计算 2 2 3 4 3" xfId="24753"/>
    <cellStyle name="计算 2 10 8 7" xfId="24754"/>
    <cellStyle name="检查单元格 2 3 6 2 2 2" xfId="24755"/>
    <cellStyle name="计算 2 10 8 7 3 2" xfId="24756"/>
    <cellStyle name="计算 2 10 8 7 4 2" xfId="24757"/>
    <cellStyle name="计算 2 10 8 7 5 2" xfId="24758"/>
    <cellStyle name="输入 2 7 6 2 4 2" xfId="24759"/>
    <cellStyle name="计算 2 2 3 4 4" xfId="24760"/>
    <cellStyle name="计算 2 10 8 8" xfId="24761"/>
    <cellStyle name="计算 2 10 8 8 3 2" xfId="24762"/>
    <cellStyle name="输出 2 7 6 14" xfId="24763"/>
    <cellStyle name="计算 2 10 8 8 4 2" xfId="24764"/>
    <cellStyle name="计算 2 10 8 8 5" xfId="24765"/>
    <cellStyle name="计算 2 2 3 4 5" xfId="24766"/>
    <cellStyle name="计算 2 10 8 9" xfId="24767"/>
    <cellStyle name="计算 2 10 9 10 2" xfId="24768"/>
    <cellStyle name="计算 2 10 9 11" xfId="24769"/>
    <cellStyle name="计算 2 10 9 11 2" xfId="24770"/>
    <cellStyle name="计算 2 10 9 12" xfId="24771"/>
    <cellStyle name="计算 2 10 9 14" xfId="24772"/>
    <cellStyle name="计算 2 10 9 16" xfId="24773"/>
    <cellStyle name="计算 2 2 3 5 3" xfId="24774"/>
    <cellStyle name="计算 2 10 9 7" xfId="24775"/>
    <cellStyle name="检查单元格 2 3 6 2 3 2" xfId="24776"/>
    <cellStyle name="输入 2 7 6 2 5 2" xfId="24777"/>
    <cellStyle name="计算 2 2 3 5 4" xfId="24778"/>
    <cellStyle name="计算 2 10 9 8" xfId="24779"/>
    <cellStyle name="计算 2 2 3 5 5" xfId="24780"/>
    <cellStyle name="计算 2 10 9 9" xfId="24781"/>
    <cellStyle name="计算 2 2 3 5 5 2" xfId="24782"/>
    <cellStyle name="计算 2 10 9 9 2" xfId="24783"/>
    <cellStyle name="计算 2 11 10 15" xfId="24784"/>
    <cellStyle name="计算 2 6 7 6 6" xfId="24785"/>
    <cellStyle name="输出 2 11 4 2 2 2" xfId="24786"/>
    <cellStyle name="输出 2 3 4 8 3 2" xfId="24787"/>
    <cellStyle name="计算 2 11 10 16" xfId="24788"/>
    <cellStyle name="输入 2 8 8 8 4 2" xfId="24789"/>
    <cellStyle name="计算 2 11 11 15" xfId="24790"/>
    <cellStyle name="输出 2 4 11 6 5" xfId="24791"/>
    <cellStyle name="计算 2 11 11 2 2 2" xfId="24792"/>
    <cellStyle name="计算 2 7 15 5" xfId="24793"/>
    <cellStyle name="计算 2 11 11 2 3" xfId="24794"/>
    <cellStyle name="计算 2 11 11 2 3 2" xfId="24795"/>
    <cellStyle name="计算 2 7 16 5" xfId="24796"/>
    <cellStyle name="计算 2 11 11 2 4" xfId="24797"/>
    <cellStyle name="计算 2 7 17 5" xfId="24798"/>
    <cellStyle name="计算 2 11 11 2 4 2" xfId="24799"/>
    <cellStyle name="输出 2 5 9 10" xfId="24800"/>
    <cellStyle name="计算 2 11 11 2 5" xfId="24801"/>
    <cellStyle name="计算 2 11 11 2 5 2" xfId="24802"/>
    <cellStyle name="计算 2 7 18 5" xfId="24803"/>
    <cellStyle name="计算 2 11 11 2 6" xfId="24804"/>
    <cellStyle name="计算 2 11 11 3 2 2" xfId="24805"/>
    <cellStyle name="计算 2 11 11 3 3" xfId="24806"/>
    <cellStyle name="计算 2 11 5 10" xfId="24807"/>
    <cellStyle name="输出 2 4 4 4 3" xfId="24808"/>
    <cellStyle name="输入 2 4 2 2 4" xfId="24809"/>
    <cellStyle name="计算 2 11 11 3 3 2" xfId="24810"/>
    <cellStyle name="计算 2 11 11 3 4" xfId="24811"/>
    <cellStyle name="计算 2 11 11 3 5" xfId="24812"/>
    <cellStyle name="计算 2 11 11 3 6" xfId="24813"/>
    <cellStyle name="计算 2 11 11 4 2 2" xfId="24814"/>
    <cellStyle name="计算 2 11 11 4 3" xfId="24815"/>
    <cellStyle name="输入 2 4 3 2 4" xfId="24816"/>
    <cellStyle name="计算 2 11 11 4 3 2" xfId="24817"/>
    <cellStyle name="计算 2 11 11 4 4" xfId="24818"/>
    <cellStyle name="计算 2 11 11 4 5" xfId="24819"/>
    <cellStyle name="计算 2 11 11 4 6" xfId="24820"/>
    <cellStyle name="计算 2 11 11 5 2 2" xfId="24821"/>
    <cellStyle name="注释 2 4 6 2 2" xfId="24822"/>
    <cellStyle name="计算 2 11 11 5 3" xfId="24823"/>
    <cellStyle name="注释 2 4 6 2 2 2" xfId="24824"/>
    <cellStyle name="输入 2 4 4 2 4" xfId="24825"/>
    <cellStyle name="计算 2 11 11 5 3 2" xfId="24826"/>
    <cellStyle name="注释 2 4 6 2 3" xfId="24827"/>
    <cellStyle name="计算 2 11 11 5 4" xfId="24828"/>
    <cellStyle name="注释 2 4 6 2 4" xfId="24829"/>
    <cellStyle name="注释 2 12 5 8 2 2" xfId="24830"/>
    <cellStyle name="计算 2 11 11 5 5" xfId="24831"/>
    <cellStyle name="注释 2 4 6 2 5" xfId="24832"/>
    <cellStyle name="计算 2 11 11 5 6" xfId="24833"/>
    <cellStyle name="注释 2 4 6 3 2" xfId="24834"/>
    <cellStyle name="计算 2 11 11 6 3" xfId="24835"/>
    <cellStyle name="注释 2 4 6 3 3" xfId="24836"/>
    <cellStyle name="计算 2 11 11 6 4" xfId="24837"/>
    <cellStyle name="注释 2 4 6 3 4" xfId="24838"/>
    <cellStyle name="注释 2 12 5 8 3 2" xfId="24839"/>
    <cellStyle name="计算 2 11 11 6 5" xfId="24840"/>
    <cellStyle name="注释 2 4 6 3 5" xfId="24841"/>
    <cellStyle name="输出 2 9 9 10" xfId="24842"/>
    <cellStyle name="计算 2 11 11 6 6" xfId="24843"/>
    <cellStyle name="计算 2 11 11 7 2" xfId="24844"/>
    <cellStyle name="计算 2 11 11 7 2 2" xfId="24845"/>
    <cellStyle name="计算 2 8 15 5" xfId="24846"/>
    <cellStyle name="注释 2 4 6 4 2" xfId="24847"/>
    <cellStyle name="计算 2 12 9 2 2 2" xfId="24848"/>
    <cellStyle name="计算 2 11 11 7 3" xfId="24849"/>
    <cellStyle name="注释 2 4 6 4 2 2" xfId="24850"/>
    <cellStyle name="输入 2 4 6 2 4" xfId="24851"/>
    <cellStyle name="计算 2 11 11 7 3 2" xfId="24852"/>
    <cellStyle name="计算 2 8 16 5" xfId="24853"/>
    <cellStyle name="注释 2 4 6 4 3" xfId="24854"/>
    <cellStyle name="计算 2 11 11 7 4" xfId="24855"/>
    <cellStyle name="注释 2 4 6 4 4" xfId="24856"/>
    <cellStyle name="注释 2 12 5 8 4 2" xfId="24857"/>
    <cellStyle name="计算 2 11 11 7 5" xfId="24858"/>
    <cellStyle name="注释 2 4 6 4 5" xfId="24859"/>
    <cellStyle name="计算 2 11 11 7 6" xfId="24860"/>
    <cellStyle name="计算 2 11 11 8 2 2" xfId="24861"/>
    <cellStyle name="计算 2 6 5 3 3" xfId="24862"/>
    <cellStyle name="输出 2 12 9" xfId="24863"/>
    <cellStyle name="计算 2 12 5 10" xfId="24864"/>
    <cellStyle name="输出 2 4 9 4 3" xfId="24865"/>
    <cellStyle name="注释 2 4 6 5 2 2" xfId="24866"/>
    <cellStyle name="输入 2 4 7 2 4" xfId="24867"/>
    <cellStyle name="计算 2 11 11 8 3 2" xfId="24868"/>
    <cellStyle name="注释 2 4 6 5 3" xfId="24869"/>
    <cellStyle name="计算 2 11 11 8 4" xfId="24870"/>
    <cellStyle name="注释 2 4 6 5 4" xfId="24871"/>
    <cellStyle name="计算 2 11 11 8 5" xfId="24872"/>
    <cellStyle name="计算 2 11 11 9 2" xfId="24873"/>
    <cellStyle name="输出 2 11 2 15" xfId="24874"/>
    <cellStyle name="计算 2 11 12 8" xfId="24875"/>
    <cellStyle name="注释 2 3 17 3 2" xfId="24876"/>
    <cellStyle name="计算 2 11 12 9" xfId="24877"/>
    <cellStyle name="计算 2 12 5 4 4 2" xfId="24878"/>
    <cellStyle name="计算 2 5 6 7 2 2" xfId="24879"/>
    <cellStyle name="计算 2 11 23 2" xfId="24880"/>
    <cellStyle name="计算 2 11 18 2" xfId="24881"/>
    <cellStyle name="计算 2 2 4 14" xfId="24882"/>
    <cellStyle name="注释 2 5 5 3 2 2" xfId="24883"/>
    <cellStyle name="输出 2 8 9 2 7" xfId="24884"/>
    <cellStyle name="计算 2 11 19 3" xfId="24885"/>
    <cellStyle name="计算 2 2 5 2 7" xfId="24886"/>
    <cellStyle name="计算 2 11 2" xfId="24887"/>
    <cellStyle name="检查单元格 2 4 2 2 3" xfId="24888"/>
    <cellStyle name="检查单元格 2 6 5 2" xfId="24889"/>
    <cellStyle name="计算 2 11 2 15" xfId="24890"/>
    <cellStyle name="输出 2 4 2 2 3 2" xfId="24891"/>
    <cellStyle name="计算 2 12 7 6 5 2" xfId="24892"/>
    <cellStyle name="计算 2 11 2 16" xfId="24893"/>
    <cellStyle name="检查单元格 2 6 5 3" xfId="24894"/>
    <cellStyle name="检查单元格 2 4 2 2 3 2" xfId="24895"/>
    <cellStyle name="计算 2 11 2 2" xfId="24896"/>
    <cellStyle name="检查单元格 2 5 2 3 3" xfId="24897"/>
    <cellStyle name="计算 2 4 3 5" xfId="24898"/>
    <cellStyle name="计算 2 9 3 11 2" xfId="24899"/>
    <cellStyle name="输出 2 2 7 6" xfId="24900"/>
    <cellStyle name="计算 2 11 2 2 2" xfId="24901"/>
    <cellStyle name="检查单元格 2 5 2 3 3 2" xfId="24902"/>
    <cellStyle name="计算 2 4 3 7" xfId="24903"/>
    <cellStyle name="输入 2 2 5 4 3" xfId="24904"/>
    <cellStyle name="计算 2 11 2 2 2 2" xfId="24905"/>
    <cellStyle name="输出 2 2 7 8" xfId="24906"/>
    <cellStyle name="计算 2 4 3 5 2" xfId="24907"/>
    <cellStyle name="计算 2 11 2 2 4" xfId="24908"/>
    <cellStyle name="输出 2 2 7 6 2" xfId="24909"/>
    <cellStyle name="输出 2 9 4 5 4 2" xfId="24910"/>
    <cellStyle name="计算 2 4 3 6" xfId="24911"/>
    <cellStyle name="输入 2 2 5 4 2" xfId="24912"/>
    <cellStyle name="输出 2 2 7 7" xfId="24913"/>
    <cellStyle name="计算 2 11 2 2 3" xfId="24914"/>
    <cellStyle name="计算 2 4 4 7" xfId="24915"/>
    <cellStyle name="输入 2 2 5 5 3" xfId="24916"/>
    <cellStyle name="计算 2 11 2 2 3 2" xfId="24917"/>
    <cellStyle name="输出 2 2 8 8" xfId="24918"/>
    <cellStyle name="计算 2 4 3 6 2" xfId="24919"/>
    <cellStyle name="计算 2 11 2 3 4" xfId="24920"/>
    <cellStyle name="输入 2 2 5 4 2 2" xfId="24921"/>
    <cellStyle name="输出 2 2 7 7 2" xfId="24922"/>
    <cellStyle name="计算 2 4 5 7" xfId="24923"/>
    <cellStyle name="输出 2 2 7 6 2 2" xfId="24924"/>
    <cellStyle name="输入 2 2 5 6 3" xfId="24925"/>
    <cellStyle name="计算 2 4 3 5 2 2" xfId="24926"/>
    <cellStyle name="计算 2 11 2 2 4 2" xfId="24927"/>
    <cellStyle name="输出 2 2 9 8" xfId="24928"/>
    <cellStyle name="计算 2 4 3 7 2" xfId="24929"/>
    <cellStyle name="计算 2 11 2 4 4" xfId="24930"/>
    <cellStyle name="输入 2 2 5 4 3 2" xfId="24931"/>
    <cellStyle name="输出 2 2 7 8 2" xfId="24932"/>
    <cellStyle name="计算 2 4 3 8" xfId="24933"/>
    <cellStyle name="注释 2 4 4 3 4 2" xfId="24934"/>
    <cellStyle name="输入 2 2 5 4 4" xfId="24935"/>
    <cellStyle name="输出 2 2 7 9" xfId="24936"/>
    <cellStyle name="计算 2 4 3 5 3" xfId="24937"/>
    <cellStyle name="计算 2 11 2 2 5" xfId="24938"/>
    <cellStyle name="检查单元格 2 3 8 2 3 2" xfId="24939"/>
    <cellStyle name="输出 2 2 7 6 3" xfId="24940"/>
    <cellStyle name="输入 2 2 5 7 3" xfId="24941"/>
    <cellStyle name="计算 2 4 3 5 3 2" xfId="24942"/>
    <cellStyle name="计算 2 11 2 2 5 2" xfId="24943"/>
    <cellStyle name="计算 2 4 6 7" xfId="24944"/>
    <cellStyle name="输出 2 2 7 6 3 2" xfId="24945"/>
    <cellStyle name="计算 2 4 3 8 2" xfId="24946"/>
    <cellStyle name="计算 2 11 2 5 4" xfId="24947"/>
    <cellStyle name="输入 2 2 5 4 4 2" xfId="24948"/>
    <cellStyle name="输出 2 2 7 9 2" xfId="24949"/>
    <cellStyle name="输入 2 2 5 4 5" xfId="24950"/>
    <cellStyle name="计算 2 7 10 11 2" xfId="24951"/>
    <cellStyle name="计算 2 4 3 9" xfId="24952"/>
    <cellStyle name="计算 2 9 6 3 4 2" xfId="24953"/>
    <cellStyle name="输入 2 7 8 2 5 2" xfId="24954"/>
    <cellStyle name="计算 2 4 3 5 4" xfId="24955"/>
    <cellStyle name="计算 2 11 2 2 6" xfId="24956"/>
    <cellStyle name="输出 2 2 7 6 4" xfId="24957"/>
    <cellStyle name="输入 2 8 2 2 5 2" xfId="24958"/>
    <cellStyle name="计算 2 11 2 3" xfId="24959"/>
    <cellStyle name="检查单元格 2 5 2 3 4" xfId="24960"/>
    <cellStyle name="计算 2 4 4 5" xfId="24961"/>
    <cellStyle name="计算 2 9 3 12 2" xfId="24962"/>
    <cellStyle name="输出 2 2 8 6" xfId="24963"/>
    <cellStyle name="计算 2 11 2 3 2" xfId="24964"/>
    <cellStyle name="检查单元格 2 5 2 3 4 2" xfId="24965"/>
    <cellStyle name="计算 2 4 4 5 2" xfId="24966"/>
    <cellStyle name="计算 2 11 3 2 4" xfId="24967"/>
    <cellStyle name="输出 2 2 8 6 2" xfId="24968"/>
    <cellStyle name="计算 2 5 3 7" xfId="24969"/>
    <cellStyle name="输入 2 2 6 4 3" xfId="24970"/>
    <cellStyle name="计算 2 11 2 3 2 2" xfId="24971"/>
    <cellStyle name="输出 2 3 7 8" xfId="24972"/>
    <cellStyle name="输出 2 9 4 5 5 2" xfId="24973"/>
    <cellStyle name="计算 2 4 4 6" xfId="24974"/>
    <cellStyle name="输入 2 2 5 5 2" xfId="24975"/>
    <cellStyle name="输出 2 2 8 7" xfId="24976"/>
    <cellStyle name="计算 2 11 2 3 3" xfId="24977"/>
    <cellStyle name="计算 2 4 4 6 2" xfId="24978"/>
    <cellStyle name="计算 2 11 3 3 4" xfId="24979"/>
    <cellStyle name="输入 2 2 5 5 2 2" xfId="24980"/>
    <cellStyle name="输出 2 2 8 7 2" xfId="24981"/>
    <cellStyle name="计算 2 5 4 7" xfId="24982"/>
    <cellStyle name="输入 2 2 6 5 3" xfId="24983"/>
    <cellStyle name="计算 2 11 2 3 3 2" xfId="24984"/>
    <cellStyle name="输出 2 3 8 8" xfId="24985"/>
    <cellStyle name="计算 2 4 4 7 2" xfId="24986"/>
    <cellStyle name="计算 2 11 3 4 4" xfId="24987"/>
    <cellStyle name="输入 2 2 5 5 3 2" xfId="24988"/>
    <cellStyle name="输出 2 2 8 8 2" xfId="24989"/>
    <cellStyle name="计算 2 5 5 7" xfId="24990"/>
    <cellStyle name="输出 2 2 7 7 2 2" xfId="24991"/>
    <cellStyle name="输入 2 2 6 6 3" xfId="24992"/>
    <cellStyle name="计算 2 4 3 6 2 2" xfId="24993"/>
    <cellStyle name="计算 2 11 2 3 4 2" xfId="24994"/>
    <cellStyle name="输出 2 3 9 8" xfId="24995"/>
    <cellStyle name="计算 2 4 4 8" xfId="24996"/>
    <cellStyle name="注释 2 4 4 3 5 2" xfId="24997"/>
    <cellStyle name="输入 2 2 5 5 4" xfId="24998"/>
    <cellStyle name="输出 2 2 8 9" xfId="24999"/>
    <cellStyle name="计算 2 4 3 6 3" xfId="25000"/>
    <cellStyle name="计算 2 11 2 3 5" xfId="25001"/>
    <cellStyle name="检查单元格 2 3 8 2 4 2" xfId="25002"/>
    <cellStyle name="输出 2 2 7 7 3" xfId="25003"/>
    <cellStyle name="计算 2 4 4 8 2" xfId="25004"/>
    <cellStyle name="计算 2 11 3 5 4" xfId="25005"/>
    <cellStyle name="输入 2 2 5 5 4 2" xfId="25006"/>
    <cellStyle name="输出 2 2 8 9 2" xfId="25007"/>
    <cellStyle name="输入 2 2 6 7 3" xfId="25008"/>
    <cellStyle name="计算 2 4 3 6 3 2" xfId="25009"/>
    <cellStyle name="计算 2 11 2 3 5 2" xfId="25010"/>
    <cellStyle name="计算 2 5 6 7" xfId="25011"/>
    <cellStyle name="输出 2 2 7 7 3 2" xfId="25012"/>
    <cellStyle name="计算 2 11 2 4" xfId="25013"/>
    <cellStyle name="检查单元格 2 5 2 3 5" xfId="25014"/>
    <cellStyle name="计算 2 4 5 5" xfId="25015"/>
    <cellStyle name="输出 2 2 9 6" xfId="25016"/>
    <cellStyle name="计算 2 11 2 4 2" xfId="25017"/>
    <cellStyle name="检查单元格 2 5 2 3 5 2" xfId="25018"/>
    <cellStyle name="计算 2 4 5 5 2" xfId="25019"/>
    <cellStyle name="计算 2 11 4 2 4" xfId="25020"/>
    <cellStyle name="输出 2 2 9 6 2" xfId="25021"/>
    <cellStyle name="计算 2 6 3 7" xfId="25022"/>
    <cellStyle name="输入 2 2 7 4 3" xfId="25023"/>
    <cellStyle name="计算 2 11 2 4 2 2" xfId="25024"/>
    <cellStyle name="输出 2 4 7 8" xfId="25025"/>
    <cellStyle name="计算 2 4 5 6" xfId="25026"/>
    <cellStyle name="输入 2 2 5 6 2" xfId="25027"/>
    <cellStyle name="输出 2 2 9 7" xfId="25028"/>
    <cellStyle name="计算 2 11 2 4 3" xfId="25029"/>
    <cellStyle name="计算 2 4 5 6 2" xfId="25030"/>
    <cellStyle name="计算 2 11 4 3 4" xfId="25031"/>
    <cellStyle name="输入 2 2 5 6 2 2" xfId="25032"/>
    <cellStyle name="输出 2 2 9 7 2" xfId="25033"/>
    <cellStyle name="计算 2 6 4 7" xfId="25034"/>
    <cellStyle name="输入 2 2 7 5 3" xfId="25035"/>
    <cellStyle name="计算 2 11 2 4 3 2" xfId="25036"/>
    <cellStyle name="输出 2 4 8 8" xfId="25037"/>
    <cellStyle name="计算 2 4 5 7 2" xfId="25038"/>
    <cellStyle name="计算 2 11 4 4 4" xfId="25039"/>
    <cellStyle name="输入 2 2 5 6 3 2" xfId="25040"/>
    <cellStyle name="输出 2 2 9 8 2" xfId="25041"/>
    <cellStyle name="计算 2 6 5 7" xfId="25042"/>
    <cellStyle name="输出 2 2 7 8 2 2" xfId="25043"/>
    <cellStyle name="注释 2 3 6 12" xfId="25044"/>
    <cellStyle name="输入 2 2 7 6 3" xfId="25045"/>
    <cellStyle name="计算 2 4 3 7 2 2" xfId="25046"/>
    <cellStyle name="计算 2 11 2 4 4 2" xfId="25047"/>
    <cellStyle name="输出 2 4 9 8" xfId="25048"/>
    <cellStyle name="计算 2 4 5 8" xfId="25049"/>
    <cellStyle name="输入 2 2 5 6 4" xfId="25050"/>
    <cellStyle name="输出 2 2 9 9" xfId="25051"/>
    <cellStyle name="计算 2 4 3 7 3" xfId="25052"/>
    <cellStyle name="计算 2 11 2 4 5" xfId="25053"/>
    <cellStyle name="检查单元格 2 3 8 2 5 2" xfId="25054"/>
    <cellStyle name="输出 2 10 7 2 2" xfId="25055"/>
    <cellStyle name="输出 2 2 7 8 3" xfId="25056"/>
    <cellStyle name="计算 2 4 5 8 2" xfId="25057"/>
    <cellStyle name="计算 2 11 4 5 4" xfId="25058"/>
    <cellStyle name="输入 2 2 5 6 4 2" xfId="25059"/>
    <cellStyle name="输出 2 2 9 9 2" xfId="25060"/>
    <cellStyle name="输入 2 2 7 7 3" xfId="25061"/>
    <cellStyle name="计算 2 4 3 7 3 2" xfId="25062"/>
    <cellStyle name="计算 2 11 2 4 5 2" xfId="25063"/>
    <cellStyle name="计算 2 6 6 7" xfId="25064"/>
    <cellStyle name="输出 2 10 7 2 2 2" xfId="25065"/>
    <cellStyle name="输出 2 2 7 8 3 2" xfId="25066"/>
    <cellStyle name="计算 2 11 2 5" xfId="25067"/>
    <cellStyle name="检查单元格 2 5 2 3 6" xfId="25068"/>
    <cellStyle name="计算 2 4 6 5" xfId="25069"/>
    <cellStyle name="计算 2 11 2 5 2" xfId="25070"/>
    <cellStyle name="检查单元格 2 6 5 12" xfId="25071"/>
    <cellStyle name="计算 2 4 6 5 2" xfId="25072"/>
    <cellStyle name="计算 2 11 5 2 4" xfId="25073"/>
    <cellStyle name="计算 2 7 3 7" xfId="25074"/>
    <cellStyle name="输入 2 2 8 4 3" xfId="25075"/>
    <cellStyle name="计算 2 11 2 5 2 2" xfId="25076"/>
    <cellStyle name="输出 2 5 7 8" xfId="25077"/>
    <cellStyle name="计算 2 4 6 6" xfId="25078"/>
    <cellStyle name="计算 2 11 2 5 3" xfId="25079"/>
    <cellStyle name="检查单元格 2 6 5 13" xfId="25080"/>
    <cellStyle name="计算 2 4 6 6 2" xfId="25081"/>
    <cellStyle name="计算 2 11 5 3 4" xfId="25082"/>
    <cellStyle name="计算 2 7 4 7" xfId="25083"/>
    <cellStyle name="输入 2 2 8 5 3" xfId="25084"/>
    <cellStyle name="计算 2 11 2 5 3 2" xfId="25085"/>
    <cellStyle name="输出 2 5 8 8" xfId="25086"/>
    <cellStyle name="计算 2 4 6 7 2" xfId="25087"/>
    <cellStyle name="计算 2 11 5 4 4" xfId="25088"/>
    <cellStyle name="计算 2 7 5 7" xfId="25089"/>
    <cellStyle name="输入 2 2 8 6 3" xfId="25090"/>
    <cellStyle name="计算 2 4 3 8 2 2" xfId="25091"/>
    <cellStyle name="计算 2 11 2 5 4 2" xfId="25092"/>
    <cellStyle name="输出 2 5 9 8" xfId="25093"/>
    <cellStyle name="计算 2 4 6 8" xfId="25094"/>
    <cellStyle name="计算 2 4 3 8 3" xfId="25095"/>
    <cellStyle name="计算 2 11 2 5 5" xfId="25096"/>
    <cellStyle name="输出 2 10 7 3 2" xfId="25097"/>
    <cellStyle name="计算 2 4 6 8 2" xfId="25098"/>
    <cellStyle name="计算 2 11 5 5 4" xfId="25099"/>
    <cellStyle name="输入 2 2 8 7 3" xfId="25100"/>
    <cellStyle name="计算 2 4 3 8 3 2" xfId="25101"/>
    <cellStyle name="计算 2 11 2 5 5 2" xfId="25102"/>
    <cellStyle name="计算 2 7 6 7" xfId="25103"/>
    <cellStyle name="输出 2 10 7 3 2 2" xfId="25104"/>
    <cellStyle name="计算 2 11 2 6" xfId="25105"/>
    <cellStyle name="计算 2 4 7 5" xfId="25106"/>
    <cellStyle name="计算 2 3 7 11" xfId="25107"/>
    <cellStyle name="计算 2 11 2 6 2" xfId="25108"/>
    <cellStyle name="计算 2 4 7 5 2" xfId="25109"/>
    <cellStyle name="计算 2 11 6 2 4" xfId="25110"/>
    <cellStyle name="计算 2 3 7 11 2" xfId="25111"/>
    <cellStyle name="计算 2 8 3 7" xfId="25112"/>
    <cellStyle name="输入 2 2 9 4 3" xfId="25113"/>
    <cellStyle name="计算 2 11 2 6 2 2" xfId="25114"/>
    <cellStyle name="输出 2 6 7 8" xfId="25115"/>
    <cellStyle name="计算 2 4 7 6" xfId="25116"/>
    <cellStyle name="计算 2 3 7 12" xfId="25117"/>
    <cellStyle name="计算 2 11 2 6 3" xfId="25118"/>
    <cellStyle name="输入 2 2 5 8 3" xfId="25119"/>
    <cellStyle name="计算 2 4 3 5 4 2" xfId="25120"/>
    <cellStyle name="计算 2 4 7 7" xfId="25121"/>
    <cellStyle name="输出 2 2 7 6 4 2" xfId="25122"/>
    <cellStyle name="输入 2 2 5 4 5 2" xfId="25123"/>
    <cellStyle name="计算 2 3 7 13" xfId="25124"/>
    <cellStyle name="计算 2 4 3 9 2" xfId="25125"/>
    <cellStyle name="计算 2 11 2 6 4" xfId="25126"/>
    <cellStyle name="计算 2 4 7 7 2" xfId="25127"/>
    <cellStyle name="计算 2 11 6 4 4" xfId="25128"/>
    <cellStyle name="计算 2 8 5 7" xfId="25129"/>
    <cellStyle name="输入 2 2 9 6 3" xfId="25130"/>
    <cellStyle name="计算 2 11 2 6 4 2" xfId="25131"/>
    <cellStyle name="输出 2 6 9 8" xfId="25132"/>
    <cellStyle name="计算 2 4 7 8" xfId="25133"/>
    <cellStyle name="计算 2 11 2 6 5" xfId="25134"/>
    <cellStyle name="计算 2 3 7 14" xfId="25135"/>
    <cellStyle name="输出 2 10 7 4 2" xfId="25136"/>
    <cellStyle name="计算 2 4 7 8 2" xfId="25137"/>
    <cellStyle name="计算 2 11 6 5 4" xfId="25138"/>
    <cellStyle name="输入 2 2 9 7 3" xfId="25139"/>
    <cellStyle name="计算 2 11 2 6 5 2" xfId="25140"/>
    <cellStyle name="计算 2 8 6 7" xfId="25141"/>
    <cellStyle name="输出 2 10 7 4 2 2" xfId="25142"/>
    <cellStyle name="计算 2 11 2 7" xfId="25143"/>
    <cellStyle name="计算 2 4 8 5" xfId="25144"/>
    <cellStyle name="计算 2 11 2 7 2" xfId="25145"/>
    <cellStyle name="计算 2 4 8 5 2" xfId="25146"/>
    <cellStyle name="计算 2 11 7 2 4" xfId="25147"/>
    <cellStyle name="输出 2 7 7 8" xfId="25148"/>
    <cellStyle name="计算 2 11 2 7 2 2" xfId="25149"/>
    <cellStyle name="计算 2 9 3 7" xfId="25150"/>
    <cellStyle name="计算 2 4 8 6" xfId="25151"/>
    <cellStyle name="计算 2 11 2 7 3" xfId="25152"/>
    <cellStyle name="计算 2 4 8 6 2" xfId="25153"/>
    <cellStyle name="计算 2 11 7 3 4" xfId="25154"/>
    <cellStyle name="输出 2 7 8 8" xfId="25155"/>
    <cellStyle name="计算 2 11 2 7 3 2" xfId="25156"/>
    <cellStyle name="计算 2 9 4 7" xfId="25157"/>
    <cellStyle name="计算 2 4 8 7 2" xfId="25158"/>
    <cellStyle name="计算 2 11 7 4 4" xfId="25159"/>
    <cellStyle name="输出 2 7 9 8" xfId="25160"/>
    <cellStyle name="计算 2 11 2 7 4 2" xfId="25161"/>
    <cellStyle name="计算 2 9 5 7" xfId="25162"/>
    <cellStyle name="计算 2 4 8 8" xfId="25163"/>
    <cellStyle name="计算 2 11 2 7 5" xfId="25164"/>
    <cellStyle name="输出 2 10 7 5 2" xfId="25165"/>
    <cellStyle name="计算 2 4 8 8 2" xfId="25166"/>
    <cellStyle name="计算 2 11 7 5 4" xfId="25167"/>
    <cellStyle name="计算 2 11 2 7 5 2" xfId="25168"/>
    <cellStyle name="计算 2 9 6 7" xfId="25169"/>
    <cellStyle name="输出 2 10 7 5 2 2" xfId="25170"/>
    <cellStyle name="计算 2 4 8 9" xfId="25171"/>
    <cellStyle name="计算 2 11 2 7 6" xfId="25172"/>
    <cellStyle name="输出 2 10 7 5 3" xfId="25173"/>
    <cellStyle name="计算 2 11 2 8" xfId="25174"/>
    <cellStyle name="输出 2 2 2 3 2 2" xfId="25175"/>
    <cellStyle name="计算 2 4 9 5" xfId="25176"/>
    <cellStyle name="计算 2 7 7 2 2" xfId="25177"/>
    <cellStyle name="计算 2 11 2 8 2" xfId="25178"/>
    <cellStyle name="计算 2 4 9 5 2" xfId="25179"/>
    <cellStyle name="计算 2 11 8 2 4" xfId="25180"/>
    <cellStyle name="计算 2 7 7 2 2 2" xfId="25181"/>
    <cellStyle name="输出 2 8 7 8" xfId="25182"/>
    <cellStyle name="计算 2 11 2 8 2 2" xfId="25183"/>
    <cellStyle name="计算 2 4 9 6" xfId="25184"/>
    <cellStyle name="计算 2 7 7 2 3" xfId="25185"/>
    <cellStyle name="计算 2 11 2 8 3" xfId="25186"/>
    <cellStyle name="计算 2 4 9 6 2" xfId="25187"/>
    <cellStyle name="计算 2 11 8 3 4" xfId="25188"/>
    <cellStyle name="计算 2 7 7 2 3 2" xfId="25189"/>
    <cellStyle name="输出 2 8 8 8" xfId="25190"/>
    <cellStyle name="计算 2 11 2 8 3 2" xfId="25191"/>
    <cellStyle name="注释 2 14 15" xfId="25192"/>
    <cellStyle name="检查单元格 2 2 10 5" xfId="25193"/>
    <cellStyle name="输入 2 11 11 15" xfId="25194"/>
    <cellStyle name="计算 2 4 9 7 2" xfId="25195"/>
    <cellStyle name="计算 2 11 8 4 4" xfId="25196"/>
    <cellStyle name="计算 2 7 7 2 4 2" xfId="25197"/>
    <cellStyle name="输出 2 8 9 8" xfId="25198"/>
    <cellStyle name="计算 2 11 2 8 4 2" xfId="25199"/>
    <cellStyle name="检查单元格 2 2 11 5" xfId="25200"/>
    <cellStyle name="计算 2 4 9 8" xfId="25201"/>
    <cellStyle name="计算 2 7 7 2 5" xfId="25202"/>
    <cellStyle name="计算 2 11 2 8 5" xfId="25203"/>
    <cellStyle name="输出 2 10 7 6 2" xfId="25204"/>
    <cellStyle name="计算 2 2 5 2 8" xfId="25205"/>
    <cellStyle name="计算 2 11 3" xfId="25206"/>
    <cellStyle name="检查单元格 2 4 2 2 4" xfId="25207"/>
    <cellStyle name="计算 2 11 3 10 2" xfId="25208"/>
    <cellStyle name="计算 2 11 3 11" xfId="25209"/>
    <cellStyle name="计算 2 11 3 11 2" xfId="25210"/>
    <cellStyle name="计算 2 11 3 12" xfId="25211"/>
    <cellStyle name="计算 2 11 3 12 2" xfId="25212"/>
    <cellStyle name="检查单元格 2 4 2 2 4 2" xfId="25213"/>
    <cellStyle name="计算 2 11 3 2" xfId="25214"/>
    <cellStyle name="检查单元格 2 5 2 4 3" xfId="25215"/>
    <cellStyle name="计算 2 11 3 2 2" xfId="25216"/>
    <cellStyle name="检查单元格 2 5 2 4 3 2" xfId="25217"/>
    <cellStyle name="计算 2 12 2 2 4" xfId="25218"/>
    <cellStyle name="计算 2 5 3 5 2" xfId="25219"/>
    <cellStyle name="输出 2 3 7 6 2" xfId="25220"/>
    <cellStyle name="输入 2 3 5 4 3" xfId="25221"/>
    <cellStyle name="计算 2 11 3 2 2 2" xfId="25222"/>
    <cellStyle name="计算 2 11 3 2 3" xfId="25223"/>
    <cellStyle name="输入 2 3 5 6 3" xfId="25224"/>
    <cellStyle name="计算 2 4 4 5 2 2" xfId="25225"/>
    <cellStyle name="计算 2 11 3 2 4 2" xfId="25226"/>
    <cellStyle name="输出 2 2 8 6 2 2" xfId="25227"/>
    <cellStyle name="计算 2 12 2 4 4" xfId="25228"/>
    <cellStyle name="计算 2 5 3 7 2" xfId="25229"/>
    <cellStyle name="输入 2 2 6 4 3 2" xfId="25230"/>
    <cellStyle name="输出 2 3 7 8 2" xfId="25231"/>
    <cellStyle name="计算 2 4 4 5 3" xfId="25232"/>
    <cellStyle name="计算 2 11 3 2 5" xfId="25233"/>
    <cellStyle name="检查单元格 2 3 8 3 3 2" xfId="25234"/>
    <cellStyle name="输出 2 2 8 6 3" xfId="25235"/>
    <cellStyle name="输入 2 3 5 7 3" xfId="25236"/>
    <cellStyle name="计算 2 4 4 5 3 2" xfId="25237"/>
    <cellStyle name="计算 2 11 3 2 5 2" xfId="25238"/>
    <cellStyle name="输出 2 2 8 6 3 2" xfId="25239"/>
    <cellStyle name="计算 2 12 2 5 4" xfId="25240"/>
    <cellStyle name="计算 2 5 3 8 2" xfId="25241"/>
    <cellStyle name="输入 2 6 10 2 5" xfId="25242"/>
    <cellStyle name="输入 2 2 6 4 4 2" xfId="25243"/>
    <cellStyle name="输出 2 3 7 9 2" xfId="25244"/>
    <cellStyle name="输入 2 7 8 3 5 2" xfId="25245"/>
    <cellStyle name="计算 2 4 4 5 4" xfId="25246"/>
    <cellStyle name="计算 2 11 3 2 6" xfId="25247"/>
    <cellStyle name="输出 2 2 8 6 4" xfId="25248"/>
    <cellStyle name="计算 2 11 3 3" xfId="25249"/>
    <cellStyle name="检查单元格 2 5 2 4 4" xfId="25250"/>
    <cellStyle name="计算 2 11 3 3 2" xfId="25251"/>
    <cellStyle name="检查单元格 2 5 2 4 4 2" xfId="25252"/>
    <cellStyle name="计算 2 11 3 3 3" xfId="25253"/>
    <cellStyle name="计算 2 4 4 6 3" xfId="25254"/>
    <cellStyle name="计算 2 11 3 3 5" xfId="25255"/>
    <cellStyle name="检查单元格 2 3 8 3 4 2" xfId="25256"/>
    <cellStyle name="输出 2 2 8 7 3" xfId="25257"/>
    <cellStyle name="计算 2 11 3 4" xfId="25258"/>
    <cellStyle name="检查单元格 2 5 2 4 5" xfId="25259"/>
    <cellStyle name="计算 2 11 3 4 2" xfId="25260"/>
    <cellStyle name="检查单元格 2 5 2 4 5 2" xfId="25261"/>
    <cellStyle name="计算 2 11 3 4 3" xfId="25262"/>
    <cellStyle name="计算 2 4 4 7 3" xfId="25263"/>
    <cellStyle name="计算 2 11 3 4 5" xfId="25264"/>
    <cellStyle name="检查单元格 2 3 8 3 5 2" xfId="25265"/>
    <cellStyle name="输出 2 10 8 2 2" xfId="25266"/>
    <cellStyle name="输出 2 2 8 8 3" xfId="25267"/>
    <cellStyle name="计算 2 11 3 5" xfId="25268"/>
    <cellStyle name="检查单元格 2 5 2 4 6" xfId="25269"/>
    <cellStyle name="计算 2 11 3 5 2" xfId="25270"/>
    <cellStyle name="计算 2 12 5 2 4" xfId="25271"/>
    <cellStyle name="计算 2 5 6 5 2" xfId="25272"/>
    <cellStyle name="输入 2 3 8 4 3" xfId="25273"/>
    <cellStyle name="计算 2 11 3 5 2 2" xfId="25274"/>
    <cellStyle name="计算 2 11 3 5 3" xfId="25275"/>
    <cellStyle name="计算 2 12 5 3 4" xfId="25276"/>
    <cellStyle name="计算 2 5 6 6 2" xfId="25277"/>
    <cellStyle name="输入 2 3 8 5 3" xfId="25278"/>
    <cellStyle name="计算 2 11 3 5 3 2" xfId="25279"/>
    <cellStyle name="输入 2 3 8 6 3" xfId="25280"/>
    <cellStyle name="计算 2 4 4 8 2 2" xfId="25281"/>
    <cellStyle name="计算 2 11 3 5 4 2" xfId="25282"/>
    <cellStyle name="计算 2 12 5 4 4" xfId="25283"/>
    <cellStyle name="计算 2 5 6 7 2" xfId="25284"/>
    <cellStyle name="计算 2 4 4 8 3" xfId="25285"/>
    <cellStyle name="计算 2 11 3 5 5" xfId="25286"/>
    <cellStyle name="输出 2 10 8 3 2" xfId="25287"/>
    <cellStyle name="输入 2 3 8 7 3" xfId="25288"/>
    <cellStyle name="计算 2 4 4 8 3 2" xfId="25289"/>
    <cellStyle name="计算 2 11 3 5 5 2" xfId="25290"/>
    <cellStyle name="注释 2 10 2 4 4" xfId="25291"/>
    <cellStyle name="输出 2 10 8 3 2 2" xfId="25292"/>
    <cellStyle name="计算 2 12 5 5 4" xfId="25293"/>
    <cellStyle name="计算 2 5 6 8 2" xfId="25294"/>
    <cellStyle name="计算 2 11 3 6 2" xfId="25295"/>
    <cellStyle name="计算 2 12 6 2 4" xfId="25296"/>
    <cellStyle name="计算 2 5 7 5 2" xfId="25297"/>
    <cellStyle name="输入 2 3 9 4 3" xfId="25298"/>
    <cellStyle name="计算 2 11 3 6 2 2" xfId="25299"/>
    <cellStyle name="计算 2 11 3 6 3" xfId="25300"/>
    <cellStyle name="输出 2 6 10 2 2 2" xfId="25301"/>
    <cellStyle name="计算 2 4 4 9 2" xfId="25302"/>
    <cellStyle name="计算 2 11 3 6 4" xfId="25303"/>
    <cellStyle name="输入 2 2 6 8 3" xfId="25304"/>
    <cellStyle name="计算 2 4 3 6 4 2" xfId="25305"/>
    <cellStyle name="计算 2 5 7 7" xfId="25306"/>
    <cellStyle name="输出 2 2 7 7 4 2" xfId="25307"/>
    <cellStyle name="计算 2 12 6 4 4" xfId="25308"/>
    <cellStyle name="计算 2 5 7 7 2" xfId="25309"/>
    <cellStyle name="输入 2 3 9 6 3" xfId="25310"/>
    <cellStyle name="计算 2 11 3 6 4 2" xfId="25311"/>
    <cellStyle name="计算 2 11 3 6 5" xfId="25312"/>
    <cellStyle name="输出 2 10 8 4 2" xfId="25313"/>
    <cellStyle name="计算 2 12 6 5 4" xfId="25314"/>
    <cellStyle name="计算 2 5 7 8 2" xfId="25315"/>
    <cellStyle name="输入 2 3 9 7 3" xfId="25316"/>
    <cellStyle name="计算 2 11 3 6 5 2" xfId="25317"/>
    <cellStyle name="注释 2 10 3 4 4" xfId="25318"/>
    <cellStyle name="输出 2 10 8 4 2 2" xfId="25319"/>
    <cellStyle name="计算 2 11 3 7" xfId="25320"/>
    <cellStyle name="计算 2 11 3 7 2" xfId="25321"/>
    <cellStyle name="计算 2 11 3 7 3" xfId="25322"/>
    <cellStyle name="输出 2 6 10 2 3 2" xfId="25323"/>
    <cellStyle name="计算 2 11 3 7 5" xfId="25324"/>
    <cellStyle name="输出 2 10 8 5 2" xfId="25325"/>
    <cellStyle name="计算 2 11 3 7 6" xfId="25326"/>
    <cellStyle name="输出 2 10 8 5 3" xfId="25327"/>
    <cellStyle name="计算 2 11 3 8" xfId="25328"/>
    <cellStyle name="输出 2 2 2 3 3 2" xfId="25329"/>
    <cellStyle name="计算 2 11 3 8 2" xfId="25330"/>
    <cellStyle name="计算 2 4 18 4" xfId="25331"/>
    <cellStyle name="计算 2 11 3 8 2 2" xfId="25332"/>
    <cellStyle name="注释 2 3 6 6" xfId="25333"/>
    <cellStyle name="计算 2 12 8 2 4" xfId="25334"/>
    <cellStyle name="计算 2 5 9 5 2" xfId="25335"/>
    <cellStyle name="计算 2 6 25" xfId="25336"/>
    <cellStyle name="计算 2 7 8 2 2 2" xfId="25337"/>
    <cellStyle name="计算 2 11 3 8 3" xfId="25338"/>
    <cellStyle name="输出 2 6 10 2 4 2" xfId="25339"/>
    <cellStyle name="计算 2 11 3 8 3 2" xfId="25340"/>
    <cellStyle name="注释 2 10 5 2 4" xfId="25341"/>
    <cellStyle name="计算 2 4 19 4" xfId="25342"/>
    <cellStyle name="检查单元格 2 7 10 5" xfId="25343"/>
    <cellStyle name="注释 2 3 7 6" xfId="25344"/>
    <cellStyle name="计算 2 12 8 3 4" xfId="25345"/>
    <cellStyle name="计算 2 5 9 6 2" xfId="25346"/>
    <cellStyle name="计算 2 7 8 2 3 2" xfId="25347"/>
    <cellStyle name="注释 2 3 8 6" xfId="25348"/>
    <cellStyle name="计算 2 12 8 4 4" xfId="25349"/>
    <cellStyle name="计算 2 5 9 7 2" xfId="25350"/>
    <cellStyle name="计算 2 7 8 2 4 2" xfId="25351"/>
    <cellStyle name="计算 2 11 3 8 4 2" xfId="25352"/>
    <cellStyle name="注释 2 10 5 3 4" xfId="25353"/>
    <cellStyle name="检查单元格 2 7 11 5" xfId="25354"/>
    <cellStyle name="计算 2 11 3 8 5" xfId="25355"/>
    <cellStyle name="输出 2 10 8 6 2" xfId="25356"/>
    <cellStyle name="输入 2 3 6 10" xfId="25357"/>
    <cellStyle name="计算 2 2 5 2 9" xfId="25358"/>
    <cellStyle name="计算 2 11 4" xfId="25359"/>
    <cellStyle name="检查单元格 2 4 2 2 5" xfId="25360"/>
    <cellStyle name="计算 2 11 4 10 2" xfId="25361"/>
    <cellStyle name="输入 2 2 3 10 2" xfId="25362"/>
    <cellStyle name="计算 2 11 4 11" xfId="25363"/>
    <cellStyle name="计算 2 11 4 11 2" xfId="25364"/>
    <cellStyle name="输出 2 6 10 2 4" xfId="25365"/>
    <cellStyle name="计算 2 11 4 12" xfId="25366"/>
    <cellStyle name="计算 2 11 4 12 2" xfId="25367"/>
    <cellStyle name="输出 2 6 10 3 4" xfId="25368"/>
    <cellStyle name="计算 2 11 4 2 3" xfId="25369"/>
    <cellStyle name="计算 2 4 5 5 3" xfId="25370"/>
    <cellStyle name="计算 2 11 4 2 5" xfId="25371"/>
    <cellStyle name="检查单元格 2 3 8 4 3 2" xfId="25372"/>
    <cellStyle name="输出 2 2 9 6 3" xfId="25373"/>
    <cellStyle name="输入 2 7 8 4 5 2" xfId="25374"/>
    <cellStyle name="计算 2 4 5 5 4" xfId="25375"/>
    <cellStyle name="计算 2 11 4 2 6" xfId="25376"/>
    <cellStyle name="输出 2 2 9 6 4" xfId="25377"/>
    <cellStyle name="计算 2 4 5 5 5" xfId="25378"/>
    <cellStyle name="计算 2 11 4 2 7" xfId="25379"/>
    <cellStyle name="注释 2 14 7 3 2" xfId="25380"/>
    <cellStyle name="输出 2 2 9 6 5" xfId="25381"/>
    <cellStyle name="输出 2 2 9 6 6" xfId="25382"/>
    <cellStyle name="计算 2 4 5 5 6" xfId="25383"/>
    <cellStyle name="计算 2 11 4 2 8" xfId="25384"/>
    <cellStyle name="输出 2 3 2 6 2 2" xfId="25385"/>
    <cellStyle name="计算 2 11 4 2 9" xfId="25386"/>
    <cellStyle name="计算 2 11 4 3 2" xfId="25387"/>
    <cellStyle name="检查单元格 2 5 2 5 4 2" xfId="25388"/>
    <cellStyle name="计算 2 11 4 3 3" xfId="25389"/>
    <cellStyle name="计算 2 4 5 6 3" xfId="25390"/>
    <cellStyle name="计算 2 11 4 3 5" xfId="25391"/>
    <cellStyle name="检查单元格 2 3 8 4 4 2" xfId="25392"/>
    <cellStyle name="输出 2 2 9 7 3" xfId="25393"/>
    <cellStyle name="计算 2 11 4 4 2" xfId="25394"/>
    <cellStyle name="计算 2 11 4 4 3" xfId="25395"/>
    <cellStyle name="计算 2 4 5 7 3" xfId="25396"/>
    <cellStyle name="计算 2 11 4 4 5" xfId="25397"/>
    <cellStyle name="检查单元格 2 3 8 4 5 2" xfId="25398"/>
    <cellStyle name="输出 2 10 9 2 2" xfId="25399"/>
    <cellStyle name="输出 2 2 9 8 3" xfId="25400"/>
    <cellStyle name="计算 2 11 4 5 2" xfId="25401"/>
    <cellStyle name="计算 2 11 4 5 3" xfId="25402"/>
    <cellStyle name="计算 2 4 5 8 3" xfId="25403"/>
    <cellStyle name="计算 2 11 4 5 5" xfId="25404"/>
    <cellStyle name="输出 2 10 9 3 2" xfId="25405"/>
    <cellStyle name="计算 2 11 4 6 2" xfId="25406"/>
    <cellStyle name="计算 2 11 4 6 3" xfId="25407"/>
    <cellStyle name="输出 2 6 10 3 2 2" xfId="25408"/>
    <cellStyle name="计算 2 4 5 9 2" xfId="25409"/>
    <cellStyle name="计算 2 11 4 6 4" xfId="25410"/>
    <cellStyle name="输入 2 2 7 8 3" xfId="25411"/>
    <cellStyle name="计算 2 4 3 7 4 2" xfId="25412"/>
    <cellStyle name="计算 2 6 7 7" xfId="25413"/>
    <cellStyle name="输出 2 10 7 2 3 2" xfId="25414"/>
    <cellStyle name="输出 2 2 7 8 4 2" xfId="25415"/>
    <cellStyle name="计算 2 11 4 6 5" xfId="25416"/>
    <cellStyle name="输出 2 10 9 4 2" xfId="25417"/>
    <cellStyle name="计算 2 11 4 7" xfId="25418"/>
    <cellStyle name="计算 2 11 4 7 2" xfId="25419"/>
    <cellStyle name="计算 2 11 4 7 3" xfId="25420"/>
    <cellStyle name="输出 2 6 10 3 3 2" xfId="25421"/>
    <cellStyle name="计算 2 4 3 7 5 2" xfId="25422"/>
    <cellStyle name="计算 2 6 8 7" xfId="25423"/>
    <cellStyle name="输出 2 10 7 2 4 2" xfId="25424"/>
    <cellStyle name="计算 2 11 4 7 4" xfId="25425"/>
    <cellStyle name="计算 2 11 4 7 5" xfId="25426"/>
    <cellStyle name="输出 2 10 9 5 2" xfId="25427"/>
    <cellStyle name="计算 2 11 4 8 2" xfId="25428"/>
    <cellStyle name="计算 2 11 4 8 2 2" xfId="25429"/>
    <cellStyle name="计算 2 9 18 4" xfId="25430"/>
    <cellStyle name="计算 2 11 4 8 3" xfId="25431"/>
    <cellStyle name="输出 2 6 10 3 4 2" xfId="25432"/>
    <cellStyle name="计算 2 11 4 8 3 2" xfId="25433"/>
    <cellStyle name="注释 2 11 5 2 4" xfId="25434"/>
    <cellStyle name="计算 2 9 19 4" xfId="25435"/>
    <cellStyle name="计算 2 11 4 8 4" xfId="25436"/>
    <cellStyle name="计算 2 11 4 8 4 2" xfId="25437"/>
    <cellStyle name="计算 2 11 4 8 5" xfId="25438"/>
    <cellStyle name="输出 2 10 9 6 2" xfId="25439"/>
    <cellStyle name="计算 2 11 5" xfId="25440"/>
    <cellStyle name="注释 2 5 13 2 2" xfId="25441"/>
    <cellStyle name="检查单元格 2 4 2 2 6" xfId="25442"/>
    <cellStyle name="计算 2 11 5 10 2" xfId="25443"/>
    <cellStyle name="输出 2 4 4 4 3 2" xfId="25444"/>
    <cellStyle name="计算 2 11 5 16" xfId="25445"/>
    <cellStyle name="输入 2 9 8 4 5" xfId="25446"/>
    <cellStyle name="计算 2 2 11 2" xfId="25447"/>
    <cellStyle name="检查单元格 2 6 4 4 5 2" xfId="25448"/>
    <cellStyle name="计算 2 11 5 2" xfId="25449"/>
    <cellStyle name="计算 2 11 5 2 2" xfId="25450"/>
    <cellStyle name="计算 2 11 5 2 3" xfId="25451"/>
    <cellStyle name="计算 2 4 6 5 3" xfId="25452"/>
    <cellStyle name="计算 2 11 5 2 5" xfId="25453"/>
    <cellStyle name="检查单元格 2 3 8 5 3 2" xfId="25454"/>
    <cellStyle name="输入 2 7 8 5 5 2" xfId="25455"/>
    <cellStyle name="计算 2 4 6 5 4" xfId="25456"/>
    <cellStyle name="计算 2 11 5 2 6" xfId="25457"/>
    <cellStyle name="计算 2 4 6 5 5" xfId="25458"/>
    <cellStyle name="计算 2 11 5 2 7" xfId="25459"/>
    <cellStyle name="计算 2 4 6 5 6" xfId="25460"/>
    <cellStyle name="计算 2 11 5 2 8" xfId="25461"/>
    <cellStyle name="输出 2 3 2 7 2 2" xfId="25462"/>
    <cellStyle name="计算 2 11 5 2 9" xfId="25463"/>
    <cellStyle name="计算 2 11 5 3" xfId="25464"/>
    <cellStyle name="计算 2 11 5 3 2" xfId="25465"/>
    <cellStyle name="计算 2 11 5 3 3" xfId="25466"/>
    <cellStyle name="计算 2 4 6 6 3" xfId="25467"/>
    <cellStyle name="计算 2 11 5 3 5" xfId="25468"/>
    <cellStyle name="检查单元格 2 3 8 5 4 2" xfId="25469"/>
    <cellStyle name="计算 2 3 3 4 3 2" xfId="25470"/>
    <cellStyle name="计算 2 11 5 4" xfId="25471"/>
    <cellStyle name="计算 2 11 5 4 2" xfId="25472"/>
    <cellStyle name="计算 2 11 5 4 3" xfId="25473"/>
    <cellStyle name="计算 2 4 6 7 3" xfId="25474"/>
    <cellStyle name="计算 2 11 5 4 5" xfId="25475"/>
    <cellStyle name="计算 2 11 5 5" xfId="25476"/>
    <cellStyle name="计算 2 11 5 5 2" xfId="25477"/>
    <cellStyle name="计算 2 11 5 5 3" xfId="25478"/>
    <cellStyle name="计算 2 2 11 10" xfId="25479"/>
    <cellStyle name="计算 2 4 6 8 3" xfId="25480"/>
    <cellStyle name="计算 2 11 5 5 5" xfId="25481"/>
    <cellStyle name="计算 2 11 5 6 2" xfId="25482"/>
    <cellStyle name="计算 2 11 5 6 3" xfId="25483"/>
    <cellStyle name="输出 2 6 10 4 2 2" xfId="25484"/>
    <cellStyle name="计算 2 4 6 9 2" xfId="25485"/>
    <cellStyle name="计算 2 11 5 6 4" xfId="25486"/>
    <cellStyle name="输入 2 2 8 8 3" xfId="25487"/>
    <cellStyle name="计算 2 4 3 8 4 2" xfId="25488"/>
    <cellStyle name="计算 2 7 7 7" xfId="25489"/>
    <cellStyle name="输出 2 10 7 3 3 2" xfId="25490"/>
    <cellStyle name="计算 2 11 5 6 5" xfId="25491"/>
    <cellStyle name="计算 2 11 5 7" xfId="25492"/>
    <cellStyle name="计算 2 11 5 7 2" xfId="25493"/>
    <cellStyle name="计算 2 11 5 7 3" xfId="25494"/>
    <cellStyle name="输出 2 6 10 4 3 2" xfId="25495"/>
    <cellStyle name="计算 2 11 5 7 4" xfId="25496"/>
    <cellStyle name="计算 2 11 5 7 5" xfId="25497"/>
    <cellStyle name="输入 2 2 10 2 5 2" xfId="25498"/>
    <cellStyle name="计算 2 11 5 7 6" xfId="25499"/>
    <cellStyle name="计算 2 11 5 8 3 2" xfId="25500"/>
    <cellStyle name="计算 2 11 5 8 4 2" xfId="25501"/>
    <cellStyle name="计算 2 11 5 9" xfId="25502"/>
    <cellStyle name="计算 2 11 5 9 2" xfId="25503"/>
    <cellStyle name="计算 2 11 6" xfId="25504"/>
    <cellStyle name="检查单元格 2 4 2 2 7" xfId="25505"/>
    <cellStyle name="计算 2 11 6 13" xfId="25506"/>
    <cellStyle name="输出 2 12 4 3 5" xfId="25507"/>
    <cellStyle name="计算 2 11 6 14" xfId="25508"/>
    <cellStyle name="输出 2 12 4 3 6" xfId="25509"/>
    <cellStyle name="计算 2 2 21 2" xfId="25510"/>
    <cellStyle name="计算 2 2 16 2" xfId="25511"/>
    <cellStyle name="计算 2 11 6 16" xfId="25512"/>
    <cellStyle name="计算 2 11 6 2" xfId="25513"/>
    <cellStyle name="计算 2 11 6 2 2" xfId="25514"/>
    <cellStyle name="计算 2 11 6 2 3" xfId="25515"/>
    <cellStyle name="计算 2 4 7 5 3" xfId="25516"/>
    <cellStyle name="计算 2 11 6 2 5" xfId="25517"/>
    <cellStyle name="输入 2 7 8 6 5 2" xfId="25518"/>
    <cellStyle name="计算 2 4 7 5 4" xfId="25519"/>
    <cellStyle name="计算 2 11 6 2 6" xfId="25520"/>
    <cellStyle name="计算 2 11 6 3" xfId="25521"/>
    <cellStyle name="输入 2 8 7 10" xfId="25522"/>
    <cellStyle name="计算 2 3 3 4 4 2" xfId="25523"/>
    <cellStyle name="计算 2 11 6 4" xfId="25524"/>
    <cellStyle name="计算 2 11 6 4 2" xfId="25525"/>
    <cellStyle name="计算 2 11 6 4 3" xfId="25526"/>
    <cellStyle name="输出 2 11 8 11 2" xfId="25527"/>
    <cellStyle name="计算 2 4 7 7 3" xfId="25528"/>
    <cellStyle name="计算 2 11 6 4 5" xfId="25529"/>
    <cellStyle name="计算 2 11 6 5" xfId="25530"/>
    <cellStyle name="计算 2 11 6 5 2" xfId="25531"/>
    <cellStyle name="计算 2 11 6 5 3" xfId="25532"/>
    <cellStyle name="输出 2 11 8 12 2" xfId="25533"/>
    <cellStyle name="计算 2 4 7 8 3" xfId="25534"/>
    <cellStyle name="计算 2 11 6 5 5" xfId="25535"/>
    <cellStyle name="计算 2 4 2 11" xfId="25536"/>
    <cellStyle name="计算 2 2 4 2 2 2" xfId="25537"/>
    <cellStyle name="计算 2 11 6 6 2" xfId="25538"/>
    <cellStyle name="输出 2 2 6 16" xfId="25539"/>
    <cellStyle name="计算 2 11 6 6 3" xfId="25540"/>
    <cellStyle name="计算 2 4 2 12" xfId="25541"/>
    <cellStyle name="输出 2 6 10 5 2 2" xfId="25542"/>
    <cellStyle name="计算 2 4 2 13" xfId="25543"/>
    <cellStyle name="计算 2 4 7 9 2" xfId="25544"/>
    <cellStyle name="计算 2 11 6 6 4" xfId="25545"/>
    <cellStyle name="计算 2 4 2 14" xfId="25546"/>
    <cellStyle name="计算 2 11 6 6 5" xfId="25547"/>
    <cellStyle name="计算 2 2 4 2 3" xfId="25548"/>
    <cellStyle name="计算 2 11 6 7" xfId="25549"/>
    <cellStyle name="计算 2 2 4 2 3 2" xfId="25550"/>
    <cellStyle name="计算 2 11 6 7 2" xfId="25551"/>
    <cellStyle name="计算 2 11 6 7 3" xfId="25552"/>
    <cellStyle name="输出 2 6 10 5 3 2" xfId="25553"/>
    <cellStyle name="计算 2 13 10 2" xfId="25554"/>
    <cellStyle name="计算 2 11 6 7 4" xfId="25555"/>
    <cellStyle name="计算 2 11 6 7 5" xfId="25556"/>
    <cellStyle name="计算 2 11 6 8 3 2" xfId="25557"/>
    <cellStyle name="注释 2 4 11 6 5 2" xfId="25558"/>
    <cellStyle name="计算 2 11 7" xfId="25559"/>
    <cellStyle name="输入 2 12 3 9 2" xfId="25560"/>
    <cellStyle name="检查单元格 2 4 2 2 8" xfId="25561"/>
    <cellStyle name="检查单元格 2 5 12 2" xfId="25562"/>
    <cellStyle name="检查单元格 2 7 5 2" xfId="25563"/>
    <cellStyle name="计算 2 11 7 15" xfId="25564"/>
    <cellStyle name="输出 2 4 2 3 3 2" xfId="25565"/>
    <cellStyle name="计算 2 12 7 7 5 2" xfId="25566"/>
    <cellStyle name="计算 2 11 7 16" xfId="25567"/>
    <cellStyle name="检查单元格 2 5 12 3" xfId="25568"/>
    <cellStyle name="检查单元格 2 7 5 3" xfId="25569"/>
    <cellStyle name="计算 2 11 7 2" xfId="25570"/>
    <cellStyle name="计算 2 11 7 2 2" xfId="25571"/>
    <cellStyle name="计算 2 11 7 2 3" xfId="25572"/>
    <cellStyle name="计算 2 4 8 5 3" xfId="25573"/>
    <cellStyle name="计算 2 11 7 2 5" xfId="25574"/>
    <cellStyle name="输入 2 7 8 7 5 2" xfId="25575"/>
    <cellStyle name="计算 2 4 8 5 4" xfId="25576"/>
    <cellStyle name="计算 2 11 7 2 6" xfId="25577"/>
    <cellStyle name="计算 2 11 7 3" xfId="25578"/>
    <cellStyle name="计算 2 11 7 3 2" xfId="25579"/>
    <cellStyle name="计算 2 11 7 3 3" xfId="25580"/>
    <cellStyle name="计算 2 4 8 6 3" xfId="25581"/>
    <cellStyle name="计算 2 11 7 3 5" xfId="25582"/>
    <cellStyle name="计算 2 3 3 4 5 2" xfId="25583"/>
    <cellStyle name="计算 2 9 4 13" xfId="25584"/>
    <cellStyle name="计算 2 11 7 4" xfId="25585"/>
    <cellStyle name="计算 2 11 7 4 2" xfId="25586"/>
    <cellStyle name="计算 2 11 7 4 3" xfId="25587"/>
    <cellStyle name="计算 2 4 8 7 3" xfId="25588"/>
    <cellStyle name="计算 2 11 7 4 5" xfId="25589"/>
    <cellStyle name="输入 2 10 9 8 2 2" xfId="25590"/>
    <cellStyle name="计算 2 11 7 5" xfId="25591"/>
    <cellStyle name="输出 2 2 2 10" xfId="25592"/>
    <cellStyle name="计算 2 11 7 5 2" xfId="25593"/>
    <cellStyle name="检查单元格 2 7 5 12" xfId="25594"/>
    <cellStyle name="输出 2 2 2 10 2" xfId="25595"/>
    <cellStyle name="计算 2 11 7 5 3" xfId="25596"/>
    <cellStyle name="检查单元格 2 7 5 13" xfId="25597"/>
    <cellStyle name="计算 2 4 8 8 3" xfId="25598"/>
    <cellStyle name="计算 2 11 7 5 5" xfId="25599"/>
    <cellStyle name="计算 2 2 4 3 2" xfId="25600"/>
    <cellStyle name="计算 2 11 7 6" xfId="25601"/>
    <cellStyle name="输出 2 2 2 11" xfId="25602"/>
    <cellStyle name="计算 2 2 4 3 2 2" xfId="25603"/>
    <cellStyle name="计算 2 11 7 6 2" xfId="25604"/>
    <cellStyle name="计算 2 4 7 11" xfId="25605"/>
    <cellStyle name="输出 2 2 2 11 2" xfId="25606"/>
    <cellStyle name="计算 2 11 7 6 3" xfId="25607"/>
    <cellStyle name="计算 2 4 7 12" xfId="25608"/>
    <cellStyle name="输出 2 6 10 6 2 2" xfId="25609"/>
    <cellStyle name="计算 2 4 7 13" xfId="25610"/>
    <cellStyle name="计算 2 4 8 9 2" xfId="25611"/>
    <cellStyle name="计算 2 11 7 6 4" xfId="25612"/>
    <cellStyle name="计算 2 4 7 14" xfId="25613"/>
    <cellStyle name="计算 2 11 7 6 5" xfId="25614"/>
    <cellStyle name="计算 2 2 4 3 3" xfId="25615"/>
    <cellStyle name="计算 2 11 7 7" xfId="25616"/>
    <cellStyle name="输出 2 2 2 12" xfId="25617"/>
    <cellStyle name="计算 2 2 4 3 3 2" xfId="25618"/>
    <cellStyle name="计算 2 11 7 7 2" xfId="25619"/>
    <cellStyle name="输出 2 2 2 12 2" xfId="25620"/>
    <cellStyle name="计算 2 11 7 7 3" xfId="25621"/>
    <cellStyle name="输出 2 6 10 6 3 2" xfId="25622"/>
    <cellStyle name="计算 2 11 7 7 4" xfId="25623"/>
    <cellStyle name="计算 2 11 7 7 5" xfId="25624"/>
    <cellStyle name="计算 2 2 4 3 4 2" xfId="25625"/>
    <cellStyle name="计算 2 11 7 8 2" xfId="25626"/>
    <cellStyle name="计算 2 11 7 8 3" xfId="25627"/>
    <cellStyle name="注释 2 9 11 16" xfId="25628"/>
    <cellStyle name="输出 2 6 10 6 4 2" xfId="25629"/>
    <cellStyle name="计算 2 11 7 8 4" xfId="25630"/>
    <cellStyle name="计算 2 11 7 8 5" xfId="25631"/>
    <cellStyle name="计算 2 2 4 3 5" xfId="25632"/>
    <cellStyle name="计算 2 11 7 9" xfId="25633"/>
    <cellStyle name="输出 2 2 2 14" xfId="25634"/>
    <cellStyle name="计算 2 2 4 3 5 2" xfId="25635"/>
    <cellStyle name="计算 2 11 7 9 2" xfId="25636"/>
    <cellStyle name="计算 2 11 8" xfId="25637"/>
    <cellStyle name="检查单元格 2 4 2 2 9" xfId="25638"/>
    <cellStyle name="计算 2 11 8 11" xfId="25639"/>
    <cellStyle name="输入 2 12 2 5" xfId="25640"/>
    <cellStyle name="计算 2 2 9 7 4" xfId="25641"/>
    <cellStyle name="计算 2 11 8 11 2" xfId="25642"/>
    <cellStyle name="计算 2 11 8 12" xfId="25643"/>
    <cellStyle name="计算 2 11 8 2" xfId="25644"/>
    <cellStyle name="计算 2 11 8 2 2" xfId="25645"/>
    <cellStyle name="注释 2 2 5 2 2 2" xfId="25646"/>
    <cellStyle name="计算 2 11 8 2 3" xfId="25647"/>
    <cellStyle name="计算 2 4 9 5 3" xfId="25648"/>
    <cellStyle name="计算 2 11 8 2 5" xfId="25649"/>
    <cellStyle name="计算 2 4 9 5 4" xfId="25650"/>
    <cellStyle name="计算 2 11 8 2 6" xfId="25651"/>
    <cellStyle name="注释 2 7 2 6 3" xfId="25652"/>
    <cellStyle name="计算 2 4 9 5 6" xfId="25653"/>
    <cellStyle name="计算 2 11 8 2 8" xfId="25654"/>
    <cellStyle name="注释 2 7 2 6 4" xfId="25655"/>
    <cellStyle name="计算 2 11 8 2 9" xfId="25656"/>
    <cellStyle name="计算 2 11 8 3" xfId="25657"/>
    <cellStyle name="计算 2 11 8 3 2" xfId="25658"/>
    <cellStyle name="注释 2 2 5 2 3 2" xfId="25659"/>
    <cellStyle name="计算 2 11 8 3 3" xfId="25660"/>
    <cellStyle name="计算 2 4 9 6 3" xfId="25661"/>
    <cellStyle name="计算 2 11 8 3 5" xfId="25662"/>
    <cellStyle name="计算 2 4 9 6 4" xfId="25663"/>
    <cellStyle name="计算 2 11 8 3 6" xfId="25664"/>
    <cellStyle name="计算 2 11 8 4" xfId="25665"/>
    <cellStyle name="输入 2 11 11 13" xfId="25666"/>
    <cellStyle name="计算 2 11 8 4 2" xfId="25667"/>
    <cellStyle name="注释 2 2 5 2 4 2" xfId="25668"/>
    <cellStyle name="输入 2 11 11 14" xfId="25669"/>
    <cellStyle name="计算 2 11 8 4 3" xfId="25670"/>
    <cellStyle name="输入 2 11 11 16" xfId="25671"/>
    <cellStyle name="计算 2 4 9 7 3" xfId="25672"/>
    <cellStyle name="计算 2 11 8 4 5" xfId="25673"/>
    <cellStyle name="输入 2 2 10 5 2 2" xfId="25674"/>
    <cellStyle name="计算 2 4 9 7 4" xfId="25675"/>
    <cellStyle name="计算 2 11 8 4 6" xfId="25676"/>
    <cellStyle name="输入 2 10 9 8 3 2" xfId="25677"/>
    <cellStyle name="计算 2 11 8 5" xfId="25678"/>
    <cellStyle name="计算 2 11 8 5 2" xfId="25679"/>
    <cellStyle name="注释 2 2 5 2 5 2" xfId="25680"/>
    <cellStyle name="计算 2 11 8 5 3" xfId="25681"/>
    <cellStyle name="计算 2 4 9 8 2" xfId="25682"/>
    <cellStyle name="计算 2 11 8 5 4" xfId="25683"/>
    <cellStyle name="计算 2 7 7 2 5 2" xfId="25684"/>
    <cellStyle name="计算 2 4 9 8 3" xfId="25685"/>
    <cellStyle name="计算 2 11 8 5 5" xfId="25686"/>
    <cellStyle name="输入 2 2 10 5 3 2" xfId="25687"/>
    <cellStyle name="计算 2 4 9 8 4" xfId="25688"/>
    <cellStyle name="计算 2 11 8 5 6" xfId="25689"/>
    <cellStyle name="计算 2 2 4 4 2" xfId="25690"/>
    <cellStyle name="计算 2 11 8 6" xfId="25691"/>
    <cellStyle name="计算 2 2 4 4 2 2" xfId="25692"/>
    <cellStyle name="计算 2 11 8 6 2" xfId="25693"/>
    <cellStyle name="计算 2 11 8 6 3" xfId="25694"/>
    <cellStyle name="输出 2 6 10 7 2 2" xfId="25695"/>
    <cellStyle name="计算 2 4 9 9 2" xfId="25696"/>
    <cellStyle name="计算 2 11 8 6 4" xfId="25697"/>
    <cellStyle name="计算 2 11 8 6 5" xfId="25698"/>
    <cellStyle name="计算 2 2 4 4 3" xfId="25699"/>
    <cellStyle name="计算 2 11 8 7" xfId="25700"/>
    <cellStyle name="检查单元格 2 3 6 3 2 2" xfId="25701"/>
    <cellStyle name="计算 2 2 4 4 3 2" xfId="25702"/>
    <cellStyle name="计算 2 11 8 7 2" xfId="25703"/>
    <cellStyle name="计算 2 11 8 7 3" xfId="25704"/>
    <cellStyle name="输出 2 6 10 7 3 2" xfId="25705"/>
    <cellStyle name="计算 2 11 8 7 4" xfId="25706"/>
    <cellStyle name="计算 2 11 8 7 5" xfId="25707"/>
    <cellStyle name="输入 2 7 6 3 4 2" xfId="25708"/>
    <cellStyle name="计算 2 2 4 4 4" xfId="25709"/>
    <cellStyle name="计算 2 11 8 8" xfId="25710"/>
    <cellStyle name="计算 2 2 4 4 4 2" xfId="25711"/>
    <cellStyle name="计算 2 11 8 8 2" xfId="25712"/>
    <cellStyle name="计算 2 11 8 8 2 2" xfId="25713"/>
    <cellStyle name="计算 2 11 8 8 3" xfId="25714"/>
    <cellStyle name="输出 2 6 10 7 4 2" xfId="25715"/>
    <cellStyle name="计算 2 11 8 8 3 2" xfId="25716"/>
    <cellStyle name="计算 2 11 8 8 4" xfId="25717"/>
    <cellStyle name="计算 2 11 8 8 5" xfId="25718"/>
    <cellStyle name="计算 2 2 4 4 5" xfId="25719"/>
    <cellStyle name="计算 2 11 8 9" xfId="25720"/>
    <cellStyle name="计算 2 2 4 4 5 2" xfId="25721"/>
    <cellStyle name="计算 2 11 8 9 2" xfId="25722"/>
    <cellStyle name="计算 2 11 9 11" xfId="25723"/>
    <cellStyle name="计算 2 11 9 12" xfId="25724"/>
    <cellStyle name="注释 2 2 5 3 2 2" xfId="25725"/>
    <cellStyle name="计算 2 11 9 2 3" xfId="25726"/>
    <cellStyle name="计算 2 11 9 2 5" xfId="25727"/>
    <cellStyle name="计算 2 11 9 2 6" xfId="25728"/>
    <cellStyle name="注释 2 7 3 6 4" xfId="25729"/>
    <cellStyle name="计算 2 11 9 2 9" xfId="25730"/>
    <cellStyle name="计算 2 11 9 3 2" xfId="25731"/>
    <cellStyle name="注释 2 2 5 3 3 2" xfId="25732"/>
    <cellStyle name="计算 2 11 9 3 3" xfId="25733"/>
    <cellStyle name="计算 2 11 9 3 4" xfId="25734"/>
    <cellStyle name="计算 2 7 7 3 3 2" xfId="25735"/>
    <cellStyle name="计算 2 11 9 3 5" xfId="25736"/>
    <cellStyle name="计算 2 11 9 3 6" xfId="25737"/>
    <cellStyle name="计算 2 11 9 4 2" xfId="25738"/>
    <cellStyle name="注释 2 2 5 3 4 2" xfId="25739"/>
    <cellStyle name="计算 2 11 9 4 3" xfId="25740"/>
    <cellStyle name="计算 2 11 9 4 4" xfId="25741"/>
    <cellStyle name="计算 2 7 7 3 4 2" xfId="25742"/>
    <cellStyle name="计算 2 11 9 4 5" xfId="25743"/>
    <cellStyle name="输入 2 2 10 6 2 2" xfId="25744"/>
    <cellStyle name="计算 2 11 9 4 6" xfId="25745"/>
    <cellStyle name="计算 2 11 9 5 2" xfId="25746"/>
    <cellStyle name="注释 2 2 5 3 5 2" xfId="25747"/>
    <cellStyle name="计算 2 11 9 5 3" xfId="25748"/>
    <cellStyle name="计算 2 11 9 5 4" xfId="25749"/>
    <cellStyle name="计算 2 7 7 3 5 2" xfId="25750"/>
    <cellStyle name="计算 2 11 9 5 5" xfId="25751"/>
    <cellStyle name="输入 2 2 10 6 3 2" xfId="25752"/>
    <cellStyle name="计算 2 11 9 5 6" xfId="25753"/>
    <cellStyle name="计算 2 2 4 5 2 2" xfId="25754"/>
    <cellStyle name="计算 2 11 9 6 2" xfId="25755"/>
    <cellStyle name="计算 2 11 9 6 3" xfId="25756"/>
    <cellStyle name="输出 2 6 10 8 2 2" xfId="25757"/>
    <cellStyle name="计算 2 11 9 6 4" xfId="25758"/>
    <cellStyle name="计算 2 11 9 6 5" xfId="25759"/>
    <cellStyle name="计算 2 2 4 5 3" xfId="25760"/>
    <cellStyle name="计算 2 11 9 7" xfId="25761"/>
    <cellStyle name="检查单元格 2 3 6 3 3 2" xfId="25762"/>
    <cellStyle name="计算 2 2 4 5 3 2" xfId="25763"/>
    <cellStyle name="计算 2 11 9 7 2" xfId="25764"/>
    <cellStyle name="计算 2 11 9 7 3" xfId="25765"/>
    <cellStyle name="输出 2 6 10 8 3 2" xfId="25766"/>
    <cellStyle name="计算 2 11 9 7 4" xfId="25767"/>
    <cellStyle name="计算 2 11 9 7 5" xfId="25768"/>
    <cellStyle name="输入 2 7 6 3 5 2" xfId="25769"/>
    <cellStyle name="计算 2 2 4 5 4" xfId="25770"/>
    <cellStyle name="计算 2 11 9 8" xfId="25771"/>
    <cellStyle name="计算 2 2 4 5 4 2" xfId="25772"/>
    <cellStyle name="计算 2 11 9 8 2" xfId="25773"/>
    <cellStyle name="计算 2 11 9 8 2 2" xfId="25774"/>
    <cellStyle name="计算 2 11 9 8 3" xfId="25775"/>
    <cellStyle name="输出 2 6 10 8 4 2" xfId="25776"/>
    <cellStyle name="计算 2 11 9 8 4" xfId="25777"/>
    <cellStyle name="计算 2 11 9 8 4 2" xfId="25778"/>
    <cellStyle name="计算 2 11 9 8 5" xfId="25779"/>
    <cellStyle name="计算 2 2 4 2 7" xfId="25780"/>
    <cellStyle name="计算 2 12" xfId="25781"/>
    <cellStyle name="计算 2 3 8 8" xfId="25782"/>
    <cellStyle name="计算 2 12 10 3" xfId="25783"/>
    <cellStyle name="输入 2 11 9 8 2 2" xfId="25784"/>
    <cellStyle name="输出 2 10 6 5 2" xfId="25785"/>
    <cellStyle name="计算 2 3 8 9" xfId="25786"/>
    <cellStyle name="计算 2 12 10 4" xfId="25787"/>
    <cellStyle name="输出 2 10 6 5 3" xfId="25788"/>
    <cellStyle name="注释 2 5 2 4 2 2" xfId="25789"/>
    <cellStyle name="计算 2 2 9 3 5 2" xfId="25790"/>
    <cellStyle name="计算 2 12 10 5" xfId="25791"/>
    <cellStyle name="输出 2 10 6 5 4" xfId="25792"/>
    <cellStyle name="计算 2 12 10 7" xfId="25793"/>
    <cellStyle name="输出 2 10 6 5 6" xfId="25794"/>
    <cellStyle name="计算 2 12 10 8" xfId="25795"/>
    <cellStyle name="计算 2 12 10 9" xfId="25796"/>
    <cellStyle name="计算 2 12 13 2 2" xfId="25797"/>
    <cellStyle name="输入 2 5 8 4 5" xfId="25798"/>
    <cellStyle name="计算 2 3 3 13" xfId="25799"/>
    <cellStyle name="注释 2 10 14 4 2" xfId="25800"/>
    <cellStyle name="计算 2 12 14 2" xfId="25801"/>
    <cellStyle name="计算 2 9 9 6 4 2" xfId="25802"/>
    <cellStyle name="计算 2 12 14 2 2" xfId="25803"/>
    <cellStyle name="注释 2 10 14 5" xfId="25804"/>
    <cellStyle name="计算 2 12 20" xfId="25805"/>
    <cellStyle name="计算 2 12 15" xfId="25806"/>
    <cellStyle name="计算 2 9 9 6 5" xfId="25807"/>
    <cellStyle name="注释 2 12 2 2 6" xfId="25808"/>
    <cellStyle name="注释 2 10 14 5 2" xfId="25809"/>
    <cellStyle name="计算 2 12 20 2" xfId="25810"/>
    <cellStyle name="计算 2 12 15 2" xfId="25811"/>
    <cellStyle name="计算 2 9 9 6 5 2" xfId="25812"/>
    <cellStyle name="计算 2 12 15 2 2" xfId="25813"/>
    <cellStyle name="计算 2 12 2 6 5 2" xfId="25814"/>
    <cellStyle name="注释 2 10 14 6" xfId="25815"/>
    <cellStyle name="计算 2 12 21" xfId="25816"/>
    <cellStyle name="计算 2 12 16" xfId="25817"/>
    <cellStyle name="计算 2 9 9 6 6" xfId="25818"/>
    <cellStyle name="输出 2 11 7 4 2 2" xfId="25819"/>
    <cellStyle name="注释 2 12 2 3 6" xfId="25820"/>
    <cellStyle name="计算 2 12 21 2" xfId="25821"/>
    <cellStyle name="计算 2 12 16 2" xfId="25822"/>
    <cellStyle name="计算 2 12 16 2 2" xfId="25823"/>
    <cellStyle name="计算 2 12 22" xfId="25824"/>
    <cellStyle name="计算 2 12 17" xfId="25825"/>
    <cellStyle name="计算 2 5 11 11" xfId="25826"/>
    <cellStyle name="计算 2 7 6 8 4" xfId="25827"/>
    <cellStyle name="注释 2 12 2 4 6" xfId="25828"/>
    <cellStyle name="计算 2 12 17 2" xfId="25829"/>
    <cellStyle name="计算 2 12 23" xfId="25830"/>
    <cellStyle name="计算 2 12 18" xfId="25831"/>
    <cellStyle name="注释 2 12 2 5 6" xfId="25832"/>
    <cellStyle name="计算 2 12 18 2" xfId="25833"/>
    <cellStyle name="计算 2 4 3 11" xfId="25834"/>
    <cellStyle name="输出 2 2 7 16" xfId="25835"/>
    <cellStyle name="计算 2 12 2" xfId="25836"/>
    <cellStyle name="检查单元格 2 4 2 3 3" xfId="25837"/>
    <cellStyle name="计算 2 12 2 15" xfId="25838"/>
    <cellStyle name="输出 2 4 2 7 3 2" xfId="25839"/>
    <cellStyle name="输入 2 3 18 2 2" xfId="25840"/>
    <cellStyle name="计算 2 12 2 5 2" xfId="25841"/>
    <cellStyle name="输入 2 6 10 2 3" xfId="25842"/>
    <cellStyle name="输出 2 2 6 10 2" xfId="25843"/>
    <cellStyle name="计算 2 12 2 16" xfId="25844"/>
    <cellStyle name="计算 2 4 3 11 2" xfId="25845"/>
    <cellStyle name="计算 2 9 8 11" xfId="25846"/>
    <cellStyle name="检查单元格 2 4 2 3 3 2" xfId="25847"/>
    <cellStyle name="计算 2 12 2 2" xfId="25848"/>
    <cellStyle name="检查单元格 2 5 3 3 3" xfId="25849"/>
    <cellStyle name="计算 2 12 2 2 2" xfId="25850"/>
    <cellStyle name="检查单元格 2 5 3 3 3 2" xfId="25851"/>
    <cellStyle name="计算 2 12 2 2 3" xfId="25852"/>
    <cellStyle name="输入 2 7 9 2 5 2" xfId="25853"/>
    <cellStyle name="计算 2 12 2 2 6" xfId="25854"/>
    <cellStyle name="计算 2 5 3 5 4" xfId="25855"/>
    <cellStyle name="输出 2 3 7 6 4" xfId="25856"/>
    <cellStyle name="计算 2 12 2 2 7" xfId="25857"/>
    <cellStyle name="计算 2 5 3 5 5" xfId="25858"/>
    <cellStyle name="注释 2 15 5 3 2" xfId="25859"/>
    <cellStyle name="输出 2 3 7 6 5" xfId="25860"/>
    <cellStyle name="输入 2 8 2 3 5 2" xfId="25861"/>
    <cellStyle name="计算 2 12 2 3" xfId="25862"/>
    <cellStyle name="检查单元格 2 5 3 3 4" xfId="25863"/>
    <cellStyle name="计算 2 12 2 4 2" xfId="25864"/>
    <cellStyle name="检查单元格 2 5 3 3 5 2" xfId="25865"/>
    <cellStyle name="计算 2 12 2 4 3" xfId="25866"/>
    <cellStyle name="计算 2 12 2 4 5" xfId="25867"/>
    <cellStyle name="计算 2 5 3 7 3" xfId="25868"/>
    <cellStyle name="输出 2 11 7 2 2" xfId="25869"/>
    <cellStyle name="输出 2 3 7 8 3" xfId="25870"/>
    <cellStyle name="输入 2 3 23 2" xfId="25871"/>
    <cellStyle name="输入 2 3 18 2" xfId="25872"/>
    <cellStyle name="计算 2 12 2 5" xfId="25873"/>
    <cellStyle name="检查单元格 2 2 8 2 3 2" xfId="25874"/>
    <cellStyle name="检查单元格 2 5 3 3 6" xfId="25875"/>
    <cellStyle name="输出 2 2 6 10" xfId="25876"/>
    <cellStyle name="计算 2 12 2 5 3" xfId="25877"/>
    <cellStyle name="计算 2 12 2 5 5" xfId="25878"/>
    <cellStyle name="计算 2 5 3 8 3" xfId="25879"/>
    <cellStyle name="输入 2 6 10 2 6" xfId="25880"/>
    <cellStyle name="输出 2 11 7 3 2" xfId="25881"/>
    <cellStyle name="输入 2 3 18 3" xfId="25882"/>
    <cellStyle name="计算 2 12 2 6" xfId="25883"/>
    <cellStyle name="输入 2 6 8 2 5 2" xfId="25884"/>
    <cellStyle name="输出 2 2 6 11" xfId="25885"/>
    <cellStyle name="输入 2 3 18 3 2" xfId="25886"/>
    <cellStyle name="计算 2 12 2 6 2" xfId="25887"/>
    <cellStyle name="输入 2 6 10 3 3" xfId="25888"/>
    <cellStyle name="计算 2 8 7 11" xfId="25889"/>
    <cellStyle name="输出 2 2 6 11 2" xfId="25890"/>
    <cellStyle name="计算 2 12 2 6 2 2" xfId="25891"/>
    <cellStyle name="注释 2 10 11 6" xfId="25892"/>
    <cellStyle name="输入 2 6 10 3 3 2" xfId="25893"/>
    <cellStyle name="计算 2 8 7 11 2" xfId="25894"/>
    <cellStyle name="计算 2 9 9 3 6" xfId="25895"/>
    <cellStyle name="计算 2 12 2 6 3" xfId="25896"/>
    <cellStyle name="输入 2 6 10 3 4" xfId="25897"/>
    <cellStyle name="计算 2 8 7 12" xfId="25898"/>
    <cellStyle name="计算 2 12 7 11" xfId="25899"/>
    <cellStyle name="输出 2 12 9 8 3" xfId="25900"/>
    <cellStyle name="输入 2 3 5 8 2 2" xfId="25901"/>
    <cellStyle name="输出 2 6 10" xfId="25902"/>
    <cellStyle name="计算 2 12 2 6 3 2" xfId="25903"/>
    <cellStyle name="注释 2 10 12 6" xfId="25904"/>
    <cellStyle name="输入 2 6 10 3 4 2" xfId="25905"/>
    <cellStyle name="计算 2 8 7 12 2" xfId="25906"/>
    <cellStyle name="计算 2 9 9 4 6" xfId="25907"/>
    <cellStyle name="输入 2 3 5 8 3" xfId="25908"/>
    <cellStyle name="计算 2 4 4 5 4 2" xfId="25909"/>
    <cellStyle name="输出 2 2 8 6 4 2" xfId="25910"/>
    <cellStyle name="计算 2 12 2 6 4" xfId="25911"/>
    <cellStyle name="计算 2 5 3 9 2" xfId="25912"/>
    <cellStyle name="输入 2 6 10 3 5" xfId="25913"/>
    <cellStyle name="输入 2 2 6 4 5 2" xfId="25914"/>
    <cellStyle name="计算 2 8 7 13" xfId="25915"/>
    <cellStyle name="计算 2 12 2 6 4 2" xfId="25916"/>
    <cellStyle name="注释 2 10 13 6" xfId="25917"/>
    <cellStyle name="输入 2 6 10 3 5 2" xfId="25918"/>
    <cellStyle name="计算 2 9 9 5 6" xfId="25919"/>
    <cellStyle name="计算 2 12 2 6 5" xfId="25920"/>
    <cellStyle name="输入 2 6 10 3 6" xfId="25921"/>
    <cellStyle name="计算 2 8 7 14" xfId="25922"/>
    <cellStyle name="输出 2 11 7 4 2" xfId="25923"/>
    <cellStyle name="输入 2 3 18 4" xfId="25924"/>
    <cellStyle name="计算 2 12 2 7" xfId="25925"/>
    <cellStyle name="输出 2 2 6 12" xfId="25926"/>
    <cellStyle name="输入 2 3 18 4 2" xfId="25927"/>
    <cellStyle name="计算 2 12 2 7 2" xfId="25928"/>
    <cellStyle name="输入 2 6 10 4 3" xfId="25929"/>
    <cellStyle name="输出 2 2 6 12 2" xfId="25930"/>
    <cellStyle name="计算 2 12 2 7 2 2" xfId="25931"/>
    <cellStyle name="计算 2 12 2 7 3" xfId="25932"/>
    <cellStyle name="计算 2 12 2 7 3 2" xfId="25933"/>
    <cellStyle name="计算 2 12 2 7 4 2" xfId="25934"/>
    <cellStyle name="计算 2 12 2 7 5" xfId="25935"/>
    <cellStyle name="输入 2 6 10 4 6" xfId="25936"/>
    <cellStyle name="输出 2 11 7 5 2" xfId="25937"/>
    <cellStyle name="计算 2 12 2 7 5 2" xfId="25938"/>
    <cellStyle name="输出 2 11 7 5 2 2" xfId="25939"/>
    <cellStyle name="计算 2 12 2 7 6" xfId="25940"/>
    <cellStyle name="输出 2 11 7 5 3" xfId="25941"/>
    <cellStyle name="输入 2 3 18 5" xfId="25942"/>
    <cellStyle name="计算 2 12 2 8" xfId="25943"/>
    <cellStyle name="输出 2 2 2 4 2 2" xfId="25944"/>
    <cellStyle name="输出 2 2 6 13" xfId="25945"/>
    <cellStyle name="输入 2 3 18 5 2" xfId="25946"/>
    <cellStyle name="计算 2 12 2 8 2" xfId="25947"/>
    <cellStyle name="计算 2 12 2 8 2 2" xfId="25948"/>
    <cellStyle name="计算 2 12 2 8 3" xfId="25949"/>
    <cellStyle name="计算 2 12 2 8 3 2" xfId="25950"/>
    <cellStyle name="检查单元格 2 6 2 2 7" xfId="25951"/>
    <cellStyle name="计算 2 12 2 8 4 2" xfId="25952"/>
    <cellStyle name="计算 2 12 2 8 5" xfId="25953"/>
    <cellStyle name="输入 2 6 10 5 6" xfId="25954"/>
    <cellStyle name="输出 2 11 7 6 2" xfId="25955"/>
    <cellStyle name="计算 2 4 3 12" xfId="25956"/>
    <cellStyle name="计算 2 12 3" xfId="25957"/>
    <cellStyle name="检查单元格 2 4 2 3 4" xfId="25958"/>
    <cellStyle name="计算 2 12 3 10 2" xfId="25959"/>
    <cellStyle name="计算 2 6 9 6 4" xfId="25960"/>
    <cellStyle name="输入 2 2 12 5 2" xfId="25961"/>
    <cellStyle name="计算 2 12 3 11" xfId="25962"/>
    <cellStyle name="输出 2 2 10" xfId="25963"/>
    <cellStyle name="计算 2 12 3 11 2" xfId="25964"/>
    <cellStyle name="计算 2 6 9 7 4" xfId="25965"/>
    <cellStyle name="输出 2 2 10 2" xfId="25966"/>
    <cellStyle name="计算 2 12 3 12" xfId="25967"/>
    <cellStyle name="输出 2 2 11" xfId="25968"/>
    <cellStyle name="计算 2 12 3 12 2" xfId="25969"/>
    <cellStyle name="计算 2 6 9 8 4" xfId="25970"/>
    <cellStyle name="千分位_ 白土" xfId="25971"/>
    <cellStyle name="输出 2 2 11 2" xfId="25972"/>
    <cellStyle name="计算 2 3 23" xfId="25973"/>
    <cellStyle name="计算 2 3 18" xfId="25974"/>
    <cellStyle name="计算 2 4 3 12 2" xfId="25975"/>
    <cellStyle name="检查单元格 2 10 4 2 8" xfId="25976"/>
    <cellStyle name="检查单元格 2 4 2 3 4 2" xfId="25977"/>
    <cellStyle name="计算 2 12 3 2" xfId="25978"/>
    <cellStyle name="检查单元格 2 5 3 4 3" xfId="25979"/>
    <cellStyle name="计算 2 3 18 4 2" xfId="25980"/>
    <cellStyle name="输入 2 3 6 4 3 2" xfId="25981"/>
    <cellStyle name="计算 2 3 7" xfId="25982"/>
    <cellStyle name="计算 2 6 10 4 3" xfId="25983"/>
    <cellStyle name="输出 2 8 9 6 6" xfId="25984"/>
    <cellStyle name="计算 2 12 3 2 4 2" xfId="25985"/>
    <cellStyle name="计算 2 5 4 5 2 2" xfId="25986"/>
    <cellStyle name="输出 2 3 8 6 2 2" xfId="25987"/>
    <cellStyle name="计算 2 3 18 5 2" xfId="25988"/>
    <cellStyle name="输入 2 3 6 4 4 2" xfId="25989"/>
    <cellStyle name="计算 2 4 7" xfId="25990"/>
    <cellStyle name="计算 2 6 10 5 3" xfId="25991"/>
    <cellStyle name="输出 2 8 9 7 6" xfId="25992"/>
    <cellStyle name="计算 2 12 3 2 5 2" xfId="25993"/>
    <cellStyle name="计算 2 5 4 5 3 2" xfId="25994"/>
    <cellStyle name="计算 2 2 5 13" xfId="25995"/>
    <cellStyle name="输出 2 3 8 6 3 2" xfId="25996"/>
    <cellStyle name="计算 2 3 18 6" xfId="25997"/>
    <cellStyle name="计算 2 9 7 4 4 2" xfId="25998"/>
    <cellStyle name="输入 2 7 9 3 5 2" xfId="25999"/>
    <cellStyle name="计算 2 12 3 2 6" xfId="26000"/>
    <cellStyle name="计算 2 5 4 5 4" xfId="26001"/>
    <cellStyle name="输出 2 3 8 6 4" xfId="26002"/>
    <cellStyle name="计算 2 12 3 2 7" xfId="26003"/>
    <cellStyle name="计算 2 5 4 5 5" xfId="26004"/>
    <cellStyle name="注释 2 15 6 3 2" xfId="26005"/>
    <cellStyle name="输出 2 2 2 2" xfId="26006"/>
    <cellStyle name="输出 2 3 8 6 5" xfId="26007"/>
    <cellStyle name="计算 2 2 17 4 2" xfId="26008"/>
    <cellStyle name="计算 2 12 3 2 8" xfId="26009"/>
    <cellStyle name="计算 2 5 4 5 6" xfId="26010"/>
    <cellStyle name="输出 2 3 3 5 2 2" xfId="26011"/>
    <cellStyle name="输出 2 2 2 3" xfId="26012"/>
    <cellStyle name="输出 2 3 8 6 6" xfId="26013"/>
    <cellStyle name="输出 2 5 10 6 5 2" xfId="26014"/>
    <cellStyle name="计算 2 12 3 2 9" xfId="26015"/>
    <cellStyle name="输出 2 2 2 4" xfId="26016"/>
    <cellStyle name="计算 2 3 24" xfId="26017"/>
    <cellStyle name="计算 2 3 19" xfId="26018"/>
    <cellStyle name="输出 2 8 4 5 5 2" xfId="26019"/>
    <cellStyle name="检查单元格 2 10 4 2 9" xfId="26020"/>
    <cellStyle name="计算 2 12 3 3" xfId="26021"/>
    <cellStyle name="检查单元格 2 5 3 4 4" xfId="26022"/>
    <cellStyle name="输入 2 3 6 5 3 2" xfId="26023"/>
    <cellStyle name="计算 2 6 11 4 3" xfId="26024"/>
    <cellStyle name="计算 2 3 19 4 2" xfId="26025"/>
    <cellStyle name="检查单元格 2 6 10 5 2" xfId="26026"/>
    <cellStyle name="计算 2 12 3 3 4 2" xfId="26027"/>
    <cellStyle name="计算 2 5 4 6 2 2" xfId="26028"/>
    <cellStyle name="输出 2 3 8 7 2 2" xfId="26029"/>
    <cellStyle name="计算 2 3 19 5" xfId="26030"/>
    <cellStyle name="检查单元格 2 6 10 6" xfId="26031"/>
    <cellStyle name="计算 2 12 3 3 5" xfId="26032"/>
    <cellStyle name="计算 2 5 4 6 3" xfId="26033"/>
    <cellStyle name="输出 2 3 8 7 3" xfId="26034"/>
    <cellStyle name="计算 2 12 3 3 5 2" xfId="26035"/>
    <cellStyle name="计算 2 5 4 6 3 2" xfId="26036"/>
    <cellStyle name="输出 2 3 8 7 3 2" xfId="26037"/>
    <cellStyle name="计算 2 12 3 4 4 2" xfId="26038"/>
    <cellStyle name="计算 2 5 4 7 2 2" xfId="26039"/>
    <cellStyle name="输出 2 3 8 8 2 2" xfId="26040"/>
    <cellStyle name="计算 2 12 3 4 5" xfId="26041"/>
    <cellStyle name="计算 2 5 4 7 3" xfId="26042"/>
    <cellStyle name="输出 2 11 8 2 2" xfId="26043"/>
    <cellStyle name="输出 2 3 8 8 3" xfId="26044"/>
    <cellStyle name="计算 2 12 3 4 5 2" xfId="26045"/>
    <cellStyle name="计算 2 5 4 7 3 2" xfId="26046"/>
    <cellStyle name="输出 2 11 8 2 2 2" xfId="26047"/>
    <cellStyle name="输出 2 3 8 8 3 2" xfId="26048"/>
    <cellStyle name="注释 2 3 4 3 5 2" xfId="26049"/>
    <cellStyle name="计算 2 3 26" xfId="26050"/>
    <cellStyle name="输入 2 3 19 2" xfId="26051"/>
    <cellStyle name="计算 2 12 3 5" xfId="26052"/>
    <cellStyle name="检查单元格 2 2 8 2 4 2" xfId="26053"/>
    <cellStyle name="检查单元格 2 5 3 4 6" xfId="26054"/>
    <cellStyle name="计算 2 12 3 5 4 2" xfId="26055"/>
    <cellStyle name="计算 2 5 4 8 2 2" xfId="26056"/>
    <cellStyle name="注释 2 10 4 14" xfId="26057"/>
    <cellStyle name="计算 2 12 3 5 5" xfId="26058"/>
    <cellStyle name="计算 2 5 4 8 3" xfId="26059"/>
    <cellStyle name="输入 2 6 11 2 6" xfId="26060"/>
    <cellStyle name="输出 2 11 8 3 2" xfId="26061"/>
    <cellStyle name="计算 2 12 3 5 5 2" xfId="26062"/>
    <cellStyle name="计算 2 5 4 8 3 2" xfId="26063"/>
    <cellStyle name="输出 2 11 8 3 2 2" xfId="26064"/>
    <cellStyle name="计算 2 12 3 6 4 2" xfId="26065"/>
    <cellStyle name="计算 2 12 3 6 5" xfId="26066"/>
    <cellStyle name="输入 2 6 11 3 6" xfId="26067"/>
    <cellStyle name="输出 2 11 8 4 2" xfId="26068"/>
    <cellStyle name="计算 2 12 3 6 5 2" xfId="26069"/>
    <cellStyle name="输出 2 11 8 4 2 2" xfId="26070"/>
    <cellStyle name="输入 2 3 19 4" xfId="26071"/>
    <cellStyle name="计算 2 12 3 7" xfId="26072"/>
    <cellStyle name="计算 2 12 3 7 3 2" xfId="26073"/>
    <cellStyle name="计算 2 12 3 7 4 2" xfId="26074"/>
    <cellStyle name="计算 2 12 3 7 5" xfId="26075"/>
    <cellStyle name="输入 2 6 11 4 6" xfId="26076"/>
    <cellStyle name="输出 2 11 8 5 2" xfId="26077"/>
    <cellStyle name="计算 2 12 3 7 5 2" xfId="26078"/>
    <cellStyle name="计算 2 3 5 13" xfId="26079"/>
    <cellStyle name="输出 2 11 8 5 2 2" xfId="26080"/>
    <cellStyle name="计算 2 12 3 7 6" xfId="26081"/>
    <cellStyle name="输出 2 11 8 5 3" xfId="26082"/>
    <cellStyle name="输入 2 3 19 5" xfId="26083"/>
    <cellStyle name="计算 2 12 3 8" xfId="26084"/>
    <cellStyle name="输出 2 2 2 4 3 2" xfId="26085"/>
    <cellStyle name="计算 2 12 3 8 2" xfId="26086"/>
    <cellStyle name="计算 2 12 3 8 2 2" xfId="26087"/>
    <cellStyle name="计算 2 12 3 8 3" xfId="26088"/>
    <cellStyle name="输入 2 6 11 5 4" xfId="26089"/>
    <cellStyle name="输出 2 6 11 2 4 2" xfId="26090"/>
    <cellStyle name="计算 2 12 3 8 3 2" xfId="26091"/>
    <cellStyle name="检查单元格 2 7 2 2 7" xfId="26092"/>
    <cellStyle name="输入 2 6 11 5 5 2" xfId="26093"/>
    <cellStyle name="计算 2 5 10 2 8" xfId="26094"/>
    <cellStyle name="计算 2 12 3 8 4 2" xfId="26095"/>
    <cellStyle name="计算 2 12 3 8 5" xfId="26096"/>
    <cellStyle name="输入 2 6 11 5 6" xfId="26097"/>
    <cellStyle name="输出 2 11 8 6 2" xfId="26098"/>
    <cellStyle name="计算 2 12 3 9" xfId="26099"/>
    <cellStyle name="计算 2 4 3 13" xfId="26100"/>
    <cellStyle name="计算 2 12 4" xfId="26101"/>
    <cellStyle name="检查单元格 2 4 2 3 5" xfId="26102"/>
    <cellStyle name="计算 2 12 4 10 2" xfId="26103"/>
    <cellStyle name="检查单元格 2 3 5 4 5" xfId="26104"/>
    <cellStyle name="输入 2 2 4 10 2" xfId="26105"/>
    <cellStyle name="计算 2 12 4 11" xfId="26106"/>
    <cellStyle name="输出 2 2 6 4 2 2" xfId="26107"/>
    <cellStyle name="计算 2 4 2 3 2 2" xfId="26108"/>
    <cellStyle name="输出 2 3 10" xfId="26109"/>
    <cellStyle name="检查单元格 2 3 5 5 5" xfId="26110"/>
    <cellStyle name="输出 2 3 10 2" xfId="26111"/>
    <cellStyle name="计算 2 12 4 11 2" xfId="26112"/>
    <cellStyle name="输出 2 7 10 2 4" xfId="26113"/>
    <cellStyle name="计算 2 12 4 12" xfId="26114"/>
    <cellStyle name="输出 2 3 11" xfId="26115"/>
    <cellStyle name="输出 2 3 11 2" xfId="26116"/>
    <cellStyle name="计算 2 12 4 12 2" xfId="26117"/>
    <cellStyle name="输出 2 7 10 3 4" xfId="26118"/>
    <cellStyle name="输出 2 9 9 6 6" xfId="26119"/>
    <cellStyle name="计算 2 12 4 2 4 2" xfId="26120"/>
    <cellStyle name="计算 2 5 5 5 2 2" xfId="26121"/>
    <cellStyle name="输入 2 7 6 6" xfId="26122"/>
    <cellStyle name="输入 2 6 8 10" xfId="26123"/>
    <cellStyle name="输出 2 3 9 6 2 2" xfId="26124"/>
    <cellStyle name="输出 2 9 9 7 6" xfId="26125"/>
    <cellStyle name="计算 2 12 4 2 5 2" xfId="26126"/>
    <cellStyle name="计算 2 5 5 5 3 2" xfId="26127"/>
    <cellStyle name="输入 2 7 7 6" xfId="26128"/>
    <cellStyle name="计算 2 7 5 13" xfId="26129"/>
    <cellStyle name="输出 2 3 9 6 3 2" xfId="26130"/>
    <cellStyle name="输入 2 7 9 4 5 2" xfId="26131"/>
    <cellStyle name="计算 2 12 4 2 6" xfId="26132"/>
    <cellStyle name="计算 2 5 5 5 4" xfId="26133"/>
    <cellStyle name="输出 2 3 9 6 4" xfId="26134"/>
    <cellStyle name="计算 2 5 10 4 2" xfId="26135"/>
    <cellStyle name="计算 2 12 4 2 7" xfId="26136"/>
    <cellStyle name="计算 2 5 5 5 5" xfId="26137"/>
    <cellStyle name="注释 2 15 7 3 2" xfId="26138"/>
    <cellStyle name="输出 2 3 2 2" xfId="26139"/>
    <cellStyle name="输出 2 3 9 6 5" xfId="26140"/>
    <cellStyle name="计算 2 5 10 4 3" xfId="26141"/>
    <cellStyle name="计算 2 2 18 4 2" xfId="26142"/>
    <cellStyle name="检查单元格 2 7 2 5 2" xfId="26143"/>
    <cellStyle name="计算 2 12 4 2 8" xfId="26144"/>
    <cellStyle name="计算 2 5 5 5 6" xfId="26145"/>
    <cellStyle name="输出 2 3 3 6 2 2" xfId="26146"/>
    <cellStyle name="输出 2 3 2 3" xfId="26147"/>
    <cellStyle name="输出 2 3 9 6 6" xfId="26148"/>
    <cellStyle name="输出 2 5 10 7 5 2" xfId="26149"/>
    <cellStyle name="计算 2 5 10 4 4" xfId="26150"/>
    <cellStyle name="检查单元格 2 4 4 2 5 2" xfId="26151"/>
    <cellStyle name="检查单元格 2 7 2 5 3" xfId="26152"/>
    <cellStyle name="计算 2 12 4 2 9" xfId="26153"/>
    <cellStyle name="输出 2 3 2 4" xfId="26154"/>
    <cellStyle name="计算 2 12 4 3" xfId="26155"/>
    <cellStyle name="检查单元格 2 5 3 5 4" xfId="26156"/>
    <cellStyle name="计算 2 2 11 4" xfId="26157"/>
    <cellStyle name="输入 2 12 2 12" xfId="26158"/>
    <cellStyle name="计算 2 12 4 3 4 2" xfId="26159"/>
    <cellStyle name="计算 2 5 5 6 2 2" xfId="26160"/>
    <cellStyle name="输入 2 8 6 6" xfId="26161"/>
    <cellStyle name="输出 2 3 9 7 2 2" xfId="26162"/>
    <cellStyle name="计算 2 12 4 3 5" xfId="26163"/>
    <cellStyle name="计算 2 5 5 6 3" xfId="26164"/>
    <cellStyle name="输出 2 3 9 7 3" xfId="26165"/>
    <cellStyle name="计算 2 5" xfId="26166"/>
    <cellStyle name="计算 2 12 4 3 5 2" xfId="26167"/>
    <cellStyle name="计算 2 5 5 6 3 2" xfId="26168"/>
    <cellStyle name="输入 2 8 7 6" xfId="26169"/>
    <cellStyle name="输出 2 3 9 7 3 2" xfId="26170"/>
    <cellStyle name="计算 2 2 12 4" xfId="26171"/>
    <cellStyle name="输入 2 3 7 5 4 2" xfId="26172"/>
    <cellStyle name="普通_ 白土" xfId="26173"/>
    <cellStyle name="输入 2 12 7 12" xfId="26174"/>
    <cellStyle name="计算 2 12 4 4 4 2" xfId="26175"/>
    <cellStyle name="计算 2 5 5 7 2 2" xfId="26176"/>
    <cellStyle name="输入 2 9 6 6" xfId="26177"/>
    <cellStyle name="输出 2 3 9 8 2 2" xfId="26178"/>
    <cellStyle name="计算 2 12 4 4 5" xfId="26179"/>
    <cellStyle name="计算 2 5 5 7 3" xfId="26180"/>
    <cellStyle name="输出 2 11 9 2 2" xfId="26181"/>
    <cellStyle name="输出 2 3 9 8 3" xfId="26182"/>
    <cellStyle name="计算 2 12 4 4 5 2" xfId="26183"/>
    <cellStyle name="计算 2 5 5 7 3 2" xfId="26184"/>
    <cellStyle name="输入 2 9 7 6" xfId="26185"/>
    <cellStyle name="输出 2 11 9 2 2 2" xfId="26186"/>
    <cellStyle name="输出 2 3 9 8 3 2" xfId="26187"/>
    <cellStyle name="计算 2 12 4 5" xfId="26188"/>
    <cellStyle name="检查单元格 2 2 8 2 5 2" xfId="26189"/>
    <cellStyle name="计算 2 12 4 5 4 2" xfId="26190"/>
    <cellStyle name="计算 2 5 5 8 2 2" xfId="26191"/>
    <cellStyle name="注释 2 10 9 14" xfId="26192"/>
    <cellStyle name="计算 2 12 4 5 5" xfId="26193"/>
    <cellStyle name="计算 2 5 5 8 3" xfId="26194"/>
    <cellStyle name="输出 2 11 9 3 2" xfId="26195"/>
    <cellStyle name="计算 2 12 4 6 4 2" xfId="26196"/>
    <cellStyle name="计算 2 12 4 6 5" xfId="26197"/>
    <cellStyle name="输出 2 11 9 4 2" xfId="26198"/>
    <cellStyle name="计算 2 12 4 7" xfId="26199"/>
    <cellStyle name="计算 2 12 4 7 3 2" xfId="26200"/>
    <cellStyle name="计算 2 4 4 7 5 2" xfId="26201"/>
    <cellStyle name="输出 2 10 8 2 4 2" xfId="26202"/>
    <cellStyle name="计算 2 12 4 7 4" xfId="26203"/>
    <cellStyle name="计算 2 12 4 7 4 2" xfId="26204"/>
    <cellStyle name="计算 2 12 4 7 5 2" xfId="26205"/>
    <cellStyle name="计算 2 8 5 13" xfId="26206"/>
    <cellStyle name="输出 2 11 9 5 2 2" xfId="26207"/>
    <cellStyle name="计算 2 12 4 7 6" xfId="26208"/>
    <cellStyle name="输出 2 11 9 5 3" xfId="26209"/>
    <cellStyle name="计算 2 12 4 8 2" xfId="26210"/>
    <cellStyle name="计算 2 12 4 8 2 2" xfId="26211"/>
    <cellStyle name="计算 2 12 4 8 3" xfId="26212"/>
    <cellStyle name="输出 2 6 11 3 4 2" xfId="26213"/>
    <cellStyle name="计算 2 3 10 4" xfId="26214"/>
    <cellStyle name="计算 2 8 9 2 3 2" xfId="26215"/>
    <cellStyle name="计算 2 12 4 8 3 2" xfId="26216"/>
    <cellStyle name="检查单元格 2 8 2 2 7" xfId="26217"/>
    <cellStyle name="计算 2 12 4 8 4" xfId="26218"/>
    <cellStyle name="计算 2 8 9 2 4 2" xfId="26219"/>
    <cellStyle name="计算 2 3 11 4" xfId="26220"/>
    <cellStyle name="输出 2 4 17" xfId="26221"/>
    <cellStyle name="输出 2 4 22" xfId="26222"/>
    <cellStyle name="注释 2 10 2 13" xfId="26223"/>
    <cellStyle name="计算 2 12 4 8 4 2" xfId="26224"/>
    <cellStyle name="注释 2 3 3 2 4 2" xfId="26225"/>
    <cellStyle name="计算 2 4 3 14" xfId="26226"/>
    <cellStyle name="计算 2 12 5" xfId="26227"/>
    <cellStyle name="注释 2 5 13 3 2" xfId="26228"/>
    <cellStyle name="检查单元格 2 4 2 3 6" xfId="26229"/>
    <cellStyle name="计算 2 6 5 3 3 2" xfId="26230"/>
    <cellStyle name="输出 2 12 9 2" xfId="26231"/>
    <cellStyle name="计算 2 12 5 10 2" xfId="26232"/>
    <cellStyle name="输出 2 4 9 4 3 2" xfId="26233"/>
    <cellStyle name="计算 2 6 5 3 4 2" xfId="26234"/>
    <cellStyle name="输出 2 4 10 2" xfId="26235"/>
    <cellStyle name="计算 2 12 5 11 2" xfId="26236"/>
    <cellStyle name="输出 2 4 9 4 4 2" xfId="26237"/>
    <cellStyle name="计算 2 6 5 3 5" xfId="26238"/>
    <cellStyle name="输出 2 4 11" xfId="26239"/>
    <cellStyle name="计算 2 12 5 12" xfId="26240"/>
    <cellStyle name="输出 2 4 9 4 5" xfId="26241"/>
    <cellStyle name="计算 2 6 5 3 5 2" xfId="26242"/>
    <cellStyle name="输出 2 4 11 2" xfId="26243"/>
    <cellStyle name="计算 2 12 5 12 2" xfId="26244"/>
    <cellStyle name="输出 2 4 9 4 5 2" xfId="26245"/>
    <cellStyle name="计算 2 6 5 3 6" xfId="26246"/>
    <cellStyle name="输出 2 4 12" xfId="26247"/>
    <cellStyle name="计算 2 12 5 13" xfId="26248"/>
    <cellStyle name="输出 2 4 9 4 6" xfId="26249"/>
    <cellStyle name="输出 2 5 11 7 3 2" xfId="26250"/>
    <cellStyle name="计算 2 12 5 14" xfId="26251"/>
    <cellStyle name="输出 2 4 13" xfId="26252"/>
    <cellStyle name="输出 2 8 7 4 4 2" xfId="26253"/>
    <cellStyle name="计算 2 12 5 15" xfId="26254"/>
    <cellStyle name="输出 2 4 14" xfId="26255"/>
    <cellStyle name="计算 2 12 5 16" xfId="26256"/>
    <cellStyle name="计算 2 3 11 2" xfId="26257"/>
    <cellStyle name="输出 2 4 15" xfId="26258"/>
    <cellStyle name="输出 2 4 20" xfId="26259"/>
    <cellStyle name="计算 2 12 5 2" xfId="26260"/>
    <cellStyle name="计算 2 12 5 2 2" xfId="26261"/>
    <cellStyle name="计算 2 12 5 2 3" xfId="26262"/>
    <cellStyle name="计算 2 12 5 2 4 2" xfId="26263"/>
    <cellStyle name="计算 2 5 6 5 2 2" xfId="26264"/>
    <cellStyle name="检查单元格 2 3 4" xfId="26265"/>
    <cellStyle name="输入 2 7 9 5 5 2" xfId="26266"/>
    <cellStyle name="计算 2 12 5 2 6" xfId="26267"/>
    <cellStyle name="计算 2 5 6 5 4" xfId="26268"/>
    <cellStyle name="计算 2 5 11 4 2" xfId="26269"/>
    <cellStyle name="计算 2 12 5 2 7" xfId="26270"/>
    <cellStyle name="计算 2 5 6 5 5" xfId="26271"/>
    <cellStyle name="注释 2 3 15 6" xfId="26272"/>
    <cellStyle name="注释 2 15 8 3 2" xfId="26273"/>
    <cellStyle name="输出 2 4 2 2" xfId="26274"/>
    <cellStyle name="计算 2 5 11 4 3" xfId="26275"/>
    <cellStyle name="计算 2 2 19 4 2" xfId="26276"/>
    <cellStyle name="检查单元格 2 5 10 5 2" xfId="26277"/>
    <cellStyle name="检查单元格 2 7 3 5 2" xfId="26278"/>
    <cellStyle name="计算 2 12 5 2 8" xfId="26279"/>
    <cellStyle name="计算 2 5 6 5 6" xfId="26280"/>
    <cellStyle name="输出 2 3 3 7 2 2" xfId="26281"/>
    <cellStyle name="输出 2 4 2 3" xfId="26282"/>
    <cellStyle name="计算 2 5 11 4 4" xfId="26283"/>
    <cellStyle name="检查单元格 2 4 4 3 5 2" xfId="26284"/>
    <cellStyle name="检查单元格 2 7 3 5 3" xfId="26285"/>
    <cellStyle name="计算 2 12 5 2 9" xfId="26286"/>
    <cellStyle name="输出 2 4 2 4" xfId="26287"/>
    <cellStyle name="计算 2 12 5 3" xfId="26288"/>
    <cellStyle name="计算 2 12 5 3 2" xfId="26289"/>
    <cellStyle name="计算 2 12 5 3 3" xfId="26290"/>
    <cellStyle name="计算 2 12 5 3 4 2" xfId="26291"/>
    <cellStyle name="计算 2 5 6 6 2 2" xfId="26292"/>
    <cellStyle name="计算 2 12 5 3 5" xfId="26293"/>
    <cellStyle name="计算 2 5 6 6 3" xfId="26294"/>
    <cellStyle name="计算 2 12 5 3 5 2" xfId="26295"/>
    <cellStyle name="计算 2 5 6 6 3 2" xfId="26296"/>
    <cellStyle name="计算 2 12 5 4 2" xfId="26297"/>
    <cellStyle name="计算 2 12 5 4 3" xfId="26298"/>
    <cellStyle name="计算 2 12 5 4 5" xfId="26299"/>
    <cellStyle name="计算 2 5 6 7 3" xfId="26300"/>
    <cellStyle name="计算 2 12 5 4 5 2" xfId="26301"/>
    <cellStyle name="计算 2 5 6 7 3 2" xfId="26302"/>
    <cellStyle name="计算 2 12 5 5" xfId="26303"/>
    <cellStyle name="计算 2 12 5 5 2" xfId="26304"/>
    <cellStyle name="计算 2 12 5 5 3" xfId="26305"/>
    <cellStyle name="注释 2 6 10 3 3" xfId="26306"/>
    <cellStyle name="计算 2 12 5 5 4 2" xfId="26307"/>
    <cellStyle name="计算 2 5 6 8 2 2" xfId="26308"/>
    <cellStyle name="注释 2 3 18 4" xfId="26309"/>
    <cellStyle name="计算 2 3 11 10" xfId="26310"/>
    <cellStyle name="计算 2 12 5 5 5" xfId="26311"/>
    <cellStyle name="计算 2 5 6 8 3" xfId="26312"/>
    <cellStyle name="注释 2 3 18 4 2" xfId="26313"/>
    <cellStyle name="计算 2 3 11 10 2" xfId="26314"/>
    <cellStyle name="注释 2 6 10 4 3" xfId="26315"/>
    <cellStyle name="计算 2 12 5 5 5 2" xfId="26316"/>
    <cellStyle name="计算 2 5 6 8 3 2" xfId="26317"/>
    <cellStyle name="计算 2 12 5 6 2" xfId="26318"/>
    <cellStyle name="计算 2 12 5 6 2 2" xfId="26319"/>
    <cellStyle name="计算 2 12 5 6 3" xfId="26320"/>
    <cellStyle name="注释 2 3 19 2" xfId="26321"/>
    <cellStyle name="输出 2 6 11 4 2 2" xfId="26322"/>
    <cellStyle name="输入 2 3 8 8 3" xfId="26323"/>
    <cellStyle name="计算 2 4 4 8 4 2" xfId="26324"/>
    <cellStyle name="注释 2 10 2 5 4" xfId="26325"/>
    <cellStyle name="输出 2 10 8 3 3 2" xfId="26326"/>
    <cellStyle name="计算 2 12 5 6 4" xfId="26327"/>
    <cellStyle name="计算 2 5 6 9 2" xfId="26328"/>
    <cellStyle name="注释 2 6 11 3 3" xfId="26329"/>
    <cellStyle name="计算 2 12 5 6 4 2" xfId="26330"/>
    <cellStyle name="计算 2 12 5 6 5" xfId="26331"/>
    <cellStyle name="注释 2 6 11 4 3" xfId="26332"/>
    <cellStyle name="计算 2 12 5 6 5 2" xfId="26333"/>
    <cellStyle name="计算 2 12 5 7" xfId="26334"/>
    <cellStyle name="计算 2 12 5 7 2" xfId="26335"/>
    <cellStyle name="计算 2 12 5 7 2 2" xfId="26336"/>
    <cellStyle name="计算 2 12 5 7 3" xfId="26337"/>
    <cellStyle name="输出 2 6 11 4 3 2" xfId="26338"/>
    <cellStyle name="计算 2 12 5 7 4" xfId="26339"/>
    <cellStyle name="计算 2 12 5 7 4 2" xfId="26340"/>
    <cellStyle name="计算 2 12 5 7 5" xfId="26341"/>
    <cellStyle name="输入 2 2 11 2 5 2" xfId="26342"/>
    <cellStyle name="计算 2 12 5 7 6" xfId="26343"/>
    <cellStyle name="计算 2 12 5 8 4 2" xfId="26344"/>
    <cellStyle name="计算 2 12 5 9" xfId="26345"/>
    <cellStyle name="计算 2 12 5 9 2" xfId="26346"/>
    <cellStyle name="计算 2 8 5 2 4 2" xfId="26347"/>
    <cellStyle name="计算 2 4 3 15" xfId="26348"/>
    <cellStyle name="检查单元格 2 9 8 5 2" xfId="26349"/>
    <cellStyle name="输出 2 6 9 3 4 2" xfId="26350"/>
    <cellStyle name="计算 2 12 6" xfId="26351"/>
    <cellStyle name="计算 2 12 6 14" xfId="26352"/>
    <cellStyle name="输出 2 12 9 3 6" xfId="26353"/>
    <cellStyle name="输出 2 5 13" xfId="26354"/>
    <cellStyle name="计算 2 12 6 15" xfId="26355"/>
    <cellStyle name="输出 2 5 14" xfId="26356"/>
    <cellStyle name="计算 2 12 6 16" xfId="26357"/>
    <cellStyle name="计算 2 3 6 4 5 2" xfId="26358"/>
    <cellStyle name="计算 2 3 21 2" xfId="26359"/>
    <cellStyle name="计算 2 3 16 2" xfId="26360"/>
    <cellStyle name="输出 2 5 15" xfId="26361"/>
    <cellStyle name="输出 2 5 20" xfId="26362"/>
    <cellStyle name="计算 2 12 6 2" xfId="26363"/>
    <cellStyle name="计算 2 12 6 2 2" xfId="26364"/>
    <cellStyle name="计算 2 12 6 2 3" xfId="26365"/>
    <cellStyle name="计算 2 12 6 2 4 2" xfId="26366"/>
    <cellStyle name="计算 2 5 7 5 2 2" xfId="26367"/>
    <cellStyle name="计算 2 12 6 2 5" xfId="26368"/>
    <cellStyle name="计算 2 5 7 5 3" xfId="26369"/>
    <cellStyle name="计算 2 12 6 2 5 2" xfId="26370"/>
    <cellStyle name="计算 2 5 7 5 3 2" xfId="26371"/>
    <cellStyle name="计算 2 12 6 2 7" xfId="26372"/>
    <cellStyle name="计算 2 5 7 5 5" xfId="26373"/>
    <cellStyle name="输出 2 5 2 2" xfId="26374"/>
    <cellStyle name="计算 2 12 6 2 8" xfId="26375"/>
    <cellStyle name="计算 2 5 7 5 6" xfId="26376"/>
    <cellStyle name="输出 2 3 3 8 2 2" xfId="26377"/>
    <cellStyle name="输出 2 5 2 3" xfId="26378"/>
    <cellStyle name="计算 2 12 6 2 9" xfId="26379"/>
    <cellStyle name="输出 2 5 2 4" xfId="26380"/>
    <cellStyle name="计算 2 12 6 3" xfId="26381"/>
    <cellStyle name="注释 2 10 3 3" xfId="26382"/>
    <cellStyle name="计算 2 3 3 5 4 2" xfId="26383"/>
    <cellStyle name="计算 2 12 6 4" xfId="26384"/>
    <cellStyle name="计算 2 12 6 4 2" xfId="26385"/>
    <cellStyle name="计算 2 12 6 4 3" xfId="26386"/>
    <cellStyle name="计算 2 12 6 4 4 2" xfId="26387"/>
    <cellStyle name="计算 2 5 7 7 2 2" xfId="26388"/>
    <cellStyle name="计算 2 12 6 4 5" xfId="26389"/>
    <cellStyle name="计算 2 5 7 7 3" xfId="26390"/>
    <cellStyle name="计算 2 12 6 5" xfId="26391"/>
    <cellStyle name="计算 2 12 6 5 2" xfId="26392"/>
    <cellStyle name="计算 2 12 6 5 3" xfId="26393"/>
    <cellStyle name="计算 2 12 6 5 4 2" xfId="26394"/>
    <cellStyle name="计算 2 5 7 8 2 2" xfId="26395"/>
    <cellStyle name="计算 2 12 6 5 5" xfId="26396"/>
    <cellStyle name="计算 2 5 7 8 3" xfId="26397"/>
    <cellStyle name="计算 2 12 6 5 5 2" xfId="26398"/>
    <cellStyle name="计算 2 5 7 8 3 2" xfId="26399"/>
    <cellStyle name="输出 2 7 6 16" xfId="26400"/>
    <cellStyle name="计算 2 2 5 2 2 2" xfId="26401"/>
    <cellStyle name="计算 2 12 6 6 2" xfId="26402"/>
    <cellStyle name="计算 2 9 2 11" xfId="26403"/>
    <cellStyle name="计算 2 12 6 6 2 2" xfId="26404"/>
    <cellStyle name="计算 2 9 2 11 2" xfId="26405"/>
    <cellStyle name="计算 2 12 6 6 3" xfId="26406"/>
    <cellStyle name="计算 2 9 2 12" xfId="26407"/>
    <cellStyle name="输出 2 6 11 5 2 2" xfId="26408"/>
    <cellStyle name="计算 2 12 6 6 4" xfId="26409"/>
    <cellStyle name="计算 2 5 7 9 2" xfId="26410"/>
    <cellStyle name="计算 2 9 2 13" xfId="26411"/>
    <cellStyle name="计算 2 12 6 6 4 2" xfId="26412"/>
    <cellStyle name="计算 2 12 6 6 5" xfId="26413"/>
    <cellStyle name="计算 2 9 2 14" xfId="26414"/>
    <cellStyle name="计算 2 12 6 6 5 2" xfId="26415"/>
    <cellStyle name="计算 2 2 5 2 3" xfId="26416"/>
    <cellStyle name="计算 2 12 6 7" xfId="26417"/>
    <cellStyle name="计算 2 2 5 2 3 2" xfId="26418"/>
    <cellStyle name="计算 2 12 6 7 2" xfId="26419"/>
    <cellStyle name="计算 2 12 6 7 2 2" xfId="26420"/>
    <cellStyle name="计算 2 12 6 7 3" xfId="26421"/>
    <cellStyle name="输出 2 6 11 5 3 2" xfId="26422"/>
    <cellStyle name="计算 2 12 6 7 4" xfId="26423"/>
    <cellStyle name="计算 2 12 6 7 4 2" xfId="26424"/>
    <cellStyle name="计算 2 12 6 7 5" xfId="26425"/>
    <cellStyle name="计算 2 12 6 7 5 2" xfId="26426"/>
    <cellStyle name="计算 2 2 5 2 5" xfId="26427"/>
    <cellStyle name="计算 2 12 6 9" xfId="26428"/>
    <cellStyle name="计算 2 2 5 2 5 2" xfId="26429"/>
    <cellStyle name="计算 2 12 6 9 2" xfId="26430"/>
    <cellStyle name="计算 2 4 3 16" xfId="26431"/>
    <cellStyle name="检查单元格 2 9 8 5 3" xfId="26432"/>
    <cellStyle name="计算 2 12 7" xfId="26433"/>
    <cellStyle name="计算 2 12 7 10 2" xfId="26434"/>
    <cellStyle name="计算 2 7 4 6 4" xfId="26435"/>
    <cellStyle name="输出 2 12 9 8 2 2" xfId="26436"/>
    <cellStyle name="输出 2 5 8 7 4" xfId="26437"/>
    <cellStyle name="计算 2 12 7 11 2" xfId="26438"/>
    <cellStyle name="计算 2 7 4 7 4" xfId="26439"/>
    <cellStyle name="输出 2 12 9 8 3 2" xfId="26440"/>
    <cellStyle name="输出 2 5 8 8 4" xfId="26441"/>
    <cellStyle name="输出 2 6 10 2" xfId="26442"/>
    <cellStyle name="输入 2 10 7 2 5 2" xfId="26443"/>
    <cellStyle name="计算 2 12 7 12" xfId="26444"/>
    <cellStyle name="输出 2 12 9 8 4" xfId="26445"/>
    <cellStyle name="输出 2 6 11" xfId="26446"/>
    <cellStyle name="注释 2 2 8 12" xfId="26447"/>
    <cellStyle name="计算 2 12 7 12 2" xfId="26448"/>
    <cellStyle name="计算 2 7 4 8 4" xfId="26449"/>
    <cellStyle name="输出 2 12 9 8 4 2" xfId="26450"/>
    <cellStyle name="输出 2 6 11 2" xfId="26451"/>
    <cellStyle name="计算 2 12 7 2" xfId="26452"/>
    <cellStyle name="注释 2 2 6 8" xfId="26453"/>
    <cellStyle name="输入 2 7 9 7 5 2" xfId="26454"/>
    <cellStyle name="计算 2 12 7 2 6" xfId="26455"/>
    <cellStyle name="计算 2 5 8 5 4" xfId="26456"/>
    <cellStyle name="注释 2 2 6 9" xfId="26457"/>
    <cellStyle name="计算 2 12 7 2 7" xfId="26458"/>
    <cellStyle name="计算 2 5 8 5 5" xfId="26459"/>
    <cellStyle name="输出 2 6 2 2" xfId="26460"/>
    <cellStyle name="计算 2 12 7 2 8" xfId="26461"/>
    <cellStyle name="计算 2 5 8 5 6" xfId="26462"/>
    <cellStyle name="输入 2 12 4 12 2" xfId="26463"/>
    <cellStyle name="输出 2 6 2 3" xfId="26464"/>
    <cellStyle name="计算 2 12 7 2 9" xfId="26465"/>
    <cellStyle name="输出 2 6 2 4" xfId="26466"/>
    <cellStyle name="计算 2 12 7 3" xfId="26467"/>
    <cellStyle name="注释 2 2 7 7 2" xfId="26468"/>
    <cellStyle name="计算 2 12 7 3 5 2" xfId="26469"/>
    <cellStyle name="计算 2 5 8 6 3 2" xfId="26470"/>
    <cellStyle name="检查单元格 2 3 5 3" xfId="26471"/>
    <cellStyle name="注释 2 10 4 3" xfId="26472"/>
    <cellStyle name="计算 2 3 3 5 5 2" xfId="26473"/>
    <cellStyle name="计算 2 9 9 13" xfId="26474"/>
    <cellStyle name="计算 2 12 7 4" xfId="26475"/>
    <cellStyle name="计算 2 12 7 5" xfId="26476"/>
    <cellStyle name="输出 2 2 7 10" xfId="26477"/>
    <cellStyle name="注释 2 2 9 7" xfId="26478"/>
    <cellStyle name="计算 2 12 7 5 5" xfId="26479"/>
    <cellStyle name="计算 2 5 8 8 3" xfId="26480"/>
    <cellStyle name="计算 2 2 5 3 2" xfId="26481"/>
    <cellStyle name="计算 2 12 7 6" xfId="26482"/>
    <cellStyle name="输出 2 2 7 11" xfId="26483"/>
    <cellStyle name="计算 2 2 5 3 2 2" xfId="26484"/>
    <cellStyle name="计算 2 12 7 6 2" xfId="26485"/>
    <cellStyle name="计算 2 9 7 11" xfId="26486"/>
    <cellStyle name="输出 2 2 7 11 2" xfId="26487"/>
    <cellStyle name="计算 2 12 7 6 2 2" xfId="26488"/>
    <cellStyle name="计算 2 9 7 11 2" xfId="26489"/>
    <cellStyle name="检查单元格 2 6 2 3" xfId="26490"/>
    <cellStyle name="计算 2 12 7 6 3" xfId="26491"/>
    <cellStyle name="计算 2 9 7 12" xfId="26492"/>
    <cellStyle name="输出 2 6 11 6 2 2" xfId="26493"/>
    <cellStyle name="计算 2 12 7 6 4" xfId="26494"/>
    <cellStyle name="计算 2 5 8 9 2" xfId="26495"/>
    <cellStyle name="计算 2 9 7 13" xfId="26496"/>
    <cellStyle name="计算 2 12 7 6 5" xfId="26497"/>
    <cellStyle name="计算 2 9 7 14" xfId="26498"/>
    <cellStyle name="计算 2 2 5 3 3" xfId="26499"/>
    <cellStyle name="计算 2 12 7 7" xfId="26500"/>
    <cellStyle name="输出 2 2 7 12" xfId="26501"/>
    <cellStyle name="计算 2 2 5 3 3 2" xfId="26502"/>
    <cellStyle name="计算 2 12 7 7 2" xfId="26503"/>
    <cellStyle name="计算 2 2 23" xfId="26504"/>
    <cellStyle name="计算 2 2 18" xfId="26505"/>
    <cellStyle name="输出 2 2 7 12 2" xfId="26506"/>
    <cellStyle name="计算 2 12 7 7 2 2" xfId="26507"/>
    <cellStyle name="计算 2 2 23 2" xfId="26508"/>
    <cellStyle name="计算 2 2 18 2" xfId="26509"/>
    <cellStyle name="检查单元格 2 7 2 3" xfId="26510"/>
    <cellStyle name="计算 2 12 7 7 3" xfId="26511"/>
    <cellStyle name="计算 2 2 24" xfId="26512"/>
    <cellStyle name="计算 2 2 19" xfId="26513"/>
    <cellStyle name="输出 2 6 11 6 3 2" xfId="26514"/>
    <cellStyle name="计算 2 2 25" xfId="26515"/>
    <cellStyle name="计算 2 12 7 7 4" xfId="26516"/>
    <cellStyle name="计算 2 12 7 7 4 2" xfId="26517"/>
    <cellStyle name="检查单元格 2 5 11 3" xfId="26518"/>
    <cellStyle name="检查单元格 2 7 4 3" xfId="26519"/>
    <cellStyle name="计算 2 2 26" xfId="26520"/>
    <cellStyle name="计算 2 12 7 7 5" xfId="26521"/>
    <cellStyle name="计算 2 2 5 3 4 2" xfId="26522"/>
    <cellStyle name="计算 2 12 7 8 2" xfId="26523"/>
    <cellStyle name="计算 2 12 7 8 2 2" xfId="26524"/>
    <cellStyle name="检查单元格 2 8 2 3" xfId="26525"/>
    <cellStyle name="计算 2 12 7 8 3" xfId="26526"/>
    <cellStyle name="输出 2 6 11 6 4 2" xfId="26527"/>
    <cellStyle name="计算 2 12 7 8 4" xfId="26528"/>
    <cellStyle name="注释 2 7 6 10" xfId="26529"/>
    <cellStyle name="计算 2 12 7 8 4 2" xfId="26530"/>
    <cellStyle name="检查单元格 2 8 4 3" xfId="26531"/>
    <cellStyle name="计算 2 12 7 8 5" xfId="26532"/>
    <cellStyle name="计算 2 2 5 3 5" xfId="26533"/>
    <cellStyle name="计算 2 12 7 9" xfId="26534"/>
    <cellStyle name="输出 2 2 7 14" xfId="26535"/>
    <cellStyle name="计算 2 2 5 3 5 2" xfId="26536"/>
    <cellStyle name="计算 2 12 7 9 2" xfId="26537"/>
    <cellStyle name="计算 2 12 8" xfId="26538"/>
    <cellStyle name="计算 2 12 8 10" xfId="26539"/>
    <cellStyle name="输出 2 10 7 2 9" xfId="26540"/>
    <cellStyle name="计算 2 12 8 10 2" xfId="26541"/>
    <cellStyle name="计算 2 7 9 6 4" xfId="26542"/>
    <cellStyle name="计算 2 3 2 2 2" xfId="26543"/>
    <cellStyle name="注释 2 10 17 6" xfId="26544"/>
    <cellStyle name="输出 2 11 7 4 5 2" xfId="26545"/>
    <cellStyle name="输入 2 2 13 5 2" xfId="26546"/>
    <cellStyle name="计算 2 12 8 11" xfId="26547"/>
    <cellStyle name="输出 2 7 10" xfId="26548"/>
    <cellStyle name="计算 2 3 2 2 2 2" xfId="26549"/>
    <cellStyle name="计算 2 12 8 11 2" xfId="26550"/>
    <cellStyle name="计算 2 7 9 7 4" xfId="26551"/>
    <cellStyle name="输出 2 7 10 2" xfId="26552"/>
    <cellStyle name="计算 2 3 2 2 3" xfId="26553"/>
    <cellStyle name="计算 2 12 8 12" xfId="26554"/>
    <cellStyle name="输出 2 7 11" xfId="26555"/>
    <cellStyle name="计算 2 3 2 2 3 2" xfId="26556"/>
    <cellStyle name="注释 2 3 8 12" xfId="26557"/>
    <cellStyle name="计算 2 12 8 12 2" xfId="26558"/>
    <cellStyle name="计算 2 7 9 8 4" xfId="26559"/>
    <cellStyle name="输出 2 7 11 2" xfId="26560"/>
    <cellStyle name="计算 2 4 23" xfId="26561"/>
    <cellStyle name="计算 2 4 18" xfId="26562"/>
    <cellStyle name="检查单元格 2 9 8 5 4 2" xfId="26563"/>
    <cellStyle name="计算 2 12 8 2" xfId="26564"/>
    <cellStyle name="计算 2 4 23 2" xfId="26565"/>
    <cellStyle name="计算 2 4 18 2" xfId="26566"/>
    <cellStyle name="注释 2 3 6 4" xfId="26567"/>
    <cellStyle name="计算 2 12 8 2 2" xfId="26568"/>
    <cellStyle name="输入 2 11 2 5 4 2" xfId="26569"/>
    <cellStyle name="计算 2 6 18" xfId="26570"/>
    <cellStyle name="计算 2 6 23" xfId="26571"/>
    <cellStyle name="计算 2 4 18 2 2" xfId="26572"/>
    <cellStyle name="计算 2 7 10 2 3" xfId="26573"/>
    <cellStyle name="注释 2 3 6 4 2" xfId="26574"/>
    <cellStyle name="计算 2 12 8 2 2 2" xfId="26575"/>
    <cellStyle name="计算 2 6 18 2" xfId="26576"/>
    <cellStyle name="计算 2 6 23 2" xfId="26577"/>
    <cellStyle name="输入 2 11 3 10 2" xfId="26578"/>
    <cellStyle name="计算 2 4 18 3" xfId="26579"/>
    <cellStyle name="注释 2 3 6 5" xfId="26580"/>
    <cellStyle name="注释 2 2 6 2 2 2" xfId="26581"/>
    <cellStyle name="计算 2 12 8 2 3" xfId="26582"/>
    <cellStyle name="计算 2 6 19" xfId="26583"/>
    <cellStyle name="计算 2 6 24" xfId="26584"/>
    <cellStyle name="计算 2 4 18 4 2" xfId="26585"/>
    <cellStyle name="计算 2 7 10 4 3" xfId="26586"/>
    <cellStyle name="注释 2 3 6 6 2" xfId="26587"/>
    <cellStyle name="计算 2 12 8 2 4 2" xfId="26588"/>
    <cellStyle name="计算 2 5 9 5 2 2" xfId="26589"/>
    <cellStyle name="检查单元格 2 9 11 3" xfId="26590"/>
    <cellStyle name="计算 2 4 18 5" xfId="26591"/>
    <cellStyle name="注释 2 3 6 7" xfId="26592"/>
    <cellStyle name="计算 2 12 8 2 5" xfId="26593"/>
    <cellStyle name="计算 2 5 9 5 3" xfId="26594"/>
    <cellStyle name="计算 2 6 26" xfId="26595"/>
    <cellStyle name="计算 2 4 18 5 2" xfId="26596"/>
    <cellStyle name="计算 2 7 10 5 3" xfId="26597"/>
    <cellStyle name="注释 2 3 6 7 2" xfId="26598"/>
    <cellStyle name="计算 2 12 8 2 5 2" xfId="26599"/>
    <cellStyle name="计算 2 5 9 5 3 2" xfId="26600"/>
    <cellStyle name="检查单元格 2 9 12 3" xfId="26601"/>
    <cellStyle name="计算 2 4 18 6" xfId="26602"/>
    <cellStyle name="注释 2 3 6 8" xfId="26603"/>
    <cellStyle name="计算 2 12 8 2 6" xfId="26604"/>
    <cellStyle name="计算 2 5 9 5 4" xfId="26605"/>
    <cellStyle name="计算 2 6 27" xfId="26606"/>
    <cellStyle name="注释 2 8 2 6 2" xfId="26607"/>
    <cellStyle name="注释 2 3 6 9" xfId="26608"/>
    <cellStyle name="计算 2 12 8 2 7" xfId="26609"/>
    <cellStyle name="计算 2 5 9 5 5" xfId="26610"/>
    <cellStyle name="输出 2 7 2 2" xfId="26611"/>
    <cellStyle name="注释 2 8 2 6 3" xfId="26612"/>
    <cellStyle name="计算 2 12 8 2 8" xfId="26613"/>
    <cellStyle name="计算 2 5 9 5 6" xfId="26614"/>
    <cellStyle name="输出 2 7 2 3" xfId="26615"/>
    <cellStyle name="注释 2 8 2 6 4" xfId="26616"/>
    <cellStyle name="计算 2 12 8 2 9" xfId="26617"/>
    <cellStyle name="输出 2 7 2 4" xfId="26618"/>
    <cellStyle name="注释 2 10 5 2" xfId="26619"/>
    <cellStyle name="计算 2 4 24" xfId="26620"/>
    <cellStyle name="计算 2 4 19" xfId="26621"/>
    <cellStyle name="计算 2 7 11 5 2 2" xfId="26622"/>
    <cellStyle name="计算 2 12 8 3" xfId="26623"/>
    <cellStyle name="注释 2 10 5 2 2" xfId="26624"/>
    <cellStyle name="计算 2 4 19 2" xfId="26625"/>
    <cellStyle name="检查单元格 2 7 10 3" xfId="26626"/>
    <cellStyle name="注释 2 3 7 4" xfId="26627"/>
    <cellStyle name="计算 2 12 8 3 2" xfId="26628"/>
    <cellStyle name="计算 2 7 11 2 3" xfId="26629"/>
    <cellStyle name="注释 2 10 5 2 2 2" xfId="26630"/>
    <cellStyle name="计算 2 4 19 2 2" xfId="26631"/>
    <cellStyle name="检查单元格 2 7 10 3 2" xfId="26632"/>
    <cellStyle name="注释 2 3 7 4 2" xfId="26633"/>
    <cellStyle name="计算 2 12 8 3 2 2" xfId="26634"/>
    <cellStyle name="注释 2 10 5 2 3" xfId="26635"/>
    <cellStyle name="输入 2 11 3 11 2" xfId="26636"/>
    <cellStyle name="计算 2 4 19 3" xfId="26637"/>
    <cellStyle name="检查单元格 2 7 10 4" xfId="26638"/>
    <cellStyle name="注释 2 3 7 5" xfId="26639"/>
    <cellStyle name="注释 2 2 6 2 3 2" xfId="26640"/>
    <cellStyle name="计算 2 12 8 3 3" xfId="26641"/>
    <cellStyle name="计算 2 7 11 3 3" xfId="26642"/>
    <cellStyle name="注释 2 10 5 2 3 2" xfId="26643"/>
    <cellStyle name="计算 2 4 19 3 2" xfId="26644"/>
    <cellStyle name="检查单元格 2 7 10 4 2" xfId="26645"/>
    <cellStyle name="注释 2 3 7 5 2" xfId="26646"/>
    <cellStyle name="计算 2 12 8 3 3 2" xfId="26647"/>
    <cellStyle name="计算 2 7 11 4 3" xfId="26648"/>
    <cellStyle name="注释 2 10 5 2 4 2" xfId="26649"/>
    <cellStyle name="计算 2 4 19 4 2" xfId="26650"/>
    <cellStyle name="检查单元格 2 7 10 5 2" xfId="26651"/>
    <cellStyle name="注释 2 3 7 6 2" xfId="26652"/>
    <cellStyle name="计算 2 12 8 3 4 2" xfId="26653"/>
    <cellStyle name="计算 2 5 9 6 2 2" xfId="26654"/>
    <cellStyle name="注释 2 10 5 2 5" xfId="26655"/>
    <cellStyle name="计算 2 4 19 5" xfId="26656"/>
    <cellStyle name="检查单元格 2 7 10 6" xfId="26657"/>
    <cellStyle name="注释 2 3 7 7" xfId="26658"/>
    <cellStyle name="计算 2 12 8 3 5" xfId="26659"/>
    <cellStyle name="计算 2 5 9 6 3" xfId="26660"/>
    <cellStyle name="注释 2 3 7 7 2" xfId="26661"/>
    <cellStyle name="计算 2 12 8 3 5 2" xfId="26662"/>
    <cellStyle name="计算 2 5 9 6 3 2" xfId="26663"/>
    <cellStyle name="注释 2 3 7 8" xfId="26664"/>
    <cellStyle name="计算 2 12 8 3 6" xfId="26665"/>
    <cellStyle name="计算 2 5 9 6 4" xfId="26666"/>
    <cellStyle name="注释 2 10 5 3" xfId="26667"/>
    <cellStyle name="计算 2 4 25" xfId="26668"/>
    <cellStyle name="计算 2 12 8 4" xfId="26669"/>
    <cellStyle name="注释 2 3 8 4" xfId="26670"/>
    <cellStyle name="计算 2 12 8 4 2" xfId="26671"/>
    <cellStyle name="注释 2 3 8 4 2" xfId="26672"/>
    <cellStyle name="计算 2 12 8 4 2 2" xfId="26673"/>
    <cellStyle name="注释 2 3 8 5" xfId="26674"/>
    <cellStyle name="注释 2 2 6 2 4 2" xfId="26675"/>
    <cellStyle name="计算 2 12 8 4 3" xfId="26676"/>
    <cellStyle name="注释 2 3 8 5 2" xfId="26677"/>
    <cellStyle name="计算 2 12 8 4 3 2" xfId="26678"/>
    <cellStyle name="注释 2 3 8 6 2" xfId="26679"/>
    <cellStyle name="计算 2 12 8 4 4 2" xfId="26680"/>
    <cellStyle name="计算 2 5 9 7 2 2" xfId="26681"/>
    <cellStyle name="注释 2 3 8 7" xfId="26682"/>
    <cellStyle name="计算 2 12 8 4 5" xfId="26683"/>
    <cellStyle name="计算 2 5 9 7 3" xfId="26684"/>
    <cellStyle name="注释 2 3 8 7 2" xfId="26685"/>
    <cellStyle name="计算 2 12 8 4 5 2" xfId="26686"/>
    <cellStyle name="计算 2 5 9 7 3 2" xfId="26687"/>
    <cellStyle name="注释 2 3 8 8" xfId="26688"/>
    <cellStyle name="输入 2 2 11 5 2 2" xfId="26689"/>
    <cellStyle name="计算 2 12 8 4 6" xfId="26690"/>
    <cellStyle name="计算 2 5 9 7 4" xfId="26691"/>
    <cellStyle name="注释 2 10 5 4" xfId="26692"/>
    <cellStyle name="输出 2 9 2 7 3 2" xfId="26693"/>
    <cellStyle name="计算 2 4 26" xfId="26694"/>
    <cellStyle name="计算 2 12 8 5" xfId="26695"/>
    <cellStyle name="注释 2 3 9 4" xfId="26696"/>
    <cellStyle name="注释 2 11 4 11" xfId="26697"/>
    <cellStyle name="计算 2 12 8 5 2" xfId="26698"/>
    <cellStyle name="注释 2 3 9 4 2" xfId="26699"/>
    <cellStyle name="注释 2 11 4 11 2" xfId="26700"/>
    <cellStyle name="计算 2 12 8 5 2 2" xfId="26701"/>
    <cellStyle name="注释 2 3 9 5" xfId="26702"/>
    <cellStyle name="注释 2 2 6 2 5 2" xfId="26703"/>
    <cellStyle name="注释 2 11 4 12" xfId="26704"/>
    <cellStyle name="计算 2 12 8 5 3" xfId="26705"/>
    <cellStyle name="注释 2 3 9 5 2" xfId="26706"/>
    <cellStyle name="注释 2 11 4 12 2" xfId="26707"/>
    <cellStyle name="计算 2 12 8 5 3 2" xfId="26708"/>
    <cellStyle name="注释 2 3 9 6" xfId="26709"/>
    <cellStyle name="注释 2 11 4 13" xfId="26710"/>
    <cellStyle name="计算 2 12 8 5 4" xfId="26711"/>
    <cellStyle name="计算 2 5 9 8 2" xfId="26712"/>
    <cellStyle name="计算 2 7 8 2 5 2" xfId="26713"/>
    <cellStyle name="注释 2 3 9 6 2" xfId="26714"/>
    <cellStyle name="计算 2 12 8 5 4 2" xfId="26715"/>
    <cellStyle name="计算 2 5 9 8 2 2" xfId="26716"/>
    <cellStyle name="注释 2 3 9 7" xfId="26717"/>
    <cellStyle name="注释 2 11 4 14" xfId="26718"/>
    <cellStyle name="计算 2 12 8 5 5" xfId="26719"/>
    <cellStyle name="计算 2 5 9 8 3" xfId="26720"/>
    <cellStyle name="注释 2 3 9 7 2" xfId="26721"/>
    <cellStyle name="计算 2 12 8 5 5 2" xfId="26722"/>
    <cellStyle name="计算 2 5 9 8 3 2" xfId="26723"/>
    <cellStyle name="注释 2 3 9 8" xfId="26724"/>
    <cellStyle name="注释 2 11 4 15" xfId="26725"/>
    <cellStyle name="输入 2 2 11 5 3 2" xfId="26726"/>
    <cellStyle name="计算 2 12 8 5 6" xfId="26727"/>
    <cellStyle name="计算 2 5 9 8 4" xfId="26728"/>
    <cellStyle name="注释 2 10 5 5" xfId="26729"/>
    <cellStyle name="计算 2 4 27" xfId="26730"/>
    <cellStyle name="计算 2 2 5 4 2" xfId="26731"/>
    <cellStyle name="计算 2 12 8 6" xfId="26732"/>
    <cellStyle name="计算 2 2 5 4 2 2" xfId="26733"/>
    <cellStyle name="计算 2 12 8 6 2" xfId="26734"/>
    <cellStyle name="计算 2 12 8 6 3" xfId="26735"/>
    <cellStyle name="输出 2 6 11 7 2 2" xfId="26736"/>
    <cellStyle name="计算 2 12 8 6 4" xfId="26737"/>
    <cellStyle name="计算 2 5 9 9 2" xfId="26738"/>
    <cellStyle name="计算 2 12 8 6 5" xfId="26739"/>
    <cellStyle name="计算 2 2 5 4 3" xfId="26740"/>
    <cellStyle name="计算 2 12 8 7" xfId="26741"/>
    <cellStyle name="检查单元格 2 3 6 4 2 2" xfId="26742"/>
    <cellStyle name="计算 2 2 5 4 3 2" xfId="26743"/>
    <cellStyle name="计算 2 12 8 7 2" xfId="26744"/>
    <cellStyle name="计算 2 7 18" xfId="26745"/>
    <cellStyle name="计算 2 7 23" xfId="26746"/>
    <cellStyle name="计算 2 12 8 7 2 2" xfId="26747"/>
    <cellStyle name="注释 2 2 10 8 5" xfId="26748"/>
    <cellStyle name="计算 2 7 18 2" xfId="26749"/>
    <cellStyle name="计算 2 7 23 2" xfId="26750"/>
    <cellStyle name="计算 2 12 8 7 3" xfId="26751"/>
    <cellStyle name="计算 2 7 19" xfId="26752"/>
    <cellStyle name="计算 2 7 24" xfId="26753"/>
    <cellStyle name="输出 2 6 11 7 3 2" xfId="26754"/>
    <cellStyle name="计算 2 12 8 7 4" xfId="26755"/>
    <cellStyle name="计算 2 7 25" xfId="26756"/>
    <cellStyle name="计算 2 12 8 7 4 2" xfId="26757"/>
    <cellStyle name="计算 2 12 8 7 5" xfId="26758"/>
    <cellStyle name="计算 2 7 26" xfId="26759"/>
    <cellStyle name="计算 2 12 8 7 5 2" xfId="26760"/>
    <cellStyle name="输入 2 7 6 4 4 2" xfId="26761"/>
    <cellStyle name="计算 2 2 5 4 4" xfId="26762"/>
    <cellStyle name="计算 2 12 8 8" xfId="26763"/>
    <cellStyle name="计算 2 2 5 4 4 2" xfId="26764"/>
    <cellStyle name="计算 2 12 8 8 2" xfId="26765"/>
    <cellStyle name="计算 2 12 8 8 3" xfId="26766"/>
    <cellStyle name="输出 2 6 11 7 4 2" xfId="26767"/>
    <cellStyle name="计算 2 12 8 8 4" xfId="26768"/>
    <cellStyle name="计算 2 12 8 8 5" xfId="26769"/>
    <cellStyle name="计算 2 2 5 4 5" xfId="26770"/>
    <cellStyle name="计算 2 12 8 9" xfId="26771"/>
    <cellStyle name="计算 2 2 5 4 5 2" xfId="26772"/>
    <cellStyle name="计算 2 12 8 9 2" xfId="26773"/>
    <cellStyle name="计算 2 12 9 10" xfId="26774"/>
    <cellStyle name="计算 2 12 9 10 2" xfId="26775"/>
    <cellStyle name="检查单元格 2 4 5 4 5" xfId="26776"/>
    <cellStyle name="输出 2 8 10" xfId="26777"/>
    <cellStyle name="计算 2 4 2 4 2 2" xfId="26778"/>
    <cellStyle name="计算 2 12 9 11" xfId="26779"/>
    <cellStyle name="输出 2 2 6 5 2 2" xfId="26780"/>
    <cellStyle name="计算 2 3 2 7 2" xfId="26781"/>
    <cellStyle name="计算 2 3 2 7 2 2" xfId="26782"/>
    <cellStyle name="计算 2 12 9 11 2" xfId="26783"/>
    <cellStyle name="输出 2 8 10 2" xfId="26784"/>
    <cellStyle name="检查单元格 2 4 5 5 5" xfId="26785"/>
    <cellStyle name="计算 2 3 2 7 3" xfId="26786"/>
    <cellStyle name="计算 2 12 9 12" xfId="26787"/>
    <cellStyle name="计算 2 3 2 7 3 2" xfId="26788"/>
    <cellStyle name="注释 2 4 8 12" xfId="26789"/>
    <cellStyle name="输入 2 10 4 2 6" xfId="26790"/>
    <cellStyle name="计算 2 12 9 12 2" xfId="26791"/>
    <cellStyle name="注释 2 9 3 2 6" xfId="26792"/>
    <cellStyle name="计算 2 12 9 2" xfId="26793"/>
    <cellStyle name="注释 2 4 6 4" xfId="26794"/>
    <cellStyle name="计算 2 12 9 2 2" xfId="26795"/>
    <cellStyle name="注释 2 4 6 5" xfId="26796"/>
    <cellStyle name="注释 2 2 6 3 2 2" xfId="26797"/>
    <cellStyle name="计算 2 12 9 2 3" xfId="26798"/>
    <cellStyle name="注释 2 4 6 6 2" xfId="26799"/>
    <cellStyle name="计算 2 12 9 2 4 2" xfId="26800"/>
    <cellStyle name="输出 2 11 2 16" xfId="26801"/>
    <cellStyle name="注释 2 4 6 7" xfId="26802"/>
    <cellStyle name="计算 2 12 9 2 5" xfId="26803"/>
    <cellStyle name="注释 2 4 6 7 2" xfId="26804"/>
    <cellStyle name="计算 2 12 9 2 5 2" xfId="26805"/>
    <cellStyle name="注释 2 4 6 8" xfId="26806"/>
    <cellStyle name="计算 2 12 9 2 6" xfId="26807"/>
    <cellStyle name="注释 2 9 3 2 7" xfId="26808"/>
    <cellStyle name="注释 2 3 7 7 2 2" xfId="26809"/>
    <cellStyle name="计算 2 12 9 3" xfId="26810"/>
    <cellStyle name="注释 2 4 7 4 2" xfId="26811"/>
    <cellStyle name="计算 2 12 9 3 2 2" xfId="26812"/>
    <cellStyle name="注释 2 4 7 6" xfId="26813"/>
    <cellStyle name="计算 2 12 9 3 4" xfId="26814"/>
    <cellStyle name="注释 2 3 2 11 2" xfId="26815"/>
    <cellStyle name="计算 2 7 8 3 3 2" xfId="26816"/>
    <cellStyle name="注释 2 4 7 6 2" xfId="26817"/>
    <cellStyle name="计算 2 12 9 3 4 2" xfId="26818"/>
    <cellStyle name="输出 2 11 7 16" xfId="26819"/>
    <cellStyle name="注释 2 4 7 7" xfId="26820"/>
    <cellStyle name="计算 2 12 9 3 5" xfId="26821"/>
    <cellStyle name="注释 2 4 7 7 2" xfId="26822"/>
    <cellStyle name="计算 2 12 9 3 5 2" xfId="26823"/>
    <cellStyle name="注释 2 4 7 8" xfId="26824"/>
    <cellStyle name="计算 2 12 9 3 6" xfId="26825"/>
    <cellStyle name="注释 2 9 3 2 8" xfId="26826"/>
    <cellStyle name="计算 2 12 9 4" xfId="26827"/>
    <cellStyle name="输入 2 11 2 6 6" xfId="26828"/>
    <cellStyle name="计算 2 8 9 7 2 2" xfId="26829"/>
    <cellStyle name="注释 2 4 8 4" xfId="26830"/>
    <cellStyle name="计算 2 12 9 4 2" xfId="26831"/>
    <cellStyle name="注释 2 4 8 4 2" xfId="26832"/>
    <cellStyle name="计算 2 12 9 4 2 2" xfId="26833"/>
    <cellStyle name="注释 2 4 8 5" xfId="26834"/>
    <cellStyle name="注释 2 2 6 3 4 2" xfId="26835"/>
    <cellStyle name="计算 2 12 9 4 3" xfId="26836"/>
    <cellStyle name="注释 2 4 8 5 2" xfId="26837"/>
    <cellStyle name="注释 2 2 27" xfId="26838"/>
    <cellStyle name="计算 2 12 9 4 3 2" xfId="26839"/>
    <cellStyle name="注释 2 4 8 6" xfId="26840"/>
    <cellStyle name="计算 2 12 9 4 4" xfId="26841"/>
    <cellStyle name="注释 2 3 2 12 2" xfId="26842"/>
    <cellStyle name="计算 2 7 8 3 4 2" xfId="26843"/>
    <cellStyle name="注释 2 4 8 6 2" xfId="26844"/>
    <cellStyle name="计算 2 12 9 4 4 2" xfId="26845"/>
    <cellStyle name="注释 2 4 8 7" xfId="26846"/>
    <cellStyle name="计算 2 12 9 4 5" xfId="26847"/>
    <cellStyle name="注释 2 4 8 7 2" xfId="26848"/>
    <cellStyle name="计算 2 12 9 4 5 2" xfId="26849"/>
    <cellStyle name="注释 2 4 8 8" xfId="26850"/>
    <cellStyle name="输入 2 2 11 6 2 2" xfId="26851"/>
    <cellStyle name="计算 2 12 9 4 6" xfId="26852"/>
    <cellStyle name="注释 2 9 3 2 9" xfId="26853"/>
    <cellStyle name="计算 2 12 9 5" xfId="26854"/>
    <cellStyle name="注释 2 4 9 4" xfId="26855"/>
    <cellStyle name="注释 2 11 9 11" xfId="26856"/>
    <cellStyle name="计算 2 12 9 5 2" xfId="26857"/>
    <cellStyle name="注释 2 4 9 4 2" xfId="26858"/>
    <cellStyle name="注释 2 11 9 11 2" xfId="26859"/>
    <cellStyle name="计算 2 12 9 5 2 2" xfId="26860"/>
    <cellStyle name="注释 2 4 9 5" xfId="26861"/>
    <cellStyle name="注释 2 2 6 3 5 2" xfId="26862"/>
    <cellStyle name="注释 2 11 9 12" xfId="26863"/>
    <cellStyle name="计算 2 12 9 5 3" xfId="26864"/>
    <cellStyle name="注释 2 7 27" xfId="26865"/>
    <cellStyle name="注释 2 4 9 5 2" xfId="26866"/>
    <cellStyle name="注释 2 11 9 12 2" xfId="26867"/>
    <cellStyle name="计算 2 12 9 5 3 2" xfId="26868"/>
    <cellStyle name="注释 2 4 9 6" xfId="26869"/>
    <cellStyle name="注释 2 11 9 13" xfId="26870"/>
    <cellStyle name="计算 2 12 9 5 4" xfId="26871"/>
    <cellStyle name="计算 2 7 8 3 5 2" xfId="26872"/>
    <cellStyle name="注释 2 4 9 6 2" xfId="26873"/>
    <cellStyle name="计算 2 12 9 5 4 2" xfId="26874"/>
    <cellStyle name="注释 2 4 9 7" xfId="26875"/>
    <cellStyle name="注释 2 11 9 14" xfId="26876"/>
    <cellStyle name="计算 2 12 9 5 5" xfId="26877"/>
    <cellStyle name="注释 2 4 9 7 2" xfId="26878"/>
    <cellStyle name="计算 2 12 9 5 5 2" xfId="26879"/>
    <cellStyle name="注释 2 4 9 8" xfId="26880"/>
    <cellStyle name="注释 2 11 9 15" xfId="26881"/>
    <cellStyle name="输入 2 2 11 6 3 2" xfId="26882"/>
    <cellStyle name="计算 2 12 9 5 6" xfId="26883"/>
    <cellStyle name="计算 2 2 5 5 2" xfId="26884"/>
    <cellStyle name="计算 2 12 9 6" xfId="26885"/>
    <cellStyle name="计算 2 2 5 5 2 2" xfId="26886"/>
    <cellStyle name="计算 2 12 9 6 2" xfId="26887"/>
    <cellStyle name="计算 2 12 9 6 2 2" xfId="26888"/>
    <cellStyle name="计算 2 12 9 6 3 2" xfId="26889"/>
    <cellStyle name="检查单元格 2 10 10" xfId="26890"/>
    <cellStyle name="计算 2 12 9 6 4" xfId="26891"/>
    <cellStyle name="计算 2 12 9 6 4 2" xfId="26892"/>
    <cellStyle name="计算 2 12 9 6 5" xfId="26893"/>
    <cellStyle name="计算 2 12 9 6 5 2" xfId="26894"/>
    <cellStyle name="计算 2 2 5 5 3" xfId="26895"/>
    <cellStyle name="计算 2 12 9 7" xfId="26896"/>
    <cellStyle name="检查单元格 2 3 6 4 3 2" xfId="26897"/>
    <cellStyle name="计算 2 2 5 5 3 2" xfId="26898"/>
    <cellStyle name="计算 2 12 9 7 2" xfId="26899"/>
    <cellStyle name="计算 2 12 9 7 2 2" xfId="26900"/>
    <cellStyle name="计算 2 12 9 7 3" xfId="26901"/>
    <cellStyle name="输出 2 6 11 8 3 2" xfId="26902"/>
    <cellStyle name="计算 2 12 9 7 3 2" xfId="26903"/>
    <cellStyle name="计算 2 12 9 7 4" xfId="26904"/>
    <cellStyle name="计算 2 12 9 7 4 2" xfId="26905"/>
    <cellStyle name="输出 2 12 2 16" xfId="26906"/>
    <cellStyle name="计算 2 12 9 7 5 2" xfId="26907"/>
    <cellStyle name="输入 2 7 6 4 5 2" xfId="26908"/>
    <cellStyle name="计算 2 2 5 5 4" xfId="26909"/>
    <cellStyle name="计算 2 12 9 8" xfId="26910"/>
    <cellStyle name="计算 2 2 5 5 4 2" xfId="26911"/>
    <cellStyle name="计算 2 12 9 8 2" xfId="26912"/>
    <cellStyle name="计算 2 12 9 8 3" xfId="26913"/>
    <cellStyle name="输出 2 6 11 8 4 2" xfId="26914"/>
    <cellStyle name="计算 2 12 9 8 4" xfId="26915"/>
    <cellStyle name="计算 2 2 4 2 8" xfId="26916"/>
    <cellStyle name="计算 2 13" xfId="26917"/>
    <cellStyle name="计算 2 3 7 16" xfId="26918"/>
    <cellStyle name="输出 2 10 7 4 4" xfId="26919"/>
    <cellStyle name="计算 2 2 9 4 4 2" xfId="26920"/>
    <cellStyle name="计算 2 13 10" xfId="26921"/>
    <cellStyle name="注释 2 10 19 2" xfId="26922"/>
    <cellStyle name="输入 2 12 4 7 3 2" xfId="26923"/>
    <cellStyle name="计算 2 13 12" xfId="26924"/>
    <cellStyle name="注释 2 10 19 3" xfId="26925"/>
    <cellStyle name="计算 2 13 13" xfId="26926"/>
    <cellStyle name="注释 2 10 19 4" xfId="26927"/>
    <cellStyle name="计算 2 13 14" xfId="26928"/>
    <cellStyle name="计算 2 3 2 4 2" xfId="26929"/>
    <cellStyle name="计算 2 13 16" xfId="26930"/>
    <cellStyle name="计算 2 13 2" xfId="26931"/>
    <cellStyle name="检查单元格 2 4 2 4 3" xfId="26932"/>
    <cellStyle name="检查单元格 2 4 2 4 3 2" xfId="26933"/>
    <cellStyle name="计算 2 13 2 2" xfId="26934"/>
    <cellStyle name="检查单元格 2 5 4 3 3" xfId="26935"/>
    <cellStyle name="输入 2 8 2 4 5 2" xfId="26936"/>
    <cellStyle name="计算 2 13 2 3" xfId="26937"/>
    <cellStyle name="检查单元格 2 5 4 3 4" xfId="26938"/>
    <cellStyle name="计算 2 13 2 5" xfId="26939"/>
    <cellStyle name="检查单元格 2 2 8 3 3 2" xfId="26940"/>
    <cellStyle name="检查单元格 2 5 4 3 6" xfId="26941"/>
    <cellStyle name="计算 2 13 2 6" xfId="26942"/>
    <cellStyle name="计算 2 13 3" xfId="26943"/>
    <cellStyle name="检查单元格 2 4 2 4 4" xfId="26944"/>
    <cellStyle name="检查单元格 2 4 2 4 4 2" xfId="26945"/>
    <cellStyle name="计算 2 13 3 2" xfId="26946"/>
    <cellStyle name="检查单元格 2 5 4 4 3" xfId="26947"/>
    <cellStyle name="计算 2 13 3 3" xfId="26948"/>
    <cellStyle name="检查单元格 2 5 4 4 4" xfId="26949"/>
    <cellStyle name="计算 2 13 3 5" xfId="26950"/>
    <cellStyle name="检查单元格 2 2 8 3 4 2" xfId="26951"/>
    <cellStyle name="检查单元格 2 5 4 4 6" xfId="26952"/>
    <cellStyle name="计算 2 13 4" xfId="26953"/>
    <cellStyle name="检查单元格 2 4 2 4 5" xfId="26954"/>
    <cellStyle name="计算 2 13 4 3" xfId="26955"/>
    <cellStyle name="检查单元格 2 5 4 5 4" xfId="26956"/>
    <cellStyle name="计算 2 13 4 5" xfId="26957"/>
    <cellStyle name="检查单元格 2 2 8 3 5 2" xfId="26958"/>
    <cellStyle name="计算 2 13 5" xfId="26959"/>
    <cellStyle name="注释 2 5 13 4 2" xfId="26960"/>
    <cellStyle name="检查单元格 2 4 2 4 6" xfId="26961"/>
    <cellStyle name="计算 2 13 5 2" xfId="26962"/>
    <cellStyle name="计算 2 13 5 3" xfId="26963"/>
    <cellStyle name="计算 2 13 5 5" xfId="26964"/>
    <cellStyle name="计算 2 13 6 2" xfId="26965"/>
    <cellStyle name="计算 2 13 6 3" xfId="26966"/>
    <cellStyle name="注释 2 11 3 3" xfId="26967"/>
    <cellStyle name="计算 2 3 3 6 4 2" xfId="26968"/>
    <cellStyle name="计算 2 13 6 4" xfId="26969"/>
    <cellStyle name="计算 2 13 6 5" xfId="26970"/>
    <cellStyle name="计算 2 13 7" xfId="26971"/>
    <cellStyle name="计算 2 13 7 2" xfId="26972"/>
    <cellStyle name="计算 2 13 7 3" xfId="26973"/>
    <cellStyle name="注释 2 11 4 3" xfId="26974"/>
    <cellStyle name="计算 2 3 3 6 5 2" xfId="26975"/>
    <cellStyle name="计算 2 13 7 4" xfId="26976"/>
    <cellStyle name="计算 2 13 7 5" xfId="26977"/>
    <cellStyle name="计算 2 2 6 3 2" xfId="26978"/>
    <cellStyle name="计算 2 13 7 6" xfId="26979"/>
    <cellStyle name="计算 2 13 8" xfId="26980"/>
    <cellStyle name="计算 2 13 8 2" xfId="26981"/>
    <cellStyle name="计算 2 13 8 2 2" xfId="26982"/>
    <cellStyle name="计算 2 13 8 3" xfId="26983"/>
    <cellStyle name="计算 2 13 8 3 2" xfId="26984"/>
    <cellStyle name="计算 2 13 8 4" xfId="26985"/>
    <cellStyle name="计算 2 13 8 4 2" xfId="26986"/>
    <cellStyle name="计算 2 13 8 5" xfId="26987"/>
    <cellStyle name="注释 2 9 4 2 6" xfId="26988"/>
    <cellStyle name="计算 2 13 9 2" xfId="26989"/>
    <cellStyle name="计算 2 2 4 2 9" xfId="26990"/>
    <cellStyle name="计算 2 14" xfId="26991"/>
    <cellStyle name="检查单元格 2 4 2 5 4 2" xfId="26992"/>
    <cellStyle name="计算 2 14 3 2" xfId="26993"/>
    <cellStyle name="检查单元格 2 5 5 4 3" xfId="26994"/>
    <cellStyle name="注释 2 5 12 2 2" xfId="26995"/>
    <cellStyle name="计算 2 20" xfId="26996"/>
    <cellStyle name="计算 2 15" xfId="26997"/>
    <cellStyle name="计算 2 15 2" xfId="26998"/>
    <cellStyle name="计算 2 21" xfId="26999"/>
    <cellStyle name="计算 2 16" xfId="27000"/>
    <cellStyle name="计算 2 16 2" xfId="27001"/>
    <cellStyle name="输入 2 12 2 9 2" xfId="27002"/>
    <cellStyle name="计算 2 17" xfId="27003"/>
    <cellStyle name="计算 2 18" xfId="27004"/>
    <cellStyle name="计算 2 4 6 3 3" xfId="27005"/>
    <cellStyle name="计算 2 2 10 10" xfId="27006"/>
    <cellStyle name="计算 2 4 6 3 5 2" xfId="27007"/>
    <cellStyle name="计算 2 2 4 11" xfId="27008"/>
    <cellStyle name="输出 2 8 9 2 4" xfId="27009"/>
    <cellStyle name="计算 2 2 10 12 2" xfId="27010"/>
    <cellStyle name="计算 2 4 6 3 6" xfId="27011"/>
    <cellStyle name="计算 2 2 10 13" xfId="27012"/>
    <cellStyle name="计算 2 4 8 11 2" xfId="27013"/>
    <cellStyle name="计算 2 2 10 14" xfId="27014"/>
    <cellStyle name="输出 2 8 5 5 4 2" xfId="27015"/>
    <cellStyle name="计算 2 2 10 15" xfId="27016"/>
    <cellStyle name="输出 2 8 7 6 3 2" xfId="27017"/>
    <cellStyle name="计算 2 2 10 2 4 2" xfId="27018"/>
    <cellStyle name="计算 2 6 7 2 8" xfId="27019"/>
    <cellStyle name="输出 2 8 7 6 4" xfId="27020"/>
    <cellStyle name="计算 2 2 10 2 5" xfId="27021"/>
    <cellStyle name="输出 2 8 7 6 4 2" xfId="27022"/>
    <cellStyle name="计算 2 2 10 2 5 2" xfId="27023"/>
    <cellStyle name="计算 2 3 16 4 2" xfId="27024"/>
    <cellStyle name="输出 2 5 17 2" xfId="27025"/>
    <cellStyle name="输出 2 5 22 2" xfId="27026"/>
    <cellStyle name="输出 2 8 7 6 6" xfId="27027"/>
    <cellStyle name="计算 2 2 10 2 7" xfId="27028"/>
    <cellStyle name="计算 2 5 4 3 2 2" xfId="27029"/>
    <cellStyle name="输出 2 3 8 4 2 2" xfId="27030"/>
    <cellStyle name="计算 2 2 10 2 8" xfId="27031"/>
    <cellStyle name="计算 2 2 10 2 9" xfId="27032"/>
    <cellStyle name="注释 2 11 10 4 3 2" xfId="27033"/>
    <cellStyle name="输入 2 9 8 3 6" xfId="27034"/>
    <cellStyle name="计算 2 2 10 3" xfId="27035"/>
    <cellStyle name="输出 2 8 7 7 3 2" xfId="27036"/>
    <cellStyle name="计算 2 2 10 3 4 2" xfId="27037"/>
    <cellStyle name="计算 2 6 8 2 8" xfId="27038"/>
    <cellStyle name="输出 2 8 7 7 4" xfId="27039"/>
    <cellStyle name="计算 2 2 10 3 5" xfId="27040"/>
    <cellStyle name="输出 2 8 7 7 4 2" xfId="27041"/>
    <cellStyle name="计算 2 2 10 3 5 2" xfId="27042"/>
    <cellStyle name="输出 2 8 7 7 5" xfId="27043"/>
    <cellStyle name="计算 2 2 10 3 6" xfId="27044"/>
    <cellStyle name="输出 2 8 7 8 3 2" xfId="27045"/>
    <cellStyle name="计算 2 2 10 4 4 2" xfId="27046"/>
    <cellStyle name="注释 2 9 2 3 5" xfId="27047"/>
    <cellStyle name="计算 2 6 9 2 8" xfId="27048"/>
    <cellStyle name="输出 2 8 7 8 4" xfId="27049"/>
    <cellStyle name="计算 2 2 10 4 5" xfId="27050"/>
    <cellStyle name="输出 2 8 7 8 4 2" xfId="27051"/>
    <cellStyle name="计算 2 2 10 4 5 2" xfId="27052"/>
    <cellStyle name="计算 2 2 10 5" xfId="27053"/>
    <cellStyle name="输入 2 11 2 7 3" xfId="27054"/>
    <cellStyle name="计算 2 2 10 5 4 2" xfId="27055"/>
    <cellStyle name="输入 2 7 10 2 7" xfId="27056"/>
    <cellStyle name="计算 2 2 10 5 5" xfId="27057"/>
    <cellStyle name="输入 2 11 2 8 3" xfId="27058"/>
    <cellStyle name="计算 2 2 10 5 5 2" xfId="27059"/>
    <cellStyle name="输入 2 7 10 2 8" xfId="27060"/>
    <cellStyle name="计算 2 2 10 5 6" xfId="27061"/>
    <cellStyle name="计算 2 2 10 6" xfId="27062"/>
    <cellStyle name="注释 2 9 11 9" xfId="27063"/>
    <cellStyle name="输入 2 7 10 3 5 2" xfId="27064"/>
    <cellStyle name="输入 2 11 3 6 3" xfId="27065"/>
    <cellStyle name="计算 2 2 10 6 3 2" xfId="27066"/>
    <cellStyle name="注释 2 9 12 9" xfId="27067"/>
    <cellStyle name="输入 2 11 3 7 3" xfId="27068"/>
    <cellStyle name="计算 2 2 10 6 4 2" xfId="27069"/>
    <cellStyle name="计算 2 2 10 6 5" xfId="27070"/>
    <cellStyle name="输入 2 11 3 8 3" xfId="27071"/>
    <cellStyle name="计算 2 2 10 6 5 2" xfId="27072"/>
    <cellStyle name="计算 2 2 10 6 6" xfId="27073"/>
    <cellStyle name="计算 2 2 10 7" xfId="27074"/>
    <cellStyle name="输入 2 7 10 5 4 2" xfId="27075"/>
    <cellStyle name="输入 2 11 5 5 3" xfId="27076"/>
    <cellStyle name="计算 2 2 10 8 2 2" xfId="27077"/>
    <cellStyle name="检查单元格 2 5 6 9 2" xfId="27078"/>
    <cellStyle name="输入 2 7 10 5 5" xfId="27079"/>
    <cellStyle name="计算 2 2 10 8 3" xfId="27080"/>
    <cellStyle name="检查单元格 2 6 6 5 2 2" xfId="27081"/>
    <cellStyle name="输入 2 7 10 5 6" xfId="27082"/>
    <cellStyle name="计算 2 2 10 8 4" xfId="27083"/>
    <cellStyle name="注释 2 7 10 12" xfId="27084"/>
    <cellStyle name="输入 2 11 5 7 3" xfId="27085"/>
    <cellStyle name="计算 2 2 10 8 4 2" xfId="27086"/>
    <cellStyle name="计算 2 2 10 8 5" xfId="27087"/>
    <cellStyle name="计算 2 4 6 8 5" xfId="27088"/>
    <cellStyle name="计算 2 2 11 12" xfId="27089"/>
    <cellStyle name="输入 2 12 2 4 2" xfId="27090"/>
    <cellStyle name="计算 2 2 9 7 3 2" xfId="27091"/>
    <cellStyle name="计算 2 3 4 11" xfId="27092"/>
    <cellStyle name="注释 2 12 2 6 4" xfId="27093"/>
    <cellStyle name="计算 2 2 11 12 2" xfId="27094"/>
    <cellStyle name="计算 2 2 11 14" xfId="27095"/>
    <cellStyle name="计算 2 2 11 15" xfId="27096"/>
    <cellStyle name="输出 2 8 8 6 3 2" xfId="27097"/>
    <cellStyle name="计算 2 2 11 2 4 2" xfId="27098"/>
    <cellStyle name="计算 2 7 7 2 8" xfId="27099"/>
    <cellStyle name="输出 2 8 8 6 4" xfId="27100"/>
    <cellStyle name="计算 2 2 11 2 5" xfId="27101"/>
    <cellStyle name="输出 2 8 8 6 4 2" xfId="27102"/>
    <cellStyle name="计算 2 2 11 2 5 2" xfId="27103"/>
    <cellStyle name="注释 2 11 10 4 4 2" xfId="27104"/>
    <cellStyle name="输入 2 9 8 4 6" xfId="27105"/>
    <cellStyle name="计算 2 2 11 3" xfId="27106"/>
    <cellStyle name="输出 2 8 8 7 3 2" xfId="27107"/>
    <cellStyle name="计算 2 2 11 3 4 2" xfId="27108"/>
    <cellStyle name="计算 2 7 8 2 8" xfId="27109"/>
    <cellStyle name="输出 2 8 8 7 4" xfId="27110"/>
    <cellStyle name="计算 2 2 11 3 5" xfId="27111"/>
    <cellStyle name="输出 2 8 8 7 4 2" xfId="27112"/>
    <cellStyle name="计算 2 2 11 3 5 2" xfId="27113"/>
    <cellStyle name="输出 2 8 8 7 5" xfId="27114"/>
    <cellStyle name="计算 2 2 11 3 6" xfId="27115"/>
    <cellStyle name="输出 2 8 8 8 3 2" xfId="27116"/>
    <cellStyle name="计算 2 2 11 4 4 2" xfId="27117"/>
    <cellStyle name="计算 2 7 9 2 8" xfId="27118"/>
    <cellStyle name="输出 2 8 8 8 4" xfId="27119"/>
    <cellStyle name="计算 2 2 11 4 5" xfId="27120"/>
    <cellStyle name="输出 2 8 8 8 4 2" xfId="27121"/>
    <cellStyle name="计算 2 2 11 4 5 2" xfId="27122"/>
    <cellStyle name="计算 2 2 11 5" xfId="27123"/>
    <cellStyle name="输入 2 12 2 7 3" xfId="27124"/>
    <cellStyle name="计算 2 2 11 5 4 2" xfId="27125"/>
    <cellStyle name="计算 2 2 11 5 5" xfId="27126"/>
    <cellStyle name="输入 2 12 2 8 3" xfId="27127"/>
    <cellStyle name="计算 2 2 11 5 5 2" xfId="27128"/>
    <cellStyle name="计算 2 2 11 5 6" xfId="27129"/>
    <cellStyle name="计算 2 2 11 6" xfId="27130"/>
    <cellStyle name="输出 2 6 16 2 2" xfId="27131"/>
    <cellStyle name="输入 2 7 11 3 5 2" xfId="27132"/>
    <cellStyle name="输入 2 12 3 6 3" xfId="27133"/>
    <cellStyle name="计算 2 2 11 6 3 2" xfId="27134"/>
    <cellStyle name="输入 2 12 3 7 3" xfId="27135"/>
    <cellStyle name="计算 2 2 11 6 4 2" xfId="27136"/>
    <cellStyle name="计算 2 2 11 6 5" xfId="27137"/>
    <cellStyle name="计算 2 2 11 6 6" xfId="27138"/>
    <cellStyle name="计算 2 2 11 7" xfId="27139"/>
    <cellStyle name="输入 2 7 11 4 4 2" xfId="27140"/>
    <cellStyle name="输入 2 12 4 5 3" xfId="27141"/>
    <cellStyle name="计算 2 2 11 7 2 2" xfId="27142"/>
    <cellStyle name="检查单元格 2 6 5 9 2" xfId="27143"/>
    <cellStyle name="注释 2 7 2 7 2 2" xfId="27144"/>
    <cellStyle name="计算 2 4 9 6 5 2" xfId="27145"/>
    <cellStyle name="输出 2 11 2 3 6" xfId="27146"/>
    <cellStyle name="输入 2 7 11 4 5" xfId="27147"/>
    <cellStyle name="计算 2 2 11 7 3" xfId="27148"/>
    <cellStyle name="输入 2 7 11 4 5 2" xfId="27149"/>
    <cellStyle name="输入 2 12 4 6 3" xfId="27150"/>
    <cellStyle name="计算 2 2 11 7 3 2" xfId="27151"/>
    <cellStyle name="注释 2 10 24" xfId="27152"/>
    <cellStyle name="注释 2 10 19" xfId="27153"/>
    <cellStyle name="输入 2 12 4 7 3" xfId="27154"/>
    <cellStyle name="计算 2 2 11 7 4 2" xfId="27155"/>
    <cellStyle name="计算 2 2 11 7 5" xfId="27156"/>
    <cellStyle name="输入 2 12 4 8 3" xfId="27157"/>
    <cellStyle name="计算 2 2 11 7 5 2" xfId="27158"/>
    <cellStyle name="输入 2 7 11 5 4 2" xfId="27159"/>
    <cellStyle name="输入 2 12 5 5 3" xfId="27160"/>
    <cellStyle name="计算 2 2 11 8 2 2" xfId="27161"/>
    <cellStyle name="检查单元格 2 6 6 9 2" xfId="27162"/>
    <cellStyle name="输入 2 7 11 5 5" xfId="27163"/>
    <cellStyle name="计算 2 2 11 8 3" xfId="27164"/>
    <cellStyle name="输入 2 7 11 5 5 2" xfId="27165"/>
    <cellStyle name="输入 2 12 5 6 3" xfId="27166"/>
    <cellStyle name="计算 2 2 11 8 3 2" xfId="27167"/>
    <cellStyle name="输入 2 7 11 5 6" xfId="27168"/>
    <cellStyle name="计算 2 2 11 8 4" xfId="27169"/>
    <cellStyle name="注释 2 8 10 12" xfId="27170"/>
    <cellStyle name="输入 2 12 5 7 3" xfId="27171"/>
    <cellStyle name="计算 2 2 11 8 4 2" xfId="27172"/>
    <cellStyle name="计算 2 2 11 8 5" xfId="27173"/>
    <cellStyle name="计算 2 2 12" xfId="27174"/>
    <cellStyle name="检查单元格 2 6 4 4 6" xfId="27175"/>
    <cellStyle name="计算 2 3" xfId="27176"/>
    <cellStyle name="输入 2 9 8 5 5" xfId="27177"/>
    <cellStyle name="计算 2 2 12 2" xfId="27178"/>
    <cellStyle name="计算 2 2 12 5" xfId="27179"/>
    <cellStyle name="计算 2 2 12 6" xfId="27180"/>
    <cellStyle name="输出 2 6 16 3 2" xfId="27181"/>
    <cellStyle name="计算 2 2 12 7" xfId="27182"/>
    <cellStyle name="计算 2 2 12 9" xfId="27183"/>
    <cellStyle name="计算 2 2 13" xfId="27184"/>
    <cellStyle name="输出 2 11 7 8 2 2" xfId="27185"/>
    <cellStyle name="输入 2 9 8 6 5" xfId="27186"/>
    <cellStyle name="计算 2 2 13 2" xfId="27187"/>
    <cellStyle name="计算 2 2 13 4" xfId="27188"/>
    <cellStyle name="计算 2 2 13 5" xfId="27189"/>
    <cellStyle name="计算 2 2 13 6" xfId="27190"/>
    <cellStyle name="输出 2 6 16 4 2" xfId="27191"/>
    <cellStyle name="计算 2 2 14" xfId="27192"/>
    <cellStyle name="输入 2 9 8 7 5" xfId="27193"/>
    <cellStyle name="计算 2 2 14 2" xfId="27194"/>
    <cellStyle name="计算 2 5 10 5 2 2" xfId="27195"/>
    <cellStyle name="计算 2 2 14 4" xfId="27196"/>
    <cellStyle name="计算 2 2 14 5" xfId="27197"/>
    <cellStyle name="计算 2 2 20" xfId="27198"/>
    <cellStyle name="计算 2 2 15" xfId="27199"/>
    <cellStyle name="输出 2 2 3 5 3 2" xfId="27200"/>
    <cellStyle name="输入 2 9 8 8 5" xfId="27201"/>
    <cellStyle name="计算 2 2 20 2" xfId="27202"/>
    <cellStyle name="计算 2 2 15 2" xfId="27203"/>
    <cellStyle name="输出 2 12 4 2 8" xfId="27204"/>
    <cellStyle name="计算 2 2 15 3" xfId="27205"/>
    <cellStyle name="注释 2 7 10 5 2 2" xfId="27206"/>
    <cellStyle name="输出 2 12 4 2 9" xfId="27207"/>
    <cellStyle name="计算 2 5 10 5 3 2" xfId="27208"/>
    <cellStyle name="计算 2 2 15 4" xfId="27209"/>
    <cellStyle name="计算 2 2 21" xfId="27210"/>
    <cellStyle name="计算 2 2 16" xfId="27211"/>
    <cellStyle name="输入 2 3 5 2 7" xfId="27212"/>
    <cellStyle name="计算 2 2 16 2 2" xfId="27213"/>
    <cellStyle name="计算 2 2 16 3" xfId="27214"/>
    <cellStyle name="计算 2 2 16 3 2" xfId="27215"/>
    <cellStyle name="计算 2 5 10 5 4 2" xfId="27216"/>
    <cellStyle name="计算 2 2 16 4" xfId="27217"/>
    <cellStyle name="计算 2 2 22 2" xfId="27218"/>
    <cellStyle name="计算 2 2 17 2" xfId="27219"/>
    <cellStyle name="输入 2 3 6 2 7" xfId="27220"/>
    <cellStyle name="计算 2 2 17 2 2" xfId="27221"/>
    <cellStyle name="输出 2 5 26" xfId="27222"/>
    <cellStyle name="计算 2 2 17 3" xfId="27223"/>
    <cellStyle name="计算 2 2 17 3 2" xfId="27224"/>
    <cellStyle name="计算 2 5 10 5 5 2" xfId="27225"/>
    <cellStyle name="计算 2 2 17 4" xfId="27226"/>
    <cellStyle name="计算 2 5 10 2 3" xfId="27227"/>
    <cellStyle name="输入 2 3 7 2 7" xfId="27228"/>
    <cellStyle name="计算 2 2 18 2 2" xfId="27229"/>
    <cellStyle name="检查单元格 2 7 2 3 2" xfId="27230"/>
    <cellStyle name="计算 2 2 18 3" xfId="27231"/>
    <cellStyle name="检查单元格 2 7 2 4" xfId="27232"/>
    <cellStyle name="计算 2 5 10 3 3" xfId="27233"/>
    <cellStyle name="计算 2 2 18 3 2" xfId="27234"/>
    <cellStyle name="检查单元格 2 7 2 4 2" xfId="27235"/>
    <cellStyle name="计算 2 2 18 4" xfId="27236"/>
    <cellStyle name="检查单元格 2 7 2 5" xfId="27237"/>
    <cellStyle name="计算 2 5 11 2 3" xfId="27238"/>
    <cellStyle name="输入 2 3 8 2 7" xfId="27239"/>
    <cellStyle name="计算 2 2 19 2 2" xfId="27240"/>
    <cellStyle name="检查单元格 2 5 10 3 2" xfId="27241"/>
    <cellStyle name="检查单元格 2 7 3 3 2" xfId="27242"/>
    <cellStyle name="计算 2 5 6 3 6" xfId="27243"/>
    <cellStyle name="计算 2 3 10 13" xfId="27244"/>
    <cellStyle name="输出 2 5 10 8 3 2" xfId="27245"/>
    <cellStyle name="计算 2 5 11 3 3" xfId="27246"/>
    <cellStyle name="计算 2 2 19 3 2" xfId="27247"/>
    <cellStyle name="检查单元格 2 5 10 4 2" xfId="27248"/>
    <cellStyle name="检查单元格 2 7 3 4 2" xfId="27249"/>
    <cellStyle name="计算 2 2 19 4" xfId="27250"/>
    <cellStyle name="检查单元格 2 5 10 5" xfId="27251"/>
    <cellStyle name="检查单元格 2 7 3 5" xfId="27252"/>
    <cellStyle name="计算 2 2 2 10" xfId="27253"/>
    <cellStyle name="计算 2 2 2 10 2" xfId="27254"/>
    <cellStyle name="输入 2 3 9 7 5 2" xfId="27255"/>
    <cellStyle name="计算 2 2 2 11" xfId="27256"/>
    <cellStyle name="注释 2 5 2 16" xfId="27257"/>
    <cellStyle name="计算 2 2 2 11 2" xfId="27258"/>
    <cellStyle name="计算 2 2 2 12 2" xfId="27259"/>
    <cellStyle name="计算 2 2 2 13" xfId="27260"/>
    <cellStyle name="计算 2 2 2 14" xfId="27261"/>
    <cellStyle name="计算 2 2 2 16" xfId="27262"/>
    <cellStyle name="计算 2 2 2 2 2" xfId="27263"/>
    <cellStyle name="输出 2 11 6 4 5 2" xfId="27264"/>
    <cellStyle name="计算 2 2 2 2 2 2" xfId="27265"/>
    <cellStyle name="计算 2 2 2 2 3" xfId="27266"/>
    <cellStyle name="计算 2 2 2 2 3 2" xfId="27267"/>
    <cellStyle name="计算 2 2 2 2 9" xfId="27268"/>
    <cellStyle name="注释 2 10 16 3 2" xfId="27269"/>
    <cellStyle name="计算 2 9 9 8 3 2" xfId="27270"/>
    <cellStyle name="计算 2 2 2 3" xfId="27271"/>
    <cellStyle name="输出 2 11 6 4 6" xfId="27272"/>
    <cellStyle name="计算 2 2 2 3 2" xfId="27273"/>
    <cellStyle name="输入 2 11 10 5 3" xfId="27274"/>
    <cellStyle name="计算 2 2 2 3 2 2" xfId="27275"/>
    <cellStyle name="计算 2 2 2 3 3" xfId="27276"/>
    <cellStyle name="计算 2 2 2 4" xfId="27277"/>
    <cellStyle name="计算 2 2 2 4 2" xfId="27278"/>
    <cellStyle name="计算 2 2 2 4 3" xfId="27279"/>
    <cellStyle name="计算 2 2 2 5" xfId="27280"/>
    <cellStyle name="计算 2 2 2 5 2" xfId="27281"/>
    <cellStyle name="计算 2 2 2 5 2 2" xfId="27282"/>
    <cellStyle name="计算 2 5 13 4" xfId="27283"/>
    <cellStyle name="计算 2 2 2 5 3" xfId="27284"/>
    <cellStyle name="计算 2 2 2 5 3 2" xfId="27285"/>
    <cellStyle name="计算 2 5 14 4" xfId="27286"/>
    <cellStyle name="输出 2 9 4 3 3 2" xfId="27287"/>
    <cellStyle name="计算 2 2 2 6" xfId="27288"/>
    <cellStyle name="计算 2 2 2 6 2" xfId="27289"/>
    <cellStyle name="计算 2 2 2 6 2 2" xfId="27290"/>
    <cellStyle name="计算 2 2 2 6 3" xfId="27291"/>
    <cellStyle name="计算 2 2 2 6 3 2" xfId="27292"/>
    <cellStyle name="计算 2 2 2 7" xfId="27293"/>
    <cellStyle name="计算 2 2 2 7 2" xfId="27294"/>
    <cellStyle name="计算 2 2 2 7 2 2" xfId="27295"/>
    <cellStyle name="输出 2 10 8 9" xfId="27296"/>
    <cellStyle name="计算 2 2 2 7 3" xfId="27297"/>
    <cellStyle name="计算 2 2 2 7 3 2" xfId="27298"/>
    <cellStyle name="输出 2 10 9 9" xfId="27299"/>
    <cellStyle name="计算 2 2 2 8" xfId="27300"/>
    <cellStyle name="计算 2 2 2 8 2" xfId="27301"/>
    <cellStyle name="计算 2 2 2 8 2 2" xfId="27302"/>
    <cellStyle name="输出 2 11 8 9" xfId="27303"/>
    <cellStyle name="注释 2 9 8 4 2 2" xfId="27304"/>
    <cellStyle name="计算 2 2 2 8 3" xfId="27305"/>
    <cellStyle name="计算 2 2 2 8 4 2" xfId="27306"/>
    <cellStyle name="计算 2 2 7 3 3 2" xfId="27307"/>
    <cellStyle name="计算 2 2 2 8 5" xfId="27308"/>
    <cellStyle name="计算 2 2 3 2 6" xfId="27309"/>
    <cellStyle name="计算 2 2 3 2 8" xfId="27310"/>
    <cellStyle name="计算 2 2 3 2 9" xfId="27311"/>
    <cellStyle name="计算 2 2 3 3" xfId="27312"/>
    <cellStyle name="输出 2 11 6 5 6" xfId="27313"/>
    <cellStyle name="计算 2 2 3 3 6" xfId="27314"/>
    <cellStyle name="计算 2 2 3 4" xfId="27315"/>
    <cellStyle name="计算 2 2 3 4 6" xfId="27316"/>
    <cellStyle name="计算 2 2 3 5" xfId="27317"/>
    <cellStyle name="计算 2 2 3 5 6" xfId="27318"/>
    <cellStyle name="输出 2 9 4 3 4 2" xfId="27319"/>
    <cellStyle name="计算 2 2 3 6" xfId="27320"/>
    <cellStyle name="计算 2 2 3 6 2" xfId="27321"/>
    <cellStyle name="计算 2 2 3 6 2 2" xfId="27322"/>
    <cellStyle name="计算 2 2 3 6 3" xfId="27323"/>
    <cellStyle name="检查单元格 2 3 6 2 4 2" xfId="27324"/>
    <cellStyle name="计算 2 2 3 6 3 2" xfId="27325"/>
    <cellStyle name="计算 2 2 3 6 4 2" xfId="27326"/>
    <cellStyle name="计算 2 2 3 6 5" xfId="27327"/>
    <cellStyle name="计算 2 2 3 6 5 2" xfId="27328"/>
    <cellStyle name="计算 2 2 3 6 6" xfId="27329"/>
    <cellStyle name="计算 2 2 3 7" xfId="27330"/>
    <cellStyle name="计算 2 2 3 7 2" xfId="27331"/>
    <cellStyle name="计算 2 2 3 7 2 2" xfId="27332"/>
    <cellStyle name="计算 2 2 3 7 3" xfId="27333"/>
    <cellStyle name="检查单元格 2 3 6 2 5 2" xfId="27334"/>
    <cellStyle name="计算 2 2 3 7 3 2" xfId="27335"/>
    <cellStyle name="计算 2 2 3 7 4 2" xfId="27336"/>
    <cellStyle name="输入 2 8 3 15" xfId="27337"/>
    <cellStyle name="计算 2 2 7 4 2 2" xfId="27338"/>
    <cellStyle name="计算 2 2 3 7 5" xfId="27339"/>
    <cellStyle name="计算 2 2 3 7 5 2" xfId="27340"/>
    <cellStyle name="计算 2 2 3 8" xfId="27341"/>
    <cellStyle name="计算 2 2 3 8 2" xfId="27342"/>
    <cellStyle name="计算 2 2 3 8 2 2" xfId="27343"/>
    <cellStyle name="注释 2 9 8 5 2 2" xfId="27344"/>
    <cellStyle name="计算 2 2 3 8 3" xfId="27345"/>
    <cellStyle name="计算 2 2 3 8 3 2" xfId="27346"/>
    <cellStyle name="计算 2 2 3 8 4 2" xfId="27347"/>
    <cellStyle name="计算 2 2 7 4 3 2" xfId="27348"/>
    <cellStyle name="计算 2 2 3 8 5" xfId="27349"/>
    <cellStyle name="输入 2 5 3 9 2" xfId="27350"/>
    <cellStyle name="计算 2 2 4 10" xfId="27351"/>
    <cellStyle name="计算 2 2 4 6 2" xfId="27352"/>
    <cellStyle name="计算 2 2 4 6 2 2" xfId="27353"/>
    <cellStyle name="计算 2 2 4 6 3" xfId="27354"/>
    <cellStyle name="检查单元格 2 3 6 3 4 2" xfId="27355"/>
    <cellStyle name="计算 2 2 4 6 3 2" xfId="27356"/>
    <cellStyle name="计算 2 2 4 6 5" xfId="27357"/>
    <cellStyle name="计算 2 2 4 6 6" xfId="27358"/>
    <cellStyle name="计算 2 2 4 7" xfId="27359"/>
    <cellStyle name="计算 2 2 4 7 2" xfId="27360"/>
    <cellStyle name="计算 2 5 2 11" xfId="27361"/>
    <cellStyle name="计算 2 2 4 7 2 2" xfId="27362"/>
    <cellStyle name="输出 2 3 6 16" xfId="27363"/>
    <cellStyle name="计算 2 2 4 7 3" xfId="27364"/>
    <cellStyle name="检查单元格 2 3 6 3 5 2" xfId="27365"/>
    <cellStyle name="计算 2 2 4 7 3 2" xfId="27366"/>
    <cellStyle name="输入 2 8 8 15" xfId="27367"/>
    <cellStyle name="计算 2 2 7 5 2 2" xfId="27368"/>
    <cellStyle name="计算 2 2 4 7 5" xfId="27369"/>
    <cellStyle name="计算 2 2 4 8" xfId="27370"/>
    <cellStyle name="计算 2 2 7 5 3 2" xfId="27371"/>
    <cellStyle name="计算 2 2 4 8 5" xfId="27372"/>
    <cellStyle name="注释 2 12 6 6 2" xfId="27373"/>
    <cellStyle name="输出 2 2 3 14" xfId="27374"/>
    <cellStyle name="计算 2 4 4 2" xfId="27375"/>
    <cellStyle name="输入 2 8 7 5 4 2" xfId="27376"/>
    <cellStyle name="输出 2 11 8 6 5" xfId="27377"/>
    <cellStyle name="输出 2 2 8 3" xfId="27378"/>
    <cellStyle name="计算 2 2 5 10 2" xfId="27379"/>
    <cellStyle name="计算 2 8 8 2 8" xfId="27380"/>
    <cellStyle name="输出 2 7 6 10 2" xfId="27381"/>
    <cellStyle name="计算 2 4 5" xfId="27382"/>
    <cellStyle name="计算 2 2 5 11" xfId="27383"/>
    <cellStyle name="计算 2 4 5 2" xfId="27384"/>
    <cellStyle name="输入 2 8 7 5 5 2" xfId="27385"/>
    <cellStyle name="输出 2 11 8 7 5" xfId="27386"/>
    <cellStyle name="输出 2 2 9 3" xfId="27387"/>
    <cellStyle name="注释 2 8 2 16" xfId="27388"/>
    <cellStyle name="计算 2 2 5 11 2" xfId="27389"/>
    <cellStyle name="计算 2 4 6" xfId="27390"/>
    <cellStyle name="计算 2 6 10 5 2" xfId="27391"/>
    <cellStyle name="计算 2 2 5 12" xfId="27392"/>
    <cellStyle name="计算 2 4 6 2" xfId="27393"/>
    <cellStyle name="计算 2 6 10 5 2 2" xfId="27394"/>
    <cellStyle name="输出 2 11 8 8 5" xfId="27395"/>
    <cellStyle name="计算 2 2 5 12 2" xfId="27396"/>
    <cellStyle name="输出 2 8 9 7 5 2" xfId="27397"/>
    <cellStyle name="输出 2 7 26" xfId="27398"/>
    <cellStyle name="计算 2 4 8" xfId="27399"/>
    <cellStyle name="计算 2 6 10 5 4" xfId="27400"/>
    <cellStyle name="计算 2 2 5 14" xfId="27401"/>
    <cellStyle name="计算 2 4 9" xfId="27402"/>
    <cellStyle name="计算 2 6 10 5 5" xfId="27403"/>
    <cellStyle name="计算 2 2 5 15" xfId="27404"/>
    <cellStyle name="计算 2 2 5 4" xfId="27405"/>
    <cellStyle name="计算 2 2 5 5" xfId="27406"/>
    <cellStyle name="计算 2 2 5 6" xfId="27407"/>
    <cellStyle name="计算 2 4 10 6" xfId="27408"/>
    <cellStyle name="计算 2 2 5 6 2" xfId="27409"/>
    <cellStyle name="输入 2 9 10 3 4" xfId="27410"/>
    <cellStyle name="计算 2 4 10 6 2" xfId="27411"/>
    <cellStyle name="计算 2 2 5 6 2 2" xfId="27412"/>
    <cellStyle name="计算 2 4 10 7" xfId="27413"/>
    <cellStyle name="计算 2 2 5 6 3" xfId="27414"/>
    <cellStyle name="检查单元格 2 3 6 4 4 2" xfId="27415"/>
    <cellStyle name="输入 2 9 10 4 4" xfId="27416"/>
    <cellStyle name="计算 2 4 10 7 2" xfId="27417"/>
    <cellStyle name="计算 2 2 5 6 3 2" xfId="27418"/>
    <cellStyle name="计算 2 4 10 9" xfId="27419"/>
    <cellStyle name="计算 2 2 5 6 5" xfId="27420"/>
    <cellStyle name="输入 2 9 10 6 4" xfId="27421"/>
    <cellStyle name="计算 2 4 10 9 2" xfId="27422"/>
    <cellStyle name="计算 2 2 5 6 5 2" xfId="27423"/>
    <cellStyle name="计算 2 2 5 6 6" xfId="27424"/>
    <cellStyle name="输入 2 2 3 6 3" xfId="27425"/>
    <cellStyle name="计算 2 4 3 3 2 2" xfId="27426"/>
    <cellStyle name="输入 2 2 9 10 2" xfId="27427"/>
    <cellStyle name="计算 2 2 5 7" xfId="27428"/>
    <cellStyle name="输出 2 2 7 4 2 2" xfId="27429"/>
    <cellStyle name="计算 2 4 11 6" xfId="27430"/>
    <cellStyle name="计算 2 2 5 7 2" xfId="27431"/>
    <cellStyle name="输入 2 9 11 3 4" xfId="27432"/>
    <cellStyle name="输出 2 8 6 16" xfId="27433"/>
    <cellStyle name="计算 2 4 11 6 2" xfId="27434"/>
    <cellStyle name="计算 2 2 5 7 2 2" xfId="27435"/>
    <cellStyle name="输出 2 11 10 2 8" xfId="27436"/>
    <cellStyle name="计算 2 4 11 7" xfId="27437"/>
    <cellStyle name="计算 2 2 5 7 3" xfId="27438"/>
    <cellStyle name="检查单元格 2 3 6 4 5 2" xfId="27439"/>
    <cellStyle name="输入 2 9 11 4 4" xfId="27440"/>
    <cellStyle name="计算 2 4 11 7 2" xfId="27441"/>
    <cellStyle name="计算 2 2 5 7 3 2" xfId="27442"/>
    <cellStyle name="计算 2 4 11 9" xfId="27443"/>
    <cellStyle name="计算 2 2 5 7 5" xfId="27444"/>
    <cellStyle name="检查单元格 2 7 2 10" xfId="27445"/>
    <cellStyle name="注释 2 10 8 8" xfId="27446"/>
    <cellStyle name="计算 2 2 7 6 2 2" xfId="27447"/>
    <cellStyle name="输入 2 9 11 6 4" xfId="27448"/>
    <cellStyle name="计算 2 4 11 9 2" xfId="27449"/>
    <cellStyle name="计算 2 2 5 7 5 2" xfId="27450"/>
    <cellStyle name="计算 2 2 5 8" xfId="27451"/>
    <cellStyle name="计算 2 4 12 6" xfId="27452"/>
    <cellStyle name="计算 2 2 5 8 2" xfId="27453"/>
    <cellStyle name="输入 2 2 3 6 4 2" xfId="27454"/>
    <cellStyle name="输出 2 2 8 11" xfId="27455"/>
    <cellStyle name="计算 2 2 5 8 2 2" xfId="27456"/>
    <cellStyle name="输出 2 2 8 11 2" xfId="27457"/>
    <cellStyle name="注释 2 9 8 7 2 2" xfId="27458"/>
    <cellStyle name="计算 2 4 12 7" xfId="27459"/>
    <cellStyle name="计算 2 2 5 8 3" xfId="27460"/>
    <cellStyle name="输出 2 2 8 12" xfId="27461"/>
    <cellStyle name="计算 2 2 5 8 3 2" xfId="27462"/>
    <cellStyle name="输出 2 2 8 12 2" xfId="27463"/>
    <cellStyle name="计算 2 2 5 8 4 2" xfId="27464"/>
    <cellStyle name="计算 2 4 12 9" xfId="27465"/>
    <cellStyle name="计算 2 2 5 8 5" xfId="27466"/>
    <cellStyle name="注释 2 12 7 6 2" xfId="27467"/>
    <cellStyle name="输出 2 2 8 14" xfId="27468"/>
    <cellStyle name="注释 2 10 9 8" xfId="27469"/>
    <cellStyle name="计算 2 2 7 6 3 2" xfId="27470"/>
    <cellStyle name="计算 2 2 6 10" xfId="27471"/>
    <cellStyle name="计算 2 2 6 10 2" xfId="27472"/>
    <cellStyle name="计算 2 2 6 11" xfId="27473"/>
    <cellStyle name="注释 2 9 2 16" xfId="27474"/>
    <cellStyle name="计算 2 2 6 11 2" xfId="27475"/>
    <cellStyle name="计算 2 2 6 12" xfId="27476"/>
    <cellStyle name="计算 2 2 6 12 2" xfId="27477"/>
    <cellStyle name="检查单元格 2 5 4 2 9" xfId="27478"/>
    <cellStyle name="计算 2 2 6 13" xfId="27479"/>
    <cellStyle name="输出 2 2 2 5 2" xfId="27480"/>
    <cellStyle name="计算 2 2 6 14" xfId="27481"/>
    <cellStyle name="输出 2 2 2 5 3" xfId="27482"/>
    <cellStyle name="计算 2 2 6 2 3" xfId="27483"/>
    <cellStyle name="计算 2 2 6 2 5" xfId="27484"/>
    <cellStyle name="检查单元格 2 7 6 10" xfId="27485"/>
    <cellStyle name="计算 2 2 6 2 5 2" xfId="27486"/>
    <cellStyle name="输出 2 2 9 2 7" xfId="27487"/>
    <cellStyle name="计算 2 2 6 2 7" xfId="27488"/>
    <cellStyle name="检查单元格 2 7 6 12" xfId="27489"/>
    <cellStyle name="计算 2 2 6 2 8" xfId="27490"/>
    <cellStyle name="检查单元格 2 7 6 13" xfId="27491"/>
    <cellStyle name="计算 2 2 6 2 9" xfId="27492"/>
    <cellStyle name="计算 2 2 6 3 2 2" xfId="27493"/>
    <cellStyle name="计算 2 2 6 3 3" xfId="27494"/>
    <cellStyle name="计算 2 2 6 3 3 2" xfId="27495"/>
    <cellStyle name="计算 2 2 6 3 4 2" xfId="27496"/>
    <cellStyle name="计算 2 2 6 3 5" xfId="27497"/>
    <cellStyle name="计算 2 2 6 3 5 2" xfId="27498"/>
    <cellStyle name="计算 2 2 6 4" xfId="27499"/>
    <cellStyle name="计算 2 2 6 4 2" xfId="27500"/>
    <cellStyle name="输入 2 3 3 15" xfId="27501"/>
    <cellStyle name="计算 2 2 6 4 2 2" xfId="27502"/>
    <cellStyle name="计算 2 2 6 4 3" xfId="27503"/>
    <cellStyle name="检查单元格 2 3 6 5 2 2" xfId="27504"/>
    <cellStyle name="计算 2 2 6 4 3 2" xfId="27505"/>
    <cellStyle name="输入 2 7 6 5 4 2" xfId="27506"/>
    <cellStyle name="计算 2 2 6 4 4" xfId="27507"/>
    <cellStyle name="计算 2 2 6 4 4 2" xfId="27508"/>
    <cellStyle name="计算 2 2 6 4 5" xfId="27509"/>
    <cellStyle name="计算 2 2 6 4 5 2" xfId="27510"/>
    <cellStyle name="计算 2 2 6 5" xfId="27511"/>
    <cellStyle name="计算 2 2 6 5 2" xfId="27512"/>
    <cellStyle name="输入 2 3 8 15" xfId="27513"/>
    <cellStyle name="计算 2 2 6 5 2 2" xfId="27514"/>
    <cellStyle name="检查单元格 2 3 6 5 3 2" xfId="27515"/>
    <cellStyle name="计算 2 2 6 5 3" xfId="27516"/>
    <cellStyle name="输出 2 7 11 2 2 2" xfId="27517"/>
    <cellStyle name="计算 2 2 6 5 3 2" xfId="27518"/>
    <cellStyle name="输入 2 7 6 5 5 2" xfId="27519"/>
    <cellStyle name="计算 2 2 6 5 4" xfId="27520"/>
    <cellStyle name="计算 2 2 6 5 4 2" xfId="27521"/>
    <cellStyle name="计算 2 2 6 5 5" xfId="27522"/>
    <cellStyle name="计算 2 2 6 5 5 2" xfId="27523"/>
    <cellStyle name="计算 2 2 6 6" xfId="27524"/>
    <cellStyle name="计算 2 2 6 6 2" xfId="27525"/>
    <cellStyle name="计算 2 2 6 6 2 2" xfId="27526"/>
    <cellStyle name="注释 2 9 4 15" xfId="27527"/>
    <cellStyle name="检查单元格 2 3 6 5 4 2" xfId="27528"/>
    <cellStyle name="计算 2 2 6 6 3" xfId="27529"/>
    <cellStyle name="输出 2 7 11 2 3 2" xfId="27530"/>
    <cellStyle name="计算 2 2 6 6 3 2" xfId="27531"/>
    <cellStyle name="计算 2 2 6 6 4 2" xfId="27532"/>
    <cellStyle name="计算 2 2 6 6 5" xfId="27533"/>
    <cellStyle name="计算 2 2 6 6 5 2" xfId="27534"/>
    <cellStyle name="计算 2 2 6 6 6" xfId="27535"/>
    <cellStyle name="输入 2 2 3 7 3" xfId="27536"/>
    <cellStyle name="计算 2 4 3 3 3 2" xfId="27537"/>
    <cellStyle name="输入 2 2 9 11 2" xfId="27538"/>
    <cellStyle name="计算 2 2 6 7" xfId="27539"/>
    <cellStyle name="输出 2 2 7 4 3 2" xfId="27540"/>
    <cellStyle name="计算 2 2 6 7 2" xfId="27541"/>
    <cellStyle name="计算 2 2 6 7 2 2" xfId="27542"/>
    <cellStyle name="计算 2 2 6 7 3" xfId="27543"/>
    <cellStyle name="输出 2 7 11 2 4 2" xfId="27544"/>
    <cellStyle name="计算 2 2 6 7 3 2" xfId="27545"/>
    <cellStyle name="计算 2 2 6 7 4 2" xfId="27546"/>
    <cellStyle name="注释 2 11 8 8" xfId="27547"/>
    <cellStyle name="输入 2 10 2 3 2" xfId="27548"/>
    <cellStyle name="计算 2 2 7 7 2 2" xfId="27549"/>
    <cellStyle name="计算 2 2 6 7 5" xfId="27550"/>
    <cellStyle name="检查单元格 2 7 7 10" xfId="27551"/>
    <cellStyle name="计算 2 2 6 7 5 2" xfId="27552"/>
    <cellStyle name="计算 2 2 6 8" xfId="27553"/>
    <cellStyle name="计算 2 2 6 8 2" xfId="27554"/>
    <cellStyle name="计算 2 2 6 8 2 2" xfId="27555"/>
    <cellStyle name="注释 2 9 8 8 2 2" xfId="27556"/>
    <cellStyle name="计算 2 2 6 8 3" xfId="27557"/>
    <cellStyle name="输出 2 7 11 2 5 2" xfId="27558"/>
    <cellStyle name="计算 2 2 6 8 3 2" xfId="27559"/>
    <cellStyle name="计算 2 2 6 8 4 2" xfId="27560"/>
    <cellStyle name="注释 2 11 9 8" xfId="27561"/>
    <cellStyle name="输入 2 10 2 4 2" xfId="27562"/>
    <cellStyle name="计算 2 2 7 7 3 2" xfId="27563"/>
    <cellStyle name="计算 2 2 6 8 5" xfId="27564"/>
    <cellStyle name="计算 2 2 6 9 2" xfId="27565"/>
    <cellStyle name="计算 2 2 7 10 2" xfId="27566"/>
    <cellStyle name="计算 2 2 7 11" xfId="27567"/>
    <cellStyle name="计算 2 2 7 11 2" xfId="27568"/>
    <cellStyle name="计算 2 2 7 12" xfId="27569"/>
    <cellStyle name="计算 2 2 7 12 2" xfId="27570"/>
    <cellStyle name="计算 2 2 7 13" xfId="27571"/>
    <cellStyle name="计算 2 2 7 14" xfId="27572"/>
    <cellStyle name="输出 2 10 2 4 2" xfId="27573"/>
    <cellStyle name="计算 2 2 7 16" xfId="27574"/>
    <cellStyle name="输出 2 10 2 4 4" xfId="27575"/>
    <cellStyle name="计算 2 2 7 2 3" xfId="27576"/>
    <cellStyle name="计算 2 2 7 2 3 2" xfId="27577"/>
    <cellStyle name="计算 2 2 7 2 4 2" xfId="27578"/>
    <cellStyle name="计算 2 2 7 2 5" xfId="27579"/>
    <cellStyle name="计算 2 2 7 2 5 2" xfId="27580"/>
    <cellStyle name="输出 2 3 9 2 7" xfId="27581"/>
    <cellStyle name="注释 2 12 6 2 3 2" xfId="27582"/>
    <cellStyle name="计算 2 2 7 2 7" xfId="27583"/>
    <cellStyle name="计算 2 2 7 2 8" xfId="27584"/>
    <cellStyle name="计算 2 2 7 2 9" xfId="27585"/>
    <cellStyle name="计算 2 2 7 3 2" xfId="27586"/>
    <cellStyle name="计算 2 2 7 3 3" xfId="27587"/>
    <cellStyle name="注释 2 3 10 8" xfId="27588"/>
    <cellStyle name="计算 2 2 7 3 4 2" xfId="27589"/>
    <cellStyle name="计算 2 2 7 3 5" xfId="27590"/>
    <cellStyle name="注释 2 3 11 8" xfId="27591"/>
    <cellStyle name="计算 2 2 7 3 5 2" xfId="27592"/>
    <cellStyle name="计算 2 2 7 4 2" xfId="27593"/>
    <cellStyle name="计算 2 2 7 4 3" xfId="27594"/>
    <cellStyle name="输入 2 7 6 6 4 2" xfId="27595"/>
    <cellStyle name="计算 2 2 7 4 4" xfId="27596"/>
    <cellStyle name="计算 2 2 7 4 4 2" xfId="27597"/>
    <cellStyle name="计算 2 2 7 4 5" xfId="27598"/>
    <cellStyle name="计算 2 2 7 4 5 2" xfId="27599"/>
    <cellStyle name="计算 2 2 7 5" xfId="27600"/>
    <cellStyle name="计算 2 2 7 5 2" xfId="27601"/>
    <cellStyle name="计算 2 2 7 5 3" xfId="27602"/>
    <cellStyle name="输出 2 7 11 3 2 2" xfId="27603"/>
    <cellStyle name="输入 2 7 6 6 5 2" xfId="27604"/>
    <cellStyle name="计算 2 2 7 5 4" xfId="27605"/>
    <cellStyle name="计算 2 2 7 5 4 2" xfId="27606"/>
    <cellStyle name="计算 2 2 7 5 5" xfId="27607"/>
    <cellStyle name="计算 2 2 7 6" xfId="27608"/>
    <cellStyle name="计算 2 2 7 6 2" xfId="27609"/>
    <cellStyle name="计算 2 2 7 6 3" xfId="27610"/>
    <cellStyle name="输出 2 7 11 3 3 2" xfId="27611"/>
    <cellStyle name="计算 2 2 7 6 4 2" xfId="27612"/>
    <cellStyle name="计算 2 2 7 6 5" xfId="27613"/>
    <cellStyle name="计算 2 2 7 6 6" xfId="27614"/>
    <cellStyle name="输入 2 2 3 8 3" xfId="27615"/>
    <cellStyle name="计算 2 4 3 3 4 2" xfId="27616"/>
    <cellStyle name="输入 2 2 9 12 2" xfId="27617"/>
    <cellStyle name="计算 2 2 7 7" xfId="27618"/>
    <cellStyle name="输出 2 2 7 4 4 2" xfId="27619"/>
    <cellStyle name="输入 2 10 2 3" xfId="27620"/>
    <cellStyle name="计算 2 2 7 7 2" xfId="27621"/>
    <cellStyle name="输入 2 10 2 4" xfId="27622"/>
    <cellStyle name="计算 2 2 7 7 3" xfId="27623"/>
    <cellStyle name="输出 2 7 11 3 4 2" xfId="27624"/>
    <cellStyle name="输入 2 10 2 5 2" xfId="27625"/>
    <cellStyle name="计算 2 2 7 7 4 2" xfId="27626"/>
    <cellStyle name="注释 2 12 8 8" xfId="27627"/>
    <cellStyle name="输入 2 10 3 3 2" xfId="27628"/>
    <cellStyle name="计算 2 2 7 8 2 2" xfId="27629"/>
    <cellStyle name="输入 2 10 2 6" xfId="27630"/>
    <cellStyle name="计算 2 2 7 7 5" xfId="27631"/>
    <cellStyle name="输入 2 10 2 6 2" xfId="27632"/>
    <cellStyle name="计算 2 2 7 7 5 2" xfId="27633"/>
    <cellStyle name="计算 2 2 7 8" xfId="27634"/>
    <cellStyle name="输入 2 10 3 3" xfId="27635"/>
    <cellStyle name="计算 2 2 7 8 2" xfId="27636"/>
    <cellStyle name="输入 2 10 3 4" xfId="27637"/>
    <cellStyle name="计算 2 2 7 8 3" xfId="27638"/>
    <cellStyle name="输出 2 7 11 3 5 2" xfId="27639"/>
    <cellStyle name="输入 2 10 3 6" xfId="27640"/>
    <cellStyle name="计算 2 2 7 8 5" xfId="27641"/>
    <cellStyle name="注释 2 12 9 8" xfId="27642"/>
    <cellStyle name="输入 2 10 3 4 2" xfId="27643"/>
    <cellStyle name="计算 2 2 7 8 3 2" xfId="27644"/>
    <cellStyle name="注释 2 4 10 8" xfId="27645"/>
    <cellStyle name="输入 2 10 3 5 2" xfId="27646"/>
    <cellStyle name="计算 2 2 7 8 4 2" xfId="27647"/>
    <cellStyle name="计算 2 2 7 9" xfId="27648"/>
    <cellStyle name="输入 2 10 4 3" xfId="27649"/>
    <cellStyle name="计算 2 2 7 9 2" xfId="27650"/>
    <cellStyle name="计算 2 2 8" xfId="27651"/>
    <cellStyle name="计算 2 6 10 3 4" xfId="27652"/>
    <cellStyle name="计算 2 2 8 2 3" xfId="27653"/>
    <cellStyle name="计算 2 2 8 2 3 2" xfId="27654"/>
    <cellStyle name="计算 2 2 8 2 4 2" xfId="27655"/>
    <cellStyle name="计算 2 2 8 2 5" xfId="27656"/>
    <cellStyle name="计算 2 2 8 2 5 2" xfId="27657"/>
    <cellStyle name="输出 2 4 9 2 7" xfId="27658"/>
    <cellStyle name="计算 2 2 8 2 8" xfId="27659"/>
    <cellStyle name="计算 2 2 8 2 9" xfId="27660"/>
    <cellStyle name="计算 2 2 8 3 2" xfId="27661"/>
    <cellStyle name="计算 2 2 8 3 3" xfId="27662"/>
    <cellStyle name="计算 2 3 2 8 5" xfId="27663"/>
    <cellStyle name="计算 2 2 8 3 3 2" xfId="27664"/>
    <cellStyle name="注释 2 8 10 8" xfId="27665"/>
    <cellStyle name="计算 2 2 8 3 4 2" xfId="27666"/>
    <cellStyle name="计算 2 2 8 3 5" xfId="27667"/>
    <cellStyle name="注释 2 8 11 8" xfId="27668"/>
    <cellStyle name="计算 2 2 8 3 5 2" xfId="27669"/>
    <cellStyle name="计算 2 2 8 4 2" xfId="27670"/>
    <cellStyle name="计算 2 3 3 7 5" xfId="27671"/>
    <cellStyle name="计算 2 2 8 4 2 2" xfId="27672"/>
    <cellStyle name="计算 2 2 8 4 3" xfId="27673"/>
    <cellStyle name="计算 2 3 3 8 5" xfId="27674"/>
    <cellStyle name="计算 2 2 8 4 3 2" xfId="27675"/>
    <cellStyle name="输入 2 7 6 7 4 2" xfId="27676"/>
    <cellStyle name="计算 2 2 8 4 4" xfId="27677"/>
    <cellStyle name="计算 2 2 8 4 4 2" xfId="27678"/>
    <cellStyle name="计算 2 2 8 4 5" xfId="27679"/>
    <cellStyle name="计算 2 2 8 4 5 2" xfId="27680"/>
    <cellStyle name="计算 2 2 8 5" xfId="27681"/>
    <cellStyle name="输出 2 5 9 2 2" xfId="27682"/>
    <cellStyle name="计算 2 3 4 7 5" xfId="27683"/>
    <cellStyle name="计算 2 2 8 5 2 2" xfId="27684"/>
    <cellStyle name="计算 2 2 8 5 3" xfId="27685"/>
    <cellStyle name="输出 2 7 11 4 2 2" xfId="27686"/>
    <cellStyle name="计算 2 3 4 8 5" xfId="27687"/>
    <cellStyle name="输出 2 7 3 14" xfId="27688"/>
    <cellStyle name="计算 2 2 8 5 3 2" xfId="27689"/>
    <cellStyle name="输入 2 7 6 7 5 2" xfId="27690"/>
    <cellStyle name="计算 2 2 8 5 4" xfId="27691"/>
    <cellStyle name="计算 2 2 8 5 4 2" xfId="27692"/>
    <cellStyle name="计算 2 2 8 5 5" xfId="27693"/>
    <cellStyle name="计算 2 2 8 6" xfId="27694"/>
    <cellStyle name="输出 2 5 9 2 3" xfId="27695"/>
    <cellStyle name="输入 2 11 10 2 5" xfId="27696"/>
    <cellStyle name="计算 2 2 8 6 2" xfId="27697"/>
    <cellStyle name="输出 2 5 9 2 3 2" xfId="27698"/>
    <cellStyle name="计算 2 3 5 7 5" xfId="27699"/>
    <cellStyle name="计算 2 9 11 9" xfId="27700"/>
    <cellStyle name="输入 2 11 10 2 5 2" xfId="27701"/>
    <cellStyle name="计算 2 2 8 6 2 2" xfId="27702"/>
    <cellStyle name="输入 2 11 10 2 6" xfId="27703"/>
    <cellStyle name="计算 2 2 8 6 3" xfId="27704"/>
    <cellStyle name="输出 2 7 11 4 3 2" xfId="27705"/>
    <cellStyle name="计算 2 3 5 8 5" xfId="27706"/>
    <cellStyle name="计算 2 9 12 9" xfId="27707"/>
    <cellStyle name="计算 2 2 8 6 3 2" xfId="27708"/>
    <cellStyle name="计算 2 2 8 6 4 2" xfId="27709"/>
    <cellStyle name="输入 2 11 10 2 8" xfId="27710"/>
    <cellStyle name="计算 2 2 8 6 5" xfId="27711"/>
    <cellStyle name="输入 2 11 10 2 9" xfId="27712"/>
    <cellStyle name="计算 2 2 8 6 6" xfId="27713"/>
    <cellStyle name="输入 2 11 2 3" xfId="27714"/>
    <cellStyle name="输入 2 11 10 3 5" xfId="27715"/>
    <cellStyle name="计算 2 2 8 7 2" xfId="27716"/>
    <cellStyle name="输出 2 5 9 2 4 2" xfId="27717"/>
    <cellStyle name="计算 2 3 6 7 5" xfId="27718"/>
    <cellStyle name="输入 2 11 2 3 2" xfId="27719"/>
    <cellStyle name="输入 2 11 10 3 5 2" xfId="27720"/>
    <cellStyle name="计算 2 2 8 7 2 2" xfId="27721"/>
    <cellStyle name="输入 2 11 2 4" xfId="27722"/>
    <cellStyle name="输入 2 11 10 3 6" xfId="27723"/>
    <cellStyle name="计算 2 2 8 7 3" xfId="27724"/>
    <cellStyle name="输出 2 7 11 4 4 2" xfId="27725"/>
    <cellStyle name="计算 2 3 6 8 5" xfId="27726"/>
    <cellStyle name="输入 2 11 2 4 2" xfId="27727"/>
    <cellStyle name="计算 2 2 8 7 3 2" xfId="27728"/>
    <cellStyle name="计算 2 4 21" xfId="27729"/>
    <cellStyle name="计算 2 4 16" xfId="27730"/>
    <cellStyle name="输入 2 11 2 5 2" xfId="27731"/>
    <cellStyle name="计算 2 2 8 7 4 2" xfId="27732"/>
    <cellStyle name="输入 2 11 2 6" xfId="27733"/>
    <cellStyle name="计算 2 2 8 7 5" xfId="27734"/>
    <cellStyle name="输入 2 11 2 6 2" xfId="27735"/>
    <cellStyle name="计算 2 2 8 7 5 2" xfId="27736"/>
    <cellStyle name="输入 2 11 2 7" xfId="27737"/>
    <cellStyle name="计算 2 2 8 7 6" xfId="27738"/>
    <cellStyle name="计算 2 2 8 8" xfId="27739"/>
    <cellStyle name="输出 2 5 9 2 5" xfId="27740"/>
    <cellStyle name="输入 2 11 3 3" xfId="27741"/>
    <cellStyle name="输入 2 11 10 4 5" xfId="27742"/>
    <cellStyle name="计算 2 2 8 8 2" xfId="27743"/>
    <cellStyle name="输出 2 5 9 2 5 2" xfId="27744"/>
    <cellStyle name="计算 2 3 7 7 5" xfId="27745"/>
    <cellStyle name="输入 2 11 3 3 2" xfId="27746"/>
    <cellStyle name="输入 2 11 10 4 5 2" xfId="27747"/>
    <cellStyle name="计算 2 2 8 8 2 2" xfId="27748"/>
    <cellStyle name="输入 2 11 3 4" xfId="27749"/>
    <cellStyle name="输入 2 11 10 4 6" xfId="27750"/>
    <cellStyle name="计算 2 2 8 8 3" xfId="27751"/>
    <cellStyle name="输出 2 7 11 4 5 2" xfId="27752"/>
    <cellStyle name="计算 2 3 7 8 5" xfId="27753"/>
    <cellStyle name="输入 2 11 3 4 2" xfId="27754"/>
    <cellStyle name="计算 2 2 8 8 3 2" xfId="27755"/>
    <cellStyle name="注释 2 9 10 8" xfId="27756"/>
    <cellStyle name="输入 2 11 3 5 2" xfId="27757"/>
    <cellStyle name="计算 2 2 8 8 4 2" xfId="27758"/>
    <cellStyle name="输入 2 11 3 6" xfId="27759"/>
    <cellStyle name="计算 2 2 8 8 5" xfId="27760"/>
    <cellStyle name="计算 2 2 8 9" xfId="27761"/>
    <cellStyle name="输出 2 5 9 2 6" xfId="27762"/>
    <cellStyle name="输入 2 11 4 3" xfId="27763"/>
    <cellStyle name="输入 2 11 10 5 5" xfId="27764"/>
    <cellStyle name="计算 2 2 8 9 2" xfId="27765"/>
    <cellStyle name="计算 2 2 9" xfId="27766"/>
    <cellStyle name="计算 2 6 10 3 5" xfId="27767"/>
    <cellStyle name="输入 2 5 4 9 2" xfId="27768"/>
    <cellStyle name="计算 2 2 9 10" xfId="27769"/>
    <cellStyle name="计算 2 4 6 4 5 2" xfId="27770"/>
    <cellStyle name="计算 2 2 9 11" xfId="27771"/>
    <cellStyle name="计算 2 2 9 14" xfId="27772"/>
    <cellStyle name="计算 2 2 9 2 3" xfId="27773"/>
    <cellStyle name="计算 2 2 9 2 3 2" xfId="27774"/>
    <cellStyle name="计算 2 2 9 2 4 2" xfId="27775"/>
    <cellStyle name="注释 2 5 2 3 2" xfId="27776"/>
    <cellStyle name="计算 2 2 9 2 5" xfId="27777"/>
    <cellStyle name="注释 2 5 2 3 2 2" xfId="27778"/>
    <cellStyle name="计算 2 2 9 2 5 2" xfId="27779"/>
    <cellStyle name="输出 2 5 9 2 7" xfId="27780"/>
    <cellStyle name="注释 2 5 2 3 4" xfId="27781"/>
    <cellStyle name="注释 2 12 6 4 3 2" xfId="27782"/>
    <cellStyle name="计算 2 2 9 2 7" xfId="27783"/>
    <cellStyle name="注释 2 5 2 3 5" xfId="27784"/>
    <cellStyle name="计算 2 2 9 2 8" xfId="27785"/>
    <cellStyle name="注释 2 5 2 3 6" xfId="27786"/>
    <cellStyle name="计算 2 2 9 2 9" xfId="27787"/>
    <cellStyle name="计算 2 2 9 3 2" xfId="27788"/>
    <cellStyle name="输出 2 3 2 11" xfId="27789"/>
    <cellStyle name="计算 2 2 9 3 3" xfId="27790"/>
    <cellStyle name="输出 2 3 2 12" xfId="27791"/>
    <cellStyle name="计算 2 4 2 8 5" xfId="27792"/>
    <cellStyle name="输入 2 2 5 13" xfId="27793"/>
    <cellStyle name="输出 2 10 6 3 4" xfId="27794"/>
    <cellStyle name="计算 2 2 9 3 3 2" xfId="27795"/>
    <cellStyle name="输入 2 2 4 7 6" xfId="27796"/>
    <cellStyle name="输出 2 3 2 12 2" xfId="27797"/>
    <cellStyle name="输入 2 7 6 8 3 2" xfId="27798"/>
    <cellStyle name="计算 2 2 9 3 4" xfId="27799"/>
    <cellStyle name="输入 2 5 11 10 2" xfId="27800"/>
    <cellStyle name="输出 2 3 2 13" xfId="27801"/>
    <cellStyle name="计算 2 3 2 16" xfId="27802"/>
    <cellStyle name="输出 2 10 6 4 4" xfId="27803"/>
    <cellStyle name="计算 2 2 9 3 4 2" xfId="27804"/>
    <cellStyle name="注释 2 5 2 4 2" xfId="27805"/>
    <cellStyle name="计算 2 2 9 3 5" xfId="27806"/>
    <cellStyle name="输出 2 3 2 14" xfId="27807"/>
    <cellStyle name="计算 2 2 9 4 3" xfId="27808"/>
    <cellStyle name="计算 2 4 3 8 5" xfId="27809"/>
    <cellStyle name="输出 2 10 7 3 4" xfId="27810"/>
    <cellStyle name="计算 2 2 9 4 3 2" xfId="27811"/>
    <cellStyle name="输入 2 7 6 8 4 2" xfId="27812"/>
    <cellStyle name="计算 2 2 9 4 4" xfId="27813"/>
    <cellStyle name="注释 2 5 2 5 2" xfId="27814"/>
    <cellStyle name="计算 2 2 9 4 5" xfId="27815"/>
    <cellStyle name="注释 2 5 2 5 2 2" xfId="27816"/>
    <cellStyle name="计算 2 2 9 4 5 2" xfId="27817"/>
    <cellStyle name="计算 2 7 5 2 2" xfId="27818"/>
    <cellStyle name="计算 2 2 9 5" xfId="27819"/>
    <cellStyle name="输出 2 5 9 3 2" xfId="27820"/>
    <cellStyle name="计算 2 2 9 5 3" xfId="27821"/>
    <cellStyle name="输出 2 7 11 5 2 2" xfId="27822"/>
    <cellStyle name="计算 2 4 4 8 5" xfId="27823"/>
    <cellStyle name="输出 2 10 8 3 4" xfId="27824"/>
    <cellStyle name="计算 2 2 9 5 3 2" xfId="27825"/>
    <cellStyle name="计算 2 2 9 5 4" xfId="27826"/>
    <cellStyle name="计算 2 2 9 5 4 2" xfId="27827"/>
    <cellStyle name="计算 2 7 5 2 3" xfId="27828"/>
    <cellStyle name="计算 2 2 9 6" xfId="27829"/>
    <cellStyle name="输出 2 5 9 3 3" xfId="27830"/>
    <cellStyle name="计算 2 4 5 7 5" xfId="27831"/>
    <cellStyle name="注释 2 14 7 5 2" xfId="27832"/>
    <cellStyle name="输出 2 10 9 2 4" xfId="27833"/>
    <cellStyle name="输出 2 2 9 8 5" xfId="27834"/>
    <cellStyle name="输入 2 11 11 2 5 2" xfId="27835"/>
    <cellStyle name="计算 2 2 9 6 2 2" xfId="27836"/>
    <cellStyle name="计算 2 7 5 2 4 2" xfId="27837"/>
    <cellStyle name="输入 2 12 2 3" xfId="27838"/>
    <cellStyle name="输入 2 11 11 3 5" xfId="27839"/>
    <cellStyle name="计算 2 2 9 7 2" xfId="27840"/>
    <cellStyle name="输出 2 5 9 3 4 2" xfId="27841"/>
    <cellStyle name="输入 2 12 2 4" xfId="27842"/>
    <cellStyle name="输入 2 11 11 3 6" xfId="27843"/>
    <cellStyle name="计算 2 2 9 7 3" xfId="27844"/>
    <cellStyle name="输出 2 7 11 5 4 2" xfId="27845"/>
    <cellStyle name="输入 2 12 2 5 2" xfId="27846"/>
    <cellStyle name="计算 2 2 9 7 4 2" xfId="27847"/>
    <cellStyle name="注释 2 5 2 8 2" xfId="27848"/>
    <cellStyle name="输入 2 12 2 6" xfId="27849"/>
    <cellStyle name="计算 2 2 9 7 5" xfId="27850"/>
    <cellStyle name="注释 2 5 2 8 2 2" xfId="27851"/>
    <cellStyle name="输入 2 12 2 6 2" xfId="27852"/>
    <cellStyle name="计算 2 2 9 7 5 2" xfId="27853"/>
    <cellStyle name="注释 2 5 2 8 3" xfId="27854"/>
    <cellStyle name="输入 2 12 2 7" xfId="27855"/>
    <cellStyle name="计算 2 2 9 7 6" xfId="27856"/>
    <cellStyle name="注释 2 8 4 2 2 2" xfId="27857"/>
    <cellStyle name="注释 2 5 2 9 2" xfId="27858"/>
    <cellStyle name="输入 2 12 3 6" xfId="27859"/>
    <cellStyle name="计算 2 2 9 8 5" xfId="27860"/>
    <cellStyle name="注释 2 4 11 6 2" xfId="27861"/>
    <cellStyle name="输出 2 3 3 14" xfId="27862"/>
    <cellStyle name="计算 2 3 10" xfId="27863"/>
    <cellStyle name="注释 2 3 13 4 2" xfId="27864"/>
    <cellStyle name="计算 2 3 10 10 2" xfId="27865"/>
    <cellStyle name="计算 2 5 6 3 3 2" xfId="27866"/>
    <cellStyle name="注释 2 6 10 3" xfId="27867"/>
    <cellStyle name="注释 2 3 13 5 2" xfId="27868"/>
    <cellStyle name="计算 2 3 10 11 2" xfId="27869"/>
    <cellStyle name="计算 2 5 6 3 4 2" xfId="27870"/>
    <cellStyle name="计算 2 5 11 2 2" xfId="27871"/>
    <cellStyle name="注释 2 3 13 6" xfId="27872"/>
    <cellStyle name="计算 2 3 10 12" xfId="27873"/>
    <cellStyle name="注释 2 12 2 11 2" xfId="27874"/>
    <cellStyle name="计算 2 5 6 3 5" xfId="27875"/>
    <cellStyle name="计算 2 5 11 2 2 2" xfId="27876"/>
    <cellStyle name="注释 2 6 11 3" xfId="27877"/>
    <cellStyle name="计算 2 3 10 12 2" xfId="27878"/>
    <cellStyle name="计算 2 5 6 3 5 2" xfId="27879"/>
    <cellStyle name="计算 2 5 11 2 4" xfId="27880"/>
    <cellStyle name="检查单元格 2 4 4 3 3 2" xfId="27881"/>
    <cellStyle name="输入 2 3 8 2 8" xfId="27882"/>
    <cellStyle name="检查单元格 2 7 3 3 3" xfId="27883"/>
    <cellStyle name="计算 2 3 10 14" xfId="27884"/>
    <cellStyle name="计算 2 5 11 2 5" xfId="27885"/>
    <cellStyle name="输入 2 8 4 3 5 2" xfId="27886"/>
    <cellStyle name="输入 2 3 8 2 9" xfId="27887"/>
    <cellStyle name="检查单元格 2 7 3 3 4" xfId="27888"/>
    <cellStyle name="输出 2 8 6 5 4 2" xfId="27889"/>
    <cellStyle name="计算 2 3 10 15" xfId="27890"/>
    <cellStyle name="计算 2 3 10 2" xfId="27891"/>
    <cellStyle name="计算 2 6 5 2 9" xfId="27892"/>
    <cellStyle name="注释 2 7 9 2 8" xfId="27893"/>
    <cellStyle name="计算 2 3 10 2 2" xfId="27894"/>
    <cellStyle name="注释 2 5 8 7" xfId="27895"/>
    <cellStyle name="计算 2 4 10 4 5" xfId="27896"/>
    <cellStyle name="注释 2 4 17 4" xfId="27897"/>
    <cellStyle name="计算 2 3 10 2 2 2" xfId="27898"/>
    <cellStyle name="检查单元格 2 2 2 5 4" xfId="27899"/>
    <cellStyle name="注释 2 5 9 7" xfId="27900"/>
    <cellStyle name="输入 2 9 10 2 7" xfId="27901"/>
    <cellStyle name="计算 2 4 10 5 5" xfId="27902"/>
    <cellStyle name="注释 2 4 18 4" xfId="27903"/>
    <cellStyle name="计算 2 3 10 2 3 2" xfId="27904"/>
    <cellStyle name="计算 2 4 10 6 5" xfId="27905"/>
    <cellStyle name="注释 2 4 19 4" xfId="27906"/>
    <cellStyle name="计算 2 3 10 2 4 2" xfId="27907"/>
    <cellStyle name="计算 2 3 10 2 5" xfId="27908"/>
    <cellStyle name="计算 2 4 10 7 5" xfId="27909"/>
    <cellStyle name="计算 2 3 10 2 5 2" xfId="27910"/>
    <cellStyle name="计算 2 3 10 2 6" xfId="27911"/>
    <cellStyle name="计算 2 4 16 4 2" xfId="27912"/>
    <cellStyle name="注释 2 3 4 6 2" xfId="27913"/>
    <cellStyle name="计算 2 3 10 2 7" xfId="27914"/>
    <cellStyle name="计算 2 5 9 3 2 2" xfId="27915"/>
    <cellStyle name="注释 2 3 4 6 4" xfId="27916"/>
    <cellStyle name="计算 2 3 10 2 9" xfId="27917"/>
    <cellStyle name="注释 2 3 7 2 3 2" xfId="27918"/>
    <cellStyle name="计算 2 3 10 3" xfId="27919"/>
    <cellStyle name="计算 2 3 10 3 2" xfId="27920"/>
    <cellStyle name="注释 2 6 8 7" xfId="27921"/>
    <cellStyle name="计算 2 4 11 4 5" xfId="27922"/>
    <cellStyle name="计算 2 3 10 3 2 2" xfId="27923"/>
    <cellStyle name="检查单元格 2 2 3 5 4" xfId="27924"/>
    <cellStyle name="注释 2 6 9 7" xfId="27925"/>
    <cellStyle name="计算 2 4 11 5 5" xfId="27926"/>
    <cellStyle name="输入 2 9 5 11" xfId="27927"/>
    <cellStyle name="计算 2 3 10 3 3 2" xfId="27928"/>
    <cellStyle name="计算 2 7 3 4 3 2" xfId="27929"/>
    <cellStyle name="计算 2 3 10 3 4" xfId="27930"/>
    <cellStyle name="输出 2 5 7 5 3 2" xfId="27931"/>
    <cellStyle name="计算 2 4 11 6 5" xfId="27932"/>
    <cellStyle name="计算 2 3 10 3 4 2" xfId="27933"/>
    <cellStyle name="计算 2 3 10 3 5" xfId="27934"/>
    <cellStyle name="计算 2 4 11 7 5" xfId="27935"/>
    <cellStyle name="计算 2 3 10 3 5 2" xfId="27936"/>
    <cellStyle name="计算 2 3 10 3 6" xfId="27937"/>
    <cellStyle name="计算 2 3 10 4 2" xfId="27938"/>
    <cellStyle name="计算 2 3 10 4 3 2" xfId="27939"/>
    <cellStyle name="计算 2 7 3 4 4 2" xfId="27940"/>
    <cellStyle name="计算 2 3 10 4 4" xfId="27941"/>
    <cellStyle name="输出 2 5 7 5 4 2" xfId="27942"/>
    <cellStyle name="计算 2 3 10 4 4 2" xfId="27943"/>
    <cellStyle name="输出 2 10 10 3" xfId="27944"/>
    <cellStyle name="计算 2 3 10 4 5" xfId="27945"/>
    <cellStyle name="计算 2 3 10 4 5 2" xfId="27946"/>
    <cellStyle name="输出 2 10 11 3" xfId="27947"/>
    <cellStyle name="计算 2 3 10 4 6" xfId="27948"/>
    <cellStyle name="输入 2 10 9 4 5 2" xfId="27949"/>
    <cellStyle name="计算 2 3 10 5" xfId="27950"/>
    <cellStyle name="输入 2 8 10 2 4" xfId="27951"/>
    <cellStyle name="计算 2 3 10 5 2" xfId="27952"/>
    <cellStyle name="输入 2 8 10 2 4 2" xfId="27953"/>
    <cellStyle name="计算 2 3 10 5 2 2" xfId="27954"/>
    <cellStyle name="检查单元格 2 2 5 5 4" xfId="27955"/>
    <cellStyle name="输入 2 8 10 2 5 2" xfId="27956"/>
    <cellStyle name="计算 2 3 10 5 3 2" xfId="27957"/>
    <cellStyle name="计算 2 3 10 5 4 2" xfId="27958"/>
    <cellStyle name="输入 2 8 10 2 7" xfId="27959"/>
    <cellStyle name="计算 2 3 10 5 5" xfId="27960"/>
    <cellStyle name="计算 2 3 10 5 5 2" xfId="27961"/>
    <cellStyle name="输入 2 8 10 2 8" xfId="27962"/>
    <cellStyle name="计算 2 3 10 5 6" xfId="27963"/>
    <cellStyle name="计算 2 3 10 6" xfId="27964"/>
    <cellStyle name="输入 2 8 10 3 4" xfId="27965"/>
    <cellStyle name="计算 2 3 10 6 2" xfId="27966"/>
    <cellStyle name="输入 2 8 10 3 4 2" xfId="27967"/>
    <cellStyle name="计算 2 3 10 6 2 2" xfId="27968"/>
    <cellStyle name="检查单元格 2 2 6 5 4" xfId="27969"/>
    <cellStyle name="输入 2 8 10 3 5" xfId="27970"/>
    <cellStyle name="计算 2 3 10 6 3" xfId="27971"/>
    <cellStyle name="输入 2 8 10 3 5 2" xfId="27972"/>
    <cellStyle name="计算 2 3 10 6 3 2" xfId="27973"/>
    <cellStyle name="计算 2 3 10 6 4 2" xfId="27974"/>
    <cellStyle name="计算 2 3 10 7" xfId="27975"/>
    <cellStyle name="输入 2 8 10 4 4" xfId="27976"/>
    <cellStyle name="计算 2 3 10 7 2" xfId="27977"/>
    <cellStyle name="注释 2 5 17 4" xfId="27978"/>
    <cellStyle name="输入 2 8 10 4 4 2" xfId="27979"/>
    <cellStyle name="计算 2 3 10 7 2 2" xfId="27980"/>
    <cellStyle name="检查单元格 2 2 7 5 4" xfId="27981"/>
    <cellStyle name="输入 2 8 10 4 5" xfId="27982"/>
    <cellStyle name="计算 2 3 10 7 3" xfId="27983"/>
    <cellStyle name="注释 2 5 18 4" xfId="27984"/>
    <cellStyle name="输入 2 8 10 4 5 2" xfId="27985"/>
    <cellStyle name="计算 2 3 10 7 3 2" xfId="27986"/>
    <cellStyle name="注释 2 5 19 4" xfId="27987"/>
    <cellStyle name="计算 2 3 10 7 4 2" xfId="27988"/>
    <cellStyle name="计算 2 3 10 7 5" xfId="27989"/>
    <cellStyle name="输入 2 8 10 5 4 2" xfId="27990"/>
    <cellStyle name="计算 2 3 10 8 2 2" xfId="27991"/>
    <cellStyle name="检查单元格 2 2 8 5 4" xfId="27992"/>
    <cellStyle name="输入 2 8 10 5 5" xfId="27993"/>
    <cellStyle name="计算 2 3 10 8 3" xfId="27994"/>
    <cellStyle name="输入 2 8 10 5 5 2" xfId="27995"/>
    <cellStyle name="计算 2 3 10 8 3 2" xfId="27996"/>
    <cellStyle name="输入 2 4 24" xfId="27997"/>
    <cellStyle name="输入 2 4 19" xfId="27998"/>
    <cellStyle name="计算 2 3 10 8 4 2" xfId="27999"/>
    <cellStyle name="计算 2 3 10 8 5" xfId="28000"/>
    <cellStyle name="计算 2 3 11" xfId="28001"/>
    <cellStyle name="注释 2 7 10 3" xfId="28002"/>
    <cellStyle name="注释 2 3 18 5 2" xfId="28003"/>
    <cellStyle name="计算 2 3 11 11 2" xfId="28004"/>
    <cellStyle name="注释 2 6 10 5 3" xfId="28005"/>
    <cellStyle name="计算 2 5 6 8 4 2" xfId="28006"/>
    <cellStyle name="计算 2 5 6 8 5" xfId="28007"/>
    <cellStyle name="注释 2 3 18 6" xfId="28008"/>
    <cellStyle name="计算 2 3 11 12" xfId="28009"/>
    <cellStyle name="输出 2 4 5 2" xfId="28010"/>
    <cellStyle name="注释 2 7 11 3" xfId="28011"/>
    <cellStyle name="计算 2 3 11 12 2" xfId="28012"/>
    <cellStyle name="输出 2 4 5 2 2" xfId="28013"/>
    <cellStyle name="计算 2 3 11 14" xfId="28014"/>
    <cellStyle name="输出 2 4 5 4" xfId="28015"/>
    <cellStyle name="计算 2 3 11 15" xfId="28016"/>
    <cellStyle name="输出 2 4 5 5" xfId="28017"/>
    <cellStyle name="计算 2 3 11 2 2" xfId="28018"/>
    <cellStyle name="输出 2 4 15 2" xfId="28019"/>
    <cellStyle name="输出 2 4 20 2" xfId="28020"/>
    <cellStyle name="注释 2 9 17 4" xfId="28021"/>
    <cellStyle name="计算 2 3 11 2 2 2" xfId="28022"/>
    <cellStyle name="检查单元格 2 3 2 5 4" xfId="28023"/>
    <cellStyle name="输出 2 4 15 2 2" xfId="28024"/>
    <cellStyle name="注释 2 9 18 4" xfId="28025"/>
    <cellStyle name="计算 2 3 11 2 3 2" xfId="28026"/>
    <cellStyle name="输出 2 4 15 3 2" xfId="28027"/>
    <cellStyle name="注释 2 9 19 4" xfId="28028"/>
    <cellStyle name="计算 2 3 11 2 4 2" xfId="28029"/>
    <cellStyle name="输出 2 4 15 4 2" xfId="28030"/>
    <cellStyle name="计算 2 3 11 2 5" xfId="28031"/>
    <cellStyle name="输出 2 4 15 5" xfId="28032"/>
    <cellStyle name="计算 2 3 11 2 5 2" xfId="28033"/>
    <cellStyle name="输出 2 4 15 5 2" xfId="28034"/>
    <cellStyle name="注释 2 3 7 2 4 2" xfId="28035"/>
    <cellStyle name="计算 2 3 11 3" xfId="28036"/>
    <cellStyle name="输出 2 4 16" xfId="28037"/>
    <cellStyle name="输出 2 4 21" xfId="28038"/>
    <cellStyle name="计算 2 3 11 3 2" xfId="28039"/>
    <cellStyle name="输出 2 4 16 2" xfId="28040"/>
    <cellStyle name="输出 2 4 21 2" xfId="28041"/>
    <cellStyle name="计算 2 3 11 3 2 2" xfId="28042"/>
    <cellStyle name="检查单元格 2 3 3 5 4" xfId="28043"/>
    <cellStyle name="输出 2 4 16 2 2" xfId="28044"/>
    <cellStyle name="计算 2 3 11 3 3 2" xfId="28045"/>
    <cellStyle name="输出 2 4 16 3 2" xfId="28046"/>
    <cellStyle name="计算 2 7 3 5 3 2" xfId="28047"/>
    <cellStyle name="计算 2 3 11 3 4" xfId="28048"/>
    <cellStyle name="输出 2 4 16 4" xfId="28049"/>
    <cellStyle name="输出 2 5 7 6 3 2" xfId="28050"/>
    <cellStyle name="计算 2 3 11 3 4 2" xfId="28051"/>
    <cellStyle name="输出 2 4 16 4 2" xfId="28052"/>
    <cellStyle name="计算 2 3 11 3 5" xfId="28053"/>
    <cellStyle name="输出 2 4 16 5" xfId="28054"/>
    <cellStyle name="计算 2 3 11 3 5 2" xfId="28055"/>
    <cellStyle name="输出 2 4 16 5 2" xfId="28056"/>
    <cellStyle name="计算 2 3 11 4 2" xfId="28057"/>
    <cellStyle name="输出 2 4 17 2" xfId="28058"/>
    <cellStyle name="输出 2 4 22 2" xfId="28059"/>
    <cellStyle name="计算 2 3 11 4 3 2" xfId="28060"/>
    <cellStyle name="输出 2 4 17 3 2" xfId="28061"/>
    <cellStyle name="计算 2 7 3 5 4 2" xfId="28062"/>
    <cellStyle name="计算 2 3 11 4 4" xfId="28063"/>
    <cellStyle name="输出 2 4 17 4" xfId="28064"/>
    <cellStyle name="输出 2 5 7 6 4 2" xfId="28065"/>
    <cellStyle name="计算 2 3 11 4 4 2" xfId="28066"/>
    <cellStyle name="输出 2 4 17 4 2" xfId="28067"/>
    <cellStyle name="计算 2 3 11 4 5" xfId="28068"/>
    <cellStyle name="输出 2 4 17 5" xfId="28069"/>
    <cellStyle name="计算 2 3 11 4 5 2" xfId="28070"/>
    <cellStyle name="输出 2 4 17 5 2" xfId="28071"/>
    <cellStyle name="计算 2 3 11 4 6" xfId="28072"/>
    <cellStyle name="输出 2 4 17 6" xfId="28073"/>
    <cellStyle name="计算 2 3 11 5" xfId="28074"/>
    <cellStyle name="输出 2 4 18" xfId="28075"/>
    <cellStyle name="输出 2 4 23" xfId="28076"/>
    <cellStyle name="输入 2 8 11 2 4" xfId="28077"/>
    <cellStyle name="计算 2 3 11 5 2" xfId="28078"/>
    <cellStyle name="输出 2 4 18 2" xfId="28079"/>
    <cellStyle name="输出 2 4 23 2" xfId="28080"/>
    <cellStyle name="输入 2 8 11 2 4 2" xfId="28081"/>
    <cellStyle name="计算 2 3 11 5 2 2" xfId="28082"/>
    <cellStyle name="检查单元格 2 3 5 5 4" xfId="28083"/>
    <cellStyle name="输出 2 4 18 2 2" xfId="28084"/>
    <cellStyle name="输出 2 7 10 2 3" xfId="28085"/>
    <cellStyle name="输入 2 8 11 2 5 2" xfId="28086"/>
    <cellStyle name="计算 2 3 11 5 3 2" xfId="28087"/>
    <cellStyle name="输出 2 4 18 3 2" xfId="28088"/>
    <cellStyle name="输出 2 7 10 3 3" xfId="28089"/>
    <cellStyle name="计算 2 3 11 5 4 2" xfId="28090"/>
    <cellStyle name="输出 2 4 18 4 2" xfId="28091"/>
    <cellStyle name="输出 2 7 10 4 3" xfId="28092"/>
    <cellStyle name="计算 2 3 11 5 5" xfId="28093"/>
    <cellStyle name="输出 2 4 18 5" xfId="28094"/>
    <cellStyle name="计算 2 3 11 5 5 2" xfId="28095"/>
    <cellStyle name="输出 2 4 18 5 2" xfId="28096"/>
    <cellStyle name="输出 2 7 10 5 3" xfId="28097"/>
    <cellStyle name="计算 2 3 11 5 6" xfId="28098"/>
    <cellStyle name="输出 2 4 18 6" xfId="28099"/>
    <cellStyle name="计算 2 3 11 6" xfId="28100"/>
    <cellStyle name="输出 2 4 19" xfId="28101"/>
    <cellStyle name="输出 2 4 24" xfId="28102"/>
    <cellStyle name="输出 2 10 10 2 8" xfId="28103"/>
    <cellStyle name="输入 2 8 11 3 4" xfId="28104"/>
    <cellStyle name="计算 2 3 11 6 2" xfId="28105"/>
    <cellStyle name="输出 2 4 19 2" xfId="28106"/>
    <cellStyle name="输入 2 8 11 3 4 2" xfId="28107"/>
    <cellStyle name="计算 2 3 11 6 2 2" xfId="28108"/>
    <cellStyle name="检查单元格 2 3 6 5 4" xfId="28109"/>
    <cellStyle name="输出 2 4 19 2 2" xfId="28110"/>
    <cellStyle name="输出 2 7 11 2 3" xfId="28111"/>
    <cellStyle name="输出 2 10 10 2 9" xfId="28112"/>
    <cellStyle name="输入 2 8 11 3 5" xfId="28113"/>
    <cellStyle name="计算 2 3 11 6 3" xfId="28114"/>
    <cellStyle name="输出 2 4 19 3" xfId="28115"/>
    <cellStyle name="输入 2 8 11 3 5 2" xfId="28116"/>
    <cellStyle name="计算 2 3 11 6 3 2" xfId="28117"/>
    <cellStyle name="输出 2 4 19 3 2" xfId="28118"/>
    <cellStyle name="输出 2 7 11 3 3" xfId="28119"/>
    <cellStyle name="计算 2 3 11 6 4 2" xfId="28120"/>
    <cellStyle name="输出 2 4 19 4 2" xfId="28121"/>
    <cellStyle name="输出 2 7 11 4 3" xfId="28122"/>
    <cellStyle name="计算 2 3 11 6 5" xfId="28123"/>
    <cellStyle name="输出 2 4 19 5" xfId="28124"/>
    <cellStyle name="计算 2 3 11 6 5 2" xfId="28125"/>
    <cellStyle name="输出 2 7 11 5 3" xfId="28126"/>
    <cellStyle name="计算 2 3 11 7" xfId="28127"/>
    <cellStyle name="输出 2 4 25" xfId="28128"/>
    <cellStyle name="输入 2 8 11 4 4" xfId="28129"/>
    <cellStyle name="计算 2 3 11 7 2" xfId="28130"/>
    <cellStyle name="输入 2 8 11 4 4 2" xfId="28131"/>
    <cellStyle name="计算 2 3 11 7 2 2" xfId="28132"/>
    <cellStyle name="检查单元格 2 3 7 5 4" xfId="28133"/>
    <cellStyle name="输入 2 8 11 4 5" xfId="28134"/>
    <cellStyle name="计算 2 3 11 7 3" xfId="28135"/>
    <cellStyle name="输入 2 8 11 4 5 2" xfId="28136"/>
    <cellStyle name="计算 2 3 11 7 3 2" xfId="28137"/>
    <cellStyle name="计算 2 3 11 7 4 2" xfId="28138"/>
    <cellStyle name="计算 2 3 11 7 5" xfId="28139"/>
    <cellStyle name="计算 2 3 11 7 5 2" xfId="28140"/>
    <cellStyle name="输入 2 8 11 5 4 2" xfId="28141"/>
    <cellStyle name="计算 2 3 11 8 2 2" xfId="28142"/>
    <cellStyle name="检查单元格 2 3 8 5 4" xfId="28143"/>
    <cellStyle name="输入 2 8 11 5 5" xfId="28144"/>
    <cellStyle name="计算 2 3 11 8 3" xfId="28145"/>
    <cellStyle name="输入 2 8 11 5 5 2" xfId="28146"/>
    <cellStyle name="计算 2 3 11 8 3 2" xfId="28147"/>
    <cellStyle name="计算 2 3 11 8 4 2" xfId="28148"/>
    <cellStyle name="计算 2 3 11 8 5" xfId="28149"/>
    <cellStyle name="计算 2 3 12" xfId="28150"/>
    <cellStyle name="检查单元格 2 10 4 2 2" xfId="28151"/>
    <cellStyle name="计算 2 3 12 2" xfId="28152"/>
    <cellStyle name="检查单元格 2 10 4 2 2 2" xfId="28153"/>
    <cellStyle name="计算 2 3 12 2 2" xfId="28154"/>
    <cellStyle name="计算 2 3 12 3 2" xfId="28155"/>
    <cellStyle name="计算 2 3 12 4" xfId="28156"/>
    <cellStyle name="计算 2 8 9 2 5 2" xfId="28157"/>
    <cellStyle name="计算 2 3 12 4 2" xfId="28158"/>
    <cellStyle name="计算 2 3 12 5" xfId="28159"/>
    <cellStyle name="计算 2 3 12 5 2" xfId="28160"/>
    <cellStyle name="计算 2 3 12 6" xfId="28161"/>
    <cellStyle name="注释 2 9 8 2 2 2" xfId="28162"/>
    <cellStyle name="计算 2 3 12 7" xfId="28163"/>
    <cellStyle name="计算 2 3 12 9" xfId="28164"/>
    <cellStyle name="计算 2 3 6 4 2" xfId="28165"/>
    <cellStyle name="计算 2 3 13" xfId="28166"/>
    <cellStyle name="检查单元格 2 10 4 2 3" xfId="28167"/>
    <cellStyle name="输入 2 8 2 2 7" xfId="28168"/>
    <cellStyle name="计算 2 3 13 2 2" xfId="28169"/>
    <cellStyle name="计算 2 3 13 3 2" xfId="28170"/>
    <cellStyle name="计算 2 3 13 4" xfId="28171"/>
    <cellStyle name="计算 2 3 13 4 2" xfId="28172"/>
    <cellStyle name="计算 2 3 13 5" xfId="28173"/>
    <cellStyle name="计算 2 3 13 5 2" xfId="28174"/>
    <cellStyle name="计算 2 3 6 4 3" xfId="28175"/>
    <cellStyle name="计算 2 3 14" xfId="28176"/>
    <cellStyle name="检查单元格 2 10 4 2 4" xfId="28177"/>
    <cellStyle name="检查单元格 2 3 7 5 2 2" xfId="28178"/>
    <cellStyle name="计算 2 3 6 4 3 2" xfId="28179"/>
    <cellStyle name="计算 2 3 14 2" xfId="28180"/>
    <cellStyle name="检查单元格 2 10 4 2 4 2" xfId="28181"/>
    <cellStyle name="计算 2 3 14 3 2" xfId="28182"/>
    <cellStyle name="计算 2 3 14 4" xfId="28183"/>
    <cellStyle name="计算 2 3 14 4 2" xfId="28184"/>
    <cellStyle name="计算 2 3 14 5" xfId="28185"/>
    <cellStyle name="计算 2 3 14 5 2" xfId="28186"/>
    <cellStyle name="输入 2 7 7 5 4 2" xfId="28187"/>
    <cellStyle name="计算 2 3 6 4 4" xfId="28188"/>
    <cellStyle name="计算 2 3 20" xfId="28189"/>
    <cellStyle name="计算 2 3 15" xfId="28190"/>
    <cellStyle name="检查单元格 2 10 4 2 5" xfId="28191"/>
    <cellStyle name="计算 2 3 6 4 4 2" xfId="28192"/>
    <cellStyle name="计算 2 3 20 2" xfId="28193"/>
    <cellStyle name="计算 2 3 15 2" xfId="28194"/>
    <cellStyle name="检查单元格 2 10 4 2 5 2" xfId="28195"/>
    <cellStyle name="计算 2 3 15 3 2" xfId="28196"/>
    <cellStyle name="计算 2 3 15 4" xfId="28197"/>
    <cellStyle name="计算 2 3 15 4 2" xfId="28198"/>
    <cellStyle name="计算 2 3 15 5 2" xfId="28199"/>
    <cellStyle name="计算 2 3 6 4 5" xfId="28200"/>
    <cellStyle name="计算 2 3 21" xfId="28201"/>
    <cellStyle name="计算 2 3 16" xfId="28202"/>
    <cellStyle name="注释 2 13 8 2 2" xfId="28203"/>
    <cellStyle name="检查单元格 2 10 4 2 6" xfId="28204"/>
    <cellStyle name="计算 2 3 16 3 2" xfId="28205"/>
    <cellStyle name="输出 2 5 16 2" xfId="28206"/>
    <cellStyle name="输出 2 5 21 2" xfId="28207"/>
    <cellStyle name="计算 2 3 16 4" xfId="28208"/>
    <cellStyle name="输出 2 5 17" xfId="28209"/>
    <cellStyle name="输出 2 5 22" xfId="28210"/>
    <cellStyle name="计算 2 3 16 5 2" xfId="28211"/>
    <cellStyle name="输出 2 5 18 2" xfId="28212"/>
    <cellStyle name="输出 2 5 23 2" xfId="28213"/>
    <cellStyle name="计算 2 3 17 4 2" xfId="28214"/>
    <cellStyle name="计算 2 3 17 5 2" xfId="28215"/>
    <cellStyle name="计算 2 3 7 4 2" xfId="28216"/>
    <cellStyle name="计算 2 8 13" xfId="28217"/>
    <cellStyle name="检查单元格 2 10 5 2 3" xfId="28218"/>
    <cellStyle name="计算 2 3 2 10 2" xfId="28219"/>
    <cellStyle name="输入 2 8 6 12 2" xfId="28220"/>
    <cellStyle name="计算 2 3 7 5" xfId="28221"/>
    <cellStyle name="计算 2 3 2 11" xfId="28222"/>
    <cellStyle name="计算 2 3 7 6" xfId="28223"/>
    <cellStyle name="计算 2 3 2 12" xfId="28224"/>
    <cellStyle name="输入 2 2 4 8 3" xfId="28225"/>
    <cellStyle name="计算 2 4 3 4 4 2" xfId="28226"/>
    <cellStyle name="计算 2 3 7 7" xfId="28227"/>
    <cellStyle name="输出 2 2 7 5 4 2" xfId="28228"/>
    <cellStyle name="计算 2 4 2 9 2" xfId="28229"/>
    <cellStyle name="输入 2 2 5 3 5 2" xfId="28230"/>
    <cellStyle name="计算 2 3 2 13" xfId="28231"/>
    <cellStyle name="计算 2 3 7 8" xfId="28232"/>
    <cellStyle name="计算 2 3 2 14" xfId="28233"/>
    <cellStyle name="输出 2 10 6 4 2" xfId="28234"/>
    <cellStyle name="输入 2 6 11 7 5" xfId="28235"/>
    <cellStyle name="计算 2 3 2 2 9" xfId="28236"/>
    <cellStyle name="计算 2 3 2 3" xfId="28237"/>
    <cellStyle name="输出 2 11 7 4 6" xfId="28238"/>
    <cellStyle name="计算 2 3 2 3 2" xfId="28239"/>
    <cellStyle name="计算 2 3 2 3 3" xfId="28240"/>
    <cellStyle name="计算 2 3 2 3 3 2" xfId="28241"/>
    <cellStyle name="计算 2 3 2 4" xfId="28242"/>
    <cellStyle name="计算 2 3 2 4 3" xfId="28243"/>
    <cellStyle name="计算 2 3 2 4 3 2" xfId="28244"/>
    <cellStyle name="计算 2 3 2 5" xfId="28245"/>
    <cellStyle name="计算 2 3 2 5 2" xfId="28246"/>
    <cellStyle name="计算 2 3 2 5 2 2" xfId="28247"/>
    <cellStyle name="计算 2 3 2 5 3" xfId="28248"/>
    <cellStyle name="计算 2 3 2 5 3 2" xfId="28249"/>
    <cellStyle name="计算 2 3 2 6 2" xfId="28250"/>
    <cellStyle name="计算 2 3 2 6 2 2" xfId="28251"/>
    <cellStyle name="计算 2 3 2 6 3" xfId="28252"/>
    <cellStyle name="计算 2 3 2 6 3 2" xfId="28253"/>
    <cellStyle name="计算 2 4 2 4 2" xfId="28254"/>
    <cellStyle name="输出 2 2 6 5 2" xfId="28255"/>
    <cellStyle name="计算 2 3 6 10 2" xfId="28256"/>
    <cellStyle name="计算 2 3 2 7" xfId="28257"/>
    <cellStyle name="计算 2 4 2 4 3" xfId="28258"/>
    <cellStyle name="输出 2 2 6 5 3" xfId="28259"/>
    <cellStyle name="计算 2 3 2 8" xfId="28260"/>
    <cellStyle name="计算 2 4 2 4 3 2" xfId="28261"/>
    <cellStyle name="输出 2 2 6 5 3 2" xfId="28262"/>
    <cellStyle name="计算 2 3 2 8 2" xfId="28263"/>
    <cellStyle name="注释 2 9 9 4 2 2" xfId="28264"/>
    <cellStyle name="计算 2 3 2 8 3" xfId="28265"/>
    <cellStyle name="输入 2 4 2 10" xfId="28266"/>
    <cellStyle name="计算 2 3 2 8 4 2" xfId="28267"/>
    <cellStyle name="输入 2 5 8 4 4 2" xfId="28268"/>
    <cellStyle name="计算 2 3 3 12 2" xfId="28269"/>
    <cellStyle name="计算 2 3 3 2 2" xfId="28270"/>
    <cellStyle name="输出 2 11 7 5 5 2" xfId="28271"/>
    <cellStyle name="计算 2 3 3 2 2 2" xfId="28272"/>
    <cellStyle name="计算 2 3 3 2 3" xfId="28273"/>
    <cellStyle name="计算 2 3 3 2 3 2" xfId="28274"/>
    <cellStyle name="计算 2 3 3 2 4 2" xfId="28275"/>
    <cellStyle name="计算 2 3 3 2 5" xfId="28276"/>
    <cellStyle name="计算 2 3 3 2 5 2" xfId="28277"/>
    <cellStyle name="计算 2 3 3 2 6" xfId="28278"/>
    <cellStyle name="计算 2 3 3 2 8" xfId="28279"/>
    <cellStyle name="计算 2 3 3 2 9" xfId="28280"/>
    <cellStyle name="计算 2 3 3 3" xfId="28281"/>
    <cellStyle name="输出 2 11 7 5 6" xfId="28282"/>
    <cellStyle name="计算 2 3 3 3 2" xfId="28283"/>
    <cellStyle name="计算 2 3 3 3 3" xfId="28284"/>
    <cellStyle name="计算 2 3 3 3 5" xfId="28285"/>
    <cellStyle name="计算 2 3 3 3 6" xfId="28286"/>
    <cellStyle name="计算 2 3 3 4" xfId="28287"/>
    <cellStyle name="计算 2 3 3 4 2" xfId="28288"/>
    <cellStyle name="计算 2 3 3 4 3" xfId="28289"/>
    <cellStyle name="检查单元格 2 3 7 2 2 2" xfId="28290"/>
    <cellStyle name="输入 2 7 7 2 4 2" xfId="28291"/>
    <cellStyle name="计算 2 3 3 4 4" xfId="28292"/>
    <cellStyle name="计算 2 3 3 4 5" xfId="28293"/>
    <cellStyle name="计算 2 3 3 4 6" xfId="28294"/>
    <cellStyle name="计算 2 3 3 5" xfId="28295"/>
    <cellStyle name="计算 2 3 3 6 5" xfId="28296"/>
    <cellStyle name="输入 2 6 4 11 2" xfId="28297"/>
    <cellStyle name="计算 2 3 3 6 6" xfId="28298"/>
    <cellStyle name="计算 2 4 2 5 2" xfId="28299"/>
    <cellStyle name="输出 2 2 6 6 2" xfId="28300"/>
    <cellStyle name="计算 2 3 6 11 2" xfId="28301"/>
    <cellStyle name="计算 2 3 3 7" xfId="28302"/>
    <cellStyle name="注释 2 12 3 3" xfId="28303"/>
    <cellStyle name="计算 2 3 3 7 4 2" xfId="28304"/>
    <cellStyle name="注释 2 12 4 3" xfId="28305"/>
    <cellStyle name="计算 2 3 3 7 5 2" xfId="28306"/>
    <cellStyle name="计算 2 4 2 5 3" xfId="28307"/>
    <cellStyle name="输出 2 2 6 6 3" xfId="28308"/>
    <cellStyle name="计算 2 3 3 8" xfId="28309"/>
    <cellStyle name="注释 2 13 3 3" xfId="28310"/>
    <cellStyle name="输入 2 9 2 10" xfId="28311"/>
    <cellStyle name="计算 2 3 3 8 4 2" xfId="28312"/>
    <cellStyle name="输入 2 5 8 9 2" xfId="28313"/>
    <cellStyle name="计算 2 3 4 10" xfId="28314"/>
    <cellStyle name="计算 2 3 4 10 2" xfId="28315"/>
    <cellStyle name="计算 2 3 4 11 2" xfId="28316"/>
    <cellStyle name="输入 2 10 11 5 4 2" xfId="28317"/>
    <cellStyle name="计算 2 3 4 12" xfId="28318"/>
    <cellStyle name="计算 2 3 4 12 2" xfId="28319"/>
    <cellStyle name="计算 2 3 4 14" xfId="28320"/>
    <cellStyle name="输出 2 14 2" xfId="28321"/>
    <cellStyle name="计算 2 3 4 2" xfId="28322"/>
    <cellStyle name="输入 2 8 7 4 4 2" xfId="28323"/>
    <cellStyle name="输出 2 11 7 6 5" xfId="28324"/>
    <cellStyle name="计算 2 3 4 2 2" xfId="28325"/>
    <cellStyle name="输出 2 11 7 6 5 2" xfId="28326"/>
    <cellStyle name="计算 2 3 4 2 3" xfId="28327"/>
    <cellStyle name="计算 2 3 4 2 3 2" xfId="28328"/>
    <cellStyle name="计算 2 3 4 2 4 2" xfId="28329"/>
    <cellStyle name="输出 2 10 7 2 8" xfId="28330"/>
    <cellStyle name="计算 2 3 4 2 5 2" xfId="28331"/>
    <cellStyle name="计算 2 3 4 2 7" xfId="28332"/>
    <cellStyle name="计算 2 3 4 2 8" xfId="28333"/>
    <cellStyle name="计算 2 3 4 2 9" xfId="28334"/>
    <cellStyle name="计算 2 3 4 3" xfId="28335"/>
    <cellStyle name="输出 2 11 7 6 6" xfId="28336"/>
    <cellStyle name="计算 2 3 4 3 2" xfId="28337"/>
    <cellStyle name="输出 2 7 2 11" xfId="28338"/>
    <cellStyle name="计算 2 3 4 3 3" xfId="28339"/>
    <cellStyle name="输出 2 7 2 12" xfId="28340"/>
    <cellStyle name="计算 2 3 4 3 3 2" xfId="28341"/>
    <cellStyle name="输出 2 7 2 12 2" xfId="28342"/>
    <cellStyle name="计算 2 3 4 3 4 2" xfId="28343"/>
    <cellStyle name="输出 2 10 8 2 8" xfId="28344"/>
    <cellStyle name="计算 2 3 4 3 5 2" xfId="28345"/>
    <cellStyle name="计算 2 3 4 4" xfId="28346"/>
    <cellStyle name="计算 2 3 4 4 2" xfId="28347"/>
    <cellStyle name="检查单元格 2 10 2 2 3" xfId="28348"/>
    <cellStyle name="计算 2 3 4 4 2 2" xfId="28349"/>
    <cellStyle name="检查单元格 2 10 2 2 3 2" xfId="28350"/>
    <cellStyle name="计算 2 3 4 4 3" xfId="28351"/>
    <cellStyle name="检查单元格 2 10 2 2 4" xfId="28352"/>
    <cellStyle name="检查单元格 2 3 7 3 2 2" xfId="28353"/>
    <cellStyle name="计算 2 3 4 4 3 2" xfId="28354"/>
    <cellStyle name="检查单元格 2 10 2 2 4 2" xfId="28355"/>
    <cellStyle name="输入 2 7 7 3 4 2" xfId="28356"/>
    <cellStyle name="计算 2 3 4 4 4" xfId="28357"/>
    <cellStyle name="检查单元格 2 10 2 2 5" xfId="28358"/>
    <cellStyle name="计算 2 3 4 4 4 2" xfId="28359"/>
    <cellStyle name="检查单元格 2 10 2 2 5 2" xfId="28360"/>
    <cellStyle name="输出 2 10 9 2 8" xfId="28361"/>
    <cellStyle name="计算 2 3 4 4 5" xfId="28362"/>
    <cellStyle name="注释 2 13 6 2 2" xfId="28363"/>
    <cellStyle name="检查单元格 2 10 2 2 6" xfId="28364"/>
    <cellStyle name="计算 2 3 4 4 5 2" xfId="28365"/>
    <cellStyle name="计算 2 3 4 5" xfId="28366"/>
    <cellStyle name="输出 2 9 4 4 5 2" xfId="28367"/>
    <cellStyle name="计算 2 3 4 6" xfId="28368"/>
    <cellStyle name="计算 2 3 4 6 5" xfId="28369"/>
    <cellStyle name="注释 2 13 6 4 2" xfId="28370"/>
    <cellStyle name="检查单元格 2 10 2 4 6" xfId="28371"/>
    <cellStyle name="计算 2 3 4 6 5 2" xfId="28372"/>
    <cellStyle name="计算 2 3 4 6 6" xfId="28373"/>
    <cellStyle name="计算 2 4 2 6 2" xfId="28374"/>
    <cellStyle name="输入 2 2 5 3 2 2" xfId="28375"/>
    <cellStyle name="输出 2 2 6 7 2" xfId="28376"/>
    <cellStyle name="计算 2 3 6 12 2" xfId="28377"/>
    <cellStyle name="计算 2 3 4 7" xfId="28378"/>
    <cellStyle name="计算 2 3 4 7 5 2" xfId="28379"/>
    <cellStyle name="计算 2 4 2 6 3" xfId="28380"/>
    <cellStyle name="输出 2 2 6 7 3" xfId="28381"/>
    <cellStyle name="计算 2 3 4 8" xfId="28382"/>
    <cellStyle name="计算 2 3 5" xfId="28383"/>
    <cellStyle name="输入 2 8 7 4 5" xfId="28384"/>
    <cellStyle name="检查单元格 2 6 3 3 5 2" xfId="28385"/>
    <cellStyle name="计算 2 3 5 10" xfId="28386"/>
    <cellStyle name="计算 2 3 5 10 2" xfId="28387"/>
    <cellStyle name="计算 2 3 5 11" xfId="28388"/>
    <cellStyle name="计算 2 3 5 12" xfId="28389"/>
    <cellStyle name="计算 2 3 5 14" xfId="28390"/>
    <cellStyle name="输出 2 19 2" xfId="28391"/>
    <cellStyle name="计算 2 3 5 15" xfId="28392"/>
    <cellStyle name="输出 2 2 4 2 3 2" xfId="28393"/>
    <cellStyle name="计算 2 3 5 2" xfId="28394"/>
    <cellStyle name="输入 2 8 7 4 5 2" xfId="28395"/>
    <cellStyle name="输入 2 6 9 2 9" xfId="28396"/>
    <cellStyle name="输出 2 11 7 7 5" xfId="28397"/>
    <cellStyle name="计算 2 3 5 2 2" xfId="28398"/>
    <cellStyle name="输出 2 11 7 7 5 2" xfId="28399"/>
    <cellStyle name="计算 2 3 5 2 3" xfId="28400"/>
    <cellStyle name="计算 2 3 5 2 4 2" xfId="28401"/>
    <cellStyle name="输出 2 11 7 2 8" xfId="28402"/>
    <cellStyle name="计算 2 3 5 2 5" xfId="28403"/>
    <cellStyle name="计算 2 3 5 2 5 2" xfId="28404"/>
    <cellStyle name="计算 2 3 5 2 7" xfId="28405"/>
    <cellStyle name="计算 2 3 5 2 8" xfId="28406"/>
    <cellStyle name="输入 2 8 6 10" xfId="28407"/>
    <cellStyle name="计算 2 3 5 2 9" xfId="28408"/>
    <cellStyle name="计算 2 3 5 3 2" xfId="28409"/>
    <cellStyle name="计算 2 3 5 3 2 2" xfId="28410"/>
    <cellStyle name="输出 2 7 7 11 2" xfId="28411"/>
    <cellStyle name="输出 2 2 2 6" xfId="28412"/>
    <cellStyle name="计算 2 3 5 3 3" xfId="28413"/>
    <cellStyle name="计算 2 3 5 3 3 2" xfId="28414"/>
    <cellStyle name="输出 2 7 7 12 2" xfId="28415"/>
    <cellStyle name="输出 2 2 3 6" xfId="28416"/>
    <cellStyle name="计算 2 3 5 3 4 2" xfId="28417"/>
    <cellStyle name="输出 2 11 8 2 8" xfId="28418"/>
    <cellStyle name="输出 2 2 4 6" xfId="28419"/>
    <cellStyle name="计算 2 3 5 3 5" xfId="28420"/>
    <cellStyle name="计算 2 3 5 3 5 2" xfId="28421"/>
    <cellStyle name="输出 2 2 5 6" xfId="28422"/>
    <cellStyle name="计算 2 3 5 4" xfId="28423"/>
    <cellStyle name="计算 2 3 5 4 2" xfId="28424"/>
    <cellStyle name="检查单元格 2 10 3 2 3" xfId="28425"/>
    <cellStyle name="计算 2 5 10 4 6" xfId="28426"/>
    <cellStyle name="检查单元格 2 7 2 5 5" xfId="28427"/>
    <cellStyle name="计算 2 3 5 4 2 2" xfId="28428"/>
    <cellStyle name="检查单元格 2 10 3 2 3 2" xfId="28429"/>
    <cellStyle name="输出 2 3 2 6" xfId="28430"/>
    <cellStyle name="计算 2 3 5 4 3" xfId="28431"/>
    <cellStyle name="检查单元格 2 10 3 2 4" xfId="28432"/>
    <cellStyle name="检查单元格 2 3 7 4 2 2" xfId="28433"/>
    <cellStyle name="计算 2 5 10 5 6" xfId="28434"/>
    <cellStyle name="计算 2 3 5 4 3 2" xfId="28435"/>
    <cellStyle name="检查单元格 2 10 3 2 4 2" xfId="28436"/>
    <cellStyle name="输出 2 3 3 6" xfId="28437"/>
    <cellStyle name="输入 2 7 7 4 4 2" xfId="28438"/>
    <cellStyle name="计算 2 3 5 4 4" xfId="28439"/>
    <cellStyle name="检查单元格 2 10 3 2 5" xfId="28440"/>
    <cellStyle name="计算 2 3 5 4 5" xfId="28441"/>
    <cellStyle name="注释 2 13 7 2 2" xfId="28442"/>
    <cellStyle name="检查单元格 2 10 3 2 6" xfId="28443"/>
    <cellStyle name="计算 2 5 10 7 6" xfId="28444"/>
    <cellStyle name="计算 2 3 5 4 5 2" xfId="28445"/>
    <cellStyle name="输出 2 3 5 6" xfId="28446"/>
    <cellStyle name="输入 2 8 6 10 2" xfId="28447"/>
    <cellStyle name="计算 2 3 5 5" xfId="28448"/>
    <cellStyle name="计算 2 3 5 5 4 2" xfId="28449"/>
    <cellStyle name="注释 2 3 5 10" xfId="28450"/>
    <cellStyle name="检查单元格 2 10 3 3 5 2" xfId="28451"/>
    <cellStyle name="输出 2 4 4 6" xfId="28452"/>
    <cellStyle name="计算 2 3 5 6" xfId="28453"/>
    <cellStyle name="计算 2 3 5 6 4 2" xfId="28454"/>
    <cellStyle name="计算 2 9 10 8 2" xfId="28455"/>
    <cellStyle name="检查单元格 2 10 3 4 5 2" xfId="28456"/>
    <cellStyle name="输出 2 5 4 6" xfId="28457"/>
    <cellStyle name="计算 2 3 5 6 5" xfId="28458"/>
    <cellStyle name="计算 2 9 10 9" xfId="28459"/>
    <cellStyle name="注释 2 13 7 4 2" xfId="28460"/>
    <cellStyle name="检查单元格 2 10 3 4 6" xfId="28461"/>
    <cellStyle name="计算 2 3 5 6 5 2" xfId="28462"/>
    <cellStyle name="计算 2 9 10 9 2" xfId="28463"/>
    <cellStyle name="输出 2 5 5 6" xfId="28464"/>
    <cellStyle name="计算 2 3 5 6 6" xfId="28465"/>
    <cellStyle name="输入 2 2 4 6 3" xfId="28466"/>
    <cellStyle name="计算 2 4 3 4 2 2" xfId="28467"/>
    <cellStyle name="计算 2 3 5 7" xfId="28468"/>
    <cellStyle name="输出 2 2 7 5 2 2" xfId="28469"/>
    <cellStyle name="计算 2 4 2 7 2" xfId="28470"/>
    <cellStyle name="输入 2 2 5 3 3 2" xfId="28471"/>
    <cellStyle name="输出 2 2 6 8 2" xfId="28472"/>
    <cellStyle name="计算 2 3 5 7 4 2" xfId="28473"/>
    <cellStyle name="计算 2 9 11 8 2" xfId="28474"/>
    <cellStyle name="输出 2 6 4 6" xfId="28475"/>
    <cellStyle name="计算 2 3 5 7 5 2" xfId="28476"/>
    <cellStyle name="计算 2 9 11 9 2" xfId="28477"/>
    <cellStyle name="输出 2 6 5 6" xfId="28478"/>
    <cellStyle name="计算 2 4 2 7 3" xfId="28479"/>
    <cellStyle name="输出 2 10 6 2 2" xfId="28480"/>
    <cellStyle name="输出 2 2 6 8 3" xfId="28481"/>
    <cellStyle name="计算 2 3 5 8" xfId="28482"/>
    <cellStyle name="计算 2 3 5 8 4 2" xfId="28483"/>
    <cellStyle name="计算 2 3 6" xfId="28484"/>
    <cellStyle name="计算 2 6 10 4 2" xfId="28485"/>
    <cellStyle name="计算 2 4 2 4" xfId="28486"/>
    <cellStyle name="输出 2 2 6 5" xfId="28487"/>
    <cellStyle name="计算 2 3 6 10" xfId="28488"/>
    <cellStyle name="计算 2 4 2 5" xfId="28489"/>
    <cellStyle name="计算 2 9 3 10 2" xfId="28490"/>
    <cellStyle name="输出 2 2 6 6" xfId="28491"/>
    <cellStyle name="计算 2 3 6 11" xfId="28492"/>
    <cellStyle name="检查单元格 2 5 2 3 2 2" xfId="28493"/>
    <cellStyle name="输出 2 9 4 5 3 2" xfId="28494"/>
    <cellStyle name="计算 2 4 2 6" xfId="28495"/>
    <cellStyle name="输入 2 2 5 3 2" xfId="28496"/>
    <cellStyle name="输出 2 2 6 7" xfId="28497"/>
    <cellStyle name="输入 2 9 2 3 4 2" xfId="28498"/>
    <cellStyle name="计算 2 3 6 12" xfId="28499"/>
    <cellStyle name="计算 2 4 3 4 2" xfId="28500"/>
    <cellStyle name="计算 2 3 6 13" xfId="28501"/>
    <cellStyle name="输出 2 2 7 5 2" xfId="28502"/>
    <cellStyle name="计算 2 4 2 7" xfId="28503"/>
    <cellStyle name="输入 2 2 5 3 3" xfId="28504"/>
    <cellStyle name="输出 2 2 6 8" xfId="28505"/>
    <cellStyle name="计算 2 4 3 4 3" xfId="28506"/>
    <cellStyle name="计算 2 3 6 14" xfId="28507"/>
    <cellStyle name="检查单元格 2 3 8 2 2 2" xfId="28508"/>
    <cellStyle name="输出 2 2 7 5 3" xfId="28509"/>
    <cellStyle name="计算 2 4 2 8" xfId="28510"/>
    <cellStyle name="注释 2 4 4 3 3 2" xfId="28511"/>
    <cellStyle name="输入 2 2 5 3 4" xfId="28512"/>
    <cellStyle name="输出 2 2 6 9" xfId="28513"/>
    <cellStyle name="输入 2 7 8 2 4 2" xfId="28514"/>
    <cellStyle name="计算 2 4 3 4 4" xfId="28515"/>
    <cellStyle name="计算 2 3 6 15" xfId="28516"/>
    <cellStyle name="输出 2 2 7 5 4" xfId="28517"/>
    <cellStyle name="输入 2 2 5 3 5" xfId="28518"/>
    <cellStyle name="计算 2 7 10 10 2" xfId="28519"/>
    <cellStyle name="计算 2 4 2 9" xfId="28520"/>
    <cellStyle name="计算 2 9 6 3 3 2" xfId="28521"/>
    <cellStyle name="计算 2 3 6 2" xfId="28522"/>
    <cellStyle name="计算 2 6 10 4 2 2" xfId="28523"/>
    <cellStyle name="输出 2 11 7 8 5" xfId="28524"/>
    <cellStyle name="计算 2 3 6 2 2" xfId="28525"/>
    <cellStyle name="计算 2 3 6 2 2 2" xfId="28526"/>
    <cellStyle name="计算 2 3 6 2 3" xfId="28527"/>
    <cellStyle name="计算 2 3 6 2 4 2" xfId="28528"/>
    <cellStyle name="输出 2 12 7 2 8" xfId="28529"/>
    <cellStyle name="计算 2 3 6 2 5" xfId="28530"/>
    <cellStyle name="计算 2 3 6 2 5 2" xfId="28531"/>
    <cellStyle name="计算 2 4 3 10 2" xfId="28532"/>
    <cellStyle name="计算 2 3 6 2 7" xfId="28533"/>
    <cellStyle name="计算 2 3 6 2 8" xfId="28534"/>
    <cellStyle name="计算 2 3 6 2 9" xfId="28535"/>
    <cellStyle name="计算 2 3 6 3 2" xfId="28536"/>
    <cellStyle name="计算 2 3 6 3 2 2" xfId="28537"/>
    <cellStyle name="计算 2 3 6 3 3" xfId="28538"/>
    <cellStyle name="计算 2 3 6 3 3 2" xfId="28539"/>
    <cellStyle name="计算 2 3 6 3 4 2" xfId="28540"/>
    <cellStyle name="输出 2 12 8 2 8" xfId="28541"/>
    <cellStyle name="计算 2 3 6 3 5" xfId="28542"/>
    <cellStyle name="计算 2 3 6 3 5 2" xfId="28543"/>
    <cellStyle name="计算 2 3 6 4" xfId="28544"/>
    <cellStyle name="输入 2 8 6 11 2" xfId="28545"/>
    <cellStyle name="计算 2 3 6 5" xfId="28546"/>
    <cellStyle name="计算 2 3 6 5 4 2" xfId="28547"/>
    <cellStyle name="注释 2 8 5 10" xfId="28548"/>
    <cellStyle name="检查单元格 2 10 4 3 5 2" xfId="28549"/>
    <cellStyle name="输出 2 4 10 2 8" xfId="28550"/>
    <cellStyle name="计算 2 4 11 16" xfId="28551"/>
    <cellStyle name="计算 2 3 6 5 5 2" xfId="28552"/>
    <cellStyle name="计算 2 3 6 6" xfId="28553"/>
    <cellStyle name="计算 2 3 6 6 4 2" xfId="28554"/>
    <cellStyle name="检查单元格 2 10 4 4 5 2" xfId="28555"/>
    <cellStyle name="计算 2 3 6 6 5" xfId="28556"/>
    <cellStyle name="注释 2 13 8 4 2" xfId="28557"/>
    <cellStyle name="输入 2 9 3 11 2" xfId="28558"/>
    <cellStyle name="检查单元格 2 10 4 4 6" xfId="28559"/>
    <cellStyle name="计算 2 3 6 6 5 2" xfId="28560"/>
    <cellStyle name="计算 2 3 6 6 6" xfId="28561"/>
    <cellStyle name="输入 2 2 4 7 3" xfId="28562"/>
    <cellStyle name="计算 2 4 3 4 3 2" xfId="28563"/>
    <cellStyle name="计算 2 3 6 7" xfId="28564"/>
    <cellStyle name="输出 2 2 7 5 3 2" xfId="28565"/>
    <cellStyle name="计算 2 4 2 8 2" xfId="28566"/>
    <cellStyle name="输入 2 2 5 3 4 2" xfId="28567"/>
    <cellStyle name="输入 2 2 5 10" xfId="28568"/>
    <cellStyle name="输出 2 2 6 9 2" xfId="28569"/>
    <cellStyle name="计算 2 3 6 7 4 2" xfId="28570"/>
    <cellStyle name="计算 2 3 6 7 5 2" xfId="28571"/>
    <cellStyle name="计算 2 4 2 8 3" xfId="28572"/>
    <cellStyle name="输入 2 2 5 11" xfId="28573"/>
    <cellStyle name="输出 2 10 6 3 2" xfId="28574"/>
    <cellStyle name="计算 2 3 6 8" xfId="28575"/>
    <cellStyle name="计算 2 4 7 4 2" xfId="28576"/>
    <cellStyle name="计算 2 3 7 10 2" xfId="28577"/>
    <cellStyle name="计算 2 8 2 7" xfId="28578"/>
    <cellStyle name="输入 2 2 9 3 3" xfId="28579"/>
    <cellStyle name="输出 2 6 6 8" xfId="28580"/>
    <cellStyle name="计算 2 3 7 2" xfId="28581"/>
    <cellStyle name="计算 2 6 10 4 3 2" xfId="28582"/>
    <cellStyle name="计算 2 3 7 2 2" xfId="28583"/>
    <cellStyle name="计算 2 3 7 2 3" xfId="28584"/>
    <cellStyle name="计算 2 3 7 2 5" xfId="28585"/>
    <cellStyle name="计算 2 3 7 2 5 2" xfId="28586"/>
    <cellStyle name="注释 2 12 7 2 3 2" xfId="28587"/>
    <cellStyle name="计算 2 3 7 2 7" xfId="28588"/>
    <cellStyle name="计算 2 3 7 2 8" xfId="28589"/>
    <cellStyle name="计算 2 3 7 2 9" xfId="28590"/>
    <cellStyle name="计算 2 3 7 3 2" xfId="28591"/>
    <cellStyle name="计算 2 3 7 3 3" xfId="28592"/>
    <cellStyle name="计算 2 3 7 3 5" xfId="28593"/>
    <cellStyle name="计算 2 3 7 4 3" xfId="28594"/>
    <cellStyle name="计算 2 8 14" xfId="28595"/>
    <cellStyle name="检查单元格 2 10 5 2 4" xfId="28596"/>
    <cellStyle name="输入 2 7 7 6 4 2" xfId="28597"/>
    <cellStyle name="计算 2 3 7 4 4" xfId="28598"/>
    <cellStyle name="计算 2 8 15" xfId="28599"/>
    <cellStyle name="计算 2 8 20" xfId="28600"/>
    <cellStyle name="检查单元格 2 10 5 2 5" xfId="28601"/>
    <cellStyle name="计算 2 3 7 4 5" xfId="28602"/>
    <cellStyle name="计算 2 8 16" xfId="28603"/>
    <cellStyle name="计算 2 8 21" xfId="28604"/>
    <cellStyle name="检查单元格 2 10 5 2 6" xfId="28605"/>
    <cellStyle name="计算 2 3 7 4 5 2" xfId="28606"/>
    <cellStyle name="计算 2 8 16 2" xfId="28607"/>
    <cellStyle name="计算 2 8 21 2" xfId="28608"/>
    <cellStyle name="计算 2 5 11 16" xfId="28609"/>
    <cellStyle name="计算 2 3 7 5 5 2" xfId="28610"/>
    <cellStyle name="计算 2 3 7 6 4 2" xfId="28611"/>
    <cellStyle name="检查单元格 2 10 5 4 5 2" xfId="28612"/>
    <cellStyle name="计算 2 3 7 6 5" xfId="28613"/>
    <cellStyle name="检查单元格 2 10 5 4 6" xfId="28614"/>
    <cellStyle name="计算 2 3 7 6 5 2" xfId="28615"/>
    <cellStyle name="计算 2 3 7 6 6" xfId="28616"/>
    <cellStyle name="计算 2 3 7 7 4 2" xfId="28617"/>
    <cellStyle name="计算 2 3 7 7 5 2" xfId="28618"/>
    <cellStyle name="计算 2 3 8" xfId="28619"/>
    <cellStyle name="计算 2 6 10 4 4" xfId="28620"/>
    <cellStyle name="输入 2 5 9 4 5" xfId="28621"/>
    <cellStyle name="计算 2 3 8 13" xfId="28622"/>
    <cellStyle name="注释 2 10 15 4 2" xfId="28623"/>
    <cellStyle name="计算 2 9 9 7 4 2" xfId="28624"/>
    <cellStyle name="输入 2 5 9 4 6" xfId="28625"/>
    <cellStyle name="计算 2 3 8 14" xfId="28626"/>
    <cellStyle name="输出 2 10 7 9 2" xfId="28627"/>
    <cellStyle name="计算 2 3 8 15" xfId="28628"/>
    <cellStyle name="检查单元格 2 9 4 5 2" xfId="28629"/>
    <cellStyle name="检查单元格 2 4 6 4 5 2" xfId="28630"/>
    <cellStyle name="计算 2 3 8 16" xfId="28631"/>
    <cellStyle name="检查单元格 2 9 4 5 3" xfId="28632"/>
    <cellStyle name="计算 2 3 8 2" xfId="28633"/>
    <cellStyle name="计算 2 6 10 4 4 2" xfId="28634"/>
    <cellStyle name="计算 2 3 8 2 2" xfId="28635"/>
    <cellStyle name="计算 2 3 8 2 3" xfId="28636"/>
    <cellStyle name="计算 2 3 8 2 5" xfId="28637"/>
    <cellStyle name="计算 2 3 8 2 8" xfId="28638"/>
    <cellStyle name="计算 2 3 8 2 9" xfId="28639"/>
    <cellStyle name="计算 2 3 8 3 2" xfId="28640"/>
    <cellStyle name="计算 2 3 8 3 3" xfId="28641"/>
    <cellStyle name="计算 2 3 8 3 5" xfId="28642"/>
    <cellStyle name="计算 2 3 8 4 2" xfId="28643"/>
    <cellStyle name="检查单元格 2 10 6 2 3" xfId="28644"/>
    <cellStyle name="计算 2 3 8 4 3" xfId="28645"/>
    <cellStyle name="检查单元格 2 10 6 2 4" xfId="28646"/>
    <cellStyle name="输入 2 7 7 7 4 2" xfId="28647"/>
    <cellStyle name="计算 2 3 8 4 4" xfId="28648"/>
    <cellStyle name="检查单元格 2 10 6 2 5" xfId="28649"/>
    <cellStyle name="计算 2 3 8 4 5" xfId="28650"/>
    <cellStyle name="检查单元格 2 10 6 2 6" xfId="28651"/>
    <cellStyle name="计算 2 3 8 5" xfId="28652"/>
    <cellStyle name="计算 2 3 8 6" xfId="28653"/>
    <cellStyle name="计算 2 3 9 3" xfId="28654"/>
    <cellStyle name="计算 2 3 8 6 4 2" xfId="28655"/>
    <cellStyle name="检查单元格 2 10 6 4 5 2" xfId="28656"/>
    <cellStyle name="计算 2 3 8 6 5" xfId="28657"/>
    <cellStyle name="检查单元格 2 10 6 4 6" xfId="28658"/>
    <cellStyle name="输入 2 6 5 11 2" xfId="28659"/>
    <cellStyle name="计算 2 3 8 6 6" xfId="28660"/>
    <cellStyle name="计算 2 4 9 3" xfId="28661"/>
    <cellStyle name="计算 2 3 8 7 4 2" xfId="28662"/>
    <cellStyle name="计算 2 3 8 7 5" xfId="28663"/>
    <cellStyle name="输入 2 6 5 12 2" xfId="28664"/>
    <cellStyle name="计算 2 3 8 7 6" xfId="28665"/>
    <cellStyle name="计算 2 3 8 8 4 2" xfId="28666"/>
    <cellStyle name="计算 2 3 8 8 5" xfId="28667"/>
    <cellStyle name="计算 2 3 9" xfId="28668"/>
    <cellStyle name="计算 2 6 10 4 5" xfId="28669"/>
    <cellStyle name="计算 2 3 9 10 2" xfId="28670"/>
    <cellStyle name="检查单元格 2 10 8 5" xfId="28671"/>
    <cellStyle name="计算 2 3 9 11" xfId="28672"/>
    <cellStyle name="计算 2 3 9 11 2" xfId="28673"/>
    <cellStyle name="检查单元格 2 10 9 5" xfId="28674"/>
    <cellStyle name="输入 2 10 11 6 4 2" xfId="28675"/>
    <cellStyle name="计算 2 3 9 12" xfId="28676"/>
    <cellStyle name="计算 2 3 9 13" xfId="28677"/>
    <cellStyle name="计算 2 3 9 14" xfId="28678"/>
    <cellStyle name="计算 2 3 9 15" xfId="28679"/>
    <cellStyle name="计算 2 3 9 2" xfId="28680"/>
    <cellStyle name="计算 2 6 10 4 5 2" xfId="28681"/>
    <cellStyle name="输入 2 10 10 15" xfId="28682"/>
    <cellStyle name="计算 2 3 9 2 2" xfId="28683"/>
    <cellStyle name="输入 2 10 10 16" xfId="28684"/>
    <cellStyle name="计算 2 3 9 2 3" xfId="28685"/>
    <cellStyle name="注释 2 6 2 3 4" xfId="28686"/>
    <cellStyle name="注释 2 12 7 4 3 2" xfId="28687"/>
    <cellStyle name="计算 2 3 9 2 7" xfId="28688"/>
    <cellStyle name="注释 2 6 2 3 5" xfId="28689"/>
    <cellStyle name="计算 2 3 9 2 8" xfId="28690"/>
    <cellStyle name="注释 2 6 2 3 6" xfId="28691"/>
    <cellStyle name="计算 2 3 9 2 9" xfId="28692"/>
    <cellStyle name="计算 2 3 9 3 2" xfId="28693"/>
    <cellStyle name="计算 2 3 9 3 3" xfId="28694"/>
    <cellStyle name="计算 2 3 9 4 2" xfId="28695"/>
    <cellStyle name="检查单元格 2 10 7 2 3" xfId="28696"/>
    <cellStyle name="计算 2 3 9 4 3" xfId="28697"/>
    <cellStyle name="检查单元格 2 10 7 2 4" xfId="28698"/>
    <cellStyle name="输入 2 7 7 8 4 2" xfId="28699"/>
    <cellStyle name="计算 2 3 9 4 4" xfId="28700"/>
    <cellStyle name="检查单元格 2 10 7 2 5" xfId="28701"/>
    <cellStyle name="注释 2 6 2 5 2" xfId="28702"/>
    <cellStyle name="计算 2 3 9 4 5" xfId="28703"/>
    <cellStyle name="输入 2 9 10 9 2" xfId="28704"/>
    <cellStyle name="检查单元格 2 10 7 2 6" xfId="28705"/>
    <cellStyle name="计算 2 3 9 5" xfId="28706"/>
    <cellStyle name="计算 2 7 6 2 2" xfId="28707"/>
    <cellStyle name="计算 2 3 9 6" xfId="28708"/>
    <cellStyle name="计算 2 7 6 2 3" xfId="28709"/>
    <cellStyle name="注释 2 6 2 7 2" xfId="28710"/>
    <cellStyle name="计算 2 3 9 6 5" xfId="28711"/>
    <cellStyle name="检查单元格 2 10 7 4 6" xfId="28712"/>
    <cellStyle name="注释 2 6 2 7 3" xfId="28713"/>
    <cellStyle name="计算 2 3 9 6 6" xfId="28714"/>
    <cellStyle name="注释 2 6 2 8 2" xfId="28715"/>
    <cellStyle name="计算 2 3 9 7 5" xfId="28716"/>
    <cellStyle name="注释 2 6 2 8 3" xfId="28717"/>
    <cellStyle name="计算 2 3 9 7 6" xfId="28718"/>
    <cellStyle name="注释 2 8 5 2 2 2" xfId="28719"/>
    <cellStyle name="注释 2 6 2 9 2" xfId="28720"/>
    <cellStyle name="计算 2 3 9 8 5" xfId="28721"/>
    <cellStyle name="计算 2 4 10" xfId="28722"/>
    <cellStyle name="注释 2 8 13 4" xfId="28723"/>
    <cellStyle name="计算 2 4 10 10" xfId="28724"/>
    <cellStyle name="计算 2 6 6 3 3" xfId="28725"/>
    <cellStyle name="注释 2 8 13 4 2" xfId="28726"/>
    <cellStyle name="计算 2 4 10 10 2" xfId="28727"/>
    <cellStyle name="计算 2 6 6 3 3 2" xfId="28728"/>
    <cellStyle name="注释 2 8 13 5 2" xfId="28729"/>
    <cellStyle name="计算 2 4 10 11 2" xfId="28730"/>
    <cellStyle name="输出 2 9 10 2" xfId="28731"/>
    <cellStyle name="计算 2 6 6 3 4 2" xfId="28732"/>
    <cellStyle name="注释 2 8 13 6" xfId="28733"/>
    <cellStyle name="计算 2 4 10 12" xfId="28734"/>
    <cellStyle name="注释 2 12 7 11 2" xfId="28735"/>
    <cellStyle name="输出 2 9 11" xfId="28736"/>
    <cellStyle name="计算 2 6 6 3 5" xfId="28737"/>
    <cellStyle name="注释 2 5 8 12" xfId="28738"/>
    <cellStyle name="输入 2 10 9 2 6" xfId="28739"/>
    <cellStyle name="计算 2 4 10 12 2" xfId="28740"/>
    <cellStyle name="输出 2 9 11 2" xfId="28741"/>
    <cellStyle name="计算 2 6 6 3 5 2" xfId="28742"/>
    <cellStyle name="输出 2 9 12" xfId="28743"/>
    <cellStyle name="计算 2 6 6 3 6" xfId="28744"/>
    <cellStyle name="计算 2 4 10 13" xfId="28745"/>
    <cellStyle name="输出 2 5 11 8 3 2" xfId="28746"/>
    <cellStyle name="计算 2 4 10 14" xfId="28747"/>
    <cellStyle name="输出 2 8 7 5 4 2" xfId="28748"/>
    <cellStyle name="计算 2 4 10 15" xfId="28749"/>
    <cellStyle name="注释 2 9 3 3 6" xfId="28750"/>
    <cellStyle name="计算 2 4 10 2" xfId="28751"/>
    <cellStyle name="注释 2 5 6 4" xfId="28752"/>
    <cellStyle name="计算 2 4 10 2 2" xfId="28753"/>
    <cellStyle name="注释 2 5 6 4 2" xfId="28754"/>
    <cellStyle name="计算 2 4 10 2 2 2" xfId="28755"/>
    <cellStyle name="注释 2 5 6 5" xfId="28756"/>
    <cellStyle name="注释 2 2 6 4 2 2" xfId="28757"/>
    <cellStyle name="计算 2 4 10 2 3" xfId="28758"/>
    <cellStyle name="注释 2 4 20 2" xfId="28759"/>
    <cellStyle name="注释 2 4 15 2" xfId="28760"/>
    <cellStyle name="检查单元格 2 2 2 3 2" xfId="28761"/>
    <cellStyle name="注释 2 5 6 5 2" xfId="28762"/>
    <cellStyle name="计算 2 4 10 2 3 2" xfId="28763"/>
    <cellStyle name="注释 2 4 15 2 2" xfId="28764"/>
    <cellStyle name="检查单元格 2 2 2 3 2 2" xfId="28765"/>
    <cellStyle name="注释 2 5 6 6 2" xfId="28766"/>
    <cellStyle name="计算 2 4 10 2 4 2" xfId="28767"/>
    <cellStyle name="注释 2 4 15 3 2" xfId="28768"/>
    <cellStyle name="检查单元格 2 2 2 3 3 2" xfId="28769"/>
    <cellStyle name="注释 2 5 6 7" xfId="28770"/>
    <cellStyle name="计算 2 4 10 2 5" xfId="28771"/>
    <cellStyle name="注释 2 4 15 4" xfId="28772"/>
    <cellStyle name="检查单元格 2 2 2 3 4" xfId="28773"/>
    <cellStyle name="注释 2 5 6 7 2" xfId="28774"/>
    <cellStyle name="计算 2 4 10 2 5 2" xfId="28775"/>
    <cellStyle name="注释 2 4 15 4 2" xfId="28776"/>
    <cellStyle name="检查单元格 2 2 2 3 4 2" xfId="28777"/>
    <cellStyle name="注释 2 5 6 8" xfId="28778"/>
    <cellStyle name="计算 2 4 10 2 6" xfId="28779"/>
    <cellStyle name="注释 2 4 15 5" xfId="28780"/>
    <cellStyle name="检查单元格 2 2 2 3 5" xfId="28781"/>
    <cellStyle name="注释 2 8 4 6 2" xfId="28782"/>
    <cellStyle name="注释 2 5 6 9" xfId="28783"/>
    <cellStyle name="计算 2 4 10 2 7" xfId="28784"/>
    <cellStyle name="注释 2 4 15 6" xfId="28785"/>
    <cellStyle name="输出 2 9 2 2" xfId="28786"/>
    <cellStyle name="检查单元格 2 2 2 3 6" xfId="28787"/>
    <cellStyle name="注释 2 8 4 6 3" xfId="28788"/>
    <cellStyle name="计算 2 4 10 2 8" xfId="28789"/>
    <cellStyle name="注释 2 8 4 6 4" xfId="28790"/>
    <cellStyle name="计算 2 4 10 2 9" xfId="28791"/>
    <cellStyle name="注释 2 3 7 7 3 2" xfId="28792"/>
    <cellStyle name="计算 2 4 10 3" xfId="28793"/>
    <cellStyle name="注释 2 5 7 4" xfId="28794"/>
    <cellStyle name="计算 2 4 10 3 2" xfId="28795"/>
    <cellStyle name="注释 2 5 7 4 2" xfId="28796"/>
    <cellStyle name="计算 2 4 10 3 2 2" xfId="28797"/>
    <cellStyle name="输出 2 4 2 14" xfId="28798"/>
    <cellStyle name="注释 2 5 7 5" xfId="28799"/>
    <cellStyle name="注释 2 2 6 4 3 2" xfId="28800"/>
    <cellStyle name="计算 2 4 10 3 3" xfId="28801"/>
    <cellStyle name="注释 2 4 21 2" xfId="28802"/>
    <cellStyle name="注释 2 4 16 2" xfId="28803"/>
    <cellStyle name="检查单元格 2 2 2 4 2" xfId="28804"/>
    <cellStyle name="注释 2 5 7 5 2" xfId="28805"/>
    <cellStyle name="计算 2 4 10 3 3 2" xfId="28806"/>
    <cellStyle name="注释 2 4 16 2 2" xfId="28807"/>
    <cellStyle name="检查单元格 2 2 2 4 2 2" xfId="28808"/>
    <cellStyle name="注释 2 5 7 6" xfId="28809"/>
    <cellStyle name="计算 2 4 10 3 4" xfId="28810"/>
    <cellStyle name="注释 2 4 16 3" xfId="28811"/>
    <cellStyle name="计算 2 7 8 4 3 2" xfId="28812"/>
    <cellStyle name="检查单元格 2 2 2 4 3" xfId="28813"/>
    <cellStyle name="注释 2 5 7 7" xfId="28814"/>
    <cellStyle name="计算 2 4 10 3 5" xfId="28815"/>
    <cellStyle name="注释 2 4 16 4" xfId="28816"/>
    <cellStyle name="检查单元格 2 2 2 4 4" xfId="28817"/>
    <cellStyle name="注释 2 5 7 8" xfId="28818"/>
    <cellStyle name="计算 2 4 10 3 6" xfId="28819"/>
    <cellStyle name="注释 2 4 16 5" xfId="28820"/>
    <cellStyle name="检查单元格 2 2 2 4 5" xfId="28821"/>
    <cellStyle name="计算 2 4 10 4" xfId="28822"/>
    <cellStyle name="输入 2 11 2 7 6" xfId="28823"/>
    <cellStyle name="计算 2 8 9 7 3 2" xfId="28824"/>
    <cellStyle name="注释 2 5 8 4" xfId="28825"/>
    <cellStyle name="计算 2 4 10 4 2" xfId="28826"/>
    <cellStyle name="注释 2 5 8 4 2" xfId="28827"/>
    <cellStyle name="计算 2 4 10 4 2 2" xfId="28828"/>
    <cellStyle name="输出 2 4 7 14" xfId="28829"/>
    <cellStyle name="注释 2 5 8 5" xfId="28830"/>
    <cellStyle name="注释 2 2 6 4 4 2" xfId="28831"/>
    <cellStyle name="计算 2 4 10 4 3" xfId="28832"/>
    <cellStyle name="注释 2 4 22 2" xfId="28833"/>
    <cellStyle name="注释 2 4 17 2" xfId="28834"/>
    <cellStyle name="检查单元格 2 2 2 5 2" xfId="28835"/>
    <cellStyle name="注释 2 5 8 5 2" xfId="28836"/>
    <cellStyle name="计算 2 4 10 4 3 2" xfId="28837"/>
    <cellStyle name="注释 2 4 17 2 2" xfId="28838"/>
    <cellStyle name="检查单元格 2 2 2 5 2 2" xfId="28839"/>
    <cellStyle name="注释 2 5 8 6" xfId="28840"/>
    <cellStyle name="计算 2 4 10 4 4" xfId="28841"/>
    <cellStyle name="注释 2 4 17 3" xfId="28842"/>
    <cellStyle name="计算 2 7 8 4 4 2" xfId="28843"/>
    <cellStyle name="检查单元格 2 2 2 5 3" xfId="28844"/>
    <cellStyle name="注释 2 5 8 8" xfId="28845"/>
    <cellStyle name="输入 2 2 11 7 2 2" xfId="28846"/>
    <cellStyle name="计算 2 4 10 4 6" xfId="28847"/>
    <cellStyle name="注释 2 4 17 5" xfId="28848"/>
    <cellStyle name="检查单元格 2 2 2 5 5" xfId="28849"/>
    <cellStyle name="计算 2 4 10 5" xfId="28850"/>
    <cellStyle name="注释 2 5 9 4" xfId="28851"/>
    <cellStyle name="输入 2 9 10 2 4" xfId="28852"/>
    <cellStyle name="计算 2 4 10 5 2" xfId="28853"/>
    <cellStyle name="注释 2 5 9 4 2" xfId="28854"/>
    <cellStyle name="输入 2 9 10 2 4 2" xfId="28855"/>
    <cellStyle name="计算 2 4 10 5 2 2" xfId="28856"/>
    <cellStyle name="注释 2 5 9 5" xfId="28857"/>
    <cellStyle name="注释 2 2 6 4 5 2" xfId="28858"/>
    <cellStyle name="输入 2 9 10 2 5" xfId="28859"/>
    <cellStyle name="计算 2 4 10 5 3" xfId="28860"/>
    <cellStyle name="注释 2 4 23 2" xfId="28861"/>
    <cellStyle name="注释 2 4 18 2" xfId="28862"/>
    <cellStyle name="检查单元格 2 2 2 6 2" xfId="28863"/>
    <cellStyle name="注释 2 7 10 2 3" xfId="28864"/>
    <cellStyle name="注释 2 5 9 5 2" xfId="28865"/>
    <cellStyle name="输入 2 9 10 2 5 2" xfId="28866"/>
    <cellStyle name="计算 2 4 10 5 3 2" xfId="28867"/>
    <cellStyle name="注释 2 5 9 6" xfId="28868"/>
    <cellStyle name="注释 2 5 10 2 2 2" xfId="28869"/>
    <cellStyle name="输入 2 9 10 2 6" xfId="28870"/>
    <cellStyle name="计算 2 4 10 5 4" xfId="28871"/>
    <cellStyle name="注释 2 4 18 3" xfId="28872"/>
    <cellStyle name="计算 2 7 8 4 5 2" xfId="28873"/>
    <cellStyle name="注释 2 7 10 3 3" xfId="28874"/>
    <cellStyle name="注释 2 5 9 6 2" xfId="28875"/>
    <cellStyle name="计算 2 4 10 5 4 2" xfId="28876"/>
    <cellStyle name="注释 2 7 10 4 3" xfId="28877"/>
    <cellStyle name="注释 2 5 9 7 2" xfId="28878"/>
    <cellStyle name="计算 2 4 10 5 5 2" xfId="28879"/>
    <cellStyle name="注释 2 5 9 8" xfId="28880"/>
    <cellStyle name="输入 2 9 10 2 8" xfId="28881"/>
    <cellStyle name="输入 2 2 11 7 3 2" xfId="28882"/>
    <cellStyle name="计算 2 4 10 5 6" xfId="28883"/>
    <cellStyle name="输入 2 9 10 3 4 2" xfId="28884"/>
    <cellStyle name="计算 2 4 10 6 2 2" xfId="28885"/>
    <cellStyle name="输入 2 9 10 3 5" xfId="28886"/>
    <cellStyle name="计算 2 4 10 6 3" xfId="28887"/>
    <cellStyle name="注释 2 4 19 2" xfId="28888"/>
    <cellStyle name="检查单元格 2 2 2 7 2" xfId="28889"/>
    <cellStyle name="注释 2 7 11 2 3" xfId="28890"/>
    <cellStyle name="输入 2 9 10 3 5 2" xfId="28891"/>
    <cellStyle name="计算 2 4 10 6 3 2" xfId="28892"/>
    <cellStyle name="注释 2 5 10 2 3 2" xfId="28893"/>
    <cellStyle name="输入 2 9 10 3 6" xfId="28894"/>
    <cellStyle name="计算 2 4 10 6 4" xfId="28895"/>
    <cellStyle name="注释 2 7 11 3 3" xfId="28896"/>
    <cellStyle name="计算 2 4 10 6 4 2" xfId="28897"/>
    <cellStyle name="注释 2 7 11 4 3" xfId="28898"/>
    <cellStyle name="计算 2 4 10 6 5 2" xfId="28899"/>
    <cellStyle name="输入 2 9 10 4 4 2" xfId="28900"/>
    <cellStyle name="计算 2 4 10 7 2 2" xfId="28901"/>
    <cellStyle name="输入 2 9 10 4 5" xfId="28902"/>
    <cellStyle name="计算 2 4 10 7 3" xfId="28903"/>
    <cellStyle name="检查单元格 2 2 2 8 2" xfId="28904"/>
    <cellStyle name="输入 2 9 10 4 5 2" xfId="28905"/>
    <cellStyle name="计算 2 4 10 7 3 2" xfId="28906"/>
    <cellStyle name="注释 2 5 10 2 4 2" xfId="28907"/>
    <cellStyle name="输入 2 9 10 4 6" xfId="28908"/>
    <cellStyle name="计算 2 4 10 7 4" xfId="28909"/>
    <cellStyle name="计算 2 4 10 7 4 2" xfId="28910"/>
    <cellStyle name="计算 2 4 10 7 5 2" xfId="28911"/>
    <cellStyle name="输入 2 9 10 5 5 2" xfId="28912"/>
    <cellStyle name="计算 2 4 10 8 3 2" xfId="28913"/>
    <cellStyle name="计算 2 4 11 14" xfId="28914"/>
    <cellStyle name="输出 2 4 10 3 6" xfId="28915"/>
    <cellStyle name="计算 2 4 11 15" xfId="28916"/>
    <cellStyle name="注释 2 6 6 4" xfId="28917"/>
    <cellStyle name="计算 2 4 11 2 2" xfId="28918"/>
    <cellStyle name="注释 2 6 6 4 2" xfId="28919"/>
    <cellStyle name="计算 2 4 11 2 2 2" xfId="28920"/>
    <cellStyle name="注释 2 6 6 5" xfId="28921"/>
    <cellStyle name="注释 2 2 6 5 2 2" xfId="28922"/>
    <cellStyle name="计算 2 4 11 2 3" xfId="28923"/>
    <cellStyle name="检查单元格 2 2 3 3 2" xfId="28924"/>
    <cellStyle name="检查单元格 2 4 10 3 2" xfId="28925"/>
    <cellStyle name="注释 2 6 6 5 2" xfId="28926"/>
    <cellStyle name="计算 2 4 11 2 3 2" xfId="28927"/>
    <cellStyle name="检查单元格 2 2 3 3 2 2" xfId="28928"/>
    <cellStyle name="注释 2 6 6 6 2" xfId="28929"/>
    <cellStyle name="计算 2 4 11 2 4 2" xfId="28930"/>
    <cellStyle name="检查单元格 2 2 3 3 3 2" xfId="28931"/>
    <cellStyle name="注释 2 6 6 7" xfId="28932"/>
    <cellStyle name="计算 2 4 11 2 5" xfId="28933"/>
    <cellStyle name="检查单元格 2 2 3 3 4" xfId="28934"/>
    <cellStyle name="注释 2 6 6 7 2" xfId="28935"/>
    <cellStyle name="计算 2 4 11 2 5 2" xfId="28936"/>
    <cellStyle name="检查单元格 2 2 3 3 4 2" xfId="28937"/>
    <cellStyle name="注释 2 6 6 8" xfId="28938"/>
    <cellStyle name="计算 2 4 11 2 6" xfId="28939"/>
    <cellStyle name="检查单元格 2 2 3 3 5" xfId="28940"/>
    <cellStyle name="注释 2 3 7 7 4 2" xfId="28941"/>
    <cellStyle name="计算 2 4 11 3" xfId="28942"/>
    <cellStyle name="注释 2 6 7 5 2" xfId="28943"/>
    <cellStyle name="计算 2 4 11 3 3 2" xfId="28944"/>
    <cellStyle name="检查单元格 2 2 3 4 2 2" xfId="28945"/>
    <cellStyle name="注释 2 6 7 7 2" xfId="28946"/>
    <cellStyle name="计算 2 4 11 3 5 2" xfId="28947"/>
    <cellStyle name="检查单元格 2 2 3 4 4 2" xfId="28948"/>
    <cellStyle name="计算 2 4 11 4" xfId="28949"/>
    <cellStyle name="计算 2 8 9 7 4 2" xfId="28950"/>
    <cellStyle name="注释 2 6 8 4" xfId="28951"/>
    <cellStyle name="计算 2 4 11 4 2" xfId="28952"/>
    <cellStyle name="注释 2 6 8 4 2" xfId="28953"/>
    <cellStyle name="输入 2 5 14" xfId="28954"/>
    <cellStyle name="计算 2 4 11 4 2 2" xfId="28955"/>
    <cellStyle name="注释 2 6 8 5" xfId="28956"/>
    <cellStyle name="注释 2 2 6 5 4 2" xfId="28957"/>
    <cellStyle name="计算 2 4 11 4 3" xfId="28958"/>
    <cellStyle name="检查单元格 2 2 3 5 2" xfId="28959"/>
    <cellStyle name="检查单元格 2 4 10 5 2" xfId="28960"/>
    <cellStyle name="注释 2 6 8 5 2" xfId="28961"/>
    <cellStyle name="计算 2 4 11 4 3 2" xfId="28962"/>
    <cellStyle name="检查单元格 2 2 3 5 2 2" xfId="28963"/>
    <cellStyle name="注释 2 6 8 6" xfId="28964"/>
    <cellStyle name="计算 2 4 11 4 4" xfId="28965"/>
    <cellStyle name="计算 2 7 8 5 4 2" xfId="28966"/>
    <cellStyle name="检查单元格 2 2 3 5 3" xfId="28967"/>
    <cellStyle name="注释 2 6 8 8" xfId="28968"/>
    <cellStyle name="输入 2 2 11 8 2 2" xfId="28969"/>
    <cellStyle name="计算 2 4 11 4 6" xfId="28970"/>
    <cellStyle name="检查单元格 2 2 3 5 5" xfId="28971"/>
    <cellStyle name="计算 2 4 11 5" xfId="28972"/>
    <cellStyle name="注释 2 6 9 4" xfId="28973"/>
    <cellStyle name="输入 2 9 11 2 4" xfId="28974"/>
    <cellStyle name="计算 2 4 11 5 2" xfId="28975"/>
    <cellStyle name="注释 2 6 9 4 2" xfId="28976"/>
    <cellStyle name="输入 2 9 11 2 4 2" xfId="28977"/>
    <cellStyle name="计算 2 4 11 5 2 2" xfId="28978"/>
    <cellStyle name="注释 2 6 9 5" xfId="28979"/>
    <cellStyle name="注释 2 2 6 5 5 2" xfId="28980"/>
    <cellStyle name="输入 2 9 11 2 5" xfId="28981"/>
    <cellStyle name="计算 2 4 11 5 3" xfId="28982"/>
    <cellStyle name="检查单元格 2 2 3 6 2" xfId="28983"/>
    <cellStyle name="注释 2 6 9 5 2" xfId="28984"/>
    <cellStyle name="输入 2 9 11 2 5 2" xfId="28985"/>
    <cellStyle name="计算 2 4 11 5 3 2" xfId="28986"/>
    <cellStyle name="注释 2 6 9 6" xfId="28987"/>
    <cellStyle name="注释 2 5 10 3 2 2" xfId="28988"/>
    <cellStyle name="输入 2 9 11 2 6" xfId="28989"/>
    <cellStyle name="计算 2 4 11 5 4" xfId="28990"/>
    <cellStyle name="输入 2 9 5 10" xfId="28991"/>
    <cellStyle name="计算 2 7 8 5 5 2" xfId="28992"/>
    <cellStyle name="注释 2 6 9 6 2" xfId="28993"/>
    <cellStyle name="计算 2 4 11 5 4 2" xfId="28994"/>
    <cellStyle name="注释 2 6 9 7 2" xfId="28995"/>
    <cellStyle name="计算 2 4 11 5 5 2" xfId="28996"/>
    <cellStyle name="注释 2 6 9 8" xfId="28997"/>
    <cellStyle name="输入 2 2 11 8 3 2" xfId="28998"/>
    <cellStyle name="计算 2 4 11 5 6" xfId="28999"/>
    <cellStyle name="输入 2 9 11 3 4 2" xfId="29000"/>
    <cellStyle name="计算 2 4 11 6 2 2" xfId="29001"/>
    <cellStyle name="输入 2 9 11 3 5" xfId="29002"/>
    <cellStyle name="计算 2 4 11 6 3" xfId="29003"/>
    <cellStyle name="检查单元格 2 2 3 7 2" xfId="29004"/>
    <cellStyle name="输出 2 11 10 2 9" xfId="29005"/>
    <cellStyle name="输入 2 9 11 3 5 2" xfId="29006"/>
    <cellStyle name="计算 2 4 11 6 3 2" xfId="29007"/>
    <cellStyle name="注释 2 5 10 3 3 2" xfId="29008"/>
    <cellStyle name="输入 2 9 11 3 6" xfId="29009"/>
    <cellStyle name="计算 2 4 11 6 4" xfId="29010"/>
    <cellStyle name="计算 2 4 11 6 4 2" xfId="29011"/>
    <cellStyle name="计算 2 4 11 6 5 2" xfId="29012"/>
    <cellStyle name="输入 2 9 11 4 4 2" xfId="29013"/>
    <cellStyle name="计算 2 4 11 7 2 2" xfId="29014"/>
    <cellStyle name="输入 2 9 11 4 5" xfId="29015"/>
    <cellStyle name="计算 2 4 11 7 3" xfId="29016"/>
    <cellStyle name="检查单元格 2 2 3 8 2" xfId="29017"/>
    <cellStyle name="输入 2 9 11 4 5 2" xfId="29018"/>
    <cellStyle name="计算 2 4 11 7 3 2" xfId="29019"/>
    <cellStyle name="注释 2 5 10 3 4 2" xfId="29020"/>
    <cellStyle name="输入 2 9 11 4 6" xfId="29021"/>
    <cellStyle name="计算 2 4 11 7 4" xfId="29022"/>
    <cellStyle name="计算 2 4 11 7 4 2" xfId="29023"/>
    <cellStyle name="计算 2 4 11 7 5 2" xfId="29024"/>
    <cellStyle name="输入 2 9 11 5 5 2" xfId="29025"/>
    <cellStyle name="计算 2 4 11 8 3 2" xfId="29026"/>
    <cellStyle name="计算 2 4 11 8 4 2" xfId="29027"/>
    <cellStyle name="计算 2 4 12 4" xfId="29028"/>
    <cellStyle name="计算 2 8 9 7 5 2" xfId="29029"/>
    <cellStyle name="计算 2 4 12 5" xfId="29030"/>
    <cellStyle name="输出 2 9 18 3 2" xfId="29031"/>
    <cellStyle name="输出 2 2 8 10" xfId="29032"/>
    <cellStyle name="注释 2 8 6 4" xfId="29033"/>
    <cellStyle name="计算 2 4 13 2 2" xfId="29034"/>
    <cellStyle name="注释 2 8 7 4" xfId="29035"/>
    <cellStyle name="计算 2 4 13 3 2" xfId="29036"/>
    <cellStyle name="计算 2 4 13 4" xfId="29037"/>
    <cellStyle name="注释 2 8 8 4" xfId="29038"/>
    <cellStyle name="计算 2 4 13 4 2" xfId="29039"/>
    <cellStyle name="计算 2 4 13 5" xfId="29040"/>
    <cellStyle name="注释 2 8 9 4" xfId="29041"/>
    <cellStyle name="注释 2 12 4 11" xfId="29042"/>
    <cellStyle name="计算 2 4 13 5 2" xfId="29043"/>
    <cellStyle name="注释 2 9 6 4" xfId="29044"/>
    <cellStyle name="计算 2 4 14 2 2" xfId="29045"/>
    <cellStyle name="计算 2 4 14 4" xfId="29046"/>
    <cellStyle name="注释 2 9 8 4" xfId="29047"/>
    <cellStyle name="计算 2 4 14 4 2" xfId="29048"/>
    <cellStyle name="计算 2 4 14 5" xfId="29049"/>
    <cellStyle name="注释 2 9 9 4" xfId="29050"/>
    <cellStyle name="注释 2 12 9 11" xfId="29051"/>
    <cellStyle name="计算 2 4 14 5 2" xfId="29052"/>
    <cellStyle name="计算 2 4 20 2" xfId="29053"/>
    <cellStyle name="计算 2 4 15 2" xfId="29054"/>
    <cellStyle name="计算 2 4 15 2 2" xfId="29055"/>
    <cellStyle name="计算 2 4 15 3" xfId="29056"/>
    <cellStyle name="计算 2 4 15 3 2" xfId="29057"/>
    <cellStyle name="计算 2 4 15 4" xfId="29058"/>
    <cellStyle name="计算 2 4 15 4 2" xfId="29059"/>
    <cellStyle name="计算 2 4 15 5" xfId="29060"/>
    <cellStyle name="计算 2 4 15 5 2" xfId="29061"/>
    <cellStyle name="计算 2 4 21 2" xfId="29062"/>
    <cellStyle name="计算 2 4 16 2" xfId="29063"/>
    <cellStyle name="计算 2 4 16 2 2" xfId="29064"/>
    <cellStyle name="计算 2 4 16 3" xfId="29065"/>
    <cellStyle name="计算 2 4 16 4" xfId="29066"/>
    <cellStyle name="计算 2 4 16 5" xfId="29067"/>
    <cellStyle name="计算 2 4 16 5 2" xfId="29068"/>
    <cellStyle name="计算 2 4 16 6" xfId="29069"/>
    <cellStyle name="计算 2 4 22 2" xfId="29070"/>
    <cellStyle name="计算 2 4 17 2" xfId="29071"/>
    <cellStyle name="计算 2 4 17 3" xfId="29072"/>
    <cellStyle name="计算 2 4 17 4" xfId="29073"/>
    <cellStyle name="计算 2 4 17 5" xfId="29074"/>
    <cellStyle name="输出 2 2 9 10" xfId="29075"/>
    <cellStyle name="计算 2 4 17 6" xfId="29076"/>
    <cellStyle name="输出 2 2 9 11" xfId="29077"/>
    <cellStyle name="计算 2 4 2 2 2" xfId="29078"/>
    <cellStyle name="输出 2 11 8 4 5 2" xfId="29079"/>
    <cellStyle name="输出 2 2 6 3 2" xfId="29080"/>
    <cellStyle name="计算 2 4 2 2 2 2" xfId="29081"/>
    <cellStyle name="输出 2 2 6 3 2 2" xfId="29082"/>
    <cellStyle name="计算 2 4 2 2 3" xfId="29083"/>
    <cellStyle name="输出 2 2 6 3 3" xfId="29084"/>
    <cellStyle name="计算 2 4 2 2 3 2" xfId="29085"/>
    <cellStyle name="输出 2 2 6 3 3 2" xfId="29086"/>
    <cellStyle name="计算 2 4 2 2 9" xfId="29087"/>
    <cellStyle name="计算 2 4 2 3" xfId="29088"/>
    <cellStyle name="输出 2 11 8 4 6" xfId="29089"/>
    <cellStyle name="输出 2 2 6 4" xfId="29090"/>
    <cellStyle name="计算 2 4 2 3 2" xfId="29091"/>
    <cellStyle name="输入 2 2 4 10" xfId="29092"/>
    <cellStyle name="输出 2 2 6 4 2" xfId="29093"/>
    <cellStyle name="计算 2 4 2 3 3" xfId="29094"/>
    <cellStyle name="输入 2 2 4 11" xfId="29095"/>
    <cellStyle name="输出 2 2 6 4 3" xfId="29096"/>
    <cellStyle name="计算 2 4 2 3 3 2" xfId="29097"/>
    <cellStyle name="输入 2 2 4 11 2" xfId="29098"/>
    <cellStyle name="输出 2 2 6 4 3 2" xfId="29099"/>
    <cellStyle name="计算 2 4 3 2 2" xfId="29100"/>
    <cellStyle name="输出 2 11 8 5 5 2" xfId="29101"/>
    <cellStyle name="输出 2 2 7 3 2" xfId="29102"/>
    <cellStyle name="注释 2 2 6 12" xfId="29103"/>
    <cellStyle name="输入 2 2 2 6 3" xfId="29104"/>
    <cellStyle name="计算 2 4 3 2 2 2" xfId="29105"/>
    <cellStyle name="输出 2 2 7 3 2 2" xfId="29106"/>
    <cellStyle name="计算 2 4 3 2 3" xfId="29107"/>
    <cellStyle name="输出 2 2 7 3 3" xfId="29108"/>
    <cellStyle name="输入 2 2 2 7 3" xfId="29109"/>
    <cellStyle name="计算 2 4 3 2 3 2" xfId="29110"/>
    <cellStyle name="输出 2 2 7 3 3 2" xfId="29111"/>
    <cellStyle name="输入 2 2 2 8 3" xfId="29112"/>
    <cellStyle name="计算 2 4 3 2 4 2" xfId="29113"/>
    <cellStyle name="输出 2 2 7 3 4 2" xfId="29114"/>
    <cellStyle name="计算 2 4 3 3" xfId="29115"/>
    <cellStyle name="输出 2 11 8 5 6" xfId="29116"/>
    <cellStyle name="输出 2 2 7 4" xfId="29117"/>
    <cellStyle name="计算 2 4 3 3 2" xfId="29118"/>
    <cellStyle name="输入 2 2 9 10" xfId="29119"/>
    <cellStyle name="输出 2 2 7 4 2" xfId="29120"/>
    <cellStyle name="计算 2 4 3 3 3" xfId="29121"/>
    <cellStyle name="输入 2 2 9 11" xfId="29122"/>
    <cellStyle name="输出 2 2 7 4 3" xfId="29123"/>
    <cellStyle name="计算 2 4 3 4" xfId="29124"/>
    <cellStyle name="输出 2 2 7 5" xfId="29125"/>
    <cellStyle name="计算 2 4 4 10 2" xfId="29126"/>
    <cellStyle name="计算 2 4 4 11" xfId="29127"/>
    <cellStyle name="注释 2 12 7 6 4" xfId="29128"/>
    <cellStyle name="检查单元格 2 9 7 4 3 2" xfId="29129"/>
    <cellStyle name="输出 2 2 8 16" xfId="29130"/>
    <cellStyle name="计算 2 4 4 11 2" xfId="29131"/>
    <cellStyle name="计算 2 4 4 12" xfId="29132"/>
    <cellStyle name="计算 2 4 4 12 2" xfId="29133"/>
    <cellStyle name="计算 2 4 4 14" xfId="29134"/>
    <cellStyle name="计算 2 4 4 15" xfId="29135"/>
    <cellStyle name="计算 2 4 4 16" xfId="29136"/>
    <cellStyle name="注释 2 7 6 12" xfId="29137"/>
    <cellStyle name="输入 2 3 2 6 3" xfId="29138"/>
    <cellStyle name="计算 2 4 4 2 2 2" xfId="29139"/>
    <cellStyle name="强调文字颜色 5 2" xfId="29140"/>
    <cellStyle name="检查单元格 2 8 4 5" xfId="29141"/>
    <cellStyle name="输出 2 2 8 3 2 2" xfId="29142"/>
    <cellStyle name="输入 2 3 2 7 3" xfId="29143"/>
    <cellStyle name="计算 2 4 4 2 3 2" xfId="29144"/>
    <cellStyle name="强调文字颜色 6 2" xfId="29145"/>
    <cellStyle name="检查单元格 2 8 5 5" xfId="29146"/>
    <cellStyle name="输出 2 2 8 3 3 2" xfId="29147"/>
    <cellStyle name="输入 2 3 2 8 3" xfId="29148"/>
    <cellStyle name="计算 2 4 4 2 4 2" xfId="29149"/>
    <cellStyle name="检查单元格 2 8 6 5" xfId="29150"/>
    <cellStyle name="输出 2 2 8 3 4 2" xfId="29151"/>
    <cellStyle name="计算 2 4 4 3" xfId="29152"/>
    <cellStyle name="输出 2 11 8 6 6" xfId="29153"/>
    <cellStyle name="输出 2 2 8 4" xfId="29154"/>
    <cellStyle name="计算 2 4 4 3 2" xfId="29155"/>
    <cellStyle name="输出 2 2 8 4 2" xfId="29156"/>
    <cellStyle name="输入 2 3 3 6 3" xfId="29157"/>
    <cellStyle name="计算 2 4 4 3 2 2" xfId="29158"/>
    <cellStyle name="检查单元格 2 9 4 5" xfId="29159"/>
    <cellStyle name="输出 2 2 8 4 2 2" xfId="29160"/>
    <cellStyle name="计算 2 4 4 3 3" xfId="29161"/>
    <cellStyle name="输出 2 2 8 4 3" xfId="29162"/>
    <cellStyle name="输入 2 3 3 7 3" xfId="29163"/>
    <cellStyle name="计算 2 4 4 3 3 2" xfId="29164"/>
    <cellStyle name="检查单元格 2 9 5 5" xfId="29165"/>
    <cellStyle name="输出 2 2 8 4 3 2" xfId="29166"/>
    <cellStyle name="计算 2 4 4 4" xfId="29167"/>
    <cellStyle name="输出 2 2 8 5" xfId="29168"/>
    <cellStyle name="计算 2 4 4 4 2" xfId="29169"/>
    <cellStyle name="输出 2 2 8 5 2" xfId="29170"/>
    <cellStyle name="输入 2 3 4 6 3" xfId="29171"/>
    <cellStyle name="计算 2 4 4 4 2 2" xfId="29172"/>
    <cellStyle name="输出 2 2 8 5 2 2" xfId="29173"/>
    <cellStyle name="计算 2 4 4 4 3" xfId="29174"/>
    <cellStyle name="检查单元格 2 3 8 3 2 2" xfId="29175"/>
    <cellStyle name="输出 2 2 8 5 3" xfId="29176"/>
    <cellStyle name="输入 2 3 4 7 3" xfId="29177"/>
    <cellStyle name="计算 2 4 4 4 3 2" xfId="29178"/>
    <cellStyle name="输出 2 2 8 5 3 2" xfId="29179"/>
    <cellStyle name="输入 2 7 8 3 4 2" xfId="29180"/>
    <cellStyle name="计算 2 4 4 4 4" xfId="29181"/>
    <cellStyle name="输出 2 2 8 5 4" xfId="29182"/>
    <cellStyle name="输入 2 3 4 8 3" xfId="29183"/>
    <cellStyle name="计算 2 4 4 4 4 2" xfId="29184"/>
    <cellStyle name="输出 2 2 8 5 4 2" xfId="29185"/>
    <cellStyle name="计算 2 4 5 10" xfId="29186"/>
    <cellStyle name="检查单元格 2 7 6 4 4" xfId="29187"/>
    <cellStyle name="输出 2 2 9 15" xfId="29188"/>
    <cellStyle name="计算 2 4 5 10 2" xfId="29189"/>
    <cellStyle name="注释 2 6 9 3 4" xfId="29190"/>
    <cellStyle name="检查单元格 2 7 6 4 4 2" xfId="29191"/>
    <cellStyle name="计算 2 4 5 11 2" xfId="29192"/>
    <cellStyle name="注释 2 6 9 4 4" xfId="29193"/>
    <cellStyle name="检查单元格 2 7 6 4 5 2" xfId="29194"/>
    <cellStyle name="计算 2 4 5 12" xfId="29195"/>
    <cellStyle name="检查单元格 2 7 6 4 6" xfId="29196"/>
    <cellStyle name="计算 2 4 5 12 2" xfId="29197"/>
    <cellStyle name="计算 2 4 5 13" xfId="29198"/>
    <cellStyle name="计算 2 4 5 14" xfId="29199"/>
    <cellStyle name="计算 2 4 5 15" xfId="29200"/>
    <cellStyle name="输出 2 2 4 7 3 2" xfId="29201"/>
    <cellStyle name="计算 2 4 5 16" xfId="29202"/>
    <cellStyle name="计算 2 4 5 2 2" xfId="29203"/>
    <cellStyle name="输出 2 11 8 7 5 2" xfId="29204"/>
    <cellStyle name="输出 2 2 9 3 2" xfId="29205"/>
    <cellStyle name="计算 2 4 5 2 3" xfId="29206"/>
    <cellStyle name="输出 2 2 9 3 3" xfId="29207"/>
    <cellStyle name="计算 2 4 5 2 6" xfId="29208"/>
    <cellStyle name="输出 2 2 9 3 6" xfId="29209"/>
    <cellStyle name="计算 2 4 5 2 7" xfId="29210"/>
    <cellStyle name="计算 2 4 5 2 8" xfId="29211"/>
    <cellStyle name="计算 2 4 5 2 9" xfId="29212"/>
    <cellStyle name="计算 2 4 5 3 2" xfId="29213"/>
    <cellStyle name="输出 2 2 9 4 2" xfId="29214"/>
    <cellStyle name="计算 2 4 5 3 3" xfId="29215"/>
    <cellStyle name="输出 2 2 9 4 3" xfId="29216"/>
    <cellStyle name="计算 2 4 5 3 6" xfId="29217"/>
    <cellStyle name="输出 2 2 9 4 6" xfId="29218"/>
    <cellStyle name="计算 2 4 5 4" xfId="29219"/>
    <cellStyle name="输出 2 2 9 5" xfId="29220"/>
    <cellStyle name="计算 2 4 5 4 2" xfId="29221"/>
    <cellStyle name="输出 2 2 9 5 2" xfId="29222"/>
    <cellStyle name="计算 2 4 5 4 3" xfId="29223"/>
    <cellStyle name="检查单元格 2 3 8 4 2 2" xfId="29224"/>
    <cellStyle name="输出 2 2 9 5 3" xfId="29225"/>
    <cellStyle name="输入 2 7 8 4 4 2" xfId="29226"/>
    <cellStyle name="计算 2 4 5 4 4" xfId="29227"/>
    <cellStyle name="输出 2 2 9 5 4" xfId="29228"/>
    <cellStyle name="计算 2 4 5 4 5" xfId="29229"/>
    <cellStyle name="注释 2 14 7 2 2" xfId="29230"/>
    <cellStyle name="输出 2 2 9 5 5" xfId="29231"/>
    <cellStyle name="计算 2 4 5 4 6" xfId="29232"/>
    <cellStyle name="输出 2 2 9 5 6" xfId="29233"/>
    <cellStyle name="计算 2 4 5 6 5" xfId="29234"/>
    <cellStyle name="注释 2 14 7 4 2" xfId="29235"/>
    <cellStyle name="输出 2 2 9 7 5" xfId="29236"/>
    <cellStyle name="计算 2 4 6 10" xfId="29237"/>
    <cellStyle name="计算 2 4 6 11" xfId="29238"/>
    <cellStyle name="输入 2 9 2 8 4 2" xfId="29239"/>
    <cellStyle name="计算 2 4 6 12" xfId="29240"/>
    <cellStyle name="计算 2 4 8 4 2" xfId="29241"/>
    <cellStyle name="计算 2 4 6 13" xfId="29242"/>
    <cellStyle name="计算 2 4 8 4 3" xfId="29243"/>
    <cellStyle name="计算 2 4 6 14" xfId="29244"/>
    <cellStyle name="输入 2 7 8 7 4 2" xfId="29245"/>
    <cellStyle name="计算 2 4 8 4 4" xfId="29246"/>
    <cellStyle name="计算 2 4 6 15" xfId="29247"/>
    <cellStyle name="计算 2 4 6 2 2" xfId="29248"/>
    <cellStyle name="输入 2 5 2 6 3" xfId="29249"/>
    <cellStyle name="计算 2 4 6 2 2 2" xfId="29250"/>
    <cellStyle name="计算 2 4 6 2 3" xfId="29251"/>
    <cellStyle name="输入 2 5 2 7 3" xfId="29252"/>
    <cellStyle name="计算 2 4 6 2 3 2" xfId="29253"/>
    <cellStyle name="输入 2 5 2 8 3" xfId="29254"/>
    <cellStyle name="计算 2 4 6 2 4 2" xfId="29255"/>
    <cellStyle name="计算 2 4 6 2 5 2" xfId="29256"/>
    <cellStyle name="计算 2 4 6 2 6" xfId="29257"/>
    <cellStyle name="计算 2 4 8 10 2" xfId="29258"/>
    <cellStyle name="计算 2 4 6 2 7" xfId="29259"/>
    <cellStyle name="计算 2 4 6 2 8" xfId="29260"/>
    <cellStyle name="计算 2 4 6 2 9" xfId="29261"/>
    <cellStyle name="计算 2 4 6 3 2" xfId="29262"/>
    <cellStyle name="计算 2 4 6 4" xfId="29263"/>
    <cellStyle name="计算 2 4 6 4 2" xfId="29264"/>
    <cellStyle name="计算 2 4 6 4 3" xfId="29265"/>
    <cellStyle name="检查单元格 2 3 8 5 2 2" xfId="29266"/>
    <cellStyle name="输入 2 7 8 5 4 2" xfId="29267"/>
    <cellStyle name="计算 2 4 6 4 4" xfId="29268"/>
    <cellStyle name="计算 2 4 6 4 5" xfId="29269"/>
    <cellStyle name="计算 2 4 6 4 6" xfId="29270"/>
    <cellStyle name="计算 2 4 6 5 5 2" xfId="29271"/>
    <cellStyle name="计算 2 4 6 6 5" xfId="29272"/>
    <cellStyle name="计算 2 4 6 6 5 2" xfId="29273"/>
    <cellStyle name="计算 2 4 7 2" xfId="29274"/>
    <cellStyle name="计算 2 6 10 5 3 2" xfId="29275"/>
    <cellStyle name="计算 2 4 7 2 2" xfId="29276"/>
    <cellStyle name="计算 2 4 7 2 3" xfId="29277"/>
    <cellStyle name="输入 2 6 2 8 3" xfId="29278"/>
    <cellStyle name="计算 2 4 7 2 4 2" xfId="29279"/>
    <cellStyle name="计算 2 4 7 3 2" xfId="29280"/>
    <cellStyle name="计算 2 4 7 3 3" xfId="29281"/>
    <cellStyle name="计算 2 4 7 4 3" xfId="29282"/>
    <cellStyle name="输入 2 7 8 6 4 2" xfId="29283"/>
    <cellStyle name="计算 2 4 7 4 4" xfId="29284"/>
    <cellStyle name="计算 2 4 8 11" xfId="29285"/>
    <cellStyle name="计算 2 4 8 12" xfId="29286"/>
    <cellStyle name="计算 2 4 8 12 2" xfId="29287"/>
    <cellStyle name="计算 2 4 8 13" xfId="29288"/>
    <cellStyle name="注释 2 3 3 3 4 2" xfId="29289"/>
    <cellStyle name="计算 2 4 8 14" xfId="29290"/>
    <cellStyle name="计算 2 8 5 3 4 2" xfId="29291"/>
    <cellStyle name="计算 2 4 8 15" xfId="29292"/>
    <cellStyle name="检查单元格 2 9 9 5 2" xfId="29293"/>
    <cellStyle name="输出 2 6 9 4 4 2" xfId="29294"/>
    <cellStyle name="计算 2 4 8 16" xfId="29295"/>
    <cellStyle name="计算 2 4 8 2" xfId="29296"/>
    <cellStyle name="计算 2 6 10 5 4 2" xfId="29297"/>
    <cellStyle name="计算 2 4 8 2 2" xfId="29298"/>
    <cellStyle name="计算 2 4 8 2 3" xfId="29299"/>
    <cellStyle name="计算 2 4 8 3 2" xfId="29300"/>
    <cellStyle name="计算 2 4 8 3 3" xfId="29301"/>
    <cellStyle name="计算 2 4 9 10 2" xfId="29302"/>
    <cellStyle name="计算 2 4 9 11" xfId="29303"/>
    <cellStyle name="注释 2 12 8 6 4" xfId="29304"/>
    <cellStyle name="检查单元格 2 9 7 5 3 2" xfId="29305"/>
    <cellStyle name="计算 2 4 9 11 2" xfId="29306"/>
    <cellStyle name="计算 2 4 9 12" xfId="29307"/>
    <cellStyle name="计算 2 4 9 12 2" xfId="29308"/>
    <cellStyle name="计算 2 4 9 14" xfId="29309"/>
    <cellStyle name="计算 2 4 9 15" xfId="29310"/>
    <cellStyle name="计算 2 4 9 16" xfId="29311"/>
    <cellStyle name="计算 2 4 9 2" xfId="29312"/>
    <cellStyle name="计算 2 6 10 5 5 2" xfId="29313"/>
    <cellStyle name="输入 2 11 10 15" xfId="29314"/>
    <cellStyle name="计算 2 4 9 2 2" xfId="29315"/>
    <cellStyle name="输入 2 8 2 6 3" xfId="29316"/>
    <cellStyle name="计算 2 4 9 2 2 2" xfId="29317"/>
    <cellStyle name="输入 2 11 10 16" xfId="29318"/>
    <cellStyle name="计算 2 4 9 2 3" xfId="29319"/>
    <cellStyle name="输入 2 8 2 7 3" xfId="29320"/>
    <cellStyle name="计算 2 4 9 2 3 2" xfId="29321"/>
    <cellStyle name="输入 2 8 2 8 3" xfId="29322"/>
    <cellStyle name="计算 2 4 9 2 4 2" xfId="29323"/>
    <cellStyle name="注释 2 7 2 3 2 2" xfId="29324"/>
    <cellStyle name="计算 2 4 9 2 5 2" xfId="29325"/>
    <cellStyle name="注释 2 7 2 3 3" xfId="29326"/>
    <cellStyle name="计算 2 4 9 2 6" xfId="29327"/>
    <cellStyle name="计算 2 7 7 10 2" xfId="29328"/>
    <cellStyle name="注释 2 7 2 3 4" xfId="29329"/>
    <cellStyle name="注释 2 12 8 4 3 2" xfId="29330"/>
    <cellStyle name="计算 2 4 9 2 7" xfId="29331"/>
    <cellStyle name="注释 2 7 2 3 5" xfId="29332"/>
    <cellStyle name="计算 2 4 9 2 8" xfId="29333"/>
    <cellStyle name="计算 2 4 9 3 2" xfId="29334"/>
    <cellStyle name="计算 2 4 9 3 3" xfId="29335"/>
    <cellStyle name="输入 2 7 8 8 3 2" xfId="29336"/>
    <cellStyle name="计算 2 4 9 3 4" xfId="29337"/>
    <cellStyle name="注释 2 7 2 4 2 2" xfId="29338"/>
    <cellStyle name="输入 2 3 10 2 9" xfId="29339"/>
    <cellStyle name="计算 2 4 9 3 5 2" xfId="29340"/>
    <cellStyle name="注释 2 7 2 4 3" xfId="29341"/>
    <cellStyle name="计算 2 4 9 3 6" xfId="29342"/>
    <cellStyle name="计算 2 7 7 11 2" xfId="29343"/>
    <cellStyle name="计算 2 4 9 4 2" xfId="29344"/>
    <cellStyle name="计算 2 4 9 4 3" xfId="29345"/>
    <cellStyle name="输入 2 7 8 8 4 2" xfId="29346"/>
    <cellStyle name="计算 2 4 9 4 4" xfId="29347"/>
    <cellStyle name="注释 2 7 2 5 2 2" xfId="29348"/>
    <cellStyle name="计算 2 4 9 4 5 2" xfId="29349"/>
    <cellStyle name="注释 2 7 2 5 3" xfId="29350"/>
    <cellStyle name="计算 2 4 9 4 6" xfId="29351"/>
    <cellStyle name="计算 2 7 7 12 2" xfId="29352"/>
    <cellStyle name="注释 2 7 2 7 2" xfId="29353"/>
    <cellStyle name="计算 2 4 9 6 5" xfId="29354"/>
    <cellStyle name="注释 2 7 2 7 3" xfId="29355"/>
    <cellStyle name="计算 2 4 9 6 6" xfId="29356"/>
    <cellStyle name="输出 2 11 2 4 2 2" xfId="29357"/>
    <cellStyle name="注释 2 7 2 8 2" xfId="29358"/>
    <cellStyle name="计算 2 4 9 7 5" xfId="29359"/>
    <cellStyle name="注释 2 7 2 8 2 2" xfId="29360"/>
    <cellStyle name="计算 2 4 9 7 5 2" xfId="29361"/>
    <cellStyle name="计算 2 8 3" xfId="29362"/>
    <cellStyle name="输出 2 11 3 3 6" xfId="29363"/>
    <cellStyle name="注释 2 7 2 8 3" xfId="29364"/>
    <cellStyle name="计算 2 4 9 7 6" xfId="29365"/>
    <cellStyle name="输出 2 11 2 4 3 2" xfId="29366"/>
    <cellStyle name="注释 2 8 6 2 2 2" xfId="29367"/>
    <cellStyle name="注释 2 7 2 9 2" xfId="29368"/>
    <cellStyle name="计算 2 4 9 8 5" xfId="29369"/>
    <cellStyle name="计算 2 4 9 9" xfId="29370"/>
    <cellStyle name="计算 2 7 7 2 6" xfId="29371"/>
    <cellStyle name="计算 2 5 10" xfId="29372"/>
    <cellStyle name="注释 2 9 8 3 6" xfId="29373"/>
    <cellStyle name="计算 2 5 10 2" xfId="29374"/>
    <cellStyle name="计算 2 5 10 2 2" xfId="29375"/>
    <cellStyle name="计算 2 5 10 2 2 2" xfId="29376"/>
    <cellStyle name="计算 2 5 10 2 3 2" xfId="29377"/>
    <cellStyle name="检查单元格 2 7 2 3 2 2" xfId="29378"/>
    <cellStyle name="计算 2 5 10 2 4" xfId="29379"/>
    <cellStyle name="检查单元格 2 4 4 2 3 2" xfId="29380"/>
    <cellStyle name="输入 2 3 7 2 8" xfId="29381"/>
    <cellStyle name="检查单元格 2 7 2 3 3" xfId="29382"/>
    <cellStyle name="计算 2 5 10 2 4 2" xfId="29383"/>
    <cellStyle name="注释 2 2 8 2 4" xfId="29384"/>
    <cellStyle name="检查单元格 2 7 2 3 3 2" xfId="29385"/>
    <cellStyle name="计算 2 5 10 2 5" xfId="29386"/>
    <cellStyle name="输入 2 8 4 2 5 2" xfId="29387"/>
    <cellStyle name="输入 2 3 7 2 9" xfId="29388"/>
    <cellStyle name="检查单元格 2 7 2 3 4" xfId="29389"/>
    <cellStyle name="计算 2 5 10 2 6" xfId="29390"/>
    <cellStyle name="检查单元格 2 7 2 3 5" xfId="29391"/>
    <cellStyle name="计算 2 5 10 2 7" xfId="29392"/>
    <cellStyle name="注释 2 3 11 8 2 2" xfId="29393"/>
    <cellStyle name="检查单元格 2 7 2 3 6" xfId="29394"/>
    <cellStyle name="计算 2 5 10 2 9" xfId="29395"/>
    <cellStyle name="输入 2 11 12 2 2" xfId="29396"/>
    <cellStyle name="计算 2 5 10 3" xfId="29397"/>
    <cellStyle name="计算 2 5 10 3 2" xfId="29398"/>
    <cellStyle name="计算 2 5 10 3 4" xfId="29399"/>
    <cellStyle name="检查单元格 2 4 4 2 4 2" xfId="29400"/>
    <cellStyle name="检查单元格 2 7 2 4 3" xfId="29401"/>
    <cellStyle name="计算 2 5 10 3 4 2" xfId="29402"/>
    <cellStyle name="注释 2 2 9 2 4" xfId="29403"/>
    <cellStyle name="检查单元格 2 7 2 4 3 2" xfId="29404"/>
    <cellStyle name="计算 2 5 10 3 5" xfId="29405"/>
    <cellStyle name="检查单元格 2 7 2 4 4" xfId="29406"/>
    <cellStyle name="计算 2 5 10 3 6" xfId="29407"/>
    <cellStyle name="检查单元格 2 7 2 4 5" xfId="29408"/>
    <cellStyle name="计算 2 5 10 4" xfId="29409"/>
    <cellStyle name="计算 2 5 10 4 2 2" xfId="29410"/>
    <cellStyle name="输出 2 12 8 11" xfId="29411"/>
    <cellStyle name="计算 2 5 10 4 4 2" xfId="29412"/>
    <cellStyle name="检查单元格 2 7 2 5 3 2" xfId="29413"/>
    <cellStyle name="计算 2 5 10 4 5" xfId="29414"/>
    <cellStyle name="检查单元格 2 7 2 5 4" xfId="29415"/>
    <cellStyle name="计算 2 5 10 4 5 2" xfId="29416"/>
    <cellStyle name="检查单元格 2 7 2 5 4 2" xfId="29417"/>
    <cellStyle name="注释 2 2 3 3 3 2" xfId="29418"/>
    <cellStyle name="计算 2 5 10 5" xfId="29419"/>
    <cellStyle name="计算 2 5 10 5 2" xfId="29420"/>
    <cellStyle name="计算 2 5 10 5 4" xfId="29421"/>
    <cellStyle name="计算 2 5 10 5 5" xfId="29422"/>
    <cellStyle name="计算 2 5 10 6 2" xfId="29423"/>
    <cellStyle name="计算 2 5 10 6 2 2" xfId="29424"/>
    <cellStyle name="计算 2 5 10 6 3 2" xfId="29425"/>
    <cellStyle name="计算 2 5 10 6 4 2" xfId="29426"/>
    <cellStyle name="输入 2 3 2 2 3" xfId="29427"/>
    <cellStyle name="强调文字颜色 1 2" xfId="29428"/>
    <cellStyle name="计算 2 5 10 6 5 2" xfId="29429"/>
    <cellStyle name="输入 2 3 2 3 3" xfId="29430"/>
    <cellStyle name="强调文字颜色 2 2" xfId="29431"/>
    <cellStyle name="计算 2 5 10 7 2 2" xfId="29432"/>
    <cellStyle name="计算 2 5 10 7 3 2" xfId="29433"/>
    <cellStyle name="计算 2 5 10 7 4" xfId="29434"/>
    <cellStyle name="计算 2 5 10 7 4 2" xfId="29435"/>
    <cellStyle name="计算 2 5 10 7 5" xfId="29436"/>
    <cellStyle name="计算 2 5 10 8 3 2" xfId="29437"/>
    <cellStyle name="计算 2 5 10 8 4" xfId="29438"/>
    <cellStyle name="计算 2 5 10 8 4 2" xfId="29439"/>
    <cellStyle name="计算 2 5 10 8 5" xfId="29440"/>
    <cellStyle name="计算 2 5 11" xfId="29441"/>
    <cellStyle name="计算 2 5 11 10 2" xfId="29442"/>
    <cellStyle name="计算 2 7 6 8 3 2" xfId="29443"/>
    <cellStyle name="注释 2 9 8 4 6" xfId="29444"/>
    <cellStyle name="计算 2 5 11 2" xfId="29445"/>
    <cellStyle name="计算 2 5 11 2 3 2" xfId="29446"/>
    <cellStyle name="注释 2 11 11 8 4" xfId="29447"/>
    <cellStyle name="检查单元格 2 7 3 3 2 2" xfId="29448"/>
    <cellStyle name="计算 2 5 11 2 4 2" xfId="29449"/>
    <cellStyle name="注释 2 3 8 2 4" xfId="29450"/>
    <cellStyle name="检查单元格 2 7 3 3 3 2" xfId="29451"/>
    <cellStyle name="计算 2 5 11 2 5 2" xfId="29452"/>
    <cellStyle name="注释 2 3 8 3 4" xfId="29453"/>
    <cellStyle name="检查单元格 2 7 3 3 4 2" xfId="29454"/>
    <cellStyle name="计算 2 5 11 3 2" xfId="29455"/>
    <cellStyle name="计算 2 5 11 3 2 2" xfId="29456"/>
    <cellStyle name="计算 2 5 11 3 3 2" xfId="29457"/>
    <cellStyle name="输入 2 8 11 14" xfId="29458"/>
    <cellStyle name="检查单元格 2 7 3 4 2 2" xfId="29459"/>
    <cellStyle name="计算 2 5 11 3 4" xfId="29460"/>
    <cellStyle name="检查单元格 2 4 4 3 4 2" xfId="29461"/>
    <cellStyle name="检查单元格 2 7 3 4 3" xfId="29462"/>
    <cellStyle name="计算 2 5 11 3 4 2" xfId="29463"/>
    <cellStyle name="注释 2 3 9 2 4" xfId="29464"/>
    <cellStyle name="检查单元格 2 7 3 4 3 2" xfId="29465"/>
    <cellStyle name="计算 2 5 11 3 5" xfId="29466"/>
    <cellStyle name="检查单元格 2 7 3 4 4" xfId="29467"/>
    <cellStyle name="计算 2 5 11 3 5 2" xfId="29468"/>
    <cellStyle name="注释 2 3 9 3 4" xfId="29469"/>
    <cellStyle name="检查单元格 2 7 3 4 4 2" xfId="29470"/>
    <cellStyle name="计算 2 5 11 4" xfId="29471"/>
    <cellStyle name="计算 2 5 11 4 5" xfId="29472"/>
    <cellStyle name="检查单元格 2 7 3 5 4" xfId="29473"/>
    <cellStyle name="注释 2 2 3 3 4 2" xfId="29474"/>
    <cellStyle name="输入 2 13 2 2" xfId="29475"/>
    <cellStyle name="计算 2 5 11 5" xfId="29476"/>
    <cellStyle name="注释 2 10 2 2 7" xfId="29477"/>
    <cellStyle name="输入 2 13 2 2 2" xfId="29478"/>
    <cellStyle name="计算 2 5 11 5 2" xfId="29479"/>
    <cellStyle name="计算 2 5 11 5 3 2" xfId="29480"/>
    <cellStyle name="计算 2 7 15 4" xfId="29481"/>
    <cellStyle name="注释 2 10 2 2 9" xfId="29482"/>
    <cellStyle name="计算 2 5 11 5 4" xfId="29483"/>
    <cellStyle name="计算 2 5 11 5 4 2" xfId="29484"/>
    <cellStyle name="计算 2 7 16 4" xfId="29485"/>
    <cellStyle name="计算 2 5 11 5 5" xfId="29486"/>
    <cellStyle name="计算 2 5 11 5 5 2" xfId="29487"/>
    <cellStyle name="计算 2 7 17 4" xfId="29488"/>
    <cellStyle name="计算 2 5 11 5 6" xfId="29489"/>
    <cellStyle name="计算 2 7 5 3 4 2" xfId="29490"/>
    <cellStyle name="输入 2 13 2 3" xfId="29491"/>
    <cellStyle name="计算 2 5 11 6" xfId="29492"/>
    <cellStyle name="输出 2 5 9 4 4 2" xfId="29493"/>
    <cellStyle name="输入 2 13 2 3 2" xfId="29494"/>
    <cellStyle name="计算 2 5 11 6 2" xfId="29495"/>
    <cellStyle name="计算 2 5 11 6 2 2" xfId="29496"/>
    <cellStyle name="计算 2 5 11 6 3 2" xfId="29497"/>
    <cellStyle name="计算 2 5 11 6 4" xfId="29498"/>
    <cellStyle name="计算 2 5 11 6 4 2" xfId="29499"/>
    <cellStyle name="计算 2 5 11 6 5" xfId="29500"/>
    <cellStyle name="计算 2 5 11 6 6" xfId="29501"/>
    <cellStyle name="输入 2 13 2 4" xfId="29502"/>
    <cellStyle name="计算 2 5 11 7" xfId="29503"/>
    <cellStyle name="输出 2 7 11 6 4 2" xfId="29504"/>
    <cellStyle name="输入 2 13 2 4 2" xfId="29505"/>
    <cellStyle name="计算 2 5 11 7 2" xfId="29506"/>
    <cellStyle name="计算 2 5 11 7 2 2" xfId="29507"/>
    <cellStyle name="计算 2 5 11 7 3 2" xfId="29508"/>
    <cellStyle name="计算 2 5 11 7 4" xfId="29509"/>
    <cellStyle name="计算 2 5 11 7 4 2" xfId="29510"/>
    <cellStyle name="计算 2 5 11 7 5" xfId="29511"/>
    <cellStyle name="输入 2 13 2 5" xfId="29512"/>
    <cellStyle name="计算 2 5 11 8" xfId="29513"/>
    <cellStyle name="输入 2 13 2 5 2" xfId="29514"/>
    <cellStyle name="计算 2 5 11 8 2" xfId="29515"/>
    <cellStyle name="计算 2 5 11 8 2 2" xfId="29516"/>
    <cellStyle name="计算 2 5 11 8 3 2" xfId="29517"/>
    <cellStyle name="计算 2 5 11 8 4" xfId="29518"/>
    <cellStyle name="计算 2 5 11 8 4 2" xfId="29519"/>
    <cellStyle name="计算 2 5 11 8 5" xfId="29520"/>
    <cellStyle name="注释 2 5 3 8 2" xfId="29521"/>
    <cellStyle name="输入 2 13 2 6" xfId="29522"/>
    <cellStyle name="计算 2 5 11 9" xfId="29523"/>
    <cellStyle name="检查单元格 2 8 2 10" xfId="29524"/>
    <cellStyle name="注释 2 5 3 8 2 2" xfId="29525"/>
    <cellStyle name="计算 2 5 11 9 2" xfId="29526"/>
    <cellStyle name="输出 2 8 2 3 4 2" xfId="29527"/>
    <cellStyle name="计算 2 5 12" xfId="29528"/>
    <cellStyle name="注释 2 9 8 5 6" xfId="29529"/>
    <cellStyle name="计算 2 5 12 2" xfId="29530"/>
    <cellStyle name="计算 2 5 12 2 2" xfId="29531"/>
    <cellStyle name="计算 2 5 12 3 2" xfId="29532"/>
    <cellStyle name="计算 2 5 12 4" xfId="29533"/>
    <cellStyle name="计算 2 5 12 4 2" xfId="29534"/>
    <cellStyle name="注释 2 2 3 3 5 2" xfId="29535"/>
    <cellStyle name="输入 2 13 3 2" xfId="29536"/>
    <cellStyle name="计算 2 5 12 5" xfId="29537"/>
    <cellStyle name="输出 2 3 8 10" xfId="29538"/>
    <cellStyle name="注释 2 10 3 2 7" xfId="29539"/>
    <cellStyle name="输入 2 13 3 2 2" xfId="29540"/>
    <cellStyle name="计算 2 5 12 5 2" xfId="29541"/>
    <cellStyle name="输入 2 3 9 5 6" xfId="29542"/>
    <cellStyle name="检查单元格 2 11" xfId="29543"/>
    <cellStyle name="输出 2 3 8 10 2" xfId="29544"/>
    <cellStyle name="输出 2 3 8 12" xfId="29545"/>
    <cellStyle name="输入 2 13 3 4" xfId="29546"/>
    <cellStyle name="计算 2 5 12 7" xfId="29547"/>
    <cellStyle name="输出 2 7 11 6 5 2" xfId="29548"/>
    <cellStyle name="输入 2 13 3 5" xfId="29549"/>
    <cellStyle name="计算 2 5 12 8" xfId="29550"/>
    <cellStyle name="输出 2 3 8 13" xfId="29551"/>
    <cellStyle name="注释 2 8 4 3 2 2" xfId="29552"/>
    <cellStyle name="注释 2 5 3 9 2" xfId="29553"/>
    <cellStyle name="输入 2 13 3 6" xfId="29554"/>
    <cellStyle name="计算 2 5 12 9" xfId="29555"/>
    <cellStyle name="输出 2 3 8 14" xfId="29556"/>
    <cellStyle name="计算 2 5 13" xfId="29557"/>
    <cellStyle name="注释 2 9 8 6 6" xfId="29558"/>
    <cellStyle name="计算 2 5 13 2" xfId="29559"/>
    <cellStyle name="计算 2 5 13 2 2" xfId="29560"/>
    <cellStyle name="计算 2 5 13 3 2" xfId="29561"/>
    <cellStyle name="输出 2 2 4 12" xfId="29562"/>
    <cellStyle name="计算 2 5 13 4 2" xfId="29563"/>
    <cellStyle name="输入 2 13 4 2" xfId="29564"/>
    <cellStyle name="计算 2 5 13 5" xfId="29565"/>
    <cellStyle name="注释 2 10 4 2 7" xfId="29566"/>
    <cellStyle name="输入 2 3 10 4" xfId="29567"/>
    <cellStyle name="输入 2 13 4 2 2" xfId="29568"/>
    <cellStyle name="计算 2 5 13 5 2" xfId="29569"/>
    <cellStyle name="计算 2 5 14" xfId="29570"/>
    <cellStyle name="注释 2 9 8 7 6" xfId="29571"/>
    <cellStyle name="计算 2 5 14 2" xfId="29572"/>
    <cellStyle name="计算 2 5 14 2 2" xfId="29573"/>
    <cellStyle name="计算 2 5 14 3 2" xfId="29574"/>
    <cellStyle name="输出 2 2 9 12" xfId="29575"/>
    <cellStyle name="计算 2 5 14 4 2" xfId="29576"/>
    <cellStyle name="输入 2 13 5 2" xfId="29577"/>
    <cellStyle name="计算 2 5 14 5" xfId="29578"/>
    <cellStyle name="注释 2 10 5 2 7" xfId="29579"/>
    <cellStyle name="输入 2 13 5 2 2" xfId="29580"/>
    <cellStyle name="计算 2 5 14 5 2" xfId="29581"/>
    <cellStyle name="计算 2 5 15" xfId="29582"/>
    <cellStyle name="计算 2 5 20" xfId="29583"/>
    <cellStyle name="检查单元格 2 8 7 5 2" xfId="29584"/>
    <cellStyle name="输出 2 6 8 2 4 2" xfId="29585"/>
    <cellStyle name="计算 2 5 15 2" xfId="29586"/>
    <cellStyle name="计算 2 5 20 2" xfId="29587"/>
    <cellStyle name="检查单元格 2 8 7 5 2 2" xfId="29588"/>
    <cellStyle name="计算 2 5 15 2 2" xfId="29589"/>
    <cellStyle name="计算 2 5 15 3 2" xfId="29590"/>
    <cellStyle name="计算 2 5 15 4 2" xfId="29591"/>
    <cellStyle name="输入 2 13 6 2" xfId="29592"/>
    <cellStyle name="计算 2 5 15 5" xfId="29593"/>
    <cellStyle name="注释 2 10 6 2 7" xfId="29594"/>
    <cellStyle name="输入 2 13 6 2 2" xfId="29595"/>
    <cellStyle name="计算 2 5 15 5 2" xfId="29596"/>
    <cellStyle name="输出 2 8 12 2 2" xfId="29597"/>
    <cellStyle name="计算 2 5 16" xfId="29598"/>
    <cellStyle name="计算 2 5 21" xfId="29599"/>
    <cellStyle name="检查单元格 2 8 7 5 3" xfId="29600"/>
    <cellStyle name="计算 2 5 16 2" xfId="29601"/>
    <cellStyle name="计算 2 5 21 2" xfId="29602"/>
    <cellStyle name="检查单元格 2 8 7 5 3 2" xfId="29603"/>
    <cellStyle name="输入 2 10 7 4" xfId="29604"/>
    <cellStyle name="计算 2 5 16 2 2" xfId="29605"/>
    <cellStyle name="计算 2 5 16 3" xfId="29606"/>
    <cellStyle name="输入 2 10 8 4" xfId="29607"/>
    <cellStyle name="计算 2 5 16 3 2" xfId="29608"/>
    <cellStyle name="输入 2 10 9 4" xfId="29609"/>
    <cellStyle name="计算 2 5 16 4 2" xfId="29610"/>
    <cellStyle name="输入 2 13 7 2" xfId="29611"/>
    <cellStyle name="计算 2 5 16 5" xfId="29612"/>
    <cellStyle name="注释 2 10 7 2 7" xfId="29613"/>
    <cellStyle name="输入 2 13 7 2 2" xfId="29614"/>
    <cellStyle name="计算 2 5 16 5 2" xfId="29615"/>
    <cellStyle name="输入 2 13 7 3" xfId="29616"/>
    <cellStyle name="计算 2 5 16 6" xfId="29617"/>
    <cellStyle name="计算 2 8 11 2 2" xfId="29618"/>
    <cellStyle name="计算 2 5 17" xfId="29619"/>
    <cellStyle name="计算 2 5 22" xfId="29620"/>
    <cellStyle name="检查单元格 2 8 7 5 4" xfId="29621"/>
    <cellStyle name="计算 2 5 17 2" xfId="29622"/>
    <cellStyle name="计算 2 5 22 2" xfId="29623"/>
    <cellStyle name="检查单元格 2 8 7 5 4 2" xfId="29624"/>
    <cellStyle name="输入 2 11 7 4" xfId="29625"/>
    <cellStyle name="计算 2 5 17 2 2" xfId="29626"/>
    <cellStyle name="计算 2 5 17 3" xfId="29627"/>
    <cellStyle name="输入 2 11 8 4" xfId="29628"/>
    <cellStyle name="计算 2 5 17 3 2" xfId="29629"/>
    <cellStyle name="计算 2 5 17 4" xfId="29630"/>
    <cellStyle name="输入 2 11 9 4" xfId="29631"/>
    <cellStyle name="计算 2 5 17 4 2" xfId="29632"/>
    <cellStyle name="输入 2 13 8 2" xfId="29633"/>
    <cellStyle name="计算 2 5 17 5" xfId="29634"/>
    <cellStyle name="输出 2 3 9 10" xfId="29635"/>
    <cellStyle name="注释 2 10 8 2 7" xfId="29636"/>
    <cellStyle name="输入 2 13 8 2 2" xfId="29637"/>
    <cellStyle name="计算 2 5 17 5 2" xfId="29638"/>
    <cellStyle name="输出 2 3 9 10 2" xfId="29639"/>
    <cellStyle name="输入 2 13 8 3" xfId="29640"/>
    <cellStyle name="计算 2 5 17 6" xfId="29641"/>
    <cellStyle name="计算 2 8 11 3 2" xfId="29642"/>
    <cellStyle name="输出 2 3 9 11" xfId="29643"/>
    <cellStyle name="计算 2 5 18" xfId="29644"/>
    <cellStyle name="计算 2 5 23" xfId="29645"/>
    <cellStyle name="检查单元格 2 8 7 5 5" xfId="29646"/>
    <cellStyle name="计算 2 5 18 2" xfId="29647"/>
    <cellStyle name="计算 2 5 23 2" xfId="29648"/>
    <cellStyle name="输入 2 12 7 4" xfId="29649"/>
    <cellStyle name="计算 2 5 18 2 2" xfId="29650"/>
    <cellStyle name="计算 2 8 10 2 3" xfId="29651"/>
    <cellStyle name="输入 2 11 4 10 2" xfId="29652"/>
    <cellStyle name="计算 2 5 18 3" xfId="29653"/>
    <cellStyle name="输入 2 12 8 4" xfId="29654"/>
    <cellStyle name="计算 2 5 18 3 2" xfId="29655"/>
    <cellStyle name="计算 2 8 10 3 3" xfId="29656"/>
    <cellStyle name="输出 2 3 4 12" xfId="29657"/>
    <cellStyle name="计算 2 5 18 4" xfId="29658"/>
    <cellStyle name="输入 2 12 9 4" xfId="29659"/>
    <cellStyle name="计算 2 5 18 4 2" xfId="29660"/>
    <cellStyle name="计算 2 8 10 4 3" xfId="29661"/>
    <cellStyle name="输入 2 13 9 2" xfId="29662"/>
    <cellStyle name="计算 2 5 18 5" xfId="29663"/>
    <cellStyle name="注释 2 10 9 2 7" xfId="29664"/>
    <cellStyle name="输入 2 4 10 4" xfId="29665"/>
    <cellStyle name="计算 2 5 18 5 2" xfId="29666"/>
    <cellStyle name="计算 2 8 10 5 3" xfId="29667"/>
    <cellStyle name="计算 2 5 18 6" xfId="29668"/>
    <cellStyle name="计算 2 8 11 4 2" xfId="29669"/>
    <cellStyle name="计算 2 5 19 2" xfId="29670"/>
    <cellStyle name="检查单元格 2 8 10 3" xfId="29671"/>
    <cellStyle name="计算 2 8 11 2 3" xfId="29672"/>
    <cellStyle name="输入 2 13 7 4" xfId="29673"/>
    <cellStyle name="计算 2 5 19 2 2" xfId="29674"/>
    <cellStyle name="检查单元格 2 8 10 3 2" xfId="29675"/>
    <cellStyle name="输入 2 11 4 11 2" xfId="29676"/>
    <cellStyle name="计算 2 5 19 3" xfId="29677"/>
    <cellStyle name="检查单元格 2 8 10 4" xfId="29678"/>
    <cellStyle name="输入 2 13 8 4" xfId="29679"/>
    <cellStyle name="计算 2 5 19 3 2" xfId="29680"/>
    <cellStyle name="检查单元格 2 8 10 4 2" xfId="29681"/>
    <cellStyle name="计算 2 8 11 3 3" xfId="29682"/>
    <cellStyle name="输出 2 3 9 12" xfId="29683"/>
    <cellStyle name="计算 2 5 19 4" xfId="29684"/>
    <cellStyle name="检查单元格 2 8 10 5" xfId="29685"/>
    <cellStyle name="计算 2 8 11 4 3" xfId="29686"/>
    <cellStyle name="计算 2 5 19 4 2" xfId="29687"/>
    <cellStyle name="检查单元格 2 8 10 5 2" xfId="29688"/>
    <cellStyle name="计算 2 5 19 5" xfId="29689"/>
    <cellStyle name="检查单元格 2 8 10 6" xfId="29690"/>
    <cellStyle name="计算 2 5 2 12" xfId="29691"/>
    <cellStyle name="计算 2 5 2 13" xfId="29692"/>
    <cellStyle name="计算 2 5 2 14" xfId="29693"/>
    <cellStyle name="计算 2 5 2 16" xfId="29694"/>
    <cellStyle name="计算 2 5 2 2 2" xfId="29695"/>
    <cellStyle name="输出 2 11 9 4 5 2" xfId="29696"/>
    <cellStyle name="输出 2 3 6 3 2" xfId="29697"/>
    <cellStyle name="计算 2 5 2 2 4" xfId="29698"/>
    <cellStyle name="输出 2 3 6 3 4" xfId="29699"/>
    <cellStyle name="计算 2 5 2 2 5" xfId="29700"/>
    <cellStyle name="输出 2 3 6 3 5" xfId="29701"/>
    <cellStyle name="计算 2 5 2 2 6" xfId="29702"/>
    <cellStyle name="输出 2 3 6 3 6" xfId="29703"/>
    <cellStyle name="输出 2 5 10 4 2 2" xfId="29704"/>
    <cellStyle name="计算 2 5 2 2 7" xfId="29705"/>
    <cellStyle name="计算 2 5 2 2 8" xfId="29706"/>
    <cellStyle name="计算 2 5 2 2 9" xfId="29707"/>
    <cellStyle name="计算 2 5 2 3" xfId="29708"/>
    <cellStyle name="输出 2 11 9 4 6" xfId="29709"/>
    <cellStyle name="输出 2 3 6 4" xfId="29710"/>
    <cellStyle name="计算 2 5 2 3 2" xfId="29711"/>
    <cellStyle name="输入 2 7 4 10" xfId="29712"/>
    <cellStyle name="输出 2 3 6 4 2" xfId="29713"/>
    <cellStyle name="计算 2 5 2 3 4" xfId="29714"/>
    <cellStyle name="输入 2 7 4 12" xfId="29715"/>
    <cellStyle name="输出 2 3 6 4 4" xfId="29716"/>
    <cellStyle name="计算 2 5 2 3 5" xfId="29717"/>
    <cellStyle name="输入 2 7 4 13" xfId="29718"/>
    <cellStyle name="输出 2 3 6 4 5" xfId="29719"/>
    <cellStyle name="计算 2 5 2 3 6" xfId="29720"/>
    <cellStyle name="输入 2 7 4 14" xfId="29721"/>
    <cellStyle name="输出 2 3 6 4 6" xfId="29722"/>
    <cellStyle name="输出 2 5 10 4 3 2" xfId="29723"/>
    <cellStyle name="计算 2 5 2 4" xfId="29724"/>
    <cellStyle name="输出 2 3 6 5" xfId="29725"/>
    <cellStyle name="计算 2 5 2 4 2" xfId="29726"/>
    <cellStyle name="输出 2 3 6 5 2" xfId="29727"/>
    <cellStyle name="计算 2 5 2 4 4" xfId="29728"/>
    <cellStyle name="输出 2 3 6 5 4" xfId="29729"/>
    <cellStyle name="计算 2 5 2 4 5" xfId="29730"/>
    <cellStyle name="注释 2 15 4 2 2" xfId="29731"/>
    <cellStyle name="输出 2 3 6 5 5" xfId="29732"/>
    <cellStyle name="计算 2 5 2 4 6" xfId="29733"/>
    <cellStyle name="输出 2 3 6 5 6" xfId="29734"/>
    <cellStyle name="输出 2 5 10 4 4 2" xfId="29735"/>
    <cellStyle name="计算 2 5 2 5" xfId="29736"/>
    <cellStyle name="输出 2 3 6 6" xfId="29737"/>
    <cellStyle name="计算 2 5 2 5 2" xfId="29738"/>
    <cellStyle name="输出 2 3 6 6 2" xfId="29739"/>
    <cellStyle name="计算 2 5 2 5 4" xfId="29740"/>
    <cellStyle name="输出 2 3 6 6 4" xfId="29741"/>
    <cellStyle name="计算 2 5 2 5 5" xfId="29742"/>
    <cellStyle name="注释 2 15 4 3 2" xfId="29743"/>
    <cellStyle name="输出 2 3 6 6 5" xfId="29744"/>
    <cellStyle name="计算 2 5 2 5 6" xfId="29745"/>
    <cellStyle name="输出 2 3 3 3 2 2" xfId="29746"/>
    <cellStyle name="输出 2 3 6 6 6" xfId="29747"/>
    <cellStyle name="输出 2 5 10 4 5 2" xfId="29748"/>
    <cellStyle name="输出 2 9 4 6 3 2" xfId="29749"/>
    <cellStyle name="计算 2 5 2 6" xfId="29750"/>
    <cellStyle name="输入 2 2 6 3 2" xfId="29751"/>
    <cellStyle name="输出 2 3 6 7" xfId="29752"/>
    <cellStyle name="计算 2 5 2 6 2" xfId="29753"/>
    <cellStyle name="输入 2 2 6 3 2 2" xfId="29754"/>
    <cellStyle name="输出 2 3 6 7 2" xfId="29755"/>
    <cellStyle name="计算 2 5 2 6 3" xfId="29756"/>
    <cellStyle name="输出 2 3 6 7 3" xfId="29757"/>
    <cellStyle name="计算 2 5 2 6 4" xfId="29758"/>
    <cellStyle name="输出 2 12 7 6 2 2" xfId="29759"/>
    <cellStyle name="输出 2 3 6 7 4" xfId="29760"/>
    <cellStyle name="计算 2 5 2 6 5" xfId="29761"/>
    <cellStyle name="注释 2 15 4 4 2" xfId="29762"/>
    <cellStyle name="输出 2 3 6 7 5" xfId="29763"/>
    <cellStyle name="计算 2 5 2 7" xfId="29764"/>
    <cellStyle name="输入 2 2 6 3 3" xfId="29765"/>
    <cellStyle name="输出 2 3 6 8" xfId="29766"/>
    <cellStyle name="计算 2 5 2 7 2" xfId="29767"/>
    <cellStyle name="输入 2 2 6 3 3 2" xfId="29768"/>
    <cellStyle name="输出 2 3 6 8 2" xfId="29769"/>
    <cellStyle name="输入 2 2 18 3" xfId="29770"/>
    <cellStyle name="计算 2 5 2 7 2 2" xfId="29771"/>
    <cellStyle name="计算 2 8 7 5 6" xfId="29772"/>
    <cellStyle name="输出 2 3 6 8 2 2" xfId="29773"/>
    <cellStyle name="计算 2 5 2 7 3" xfId="29774"/>
    <cellStyle name="输出 2 11 6 2 2" xfId="29775"/>
    <cellStyle name="输出 2 3 6 8 3" xfId="29776"/>
    <cellStyle name="输入 2 2 19 3" xfId="29777"/>
    <cellStyle name="计算 2 5 2 7 3 2" xfId="29778"/>
    <cellStyle name="计算 2 8 7 6 6" xfId="29779"/>
    <cellStyle name="输出 2 11 6 2 2 2" xfId="29780"/>
    <cellStyle name="输出 2 3 6 8 3 2" xfId="29781"/>
    <cellStyle name="计算 2 5 2 7 4" xfId="29782"/>
    <cellStyle name="输出 2 12 7 6 3 2" xfId="29783"/>
    <cellStyle name="输出 2 11 6 2 3" xfId="29784"/>
    <cellStyle name="输出 2 3 6 8 4" xfId="29785"/>
    <cellStyle name="计算 2 5 2 7 4 2" xfId="29786"/>
    <cellStyle name="计算 2 8 7 7 6" xfId="29787"/>
    <cellStyle name="输出 2 11 6 2 3 2" xfId="29788"/>
    <cellStyle name="输出 2 3 6 8 4 2" xfId="29789"/>
    <cellStyle name="计算 2 5 2 7 5" xfId="29790"/>
    <cellStyle name="注释 2 15 4 5 2" xfId="29791"/>
    <cellStyle name="输出 2 11 6 2 4" xfId="29792"/>
    <cellStyle name="输出 2 3 6 8 5" xfId="29793"/>
    <cellStyle name="计算 2 5 2 7 5 2" xfId="29794"/>
    <cellStyle name="输出 2 11 6 2 4 2" xfId="29795"/>
    <cellStyle name="计算 2 5 2 8" xfId="29796"/>
    <cellStyle name="注释 2 4 4 4 3 2" xfId="29797"/>
    <cellStyle name="输入 2 2 6 3 4" xfId="29798"/>
    <cellStyle name="输出 2 3 6 9" xfId="29799"/>
    <cellStyle name="计算 2 5 2 8 2" xfId="29800"/>
    <cellStyle name="输入 2 7 5 10" xfId="29801"/>
    <cellStyle name="输入 2 2 6 3 4 2" xfId="29802"/>
    <cellStyle name="输出 2 3 6 9 2" xfId="29803"/>
    <cellStyle name="计算 2 5 2 8 2 2" xfId="29804"/>
    <cellStyle name="输入 2 7 5 10 2" xfId="29805"/>
    <cellStyle name="计算 2 8 8 5 6" xfId="29806"/>
    <cellStyle name="计算 2 5 2 8 3" xfId="29807"/>
    <cellStyle name="输入 2 7 5 11" xfId="29808"/>
    <cellStyle name="输出 2 11 6 3 2" xfId="29809"/>
    <cellStyle name="计算 2 5 2 8 3 2" xfId="29810"/>
    <cellStyle name="输入 2 7 5 11 2" xfId="29811"/>
    <cellStyle name="计算 2 8 8 6 6" xfId="29812"/>
    <cellStyle name="输出 2 11 6 3 2 2" xfId="29813"/>
    <cellStyle name="输入 2 7 5 12" xfId="29814"/>
    <cellStyle name="输出 2 11 6 3 3" xfId="29815"/>
    <cellStyle name="计算 2 5 2 8 4" xfId="29816"/>
    <cellStyle name="输出 2 12 7 6 4 2" xfId="29817"/>
    <cellStyle name="计算 2 5 2 8 4 2" xfId="29818"/>
    <cellStyle name="输入 2 7 5 12 2" xfId="29819"/>
    <cellStyle name="计算 2 8 8 7 6" xfId="29820"/>
    <cellStyle name="输出 2 11 6 3 3 2" xfId="29821"/>
    <cellStyle name="计算 2 5 2 8 5" xfId="29822"/>
    <cellStyle name="输入 2 7 5 13" xfId="29823"/>
    <cellStyle name="输出 2 11 6 3 4" xfId="29824"/>
    <cellStyle name="计算 2 5 2 9" xfId="29825"/>
    <cellStyle name="计算 2 9 6 4 3 2" xfId="29826"/>
    <cellStyle name="计算 2 5 2 9 2" xfId="29827"/>
    <cellStyle name="输入 2 2 6 3 5 2" xfId="29828"/>
    <cellStyle name="计算 2 8 2 13" xfId="29829"/>
    <cellStyle name="计算 2 5 25" xfId="29830"/>
    <cellStyle name="计算 2 5 26" xfId="29831"/>
    <cellStyle name="计算 2 5 27" xfId="29832"/>
    <cellStyle name="输出 2 10 5 2 3 2" xfId="29833"/>
    <cellStyle name="输出 2 2 5 8 4 2" xfId="29834"/>
    <cellStyle name="注释 2 5 3 4 3" xfId="29835"/>
    <cellStyle name="计算 2 5 3 10" xfId="29836"/>
    <cellStyle name="输入 2 3 11 4 2 2" xfId="29837"/>
    <cellStyle name="输出 2 3 7 15" xfId="29838"/>
    <cellStyle name="注释 2 5 3 4 4" xfId="29839"/>
    <cellStyle name="注释 2 12 6 5 4 2" xfId="29840"/>
    <cellStyle name="计算 2 5 3 11" xfId="29841"/>
    <cellStyle name="输出 2 3 7 16" xfId="29842"/>
    <cellStyle name="注释 2 5 3 4 5" xfId="29843"/>
    <cellStyle name="计算 2 5 3 12" xfId="29844"/>
    <cellStyle name="注释 2 5 3 4 6" xfId="29845"/>
    <cellStyle name="计算 2 5 3 13" xfId="29846"/>
    <cellStyle name="注释 2 3 3 7 4 2" xfId="29847"/>
    <cellStyle name="计算 2 5 3 14" xfId="29848"/>
    <cellStyle name="计算 2 8 5 7 4 2" xfId="29849"/>
    <cellStyle name="计算 2 5 3 15" xfId="29850"/>
    <cellStyle name="输出 2 6 9 8 4 2" xfId="29851"/>
    <cellStyle name="计算 2 5 3 16" xfId="29852"/>
    <cellStyle name="计算 2 5 3 2" xfId="29853"/>
    <cellStyle name="输入 2 8 7 6 3 2" xfId="29854"/>
    <cellStyle name="输出 2 11 9 5 5" xfId="29855"/>
    <cellStyle name="输出 2 3 7 3" xfId="29856"/>
    <cellStyle name="计算 2 5 3 2 2" xfId="29857"/>
    <cellStyle name="输出 2 11 9 5 5 2" xfId="29858"/>
    <cellStyle name="输出 2 3 7 3 2" xfId="29859"/>
    <cellStyle name="输入 2 7 9 2 2 2" xfId="29860"/>
    <cellStyle name="计算 2 5 3 2 4" xfId="29861"/>
    <cellStyle name="输出 2 3 7 3 4" xfId="29862"/>
    <cellStyle name="计算 2 5 3 2 5" xfId="29863"/>
    <cellStyle name="输出 2 3 7 3 5" xfId="29864"/>
    <cellStyle name="计算 2 5 3 2 6" xfId="29865"/>
    <cellStyle name="输出 2 3 7 3 6" xfId="29866"/>
    <cellStyle name="输出 2 5 10 5 2 2" xfId="29867"/>
    <cellStyle name="计算 2 5 3 2 7" xfId="29868"/>
    <cellStyle name="计算 2 5 3 2 8" xfId="29869"/>
    <cellStyle name="计算 2 5 3 3" xfId="29870"/>
    <cellStyle name="输出 2 11 9 5 6" xfId="29871"/>
    <cellStyle name="输出 2 3 7 4" xfId="29872"/>
    <cellStyle name="计算 2 5 3 3 2" xfId="29873"/>
    <cellStyle name="输入 2 7 9 10" xfId="29874"/>
    <cellStyle name="输出 2 3 7 4 2" xfId="29875"/>
    <cellStyle name="输入 2 7 9 2 3 2" xfId="29876"/>
    <cellStyle name="计算 2 5 3 3 4" xfId="29877"/>
    <cellStyle name="输入 2 7 9 12" xfId="29878"/>
    <cellStyle name="输出 2 3 7 4 4" xfId="29879"/>
    <cellStyle name="计算 2 5 3 3 5" xfId="29880"/>
    <cellStyle name="输入 2 7 9 13" xfId="29881"/>
    <cellStyle name="输出 2 3 7 4 5" xfId="29882"/>
    <cellStyle name="计算 2 5 3 3 6" xfId="29883"/>
    <cellStyle name="输入 2 7 9 14" xfId="29884"/>
    <cellStyle name="输入 2 12 3 10 2" xfId="29885"/>
    <cellStyle name="输出 2 3 7 4 6" xfId="29886"/>
    <cellStyle name="输出 2 5 10 5 3 2" xfId="29887"/>
    <cellStyle name="计算 2 5 3 4" xfId="29888"/>
    <cellStyle name="输出 2 3 7 5" xfId="29889"/>
    <cellStyle name="计算 2 5 3 4 2" xfId="29890"/>
    <cellStyle name="计算 2 8 6 13" xfId="29891"/>
    <cellStyle name="输出 2 3 7 5 2" xfId="29892"/>
    <cellStyle name="输入 2 7 9 2 4 2" xfId="29893"/>
    <cellStyle name="计算 2 5 3 4 4" xfId="29894"/>
    <cellStyle name="计算 2 8 6 15" xfId="29895"/>
    <cellStyle name="输出 2 3 7 5 4" xfId="29896"/>
    <cellStyle name="计算 2 5 3 4 5" xfId="29897"/>
    <cellStyle name="注释 2 15 5 2 2" xfId="29898"/>
    <cellStyle name="计算 2 8 6 16" xfId="29899"/>
    <cellStyle name="输出 2 3 7 5 5" xfId="29900"/>
    <cellStyle name="计算 2 5 3 4 6" xfId="29901"/>
    <cellStyle name="输入 2 12 3 11 2" xfId="29902"/>
    <cellStyle name="输出 2 3 7 5 6" xfId="29903"/>
    <cellStyle name="输出 2 5 10 5 4 2" xfId="29904"/>
    <cellStyle name="计算 2 5 3 5" xfId="29905"/>
    <cellStyle name="输出 2 3 7 6" xfId="29906"/>
    <cellStyle name="输出 2 9 4 6 4 2" xfId="29907"/>
    <cellStyle name="计算 2 5 3 6" xfId="29908"/>
    <cellStyle name="输入 2 2 6 4 2" xfId="29909"/>
    <cellStyle name="输出 2 3 7 7" xfId="29910"/>
    <cellStyle name="计算 2 5 3 7 5" xfId="29911"/>
    <cellStyle name="注释 2 15 5 5 2" xfId="29912"/>
    <cellStyle name="输出 2 11 7 2 4" xfId="29913"/>
    <cellStyle name="输出 2 3 7 8 5" xfId="29914"/>
    <cellStyle name="计算 2 5 3 8" xfId="29915"/>
    <cellStyle name="注释 2 4 4 4 4 2" xfId="29916"/>
    <cellStyle name="输入 2 2 6 4 4" xfId="29917"/>
    <cellStyle name="输出 2 3 7 9" xfId="29918"/>
    <cellStyle name="计算 2 5 3 8 5" xfId="29919"/>
    <cellStyle name="输入 2 6 10 2 8" xfId="29920"/>
    <cellStyle name="输出 2 11 7 3 4" xfId="29921"/>
    <cellStyle name="计算 2 5 3 9" xfId="29922"/>
    <cellStyle name="计算 2 9 6 4 4 2" xfId="29923"/>
    <cellStyle name="计算 2 5 4 10 2" xfId="29924"/>
    <cellStyle name="计算 2 5 4 11" xfId="29925"/>
    <cellStyle name="输出 2 3 8 16" xfId="29926"/>
    <cellStyle name="计算 2 5 4 11 2" xfId="29927"/>
    <cellStyle name="计算 2 5 4 12" xfId="29928"/>
    <cellStyle name="计算 2 5 4 12 2" xfId="29929"/>
    <cellStyle name="检查单元格 2 5 2 2 8" xfId="29930"/>
    <cellStyle name="计算 2 5 4 13" xfId="29931"/>
    <cellStyle name="计算 2 5 4 14" xfId="29932"/>
    <cellStyle name="计算 2 5 4 15" xfId="29933"/>
    <cellStyle name="计算 2 5 4 16" xfId="29934"/>
    <cellStyle name="计算 2 5 4 2" xfId="29935"/>
    <cellStyle name="输入 2 8 7 6 4 2" xfId="29936"/>
    <cellStyle name="输出 2 11 9 6 5" xfId="29937"/>
    <cellStyle name="输出 2 3 8 3" xfId="29938"/>
    <cellStyle name="计算 2 5 4 2 2" xfId="29939"/>
    <cellStyle name="输出 2 11 9 6 5 2" xfId="29940"/>
    <cellStyle name="输出 2 3 8 3 2" xfId="29941"/>
    <cellStyle name="输出 2 8 6 6 6" xfId="29942"/>
    <cellStyle name="计算 2 5 4 2 2 2" xfId="29943"/>
    <cellStyle name="输出 2 3 8 3 2 2" xfId="29944"/>
    <cellStyle name="输出 2 8 6 7 6" xfId="29945"/>
    <cellStyle name="计算 2 5 4 2 3 2" xfId="29946"/>
    <cellStyle name="输出 2 3 8 3 3 2" xfId="29947"/>
    <cellStyle name="输入 2 7 9 3 2 2" xfId="29948"/>
    <cellStyle name="计算 2 5 4 2 4" xfId="29949"/>
    <cellStyle name="输出 2 3 8 3 4" xfId="29950"/>
    <cellStyle name="计算 2 5 4 2 4 2" xfId="29951"/>
    <cellStyle name="输出 2 3 8 3 4 2" xfId="29952"/>
    <cellStyle name="输出 2 6 11 13" xfId="29953"/>
    <cellStyle name="计算 2 5 4 2 5" xfId="29954"/>
    <cellStyle name="输出 2 3 8 3 5" xfId="29955"/>
    <cellStyle name="计算 2 5 4 2 5 2" xfId="29956"/>
    <cellStyle name="输出 2 3 8 3 5 2" xfId="29957"/>
    <cellStyle name="计算 2 5 4 2 6" xfId="29958"/>
    <cellStyle name="输出 2 3 8 3 6" xfId="29959"/>
    <cellStyle name="输出 2 5 10 6 2 2" xfId="29960"/>
    <cellStyle name="计算 2 5 4 2 7" xfId="29961"/>
    <cellStyle name="计算 2 5 4 2 8" xfId="29962"/>
    <cellStyle name="输出 2 6 10 10 2" xfId="29963"/>
    <cellStyle name="计算 2 5 4 2 9" xfId="29964"/>
    <cellStyle name="计算 2 5 4 3" xfId="29965"/>
    <cellStyle name="输出 2 11 9 6 6" xfId="29966"/>
    <cellStyle name="输出 2 3 8 4" xfId="29967"/>
    <cellStyle name="注释 2 10 3 13" xfId="29968"/>
    <cellStyle name="计算 2 5 4 3 2" xfId="29969"/>
    <cellStyle name="输出 2 3 8 4 2" xfId="29970"/>
    <cellStyle name="输出 2 8 7 7 6" xfId="29971"/>
    <cellStyle name="计算 2 5 4 3 3 2" xfId="29972"/>
    <cellStyle name="输出 2 3 8 4 3 2" xfId="29973"/>
    <cellStyle name="注释 2 10 3 15" xfId="29974"/>
    <cellStyle name="输入 2 7 9 3 3 2" xfId="29975"/>
    <cellStyle name="计算 2 5 4 3 4" xfId="29976"/>
    <cellStyle name="输出 2 3 8 4 4" xfId="29977"/>
    <cellStyle name="计算 2 5 4 3 4 2" xfId="29978"/>
    <cellStyle name="输出 2 3 8 4 4 2" xfId="29979"/>
    <cellStyle name="注释 2 10 3 16" xfId="29980"/>
    <cellStyle name="计算 2 5 4 3 5" xfId="29981"/>
    <cellStyle name="输出 2 3 8 4 5" xfId="29982"/>
    <cellStyle name="计算 2 5 4 3 6" xfId="29983"/>
    <cellStyle name="输出 2 3 8 4 6" xfId="29984"/>
    <cellStyle name="输出 2 5 10 6 3 2" xfId="29985"/>
    <cellStyle name="计算 2 5 4 4" xfId="29986"/>
    <cellStyle name="输出 2 3 8 5" xfId="29987"/>
    <cellStyle name="计算 2 5 4 4 2" xfId="29988"/>
    <cellStyle name="输出 2 3 8 5 2" xfId="29989"/>
    <cellStyle name="输出 2 8 8 6 6" xfId="29990"/>
    <cellStyle name="计算 2 5 4 4 2 2" xfId="29991"/>
    <cellStyle name="输出 2 3 8 5 2 2" xfId="29992"/>
    <cellStyle name="输出 2 8 8 7 6" xfId="29993"/>
    <cellStyle name="计算 2 5 4 4 3 2" xfId="29994"/>
    <cellStyle name="输出 2 3 8 5 3 2" xfId="29995"/>
    <cellStyle name="输入 2 7 9 3 4 2" xfId="29996"/>
    <cellStyle name="计算 2 5 4 4 4" xfId="29997"/>
    <cellStyle name="输出 2 3 8 5 4" xfId="29998"/>
    <cellStyle name="计算 2 5 4 4 4 2" xfId="29999"/>
    <cellStyle name="输出 2 3 8 5 4 2" xfId="30000"/>
    <cellStyle name="计算 2 5 4 4 5" xfId="30001"/>
    <cellStyle name="注释 2 15 6 2 2" xfId="30002"/>
    <cellStyle name="输出 2 3 8 5 5" xfId="30003"/>
    <cellStyle name="计算 2 5 4 4 5 2" xfId="30004"/>
    <cellStyle name="输出 2 3 8 5 5 2" xfId="30005"/>
    <cellStyle name="计算 2 5 4 4 6" xfId="30006"/>
    <cellStyle name="输出 2 3 8 5 6" xfId="30007"/>
    <cellStyle name="输出 2 5 10 6 4 2" xfId="30008"/>
    <cellStyle name="计算 2 5 4 5" xfId="30009"/>
    <cellStyle name="输出 2 3 8 6" xfId="30010"/>
    <cellStyle name="计算 2 5 4 5 4 2" xfId="30011"/>
    <cellStyle name="输出 2 3 8 6 4 2" xfId="30012"/>
    <cellStyle name="计算 2 5 4 5 5 2" xfId="30013"/>
    <cellStyle name="输出 2 2 2 2 2" xfId="30014"/>
    <cellStyle name="输出 2 3 8 6 5 2" xfId="30015"/>
    <cellStyle name="输出 2 9 4 6 5 2" xfId="30016"/>
    <cellStyle name="计算 2 5 4 6" xfId="30017"/>
    <cellStyle name="输入 2 2 6 5 2" xfId="30018"/>
    <cellStyle name="输出 2 3 8 7" xfId="30019"/>
    <cellStyle name="计算 2 5 4 6 4 2" xfId="30020"/>
    <cellStyle name="输出 2 3 8 7 4 2" xfId="30021"/>
    <cellStyle name="计算 2 5 4 6 5" xfId="30022"/>
    <cellStyle name="注释 2 15 6 4 2" xfId="30023"/>
    <cellStyle name="输出 2 2 3 2" xfId="30024"/>
    <cellStyle name="输出 2 3 8 7 5" xfId="30025"/>
    <cellStyle name="计算 2 5 4 6 5 2" xfId="30026"/>
    <cellStyle name="计算 2 8 11 13" xfId="30027"/>
    <cellStyle name="霓付 [0]_97MBO" xfId="30028"/>
    <cellStyle name="输出 2 2 3 2 2" xfId="30029"/>
    <cellStyle name="输出 2 3 8 7 5 2" xfId="30030"/>
    <cellStyle name="计算 2 5 4 7 4 2" xfId="30031"/>
    <cellStyle name="输出 2 11 8 2 3 2" xfId="30032"/>
    <cellStyle name="输出 2 3 8 8 4 2" xfId="30033"/>
    <cellStyle name="计算 2 5 4 7 5" xfId="30034"/>
    <cellStyle name="注释 2 15 6 5 2" xfId="30035"/>
    <cellStyle name="输出 2 11 8 2 4" xfId="30036"/>
    <cellStyle name="输出 2 2 4 2" xfId="30037"/>
    <cellStyle name="输出 2 3 8 8 5" xfId="30038"/>
    <cellStyle name="计算 2 5 4 7 5 2" xfId="30039"/>
    <cellStyle name="输出 2 11 8 2 4 2" xfId="30040"/>
    <cellStyle name="输出 2 2 4 2 2" xfId="30041"/>
    <cellStyle name="计算 2 5 4 8" xfId="30042"/>
    <cellStyle name="注释 2 4 4 4 5 2" xfId="30043"/>
    <cellStyle name="输入 2 2 6 5 4" xfId="30044"/>
    <cellStyle name="输出 2 3 8 9" xfId="30045"/>
    <cellStyle name="计算 2 5 4 8 4 2" xfId="30046"/>
    <cellStyle name="输出 2 11 8 3 3 2" xfId="30047"/>
    <cellStyle name="注释 2 10 4 16" xfId="30048"/>
    <cellStyle name="计算 2 5 4 8 5" xfId="30049"/>
    <cellStyle name="输出 2 11 8 3 4" xfId="30050"/>
    <cellStyle name="输出 2 2 5 2" xfId="30051"/>
    <cellStyle name="输出 2 7 6 11 2" xfId="30052"/>
    <cellStyle name="计算 2 5 5" xfId="30053"/>
    <cellStyle name="计算 2 5 5 10" xfId="30054"/>
    <cellStyle name="计算 2 8 11 3 6" xfId="30055"/>
    <cellStyle name="输出 2 3 9 15" xfId="30056"/>
    <cellStyle name="计算 2 5 5 10 2" xfId="30057"/>
    <cellStyle name="计算 2 5 5 11" xfId="30058"/>
    <cellStyle name="计算 2 6 9 4 3 2" xfId="30059"/>
    <cellStyle name="输出 2 3 9 16" xfId="30060"/>
    <cellStyle name="计算 2 5 5 12 2" xfId="30061"/>
    <cellStyle name="检查单元格 2 5 7 2 8" xfId="30062"/>
    <cellStyle name="计算 2 5 5 13" xfId="30063"/>
    <cellStyle name="计算 2 5 5 14" xfId="30064"/>
    <cellStyle name="计算 2 5 5 15" xfId="30065"/>
    <cellStyle name="输出 2 10 4 6 2 2" xfId="30066"/>
    <cellStyle name="计算 2 5 5 16" xfId="30067"/>
    <cellStyle name="计算 2 5 5 2" xfId="30068"/>
    <cellStyle name="输入 2 8 7 6 5 2" xfId="30069"/>
    <cellStyle name="输出 2 11 9 7 5" xfId="30070"/>
    <cellStyle name="输出 2 3 9 3" xfId="30071"/>
    <cellStyle name="计算 2 5 5 2 2" xfId="30072"/>
    <cellStyle name="输出 2 11 9 7 5 2" xfId="30073"/>
    <cellStyle name="输出 2 3 9 3 2" xfId="30074"/>
    <cellStyle name="输入 2 11 7 12" xfId="30075"/>
    <cellStyle name="输出 2 9 6 6 6" xfId="30076"/>
    <cellStyle name="计算 2 5 5 2 2 2" xfId="30077"/>
    <cellStyle name="输入 2 4 6 6" xfId="30078"/>
    <cellStyle name="输出 2 3 9 3 2 2" xfId="30079"/>
    <cellStyle name="输出 2 9 6 7 6" xfId="30080"/>
    <cellStyle name="计算 2 5 5 2 3 2" xfId="30081"/>
    <cellStyle name="输入 2 4 7 6" xfId="30082"/>
    <cellStyle name="输出 2 3 9 3 3 2" xfId="30083"/>
    <cellStyle name="输入 2 7 9 4 2 2" xfId="30084"/>
    <cellStyle name="计算 2 5 5 2 4" xfId="30085"/>
    <cellStyle name="输出 2 3 9 3 4" xfId="30086"/>
    <cellStyle name="计算 2 5 5 2 4 2" xfId="30087"/>
    <cellStyle name="输入 2 4 8 6" xfId="30088"/>
    <cellStyle name="输出 2 3 9 3 4 2" xfId="30089"/>
    <cellStyle name="输出 2 7 11 13" xfId="30090"/>
    <cellStyle name="计算 2 5 5 2 5" xfId="30091"/>
    <cellStyle name="输出 2 3 9 3 5" xfId="30092"/>
    <cellStyle name="计算 2 5 5 2 5 2" xfId="30093"/>
    <cellStyle name="输入 2 4 9 6" xfId="30094"/>
    <cellStyle name="输出 2 3 9 3 5 2" xfId="30095"/>
    <cellStyle name="计算 2 5 5 2 6" xfId="30096"/>
    <cellStyle name="输出 2 3 9 3 6" xfId="30097"/>
    <cellStyle name="输出 2 5 10 7 2 2" xfId="30098"/>
    <cellStyle name="计算 2 5 5 2 7" xfId="30099"/>
    <cellStyle name="计算 2 5 5 2 8" xfId="30100"/>
    <cellStyle name="计算 2 5 5 2 9" xfId="30101"/>
    <cellStyle name="计算 2 5 5 3" xfId="30102"/>
    <cellStyle name="输出 2 11 9 7 6" xfId="30103"/>
    <cellStyle name="输出 2 3 9 4" xfId="30104"/>
    <cellStyle name="注释 2 10 8 13" xfId="30105"/>
    <cellStyle name="计算 2 5 5 3 2" xfId="30106"/>
    <cellStyle name="输出 2 3 9 4 2" xfId="30107"/>
    <cellStyle name="输出 2 9 7 6 6" xfId="30108"/>
    <cellStyle name="计算 2 5 5 3 2 2" xfId="30109"/>
    <cellStyle name="输入 2 5 6 6" xfId="30110"/>
    <cellStyle name="输出 2 3 9 4 2 2" xfId="30111"/>
    <cellStyle name="输出 2 9 7 7 6" xfId="30112"/>
    <cellStyle name="计算 2 5 5 3 3 2" xfId="30113"/>
    <cellStyle name="输入 2 5 7 6" xfId="30114"/>
    <cellStyle name="输出 2 3 9 4 3 2" xfId="30115"/>
    <cellStyle name="注释 2 10 8 15" xfId="30116"/>
    <cellStyle name="输入 2 7 9 4 3 2" xfId="30117"/>
    <cellStyle name="计算 2 5 5 3 4" xfId="30118"/>
    <cellStyle name="输出 2 3 9 4 4" xfId="30119"/>
    <cellStyle name="计算 2 5 5 3 4 2" xfId="30120"/>
    <cellStyle name="输入 2 5 8 6" xfId="30121"/>
    <cellStyle name="输出 2 3 9 4 4 2" xfId="30122"/>
    <cellStyle name="注释 2 10 8 16" xfId="30123"/>
    <cellStyle name="计算 2 5 5 3 5" xfId="30124"/>
    <cellStyle name="输出 2 3 9 4 5" xfId="30125"/>
    <cellStyle name="计算 2 5 5 3 5 2" xfId="30126"/>
    <cellStyle name="输入 2 5 9 6" xfId="30127"/>
    <cellStyle name="输出 2 3 9 4 5 2" xfId="30128"/>
    <cellStyle name="计算 2 5 5 3 6" xfId="30129"/>
    <cellStyle name="输出 2 3 9 4 6" xfId="30130"/>
    <cellStyle name="输出 2 5 10 7 3 2" xfId="30131"/>
    <cellStyle name="计算 2 5 5 4" xfId="30132"/>
    <cellStyle name="输出 2 3 9 5" xfId="30133"/>
    <cellStyle name="计算 2 5 5 4 2" xfId="30134"/>
    <cellStyle name="输出 2 3 9 5 2" xfId="30135"/>
    <cellStyle name="输出 2 9 8 6 6" xfId="30136"/>
    <cellStyle name="计算 2 5 5 4 2 2" xfId="30137"/>
    <cellStyle name="输入 2 6 6 6" xfId="30138"/>
    <cellStyle name="输入 2 6 3 10" xfId="30139"/>
    <cellStyle name="输出 2 3 9 5 2 2" xfId="30140"/>
    <cellStyle name="输出 2 9 8 7 6" xfId="30141"/>
    <cellStyle name="计算 2 5 5 4 3 2" xfId="30142"/>
    <cellStyle name="输入 2 6 7 6" xfId="30143"/>
    <cellStyle name="输出 2 3 9 5 3 2" xfId="30144"/>
    <cellStyle name="输入 2 7 9 4 4 2" xfId="30145"/>
    <cellStyle name="计算 2 5 5 4 4" xfId="30146"/>
    <cellStyle name="输出 2 3 9 5 4" xfId="30147"/>
    <cellStyle name="计算 2 5 5 4 4 2" xfId="30148"/>
    <cellStyle name="输入 2 6 8 6" xfId="30149"/>
    <cellStyle name="输出 2 3 9 5 4 2" xfId="30150"/>
    <cellStyle name="计算 2 5 5 4 5" xfId="30151"/>
    <cellStyle name="注释 2 15 7 2 2" xfId="30152"/>
    <cellStyle name="输出 2 3 9 5 5" xfId="30153"/>
    <cellStyle name="计算 2 5 5 4 5 2" xfId="30154"/>
    <cellStyle name="输入 2 6 9 6" xfId="30155"/>
    <cellStyle name="输出 2 3 9 5 5 2" xfId="30156"/>
    <cellStyle name="计算 2 5 5 4 6" xfId="30157"/>
    <cellStyle name="输出 2 3 9 5 6" xfId="30158"/>
    <cellStyle name="输出 2 5 10 7 4 2" xfId="30159"/>
    <cellStyle name="计算 2 5 5 5" xfId="30160"/>
    <cellStyle name="输出 2 3 9 6" xfId="30161"/>
    <cellStyle name="计算 2 5 5 5 4 2" xfId="30162"/>
    <cellStyle name="输入 2 7 8 6" xfId="30163"/>
    <cellStyle name="输出 2 3 9 6 4 2" xfId="30164"/>
    <cellStyle name="计算 2 5 5 5 5 2" xfId="30165"/>
    <cellStyle name="输入 2 7 9 6" xfId="30166"/>
    <cellStyle name="输出 2 3 2 2 2" xfId="30167"/>
    <cellStyle name="输出 2 3 9 6 5 2" xfId="30168"/>
    <cellStyle name="计算 2 5 5 6" xfId="30169"/>
    <cellStyle name="输入 2 5 8 10 2" xfId="30170"/>
    <cellStyle name="输入 2 2 6 6 2" xfId="30171"/>
    <cellStyle name="输出 2 3 9 7" xfId="30172"/>
    <cellStyle name="输入 2 8 8 6" xfId="30173"/>
    <cellStyle name="输出 2 3 9 7 4 2" xfId="30174"/>
    <cellStyle name="计算 2 5 5 6 4 2" xfId="30175"/>
    <cellStyle name="输出 2 5 10 2 5" xfId="30176"/>
    <cellStyle name="计算 2 5 5 6 5" xfId="30177"/>
    <cellStyle name="注释 2 15 7 4 2" xfId="30178"/>
    <cellStyle name="输出 2 3 3 2" xfId="30179"/>
    <cellStyle name="输出 2 3 9 7 5" xfId="30180"/>
    <cellStyle name="输入 2 8 9 6" xfId="30181"/>
    <cellStyle name="输出 2 3 3 2 2" xfId="30182"/>
    <cellStyle name="输出 2 3 9 7 5 2" xfId="30183"/>
    <cellStyle name="计算 2 5 5 6 5 2" xfId="30184"/>
    <cellStyle name="计算 2 9 11 13" xfId="30185"/>
    <cellStyle name="输出 2 5 10 3 5" xfId="30186"/>
    <cellStyle name="输入 2 9 8 6" xfId="30187"/>
    <cellStyle name="输出 2 11 9 2 3 2" xfId="30188"/>
    <cellStyle name="输出 2 3 9 8 4 2" xfId="30189"/>
    <cellStyle name="计算 2 5 5 7 4 2" xfId="30190"/>
    <cellStyle name="输出 2 5 11 2 5" xfId="30191"/>
    <cellStyle name="计算 2 5 5 7 5" xfId="30192"/>
    <cellStyle name="注释 2 15 7 5 2" xfId="30193"/>
    <cellStyle name="输出 2 11 9 2 4" xfId="30194"/>
    <cellStyle name="输出 2 3 4 2" xfId="30195"/>
    <cellStyle name="输出 2 3 9 8 5" xfId="30196"/>
    <cellStyle name="输入 2 9 9 6" xfId="30197"/>
    <cellStyle name="输出 2 11 9 2 4 2" xfId="30198"/>
    <cellStyle name="输出 2 3 4 2 2" xfId="30199"/>
    <cellStyle name="计算 2 5 5 7 5 2" xfId="30200"/>
    <cellStyle name="输出 2 5 11 3 5" xfId="30201"/>
    <cellStyle name="计算 2 5 5 8" xfId="30202"/>
    <cellStyle name="输入 2 2 6 6 4" xfId="30203"/>
    <cellStyle name="输出 2 3 9 9" xfId="30204"/>
    <cellStyle name="计算 2 5 5 8 4 2" xfId="30205"/>
    <cellStyle name="注释 2 2 10 3" xfId="30206"/>
    <cellStyle name="输出 2 11 9 3 3 2" xfId="30207"/>
    <cellStyle name="注释 2 10 9 16" xfId="30208"/>
    <cellStyle name="计算 2 5 5 8 5" xfId="30209"/>
    <cellStyle name="输出 2 11 9 3 4" xfId="30210"/>
    <cellStyle name="输出 2 3 5 2" xfId="30211"/>
    <cellStyle name="计算 2 5 6" xfId="30212"/>
    <cellStyle name="计算 2 6 10 6 2" xfId="30213"/>
    <cellStyle name="计算 2 5 6 10 2" xfId="30214"/>
    <cellStyle name="计算 2 5 6 11" xfId="30215"/>
    <cellStyle name="计算 2 5 6 12" xfId="30216"/>
    <cellStyle name="计算 2 5 6 12 2" xfId="30217"/>
    <cellStyle name="注释 2 7 8 4 5 2" xfId="30218"/>
    <cellStyle name="计算 2 5 6 14" xfId="30219"/>
    <cellStyle name="计算 2 5 6 15" xfId="30220"/>
    <cellStyle name="计算 2 5 6 2" xfId="30221"/>
    <cellStyle name="计算 2 6 10 6 2 2" xfId="30222"/>
    <cellStyle name="输出 2 11 9 8 5" xfId="30223"/>
    <cellStyle name="计算 2 5 6 2 2" xfId="30224"/>
    <cellStyle name="计算 2 5 6 2 3 2" xfId="30225"/>
    <cellStyle name="输入 2 7 9 5 2 2" xfId="30226"/>
    <cellStyle name="计算 2 5 6 2 4" xfId="30227"/>
    <cellStyle name="计算 2 5 6 2 4 2" xfId="30228"/>
    <cellStyle name="注释 2 12 2 10 2" xfId="30229"/>
    <cellStyle name="计算 2 5 6 2 5" xfId="30230"/>
    <cellStyle name="计算 2 5 6 2 5 2" xfId="30231"/>
    <cellStyle name="计算 2 5 6 2 6" xfId="30232"/>
    <cellStyle name="注释 2 3 12 7" xfId="30233"/>
    <cellStyle name="输出 2 5 10 8 2 2" xfId="30234"/>
    <cellStyle name="计算 2 5 6 2 7" xfId="30235"/>
    <cellStyle name="计算 2 5 6 2 8" xfId="30236"/>
    <cellStyle name="计算 2 5 6 2 9" xfId="30237"/>
    <cellStyle name="计算 2 5 6 3" xfId="30238"/>
    <cellStyle name="计算 2 5 6 3 2" xfId="30239"/>
    <cellStyle name="计算 2 5 6 3 2 2" xfId="30240"/>
    <cellStyle name="计算 2 5 6 4" xfId="30241"/>
    <cellStyle name="计算 2 5 6 4 2" xfId="30242"/>
    <cellStyle name="计算 2 5 6 4 2 2" xfId="30243"/>
    <cellStyle name="计算 2 5 6 4 3 2" xfId="30244"/>
    <cellStyle name="输入 2 7 9 5 4 2" xfId="30245"/>
    <cellStyle name="计算 2 5 6 4 4" xfId="30246"/>
    <cellStyle name="计算 2 5 6 4 4 2" xfId="30247"/>
    <cellStyle name="注释 2 12 2 12 2" xfId="30248"/>
    <cellStyle name="计算 2 5 6 4 5" xfId="30249"/>
    <cellStyle name="计算 2 5 6 4 5 2" xfId="30250"/>
    <cellStyle name="计算 2 5 6 4 6" xfId="30251"/>
    <cellStyle name="输出 2 5 10 8 4 2" xfId="30252"/>
    <cellStyle name="计算 2 5 6 5" xfId="30253"/>
    <cellStyle name="计算 2 5 6 6" xfId="30254"/>
    <cellStyle name="计算 2 5 6 6 4 2" xfId="30255"/>
    <cellStyle name="计算 2 5 6 6 5" xfId="30256"/>
    <cellStyle name="注释 2 3 16 6" xfId="30257"/>
    <cellStyle name="注释 2 15 8 4 2" xfId="30258"/>
    <cellStyle name="输出 2 4 3 2" xfId="30259"/>
    <cellStyle name="计算 2 5 6 6 5 2" xfId="30260"/>
    <cellStyle name="输出 2 4 3 2 2" xfId="30261"/>
    <cellStyle name="计算 2 5 6 7 4 2" xfId="30262"/>
    <cellStyle name="计算 2 5 6 7 5" xfId="30263"/>
    <cellStyle name="注释 2 3 17 6" xfId="30264"/>
    <cellStyle name="输出 2 4 4 2" xfId="30265"/>
    <cellStyle name="计算 2 5 6 7 5 2" xfId="30266"/>
    <cellStyle name="输出 2 4 4 2 2" xfId="30267"/>
    <cellStyle name="计算 2 5 6 8" xfId="30268"/>
    <cellStyle name="输入 2 3 6 4 5 2" xfId="30269"/>
    <cellStyle name="计算 2 5 7" xfId="30270"/>
    <cellStyle name="计算 2 6 10 6 3" xfId="30271"/>
    <cellStyle name="计算 2 5 7 12" xfId="30272"/>
    <cellStyle name="计算 2 5 7 13" xfId="30273"/>
    <cellStyle name="计算 2 5 7 14" xfId="30274"/>
    <cellStyle name="计算 2 5 7 16" xfId="30275"/>
    <cellStyle name="计算 2 5 7 2" xfId="30276"/>
    <cellStyle name="计算 2 6 10 6 3 2" xfId="30277"/>
    <cellStyle name="计算 2 5 7 2 2" xfId="30278"/>
    <cellStyle name="计算 2 5 7 2 2 2" xfId="30279"/>
    <cellStyle name="计算 2 5 7 2 3 2" xfId="30280"/>
    <cellStyle name="输入 2 7 9 6 2 2" xfId="30281"/>
    <cellStyle name="计算 2 5 7 2 4" xfId="30282"/>
    <cellStyle name="计算 2 5 7 2 4 2" xfId="30283"/>
    <cellStyle name="计算 2 5 7 2 5" xfId="30284"/>
    <cellStyle name="计算 2 5 7 2 5 2" xfId="30285"/>
    <cellStyle name="计算 2 5 7 2 6" xfId="30286"/>
    <cellStyle name="注释 2 12 9 2 3 2" xfId="30287"/>
    <cellStyle name="计算 2 5 7 2 7" xfId="30288"/>
    <cellStyle name="计算 2 5 7 2 8" xfId="30289"/>
    <cellStyle name="计算 2 5 7 2 9" xfId="30290"/>
    <cellStyle name="计算 2 9 10 3 2" xfId="30291"/>
    <cellStyle name="计算 2 5 7 3" xfId="30292"/>
    <cellStyle name="计算 2 5 7 3 2" xfId="30293"/>
    <cellStyle name="计算 2 5 7 3 2 2" xfId="30294"/>
    <cellStyle name="计算 2 5 7 3 3 2" xfId="30295"/>
    <cellStyle name="输入 2 7 9 6 3 2" xfId="30296"/>
    <cellStyle name="计算 2 5 7 3 4" xfId="30297"/>
    <cellStyle name="计算 2 5 7 3 4 2" xfId="30298"/>
    <cellStyle name="计算 2 5 7 3 5" xfId="30299"/>
    <cellStyle name="计算 2 5 7 3 5 2" xfId="30300"/>
    <cellStyle name="计算 2 5 7 3 6" xfId="30301"/>
    <cellStyle name="计算 2 5 7 4" xfId="30302"/>
    <cellStyle name="计算 2 5 7 4 2" xfId="30303"/>
    <cellStyle name="计算 2 5 7 4 2 2" xfId="30304"/>
    <cellStyle name="计算 2 5 7 4 3 2" xfId="30305"/>
    <cellStyle name="输入 2 7 9 6 4 2" xfId="30306"/>
    <cellStyle name="计算 2 5 7 4 4" xfId="30307"/>
    <cellStyle name="输入 2 11 13" xfId="30308"/>
    <cellStyle name="计算 2 5 7 4 4 2" xfId="30309"/>
    <cellStyle name="计算 2 5 7 4 5" xfId="30310"/>
    <cellStyle name="计算 2 5 7 4 5 2" xfId="30311"/>
    <cellStyle name="计算 2 5 7 4 6" xfId="30312"/>
    <cellStyle name="计算 2 5 7 5" xfId="30313"/>
    <cellStyle name="计算 2 5 7 5 4 2" xfId="30314"/>
    <cellStyle name="计算 2 5 7 5 5 2" xfId="30315"/>
    <cellStyle name="输出 2 5 2 2 2" xfId="30316"/>
    <cellStyle name="计算 2 5 7 6" xfId="30317"/>
    <cellStyle name="计算 2 5 7 6 4 2" xfId="30318"/>
    <cellStyle name="计算 2 5 7 6 5 2" xfId="30319"/>
    <cellStyle name="输出 2 5 3 2 2" xfId="30320"/>
    <cellStyle name="计算 2 5 7 7 5" xfId="30321"/>
    <cellStyle name="输出 2 5 4 2" xfId="30322"/>
    <cellStyle name="计算 2 5 7 8" xfId="30323"/>
    <cellStyle name="计算 2 5 7 8 4 2" xfId="30324"/>
    <cellStyle name="计算 2 5 7 8 5" xfId="30325"/>
    <cellStyle name="输入 2 8 5 13" xfId="30326"/>
    <cellStyle name="输出 2 5 5 2" xfId="30327"/>
    <cellStyle name="计算 2 5 8" xfId="30328"/>
    <cellStyle name="计算 2 6 10 6 4" xfId="30329"/>
    <cellStyle name="注释 2 5 4 4 3" xfId="30330"/>
    <cellStyle name="计算 2 5 8 10" xfId="30331"/>
    <cellStyle name="注释 2 5 4 4 4" xfId="30332"/>
    <cellStyle name="注释 2 12 6 6 4 2" xfId="30333"/>
    <cellStyle name="计算 2 5 8 11" xfId="30334"/>
    <cellStyle name="注释 2 5 4 4 5" xfId="30335"/>
    <cellStyle name="计算 2 5 8 12" xfId="30336"/>
    <cellStyle name="注释 2 5 4 4 6" xfId="30337"/>
    <cellStyle name="计算 2 5 8 13" xfId="30338"/>
    <cellStyle name="注释 2 3 3 8 4 2" xfId="30339"/>
    <cellStyle name="计算 2 5 8 14" xfId="30340"/>
    <cellStyle name="计算 2 5 8 15" xfId="30341"/>
    <cellStyle name="计算 2 8 5 8 4 2" xfId="30342"/>
    <cellStyle name="计算 2 5 8 16" xfId="30343"/>
    <cellStyle name="计算 2 5 8 2" xfId="30344"/>
    <cellStyle name="计算 2 6 10 6 4 2" xfId="30345"/>
    <cellStyle name="注释 2 2 3 7 2" xfId="30346"/>
    <cellStyle name="计算 2 5 8 2 3 2" xfId="30347"/>
    <cellStyle name="注释 2 2 3 8" xfId="30348"/>
    <cellStyle name="输入 2 7 9 7 2 2" xfId="30349"/>
    <cellStyle name="计算 2 5 8 2 4" xfId="30350"/>
    <cellStyle name="注释 2 2 3 8 2" xfId="30351"/>
    <cellStyle name="计算 2 5 8 2 4 2" xfId="30352"/>
    <cellStyle name="注释 2 2 3 9" xfId="30353"/>
    <cellStyle name="计算 2 5 8 2 5" xfId="30354"/>
    <cellStyle name="注释 2 2 3 9 2" xfId="30355"/>
    <cellStyle name="计算 2 5 8 2 5 2" xfId="30356"/>
    <cellStyle name="计算 2 5 8 2 6" xfId="30357"/>
    <cellStyle name="注释 2 12 9 3 3 2" xfId="30358"/>
    <cellStyle name="计算 2 5 8 2 7" xfId="30359"/>
    <cellStyle name="计算 2 5 8 2 8" xfId="30360"/>
    <cellStyle name="计算 2 5 8 2 9" xfId="30361"/>
    <cellStyle name="计算 2 9 11 3 2" xfId="30362"/>
    <cellStyle name="计算 2 5 8 3" xfId="30363"/>
    <cellStyle name="注释 2 2 4 7 2" xfId="30364"/>
    <cellStyle name="计算 2 5 8 3 3 2" xfId="30365"/>
    <cellStyle name="注释 2 2 4 8" xfId="30366"/>
    <cellStyle name="输入 2 7 9 7 3 2" xfId="30367"/>
    <cellStyle name="计算 2 5 8 3 4" xfId="30368"/>
    <cellStyle name="注释 2 2 4 8 2" xfId="30369"/>
    <cellStyle name="计算 2 5 8 3 4 2" xfId="30370"/>
    <cellStyle name="注释 2 2 4 9" xfId="30371"/>
    <cellStyle name="计算 2 5 8 3 5" xfId="30372"/>
    <cellStyle name="注释 2 2 4 9 2" xfId="30373"/>
    <cellStyle name="计算 2 5 8 3 5 2" xfId="30374"/>
    <cellStyle name="计算 2 5 8 3 6" xfId="30375"/>
    <cellStyle name="计算 2 5 8 4" xfId="30376"/>
    <cellStyle name="注释 2 2 5 8" xfId="30377"/>
    <cellStyle name="输入 2 7 9 7 4 2" xfId="30378"/>
    <cellStyle name="计算 2 5 8 4 4" xfId="30379"/>
    <cellStyle name="计算 2 9 6 15" xfId="30380"/>
    <cellStyle name="注释 2 2 5 8 2" xfId="30381"/>
    <cellStyle name="计算 2 5 8 4 4 2" xfId="30382"/>
    <cellStyle name="注释 2 2 5 9" xfId="30383"/>
    <cellStyle name="计算 2 5 8 4 5" xfId="30384"/>
    <cellStyle name="计算 2 9 6 16" xfId="30385"/>
    <cellStyle name="注释 2 2 5 9 2" xfId="30386"/>
    <cellStyle name="计算 2 5 8 4 5 2" xfId="30387"/>
    <cellStyle name="计算 2 5 8 4 6" xfId="30388"/>
    <cellStyle name="计算 2 5 8 5" xfId="30389"/>
    <cellStyle name="注释 2 2 6 8 2" xfId="30390"/>
    <cellStyle name="计算 2 5 8 5 4 2" xfId="30391"/>
    <cellStyle name="检查单元格 2 2 6 3" xfId="30392"/>
    <cellStyle name="注释 2 2 6 9 2" xfId="30393"/>
    <cellStyle name="计算 2 5 8 5 5 2" xfId="30394"/>
    <cellStyle name="注释 2 5 20" xfId="30395"/>
    <cellStyle name="注释 2 5 15" xfId="30396"/>
    <cellStyle name="检查单元格 2 2 7 3" xfId="30397"/>
    <cellStyle name="输出 2 6 2 2 2" xfId="30398"/>
    <cellStyle name="计算 2 5 8 6" xfId="30399"/>
    <cellStyle name="注释 2 2 7 8 2" xfId="30400"/>
    <cellStyle name="计算 2 5 8 6 4 2" xfId="30401"/>
    <cellStyle name="检查单元格 2 3 6 3" xfId="30402"/>
    <cellStyle name="注释 2 2 7 9" xfId="30403"/>
    <cellStyle name="计算 2 5 8 6 5" xfId="30404"/>
    <cellStyle name="输出 2 6 3 2" xfId="30405"/>
    <cellStyle name="注释 2 2 7 9 2" xfId="30406"/>
    <cellStyle name="计算 2 5 8 6 5 2" xfId="30407"/>
    <cellStyle name="检查单元格 2 3 7 3" xfId="30408"/>
    <cellStyle name="输出 2 6 3 2 2" xfId="30409"/>
    <cellStyle name="注释 2 2 8 9" xfId="30410"/>
    <cellStyle name="计算 2 5 8 7 5" xfId="30411"/>
    <cellStyle name="输出 2 6 4 2" xfId="30412"/>
    <cellStyle name="计算 2 5 8 8" xfId="30413"/>
    <cellStyle name="注释 2 2 9 9" xfId="30414"/>
    <cellStyle name="计算 2 5 8 8 5" xfId="30415"/>
    <cellStyle name="输出 2 6 5 2" xfId="30416"/>
    <cellStyle name="计算 2 5 8 9" xfId="30417"/>
    <cellStyle name="计算 2 5 9" xfId="30418"/>
    <cellStyle name="计算 2 6 10 6 5" xfId="30419"/>
    <cellStyle name="计算 2 5 9 11" xfId="30420"/>
    <cellStyle name="计算 2 5 9 11 2" xfId="30421"/>
    <cellStyle name="计算 2 5 9 12" xfId="30422"/>
    <cellStyle name="计算 2 5 9 12 2" xfId="30423"/>
    <cellStyle name="检查单元格 2 6 2 2 8" xfId="30424"/>
    <cellStyle name="计算 2 5 9 13" xfId="30425"/>
    <cellStyle name="计算 2 5 9 14" xfId="30426"/>
    <cellStyle name="计算 2 5 9 15" xfId="30427"/>
    <cellStyle name="计算 2 5 9 16" xfId="30428"/>
    <cellStyle name="计算 2 5 9 2" xfId="30429"/>
    <cellStyle name="计算 2 6 10 6 5 2" xfId="30430"/>
    <cellStyle name="注释 2 3 3 6" xfId="30431"/>
    <cellStyle name="计算 2 5 9 2 2" xfId="30432"/>
    <cellStyle name="注释 2 3 3 6 2" xfId="30433"/>
    <cellStyle name="计算 2 5 9 2 2 2" xfId="30434"/>
    <cellStyle name="注释 2 3 3 7" xfId="30435"/>
    <cellStyle name="计算 2 5 9 2 3" xfId="30436"/>
    <cellStyle name="注释 2 3 3 7 2" xfId="30437"/>
    <cellStyle name="计算 2 5 9 2 3 2" xfId="30438"/>
    <cellStyle name="注释 2 3 3 8" xfId="30439"/>
    <cellStyle name="输入 2 7 9 8 2 2" xfId="30440"/>
    <cellStyle name="计算 2 5 9 2 4" xfId="30441"/>
    <cellStyle name="输出 2 10 5 2 5 2" xfId="30442"/>
    <cellStyle name="注释 2 3 3 8 2" xfId="30443"/>
    <cellStyle name="计算 2 5 9 2 4 2" xfId="30444"/>
    <cellStyle name="注释 2 8 2 3 2" xfId="30445"/>
    <cellStyle name="注释 2 3 3 9" xfId="30446"/>
    <cellStyle name="计算 2 5 9 2 5" xfId="30447"/>
    <cellStyle name="注释 2 8 2 3 2 2" xfId="30448"/>
    <cellStyle name="注释 2 3 3 9 2" xfId="30449"/>
    <cellStyle name="计算 2 5 9 2 5 2" xfId="30450"/>
    <cellStyle name="注释 2 8 2 3 3" xfId="30451"/>
    <cellStyle name="计算 2 5 9 2 6" xfId="30452"/>
    <cellStyle name="注释 2 8 2 3 4" xfId="30453"/>
    <cellStyle name="注释 2 12 9 4 3 2" xfId="30454"/>
    <cellStyle name="计算 2 5 9 2 7" xfId="30455"/>
    <cellStyle name="注释 2 8 2 3 5" xfId="30456"/>
    <cellStyle name="计算 2 5 9 2 8" xfId="30457"/>
    <cellStyle name="输出 2 6 11 10 2" xfId="30458"/>
    <cellStyle name="注释 2 8 2 3 6" xfId="30459"/>
    <cellStyle name="计算 2 5 9 2 9" xfId="30460"/>
    <cellStyle name="计算 2 9 12 3 2" xfId="30461"/>
    <cellStyle name="计算 2 5 9 3" xfId="30462"/>
    <cellStyle name="注释 2 3 4 6" xfId="30463"/>
    <cellStyle name="注释 2 11 3 13" xfId="30464"/>
    <cellStyle name="计算 2 5 9 3 2" xfId="30465"/>
    <cellStyle name="注释 2 3 4 7" xfId="30466"/>
    <cellStyle name="注释 2 11 3 14" xfId="30467"/>
    <cellStyle name="计算 2 5 9 3 3" xfId="30468"/>
    <cellStyle name="注释 2 3 4 7 2" xfId="30469"/>
    <cellStyle name="计算 2 5 9 3 3 2" xfId="30470"/>
    <cellStyle name="注释 2 3 4 8" xfId="30471"/>
    <cellStyle name="注释 2 11 3 15" xfId="30472"/>
    <cellStyle name="输入 2 7 9 8 3 2" xfId="30473"/>
    <cellStyle name="计算 2 5 9 3 4" xfId="30474"/>
    <cellStyle name="注释 2 3 4 8 2" xfId="30475"/>
    <cellStyle name="计算 2 5 9 3 4 2" xfId="30476"/>
    <cellStyle name="注释 2 8 2 4 2" xfId="30477"/>
    <cellStyle name="注释 2 3 4 9" xfId="30478"/>
    <cellStyle name="注释 2 11 3 16" xfId="30479"/>
    <cellStyle name="计算 2 5 9 3 5" xfId="30480"/>
    <cellStyle name="注释 2 8 2 4 2 2" xfId="30481"/>
    <cellStyle name="注释 2 3 4 9 2" xfId="30482"/>
    <cellStyle name="输入 2 8 10 2 9" xfId="30483"/>
    <cellStyle name="计算 2 5 9 3 5 2" xfId="30484"/>
    <cellStyle name="注释 2 8 2 4 3" xfId="30485"/>
    <cellStyle name="计算 2 5 9 3 6" xfId="30486"/>
    <cellStyle name="输入 2 9 5 8 2 2" xfId="30487"/>
    <cellStyle name="计算 2 5 9 4" xfId="30488"/>
    <cellStyle name="注释 2 3 5 6" xfId="30489"/>
    <cellStyle name="计算 2 5 9 4 2" xfId="30490"/>
    <cellStyle name="注释 2 3 5 6 2" xfId="30491"/>
    <cellStyle name="计算 2 5 9 4 2 2" xfId="30492"/>
    <cellStyle name="注释 2 3 5 7" xfId="30493"/>
    <cellStyle name="计算 2 5 9 4 3" xfId="30494"/>
    <cellStyle name="注释 2 3 5 7 2" xfId="30495"/>
    <cellStyle name="计算 2 5 9 4 3 2" xfId="30496"/>
    <cellStyle name="注释 2 3 5 8" xfId="30497"/>
    <cellStyle name="输入 2 7 9 8 4 2" xfId="30498"/>
    <cellStyle name="计算 2 5 9 4 4" xfId="30499"/>
    <cellStyle name="注释 2 3 5 8 2" xfId="30500"/>
    <cellStyle name="计算 2 5 9 4 4 2" xfId="30501"/>
    <cellStyle name="注释 2 8 2 5 2" xfId="30502"/>
    <cellStyle name="注释 2 3 5 9" xfId="30503"/>
    <cellStyle name="计算 2 5 9 4 5" xfId="30504"/>
    <cellStyle name="注释 2 8 2 5 2 2" xfId="30505"/>
    <cellStyle name="注释 2 3 5 9 2" xfId="30506"/>
    <cellStyle name="计算 2 5 9 4 5 2" xfId="30507"/>
    <cellStyle name="注释 2 8 2 5 3" xfId="30508"/>
    <cellStyle name="计算 2 5 9 4 6" xfId="30509"/>
    <cellStyle name="计算 2 5 9 5" xfId="30510"/>
    <cellStyle name="计算 2 7 8 2 2" xfId="30511"/>
    <cellStyle name="注释 2 3 6 8 2" xfId="30512"/>
    <cellStyle name="计算 2 5 9 5 4 2" xfId="30513"/>
    <cellStyle name="注释 2 8 2 6 2 2" xfId="30514"/>
    <cellStyle name="注释 2 3 6 9 2" xfId="30515"/>
    <cellStyle name="计算 2 5 9 5 5 2" xfId="30516"/>
    <cellStyle name="输出 2 7 2 2 2" xfId="30517"/>
    <cellStyle name="计算 2 5 9 6" xfId="30518"/>
    <cellStyle name="计算 2 7 8 2 3" xfId="30519"/>
    <cellStyle name="注释 2 3 7 8 2" xfId="30520"/>
    <cellStyle name="计算 2 5 9 6 4 2" xfId="30521"/>
    <cellStyle name="注释 2 8 2 7 2" xfId="30522"/>
    <cellStyle name="注释 2 3 7 9" xfId="30523"/>
    <cellStyle name="计算 2 5 9 6 5" xfId="30524"/>
    <cellStyle name="输出 2 7 3 2" xfId="30525"/>
    <cellStyle name="注释 2 8 2 7 2 2" xfId="30526"/>
    <cellStyle name="注释 2 3 7 9 2" xfId="30527"/>
    <cellStyle name="计算 2 5 9 6 5 2" xfId="30528"/>
    <cellStyle name="输出 2 7 3 2 2" xfId="30529"/>
    <cellStyle name="注释 2 8 2 7 3" xfId="30530"/>
    <cellStyle name="计算 2 5 9 6 6" xfId="30531"/>
    <cellStyle name="输出 2 11 3 4 2 2" xfId="30532"/>
    <cellStyle name="计算 2 5 9 7" xfId="30533"/>
    <cellStyle name="计算 2 7 8 2 4" xfId="30534"/>
    <cellStyle name="注释 2 3 8 8 2" xfId="30535"/>
    <cellStyle name="计算 2 5 9 7 4 2" xfId="30536"/>
    <cellStyle name="注释 2 8 2 8 2" xfId="30537"/>
    <cellStyle name="注释 2 3 8 9" xfId="30538"/>
    <cellStyle name="计算 2 5 9 7 5" xfId="30539"/>
    <cellStyle name="注释 2 8 2 8 2 2" xfId="30540"/>
    <cellStyle name="注释 2 3 8 9 2" xfId="30541"/>
    <cellStyle name="计算 2 5 9 7 5 2" xfId="30542"/>
    <cellStyle name="注释 2 8 2 8 3" xfId="30543"/>
    <cellStyle name="计算 2 5 9 7 6" xfId="30544"/>
    <cellStyle name="输出 2 11 3 4 3 2" xfId="30545"/>
    <cellStyle name="计算 2 5 9 8" xfId="30546"/>
    <cellStyle name="计算 2 7 8 2 5" xfId="30547"/>
    <cellStyle name="注释 2 3 9 8 2" xfId="30548"/>
    <cellStyle name="计算 2 5 9 8 4 2" xfId="30549"/>
    <cellStyle name="注释 2 8 7 2 2 2" xfId="30550"/>
    <cellStyle name="注释 2 8 2 9 2" xfId="30551"/>
    <cellStyle name="注释 2 3 9 9" xfId="30552"/>
    <cellStyle name="注释 2 11 4 16" xfId="30553"/>
    <cellStyle name="计算 2 5 9 8 5" xfId="30554"/>
    <cellStyle name="计算 2 5 9 9" xfId="30555"/>
    <cellStyle name="计算 2 7 8 2 6" xfId="30556"/>
    <cellStyle name="计算 2 6" xfId="30557"/>
    <cellStyle name="注释 2 11 6 6 3" xfId="30558"/>
    <cellStyle name="计算 2 6 10" xfId="30559"/>
    <cellStyle name="计算 2 6 10 10 2" xfId="30560"/>
    <cellStyle name="计算 2 8 6 3 3 2" xfId="30561"/>
    <cellStyle name="计算 2 8 6 3 4 2" xfId="30562"/>
    <cellStyle name="计算 2 6 10 11 2" xfId="30563"/>
    <cellStyle name="计算 2 9 8 15" xfId="30564"/>
    <cellStyle name="注释 2 11 6 6 3 2" xfId="30565"/>
    <cellStyle name="计算 2 6 10 2" xfId="30566"/>
    <cellStyle name="计算 2 6 10 2 2" xfId="30567"/>
    <cellStyle name="输入 2 8 7 2 6" xfId="30568"/>
    <cellStyle name="检查单元格 2 10 10 4" xfId="30569"/>
    <cellStyle name="计算 2 6 10 2 2 2" xfId="30570"/>
    <cellStyle name="检查单元格 2 10 10 4 2" xfId="30571"/>
    <cellStyle name="输出 2 11 5 8 5" xfId="30572"/>
    <cellStyle name="计算 2 6 10 2 3 2" xfId="30573"/>
    <cellStyle name="检查单元格 2 10 10 5 2" xfId="30574"/>
    <cellStyle name="计算 2 6 10 2 4" xfId="30575"/>
    <cellStyle name="输入 2 8 7 2 8" xfId="30576"/>
    <cellStyle name="检查单元格 2 10 10 6" xfId="30577"/>
    <cellStyle name="计算 2 6 10 2 4 2" xfId="30578"/>
    <cellStyle name="计算 2 6 10 2 5" xfId="30579"/>
    <cellStyle name="计算 2 6 10 2 5 2" xfId="30580"/>
    <cellStyle name="输入 2 11 17 2 2" xfId="30581"/>
    <cellStyle name="计算 2 6 10 3" xfId="30582"/>
    <cellStyle name="计算 2 6 10 4" xfId="30583"/>
    <cellStyle name="注释 2 2 3 8 3 2" xfId="30584"/>
    <cellStyle name="计算 2 6 10 5" xfId="30585"/>
    <cellStyle name="计算 2 6 10 6" xfId="30586"/>
    <cellStyle name="计算 2 7 5 8 3 2" xfId="30587"/>
    <cellStyle name="计算 2 6 10 7 2 2" xfId="30588"/>
    <cellStyle name="计算 2 6 6 2" xfId="30589"/>
    <cellStyle name="计算 2 6 10 7 3" xfId="30590"/>
    <cellStyle name="计算 2 6 7" xfId="30591"/>
    <cellStyle name="计算 2 6 10 7 3 2" xfId="30592"/>
    <cellStyle name="计算 2 6 7 2" xfId="30593"/>
    <cellStyle name="计算 2 6 10 7 4" xfId="30594"/>
    <cellStyle name="计算 2 6 8" xfId="30595"/>
    <cellStyle name="计算 2 6 10 7 4 2" xfId="30596"/>
    <cellStyle name="计算 2 6 8 2" xfId="30597"/>
    <cellStyle name="计算 2 6 10 8 2 2" xfId="30598"/>
    <cellStyle name="计算 2 7 6 2" xfId="30599"/>
    <cellStyle name="计算 2 6 10 8 3" xfId="30600"/>
    <cellStyle name="计算 2 7 7" xfId="30601"/>
    <cellStyle name="计算 2 6 10 8 3 2" xfId="30602"/>
    <cellStyle name="计算 2 7 7 2" xfId="30603"/>
    <cellStyle name="计算 2 6 10 8 4" xfId="30604"/>
    <cellStyle name="计算 2 7 8" xfId="30605"/>
    <cellStyle name="计算 2 6 10 8 4 2" xfId="30606"/>
    <cellStyle name="计算 2 7 8 2" xfId="30607"/>
    <cellStyle name="注释 2 11 6 6 4" xfId="30608"/>
    <cellStyle name="计算 2 6 11" xfId="30609"/>
    <cellStyle name="检查单元格 2 9 6 3 3 2" xfId="30610"/>
    <cellStyle name="输出 2 10 9 7 4 2" xfId="30611"/>
    <cellStyle name="计算 2 8 6 8 3 2" xfId="30612"/>
    <cellStyle name="计算 2 6 11 10 2" xfId="30613"/>
    <cellStyle name="输出 2 10 14 4" xfId="30614"/>
    <cellStyle name="计算 2 6 11 11" xfId="30615"/>
    <cellStyle name="计算 2 8 6 8 4" xfId="30616"/>
    <cellStyle name="计算 2 8 6 8 4 2" xfId="30617"/>
    <cellStyle name="计算 2 6 11 11 2" xfId="30618"/>
    <cellStyle name="输出 2 10 15 4" xfId="30619"/>
    <cellStyle name="注释 2 11 6 6 4 2" xfId="30620"/>
    <cellStyle name="计算 2 6 11 2" xfId="30621"/>
    <cellStyle name="计算 2 6 11 2 2" xfId="30622"/>
    <cellStyle name="计算 2 6 11 2 2 2" xfId="30623"/>
    <cellStyle name="输出 2 12 5 8 5" xfId="30624"/>
    <cellStyle name="计算 2 6 11 2 3 2" xfId="30625"/>
    <cellStyle name="计算 2 6 11 2 4" xfId="30626"/>
    <cellStyle name="计算 2 6 11 2 4 2" xfId="30627"/>
    <cellStyle name="注释 2 2 4 10 2" xfId="30628"/>
    <cellStyle name="计算 2 6 11 2 5" xfId="30629"/>
    <cellStyle name="计算 2 6 11 2 5 2" xfId="30630"/>
    <cellStyle name="输入 2 11 17 3 2" xfId="30631"/>
    <cellStyle name="计算 2 6 11 3" xfId="30632"/>
    <cellStyle name="计算 2 6 11 3 2" xfId="30633"/>
    <cellStyle name="计算 2 6 11 3 2 2" xfId="30634"/>
    <cellStyle name="输出 2 10 11 12" xfId="30635"/>
    <cellStyle name="输出 2 12 6 8 5" xfId="30636"/>
    <cellStyle name="计算 2 6 11 3 3 2" xfId="30637"/>
    <cellStyle name="输出 2 11 11 10 2" xfId="30638"/>
    <cellStyle name="计算 2 6 11 3 4" xfId="30639"/>
    <cellStyle name="输出 2 11 11 11" xfId="30640"/>
    <cellStyle name="计算 2 6 11 3 4 2" xfId="30641"/>
    <cellStyle name="输出 2 11 11 11 2" xfId="30642"/>
    <cellStyle name="注释 2 2 4 11 2" xfId="30643"/>
    <cellStyle name="计算 2 6 11 3 5" xfId="30644"/>
    <cellStyle name="输出 2 11 11 12" xfId="30645"/>
    <cellStyle name="计算 2 6 11 3 5 2" xfId="30646"/>
    <cellStyle name="输出 2 11 11 12 2" xfId="30647"/>
    <cellStyle name="计算 2 6 11 4" xfId="30648"/>
    <cellStyle name="计算 2 6 11 4 2" xfId="30649"/>
    <cellStyle name="计算 2 6 11 4 2 2" xfId="30650"/>
    <cellStyle name="输出 2 12 7 8 5" xfId="30651"/>
    <cellStyle name="计算 2 6 11 4 3 2" xfId="30652"/>
    <cellStyle name="计算 2 6 11 4 4" xfId="30653"/>
    <cellStyle name="计算 2 6 11 4 4 2" xfId="30654"/>
    <cellStyle name="注释 2 2 4 12 2" xfId="30655"/>
    <cellStyle name="计算 2 6 11 4 5" xfId="30656"/>
    <cellStyle name="计算 2 6 11 4 5 2" xfId="30657"/>
    <cellStyle name="注释 2 2 3 8 4 2" xfId="30658"/>
    <cellStyle name="计算 2 6 11 5" xfId="30659"/>
    <cellStyle name="计算 2 6 11 5 2" xfId="30660"/>
    <cellStyle name="输入 2 3 6 5 4 2" xfId="30661"/>
    <cellStyle name="计算 2 6 11 5 3" xfId="30662"/>
    <cellStyle name="计算 2 6 11 5 3 2" xfId="30663"/>
    <cellStyle name="计算 2 6 11 5 4" xfId="30664"/>
    <cellStyle name="计算 2 6 11 5 4 2" xfId="30665"/>
    <cellStyle name="计算 2 6 11 5 5" xfId="30666"/>
    <cellStyle name="计算 2 6 11 5 5 2" xfId="30667"/>
    <cellStyle name="计算 2 6 11 6" xfId="30668"/>
    <cellStyle name="计算 2 7 5 8 4 2" xfId="30669"/>
    <cellStyle name="计算 2 6 11 6 3 2" xfId="30670"/>
    <cellStyle name="计算 2 6 11 6 4 2" xfId="30671"/>
    <cellStyle name="计算 2 6 11 6 5 2" xfId="30672"/>
    <cellStyle name="计算 2 6 11 7" xfId="30673"/>
    <cellStyle name="计算 2 6 11 7 2" xfId="30674"/>
    <cellStyle name="计算 2 6 11 7 2 2" xfId="30675"/>
    <cellStyle name="输出 2 4 10 8 5" xfId="30676"/>
    <cellStyle name="计算 2 6 11 7 3" xfId="30677"/>
    <cellStyle name="计算 2 6 11 7 3 2" xfId="30678"/>
    <cellStyle name="计算 2 6 11 7 4" xfId="30679"/>
    <cellStyle name="计算 2 6 11 7 4 2" xfId="30680"/>
    <cellStyle name="计算 2 6 11 8" xfId="30681"/>
    <cellStyle name="计算 2 6 11 8 2" xfId="30682"/>
    <cellStyle name="输出 2 11 4 2 9" xfId="30683"/>
    <cellStyle name="计算 2 6 11 8 2 2" xfId="30684"/>
    <cellStyle name="输出 2 4 11 8 5" xfId="30685"/>
    <cellStyle name="计算 2 6 11 8 3" xfId="30686"/>
    <cellStyle name="计算 2 6 11 8 3 2" xfId="30687"/>
    <cellStyle name="计算 2 6 11 8 4" xfId="30688"/>
    <cellStyle name="计算 2 6 11 8 4 2" xfId="30689"/>
    <cellStyle name="注释 2 5 8 8 2" xfId="30690"/>
    <cellStyle name="计算 2 6 11 9" xfId="30691"/>
    <cellStyle name="检查单元格 2 9 2 10" xfId="30692"/>
    <cellStyle name="注释 2 5 8 8 2 2" xfId="30693"/>
    <cellStyle name="计算 2 6 11 9 2" xfId="30694"/>
    <cellStyle name="注释 2 11 6 6 5" xfId="30695"/>
    <cellStyle name="计算 2 6 12" xfId="30696"/>
    <cellStyle name="注释 2 11 6 6 5 2" xfId="30697"/>
    <cellStyle name="计算 2 6 12 2" xfId="30698"/>
    <cellStyle name="计算 2 6 12 2 2" xfId="30699"/>
    <cellStyle name="输入 2 11 17 4 2" xfId="30700"/>
    <cellStyle name="计算 2 6 12 3" xfId="30701"/>
    <cellStyle name="注释 2 2 4 11" xfId="30702"/>
    <cellStyle name="计算 2 6 12 3 2" xfId="30703"/>
    <cellStyle name="计算 2 6 12 4" xfId="30704"/>
    <cellStyle name="计算 2 6 12 4 2" xfId="30705"/>
    <cellStyle name="计算 2 6 12 5" xfId="30706"/>
    <cellStyle name="输出 2 4 8 10" xfId="30707"/>
    <cellStyle name="计算 2 6 12 5 2" xfId="30708"/>
    <cellStyle name="输入 2 8 9 5 6" xfId="30709"/>
    <cellStyle name="输出 2 4 8 10 2" xfId="30710"/>
    <cellStyle name="计算 2 6 12 7" xfId="30711"/>
    <cellStyle name="输出 2 4 8 12" xfId="30712"/>
    <cellStyle name="计算 2 6 12 8" xfId="30713"/>
    <cellStyle name="输出 2 4 8 13" xfId="30714"/>
    <cellStyle name="注释 2 8 4 8 2 2" xfId="30715"/>
    <cellStyle name="注释 2 5 8 9 2" xfId="30716"/>
    <cellStyle name="输入 2 2 2 2" xfId="30717"/>
    <cellStyle name="计算 2 6 12 9" xfId="30718"/>
    <cellStyle name="输出 2 9 4 2 2" xfId="30719"/>
    <cellStyle name="输出 2 4 8 14" xfId="30720"/>
    <cellStyle name="注释 2 11 6 6 6" xfId="30721"/>
    <cellStyle name="计算 2 6 13" xfId="30722"/>
    <cellStyle name="计算 2 6 13 2" xfId="30723"/>
    <cellStyle name="计算 2 6 13 2 2" xfId="30724"/>
    <cellStyle name="输入 2 11 17 5 2" xfId="30725"/>
    <cellStyle name="计算 2 6 13 3" xfId="30726"/>
    <cellStyle name="注释 2 2 9 11" xfId="30727"/>
    <cellStyle name="计算 2 6 13 3 2" xfId="30728"/>
    <cellStyle name="计算 2 6 13 4" xfId="30729"/>
    <cellStyle name="计算 2 6 13 4 2" xfId="30730"/>
    <cellStyle name="计算 2 6 13 5" xfId="30731"/>
    <cellStyle name="计算 2 6 13 5 2" xfId="30732"/>
    <cellStyle name="计算 2 6 14" xfId="30733"/>
    <cellStyle name="计算 2 6 14 2" xfId="30734"/>
    <cellStyle name="计算 2 6 14 3" xfId="30735"/>
    <cellStyle name="计算 2 6 14 4" xfId="30736"/>
    <cellStyle name="计算 2 6 14 5" xfId="30737"/>
    <cellStyle name="计算 2 6 15" xfId="30738"/>
    <cellStyle name="计算 2 6 20" xfId="30739"/>
    <cellStyle name="计算 2 6 15 2" xfId="30740"/>
    <cellStyle name="计算 2 6 20 2" xfId="30741"/>
    <cellStyle name="计算 2 6 15 2 2" xfId="30742"/>
    <cellStyle name="计算 2 6 15 3" xfId="30743"/>
    <cellStyle name="计算 2 6 15 3 2" xfId="30744"/>
    <cellStyle name="计算 2 6 15 4" xfId="30745"/>
    <cellStyle name="计算 2 6 15 4 2" xfId="30746"/>
    <cellStyle name="计算 2 6 15 5" xfId="30747"/>
    <cellStyle name="计算 2 6 15 5 2" xfId="30748"/>
    <cellStyle name="计算 2 6 15 6" xfId="30749"/>
    <cellStyle name="计算 2 6 16" xfId="30750"/>
    <cellStyle name="计算 2 6 21" xfId="30751"/>
    <cellStyle name="计算 2 6 16 2" xfId="30752"/>
    <cellStyle name="计算 2 6 21 2" xfId="30753"/>
    <cellStyle name="计算 2 6 16 2 2" xfId="30754"/>
    <cellStyle name="计算 2 6 16 3" xfId="30755"/>
    <cellStyle name="计算 2 6 16 3 2" xfId="30756"/>
    <cellStyle name="计算 2 6 16 4" xfId="30757"/>
    <cellStyle name="计算 2 6 16 4 2" xfId="30758"/>
    <cellStyle name="计算 2 6 16 5" xfId="30759"/>
    <cellStyle name="计算 2 6 16 5 2" xfId="30760"/>
    <cellStyle name="计算 2 6 16 6" xfId="30761"/>
    <cellStyle name="注释 2 3 6 2 6" xfId="30762"/>
    <cellStyle name="计算 2 8 16 2 2" xfId="30763"/>
    <cellStyle name="计算 2 6 17 2" xfId="30764"/>
    <cellStyle name="计算 2 6 22 2" xfId="30765"/>
    <cellStyle name="计算 2 6 17 2 2" xfId="30766"/>
    <cellStyle name="计算 2 6 17 3" xfId="30767"/>
    <cellStyle name="注释 2 3 4 11" xfId="30768"/>
    <cellStyle name="计算 2 6 17 3 2" xfId="30769"/>
    <cellStyle name="计算 2 6 17 4" xfId="30770"/>
    <cellStyle name="计算 2 6 17 4 2" xfId="30771"/>
    <cellStyle name="计算 2 6 17 5" xfId="30772"/>
    <cellStyle name="注释 2 3 6 3 5" xfId="30773"/>
    <cellStyle name="输出 2 4 9 10" xfId="30774"/>
    <cellStyle name="计算 2 6 17 5 2" xfId="30775"/>
    <cellStyle name="注释 2 3 6 3 5 2" xfId="30776"/>
    <cellStyle name="输出 2 4 9 10 2" xfId="30777"/>
    <cellStyle name="输入 2 4 6 2 2 2" xfId="30778"/>
    <cellStyle name="计算 2 6 17 6" xfId="30779"/>
    <cellStyle name="注释 2 3 6 3 6" xfId="30780"/>
    <cellStyle name="计算 2 8 16 3 2" xfId="30781"/>
    <cellStyle name="输出 2 4 9 11" xfId="30782"/>
    <cellStyle name="计算 2 6 18 2 2" xfId="30783"/>
    <cellStyle name="注释 2 3 6 4 2 2" xfId="30784"/>
    <cellStyle name="计算 2 9 10 2 3" xfId="30785"/>
    <cellStyle name="输入 2 11 5 10 2" xfId="30786"/>
    <cellStyle name="计算 2 6 18 3" xfId="30787"/>
    <cellStyle name="注释 2 3 9 11" xfId="30788"/>
    <cellStyle name="计算 2 6 18 3 2" xfId="30789"/>
    <cellStyle name="注释 2 3 6 4 3 2" xfId="30790"/>
    <cellStyle name="计算 2 9 10 3 3" xfId="30791"/>
    <cellStyle name="计算 2 6 18 4" xfId="30792"/>
    <cellStyle name="计算 2 6 18 4 2" xfId="30793"/>
    <cellStyle name="注释 2 3 6 4 4 2" xfId="30794"/>
    <cellStyle name="计算 2 9 10 4 3" xfId="30795"/>
    <cellStyle name="计算 2 6 18 5" xfId="30796"/>
    <cellStyle name="计算 2 6 18 5 2" xfId="30797"/>
    <cellStyle name="注释 2 3 6 4 5 2" xfId="30798"/>
    <cellStyle name="计算 2 9 10 5 3" xfId="30799"/>
    <cellStyle name="输入 2 4 6 2 3 2" xfId="30800"/>
    <cellStyle name="计算 2 6 18 6" xfId="30801"/>
    <cellStyle name="注释 2 3 6 4 6" xfId="30802"/>
    <cellStyle name="计算 2 8 16 4 2" xfId="30803"/>
    <cellStyle name="输入 2 11 5 11 2" xfId="30804"/>
    <cellStyle name="计算 2 6 19 3" xfId="30805"/>
    <cellStyle name="检查单元格 2 9 10 4" xfId="30806"/>
    <cellStyle name="注释 2 3 6 5 3 2" xfId="30807"/>
    <cellStyle name="计算 2 9 11 3 3" xfId="30808"/>
    <cellStyle name="计算 2 6 19 3 2" xfId="30809"/>
    <cellStyle name="检查单元格 2 9 10 4 2" xfId="30810"/>
    <cellStyle name="计算 2 6 19 4" xfId="30811"/>
    <cellStyle name="检查单元格 2 9 10 5" xfId="30812"/>
    <cellStyle name="注释 2 3 6 5 4 2" xfId="30813"/>
    <cellStyle name="计算 2 9 11 4 3" xfId="30814"/>
    <cellStyle name="计算 2 6 19 4 2" xfId="30815"/>
    <cellStyle name="检查单元格 2 9 10 5 2" xfId="30816"/>
    <cellStyle name="计算 2 6 19 5" xfId="30817"/>
    <cellStyle name="检查单元格 2 9 10 6" xfId="30818"/>
    <cellStyle name="计算 2 6 2 10" xfId="30819"/>
    <cellStyle name="输出 2 4 6 15" xfId="30820"/>
    <cellStyle name="计算 2 6 2 10 2" xfId="30821"/>
    <cellStyle name="计算 2 6 2 11" xfId="30822"/>
    <cellStyle name="输出 2 4 6 16" xfId="30823"/>
    <cellStyle name="计算 2 6 2 11 2" xfId="30824"/>
    <cellStyle name="计算 2 6 2 12" xfId="30825"/>
    <cellStyle name="计算 2 6 2 12 2" xfId="30826"/>
    <cellStyle name="计算 2 6 2 13" xfId="30827"/>
    <cellStyle name="计算 2 6 2 14" xfId="30828"/>
    <cellStyle name="计算 2 6 2 15" xfId="30829"/>
    <cellStyle name="计算 2 6 2 16" xfId="30830"/>
    <cellStyle name="输出 2 10 10 6 2" xfId="30831"/>
    <cellStyle name="注释 2 6 11 7 3" xfId="30832"/>
    <cellStyle name="计算 2 6 2 2 2" xfId="30833"/>
    <cellStyle name="输出 2 4 6 3 2" xfId="30834"/>
    <cellStyle name="注释 2 6 11 7 3 2" xfId="30835"/>
    <cellStyle name="注释 2 18 3" xfId="30836"/>
    <cellStyle name="计算 2 6 2 2 2 2" xfId="30837"/>
    <cellStyle name="输出 2 4 6 3 2 2" xfId="30838"/>
    <cellStyle name="注释 2 6 11 7 4" xfId="30839"/>
    <cellStyle name="计算 2 6 2 2 3" xfId="30840"/>
    <cellStyle name="输出 2 2 10 10" xfId="30841"/>
    <cellStyle name="输出 2 4 6 3 3" xfId="30842"/>
    <cellStyle name="注释 2 6 11 7 4 2" xfId="30843"/>
    <cellStyle name="计算 2 6 2 2 3 2" xfId="30844"/>
    <cellStyle name="输出 2 2 10 10 2" xfId="30845"/>
    <cellStyle name="输出 2 4 6 3 3 2" xfId="30846"/>
    <cellStyle name="注释 2 6 11 7 5" xfId="30847"/>
    <cellStyle name="计算 2 6 2 2 4" xfId="30848"/>
    <cellStyle name="输出 2 2 10 11" xfId="30849"/>
    <cellStyle name="输出 2 4 6 3 4" xfId="30850"/>
    <cellStyle name="注释 2 6 11 7 5 2" xfId="30851"/>
    <cellStyle name="计算 2 6 2 2 4 2" xfId="30852"/>
    <cellStyle name="输出 2 2 10 11 2" xfId="30853"/>
    <cellStyle name="输出 2 4 6 3 4 2" xfId="30854"/>
    <cellStyle name="注释 2 6 11 7 6" xfId="30855"/>
    <cellStyle name="计算 2 6 2 2 5" xfId="30856"/>
    <cellStyle name="输出 2 2 10 12" xfId="30857"/>
    <cellStyle name="输出 2 4 6 3 5" xfId="30858"/>
    <cellStyle name="计算 2 6 2 2 5 2" xfId="30859"/>
    <cellStyle name="输出 2 2 10 12 2" xfId="30860"/>
    <cellStyle name="输出 2 4 6 3 5 2" xfId="30861"/>
    <cellStyle name="计算 2 6 2 2 6" xfId="30862"/>
    <cellStyle name="输出 2 2 10 13" xfId="30863"/>
    <cellStyle name="输出 2 4 6 3 6" xfId="30864"/>
    <cellStyle name="输出 2 5 11 4 2 2" xfId="30865"/>
    <cellStyle name="计算 2 6 2 2 7" xfId="30866"/>
    <cellStyle name="输出 2 2 10 14" xfId="30867"/>
    <cellStyle name="计算 2 6 2 2 8" xfId="30868"/>
    <cellStyle name="输出 2 2 10 15" xfId="30869"/>
    <cellStyle name="计算 2 6 2 2 9" xfId="30870"/>
    <cellStyle name="输出 2 2 10 16" xfId="30871"/>
    <cellStyle name="计算 2 6 2 3" xfId="30872"/>
    <cellStyle name="输出 2 4 6 4" xfId="30873"/>
    <cellStyle name="注释 2 6 11 8 3" xfId="30874"/>
    <cellStyle name="计算 2 6 2 3 2" xfId="30875"/>
    <cellStyle name="输出 2 4 6 4 2" xfId="30876"/>
    <cellStyle name="注释 2 6 11 8 3 2" xfId="30877"/>
    <cellStyle name="计算 2 6 2 3 2 2" xfId="30878"/>
    <cellStyle name="输出 2 4 6 4 2 2" xfId="30879"/>
    <cellStyle name="注释 2 6 11 8 4" xfId="30880"/>
    <cellStyle name="计算 2 6 2 3 3" xfId="30881"/>
    <cellStyle name="输出 2 4 6 4 3" xfId="30882"/>
    <cellStyle name="注释 2 6 11 8 4 2" xfId="30883"/>
    <cellStyle name="计算 2 6 2 3 3 2" xfId="30884"/>
    <cellStyle name="输出 2 4 6 4 3 2" xfId="30885"/>
    <cellStyle name="注释 2 6 11 8 5" xfId="30886"/>
    <cellStyle name="计算 2 6 2 3 4" xfId="30887"/>
    <cellStyle name="输出 2 4 6 4 4" xfId="30888"/>
    <cellStyle name="计算 2 6 2 3 4 2" xfId="30889"/>
    <cellStyle name="输出 2 4 6 4 4 2" xfId="30890"/>
    <cellStyle name="计算 2 6 2 3 5" xfId="30891"/>
    <cellStyle name="输出 2 4 6 4 5" xfId="30892"/>
    <cellStyle name="计算 2 6 2 3 5 2" xfId="30893"/>
    <cellStyle name="输出 2 4 6 4 5 2" xfId="30894"/>
    <cellStyle name="计算 2 6 2 3 6" xfId="30895"/>
    <cellStyle name="输出 2 4 6 4 6" xfId="30896"/>
    <cellStyle name="输出 2 5 11 4 3 2" xfId="30897"/>
    <cellStyle name="计算 2 6 2 4" xfId="30898"/>
    <cellStyle name="输出 2 4 6 5" xfId="30899"/>
    <cellStyle name="计算 2 6 2 4 2" xfId="30900"/>
    <cellStyle name="输出 2 4 6 5 2" xfId="30901"/>
    <cellStyle name="计算 2 6 2 4 2 2" xfId="30902"/>
    <cellStyle name="输出 2 4 6 5 2 2" xfId="30903"/>
    <cellStyle name="计算 2 6 2 4 3" xfId="30904"/>
    <cellStyle name="输出 2 4 6 5 3" xfId="30905"/>
    <cellStyle name="计算 2 6 2 4 3 2" xfId="30906"/>
    <cellStyle name="输出 2 4 6 5 3 2" xfId="30907"/>
    <cellStyle name="计算 2 6 2 4 4" xfId="30908"/>
    <cellStyle name="输出 2 4 6 5 4" xfId="30909"/>
    <cellStyle name="计算 2 6 2 4 4 2" xfId="30910"/>
    <cellStyle name="输出 2 4 6 5 4 2" xfId="30911"/>
    <cellStyle name="计算 2 6 2 4 5" xfId="30912"/>
    <cellStyle name="注释 2 16 4 2 2" xfId="30913"/>
    <cellStyle name="输出 2 4 6 5 5" xfId="30914"/>
    <cellStyle name="计算 2 6 2 4 5 2" xfId="30915"/>
    <cellStyle name="输出 2 4 6 5 5 2" xfId="30916"/>
    <cellStyle name="计算 2 6 2 4 6" xfId="30917"/>
    <cellStyle name="输出 2 4 6 5 6" xfId="30918"/>
    <cellStyle name="输出 2 5 11 4 4 2" xfId="30919"/>
    <cellStyle name="计算 2 6 2 5" xfId="30920"/>
    <cellStyle name="输出 2 4 6 6" xfId="30921"/>
    <cellStyle name="计算 2 6 2 5 2" xfId="30922"/>
    <cellStyle name="输出 2 4 6 6 2" xfId="30923"/>
    <cellStyle name="计算 2 6 2 5 2 2" xfId="30924"/>
    <cellStyle name="输出 2 4 6 6 2 2" xfId="30925"/>
    <cellStyle name="计算 2 6 2 5 3" xfId="30926"/>
    <cellStyle name="输出 2 4 6 6 3" xfId="30927"/>
    <cellStyle name="计算 2 6 2 5 3 2" xfId="30928"/>
    <cellStyle name="输出 2 4 6 6 3 2" xfId="30929"/>
    <cellStyle name="计算 2 6 2 5 4" xfId="30930"/>
    <cellStyle name="输出 2 4 6 6 4" xfId="30931"/>
    <cellStyle name="计算 2 6 2 5 4 2" xfId="30932"/>
    <cellStyle name="输出 2 4 6 6 4 2" xfId="30933"/>
    <cellStyle name="计算 2 6 2 5 5" xfId="30934"/>
    <cellStyle name="注释 2 16 4 3 2" xfId="30935"/>
    <cellStyle name="输出 2 4 6 6 5" xfId="30936"/>
    <cellStyle name="计算 2 6 2 5 5 2" xfId="30937"/>
    <cellStyle name="输出 2 4 6 6 5 2" xfId="30938"/>
    <cellStyle name="计算 2 6 2 5 6" xfId="30939"/>
    <cellStyle name="输出 2 3 4 3 2 2" xfId="30940"/>
    <cellStyle name="输出 2 4 6 6 6" xfId="30941"/>
    <cellStyle name="输出 2 5 11 4 5 2" xfId="30942"/>
    <cellStyle name="输出 2 9 4 7 3 2" xfId="30943"/>
    <cellStyle name="计算 2 6 2 6" xfId="30944"/>
    <cellStyle name="输入 2 2 7 3 2" xfId="30945"/>
    <cellStyle name="计算 2 6 5 10 2" xfId="30946"/>
    <cellStyle name="输出 2 4 6 7" xfId="30947"/>
    <cellStyle name="计算 2 6 2 6 2" xfId="30948"/>
    <cellStyle name="输入 2 2 7 3 2 2" xfId="30949"/>
    <cellStyle name="输出 2 4 6 7 2" xfId="30950"/>
    <cellStyle name="计算 2 6 2 6 2 2" xfId="30951"/>
    <cellStyle name="输出 2 4 6 7 2 2" xfId="30952"/>
    <cellStyle name="计算 2 6 2 6 3" xfId="30953"/>
    <cellStyle name="输出 2 4 6 7 3" xfId="30954"/>
    <cellStyle name="计算 2 6 2 6 3 2" xfId="30955"/>
    <cellStyle name="输出 2 4 6 7 3 2" xfId="30956"/>
    <cellStyle name="计算 2 6 2 6 4" xfId="30957"/>
    <cellStyle name="输出 2 12 8 6 2 2" xfId="30958"/>
    <cellStyle name="输出 2 4 6 7 4" xfId="30959"/>
    <cellStyle name="计算 2 6 2 6 4 2" xfId="30960"/>
    <cellStyle name="输出 2 4 6 7 4 2" xfId="30961"/>
    <cellStyle name="计算 2 6 2 6 5" xfId="30962"/>
    <cellStyle name="注释 2 16 4 4 2" xfId="30963"/>
    <cellStyle name="输出 2 4 6 7 5" xfId="30964"/>
    <cellStyle name="计算 2 6 2 6 5 2" xfId="30965"/>
    <cellStyle name="输出 2 4 6 7 5 2" xfId="30966"/>
    <cellStyle name="计算 2 6 2 6 6" xfId="30967"/>
    <cellStyle name="输出 2 3 4 3 3 2" xfId="30968"/>
    <cellStyle name="输出 2 4 6 7 6" xfId="30969"/>
    <cellStyle name="计算 2 6 2 7" xfId="30970"/>
    <cellStyle name="输入 2 2 7 3 3" xfId="30971"/>
    <cellStyle name="输出 2 4 6 8" xfId="30972"/>
    <cellStyle name="计算 2 6 2 7 2" xfId="30973"/>
    <cellStyle name="输入 2 2 7 3 3 2" xfId="30974"/>
    <cellStyle name="输出 2 4 6 8 2" xfId="30975"/>
    <cellStyle name="计算 2 6 2 7 2 2" xfId="30976"/>
    <cellStyle name="输出 2 2 2 6 4" xfId="30977"/>
    <cellStyle name="输出 2 4 6 8 2 2" xfId="30978"/>
    <cellStyle name="计算 2 6 2 7 3" xfId="30979"/>
    <cellStyle name="输出 2 2 11 10" xfId="30980"/>
    <cellStyle name="输出 2 12 6 2 2" xfId="30981"/>
    <cellStyle name="输出 2 4 6 8 3" xfId="30982"/>
    <cellStyle name="计算 2 6 2 7 3 2" xfId="30983"/>
    <cellStyle name="输出 2 2 11 10 2" xfId="30984"/>
    <cellStyle name="输出 2 2 2 7 4" xfId="30985"/>
    <cellStyle name="输出 2 12 6 2 2 2" xfId="30986"/>
    <cellStyle name="输出 2 4 6 8 3 2" xfId="30987"/>
    <cellStyle name="计算 2 6 2 7 4" xfId="30988"/>
    <cellStyle name="输出 2 12 8 6 3 2" xfId="30989"/>
    <cellStyle name="输出 2 2 11 11" xfId="30990"/>
    <cellStyle name="输出 2 12 6 2 3" xfId="30991"/>
    <cellStyle name="输出 2 4 6 8 4" xfId="30992"/>
    <cellStyle name="计算 2 6 2 7 4 2" xfId="30993"/>
    <cellStyle name="输出 2 10 2 2 3" xfId="30994"/>
    <cellStyle name="输出 2 2 11 11 2" xfId="30995"/>
    <cellStyle name="输出 2 2 2 8 4" xfId="30996"/>
    <cellStyle name="输出 2 12 6 2 3 2" xfId="30997"/>
    <cellStyle name="输出 2 4 6 8 4 2" xfId="30998"/>
    <cellStyle name="计算 2 6 2 7 5" xfId="30999"/>
    <cellStyle name="输出 2 2 11 12" xfId="31000"/>
    <cellStyle name="注释 2 16 4 5 2" xfId="31001"/>
    <cellStyle name="输出 2 12 6 2 4" xfId="31002"/>
    <cellStyle name="输出 2 4 6 8 5" xfId="31003"/>
    <cellStyle name="输出 2 12 6 2 4 2" xfId="31004"/>
    <cellStyle name="计算 2 6 2 7 5 2" xfId="31005"/>
    <cellStyle name="输出 2 10 2 3 3" xfId="31006"/>
    <cellStyle name="输出 2 2 11 12 2" xfId="31007"/>
    <cellStyle name="输出 2 12 6 2 5" xfId="31008"/>
    <cellStyle name="计算 2 6 2 7 6" xfId="31009"/>
    <cellStyle name="输出 2 2 11 13" xfId="31010"/>
    <cellStyle name="输出 2 3 4 3 4 2" xfId="31011"/>
    <cellStyle name="计算 2 6 2 8" xfId="31012"/>
    <cellStyle name="注释 2 4 4 5 3 2" xfId="31013"/>
    <cellStyle name="输入 2 2 7 3 4" xfId="31014"/>
    <cellStyle name="输出 2 4 6 9" xfId="31015"/>
    <cellStyle name="计算 2 6 2 8 2" xfId="31016"/>
    <cellStyle name="输入 2 2 7 3 4 2" xfId="31017"/>
    <cellStyle name="输出 2 4 6 9 2" xfId="31018"/>
    <cellStyle name="计算 2 6 2 8 2 2" xfId="31019"/>
    <cellStyle name="输出 2 2 3 6 4" xfId="31020"/>
    <cellStyle name="计算 2 6 2 8 3" xfId="31021"/>
    <cellStyle name="输出 2 12 6 3 2" xfId="31022"/>
    <cellStyle name="输出 2 12 6 3 2 2" xfId="31023"/>
    <cellStyle name="计算 2 6 2 8 3 2" xfId="31024"/>
    <cellStyle name="输出 2 2 3 7 4" xfId="31025"/>
    <cellStyle name="输出 2 12 6 3 3" xfId="31026"/>
    <cellStyle name="计算 2 6 2 8 4" xfId="31027"/>
    <cellStyle name="输出 2 10 10 10" xfId="31028"/>
    <cellStyle name="输出 2 12 8 6 4 2" xfId="31029"/>
    <cellStyle name="输出 2 12 6 3 3 2" xfId="31030"/>
    <cellStyle name="计算 2 6 2 8 4 2" xfId="31031"/>
    <cellStyle name="输出 2 10 10 10 2" xfId="31032"/>
    <cellStyle name="输出 2 10 3 2 3" xfId="31033"/>
    <cellStyle name="输出 2 2 3 8 4" xfId="31034"/>
    <cellStyle name="计算 2 6 2 8 5" xfId="31035"/>
    <cellStyle name="输出 2 10 10 11" xfId="31036"/>
    <cellStyle name="输出 2 12 6 3 4" xfId="31037"/>
    <cellStyle name="计算 2 6 2 9" xfId="31038"/>
    <cellStyle name="计算 2 9 6 5 3 2" xfId="31039"/>
    <cellStyle name="计算 2 6 2 9 2" xfId="31040"/>
    <cellStyle name="注释 2 5 8 4 3" xfId="31041"/>
    <cellStyle name="输入 2 6 2 5 3 2" xfId="31042"/>
    <cellStyle name="计算 2 6 3 10" xfId="31043"/>
    <cellStyle name="输出 2 4 7 15" xfId="31044"/>
    <cellStyle name="注释 2 5 8 4 3 2" xfId="31045"/>
    <cellStyle name="计算 2 6 3 10 2" xfId="31046"/>
    <cellStyle name="注释 2 5 8 4 4" xfId="31047"/>
    <cellStyle name="计算 2 6 3 11" xfId="31048"/>
    <cellStyle name="检查单元格 2 7 5 3 5 2" xfId="31049"/>
    <cellStyle name="输出 2 4 7 16" xfId="31050"/>
    <cellStyle name="注释 2 5 8 4 4 2" xfId="31051"/>
    <cellStyle name="计算 2 6 3 11 2" xfId="31052"/>
    <cellStyle name="注释 2 5 8 4 5" xfId="31053"/>
    <cellStyle name="计算 2 6 3 12" xfId="31054"/>
    <cellStyle name="注释 2 5 8 4 5 2" xfId="31055"/>
    <cellStyle name="计算 2 6 3 12 2" xfId="31056"/>
    <cellStyle name="计算 2 6 3 2" xfId="31057"/>
    <cellStyle name="输入 2 8 7 7 3 2" xfId="31058"/>
    <cellStyle name="输出 2 4 7 3" xfId="31059"/>
    <cellStyle name="计算 2 6 3 2 3 2" xfId="31060"/>
    <cellStyle name="输出 2 4 7 3 3 2" xfId="31061"/>
    <cellStyle name="计算 2 6 3 2 4" xfId="31062"/>
    <cellStyle name="输出 2 4 7 3 4" xfId="31063"/>
    <cellStyle name="计算 2 6 3 2 4 2" xfId="31064"/>
    <cellStyle name="输出 2 4 7 3 4 2" xfId="31065"/>
    <cellStyle name="计算 2 6 3 2 5" xfId="31066"/>
    <cellStyle name="输出 2 4 7 3 5" xfId="31067"/>
    <cellStyle name="计算 2 6 3 2 5 2" xfId="31068"/>
    <cellStyle name="输出 2 4 7 3 5 2" xfId="31069"/>
    <cellStyle name="计算 2 6 3 2 6" xfId="31070"/>
    <cellStyle name="输出 2 4 7 3 6" xfId="31071"/>
    <cellStyle name="输出 2 5 11 5 2 2" xfId="31072"/>
    <cellStyle name="计算 2 6 3 2 7" xfId="31073"/>
    <cellStyle name="计算 2 6 3 2 8" xfId="31074"/>
    <cellStyle name="计算 2 6 3 2 9" xfId="31075"/>
    <cellStyle name="计算 2 6 3 3" xfId="31076"/>
    <cellStyle name="输出 2 4 7 4" xfId="31077"/>
    <cellStyle name="计算 2 6 3 3 3 2" xfId="31078"/>
    <cellStyle name="输出 2 4 7 4 3 2" xfId="31079"/>
    <cellStyle name="计算 2 6 3 3 4" xfId="31080"/>
    <cellStyle name="输出 2 4 7 4 4" xfId="31081"/>
    <cellStyle name="计算 2 6 3 3 4 2" xfId="31082"/>
    <cellStyle name="输出 2 4 7 4 4 2" xfId="31083"/>
    <cellStyle name="计算 2 6 3 3 5" xfId="31084"/>
    <cellStyle name="输出 2 4 7 4 5" xfId="31085"/>
    <cellStyle name="计算 2 6 3 3 5 2" xfId="31086"/>
    <cellStyle name="输入 2 11 4 14" xfId="31087"/>
    <cellStyle name="输出 2 4 7 4 5 2" xfId="31088"/>
    <cellStyle name="计算 2 6 3 3 6" xfId="31089"/>
    <cellStyle name="输入 2 12 8 10 2" xfId="31090"/>
    <cellStyle name="输出 2 4 7 4 6" xfId="31091"/>
    <cellStyle name="输出 2 5 11 5 3 2" xfId="31092"/>
    <cellStyle name="计算 2 6 3 4" xfId="31093"/>
    <cellStyle name="输出 2 4 7 5" xfId="31094"/>
    <cellStyle name="计算 2 6 3 4 3 2" xfId="31095"/>
    <cellStyle name="输出 2 4 7 5 3 2" xfId="31096"/>
    <cellStyle name="计算 2 6 3 4 4" xfId="31097"/>
    <cellStyle name="输出 2 4 7 5 4" xfId="31098"/>
    <cellStyle name="计算 2 6 3 4 4 2" xfId="31099"/>
    <cellStyle name="输出 2 4 7 5 4 2" xfId="31100"/>
    <cellStyle name="计算 2 6 3 4 5" xfId="31101"/>
    <cellStyle name="注释 2 16 5 2 2" xfId="31102"/>
    <cellStyle name="输出 2 4 7 5 5" xfId="31103"/>
    <cellStyle name="计算 2 6 3 4 5 2" xfId="31104"/>
    <cellStyle name="输入 2 3 10 2 6" xfId="31105"/>
    <cellStyle name="输入 2 11 9 14" xfId="31106"/>
    <cellStyle name="输出 2 4 7 5 5 2" xfId="31107"/>
    <cellStyle name="计算 2 6 3 4 6" xfId="31108"/>
    <cellStyle name="输入 2 12 8 11 2" xfId="31109"/>
    <cellStyle name="输出 2 4 7 5 6" xfId="31110"/>
    <cellStyle name="输出 2 5 11 5 4 2" xfId="31111"/>
    <cellStyle name="计算 2 6 3 5" xfId="31112"/>
    <cellStyle name="输出 2 4 7 6" xfId="31113"/>
    <cellStyle name="计算 2 6 3 5 3 2" xfId="31114"/>
    <cellStyle name="输出 2 4 7 6 3 2" xfId="31115"/>
    <cellStyle name="计算 2 6 3 5 4" xfId="31116"/>
    <cellStyle name="输出 2 4 7 6 4" xfId="31117"/>
    <cellStyle name="计算 2 6 3 5 4 2" xfId="31118"/>
    <cellStyle name="输出 2 4 7 6 4 2" xfId="31119"/>
    <cellStyle name="计算 2 6 3 5 5" xfId="31120"/>
    <cellStyle name="注释 2 16 5 3 2" xfId="31121"/>
    <cellStyle name="输出 2 4 7 6 5" xfId="31122"/>
    <cellStyle name="计算 2 6 3 5 5 2" xfId="31123"/>
    <cellStyle name="输入 2 3 11 2 6" xfId="31124"/>
    <cellStyle name="输出 2 4 7 6 5 2" xfId="31125"/>
    <cellStyle name="计算 2 6 3 5 6" xfId="31126"/>
    <cellStyle name="输出 2 3 4 4 2 2" xfId="31127"/>
    <cellStyle name="输入 2 12 8 12 2" xfId="31128"/>
    <cellStyle name="输出 2 4 7 6 6" xfId="31129"/>
    <cellStyle name="输出 2 5 11 5 5 2" xfId="31130"/>
    <cellStyle name="输出 2 9 4 7 4 2" xfId="31131"/>
    <cellStyle name="计算 2 6 3 6" xfId="31132"/>
    <cellStyle name="输入 2 2 7 4 2" xfId="31133"/>
    <cellStyle name="计算 2 6 5 11 2" xfId="31134"/>
    <cellStyle name="输出 2 4 7 7" xfId="31135"/>
    <cellStyle name="计算 2 6 3 6 3 2" xfId="31136"/>
    <cellStyle name="输出 2 4 7 7 3 2" xfId="31137"/>
    <cellStyle name="计算 2 6 3 6 4" xfId="31138"/>
    <cellStyle name="输出 2 12 8 7 2 2" xfId="31139"/>
    <cellStyle name="输出 2 4 7 7 4" xfId="31140"/>
    <cellStyle name="计算 2 6 3 6 4 2" xfId="31141"/>
    <cellStyle name="输出 2 4 7 7 4 2" xfId="31142"/>
    <cellStyle name="计算 2 6 3 6 5" xfId="31143"/>
    <cellStyle name="注释 2 16 5 4 2" xfId="31144"/>
    <cellStyle name="输出 2 4 7 7 5" xfId="31145"/>
    <cellStyle name="输入 2 6 5 12" xfId="31146"/>
    <cellStyle name="计算 2 6 3 6 5 2" xfId="31147"/>
    <cellStyle name="输出 2 4 7 7 5 2" xfId="31148"/>
    <cellStyle name="计算 2 6 3 6 6" xfId="31149"/>
    <cellStyle name="输出 2 3 4 4 3 2" xfId="31150"/>
    <cellStyle name="输出 2 4 7 7 6" xfId="31151"/>
    <cellStyle name="计算 2 6 3 7 4" xfId="31152"/>
    <cellStyle name="输出 2 12 8 7 3 2" xfId="31153"/>
    <cellStyle name="输出 2 12 7 2 3" xfId="31154"/>
    <cellStyle name="输出 2 4 7 8 4" xfId="31155"/>
    <cellStyle name="计算 2 6 3 7 5" xfId="31156"/>
    <cellStyle name="注释 2 16 5 5 2" xfId="31157"/>
    <cellStyle name="输出 2 12 7 2 4" xfId="31158"/>
    <cellStyle name="输出 2 4 7 8 5" xfId="31159"/>
    <cellStyle name="输出 2 12 7 2 5" xfId="31160"/>
    <cellStyle name="计算 2 6 3 7 6" xfId="31161"/>
    <cellStyle name="输出 2 3 4 4 4 2" xfId="31162"/>
    <cellStyle name="计算 2 6 3 8" xfId="31163"/>
    <cellStyle name="注释 2 4 4 5 4 2" xfId="31164"/>
    <cellStyle name="输入 2 2 7 4 4" xfId="31165"/>
    <cellStyle name="输出 2 4 7 9" xfId="31166"/>
    <cellStyle name="计算 2 6 3 8 3" xfId="31167"/>
    <cellStyle name="输出 2 12 7 3 2" xfId="31168"/>
    <cellStyle name="输出 2 12 7 3 3" xfId="31169"/>
    <cellStyle name="计算 2 6 3 8 4" xfId="31170"/>
    <cellStyle name="输出 2 12 8 7 4 2" xfId="31171"/>
    <cellStyle name="计算 2 6 3 8 5" xfId="31172"/>
    <cellStyle name="输出 2 12 7 3 4" xfId="31173"/>
    <cellStyle name="计算 2 6 3 9" xfId="31174"/>
    <cellStyle name="计算 2 9 6 5 4 2" xfId="31175"/>
    <cellStyle name="输入 2 2 7 4 5" xfId="31176"/>
    <cellStyle name="输出 2 13 10" xfId="31177"/>
    <cellStyle name="计算 2 6 3 9 2" xfId="31178"/>
    <cellStyle name="输入 2 2 7 4 5 2" xfId="31179"/>
    <cellStyle name="输出 2 13 10 2" xfId="31180"/>
    <cellStyle name="输入 2 2 2 3 2" xfId="31181"/>
    <cellStyle name="计算 2 6 4 10 2" xfId="31182"/>
    <cellStyle name="输入 2 2 2 4" xfId="31183"/>
    <cellStyle name="计算 2 6 4 11" xfId="31184"/>
    <cellStyle name="输出 2 9 4 2 4" xfId="31185"/>
    <cellStyle name="输出 2 4 8 16" xfId="31186"/>
    <cellStyle name="输入 2 2 2 4 2" xfId="31187"/>
    <cellStyle name="计算 2 6 4 11 2" xfId="31188"/>
    <cellStyle name="输入 2 2 2 5" xfId="31189"/>
    <cellStyle name="计算 2 6 4 12" xfId="31190"/>
    <cellStyle name="输入 2 2 2 5 2" xfId="31191"/>
    <cellStyle name="计算 2 6 4 12 2" xfId="31192"/>
    <cellStyle name="输入 2 2 2 6" xfId="31193"/>
    <cellStyle name="计算 2 6 4 13" xfId="31194"/>
    <cellStyle name="输出 2 9 4 2 6" xfId="31195"/>
    <cellStyle name="检查单元格 2 8 3 5 3 2" xfId="31196"/>
    <cellStyle name="输入 2 2 2 7" xfId="31197"/>
    <cellStyle name="计算 2 6 4 14" xfId="31198"/>
    <cellStyle name="输入 2 2 2 8" xfId="31199"/>
    <cellStyle name="计算 2 6 4 15" xfId="31200"/>
    <cellStyle name="输入 2 2 2 9" xfId="31201"/>
    <cellStyle name="计算 2 6 4 16" xfId="31202"/>
    <cellStyle name="计算 2 6 4 2" xfId="31203"/>
    <cellStyle name="输入 2 8 7 7 4 2" xfId="31204"/>
    <cellStyle name="输出 2 4 8 3" xfId="31205"/>
    <cellStyle name="计算 2 6 4 2 2" xfId="31206"/>
    <cellStyle name="输出 2 4 8 3 2" xfId="31207"/>
    <cellStyle name="计算 2 6 4 2 2 2" xfId="31208"/>
    <cellStyle name="输出 2 4 8 3 2 2" xfId="31209"/>
    <cellStyle name="计算 2 6 4 2 3" xfId="31210"/>
    <cellStyle name="输出 2 4 8 3 3" xfId="31211"/>
    <cellStyle name="计算 2 6 4 2 3 2" xfId="31212"/>
    <cellStyle name="输出 2 4 8 3 3 2" xfId="31213"/>
    <cellStyle name="计算 2 6 4 2 4" xfId="31214"/>
    <cellStyle name="输出 2 4 8 3 4" xfId="31215"/>
    <cellStyle name="计算 2 6 4 2 4 2" xfId="31216"/>
    <cellStyle name="输出 2 4 8 3 4 2" xfId="31217"/>
    <cellStyle name="计算 2 6 4 2 5" xfId="31218"/>
    <cellStyle name="输出 2 4 8 3 5" xfId="31219"/>
    <cellStyle name="计算 2 6 4 2 5 2" xfId="31220"/>
    <cellStyle name="输出 2 4 8 3 5 2" xfId="31221"/>
    <cellStyle name="计算 2 6 4 2 6" xfId="31222"/>
    <cellStyle name="输出 2 4 8 3 6" xfId="31223"/>
    <cellStyle name="输出 2 5 11 6 2 2" xfId="31224"/>
    <cellStyle name="计算 2 6 4 2 7" xfId="31225"/>
    <cellStyle name="计算 2 6 4 2 8" xfId="31226"/>
    <cellStyle name="计算 2 6 4 2 9" xfId="31227"/>
    <cellStyle name="计算 2 6 4 3" xfId="31228"/>
    <cellStyle name="输出 2 4 8 4" xfId="31229"/>
    <cellStyle name="计算 2 6 4 3 2" xfId="31230"/>
    <cellStyle name="输出 2 4 8 4 2" xfId="31231"/>
    <cellStyle name="计算 2 6 4 3 2 2" xfId="31232"/>
    <cellStyle name="计算 2 7 10 2 7" xfId="31233"/>
    <cellStyle name="输出 2 4 8 4 2 2" xfId="31234"/>
    <cellStyle name="计算 2 6 4 3 3" xfId="31235"/>
    <cellStyle name="输出 2 4 8 4 3" xfId="31236"/>
    <cellStyle name="计算 2 6 4 3 3 2" xfId="31237"/>
    <cellStyle name="输出 2 4 8 4 3 2" xfId="31238"/>
    <cellStyle name="计算 2 6 4 3 4" xfId="31239"/>
    <cellStyle name="输出 2 4 8 4 4" xfId="31240"/>
    <cellStyle name="计算 2 6 4 3 4 2" xfId="31241"/>
    <cellStyle name="输出 2 4 8 4 4 2" xfId="31242"/>
    <cellStyle name="计算 2 6 4 3 5" xfId="31243"/>
    <cellStyle name="输出 2 4 8 4 5" xfId="31244"/>
    <cellStyle name="计算 2 6 4 3 5 2" xfId="31245"/>
    <cellStyle name="输出 2 4 8 4 5 2" xfId="31246"/>
    <cellStyle name="计算 2 6 4 3 6" xfId="31247"/>
    <cellStyle name="输出 2 4 8 4 6" xfId="31248"/>
    <cellStyle name="输出 2 5 11 6 3 2" xfId="31249"/>
    <cellStyle name="计算 2 6 4 4" xfId="31250"/>
    <cellStyle name="输出 2 4 8 5" xfId="31251"/>
    <cellStyle name="计算 2 6 4 4 2" xfId="31252"/>
    <cellStyle name="输出 2 4 8 5 2" xfId="31253"/>
    <cellStyle name="计算 2 6 4 4 2 2" xfId="31254"/>
    <cellStyle name="注释 2 3 10" xfId="31255"/>
    <cellStyle name="输出 2 4 8 5 2 2" xfId="31256"/>
    <cellStyle name="计算 2 6 4 4 3" xfId="31257"/>
    <cellStyle name="输出 2 4 8 5 3" xfId="31258"/>
    <cellStyle name="计算 2 6 4 4 3 2" xfId="31259"/>
    <cellStyle name="输出 2 4 8 5 3 2" xfId="31260"/>
    <cellStyle name="计算 2 6 4 4 4" xfId="31261"/>
    <cellStyle name="输出 2 4 8 5 4" xfId="31262"/>
    <cellStyle name="计算 2 6 4 4 4 2" xfId="31263"/>
    <cellStyle name="输出 2 4 8 5 4 2" xfId="31264"/>
    <cellStyle name="计算 2 6 4 4 5" xfId="31265"/>
    <cellStyle name="注释 2 16 6 2 2" xfId="31266"/>
    <cellStyle name="输出 2 4 8 5 5" xfId="31267"/>
    <cellStyle name="计算 2 6 4 4 6" xfId="31268"/>
    <cellStyle name="输出 2 4 8 5 6" xfId="31269"/>
    <cellStyle name="输出 2 5 11 6 4 2" xfId="31270"/>
    <cellStyle name="计算 2 6 4 5" xfId="31271"/>
    <cellStyle name="输出 2 4 8 6" xfId="31272"/>
    <cellStyle name="计算 2 6 4 5 2" xfId="31273"/>
    <cellStyle name="输出 2 4 8 6 2" xfId="31274"/>
    <cellStyle name="注释 2 6 15 5" xfId="31275"/>
    <cellStyle name="计算 2 6 4 5 2 2" xfId="31276"/>
    <cellStyle name="注释 2 8 10" xfId="31277"/>
    <cellStyle name="输出 2 4 8 6 2 2" xfId="31278"/>
    <cellStyle name="计算 2 6 4 5 3" xfId="31279"/>
    <cellStyle name="输出 2 4 8 6 3" xfId="31280"/>
    <cellStyle name="注释 2 6 16 5" xfId="31281"/>
    <cellStyle name="计算 2 6 4 5 3 2" xfId="31282"/>
    <cellStyle name="输出 2 4 8 6 3 2" xfId="31283"/>
    <cellStyle name="计算 2 6 4 5 4" xfId="31284"/>
    <cellStyle name="输出 2 4 8 6 4" xfId="31285"/>
    <cellStyle name="注释 2 6 17 5" xfId="31286"/>
    <cellStyle name="计算 2 6 4 5 4 2" xfId="31287"/>
    <cellStyle name="输出 2 4 8 6 4 2" xfId="31288"/>
    <cellStyle name="计算 2 6 4 5 5" xfId="31289"/>
    <cellStyle name="注释 2 16 6 3 2" xfId="31290"/>
    <cellStyle name="输出 2 4 8 6 5" xfId="31291"/>
    <cellStyle name="注释 2 6 18 5" xfId="31292"/>
    <cellStyle name="计算 2 6 4 5 5 2" xfId="31293"/>
    <cellStyle name="输出 2 4 8 6 5 2" xfId="31294"/>
    <cellStyle name="计算 2 6 4 5 6" xfId="31295"/>
    <cellStyle name="输出 2 3 4 5 2 2" xfId="31296"/>
    <cellStyle name="输出 2 4 8 6 6" xfId="31297"/>
    <cellStyle name="输出 2 5 11 6 5 2" xfId="31298"/>
    <cellStyle name="输出 2 9 4 7 5 2" xfId="31299"/>
    <cellStyle name="计算 2 6 4 6" xfId="31300"/>
    <cellStyle name="输入 2 2 7 5 2" xfId="31301"/>
    <cellStyle name="计算 2 6 5 12 2" xfId="31302"/>
    <cellStyle name="输出 2 4 8 7" xfId="31303"/>
    <cellStyle name="计算 2 6 4 6 2" xfId="31304"/>
    <cellStyle name="输入 2 2 7 5 2 2" xfId="31305"/>
    <cellStyle name="输出 2 4 8 7 2" xfId="31306"/>
    <cellStyle name="计算 2 6 4 6 3" xfId="31307"/>
    <cellStyle name="输出 2 4 8 7 3" xfId="31308"/>
    <cellStyle name="计算 2 6 4 6 3 2" xfId="31309"/>
    <cellStyle name="输出 2 4 8 7 3 2" xfId="31310"/>
    <cellStyle name="计算 2 6 4 6 4 2" xfId="31311"/>
    <cellStyle name="输出 2 4 8 7 4 2" xfId="31312"/>
    <cellStyle name="计算 2 6 4 6 5" xfId="31313"/>
    <cellStyle name="注释 2 16 6 4 2" xfId="31314"/>
    <cellStyle name="输出 2 4 8 7 5" xfId="31315"/>
    <cellStyle name="计算 2 6 4 6 5 2" xfId="31316"/>
    <cellStyle name="输出 2 4 8 7 5 2" xfId="31317"/>
    <cellStyle name="计算 2 6 4 6 6" xfId="31318"/>
    <cellStyle name="输出 2 3 4 5 3 2" xfId="31319"/>
    <cellStyle name="输出 2 4 8 7 6" xfId="31320"/>
    <cellStyle name="计算 2 6 4 7 2" xfId="31321"/>
    <cellStyle name="输入 2 2 7 5 3 2" xfId="31322"/>
    <cellStyle name="输出 2 4 8 8 2" xfId="31323"/>
    <cellStyle name="计算 2 6 4 7 2 2" xfId="31324"/>
    <cellStyle name="输出 2 4 2 6 4" xfId="31325"/>
    <cellStyle name="输出 2 4 8 8 2 2" xfId="31326"/>
    <cellStyle name="计算 2 6 4 7 3" xfId="31327"/>
    <cellStyle name="输出 2 12 8 2 2" xfId="31328"/>
    <cellStyle name="输出 2 4 8 8 3" xfId="31329"/>
    <cellStyle name="计算 2 6 4 7 3 2" xfId="31330"/>
    <cellStyle name="输出 2 4 2 7 4" xfId="31331"/>
    <cellStyle name="输出 2 12 8 2 2 2" xfId="31332"/>
    <cellStyle name="输出 2 4 8 8 3 2" xfId="31333"/>
    <cellStyle name="计算 2 6 4 7 4 2" xfId="31334"/>
    <cellStyle name="输出 2 12 2 2 3" xfId="31335"/>
    <cellStyle name="输出 2 4 2 8 4" xfId="31336"/>
    <cellStyle name="检查单元格 2 6 13" xfId="31337"/>
    <cellStyle name="输出 2 12 8 2 3 2" xfId="31338"/>
    <cellStyle name="输出 2 4 8 8 4 2" xfId="31339"/>
    <cellStyle name="计算 2 6 4 7 5" xfId="31340"/>
    <cellStyle name="注释 2 16 6 5 2" xfId="31341"/>
    <cellStyle name="输出 2 12 8 2 4" xfId="31342"/>
    <cellStyle name="输出 2 4 8 8 5" xfId="31343"/>
    <cellStyle name="计算 2 6 4 7 5 2" xfId="31344"/>
    <cellStyle name="输出 2 12 2 3 3" xfId="31345"/>
    <cellStyle name="输出 2 12 8 2 4 2" xfId="31346"/>
    <cellStyle name="输出 2 12 8 2 5" xfId="31347"/>
    <cellStyle name="计算 2 6 4 7 6" xfId="31348"/>
    <cellStyle name="输出 2 3 4 5 4 2" xfId="31349"/>
    <cellStyle name="计算 2 6 4 8" xfId="31350"/>
    <cellStyle name="注释 2 4 4 5 5 2" xfId="31351"/>
    <cellStyle name="输入 2 2 7 5 4" xfId="31352"/>
    <cellStyle name="输出 2 4 8 9" xfId="31353"/>
    <cellStyle name="计算 2 6 4 8 2" xfId="31354"/>
    <cellStyle name="输入 2 2 7 5 4 2" xfId="31355"/>
    <cellStyle name="输出 2 4 8 9 2" xfId="31356"/>
    <cellStyle name="计算 2 6 4 8 2 2" xfId="31357"/>
    <cellStyle name="输出 2 4 3 6 4" xfId="31358"/>
    <cellStyle name="计算 2 6 4 8 3" xfId="31359"/>
    <cellStyle name="输出 2 12 8 3 2" xfId="31360"/>
    <cellStyle name="输出 2 12 8 3 2 2" xfId="31361"/>
    <cellStyle name="计算 2 6 4 8 3 2" xfId="31362"/>
    <cellStyle name="输出 2 4 3 7 4" xfId="31363"/>
    <cellStyle name="输出 2 12 8 3 3 2" xfId="31364"/>
    <cellStyle name="计算 2 6 4 8 4 2" xfId="31365"/>
    <cellStyle name="输出 2 12 3 2 3" xfId="31366"/>
    <cellStyle name="输出 2 4 3 8 4" xfId="31367"/>
    <cellStyle name="计算 2 6 4 8 5" xfId="31368"/>
    <cellStyle name="输出 2 12 8 3 4" xfId="31369"/>
    <cellStyle name="计算 2 6 4 9 2" xfId="31370"/>
    <cellStyle name="输出 2 7 6 12 2" xfId="31371"/>
    <cellStyle name="计算 2 6 5" xfId="31372"/>
    <cellStyle name="输入 2 2 7 3" xfId="31373"/>
    <cellStyle name="计算 2 6 5 10" xfId="31374"/>
    <cellStyle name="输出 2 9 4 7 3" xfId="31375"/>
    <cellStyle name="输出 2 4 9 15" xfId="31376"/>
    <cellStyle name="输出 2 5 3 2 3 2" xfId="31377"/>
    <cellStyle name="输入 2 2 7 4" xfId="31378"/>
    <cellStyle name="计算 2 6 5 11" xfId="31379"/>
    <cellStyle name="输出 2 9 4 7 4" xfId="31380"/>
    <cellStyle name="输出 2 4 9 16" xfId="31381"/>
    <cellStyle name="输入 2 2 7 5" xfId="31382"/>
    <cellStyle name="计算 2 6 5 12" xfId="31383"/>
    <cellStyle name="输入 2 2 7 6" xfId="31384"/>
    <cellStyle name="计算 2 6 5 13" xfId="31385"/>
    <cellStyle name="输入 2 2 7 7" xfId="31386"/>
    <cellStyle name="计算 2 6 5 14" xfId="31387"/>
    <cellStyle name="输入 2 2 7 8" xfId="31388"/>
    <cellStyle name="计算 2 6 5 15" xfId="31389"/>
    <cellStyle name="输入 2 2 7 9" xfId="31390"/>
    <cellStyle name="计算 2 6 5 16" xfId="31391"/>
    <cellStyle name="输出 2 11 11 3 4 2" xfId="31392"/>
    <cellStyle name="计算 2 6 5 2" xfId="31393"/>
    <cellStyle name="输入 2 8 7 7 5 2" xfId="31394"/>
    <cellStyle name="输出 2 4 9 3" xfId="31395"/>
    <cellStyle name="计算 2 6 5 2 2" xfId="31396"/>
    <cellStyle name="输出 2 11 8" xfId="31397"/>
    <cellStyle name="输出 2 4 9 3 2" xfId="31398"/>
    <cellStyle name="计算 2 6 5 2 2 2" xfId="31399"/>
    <cellStyle name="输出 2 11 8 2" xfId="31400"/>
    <cellStyle name="输出 2 4 9 3 2 2" xfId="31401"/>
    <cellStyle name="计算 2 6 5 2 3" xfId="31402"/>
    <cellStyle name="输出 2 11 9" xfId="31403"/>
    <cellStyle name="输出 2 4 9 3 3" xfId="31404"/>
    <cellStyle name="计算 2 6 5 2 3 2" xfId="31405"/>
    <cellStyle name="输出 2 11 9 2" xfId="31406"/>
    <cellStyle name="输出 2 4 9 3 3 2" xfId="31407"/>
    <cellStyle name="计算 2 6 5 2 4" xfId="31408"/>
    <cellStyle name="输出 2 4 9 3 4" xfId="31409"/>
    <cellStyle name="计算 2 6 5 2 4 2" xfId="31410"/>
    <cellStyle name="输出 2 4 9 3 4 2" xfId="31411"/>
    <cellStyle name="计算 2 6 5 2 5" xfId="31412"/>
    <cellStyle name="输出 2 4 9 3 5" xfId="31413"/>
    <cellStyle name="计算 2 6 5 2 5 2" xfId="31414"/>
    <cellStyle name="输出 2 4 9 3 5 2" xfId="31415"/>
    <cellStyle name="计算 2 6 5 2 6" xfId="31416"/>
    <cellStyle name="输出 2 4 9 3 6" xfId="31417"/>
    <cellStyle name="输出 2 5 11 7 2 2" xfId="31418"/>
    <cellStyle name="计算 2 6 5 2 7" xfId="31419"/>
    <cellStyle name="计算 2 6 5 2 8" xfId="31420"/>
    <cellStyle name="计算 2 6 5 3" xfId="31421"/>
    <cellStyle name="输出 2 4 9 4" xfId="31422"/>
    <cellStyle name="计算 2 6 5 3 2" xfId="31423"/>
    <cellStyle name="输出 2 12 8" xfId="31424"/>
    <cellStyle name="输出 2 4 9 4 2" xfId="31425"/>
    <cellStyle name="计算 2 6 5 3 2 2" xfId="31426"/>
    <cellStyle name="输出 2 12 8 2" xfId="31427"/>
    <cellStyle name="输出 2 4 9 4 2 2" xfId="31428"/>
    <cellStyle name="计算 2 6 5 4" xfId="31429"/>
    <cellStyle name="输出 2 4 9 5" xfId="31430"/>
    <cellStyle name="计算 2 6 5 4 2" xfId="31431"/>
    <cellStyle name="输出 2 13 8" xfId="31432"/>
    <cellStyle name="输出 2 4 9 5 2" xfId="31433"/>
    <cellStyle name="计算 2 6 5 4 2 2" xfId="31434"/>
    <cellStyle name="输出 2 13 8 2" xfId="31435"/>
    <cellStyle name="输出 2 4 9 5 2 2" xfId="31436"/>
    <cellStyle name="计算 2 6 5 4 3" xfId="31437"/>
    <cellStyle name="输出 2 13 9" xfId="31438"/>
    <cellStyle name="输出 2 4 9 5 3" xfId="31439"/>
    <cellStyle name="计算 2 6 5 4 3 2" xfId="31440"/>
    <cellStyle name="输出 2 13 9 2" xfId="31441"/>
    <cellStyle name="输出 2 4 9 5 3 2" xfId="31442"/>
    <cellStyle name="计算 2 6 5 4 4" xfId="31443"/>
    <cellStyle name="输出 2 4 9 5 4" xfId="31444"/>
    <cellStyle name="计算 2 6 5 4 4 2" xfId="31445"/>
    <cellStyle name="输出 2 4 9 5 4 2" xfId="31446"/>
    <cellStyle name="计算 2 6 5 4 5" xfId="31447"/>
    <cellStyle name="注释 2 16 7 2 2" xfId="31448"/>
    <cellStyle name="输出 2 4 9 5 5" xfId="31449"/>
    <cellStyle name="计算 2 6 5 4 5 2" xfId="31450"/>
    <cellStyle name="输出 2 4 9 5 5 2" xfId="31451"/>
    <cellStyle name="计算 2 6 5 4 6" xfId="31452"/>
    <cellStyle name="输出 2 4 9 5 6" xfId="31453"/>
    <cellStyle name="输出 2 5 11 7 4 2" xfId="31454"/>
    <cellStyle name="计算 2 6 5 5" xfId="31455"/>
    <cellStyle name="注释 2 3 6 10" xfId="31456"/>
    <cellStyle name="输出 2 4 9 6" xfId="31457"/>
    <cellStyle name="计算 2 6 5 5 2" xfId="31458"/>
    <cellStyle name="输出 2 14 8" xfId="31459"/>
    <cellStyle name="注释 2 3 6 10 2" xfId="31460"/>
    <cellStyle name="输出 2 4 9 6 2" xfId="31461"/>
    <cellStyle name="计算 2 6 5 5 2 2" xfId="31462"/>
    <cellStyle name="输出 2 14 8 2" xfId="31463"/>
    <cellStyle name="输出 2 4 9 6 2 2" xfId="31464"/>
    <cellStyle name="计算 2 6 5 5 3" xfId="31465"/>
    <cellStyle name="输出 2 14 9" xfId="31466"/>
    <cellStyle name="输出 2 4 9 6 3" xfId="31467"/>
    <cellStyle name="计算 2 6 5 5 3 2" xfId="31468"/>
    <cellStyle name="输出 2 14 9 2" xfId="31469"/>
    <cellStyle name="输出 2 4 9 6 3 2" xfId="31470"/>
    <cellStyle name="计算 2 6 5 5 4" xfId="31471"/>
    <cellStyle name="输出 2 4 9 6 4" xfId="31472"/>
    <cellStyle name="计算 2 6 5 5 4 2" xfId="31473"/>
    <cellStyle name="输出 2 4 9 6 4 2" xfId="31474"/>
    <cellStyle name="计算 2 6 5 5 5" xfId="31475"/>
    <cellStyle name="注释 2 16 7 3 2" xfId="31476"/>
    <cellStyle name="输出 2 4 9 6 5" xfId="31477"/>
    <cellStyle name="计算 2 6 5 5 5 2" xfId="31478"/>
    <cellStyle name="输出 2 4 9 6 5 2" xfId="31479"/>
    <cellStyle name="计算 2 6 5 5 6" xfId="31480"/>
    <cellStyle name="输出 2 3 4 6 2 2" xfId="31481"/>
    <cellStyle name="输出 2 4 9 6 6" xfId="31482"/>
    <cellStyle name="输出 2 5 11 7 5 2" xfId="31483"/>
    <cellStyle name="计算 2 6 5 6" xfId="31484"/>
    <cellStyle name="注释 2 3 6 11" xfId="31485"/>
    <cellStyle name="输入 2 2 7 6 2" xfId="31486"/>
    <cellStyle name="输出 2 4 9 7" xfId="31487"/>
    <cellStyle name="计算 2 6 5 6 2" xfId="31488"/>
    <cellStyle name="输出 2 15 8" xfId="31489"/>
    <cellStyle name="注释 2 3 6 11 2" xfId="31490"/>
    <cellStyle name="输入 2 2 7 6 2 2" xfId="31491"/>
    <cellStyle name="输出 2 4 9 7 2" xfId="31492"/>
    <cellStyle name="计算 2 6 5 6 2 2" xfId="31493"/>
    <cellStyle name="输出 2 15 8 2" xfId="31494"/>
    <cellStyle name="输入 2 12 20" xfId="31495"/>
    <cellStyle name="输入 2 12 15" xfId="31496"/>
    <cellStyle name="输出 2 4 9 7 2 2" xfId="31497"/>
    <cellStyle name="计算 2 6 5 6 3" xfId="31498"/>
    <cellStyle name="输出 2 15 9" xfId="31499"/>
    <cellStyle name="输出 2 4 9 7 3" xfId="31500"/>
    <cellStyle name="计算 2 6 5 6 3 2" xfId="31501"/>
    <cellStyle name="输出 2 15 9 2" xfId="31502"/>
    <cellStyle name="输出 2 4 9 7 3 2" xfId="31503"/>
    <cellStyle name="计算 2 6 5 6 4" xfId="31504"/>
    <cellStyle name="输出 2 4 9 7 4" xfId="31505"/>
    <cellStyle name="计算 2 6 5 6 4 2" xfId="31506"/>
    <cellStyle name="输出 2 4 9 7 4 2" xfId="31507"/>
    <cellStyle name="计算 2 6 5 6 5" xfId="31508"/>
    <cellStyle name="注释 2 16 7 4 2" xfId="31509"/>
    <cellStyle name="输出 2 4 9 7 5" xfId="31510"/>
    <cellStyle name="计算 2 6 5 6 5 2" xfId="31511"/>
    <cellStyle name="输出 2 4 9 7 5 2" xfId="31512"/>
    <cellStyle name="计算 2 6 5 6 6" xfId="31513"/>
    <cellStyle name="输出 2 3 4 6 3 2" xfId="31514"/>
    <cellStyle name="输出 2 4 9 7 6" xfId="31515"/>
    <cellStyle name="计算 2 6 5 7 2" xfId="31516"/>
    <cellStyle name="输出 2 16 8" xfId="31517"/>
    <cellStyle name="注释 2 3 6 12 2" xfId="31518"/>
    <cellStyle name="输入 2 2 7 6 3 2" xfId="31519"/>
    <cellStyle name="输出 2 4 9 8 2" xfId="31520"/>
    <cellStyle name="输出 2 4 9 8 2 2" xfId="31521"/>
    <cellStyle name="计算 2 6 5 7 2 2" xfId="31522"/>
    <cellStyle name="输出 2 16 8 2" xfId="31523"/>
    <cellStyle name="输出 2 5 2 6 4" xfId="31524"/>
    <cellStyle name="计算 2 6 5 7 3" xfId="31525"/>
    <cellStyle name="输出 2 16 9" xfId="31526"/>
    <cellStyle name="输出 2 12 9 2 2" xfId="31527"/>
    <cellStyle name="输出 2 4 9 8 3" xfId="31528"/>
    <cellStyle name="输出 2 12 9 2 2 2" xfId="31529"/>
    <cellStyle name="输出 2 4 9 8 3 2" xfId="31530"/>
    <cellStyle name="计算 2 6 5 7 3 2" xfId="31531"/>
    <cellStyle name="输出 2 16 9 2" xfId="31532"/>
    <cellStyle name="输出 2 5 2 7 4" xfId="31533"/>
    <cellStyle name="计算 2 6 5 7 4" xfId="31534"/>
    <cellStyle name="输出 2 12 9 2 3" xfId="31535"/>
    <cellStyle name="输出 2 4 9 8 4" xfId="31536"/>
    <cellStyle name="输出 2 12 9 2 3 2" xfId="31537"/>
    <cellStyle name="输出 2 4 9 8 4 2" xfId="31538"/>
    <cellStyle name="计算 2 6 5 7 4 2" xfId="31539"/>
    <cellStyle name="输出 2 5 2 8 4" xfId="31540"/>
    <cellStyle name="计算 2 6 5 7 5" xfId="31541"/>
    <cellStyle name="注释 2 16 7 5 2" xfId="31542"/>
    <cellStyle name="输出 2 12 9 2 4" xfId="31543"/>
    <cellStyle name="输出 2 4 9 8 5" xfId="31544"/>
    <cellStyle name="计算 2 6 5 7 5 2" xfId="31545"/>
    <cellStyle name="输出 2 12 9 2 4 2" xfId="31546"/>
    <cellStyle name="输出 2 12 9 2 5" xfId="31547"/>
    <cellStyle name="计算 2 6 5 7 6" xfId="31548"/>
    <cellStyle name="输出 2 3 4 6 4 2" xfId="31549"/>
    <cellStyle name="计算 2 6 5 8" xfId="31550"/>
    <cellStyle name="注释 2 3 6 13" xfId="31551"/>
    <cellStyle name="输入 2 2 7 6 4" xfId="31552"/>
    <cellStyle name="输出 2 4 9 9" xfId="31553"/>
    <cellStyle name="计算 2 6 5 8 2" xfId="31554"/>
    <cellStyle name="输出 2 17 8" xfId="31555"/>
    <cellStyle name="输入 2 2 7 6 4 2" xfId="31556"/>
    <cellStyle name="输出 2 4 9 9 2" xfId="31557"/>
    <cellStyle name="计算 2 6 5 8 2 2" xfId="31558"/>
    <cellStyle name="输出 2 17 8 2" xfId="31559"/>
    <cellStyle name="输出 2 5 3 6 4" xfId="31560"/>
    <cellStyle name="计算 2 6 5 9 2" xfId="31561"/>
    <cellStyle name="输出 2 18 8" xfId="31562"/>
    <cellStyle name="输出 2 9 6 7" xfId="31563"/>
    <cellStyle name="计算 2 6 6 10 2" xfId="31564"/>
    <cellStyle name="计算 2 6 6 11" xfId="31565"/>
    <cellStyle name="输出 2 9 7 7" xfId="31566"/>
    <cellStyle name="计算 2 6 6 11 2" xfId="31567"/>
    <cellStyle name="计算 2 6 6 12" xfId="31568"/>
    <cellStyle name="输出 2 9 8 7" xfId="31569"/>
    <cellStyle name="计算 2 6 6 12 2" xfId="31570"/>
    <cellStyle name="计算 2 6 6 13" xfId="31571"/>
    <cellStyle name="计算 2 6 6 14" xfId="31572"/>
    <cellStyle name="计算 2 6 6 16" xfId="31573"/>
    <cellStyle name="计算 2 6 6 2 2" xfId="31574"/>
    <cellStyle name="计算 2 6 6 2 2 2" xfId="31575"/>
    <cellStyle name="计算 2 6 6 2 3" xfId="31576"/>
    <cellStyle name="计算 2 6 6 2 3 2" xfId="31577"/>
    <cellStyle name="计算 2 6 6 2 4" xfId="31578"/>
    <cellStyle name="计算 2 6 6 2 4 2" xfId="31579"/>
    <cellStyle name="注释 2 12 7 10 2" xfId="31580"/>
    <cellStyle name="计算 2 6 6 2 5" xfId="31581"/>
    <cellStyle name="计算 2 6 6 2 5 2" xfId="31582"/>
    <cellStyle name="计算 2 6 6 2 6" xfId="31583"/>
    <cellStyle name="注释 2 8 12 7" xfId="31584"/>
    <cellStyle name="输出 2 5 11 8 2 2" xfId="31585"/>
    <cellStyle name="计算 2 6 6 2 7" xfId="31586"/>
    <cellStyle name="计算 2 6 6 2 8" xfId="31587"/>
    <cellStyle name="计算 2 6 6 2 9" xfId="31588"/>
    <cellStyle name="计算 2 6 6 3" xfId="31589"/>
    <cellStyle name="计算 2 6 6 3 2" xfId="31590"/>
    <cellStyle name="计算 2 6 6 3 2 2" xfId="31591"/>
    <cellStyle name="计算 2 6 6 4" xfId="31592"/>
    <cellStyle name="计算 2 6 6 4 2" xfId="31593"/>
    <cellStyle name="计算 2 6 6 4 2 2" xfId="31594"/>
    <cellStyle name="计算 2 6 6 4 3" xfId="31595"/>
    <cellStyle name="计算 2 6 6 4 3 2" xfId="31596"/>
    <cellStyle name="计算 2 6 6 4 4" xfId="31597"/>
    <cellStyle name="注释 2 12 7 12 2" xfId="31598"/>
    <cellStyle name="计算 2 6 6 4 5" xfId="31599"/>
    <cellStyle name="计算 2 6 6 4 5 2" xfId="31600"/>
    <cellStyle name="计算 2 6 6 4 6" xfId="31601"/>
    <cellStyle name="输出 2 5 11 8 4 2" xfId="31602"/>
    <cellStyle name="计算 2 6 6 5" xfId="31603"/>
    <cellStyle name="计算 2 6 6 5 2" xfId="31604"/>
    <cellStyle name="计算 2 6 6 5 2 2" xfId="31605"/>
    <cellStyle name="计算 2 6 6 5 3" xfId="31606"/>
    <cellStyle name="计算 2 6 6 5 3 2" xfId="31607"/>
    <cellStyle name="计算 2 6 6 5 4" xfId="31608"/>
    <cellStyle name="计算 2 6 6 5 5" xfId="31609"/>
    <cellStyle name="计算 2 6 6 5 5 2" xfId="31610"/>
    <cellStyle name="计算 2 6 6 5 6" xfId="31611"/>
    <cellStyle name="输出 2 3 4 7 2 2" xfId="31612"/>
    <cellStyle name="计算 2 6 6 6" xfId="31613"/>
    <cellStyle name="计算 2 6 6 6 2" xfId="31614"/>
    <cellStyle name="计算 2 6 6 6 2 2" xfId="31615"/>
    <cellStyle name="计算 2 6 6 6 3" xfId="31616"/>
    <cellStyle name="计算 2 6 6 6 3 2" xfId="31617"/>
    <cellStyle name="计算 2 6 6 6 4" xfId="31618"/>
    <cellStyle name="计算 2 6 6 6 4 2" xfId="31619"/>
    <cellStyle name="计算 2 6 6 6 5" xfId="31620"/>
    <cellStyle name="计算 2 6 6 6 5 2" xfId="31621"/>
    <cellStyle name="计算 2 6 6 6 6" xfId="31622"/>
    <cellStyle name="输出 2 3 4 7 3 2" xfId="31623"/>
    <cellStyle name="计算 2 6 6 7 2" xfId="31624"/>
    <cellStyle name="计算 2 6 6 7 2 2" xfId="31625"/>
    <cellStyle name="输出 2 6 2 6 4" xfId="31626"/>
    <cellStyle name="计算 2 6 6 7 3" xfId="31627"/>
    <cellStyle name="注释 2 8 17 4" xfId="31628"/>
    <cellStyle name="输出 2 4 10 2 2" xfId="31629"/>
    <cellStyle name="注释 2 8 17 4 2" xfId="31630"/>
    <cellStyle name="输出 2 4 10 2 2 2" xfId="31631"/>
    <cellStyle name="注释 2 6 22" xfId="31632"/>
    <cellStyle name="注释 2 6 17" xfId="31633"/>
    <cellStyle name="计算 2 6 6 7 3 2" xfId="31634"/>
    <cellStyle name="输出 2 6 2 7 4" xfId="31635"/>
    <cellStyle name="计算 2 6 6 7 4" xfId="31636"/>
    <cellStyle name="注释 2 8 17 5" xfId="31637"/>
    <cellStyle name="输出 2 4 10 2 3" xfId="31638"/>
    <cellStyle name="注释 2 8 17 5 2" xfId="31639"/>
    <cellStyle name="输出 2 4 10 2 3 2" xfId="31640"/>
    <cellStyle name="计算 2 6 6 7 4 2" xfId="31641"/>
    <cellStyle name="输出 2 6 2 8 4" xfId="31642"/>
    <cellStyle name="计算 2 6 6 7 5" xfId="31643"/>
    <cellStyle name="注释 2 8 17 6" xfId="31644"/>
    <cellStyle name="输出 2 4 10 2 4" xfId="31645"/>
    <cellStyle name="计算 2 6 6 7 5 2" xfId="31646"/>
    <cellStyle name="注释 2 6 3 12" xfId="31647"/>
    <cellStyle name="输出 2 4 10 2 4 2" xfId="31648"/>
    <cellStyle name="计算 2 6 6 7 6" xfId="31649"/>
    <cellStyle name="输出 2 3 4 7 4 2" xfId="31650"/>
    <cellStyle name="输出 2 4 10 2 5" xfId="31651"/>
    <cellStyle name="计算 2 6 6 8" xfId="31652"/>
    <cellStyle name="计算 2 6 6 8 2" xfId="31653"/>
    <cellStyle name="计算 2 6 6 8 2 2" xfId="31654"/>
    <cellStyle name="输出 2 6 3 6 4" xfId="31655"/>
    <cellStyle name="计算 2 6 6 9 2" xfId="31656"/>
    <cellStyle name="计算 2 6 7 10" xfId="31657"/>
    <cellStyle name="注释 2 2 2 3 3" xfId="31658"/>
    <cellStyle name="计算 2 6 7 10 2" xfId="31659"/>
    <cellStyle name="计算 2 6 7 11" xfId="31660"/>
    <cellStyle name="输出 2 2 4 11 2" xfId="31661"/>
    <cellStyle name="注释 2 2 2 4 3" xfId="31662"/>
    <cellStyle name="计算 2 6 7 11 2" xfId="31663"/>
    <cellStyle name="计算 2 6 7 12" xfId="31664"/>
    <cellStyle name="注释 2 2 2 5 3" xfId="31665"/>
    <cellStyle name="计算 2 6 7 12 2" xfId="31666"/>
    <cellStyle name="计算 2 6 7 13" xfId="31667"/>
    <cellStyle name="计算 2 6 7 14" xfId="31668"/>
    <cellStyle name="计算 2 6 7 15" xfId="31669"/>
    <cellStyle name="计算 2 6 7 16" xfId="31670"/>
    <cellStyle name="输出 2 10 11 6 2" xfId="31671"/>
    <cellStyle name="计算 2 6 7 2 2" xfId="31672"/>
    <cellStyle name="计算 2 6 7 2 2 2" xfId="31673"/>
    <cellStyle name="计算 2 6 7 2 3" xfId="31674"/>
    <cellStyle name="计算 2 6 7 2 3 2" xfId="31675"/>
    <cellStyle name="计算 2 6 7 2 4" xfId="31676"/>
    <cellStyle name="计算 2 6 7 2 4 2" xfId="31677"/>
    <cellStyle name="计算 2 6 7 2 5" xfId="31678"/>
    <cellStyle name="计算 2 6 7 2 5 2" xfId="31679"/>
    <cellStyle name="计算 2 6 7 2 6" xfId="31680"/>
    <cellStyle name="注释 2 4 10 2 3 2" xfId="31681"/>
    <cellStyle name="计算 2 6 7 2 7" xfId="31682"/>
    <cellStyle name="计算 2 6 7 2 9" xfId="31683"/>
    <cellStyle name="计算 2 6 7 3" xfId="31684"/>
    <cellStyle name="计算 2 6 7 3 2" xfId="31685"/>
    <cellStyle name="计算 2 6 7 3 2 2" xfId="31686"/>
    <cellStyle name="计算 2 6 7 3 3" xfId="31687"/>
    <cellStyle name="计算 2 6 7 3 3 2" xfId="31688"/>
    <cellStyle name="计算 2 6 7 3 4" xfId="31689"/>
    <cellStyle name="计算 2 6 7 3 4 2" xfId="31690"/>
    <cellStyle name="计算 2 6 7 3 5" xfId="31691"/>
    <cellStyle name="计算 2 6 7 3 5 2" xfId="31692"/>
    <cellStyle name="计算 2 6 7 3 6" xfId="31693"/>
    <cellStyle name="计算 2 6 7 4" xfId="31694"/>
    <cellStyle name="计算 2 6 7 4 2" xfId="31695"/>
    <cellStyle name="计算 2 6 7 4 2 2" xfId="31696"/>
    <cellStyle name="计算 2 6 7 4 3" xfId="31697"/>
    <cellStyle name="计算 2 6 7 4 3 2" xfId="31698"/>
    <cellStyle name="计算 2 6 7 4 4" xfId="31699"/>
    <cellStyle name="计算 2 6 7 4 5" xfId="31700"/>
    <cellStyle name="计算 2 6 7 4 5 2" xfId="31701"/>
    <cellStyle name="计算 2 6 7 4 6" xfId="31702"/>
    <cellStyle name="计算 2 6 7 5" xfId="31703"/>
    <cellStyle name="计算 2 6 7 5 2" xfId="31704"/>
    <cellStyle name="计算 2 6 7 5 2 2" xfId="31705"/>
    <cellStyle name="计算 2 6 7 5 3" xfId="31706"/>
    <cellStyle name="计算 2 6 7 5 3 2" xfId="31707"/>
    <cellStyle name="计算 2 6 7 5 4" xfId="31708"/>
    <cellStyle name="计算 2 6 7 5 5" xfId="31709"/>
    <cellStyle name="计算 2 6 7 5 5 2" xfId="31710"/>
    <cellStyle name="计算 2 6 7 5 6" xfId="31711"/>
    <cellStyle name="输出 2 3 4 8 2 2" xfId="31712"/>
    <cellStyle name="计算 2 6 7 6" xfId="31713"/>
    <cellStyle name="计算 2 6 7 6 4 2" xfId="31714"/>
    <cellStyle name="计算 2 6 7 6 5 2" xfId="31715"/>
    <cellStyle name="计算 2 6 7 7 2" xfId="31716"/>
    <cellStyle name="计算 2 6 7 7 2 2" xfId="31717"/>
    <cellStyle name="输出 2 7 2 6 4" xfId="31718"/>
    <cellStyle name="计算 2 6 7 7 3" xfId="31719"/>
    <cellStyle name="输出 2 4 11 2 2" xfId="31720"/>
    <cellStyle name="输出 2 4 11 2 2 2" xfId="31721"/>
    <cellStyle name="计算 2 6 7 7 3 2" xfId="31722"/>
    <cellStyle name="输出 2 7 2 7 4" xfId="31723"/>
    <cellStyle name="计算 2 6 7 7 4" xfId="31724"/>
    <cellStyle name="输出 2 4 11 2 3" xfId="31725"/>
    <cellStyle name="输出 2 4 11 2 3 2" xfId="31726"/>
    <cellStyle name="计算 2 6 7 7 4 2" xfId="31727"/>
    <cellStyle name="输出 2 7 2 8 4" xfId="31728"/>
    <cellStyle name="计算 2 6 7 7 5" xfId="31729"/>
    <cellStyle name="输出 2 4 11 2 4" xfId="31730"/>
    <cellStyle name="计算 2 6 7 7 5 2" xfId="31731"/>
    <cellStyle name="输出 2 4 11 2 4 2" xfId="31732"/>
    <cellStyle name="计算 2 6 7 7 6" xfId="31733"/>
    <cellStyle name="输出 2 11 4 2 3 2" xfId="31734"/>
    <cellStyle name="输出 2 3 4 8 4 2" xfId="31735"/>
    <cellStyle name="输出 2 4 11 2 5" xfId="31736"/>
    <cellStyle name="计算 2 6 7 8" xfId="31737"/>
    <cellStyle name="计算 2 6 7 8 2" xfId="31738"/>
    <cellStyle name="输出 2 7 3 6 4" xfId="31739"/>
    <cellStyle name="计算 2 6 7 8 2 2" xfId="31740"/>
    <cellStyle name="计算 2 6 7 8 3" xfId="31741"/>
    <cellStyle name="输出 2 4 11 3 2" xfId="31742"/>
    <cellStyle name="输入 2 10 27" xfId="31743"/>
    <cellStyle name="输出 2 7 3 7 4" xfId="31744"/>
    <cellStyle name="计算 2 6 7 8 3 2" xfId="31745"/>
    <cellStyle name="输入 2 11 14 3" xfId="31746"/>
    <cellStyle name="输出 2 4 11 3 2 2" xfId="31747"/>
    <cellStyle name="计算 2 6 7 8 4" xfId="31748"/>
    <cellStyle name="输出 2 4 11 3 3" xfId="31749"/>
    <cellStyle name="输出 2 7 3 8 4" xfId="31750"/>
    <cellStyle name="计算 2 6 7 8 4 2" xfId="31751"/>
    <cellStyle name="输入 2 11 15 3" xfId="31752"/>
    <cellStyle name="输出 2 4 11 3 3 2" xfId="31753"/>
    <cellStyle name="计算 2 6 7 8 5" xfId="31754"/>
    <cellStyle name="输出 2 4 11 3 4" xfId="31755"/>
    <cellStyle name="计算 2 6 7 9 2" xfId="31756"/>
    <cellStyle name="注释 2 5 9 4 3" xfId="31757"/>
    <cellStyle name="输入 2 6 2 6 3 2" xfId="31758"/>
    <cellStyle name="计算 2 6 8 10" xfId="31759"/>
    <cellStyle name="注释 2 5 9 4 3 2" xfId="31760"/>
    <cellStyle name="注释 2 2 7 3 3" xfId="31761"/>
    <cellStyle name="计算 2 6 8 10 2" xfId="31762"/>
    <cellStyle name="注释 2 5 9 4 4" xfId="31763"/>
    <cellStyle name="计算 2 6 8 11" xfId="31764"/>
    <cellStyle name="检查单元格 2 7 5 4 5 2" xfId="31765"/>
    <cellStyle name="注释 2 5 9 4 4 2" xfId="31766"/>
    <cellStyle name="注释 2 2 7 4 3" xfId="31767"/>
    <cellStyle name="计算 2 6 8 11 2" xfId="31768"/>
    <cellStyle name="注释 2 9 21" xfId="31769"/>
    <cellStyle name="注释 2 9 16" xfId="31770"/>
    <cellStyle name="检查单元格 2 3 2 4" xfId="31771"/>
    <cellStyle name="注释 2 5 9 4 5" xfId="31772"/>
    <cellStyle name="计算 2 6 8 12" xfId="31773"/>
    <cellStyle name="注释 2 5 9 4 5 2" xfId="31774"/>
    <cellStyle name="注释 2 2 7 5 3" xfId="31775"/>
    <cellStyle name="计算 2 6 8 12 2" xfId="31776"/>
    <cellStyle name="检查单元格 2 3 3 4" xfId="31777"/>
    <cellStyle name="计算 2 6 8 2 3 2" xfId="31778"/>
    <cellStyle name="计算 2 6 8 2 4" xfId="31779"/>
    <cellStyle name="计算 2 6 8 2 4 2" xfId="31780"/>
    <cellStyle name="计算 2 6 8 2 5" xfId="31781"/>
    <cellStyle name="计算 2 6 8 2 5 2" xfId="31782"/>
    <cellStyle name="计算 2 6 8 2 6" xfId="31783"/>
    <cellStyle name="注释 2 4 10 3 3 2" xfId="31784"/>
    <cellStyle name="计算 2 6 8 2 7" xfId="31785"/>
    <cellStyle name="计算 2 6 8 2 9" xfId="31786"/>
    <cellStyle name="计算 2 6 8 3" xfId="31787"/>
    <cellStyle name="计算 2 6 8 3 3 2" xfId="31788"/>
    <cellStyle name="计算 2 6 8 3 4" xfId="31789"/>
    <cellStyle name="计算 2 6 8 3 4 2" xfId="31790"/>
    <cellStyle name="计算 2 6 8 3 5" xfId="31791"/>
    <cellStyle name="计算 2 6 8 3 5 2" xfId="31792"/>
    <cellStyle name="计算 2 6 8 3 6" xfId="31793"/>
    <cellStyle name="计算 2 6 8 4" xfId="31794"/>
    <cellStyle name="计算 2 6 8 4 3 2" xfId="31795"/>
    <cellStyle name="计算 2 6 8 4 4" xfId="31796"/>
    <cellStyle name="计算 2 6 8 4 4 2" xfId="31797"/>
    <cellStyle name="计算 2 6 8 4 5" xfId="31798"/>
    <cellStyle name="计算 2 6 8 4 5 2" xfId="31799"/>
    <cellStyle name="计算 2 6 8 4 6" xfId="31800"/>
    <cellStyle name="计算 2 6 8 5" xfId="31801"/>
    <cellStyle name="计算 2 6 8 5 3 2" xfId="31802"/>
    <cellStyle name="计算 2 6 8 5 4" xfId="31803"/>
    <cellStyle name="计算 2 6 8 5 4 2" xfId="31804"/>
    <cellStyle name="计算 2 6 8 5 5" xfId="31805"/>
    <cellStyle name="计算 2 6 8 5 5 2" xfId="31806"/>
    <cellStyle name="计算 2 6 8 5 6" xfId="31807"/>
    <cellStyle name="计算 2 6 8 6" xfId="31808"/>
    <cellStyle name="输入 2 13 9" xfId="31809"/>
    <cellStyle name="计算 2 6 8 6 3 2" xfId="31810"/>
    <cellStyle name="计算 2 6 8 6 4" xfId="31811"/>
    <cellStyle name="计算 2 6 8 6 4 2" xfId="31812"/>
    <cellStyle name="计算 2 6 8 6 5" xfId="31813"/>
    <cellStyle name="计算 2 6 8 6 5 2" xfId="31814"/>
    <cellStyle name="计算 2 6 8 6 6" xfId="31815"/>
    <cellStyle name="输出 2 11 4 3 2 2" xfId="31816"/>
    <cellStyle name="输出 2 8 2 7 4" xfId="31817"/>
    <cellStyle name="计算 2 6 8 7 3 2" xfId="31818"/>
    <cellStyle name="计算 2 6 8 7 4" xfId="31819"/>
    <cellStyle name="输出 2 8 2 8 4" xfId="31820"/>
    <cellStyle name="计算 2 6 8 7 4 2" xfId="31821"/>
    <cellStyle name="计算 2 6 8 7 5" xfId="31822"/>
    <cellStyle name="计算 2 6 8 7 5 2" xfId="31823"/>
    <cellStyle name="计算 2 6 8 7 6" xfId="31824"/>
    <cellStyle name="输出 2 11 4 3 3 2" xfId="31825"/>
    <cellStyle name="计算 2 6 8 8" xfId="31826"/>
    <cellStyle name="输出 2 8 3 6 4" xfId="31827"/>
    <cellStyle name="计算 2 6 8 8 2 2" xfId="31828"/>
    <cellStyle name="计算 2 6 8 8 3" xfId="31829"/>
    <cellStyle name="输出 2 4 12 3 2" xfId="31830"/>
    <cellStyle name="输出 2 8 3 7 4" xfId="31831"/>
    <cellStyle name="计算 2 6 8 8 3 2" xfId="31832"/>
    <cellStyle name="计算 2 6 8 8 4" xfId="31833"/>
    <cellStyle name="输出 2 8 3 8 4" xfId="31834"/>
    <cellStyle name="计算 2 6 8 8 4 2" xfId="31835"/>
    <cellStyle name="计算 2 6 8 8 5" xfId="31836"/>
    <cellStyle name="计算 2 6 8 9 2" xfId="31837"/>
    <cellStyle name="输出 2 14 10 2" xfId="31838"/>
    <cellStyle name="注释 2 7 10 6 4" xfId="31839"/>
    <cellStyle name="输入 2 3 2 3" xfId="31840"/>
    <cellStyle name="计算 2 6 9 10" xfId="31841"/>
    <cellStyle name="注释 2 7 10 6 4 2" xfId="31842"/>
    <cellStyle name="输入 2 3 2 3 2" xfId="31843"/>
    <cellStyle name="计算 2 6 9 10 2" xfId="31844"/>
    <cellStyle name="注释 2 7 10 6 5" xfId="31845"/>
    <cellStyle name="输入 2 3 2 4" xfId="31846"/>
    <cellStyle name="计算 2 6 9 11" xfId="31847"/>
    <cellStyle name="注释 2 7 10 6 5 2" xfId="31848"/>
    <cellStyle name="输入 2 3 2 4 2" xfId="31849"/>
    <cellStyle name="计算 2 6 9 11 2" xfId="31850"/>
    <cellStyle name="输出 2 9 5 2 4 2" xfId="31851"/>
    <cellStyle name="检查单元格 2 8 2 4" xfId="31852"/>
    <cellStyle name="注释 2 7 10 6 6" xfId="31853"/>
    <cellStyle name="输入 2 3 2 5" xfId="31854"/>
    <cellStyle name="计算 2 6 9 12" xfId="31855"/>
    <cellStyle name="输入 2 3 2 5 2" xfId="31856"/>
    <cellStyle name="计算 2 6 9 12 2" xfId="31857"/>
    <cellStyle name="输出 2 9 5 2 5 2" xfId="31858"/>
    <cellStyle name="检查单元格 2 8 3 4" xfId="31859"/>
    <cellStyle name="输入 2 3 2 6" xfId="31860"/>
    <cellStyle name="计算 2 6 9 13" xfId="31861"/>
    <cellStyle name="输入 2 3 2 7" xfId="31862"/>
    <cellStyle name="计算 2 6 9 14" xfId="31863"/>
    <cellStyle name="输入 2 3 2 8" xfId="31864"/>
    <cellStyle name="计算 2 6 9 15" xfId="31865"/>
    <cellStyle name="输入 2 3 2 9" xfId="31866"/>
    <cellStyle name="计算 2 6 9 16" xfId="31867"/>
    <cellStyle name="计算 2 6 9 2 2" xfId="31868"/>
    <cellStyle name="计算 2 6 9 2 2 2" xfId="31869"/>
    <cellStyle name="计算 2 6 9 2 3" xfId="31870"/>
    <cellStyle name="计算 2 6 9 2 3 2" xfId="31871"/>
    <cellStyle name="计算 2 6 9 2 4" xfId="31872"/>
    <cellStyle name="注释 2 9 10 7 6" xfId="31873"/>
    <cellStyle name="输出 2 10 6 2 5 2" xfId="31874"/>
    <cellStyle name="计算 2 6 9 2 4 2" xfId="31875"/>
    <cellStyle name="注释 2 9 2 3 2" xfId="31876"/>
    <cellStyle name="计算 2 6 9 2 5" xfId="31877"/>
    <cellStyle name="注释 2 9 2 3 2 2" xfId="31878"/>
    <cellStyle name="计算 2 6 9 2 5 2" xfId="31879"/>
    <cellStyle name="注释 2 9 2 3 3" xfId="31880"/>
    <cellStyle name="计算 2 6 9 2 6" xfId="31881"/>
    <cellStyle name="注释 2 9 2 3 4" xfId="31882"/>
    <cellStyle name="注释 2 4 10 4 3 2" xfId="31883"/>
    <cellStyle name="计算 2 6 9 2 7" xfId="31884"/>
    <cellStyle name="注释 2 9 2 3 6" xfId="31885"/>
    <cellStyle name="计算 2 6 9 2 9" xfId="31886"/>
    <cellStyle name="计算 2 6 9 3" xfId="31887"/>
    <cellStyle name="计算 2 6 9 3 2" xfId="31888"/>
    <cellStyle name="计算 2 6 9 3 2 2" xfId="31889"/>
    <cellStyle name="计算 2 8 10 2 7" xfId="31890"/>
    <cellStyle name="计算 2 6 9 3 3" xfId="31891"/>
    <cellStyle name="计算 2 6 9 3 3 2" xfId="31892"/>
    <cellStyle name="输出 2 3 4 16" xfId="31893"/>
    <cellStyle name="计算 2 6 9 3 4" xfId="31894"/>
    <cellStyle name="计算 2 6 9 3 4 2" xfId="31895"/>
    <cellStyle name="注释 2 9 2 4 2" xfId="31896"/>
    <cellStyle name="计算 2 6 9 3 5" xfId="31897"/>
    <cellStyle name="注释 2 9 2 4 2 2" xfId="31898"/>
    <cellStyle name="计算 2 6 9 3 5 2" xfId="31899"/>
    <cellStyle name="注释 2 9 2 4 3" xfId="31900"/>
    <cellStyle name="计算 2 6 9 3 6" xfId="31901"/>
    <cellStyle name="计算 2 6 9 4" xfId="31902"/>
    <cellStyle name="计算 2 6 9 4 2" xfId="31903"/>
    <cellStyle name="计算 2 6 9 4 2 2" xfId="31904"/>
    <cellStyle name="检查单元格 2 8 3 12" xfId="31905"/>
    <cellStyle name="计算 2 6 9 4 3" xfId="31906"/>
    <cellStyle name="计算 2 6 9 4 4" xfId="31907"/>
    <cellStyle name="计算 2 6 9 4 4 2" xfId="31908"/>
    <cellStyle name="注释 2 9 2 5 2" xfId="31909"/>
    <cellStyle name="计算 2 6 9 4 5" xfId="31910"/>
    <cellStyle name="注释 2 9 2 5 2 2" xfId="31911"/>
    <cellStyle name="计算 2 6 9 4 5 2" xfId="31912"/>
    <cellStyle name="注释 2 9 2 5 3" xfId="31913"/>
    <cellStyle name="计算 2 6 9 4 6" xfId="31914"/>
    <cellStyle name="计算 2 6 9 5" xfId="31915"/>
    <cellStyle name="计算 2 7 9 2 2" xfId="31916"/>
    <cellStyle name="计算 2 6 9 5 2" xfId="31917"/>
    <cellStyle name="计算 2 7 9 2 2 2" xfId="31918"/>
    <cellStyle name="输入 2 10 2 10" xfId="31919"/>
    <cellStyle name="计算 2 6 9 5 2 2" xfId="31920"/>
    <cellStyle name="计算 2 6 9 5 3" xfId="31921"/>
    <cellStyle name="计算 2 6 9 5 3 2" xfId="31922"/>
    <cellStyle name="计算 2 6 9 5 4" xfId="31923"/>
    <cellStyle name="计算 2 6 9 5 4 2" xfId="31924"/>
    <cellStyle name="注释 2 9 2 6 2" xfId="31925"/>
    <cellStyle name="计算 2 6 9 5 5" xfId="31926"/>
    <cellStyle name="注释 2 9 2 6 2 2" xfId="31927"/>
    <cellStyle name="计算 2 6 9 5 5 2" xfId="31928"/>
    <cellStyle name="注释 2 9 2 6 3" xfId="31929"/>
    <cellStyle name="计算 2 6 9 5 6" xfId="31930"/>
    <cellStyle name="计算 2 6 9 6" xfId="31931"/>
    <cellStyle name="计算 2 7 9 2 3" xfId="31932"/>
    <cellStyle name="计算 2 6 9 6 2" xfId="31933"/>
    <cellStyle name="计算 2 7 9 2 3 2" xfId="31934"/>
    <cellStyle name="输入 2 10 7 10" xfId="31935"/>
    <cellStyle name="计算 2 6 9 6 2 2" xfId="31936"/>
    <cellStyle name="计算 2 6 9 6 3" xfId="31937"/>
    <cellStyle name="计算 2 6 9 6 3 2" xfId="31938"/>
    <cellStyle name="计算 2 6 9 6 4 2" xfId="31939"/>
    <cellStyle name="注释 2 9 2 7 2" xfId="31940"/>
    <cellStyle name="计算 2 6 9 6 5" xfId="31941"/>
    <cellStyle name="注释 2 9 2 7 2 2" xfId="31942"/>
    <cellStyle name="计算 2 6 9 6 5 2" xfId="31943"/>
    <cellStyle name="注释 2 9 2 7 3" xfId="31944"/>
    <cellStyle name="计算 2 6 9 6 6" xfId="31945"/>
    <cellStyle name="输出 2 11 4 4 2 2" xfId="31946"/>
    <cellStyle name="计算 2 7 9 2 4" xfId="31947"/>
    <cellStyle name="计算 2 6 9 7" xfId="31948"/>
    <cellStyle name="输出 2 10 7 2 5 2" xfId="31949"/>
    <cellStyle name="计算 2 6 9 7 2" xfId="31950"/>
    <cellStyle name="计算 2 7 9 2 4 2" xfId="31951"/>
    <cellStyle name="输出 2 9 2 6 4" xfId="31952"/>
    <cellStyle name="计算 2 6 9 7 2 2" xfId="31953"/>
    <cellStyle name="计算 2 6 9 7 3" xfId="31954"/>
    <cellStyle name="输出 2 4 13 2 2" xfId="31955"/>
    <cellStyle name="输出 2 9 2 7 4" xfId="31956"/>
    <cellStyle name="计算 2 6 9 7 3 2" xfId="31957"/>
    <cellStyle name="输出 2 9 2 8 4" xfId="31958"/>
    <cellStyle name="计算 2 6 9 7 4 2" xfId="31959"/>
    <cellStyle name="输出 2 2 10 2 2" xfId="31960"/>
    <cellStyle name="注释 2 9 2 8 2" xfId="31961"/>
    <cellStyle name="计算 2 6 9 7 5" xfId="31962"/>
    <cellStyle name="输出 2 2 10 3" xfId="31963"/>
    <cellStyle name="注释 2 9 2 8 2 2" xfId="31964"/>
    <cellStyle name="计算 2 6 9 7 5 2" xfId="31965"/>
    <cellStyle name="输出 2 2 10 3 2" xfId="31966"/>
    <cellStyle name="注释 2 9 2 8 3" xfId="31967"/>
    <cellStyle name="计算 2 6 9 7 6" xfId="31968"/>
    <cellStyle name="输出 2 11 4 4 3 2" xfId="31969"/>
    <cellStyle name="输出 2 2 10 4" xfId="31970"/>
    <cellStyle name="计算 2 6 9 8" xfId="31971"/>
    <cellStyle name="计算 2 7 9 2 5" xfId="31972"/>
    <cellStyle name="计算 2 6 9 8 2" xfId="31973"/>
    <cellStyle name="计算 2 7 9 2 5 2" xfId="31974"/>
    <cellStyle name="输出 2 9 3 6 4" xfId="31975"/>
    <cellStyle name="计算 2 6 9 8 2 2" xfId="31976"/>
    <cellStyle name="计算 2 6 9 8 3" xfId="31977"/>
    <cellStyle name="输出 2 4 13 3 2" xfId="31978"/>
    <cellStyle name="输出 2 9 3 7 4" xfId="31979"/>
    <cellStyle name="计算 2 6 9 8 3 2" xfId="31980"/>
    <cellStyle name="输出 2 4 4 16" xfId="31981"/>
    <cellStyle name="输出 2 9 3 8 4" xfId="31982"/>
    <cellStyle name="计算 2 6 9 8 4 2" xfId="31983"/>
    <cellStyle name="输出 2 2 11 2 2" xfId="31984"/>
    <cellStyle name="注释 2 9 2 9 2" xfId="31985"/>
    <cellStyle name="注释 2 8 8 2 2 2" xfId="31986"/>
    <cellStyle name="计算 2 6 9 8 5" xfId="31987"/>
    <cellStyle name="输出 2 2 11 3" xfId="31988"/>
    <cellStyle name="计算 2 6 9 9 2" xfId="31989"/>
    <cellStyle name="计算 2 7" xfId="31990"/>
    <cellStyle name="计算 2 7 10" xfId="31991"/>
    <cellStyle name="检查单元格 2 6 5 4 4" xfId="31992"/>
    <cellStyle name="计算 2 7 10 2 2" xfId="31993"/>
    <cellStyle name="注释 2 12 5 7 5" xfId="31994"/>
    <cellStyle name="计算 2 7 10 2 2 2" xfId="31995"/>
    <cellStyle name="注释 2 12 5 8 5" xfId="31996"/>
    <cellStyle name="计算 2 7 10 2 3 2" xfId="31997"/>
    <cellStyle name="计算 2 7 10 2 4" xfId="31998"/>
    <cellStyle name="输出 2 6 2 5 2 2" xfId="31999"/>
    <cellStyle name="计算 2 7 10 2 4 2" xfId="32000"/>
    <cellStyle name="检查单元格 2 7 4 2 6" xfId="32001"/>
    <cellStyle name="计算 2 7 10 2 5" xfId="32002"/>
    <cellStyle name="计算 2 7 10 2 5 2" xfId="32003"/>
    <cellStyle name="检查单元格 2 7 4 3 6" xfId="32004"/>
    <cellStyle name="输入 2 8 10 7 2 2" xfId="32005"/>
    <cellStyle name="计算 2 7 10 2 6" xfId="32006"/>
    <cellStyle name="计算 2 7 10 2 8" xfId="32007"/>
    <cellStyle name="计算 2 7 10 2 9" xfId="32008"/>
    <cellStyle name="计算 2 7 10 3 2" xfId="32009"/>
    <cellStyle name="注释 2 12 6 7 5" xfId="32010"/>
    <cellStyle name="计算 2 7 10 3 2 2" xfId="32011"/>
    <cellStyle name="注释 2 12 6 8 5" xfId="32012"/>
    <cellStyle name="计算 2 7 10 3 3 2" xfId="32013"/>
    <cellStyle name="计算 2 7 10 3 4" xfId="32014"/>
    <cellStyle name="输出 2 6 2 5 3 2" xfId="32015"/>
    <cellStyle name="计算 2 7 10 3 4 2" xfId="32016"/>
    <cellStyle name="检查单元格 2 7 5 2 6" xfId="32017"/>
    <cellStyle name="计算 2 7 10 3 5" xfId="32018"/>
    <cellStyle name="计算 2 7 10 3 5 2" xfId="32019"/>
    <cellStyle name="检查单元格 2 7 5 3 6" xfId="32020"/>
    <cellStyle name="输入 2 8 10 7 3 2" xfId="32021"/>
    <cellStyle name="计算 2 7 10 3 6" xfId="32022"/>
    <cellStyle name="计算 2 7 10 4 2" xfId="32023"/>
    <cellStyle name="注释 2 12 7 7 5" xfId="32024"/>
    <cellStyle name="计算 2 7 10 4 2 2" xfId="32025"/>
    <cellStyle name="注释 2 12 7 8 5" xfId="32026"/>
    <cellStyle name="计算 2 7 10 4 3 2" xfId="32027"/>
    <cellStyle name="计算 2 7 10 4 4" xfId="32028"/>
    <cellStyle name="输出 2 6 2 5 4 2" xfId="32029"/>
    <cellStyle name="计算 2 7 10 4 4 2" xfId="32030"/>
    <cellStyle name="检查单元格 2 7 6 2 6" xfId="32031"/>
    <cellStyle name="计算 2 7 10 4 5" xfId="32032"/>
    <cellStyle name="检查单元格 2 7 3 13" xfId="32033"/>
    <cellStyle name="计算 2 7 10 4 5 2" xfId="32034"/>
    <cellStyle name="检查单元格 2 7 6 3 6" xfId="32035"/>
    <cellStyle name="输入 2 8 10 7 4 2" xfId="32036"/>
    <cellStyle name="计算 2 7 10 4 6" xfId="32037"/>
    <cellStyle name="计算 2 7 10 5 2" xfId="32038"/>
    <cellStyle name="注释 2 12 8 7 5" xfId="32039"/>
    <cellStyle name="计算 2 7 10 5 2 2" xfId="32040"/>
    <cellStyle name="注释 2 12 8 8 5" xfId="32041"/>
    <cellStyle name="计算 2 7 10 5 3 2" xfId="32042"/>
    <cellStyle name="计算 2 7 10 5 4" xfId="32043"/>
    <cellStyle name="输出 2 6 2 5 5 2" xfId="32044"/>
    <cellStyle name="计算 2 7 10 5 4 2" xfId="32045"/>
    <cellStyle name="检查单元格 2 7 7 2 6" xfId="32046"/>
    <cellStyle name="计算 2 7 10 5 5" xfId="32047"/>
    <cellStyle name="计算 2 7 10 5 5 2" xfId="32048"/>
    <cellStyle name="检查单元格 2 7 7 3 6" xfId="32049"/>
    <cellStyle name="输入 2 8 10 7 5 2" xfId="32050"/>
    <cellStyle name="计算 2 7 10 5 6" xfId="32051"/>
    <cellStyle name="计算 2 7 10 6" xfId="32052"/>
    <cellStyle name="计算 2 7 10 6 2" xfId="32053"/>
    <cellStyle name="注释 2 12 9 7 5" xfId="32054"/>
    <cellStyle name="计算 2 7 10 6 2 2" xfId="32055"/>
    <cellStyle name="计算 2 7 10 6 3" xfId="32056"/>
    <cellStyle name="注释 2 12 9 8 5" xfId="32057"/>
    <cellStyle name="计算 2 7 10 6 3 2" xfId="32058"/>
    <cellStyle name="计算 2 7 10 6 4" xfId="32059"/>
    <cellStyle name="计算 2 7 10 6 4 2" xfId="32060"/>
    <cellStyle name="检查单元格 2 7 8 2 6" xfId="32061"/>
    <cellStyle name="计算 2 7 10 6 5" xfId="32062"/>
    <cellStyle name="计算 2 7 10 6 5 2" xfId="32063"/>
    <cellStyle name="检查单元格 2 7 8 3 6" xfId="32064"/>
    <cellStyle name="计算 2 7 10 6 6" xfId="32065"/>
    <cellStyle name="注释 2 4 10 7 5" xfId="32066"/>
    <cellStyle name="计算 2 7 10 7 2 2" xfId="32067"/>
    <cellStyle name="计算 2 7 10 7 3" xfId="32068"/>
    <cellStyle name="注释 2 4 10 8 5" xfId="32069"/>
    <cellStyle name="计算 2 7 10 7 3 2" xfId="32070"/>
    <cellStyle name="计算 2 7 10 7 4" xfId="32071"/>
    <cellStyle name="计算 2 7 10 7 4 2" xfId="32072"/>
    <cellStyle name="注释 2 4 11 7 5" xfId="32073"/>
    <cellStyle name="计算 2 7 10 8 2 2" xfId="32074"/>
    <cellStyle name="计算 2 7 10 8 3" xfId="32075"/>
    <cellStyle name="检查单元格 2 7 6 5 2 2" xfId="32076"/>
    <cellStyle name="注释 2 4 11 8 5" xfId="32077"/>
    <cellStyle name="计算 2 7 10 8 3 2" xfId="32078"/>
    <cellStyle name="计算 2 7 10 8 4" xfId="32079"/>
    <cellStyle name="计算 2 7 11" xfId="32080"/>
    <cellStyle name="检查单元格 2 6 5 4 5" xfId="32081"/>
    <cellStyle name="计算 2 7 11 10 2" xfId="32082"/>
    <cellStyle name="计算 2 9 2 9" xfId="32083"/>
    <cellStyle name="计算 2 9 6 8 3 2" xfId="32084"/>
    <cellStyle name="计算 2 7 11 11" xfId="32085"/>
    <cellStyle name="计算 2 9 6 8 4" xfId="32086"/>
    <cellStyle name="计算 2 7 11 11 2" xfId="32087"/>
    <cellStyle name="计算 2 9 3 9" xfId="32088"/>
    <cellStyle name="计算 2 9 6 8 4 2" xfId="32089"/>
    <cellStyle name="计算 2 7 11 2 2" xfId="32090"/>
    <cellStyle name="计算 2 7 11 2 2 2" xfId="32091"/>
    <cellStyle name="计算 2 7 11 2 3 2" xfId="32092"/>
    <cellStyle name="输出 2 3" xfId="32093"/>
    <cellStyle name="计算 2 7 11 2 4" xfId="32094"/>
    <cellStyle name="输出 2 6 2 6 2 2" xfId="32095"/>
    <cellStyle name="计算 2 7 11 2 4 2" xfId="32096"/>
    <cellStyle name="检查单元格 2 8 4 2 6" xfId="32097"/>
    <cellStyle name="注释 2 3 4 10 2" xfId="32098"/>
    <cellStyle name="计算 2 7 11 2 5" xfId="32099"/>
    <cellStyle name="计算 2 7 11 2 5 2" xfId="32100"/>
    <cellStyle name="检查单元格 2 8 4 3 6" xfId="32101"/>
    <cellStyle name="输入 2 8 10 8 2 2" xfId="32102"/>
    <cellStyle name="计算 2 7 11 2 6" xfId="32103"/>
    <cellStyle name="注释 2 11 11 4 4 2" xfId="32104"/>
    <cellStyle name="计算 2 7 11 3" xfId="32105"/>
    <cellStyle name="计算 2 7 11 3 2" xfId="32106"/>
    <cellStyle name="计算 2 7 11 3 2 2" xfId="32107"/>
    <cellStyle name="计算 2 7 11 3 3 2" xfId="32108"/>
    <cellStyle name="计算 2 7 11 3 4" xfId="32109"/>
    <cellStyle name="输出 2 6 2 6 3 2" xfId="32110"/>
    <cellStyle name="计算 2 7 11 3 4 2" xfId="32111"/>
    <cellStyle name="检查单元格 2 8 5 2 6" xfId="32112"/>
    <cellStyle name="注释 2 3 4 11 2" xfId="32113"/>
    <cellStyle name="计算 2 7 11 3 5" xfId="32114"/>
    <cellStyle name="计算 2 7 11 3 5 2" xfId="32115"/>
    <cellStyle name="检查单元格 2 8 5 3 6" xfId="32116"/>
    <cellStyle name="输入 2 8 10 8 3 2" xfId="32117"/>
    <cellStyle name="计算 2 7 11 3 6" xfId="32118"/>
    <cellStyle name="注释 2 10 2 2 4 2" xfId="32119"/>
    <cellStyle name="计算 2 7 11 4" xfId="32120"/>
    <cellStyle name="计算 2 7 11 4 2" xfId="32121"/>
    <cellStyle name="计算 2 7 11 4 2 2" xfId="32122"/>
    <cellStyle name="计算 2 7 11 4 3 2" xfId="32123"/>
    <cellStyle name="计算 2 7 11 4 4" xfId="32124"/>
    <cellStyle name="输出 2 6 2 6 4 2" xfId="32125"/>
    <cellStyle name="计算 2 7 11 4 4 2" xfId="32126"/>
    <cellStyle name="检查单元格 2 8 6 2 6" xfId="32127"/>
    <cellStyle name="注释 2 3 4 12 2" xfId="32128"/>
    <cellStyle name="计算 2 7 11 4 5" xfId="32129"/>
    <cellStyle name="计算 2 7 11 4 5 2" xfId="32130"/>
    <cellStyle name="检查单元格 2 8 6 3 6" xfId="32131"/>
    <cellStyle name="输入 2 8 10 8 4 2" xfId="32132"/>
    <cellStyle name="计算 2 7 11 4 6" xfId="32133"/>
    <cellStyle name="计算 2 7 11 5" xfId="32134"/>
    <cellStyle name="计算 2 7 11 5 2" xfId="32135"/>
    <cellStyle name="计算 2 7 11 5 3" xfId="32136"/>
    <cellStyle name="计算 2 7 11 5 3 2" xfId="32137"/>
    <cellStyle name="计算 2 7 11 5 4" xfId="32138"/>
    <cellStyle name="输出 2 6 2 6 5 2" xfId="32139"/>
    <cellStyle name="计算 2 7 11 5 4 2" xfId="32140"/>
    <cellStyle name="检查单元格 2 8 7 2 6" xfId="32141"/>
    <cellStyle name="计算 2 7 11 5 5" xfId="32142"/>
    <cellStyle name="注释 2 11 2 12" xfId="32143"/>
    <cellStyle name="计算 2 7 11 5 5 2" xfId="32144"/>
    <cellStyle name="检查单元格 2 8 7 3 6" xfId="32145"/>
    <cellStyle name="计算 2 7 11 6" xfId="32146"/>
    <cellStyle name="计算 2 7 11 6 2" xfId="32147"/>
    <cellStyle name="计算 2 7 11 6 2 2" xfId="32148"/>
    <cellStyle name="注释 2 11 5 2" xfId="32149"/>
    <cellStyle name="计算 2 9 19" xfId="32150"/>
    <cellStyle name="计算 2 9 24" xfId="32151"/>
    <cellStyle name="计算 2 7 11 6 3" xfId="32152"/>
    <cellStyle name="计算 2 7 11 6 3 2" xfId="32153"/>
    <cellStyle name="计算 2 7 11 6 4" xfId="32154"/>
    <cellStyle name="计算 2 7 11 6 4 2" xfId="32155"/>
    <cellStyle name="检查单元格 2 8 8 2 6" xfId="32156"/>
    <cellStyle name="计算 2 7 11 6 5" xfId="32157"/>
    <cellStyle name="注释 2 11 7 12" xfId="32158"/>
    <cellStyle name="计算 2 7 11 6 5 2" xfId="32159"/>
    <cellStyle name="检查单元格 2 8 8 3 6" xfId="32160"/>
    <cellStyle name="计算 2 7 11 6 6" xfId="32161"/>
    <cellStyle name="计算 2 7 11 7" xfId="32162"/>
    <cellStyle name="计算 2 7 11 7 2" xfId="32163"/>
    <cellStyle name="计算 2 7 11 7 2 2" xfId="32164"/>
    <cellStyle name="计算 2 7 11 7 3" xfId="32165"/>
    <cellStyle name="计算 2 7 11 7 3 2" xfId="32166"/>
    <cellStyle name="计算 2 7 11 7 4" xfId="32167"/>
    <cellStyle name="计算 2 7 11 7 4 2" xfId="32168"/>
    <cellStyle name="注释 2 7 14 5 2" xfId="32169"/>
    <cellStyle name="计算 2 7 11 8" xfId="32170"/>
    <cellStyle name="输出 2 4 5 5 4 2" xfId="32171"/>
    <cellStyle name="计算 2 7 11 8 2" xfId="32172"/>
    <cellStyle name="计算 2 7 11 8 2 2" xfId="32173"/>
    <cellStyle name="计算 2 7 11 8 3" xfId="32174"/>
    <cellStyle name="计算 2 7 11 8 3 2" xfId="32175"/>
    <cellStyle name="计算 2 7 11 8 4" xfId="32176"/>
    <cellStyle name="计算 2 7 11 8 4 2" xfId="32177"/>
    <cellStyle name="计算 2 7 11 9" xfId="32178"/>
    <cellStyle name="计算 2 7 11 9 2" xfId="32179"/>
    <cellStyle name="计算 2 7 12" xfId="32180"/>
    <cellStyle name="检查单元格 2 6 5 4 6" xfId="32181"/>
    <cellStyle name="注释 2 2 10 2 5 2" xfId="32182"/>
    <cellStyle name="计算 2 7 12 2 2" xfId="32183"/>
    <cellStyle name="注释 2 2 10 2 6" xfId="32184"/>
    <cellStyle name="注释 2 11 11 4 5 2" xfId="32185"/>
    <cellStyle name="计算 2 7 12 3" xfId="32186"/>
    <cellStyle name="计算 2 7 12 3 2" xfId="32187"/>
    <cellStyle name="注释 2 2 10 2 7" xfId="32188"/>
    <cellStyle name="注释 2 10 2 2 5 2" xfId="32189"/>
    <cellStyle name="计算 2 7 12 4" xfId="32190"/>
    <cellStyle name="计算 2 7 12 4 2" xfId="32191"/>
    <cellStyle name="注释 2 2 10 2 8" xfId="32192"/>
    <cellStyle name="计算 2 7 12 5" xfId="32193"/>
    <cellStyle name="输出 2 5 8 10" xfId="32194"/>
    <cellStyle name="计算 2 7 12 5 2" xfId="32195"/>
    <cellStyle name="输出 2 5 8 10 2" xfId="32196"/>
    <cellStyle name="注释 2 2 10 2 9" xfId="32197"/>
    <cellStyle name="计算 2 7 12 6" xfId="32198"/>
    <cellStyle name="输出 2 5 8 11" xfId="32199"/>
    <cellStyle name="计算 2 7 12 7" xfId="32200"/>
    <cellStyle name="输出 2 5 8 12" xfId="32201"/>
    <cellStyle name="计算 2 7 12 8" xfId="32202"/>
    <cellStyle name="输出 2 4 5 5 5 2" xfId="32203"/>
    <cellStyle name="输出 2 5 8 13" xfId="32204"/>
    <cellStyle name="输入 2 7 2 2" xfId="32205"/>
    <cellStyle name="计算 2 7 12 9" xfId="32206"/>
    <cellStyle name="输出 2 9 9 2 2" xfId="32207"/>
    <cellStyle name="输出 2 5 8 14" xfId="32208"/>
    <cellStyle name="计算 2 7 13" xfId="32209"/>
    <cellStyle name="注释 2 2 10 3 5 2" xfId="32210"/>
    <cellStyle name="计算 2 7 13 2 2" xfId="32211"/>
    <cellStyle name="注释 2 2 10 3 6" xfId="32212"/>
    <cellStyle name="计算 2 7 13 3" xfId="32213"/>
    <cellStyle name="计算 2 7 13 3 2" xfId="32214"/>
    <cellStyle name="计算 2 7 13 4" xfId="32215"/>
    <cellStyle name="计算 2 7 13 4 2" xfId="32216"/>
    <cellStyle name="计算 2 7 13 5" xfId="32217"/>
    <cellStyle name="计算 2 7 13 5 2" xfId="32218"/>
    <cellStyle name="计算 2 7 13 6" xfId="32219"/>
    <cellStyle name="计算 2 7 14" xfId="32220"/>
    <cellStyle name="计算 2 7 15" xfId="32221"/>
    <cellStyle name="计算 2 7 20" xfId="32222"/>
    <cellStyle name="输出 2 2 3 6 3 2" xfId="32223"/>
    <cellStyle name="注释 2 2 10 5 5 2" xfId="32224"/>
    <cellStyle name="计算 2 7 15 2 2" xfId="32225"/>
    <cellStyle name="注释 2 2 10 5 6" xfId="32226"/>
    <cellStyle name="计算 2 7 15 3" xfId="32227"/>
    <cellStyle name="计算 2 7 15 3 2" xfId="32228"/>
    <cellStyle name="计算 2 7 15 4 2" xfId="32229"/>
    <cellStyle name="计算 2 7 15 5 2" xfId="32230"/>
    <cellStyle name="输出 2 8 4 12 2" xfId="32231"/>
    <cellStyle name="计算 2 7 16" xfId="32232"/>
    <cellStyle name="计算 2 7 21" xfId="32233"/>
    <cellStyle name="注释 2 2 10 6 5" xfId="32234"/>
    <cellStyle name="计算 2 7 16 2" xfId="32235"/>
    <cellStyle name="计算 2 7 21 2" xfId="32236"/>
    <cellStyle name="注释 2 2 10 6 5 2" xfId="32237"/>
    <cellStyle name="计算 2 7 16 2 2" xfId="32238"/>
    <cellStyle name="注释 2 2 10 6 6" xfId="32239"/>
    <cellStyle name="计算 2 7 16 3" xfId="32240"/>
    <cellStyle name="计算 2 7 16 3 2" xfId="32241"/>
    <cellStyle name="计算 2 7 16 4 2" xfId="32242"/>
    <cellStyle name="计算 2 7 16 5 2" xfId="32243"/>
    <cellStyle name="注释 2 2 10 7 5" xfId="32244"/>
    <cellStyle name="计算 2 7 17 2" xfId="32245"/>
    <cellStyle name="计算 2 7 22 2" xfId="32246"/>
    <cellStyle name="注释 2 2 10 7 5 2" xfId="32247"/>
    <cellStyle name="计算 2 7 17 2 2" xfId="32248"/>
    <cellStyle name="注释 2 2 10 7 6" xfId="32249"/>
    <cellStyle name="计算 2 7 17 3" xfId="32250"/>
    <cellStyle name="计算 2 7 17 3 2" xfId="32251"/>
    <cellStyle name="计算 2 7 17 4 2" xfId="32252"/>
    <cellStyle name="计算 2 7 17 5 2" xfId="32253"/>
    <cellStyle name="输出 2 5 9 10 2" xfId="32254"/>
    <cellStyle name="计算 2 7 18 2 2" xfId="32255"/>
    <cellStyle name="输入 2 11 6 10 2" xfId="32256"/>
    <cellStyle name="计算 2 7 18 3" xfId="32257"/>
    <cellStyle name="计算 2 7 18 3 2" xfId="32258"/>
    <cellStyle name="计算 2 7 18 4" xfId="32259"/>
    <cellStyle name="计算 2 7 18 4 2" xfId="32260"/>
    <cellStyle name="计算 2 7 18 5 2" xfId="32261"/>
    <cellStyle name="计算 2 7 2 10" xfId="32262"/>
    <cellStyle name="输出 2 5 6 15" xfId="32263"/>
    <cellStyle name="计算 2 7 2 11" xfId="32264"/>
    <cellStyle name="输入 2 3 12 3 2" xfId="32265"/>
    <cellStyle name="输出 2 5 6 16" xfId="32266"/>
    <cellStyle name="计算 2 7 2 12" xfId="32267"/>
    <cellStyle name="计算 2 7 2 13" xfId="32268"/>
    <cellStyle name="计算 2 7 2 14" xfId="32269"/>
    <cellStyle name="计算 2 7 2 15" xfId="32270"/>
    <cellStyle name="计算 2 7 2 16" xfId="32271"/>
    <cellStyle name="计算 2 7 2 2 2" xfId="32272"/>
    <cellStyle name="输出 2 5 6 3 2" xfId="32273"/>
    <cellStyle name="计算 2 7 2 2 3" xfId="32274"/>
    <cellStyle name="输出 2 3 10 10" xfId="32275"/>
    <cellStyle name="输出 2 5 6 3 3" xfId="32276"/>
    <cellStyle name="计算 2 7 2 2 4" xfId="32277"/>
    <cellStyle name="输出 2 3 10 11" xfId="32278"/>
    <cellStyle name="输出 2 5 6 3 4" xfId="32279"/>
    <cellStyle name="计算 2 7 2 3" xfId="32280"/>
    <cellStyle name="输出 2 5 6 4" xfId="32281"/>
    <cellStyle name="计算 2 7 2 4" xfId="32282"/>
    <cellStyle name="输出 2 5 6 5" xfId="32283"/>
    <cellStyle name="计算 2 7 2 4 4" xfId="32284"/>
    <cellStyle name="输出 2 5 6 5 4" xfId="32285"/>
    <cellStyle name="计算 2 7 2 5" xfId="32286"/>
    <cellStyle name="输出 2 5 6 6" xfId="32287"/>
    <cellStyle name="计算 2 7 2 5 4" xfId="32288"/>
    <cellStyle name="输出 2 5 6 6 4" xfId="32289"/>
    <cellStyle name="输出 2 9 4 8 3 2" xfId="32290"/>
    <cellStyle name="计算 2 7 2 6" xfId="32291"/>
    <cellStyle name="输入 2 2 8 3 2" xfId="32292"/>
    <cellStyle name="输出 2 5 6 7" xfId="32293"/>
    <cellStyle name="计算 2 7 2 6 4" xfId="32294"/>
    <cellStyle name="输出 2 12 9 6 2 2" xfId="32295"/>
    <cellStyle name="输出 2 5 6 7 4" xfId="32296"/>
    <cellStyle name="计算 2 7 2 7" xfId="32297"/>
    <cellStyle name="输入 2 2 8 3 3" xfId="32298"/>
    <cellStyle name="输出 2 5 6 8" xfId="32299"/>
    <cellStyle name="计算 2 7 2 7 4" xfId="32300"/>
    <cellStyle name="输出 2 12 9 6 3 2" xfId="32301"/>
    <cellStyle name="输出 2 3 11 11" xfId="32302"/>
    <cellStyle name="输出 2 5 6 8 4" xfId="32303"/>
    <cellStyle name="计算 2 7 2 8" xfId="32304"/>
    <cellStyle name="注释 2 4 4 6 3 2" xfId="32305"/>
    <cellStyle name="输入 2 2 8 3 4" xfId="32306"/>
    <cellStyle name="输出 2 5 6 9" xfId="32307"/>
    <cellStyle name="计算 2 7 2 8 4" xfId="32308"/>
    <cellStyle name="输出 2 11 10 10" xfId="32309"/>
    <cellStyle name="输出 2 12 9 6 4 2" xfId="32310"/>
    <cellStyle name="计算 2 7 2 9" xfId="32311"/>
    <cellStyle name="计算 2 9 6 6 3 2" xfId="32312"/>
    <cellStyle name="输入 2 6 3 4 2" xfId="32313"/>
    <cellStyle name="计算 2 7 3 10" xfId="32314"/>
    <cellStyle name="输出 2 9 8 3 4 2" xfId="32315"/>
    <cellStyle name="输出 2 5 7 15" xfId="32316"/>
    <cellStyle name="注释 2 6 7 3 3" xfId="32317"/>
    <cellStyle name="输入 2 6 3 4 2 2" xfId="32318"/>
    <cellStyle name="计算 2 7 3 10 2" xfId="32319"/>
    <cellStyle name="输入 2 6 3 4 3" xfId="32320"/>
    <cellStyle name="计算 2 7 3 11" xfId="32321"/>
    <cellStyle name="输出 2 5 7 16" xfId="32322"/>
    <cellStyle name="注释 2 6 7 4 3" xfId="32323"/>
    <cellStyle name="输入 2 6 3 4 3 2" xfId="32324"/>
    <cellStyle name="计算 2 7 3 11 2" xfId="32325"/>
    <cellStyle name="输入 2 6 3 4 4" xfId="32326"/>
    <cellStyle name="计算 2 7 3 12" xfId="32327"/>
    <cellStyle name="注释 2 6 7 5 3" xfId="32328"/>
    <cellStyle name="输入 2 6 3 4 4 2" xfId="32329"/>
    <cellStyle name="计算 2 7 3 12 2" xfId="32330"/>
    <cellStyle name="计算 2 7 3 2" xfId="32331"/>
    <cellStyle name="输入 2 8 7 8 3 2" xfId="32332"/>
    <cellStyle name="输出 2 5 7 3" xfId="32333"/>
    <cellStyle name="计算 2 7 3 2 2" xfId="32334"/>
    <cellStyle name="输出 2 5 7 3 2" xfId="32335"/>
    <cellStyle name="计算 2 7 3 2 2 2" xfId="32336"/>
    <cellStyle name="输出 2 5 7 3 2 2" xfId="32337"/>
    <cellStyle name="计算 2 7 3 2 3" xfId="32338"/>
    <cellStyle name="输出 2 5 7 3 3" xfId="32339"/>
    <cellStyle name="计算 2 7 3 2 3 2" xfId="32340"/>
    <cellStyle name="输出 2 5 7 3 3 2" xfId="32341"/>
    <cellStyle name="计算 2 7 3 2 4" xfId="32342"/>
    <cellStyle name="输出 2 5 7 3 4" xfId="32343"/>
    <cellStyle name="计算 2 7 3 2 4 2" xfId="32344"/>
    <cellStyle name="输出 2 5 7 3 4 2" xfId="32345"/>
    <cellStyle name="计算 2 7 3 3" xfId="32346"/>
    <cellStyle name="输出 2 5 7 4" xfId="32347"/>
    <cellStyle name="注释 2 2 2 11 2" xfId="32348"/>
    <cellStyle name="计算 2 7 3 3 3 2" xfId="32349"/>
    <cellStyle name="输出 2 5 7 4 3 2" xfId="32350"/>
    <cellStyle name="注释 2 2 2 12 2" xfId="32351"/>
    <cellStyle name="计算 2 7 3 3 4 2" xfId="32352"/>
    <cellStyle name="输出 2 5 7 4 4 2" xfId="32353"/>
    <cellStyle name="计算 2 7 3 4" xfId="32354"/>
    <cellStyle name="输出 2 5 7 5" xfId="32355"/>
    <cellStyle name="计算 2 7 3 4 4" xfId="32356"/>
    <cellStyle name="输出 2 5 7 5 4" xfId="32357"/>
    <cellStyle name="计算 2 7 3 5" xfId="32358"/>
    <cellStyle name="输出 2 5 7 6" xfId="32359"/>
    <cellStyle name="计算 2 7 3 5 4" xfId="32360"/>
    <cellStyle name="输出 2 5 7 6 4" xfId="32361"/>
    <cellStyle name="输出 2 9 4 8 4 2" xfId="32362"/>
    <cellStyle name="计算 2 7 3 6" xfId="32363"/>
    <cellStyle name="输入 2 2 8 4 2" xfId="32364"/>
    <cellStyle name="输出 2 5 7 7" xfId="32365"/>
    <cellStyle name="计算 2 7 3 6 3 2" xfId="32366"/>
    <cellStyle name="输出 2 5 7 7 3 2" xfId="32367"/>
    <cellStyle name="计算 2 7 3 6 4" xfId="32368"/>
    <cellStyle name="输出 2 12 9 7 2 2" xfId="32369"/>
    <cellStyle name="输出 2 5 7 7 4" xfId="32370"/>
    <cellStyle name="计算 2 7 3 6 4 2" xfId="32371"/>
    <cellStyle name="输出 2 5 7 7 4 2" xfId="32372"/>
    <cellStyle name="计算 2 7 3 7 3 2" xfId="32373"/>
    <cellStyle name="输出 2 5 7 8 3 2" xfId="32374"/>
    <cellStyle name="计算 2 7 3 7 4" xfId="32375"/>
    <cellStyle name="输出 2 12 9 7 3 2" xfId="32376"/>
    <cellStyle name="输出 2 5 7 8 4" xfId="32377"/>
    <cellStyle name="计算 2 7 3 7 4 2" xfId="32378"/>
    <cellStyle name="输出 2 5 7 8 4 2" xfId="32379"/>
    <cellStyle name="计算 2 7 3 8" xfId="32380"/>
    <cellStyle name="注释 2 4 4 6 4 2" xfId="32381"/>
    <cellStyle name="输入 2 2 8 4 4" xfId="32382"/>
    <cellStyle name="输出 2 5 7 9" xfId="32383"/>
    <cellStyle name="注释 2 2 3 11 2" xfId="32384"/>
    <cellStyle name="计算 2 7 3 8 3 2" xfId="32385"/>
    <cellStyle name="注释 2 2 3 12" xfId="32386"/>
    <cellStyle name="计算 2 7 3 8 4" xfId="32387"/>
    <cellStyle name="输出 2 12 9 7 4 2" xfId="32388"/>
    <cellStyle name="注释 2 2 3 12 2" xfId="32389"/>
    <cellStyle name="计算 2 7 3 8 4 2" xfId="32390"/>
    <cellStyle name="计算 2 7 3 9" xfId="32391"/>
    <cellStyle name="计算 2 9 6 6 4 2" xfId="32392"/>
    <cellStyle name="输入 2 7 2 3" xfId="32393"/>
    <cellStyle name="输入 2 6 3 9 2" xfId="32394"/>
    <cellStyle name="计算 2 7 4 10" xfId="32395"/>
    <cellStyle name="输出 2 9 9 2 3" xfId="32396"/>
    <cellStyle name="输出 2 5 8 15" xfId="32397"/>
    <cellStyle name="输入 2 7 2 3 2" xfId="32398"/>
    <cellStyle name="计算 2 7 4 10 2" xfId="32399"/>
    <cellStyle name="输入 2 7 2 4 2" xfId="32400"/>
    <cellStyle name="计算 2 7 4 11 2" xfId="32401"/>
    <cellStyle name="计算 2 7 4 2 2" xfId="32402"/>
    <cellStyle name="输出 2 5 8 3 2" xfId="32403"/>
    <cellStyle name="计算 2 7 4 2 3" xfId="32404"/>
    <cellStyle name="输出 2 5 8 3 3" xfId="32405"/>
    <cellStyle name="计算 2 7 4 2 3 2" xfId="32406"/>
    <cellStyle name="输出 2 5 8 3 3 2" xfId="32407"/>
    <cellStyle name="计算 2 7 4 2 4" xfId="32408"/>
    <cellStyle name="输出 2 5 8 3 4" xfId="32409"/>
    <cellStyle name="计算 2 7 4 2 4 2" xfId="32410"/>
    <cellStyle name="输出 2 5 8 3 4 2" xfId="32411"/>
    <cellStyle name="注释 2 2 7 11 2" xfId="32412"/>
    <cellStyle name="计算 2 7 4 3 3 2" xfId="32413"/>
    <cellStyle name="输出 2 5 8 4 3 2" xfId="32414"/>
    <cellStyle name="注释 2 2 7 12 2" xfId="32415"/>
    <cellStyle name="计算 2 7 4 3 4 2" xfId="32416"/>
    <cellStyle name="输出 2 5 8 4 4 2" xfId="32417"/>
    <cellStyle name="计算 2 7 4 4" xfId="32418"/>
    <cellStyle name="输出 2 5 8 5" xfId="32419"/>
    <cellStyle name="注释 2 5 4 14" xfId="32420"/>
    <cellStyle name="计算 2 7 4 4 3 2" xfId="32421"/>
    <cellStyle name="输出 2 5 8 5 3 2" xfId="32422"/>
    <cellStyle name="计算 2 7 4 4 4" xfId="32423"/>
    <cellStyle name="输出 2 5 8 5 4" xfId="32424"/>
    <cellStyle name="计算 2 7 4 4 4 2" xfId="32425"/>
    <cellStyle name="输出 2 5 8 5 4 2" xfId="32426"/>
    <cellStyle name="计算 2 7 4 5" xfId="32427"/>
    <cellStyle name="输出 2 5 8 6" xfId="32428"/>
    <cellStyle name="注释 2 5 9 14" xfId="32429"/>
    <cellStyle name="计算 2 7 4 5 3 2" xfId="32430"/>
    <cellStyle name="输出 2 9 16 4" xfId="32431"/>
    <cellStyle name="输出 2 5 8 6 3 2" xfId="32432"/>
    <cellStyle name="计算 2 7 4 5 4" xfId="32433"/>
    <cellStyle name="输出 2 5 8 6 4" xfId="32434"/>
    <cellStyle name="计算 2 7 4 5 4 2" xfId="32435"/>
    <cellStyle name="输出 2 9 17 4" xfId="32436"/>
    <cellStyle name="输出 2 5 8 6 4 2" xfId="32437"/>
    <cellStyle name="计算 2 7 4 6" xfId="32438"/>
    <cellStyle name="输入 2 2 8 5 2" xfId="32439"/>
    <cellStyle name="输出 2 5 8 7" xfId="32440"/>
    <cellStyle name="计算 2 7 4 6 3 2" xfId="32441"/>
    <cellStyle name="输出 2 5 8 7 3 2" xfId="32442"/>
    <cellStyle name="计算 2 7 4 6 4 2" xfId="32443"/>
    <cellStyle name="检查单元格 2 10 2 7" xfId="32444"/>
    <cellStyle name="输出 2 5 8 7 4 2" xfId="32445"/>
    <cellStyle name="计算 2 7 4 7 3 2" xfId="32446"/>
    <cellStyle name="输出 2 5 8 8 3 2" xfId="32447"/>
    <cellStyle name="计算 2 7 4 7 4 2" xfId="32448"/>
    <cellStyle name="输出 2 5 8 8 4 2" xfId="32449"/>
    <cellStyle name="输出 2 6 10 2 2" xfId="32450"/>
    <cellStyle name="计算 2 7 4 8" xfId="32451"/>
    <cellStyle name="注释 2 4 4 6 5 2" xfId="32452"/>
    <cellStyle name="输入 2 2 8 5 4" xfId="32453"/>
    <cellStyle name="输出 2 5 8 9" xfId="32454"/>
    <cellStyle name="注释 2 2 8 11 2" xfId="32455"/>
    <cellStyle name="计算 2 7 4 8 3 2" xfId="32456"/>
    <cellStyle name="注释 2 2 8 12 2" xfId="32457"/>
    <cellStyle name="计算 2 7 4 8 4 2" xfId="32458"/>
    <cellStyle name="输出 2 6 11 2 2" xfId="32459"/>
    <cellStyle name="计算 2 7 5" xfId="32460"/>
    <cellStyle name="输出 2 11 3 2 8" xfId="32461"/>
    <cellStyle name="输入 2 7 7 3 2" xfId="32462"/>
    <cellStyle name="计算 2 7 5 10 2" xfId="32463"/>
    <cellStyle name="输出 2 9 9 7 3 2" xfId="32464"/>
    <cellStyle name="输出 2 2 3 3 6" xfId="32465"/>
    <cellStyle name="输入 2 7 7 4" xfId="32466"/>
    <cellStyle name="计算 2 7 5 11" xfId="32467"/>
    <cellStyle name="输出 2 9 9 7 4" xfId="32468"/>
    <cellStyle name="输出 2 5 9 16" xfId="32469"/>
    <cellStyle name="输入 2 7 7 4 2" xfId="32470"/>
    <cellStyle name="计算 2 7 5 11 2" xfId="32471"/>
    <cellStyle name="输出 2 9 9 7 4 2" xfId="32472"/>
    <cellStyle name="输出 2 2 3 4 6" xfId="32473"/>
    <cellStyle name="输入 2 7 7 5" xfId="32474"/>
    <cellStyle name="计算 2 7 5 12" xfId="32475"/>
    <cellStyle name="输入 2 7 7 5 2" xfId="32476"/>
    <cellStyle name="计算 2 7 5 12 2" xfId="32477"/>
    <cellStyle name="输出 2 9 9 7 5 2" xfId="32478"/>
    <cellStyle name="输出 2 2 3 5 6" xfId="32479"/>
    <cellStyle name="输入 2 7 7 7" xfId="32480"/>
    <cellStyle name="计算 2 7 5 14" xfId="32481"/>
    <cellStyle name="输入 2 7 7 8" xfId="32482"/>
    <cellStyle name="计算 2 7 5 15" xfId="32483"/>
    <cellStyle name="输入 2 7 7 9" xfId="32484"/>
    <cellStyle name="计算 2 7 5 16" xfId="32485"/>
    <cellStyle name="输出 2 11 11 8 4 2" xfId="32486"/>
    <cellStyle name="计算 2 7 5 2" xfId="32487"/>
    <cellStyle name="输出 2 5 9 3" xfId="32488"/>
    <cellStyle name="计算 2 7 5 3" xfId="32489"/>
    <cellStyle name="输出 2 5 9 4" xfId="32490"/>
    <cellStyle name="计算 2 7 5 4" xfId="32491"/>
    <cellStyle name="输出 2 5 9 5" xfId="32492"/>
    <cellStyle name="计算 2 7 5 4 3 2" xfId="32493"/>
    <cellStyle name="输出 2 5 9 5 3 2" xfId="32494"/>
    <cellStyle name="计算 2 7 5 4 4" xfId="32495"/>
    <cellStyle name="输出 2 5 9 5 4" xfId="32496"/>
    <cellStyle name="计算 2 7 5 4 4 2" xfId="32497"/>
    <cellStyle name="输出 2 5 9 5 4 2" xfId="32498"/>
    <cellStyle name="计算 2 7 5 5" xfId="32499"/>
    <cellStyle name="输出 2 5 9 6" xfId="32500"/>
    <cellStyle name="计算 2 7 5 5 3 2" xfId="32501"/>
    <cellStyle name="输出 2 5 9 6 3 2" xfId="32502"/>
    <cellStyle name="计算 2 7 5 5 4" xfId="32503"/>
    <cellStyle name="输出 2 5 9 6 4" xfId="32504"/>
    <cellStyle name="计算 2 7 5 5 4 2" xfId="32505"/>
    <cellStyle name="输出 2 11" xfId="32506"/>
    <cellStyle name="输出 2 5 9 6 4 2" xfId="32507"/>
    <cellStyle name="计算 2 7 5 6" xfId="32508"/>
    <cellStyle name="输入 2 2 8 6 2" xfId="32509"/>
    <cellStyle name="输出 2 5 9 7" xfId="32510"/>
    <cellStyle name="计算 2 7 5 6 3 2" xfId="32511"/>
    <cellStyle name="输出 2 5 9 7 3 2" xfId="32512"/>
    <cellStyle name="计算 2 7 5 6 4" xfId="32513"/>
    <cellStyle name="输出 2 5 9 7 4" xfId="32514"/>
    <cellStyle name="计算 2 7 5 6 4 2" xfId="32515"/>
    <cellStyle name="输出 2 5 9 7 4 2" xfId="32516"/>
    <cellStyle name="计算 2 7 5 7 4" xfId="32517"/>
    <cellStyle name="输出 2 5 9 8 4" xfId="32518"/>
    <cellStyle name="计算 2 7 5 7 4 2" xfId="32519"/>
    <cellStyle name="输出 2 5 9 8 4 2" xfId="32520"/>
    <cellStyle name="计算 2 7 5 8" xfId="32521"/>
    <cellStyle name="输入 2 2 8 6 4" xfId="32522"/>
    <cellStyle name="输出 2 5 9 9" xfId="32523"/>
    <cellStyle name="计算 2 7 5 8 4" xfId="32524"/>
    <cellStyle name="计算 2 7 6 11" xfId="32525"/>
    <cellStyle name="计算 2 7 6 12" xfId="32526"/>
    <cellStyle name="计算 2 7 6 13" xfId="32527"/>
    <cellStyle name="输出 2 3 2 5 2" xfId="32528"/>
    <cellStyle name="计算 2 7 6 3" xfId="32529"/>
    <cellStyle name="计算 2 7 6 4" xfId="32530"/>
    <cellStyle name="计算 2 7 6 4 3 2" xfId="32531"/>
    <cellStyle name="计算 2 7 6 4 4" xfId="32532"/>
    <cellStyle name="计算 2 7 6 4 4 2" xfId="32533"/>
    <cellStyle name="计算 2 7 6 5" xfId="32534"/>
    <cellStyle name="计算 2 7 6 5 3 2" xfId="32535"/>
    <cellStyle name="计算 2 7 6 5 4" xfId="32536"/>
    <cellStyle name="计算 2 7 6 5 4 2" xfId="32537"/>
    <cellStyle name="计算 2 7 6 6" xfId="32538"/>
    <cellStyle name="计算 2 7 6 6 3 2" xfId="32539"/>
    <cellStyle name="计算 2 7 6 6 4" xfId="32540"/>
    <cellStyle name="计算 2 7 6 6 4 2" xfId="32541"/>
    <cellStyle name="计算 2 7 6 7 3 2" xfId="32542"/>
    <cellStyle name="计算 2 7 6 7 4" xfId="32543"/>
    <cellStyle name="计算 2 7 6 7 4 2" xfId="32544"/>
    <cellStyle name="计算 2 7 6 8" xfId="32545"/>
    <cellStyle name="计算 2 7 7 11" xfId="32546"/>
    <cellStyle name="输出 2 2 5 11 2" xfId="32547"/>
    <cellStyle name="计算 2 7 7 12" xfId="32548"/>
    <cellStyle name="计算 2 7 7 13" xfId="32549"/>
    <cellStyle name="计算 2 7 7 15" xfId="32550"/>
    <cellStyle name="输出 2 11 2 4 3" xfId="32551"/>
    <cellStyle name="输出 2 12 7 2 5 2" xfId="32552"/>
    <cellStyle name="计算 2 7 7 16" xfId="32553"/>
    <cellStyle name="输出 2 11 2 4 4" xfId="32554"/>
    <cellStyle name="注释 2 4 11 2 3 2" xfId="32555"/>
    <cellStyle name="计算 2 7 7 2 7" xfId="32556"/>
    <cellStyle name="计算 2 7 7 2 9" xfId="32557"/>
    <cellStyle name="计算 2 7 7 3" xfId="32558"/>
    <cellStyle name="计算 2 7 7 4" xfId="32559"/>
    <cellStyle name="计算 2 7 7 4 3 2" xfId="32560"/>
    <cellStyle name="计算 2 7 7 4 4" xfId="32561"/>
    <cellStyle name="计算 2 7 7 4 5" xfId="32562"/>
    <cellStyle name="计算 2 7 7 4 5 2" xfId="32563"/>
    <cellStyle name="注释 2 2 17 2 2" xfId="32564"/>
    <cellStyle name="计算 2 7 7 4 6" xfId="32565"/>
    <cellStyle name="计算 2 7 7 5" xfId="32566"/>
    <cellStyle name="计算 2 7 7 5 3 2" xfId="32567"/>
    <cellStyle name="计算 2 7 7 5 4" xfId="32568"/>
    <cellStyle name="计算 2 7 7 5 5" xfId="32569"/>
    <cellStyle name="输入 2 4 5 10" xfId="32570"/>
    <cellStyle name="计算 2 7 7 5 5 2" xfId="32571"/>
    <cellStyle name="注释 2 2 17 3 2" xfId="32572"/>
    <cellStyle name="计算 2 7 7 5 6" xfId="32573"/>
    <cellStyle name="输出 2 3 5 8 2 2" xfId="32574"/>
    <cellStyle name="计算 2 7 7 6" xfId="32575"/>
    <cellStyle name="计算 2 7 7 6 3 2" xfId="32576"/>
    <cellStyle name="计算 2 7 7 6 4" xfId="32577"/>
    <cellStyle name="计算 2 7 7 6 4 2" xfId="32578"/>
    <cellStyle name="计算 2 7 7 6 5" xfId="32579"/>
    <cellStyle name="计算 2 7 7 6 5 2" xfId="32580"/>
    <cellStyle name="注释 2 2 17 4 2" xfId="32581"/>
    <cellStyle name="计算 2 7 7 6 6" xfId="32582"/>
    <cellStyle name="输出 2 11 5 2 2 2" xfId="32583"/>
    <cellStyle name="输出 2 3 5 8 3 2" xfId="32584"/>
    <cellStyle name="计算 2 7 7 7 3 2" xfId="32585"/>
    <cellStyle name="计算 2 7 7 7 4" xfId="32586"/>
    <cellStyle name="计算 2 7 7 7 4 2" xfId="32587"/>
    <cellStyle name="计算 2 7 7 7 5" xfId="32588"/>
    <cellStyle name="计算 2 7 7 7 5 2" xfId="32589"/>
    <cellStyle name="注释 2 2 17 5 2" xfId="32590"/>
    <cellStyle name="计算 2 7 7 7 6" xfId="32591"/>
    <cellStyle name="输出 2 11 5 2 3 2" xfId="32592"/>
    <cellStyle name="输出 2 3 5 8 4 2" xfId="32593"/>
    <cellStyle name="计算 2 7 7 8" xfId="32594"/>
    <cellStyle name="计算 2 7 7 8 3 2" xfId="32595"/>
    <cellStyle name="计算 2 7 7 8 4" xfId="32596"/>
    <cellStyle name="计算 2 7 7 8 4 2" xfId="32597"/>
    <cellStyle name="计算 2 7 7 8 5" xfId="32598"/>
    <cellStyle name="输入 2 6 4 4 2" xfId="32599"/>
    <cellStyle name="计算 2 7 8 10" xfId="32600"/>
    <cellStyle name="注释 2 7 7 3 3" xfId="32601"/>
    <cellStyle name="输入 2 6 4 4 2 2" xfId="32602"/>
    <cellStyle name="计算 2 7 8 10 2" xfId="32603"/>
    <cellStyle name="输入 2 6 4 4 3" xfId="32604"/>
    <cellStyle name="计算 2 7 8 11" xfId="32605"/>
    <cellStyle name="注释 2 7 7 4 3" xfId="32606"/>
    <cellStyle name="输入 2 6 4 4 3 2" xfId="32607"/>
    <cellStyle name="输入 2 10 3 16" xfId="32608"/>
    <cellStyle name="计算 2 7 8 11 2" xfId="32609"/>
    <cellStyle name="注释 2 4 8 2 4 2" xfId="32610"/>
    <cellStyle name="输入 2 6 4 4 4" xfId="32611"/>
    <cellStyle name="计算 2 7 8 12" xfId="32612"/>
    <cellStyle name="注释 2 7 7 5 3" xfId="32613"/>
    <cellStyle name="输入 2 6 4 4 4 2" xfId="32614"/>
    <cellStyle name="计算 2 7 8 12 2" xfId="32615"/>
    <cellStyle name="注释 2 4 11 3 3 2" xfId="32616"/>
    <cellStyle name="计算 2 7 8 2 7" xfId="32617"/>
    <cellStyle name="计算 2 7 8 2 9" xfId="32618"/>
    <cellStyle name="计算 2 7 8 3" xfId="32619"/>
    <cellStyle name="计算 2 7 8 4" xfId="32620"/>
    <cellStyle name="计算 2 7 8 4 4" xfId="32621"/>
    <cellStyle name="计算 2 7 8 4 5" xfId="32622"/>
    <cellStyle name="注释 2 2 18 2 2" xfId="32623"/>
    <cellStyle name="计算 2 7 8 4 6" xfId="32624"/>
    <cellStyle name="计算 2 7 8 5" xfId="32625"/>
    <cellStyle name="计算 2 7 8 5 4" xfId="32626"/>
    <cellStyle name="计算 2 7 8 5 5" xfId="32627"/>
    <cellStyle name="注释 2 2 18 3 2" xfId="32628"/>
    <cellStyle name="计算 2 7 8 5 6" xfId="32629"/>
    <cellStyle name="计算 2 7 8 6" xfId="32630"/>
    <cellStyle name="计算 2 7 8 6 4" xfId="32631"/>
    <cellStyle name="计算 2 7 8 6 5" xfId="32632"/>
    <cellStyle name="注释 2 2 18 4 2" xfId="32633"/>
    <cellStyle name="计算 2 7 8 6 6" xfId="32634"/>
    <cellStyle name="输出 2 10 10" xfId="32635"/>
    <cellStyle name="输出 2 11 5 3 2 2" xfId="32636"/>
    <cellStyle name="计算 2 7 8 7" xfId="32637"/>
    <cellStyle name="输出 2 10 7 3 4 2" xfId="32638"/>
    <cellStyle name="计算 2 7 8 7 3 2" xfId="32639"/>
    <cellStyle name="检查单元格 2 2 5 4 3" xfId="32640"/>
    <cellStyle name="计算 2 7 8 7 4" xfId="32641"/>
    <cellStyle name="计算 2 7 8 7 4 2" xfId="32642"/>
    <cellStyle name="检查单元格 2 2 5 5 3" xfId="32643"/>
    <cellStyle name="计算 2 7 8 7 5" xfId="32644"/>
    <cellStyle name="计算 2 7 8 7 5 2" xfId="32645"/>
    <cellStyle name="注释 2 2 18 5 2" xfId="32646"/>
    <cellStyle name="计算 2 7 8 7 6" xfId="32647"/>
    <cellStyle name="输出 2 11 5 3 3 2" xfId="32648"/>
    <cellStyle name="计算 2 7 8 8" xfId="32649"/>
    <cellStyle name="注释 2 3 3 11 2" xfId="32650"/>
    <cellStyle name="计算 2 7 8 8 3 2" xfId="32651"/>
    <cellStyle name="检查单元格 2 2 6 4 3" xfId="32652"/>
    <cellStyle name="注释 2 3 3 12" xfId="32653"/>
    <cellStyle name="计算 2 7 8 8 4" xfId="32654"/>
    <cellStyle name="注释 2 3 3 12 2" xfId="32655"/>
    <cellStyle name="计算 2 7 8 8 4 2" xfId="32656"/>
    <cellStyle name="检查单元格 2 2 6 5 3" xfId="32657"/>
    <cellStyle name="注释 2 3 3 13" xfId="32658"/>
    <cellStyle name="计算 2 7 8 8 5" xfId="32659"/>
    <cellStyle name="计算 2 7 8 9" xfId="32660"/>
    <cellStyle name="输入 2 8 2 3" xfId="32661"/>
    <cellStyle name="输入 2 6 4 9 2" xfId="32662"/>
    <cellStyle name="计算 2 7 9 10" xfId="32663"/>
    <cellStyle name="输入 2 8 2 3 2" xfId="32664"/>
    <cellStyle name="计算 2 7 9 10 2" xfId="32665"/>
    <cellStyle name="输入 2 8 2 4 2" xfId="32666"/>
    <cellStyle name="输入 2 11 3 16" xfId="32667"/>
    <cellStyle name="计算 2 7 9 11 2" xfId="32668"/>
    <cellStyle name="输入 2 8 2 5 2" xfId="32669"/>
    <cellStyle name="计算 2 7 9 12 2" xfId="32670"/>
    <cellStyle name="输入 2 8 2 6" xfId="32671"/>
    <cellStyle name="计算 2 7 9 13" xfId="32672"/>
    <cellStyle name="输入 2 8 2 7" xfId="32673"/>
    <cellStyle name="计算 2 7 9 14" xfId="32674"/>
    <cellStyle name="输入 2 8 2 9" xfId="32675"/>
    <cellStyle name="计算 2 7 9 16" xfId="32676"/>
    <cellStyle name="注释 2 4 11 4 3 2" xfId="32677"/>
    <cellStyle name="计算 2 7 9 2 7" xfId="32678"/>
    <cellStyle name="计算 2 7 9 2 9" xfId="32679"/>
    <cellStyle name="注释 2 3 7 10 2" xfId="32680"/>
    <cellStyle name="计算 2 7 9 3 2 2" xfId="32681"/>
    <cellStyle name="注释 2 3 7 11" xfId="32682"/>
    <cellStyle name="计算 2 7 9 3 3" xfId="32683"/>
    <cellStyle name="注释 2 3 7 11 2" xfId="32684"/>
    <cellStyle name="计算 2 7 9 3 3 2" xfId="32685"/>
    <cellStyle name="注释 2 3 7 12" xfId="32686"/>
    <cellStyle name="计算 2 7 9 3 4" xfId="32687"/>
    <cellStyle name="注释 2 3 7 12 2" xfId="32688"/>
    <cellStyle name="计算 2 7 9 3 4 2" xfId="32689"/>
    <cellStyle name="注释 2 3 7 13" xfId="32690"/>
    <cellStyle name="计算 2 7 9 3 5" xfId="32691"/>
    <cellStyle name="计算 2 7 9 3 5 2" xfId="32692"/>
    <cellStyle name="注释 2 3 7 14" xfId="32693"/>
    <cellStyle name="计算 2 7 9 3 6" xfId="32694"/>
    <cellStyle name="注释 2 9 15 3" xfId="32695"/>
    <cellStyle name="计算 2 7 9 4 2 2" xfId="32696"/>
    <cellStyle name="检查单元格 2 3 2 3 3" xfId="32697"/>
    <cellStyle name="计算 2 7 9 4 3" xfId="32698"/>
    <cellStyle name="注释 2 9 16 3" xfId="32699"/>
    <cellStyle name="计算 2 7 9 4 3 2" xfId="32700"/>
    <cellStyle name="检查单元格 2 3 2 4 3" xfId="32701"/>
    <cellStyle name="计算 2 7 9 4 4" xfId="32702"/>
    <cellStyle name="注释 2 9 17 3" xfId="32703"/>
    <cellStyle name="计算 2 7 9 4 4 2" xfId="32704"/>
    <cellStyle name="检查单元格 2 3 2 5 3" xfId="32705"/>
    <cellStyle name="计算 2 7 9 4 5" xfId="32706"/>
    <cellStyle name="注释 2 9 18 3" xfId="32707"/>
    <cellStyle name="计算 2 7 9 4 5 2" xfId="32708"/>
    <cellStyle name="注释 2 2 19 2 2" xfId="32709"/>
    <cellStyle name="计算 2 7 9 4 6" xfId="32710"/>
    <cellStyle name="计算 2 7 9 5 2 2" xfId="32711"/>
    <cellStyle name="检查单元格 2 3 3 3 3" xfId="32712"/>
    <cellStyle name="计算 2 7 9 5 3" xfId="32713"/>
    <cellStyle name="计算 2 7 9 5 3 2" xfId="32714"/>
    <cellStyle name="检查单元格 2 3 3 4 3" xfId="32715"/>
    <cellStyle name="计算 2 7 9 5 4" xfId="32716"/>
    <cellStyle name="计算 2 7 9 5 4 2" xfId="32717"/>
    <cellStyle name="检查单元格 2 3 3 5 3" xfId="32718"/>
    <cellStyle name="计算 2 7 9 5 5" xfId="32719"/>
    <cellStyle name="计算 2 7 9 5 5 2" xfId="32720"/>
    <cellStyle name="注释 2 2 19 3 2" xfId="32721"/>
    <cellStyle name="计算 2 7 9 5 6" xfId="32722"/>
    <cellStyle name="计算 2 7 9 6 2" xfId="32723"/>
    <cellStyle name="计算 2 7 9 6 3" xfId="32724"/>
    <cellStyle name="计算 2 7 9 6 5" xfId="32725"/>
    <cellStyle name="注释 2 2 19 4 2" xfId="32726"/>
    <cellStyle name="计算 2 7 9 6 6" xfId="32727"/>
    <cellStyle name="输出 2 11 5 4 2 2" xfId="32728"/>
    <cellStyle name="输出 2 15 10" xfId="32729"/>
    <cellStyle name="计算 2 7 9 7 2" xfId="32730"/>
    <cellStyle name="计算 2 7 9 7 2 2" xfId="32731"/>
    <cellStyle name="检查单元格 2 3 5 3 3" xfId="32732"/>
    <cellStyle name="计算 2 7 9 7 3" xfId="32733"/>
    <cellStyle name="计算 2 7 9 7 3 2" xfId="32734"/>
    <cellStyle name="检查单元格 2 3 5 4 3" xfId="32735"/>
    <cellStyle name="计算 2 7 9 7 4 2" xfId="32736"/>
    <cellStyle name="检查单元格 2 3 5 5 3" xfId="32737"/>
    <cellStyle name="输出 2 7 10 2 2" xfId="32738"/>
    <cellStyle name="计算 2 7 9 7 5" xfId="32739"/>
    <cellStyle name="注释 2 5 11 5 2" xfId="32740"/>
    <cellStyle name="输出 2 7 10 3" xfId="32741"/>
    <cellStyle name="计算 2 7 9 7 5 2" xfId="32742"/>
    <cellStyle name="注释 2 5 11 5 2 2" xfId="32743"/>
    <cellStyle name="输出 2 7 10 3 2" xfId="32744"/>
    <cellStyle name="计算 2 7 9 7 6" xfId="32745"/>
    <cellStyle name="输出 2 11 5 4 3 2" xfId="32746"/>
    <cellStyle name="注释 2 5 11 5 3" xfId="32747"/>
    <cellStyle name="输出 2 7 10 4" xfId="32748"/>
    <cellStyle name="注释 2 3 8 10" xfId="32749"/>
    <cellStyle name="计算 2 7 9 8 2" xfId="32750"/>
    <cellStyle name="注释 2 3 8 10 2" xfId="32751"/>
    <cellStyle name="计算 2 7 9 8 2 2" xfId="32752"/>
    <cellStyle name="检查单元格 2 3 6 3 3" xfId="32753"/>
    <cellStyle name="注释 2 3 8 11" xfId="32754"/>
    <cellStyle name="计算 2 7 9 8 3" xfId="32755"/>
    <cellStyle name="注释 2 3 8 11 2" xfId="32756"/>
    <cellStyle name="计算 2 7 9 8 3 2" xfId="32757"/>
    <cellStyle name="检查单元格 2 3 6 4 3" xfId="32758"/>
    <cellStyle name="注释 2 3 8 12 2" xfId="32759"/>
    <cellStyle name="计算 2 7 9 8 4 2" xfId="32760"/>
    <cellStyle name="检查单元格 2 3 6 5 3" xfId="32761"/>
    <cellStyle name="输出 2 7 11 2 2" xfId="32762"/>
    <cellStyle name="注释 2 8 9 2 2 2" xfId="32763"/>
    <cellStyle name="注释 2 3 8 13" xfId="32764"/>
    <cellStyle name="计算 2 7 9 8 5" xfId="32765"/>
    <cellStyle name="注释 2 5 11 6 2" xfId="32766"/>
    <cellStyle name="输出 2 7 11 3" xfId="32767"/>
    <cellStyle name="计算 2 7 9 9 2" xfId="32768"/>
    <cellStyle name="计算 2 8" xfId="32769"/>
    <cellStyle name="计算 2 8 10" xfId="32770"/>
    <cellStyle name="计算 2 8 10 14" xfId="32771"/>
    <cellStyle name="注释 2 5 5 4 4 2" xfId="32772"/>
    <cellStyle name="计算 2 8 10 15" xfId="32773"/>
    <cellStyle name="计算 2 8 10 2 2" xfId="32774"/>
    <cellStyle name="计算 2 8 10 2 2 2" xfId="32775"/>
    <cellStyle name="计算 2 8 10 2 3 2" xfId="32776"/>
    <cellStyle name="计算 2 8 10 2 4 2" xfId="32777"/>
    <cellStyle name="计算 2 8 10 2 5" xfId="32778"/>
    <cellStyle name="输入 2 10 3 6 4 2" xfId="32779"/>
    <cellStyle name="计算 2 8 10 2 5 2" xfId="32780"/>
    <cellStyle name="计算 2 8 10 2 6" xfId="32781"/>
    <cellStyle name="计算 2 8 10 2 9" xfId="32782"/>
    <cellStyle name="输出 2 3 4 11" xfId="32783"/>
    <cellStyle name="计算 2 8 10 3 2" xfId="32784"/>
    <cellStyle name="输出 2 3 4 11 2" xfId="32785"/>
    <cellStyle name="计算 2 8 10 3 2 2" xfId="32786"/>
    <cellStyle name="输出 2 3 4 12 2" xfId="32787"/>
    <cellStyle name="计算 2 8 10 3 3 2" xfId="32788"/>
    <cellStyle name="输出 2 6 7 5 3 2" xfId="32789"/>
    <cellStyle name="输出 2 3 4 13" xfId="32790"/>
    <cellStyle name="计算 2 8 10 3 4" xfId="32791"/>
    <cellStyle name="计算 2 8 3 4 3 2" xfId="32792"/>
    <cellStyle name="输入 2 12 8 5" xfId="32793"/>
    <cellStyle name="计算 2 8 10 3 4 2" xfId="32794"/>
    <cellStyle name="输出 2 3 4 14" xfId="32795"/>
    <cellStyle name="计算 2 8 10 3 5" xfId="32796"/>
    <cellStyle name="输入 2 10 3 6 5 2" xfId="32797"/>
    <cellStyle name="计算 2 8 10 3 5 2" xfId="32798"/>
    <cellStyle name="输出 2 3 4 15" xfId="32799"/>
    <cellStyle name="计算 2 8 10 3 6" xfId="32800"/>
    <cellStyle name="计算 2 8 10 4 2" xfId="32801"/>
    <cellStyle name="计算 2 8 10 4 2 2" xfId="32802"/>
    <cellStyle name="计算 2 8 10 4 3 2" xfId="32803"/>
    <cellStyle name="输出 2 6 7 5 4 2" xfId="32804"/>
    <cellStyle name="计算 2 8 10 4 4" xfId="32805"/>
    <cellStyle name="计算 2 8 3 4 4 2" xfId="32806"/>
    <cellStyle name="输入 2 12 9 5" xfId="32807"/>
    <cellStyle name="计算 2 8 10 4 4 2" xfId="32808"/>
    <cellStyle name="计算 2 8 10 4 5" xfId="32809"/>
    <cellStyle name="计算 2 8 10 4 5 2" xfId="32810"/>
    <cellStyle name="计算 2 8 10 4 6" xfId="32811"/>
    <cellStyle name="计算 2 8 10 5 2" xfId="32812"/>
    <cellStyle name="计算 2 8 10 5 2 2" xfId="32813"/>
    <cellStyle name="计算 2 8 10 5 3 2" xfId="32814"/>
    <cellStyle name="计算 2 8 10 5 4 2" xfId="32815"/>
    <cellStyle name="计算 2 8 10 5 5" xfId="32816"/>
    <cellStyle name="计算 2 8 10 5 5 2" xfId="32817"/>
    <cellStyle name="计算 2 8 10 5 6" xfId="32818"/>
    <cellStyle name="计算 2 8 10 6" xfId="32819"/>
    <cellStyle name="计算 2 8 10 6 2" xfId="32820"/>
    <cellStyle name="计算 2 8 10 6 2 2" xfId="32821"/>
    <cellStyle name="注释 2 5 6 15" xfId="32822"/>
    <cellStyle name="计算 2 8 10 7" xfId="32823"/>
    <cellStyle name="计算 2 8 10 7 2" xfId="32824"/>
    <cellStyle name="计算 2 8 10 7 2 2" xfId="32825"/>
    <cellStyle name="计算 2 8 11 4 3 2" xfId="32826"/>
    <cellStyle name="计算 2 8 10 7 3" xfId="32827"/>
    <cellStyle name="计算 2 8 10 7 3 2" xfId="32828"/>
    <cellStyle name="计算 2 8 10 7 4 2" xfId="32829"/>
    <cellStyle name="计算 2 8 10 7 5" xfId="32830"/>
    <cellStyle name="计算 2 8 10 7 5 2" xfId="32831"/>
    <cellStyle name="输出 2 12 5 4 2 2" xfId="32832"/>
    <cellStyle name="计算 2 8 10 8" xfId="32833"/>
    <cellStyle name="注释 2 7 19 4 2" xfId="32834"/>
    <cellStyle name="输出 2 3 5 11" xfId="32835"/>
    <cellStyle name="计算 2 8 10 8 2" xfId="32836"/>
    <cellStyle name="输出 2 3 5 11 2" xfId="32837"/>
    <cellStyle name="计算 2 8 10 8 2 2" xfId="32838"/>
    <cellStyle name="输出 2 3 5 12" xfId="32839"/>
    <cellStyle name="计算 2 8 11 4 4 2" xfId="32840"/>
    <cellStyle name="计算 2 8 10 8 3" xfId="32841"/>
    <cellStyle name="输出 2 3 5 12 2" xfId="32842"/>
    <cellStyle name="计算 2 8 10 8 3 2" xfId="32843"/>
    <cellStyle name="计算 2 8 10 8 4 2" xfId="32844"/>
    <cellStyle name="输出 2 3 5 14" xfId="32845"/>
    <cellStyle name="计算 2 8 10 8 5" xfId="32846"/>
    <cellStyle name="计算 2 8 10 9" xfId="32847"/>
    <cellStyle name="计算 2 8 10 9 2" xfId="32848"/>
    <cellStyle name="计算 2 8 11" xfId="32849"/>
    <cellStyle name="计算 2 8 11 10 2" xfId="32850"/>
    <cellStyle name="计算 2 8 11 11" xfId="32851"/>
    <cellStyle name="计算 2 8 11 11 2" xfId="32852"/>
    <cellStyle name="计算 2 8 11 12" xfId="32853"/>
    <cellStyle name="注释 2 3 11 3 5 2" xfId="32854"/>
    <cellStyle name="计算 2 8 11 12 2" xfId="32855"/>
    <cellStyle name="输出 2 2 3 2 3" xfId="32856"/>
    <cellStyle name="计算 2 8 11 14" xfId="32857"/>
    <cellStyle name="输出 2 2 3 2 4" xfId="32858"/>
    <cellStyle name="计算 2 8 11 15" xfId="32859"/>
    <cellStyle name="输出 2 2 3 2 5" xfId="32860"/>
    <cellStyle name="注释 2 6 3 6 2 2" xfId="32861"/>
    <cellStyle name="计算 2 8 11 16" xfId="32862"/>
    <cellStyle name="计算 2 8 11 2 2 2" xfId="32863"/>
    <cellStyle name="计算 2 8 11 2 3 2" xfId="32864"/>
    <cellStyle name="计算 2 8 11 2 4 2" xfId="32865"/>
    <cellStyle name="检查单元格 2 8 3 10" xfId="32866"/>
    <cellStyle name="输入 2 13 7 6" xfId="32867"/>
    <cellStyle name="计算 2 8 11 2 5" xfId="32868"/>
    <cellStyle name="输入 2 10 3 7 4 2" xfId="32869"/>
    <cellStyle name="注释 2 4 4 10 2" xfId="32870"/>
    <cellStyle name="计算 2 8 11 2 5 2" xfId="32871"/>
    <cellStyle name="检查单元格 2 8 3 11" xfId="32872"/>
    <cellStyle name="计算 2 8 11 2 6" xfId="32873"/>
    <cellStyle name="计算 2 8 11 3" xfId="32874"/>
    <cellStyle name="注释 2 3 8 2 4 2" xfId="32875"/>
    <cellStyle name="输出 2 3 9 11 2" xfId="32876"/>
    <cellStyle name="计算 2 8 11 3 2 2" xfId="32877"/>
    <cellStyle name="输出 2 3 9 12 2" xfId="32878"/>
    <cellStyle name="计算 2 8 11 3 3 2" xfId="32879"/>
    <cellStyle name="输出 2 6 7 6 3 2" xfId="32880"/>
    <cellStyle name="输出 2 3 9 13" xfId="32881"/>
    <cellStyle name="计算 2 8 11 3 4" xfId="32882"/>
    <cellStyle name="计算 2 8 3 5 3 2" xfId="32883"/>
    <cellStyle name="输入 2 13 8 5" xfId="32884"/>
    <cellStyle name="计算 2 8 11 3 4 2" xfId="32885"/>
    <cellStyle name="输出 2 3 9 14" xfId="32886"/>
    <cellStyle name="计算 2 8 11 3 5" xfId="32887"/>
    <cellStyle name="输入 2 10 3 7 5 2" xfId="32888"/>
    <cellStyle name="注释 2 4 4 11 2" xfId="32889"/>
    <cellStyle name="计算 2 8 11 3 5 2" xfId="32890"/>
    <cellStyle name="计算 2 8 11 4" xfId="32891"/>
    <cellStyle name="注释 2 10 2 7 4 2" xfId="32892"/>
    <cellStyle name="输出 2 6 7 6 4 2" xfId="32893"/>
    <cellStyle name="计算 2 8 11 4 4" xfId="32894"/>
    <cellStyle name="计算 2 8 3 5 4 2" xfId="32895"/>
    <cellStyle name="计算 2 8 11 4 5" xfId="32896"/>
    <cellStyle name="注释 2 4 4 12 2" xfId="32897"/>
    <cellStyle name="计算 2 8 11 4 5 2" xfId="32898"/>
    <cellStyle name="计算 2 8 11 4 6" xfId="32899"/>
    <cellStyle name="计算 2 8 11 5" xfId="32900"/>
    <cellStyle name="计算 2 8 11 5 2" xfId="32901"/>
    <cellStyle name="计算 2 8 11 6 3" xfId="32902"/>
    <cellStyle name="计算 2 8 11 5 2 2" xfId="32903"/>
    <cellStyle name="计算 2 8 11 5 3" xfId="32904"/>
    <cellStyle name="计算 2 8 11 7 3" xfId="32905"/>
    <cellStyle name="计算 2 8 11 5 3 2" xfId="32906"/>
    <cellStyle name="计算 2 8 11 8 3" xfId="32907"/>
    <cellStyle name="计算 2 8 11 5 4 2" xfId="32908"/>
    <cellStyle name="计算 2 8 11 5 5" xfId="32909"/>
    <cellStyle name="计算 2 8 11 5 5 2" xfId="32910"/>
    <cellStyle name="计算 2 8 11 5 6" xfId="32911"/>
    <cellStyle name="计算 2 8 11 6" xfId="32912"/>
    <cellStyle name="计算 2 8 11 6 2" xfId="32913"/>
    <cellStyle name="计算 2 8 11 6 2 2" xfId="32914"/>
    <cellStyle name="计算 2 8 11 6 3 2" xfId="32915"/>
    <cellStyle name="计算 2 8 11 6 4 2" xfId="32916"/>
    <cellStyle name="计算 2 8 11 6 5" xfId="32917"/>
    <cellStyle name="计算 2 8 11 6 5 2" xfId="32918"/>
    <cellStyle name="计算 2 8 11 7" xfId="32919"/>
    <cellStyle name="计算 2 8 11 7 2" xfId="32920"/>
    <cellStyle name="计算 2 8 11 7 2 2" xfId="32921"/>
    <cellStyle name="计算 2 8 11 7 3 2" xfId="32922"/>
    <cellStyle name="计算 2 8 11 7 4 2" xfId="32923"/>
    <cellStyle name="检查单元格 2 8 4 10" xfId="32924"/>
    <cellStyle name="计算 2 8 11 7 5" xfId="32925"/>
    <cellStyle name="计算 2 8 11 7 5 2" xfId="32926"/>
    <cellStyle name="输出 2 12 5 4 3 2" xfId="32927"/>
    <cellStyle name="计算 2 8 11 8" xfId="32928"/>
    <cellStyle name="计算 2 8 11 8 2" xfId="32929"/>
    <cellStyle name="计算 2 8 11 8 2 2" xfId="32930"/>
    <cellStyle name="计算 2 8 11 8 3 2" xfId="32931"/>
    <cellStyle name="计算 2 8 11 8 4 2" xfId="32932"/>
    <cellStyle name="计算 2 8 11 8 5" xfId="32933"/>
    <cellStyle name="计算 2 8 11 9" xfId="32934"/>
    <cellStyle name="计算 2 8 11 9 2" xfId="32935"/>
    <cellStyle name="计算 2 8 12 2 2" xfId="32936"/>
    <cellStyle name="注释 2 3 2 2 6" xfId="32937"/>
    <cellStyle name="计算 2 8 12 3" xfId="32938"/>
    <cellStyle name="注释 2 3 8 2 5 2" xfId="32939"/>
    <cellStyle name="计算 2 8 12 3 2" xfId="32940"/>
    <cellStyle name="注释 2 3 2 3 6" xfId="32941"/>
    <cellStyle name="计算 2 8 12 4" xfId="32942"/>
    <cellStyle name="注释 2 10 2 7 5 2" xfId="32943"/>
    <cellStyle name="计算 2 8 12 4 2" xfId="32944"/>
    <cellStyle name="注释 2 3 2 4 6" xfId="32945"/>
    <cellStyle name="输出 2 6 8 10" xfId="32946"/>
    <cellStyle name="计算 2 8 12 5" xfId="32947"/>
    <cellStyle name="输出 2 6 8 10 2" xfId="32948"/>
    <cellStyle name="计算 2 8 12 5 2" xfId="32949"/>
    <cellStyle name="注释 2 3 2 5 6" xfId="32950"/>
    <cellStyle name="输出 2 6 8 11" xfId="32951"/>
    <cellStyle name="计算 2 8 12 6" xfId="32952"/>
    <cellStyle name="输出 2 6 8 12" xfId="32953"/>
    <cellStyle name="计算 2 8 12 7" xfId="32954"/>
    <cellStyle name="注释 2 9 9 2 2 2" xfId="32955"/>
    <cellStyle name="输出 2 6 8 13" xfId="32956"/>
    <cellStyle name="输出 2 12 5 4 4 2" xfId="32957"/>
    <cellStyle name="计算 2 8 12 8" xfId="32958"/>
    <cellStyle name="输出 2 6 8 14" xfId="32959"/>
    <cellStyle name="计算 2 8 12 9" xfId="32960"/>
    <cellStyle name="计算 2 8 13 2 2" xfId="32961"/>
    <cellStyle name="注释 2 3 3 2 6" xfId="32962"/>
    <cellStyle name="计算 2 8 13 3 2" xfId="32963"/>
    <cellStyle name="注释 2 3 3 3 6" xfId="32964"/>
    <cellStyle name="计算 2 8 13 4" xfId="32965"/>
    <cellStyle name="计算 2 8 13 4 2" xfId="32966"/>
    <cellStyle name="注释 2 3 3 4 6" xfId="32967"/>
    <cellStyle name="计算 2 8 13 5" xfId="32968"/>
    <cellStyle name="计算 2 8 13 5 2" xfId="32969"/>
    <cellStyle name="注释 2 3 3 5 6" xfId="32970"/>
    <cellStyle name="计算 2 8 14 2 2" xfId="32971"/>
    <cellStyle name="注释 2 3 4 2 6" xfId="32972"/>
    <cellStyle name="计算 2 8 14 3 2" xfId="32973"/>
    <cellStyle name="注释 2 3 4 3 6" xfId="32974"/>
    <cellStyle name="计算 2 8 14 4" xfId="32975"/>
    <cellStyle name="计算 2 8 14 4 2" xfId="32976"/>
    <cellStyle name="注释 2 3 4 4 6" xfId="32977"/>
    <cellStyle name="计算 2 8 14 5" xfId="32978"/>
    <cellStyle name="计算 2 8 15 2 2" xfId="32979"/>
    <cellStyle name="注释 2 3 5 2 6" xfId="32980"/>
    <cellStyle name="输出 2 4 4 11" xfId="32981"/>
    <cellStyle name="计算 2 8 15 3 2" xfId="32982"/>
    <cellStyle name="注释 2 3 5 3 6" xfId="32983"/>
    <cellStyle name="计算 2 8 15 4" xfId="32984"/>
    <cellStyle name="计算 2 8 15 4 2" xfId="32985"/>
    <cellStyle name="注释 2 3 5 4 6" xfId="32986"/>
    <cellStyle name="计算 2 8 15 5 2" xfId="32987"/>
    <cellStyle name="注释 2 3 5 5 6" xfId="32988"/>
    <cellStyle name="计算 2 8 16 4" xfId="32989"/>
    <cellStyle name="计算 2 8 16 5 2" xfId="32990"/>
    <cellStyle name="注释 2 3 6 5 6" xfId="32991"/>
    <cellStyle name="检查单元格 2 10 5 2 8" xfId="32992"/>
    <cellStyle name="计算 2 8 23" xfId="32993"/>
    <cellStyle name="计算 2 8 18" xfId="32994"/>
    <cellStyle name="注释 2 12 7 2 5 2" xfId="32995"/>
    <cellStyle name="检查单元格 2 10 5 2 9" xfId="32996"/>
    <cellStyle name="输出 2 8 4 6 5 2" xfId="32997"/>
    <cellStyle name="计算 2 8 24" xfId="32998"/>
    <cellStyle name="计算 2 8 19" xfId="32999"/>
    <cellStyle name="计算 2 8 9 2 6" xfId="33000"/>
    <cellStyle name="计算 2 8 2 10 2" xfId="33001"/>
    <cellStyle name="输出 2 6 6 16" xfId="33002"/>
    <cellStyle name="输入 2 3 17 3 2" xfId="33003"/>
    <cellStyle name="计算 2 8 2 11" xfId="33004"/>
    <cellStyle name="计算 2 8 9 3 6" xfId="33005"/>
    <cellStyle name="计算 2 8 2 11 2" xfId="33006"/>
    <cellStyle name="注释 2 8 7 14" xfId="33007"/>
    <cellStyle name="计算 2 8 2 12" xfId="33008"/>
    <cellStyle name="计算 2 8 9 4 6" xfId="33009"/>
    <cellStyle name="计算 2 8 2 12 2" xfId="33010"/>
    <cellStyle name="输出 2 11 6 4 2" xfId="33011"/>
    <cellStyle name="计算 2 8 2 14" xfId="33012"/>
    <cellStyle name="输出 2 12 7 6 5 2" xfId="33013"/>
    <cellStyle name="输出 2 11 6 4 3" xfId="33014"/>
    <cellStyle name="计算 2 8 2 15" xfId="33015"/>
    <cellStyle name="输出 2 11 6 4 4" xfId="33016"/>
    <cellStyle name="计算 2 8 2 16" xfId="33017"/>
    <cellStyle name="输出 2 6 6 3" xfId="33018"/>
    <cellStyle name="输出 2 11 3 3 5 2" xfId="33019"/>
    <cellStyle name="计算 2 8 2 2" xfId="33020"/>
    <cellStyle name="输出 2 6 6 3 2" xfId="33021"/>
    <cellStyle name="检查单元格 2 6 8 3" xfId="33022"/>
    <cellStyle name="计算 2 8 2 2 2" xfId="33023"/>
    <cellStyle name="输出 2 6 6 3 2 2" xfId="33024"/>
    <cellStyle name="输出 2 3 11 7 3" xfId="33025"/>
    <cellStyle name="检查单元格 2 6 8 3 2" xfId="33026"/>
    <cellStyle name="计算 2 8 2 2 2 2" xfId="33027"/>
    <cellStyle name="输出 2 6 6 3 3" xfId="33028"/>
    <cellStyle name="检查单元格 2 6 8 4" xfId="33029"/>
    <cellStyle name="输出 2 4 10 10" xfId="33030"/>
    <cellStyle name="计算 2 8 2 2 3" xfId="33031"/>
    <cellStyle name="输出 2 6 6 3 3 2" xfId="33032"/>
    <cellStyle name="输出 2 3 11 8 3" xfId="33033"/>
    <cellStyle name="检查单元格 2 6 8 4 2" xfId="33034"/>
    <cellStyle name="输出 2 4 10 10 2" xfId="33035"/>
    <cellStyle name="计算 2 8 2 2 3 2" xfId="33036"/>
    <cellStyle name="输出 2 6 6 3 4" xfId="33037"/>
    <cellStyle name="检查单元格 2 6 8 5" xfId="33038"/>
    <cellStyle name="输出 2 4 10 11" xfId="33039"/>
    <cellStyle name="计算 2 8 2 2 4" xfId="33040"/>
    <cellStyle name="输出 2 6 6 3 4 2" xfId="33041"/>
    <cellStyle name="检查单元格 2 6 8 5 2" xfId="33042"/>
    <cellStyle name="输出 2 4 10 11 2" xfId="33043"/>
    <cellStyle name="计算 2 8 2 2 4 2" xfId="33044"/>
    <cellStyle name="输出 2 6 6 4" xfId="33045"/>
    <cellStyle name="计算 2 8 2 3" xfId="33046"/>
    <cellStyle name="输出 2 6 6 4 3 2" xfId="33047"/>
    <cellStyle name="检查单元格 2 6 9 4 2" xfId="33048"/>
    <cellStyle name="计算 2 8 2 3 3 2" xfId="33049"/>
    <cellStyle name="输出 2 6 6 4 4 2" xfId="33050"/>
    <cellStyle name="检查单元格 2 6 9 5 2" xfId="33051"/>
    <cellStyle name="计算 2 8 2 3 4 2" xfId="33052"/>
    <cellStyle name="输出 2 6 6 5" xfId="33053"/>
    <cellStyle name="计算 2 8 2 4" xfId="33054"/>
    <cellStyle name="输出 2 6 6 5 4" xfId="33055"/>
    <cellStyle name="计算 2 8 2 4 4" xfId="33056"/>
    <cellStyle name="输出 2 6 6 5 4 2" xfId="33057"/>
    <cellStyle name="计算 2 8 2 4 4 2" xfId="33058"/>
    <cellStyle name="输出 2 6 6 6" xfId="33059"/>
    <cellStyle name="计算 2 8 2 5" xfId="33060"/>
    <cellStyle name="输出 2 6 6 6 3 2" xfId="33061"/>
    <cellStyle name="计算 2 8 2 5 3 2" xfId="33062"/>
    <cellStyle name="输出 2 6 6 6 4" xfId="33063"/>
    <cellStyle name="计算 2 8 2 5 4" xfId="33064"/>
    <cellStyle name="输出 2 6 6 6 4 2" xfId="33065"/>
    <cellStyle name="计算 2 8 2 5 4 2" xfId="33066"/>
    <cellStyle name="输出 2 6 6 7" xfId="33067"/>
    <cellStyle name="输入 2 2 9 3 2" xfId="33068"/>
    <cellStyle name="计算 2 8 2 6" xfId="33069"/>
    <cellStyle name="输出 2 6 6 7 3 2" xfId="33070"/>
    <cellStyle name="计算 2 8 2 6 3 2" xfId="33071"/>
    <cellStyle name="输出 2 6 6 7 4" xfId="33072"/>
    <cellStyle name="输出 2 4 10 6 2 2" xfId="33073"/>
    <cellStyle name="计算 2 8 2 6 4" xfId="33074"/>
    <cellStyle name="输出 2 6 6 7 4 2" xfId="33075"/>
    <cellStyle name="计算 2 8 2 6 4 2" xfId="33076"/>
    <cellStyle name="输出 2 6 6 8 3 2" xfId="33077"/>
    <cellStyle name="输入 2 13 6" xfId="33078"/>
    <cellStyle name="输出 2 4 11 10 2" xfId="33079"/>
    <cellStyle name="计算 2 8 2 7 3 2" xfId="33080"/>
    <cellStyle name="输出 2 6 6 8 4" xfId="33081"/>
    <cellStyle name="输出 2 4 11 11" xfId="33082"/>
    <cellStyle name="输出 2 4 10 6 3 2" xfId="33083"/>
    <cellStyle name="计算 2 8 2 7 4" xfId="33084"/>
    <cellStyle name="输出 2 6 6 8 4 2" xfId="33085"/>
    <cellStyle name="输出 2 4 11 11 2" xfId="33086"/>
    <cellStyle name="计算 2 8 2 7 4 2" xfId="33087"/>
    <cellStyle name="输出 2 6 6 9" xfId="33088"/>
    <cellStyle name="输入 2 2 9 3 4" xfId="33089"/>
    <cellStyle name="注释 2 4 4 7 3 2" xfId="33090"/>
    <cellStyle name="计算 2 8 2 8" xfId="33091"/>
    <cellStyle name="计算 2 8 2 8 3 2" xfId="33092"/>
    <cellStyle name="输出 2 4 10 6 4 2" xfId="33093"/>
    <cellStyle name="计算 2 8 2 8 4" xfId="33094"/>
    <cellStyle name="计算 2 8 2 8 4 2" xfId="33095"/>
    <cellStyle name="计算 2 9 6 7 3 2" xfId="33096"/>
    <cellStyle name="计算 2 8 2 9" xfId="33097"/>
    <cellStyle name="计算 2 8 26" xfId="33098"/>
    <cellStyle name="注释 2 3 4 4 5 2" xfId="33099"/>
    <cellStyle name="输出 2 6 7 15" xfId="33100"/>
    <cellStyle name="输出 2 9 8 8 4 2" xfId="33101"/>
    <cellStyle name="计算 2 8 3 10" xfId="33102"/>
    <cellStyle name="输入 2 6 8 4 2" xfId="33103"/>
    <cellStyle name="计算 2 8 3 10 2" xfId="33104"/>
    <cellStyle name="输入 2 6 8 4 2 2" xfId="33105"/>
    <cellStyle name="计算 2 8 3 11 2" xfId="33106"/>
    <cellStyle name="输入 2 6 8 4 3 2" xfId="33107"/>
    <cellStyle name="注释 2 9 7 14" xfId="33108"/>
    <cellStyle name="计算 2 8 3 12" xfId="33109"/>
    <cellStyle name="输入 2 6 8 4 4" xfId="33110"/>
    <cellStyle name="注释 2 4 8 6 4 2" xfId="33111"/>
    <cellStyle name="检查单元格 2 5 5 2 7" xfId="33112"/>
    <cellStyle name="计算 2 8 3 12 2" xfId="33113"/>
    <cellStyle name="输入 2 6 8 4 4 2" xfId="33114"/>
    <cellStyle name="计算 2 8 3 13" xfId="33115"/>
    <cellStyle name="输入 2 6 8 4 5" xfId="33116"/>
    <cellStyle name="输出 2 11 6 9 2" xfId="33117"/>
    <cellStyle name="计算 2 8 3 14" xfId="33118"/>
    <cellStyle name="输入 2 6 8 4 6" xfId="33119"/>
    <cellStyle name="计算 2 8 3 15" xfId="33120"/>
    <cellStyle name="检查单元格 2 4 7 3 5 2" xfId="33121"/>
    <cellStyle name="计算 2 8 3 16" xfId="33122"/>
    <cellStyle name="注释 2 8 10 3 2 2" xfId="33123"/>
    <cellStyle name="输出 2 6 7 3" xfId="33124"/>
    <cellStyle name="计算 2 8 3 2" xfId="33125"/>
    <cellStyle name="输出 2 6 7 3 2" xfId="33126"/>
    <cellStyle name="检查单元格 2 7 8 3" xfId="33127"/>
    <cellStyle name="计算 2 8 3 2 2" xfId="33128"/>
    <cellStyle name="输出 2 6 7 3 2 2" xfId="33129"/>
    <cellStyle name="检查单元格 2 7 8 3 2" xfId="33130"/>
    <cellStyle name="计算 2 8 3 2 2 2" xfId="33131"/>
    <cellStyle name="输入 2 10 7 5" xfId="33132"/>
    <cellStyle name="输出 2 6 7 3 3" xfId="33133"/>
    <cellStyle name="检查单元格 2 7 8 4" xfId="33134"/>
    <cellStyle name="计算 2 8 3 2 3" xfId="33135"/>
    <cellStyle name="输出 2 6 7 3 3 2" xfId="33136"/>
    <cellStyle name="检查单元格 2 7 8 4 2" xfId="33137"/>
    <cellStyle name="计算 2 8 3 2 3 2" xfId="33138"/>
    <cellStyle name="输入 2 10 8 5" xfId="33139"/>
    <cellStyle name="输出 2 6 7 3 4" xfId="33140"/>
    <cellStyle name="检查单元格 2 7 8 5" xfId="33141"/>
    <cellStyle name="计算 2 8 3 2 4" xfId="33142"/>
    <cellStyle name="输出 2 6 7 3 4 2" xfId="33143"/>
    <cellStyle name="检查单元格 2 7 8 5 2" xfId="33144"/>
    <cellStyle name="计算 2 8 3 2 4 2" xfId="33145"/>
    <cellStyle name="输入 2 10 9 5" xfId="33146"/>
    <cellStyle name="输出 2 6 7 4" xfId="33147"/>
    <cellStyle name="计算 2 8 3 3" xfId="33148"/>
    <cellStyle name="输出 2 6 7 4 3 2" xfId="33149"/>
    <cellStyle name="检查单元格 2 7 9 4 2" xfId="33150"/>
    <cellStyle name="计算 2 8 3 3 3 2" xfId="33151"/>
    <cellStyle name="输入 2 11 8 5" xfId="33152"/>
    <cellStyle name="注释 2 7 2 11 2" xfId="33153"/>
    <cellStyle name="输出 2 6 7 4 4 2" xfId="33154"/>
    <cellStyle name="检查单元格 2 7 9 5 2" xfId="33155"/>
    <cellStyle name="计算 2 8 3 3 4 2" xfId="33156"/>
    <cellStyle name="输入 2 11 9 5" xfId="33157"/>
    <cellStyle name="注释 2 7 2 12 2" xfId="33158"/>
    <cellStyle name="输出 2 6 7 5" xfId="33159"/>
    <cellStyle name="计算 2 8 3 4" xfId="33160"/>
    <cellStyle name="输出 2 6 7 5 4" xfId="33161"/>
    <cellStyle name="计算 2 8 3 4 4" xfId="33162"/>
    <cellStyle name="输出 2 6 7 6" xfId="33163"/>
    <cellStyle name="计算 2 8 3 5" xfId="33164"/>
    <cellStyle name="输出 2 6 7 6 4" xfId="33165"/>
    <cellStyle name="计算 2 8 3 5 4" xfId="33166"/>
    <cellStyle name="输出 2 6 7 7" xfId="33167"/>
    <cellStyle name="输入 2 2 9 4 2" xfId="33168"/>
    <cellStyle name="计算 2 8 3 6" xfId="33169"/>
    <cellStyle name="输出 2 6 7 7 3 2" xfId="33170"/>
    <cellStyle name="计算 2 8 3 6 3 2" xfId="33171"/>
    <cellStyle name="输出 2 6 7 7 4" xfId="33172"/>
    <cellStyle name="输出 2 4 10 7 2 2" xfId="33173"/>
    <cellStyle name="计算 2 8 3 6 4" xfId="33174"/>
    <cellStyle name="输出 2 6 7 7 4 2" xfId="33175"/>
    <cellStyle name="计算 2 8 3 6 4 2" xfId="33176"/>
    <cellStyle name="输出 2 6 7 8 3 2" xfId="33177"/>
    <cellStyle name="计算 2 8 3 7 3 2" xfId="33178"/>
    <cellStyle name="输出 2 6 7 8 4" xfId="33179"/>
    <cellStyle name="输出 2 4 10 7 3 2" xfId="33180"/>
    <cellStyle name="计算 2 8 3 7 4" xfId="33181"/>
    <cellStyle name="输出 2 6 7 8 4 2" xfId="33182"/>
    <cellStyle name="计算 2 8 3 7 4 2" xfId="33183"/>
    <cellStyle name="输出 2 6 7 9" xfId="33184"/>
    <cellStyle name="输入 2 2 9 4 4" xfId="33185"/>
    <cellStyle name="注释 2 4 4 7 4 2" xfId="33186"/>
    <cellStyle name="计算 2 8 3 8" xfId="33187"/>
    <cellStyle name="计算 2 8 3 8 3 2" xfId="33188"/>
    <cellStyle name="注释 2 7 3 11 2" xfId="33189"/>
    <cellStyle name="输出 2 4 10 7 4 2" xfId="33190"/>
    <cellStyle name="计算 2 8 3 8 4" xfId="33191"/>
    <cellStyle name="注释 2 7 3 12" xfId="33192"/>
    <cellStyle name="计算 2 8 3 8 4 2" xfId="33193"/>
    <cellStyle name="注释 2 7 3 12 2" xfId="33194"/>
    <cellStyle name="计算 2 9 6 7 4 2" xfId="33195"/>
    <cellStyle name="计算 2 8 3 9" xfId="33196"/>
    <cellStyle name="输出 2 6 8 15" xfId="33197"/>
    <cellStyle name="计算 2 8 4 10" xfId="33198"/>
    <cellStyle name="输入 2 6 8 9 2" xfId="33199"/>
    <cellStyle name="计算 2 8 4 10 2" xfId="33200"/>
    <cellStyle name="输入 2 10 10 5" xfId="33201"/>
    <cellStyle name="计算 2 8 4 11 2" xfId="33202"/>
    <cellStyle name="输入 2 10 11 5" xfId="33203"/>
    <cellStyle name="计算 2 8 4 12 2" xfId="33204"/>
    <cellStyle name="输入 2 10 12 5" xfId="33205"/>
    <cellStyle name="计算 2 8 4 13" xfId="33206"/>
    <cellStyle name="计算 2 8 4 14" xfId="33207"/>
    <cellStyle name="计算 2 8 4 16" xfId="33208"/>
    <cellStyle name="输出 2 6 8 3" xfId="33209"/>
    <cellStyle name="计算 2 8 4 2" xfId="33210"/>
    <cellStyle name="输出 2 6 8 3 2" xfId="33211"/>
    <cellStyle name="检查单元格 2 8 8 3" xfId="33212"/>
    <cellStyle name="计算 2 8 4 2 2" xfId="33213"/>
    <cellStyle name="输出 2 6 8 3 2 2" xfId="33214"/>
    <cellStyle name="检查单元格 2 8 8 3 2" xfId="33215"/>
    <cellStyle name="计算 2 8 4 2 2 2" xfId="33216"/>
    <cellStyle name="输出 2 6 8 3 3" xfId="33217"/>
    <cellStyle name="检查单元格 2 8 8 4" xfId="33218"/>
    <cellStyle name="计算 2 8 4 2 3" xfId="33219"/>
    <cellStyle name="输出 2 6 8 3 3 2" xfId="33220"/>
    <cellStyle name="检查单元格 2 8 8 4 2" xfId="33221"/>
    <cellStyle name="计算 2 8 4 2 3 2" xfId="33222"/>
    <cellStyle name="输出 2 6 8 3 4" xfId="33223"/>
    <cellStyle name="检查单元格 2 8 8 5" xfId="33224"/>
    <cellStyle name="计算 2 8 4 2 4" xfId="33225"/>
    <cellStyle name="输出 2 6 8 3 4 2" xfId="33226"/>
    <cellStyle name="检查单元格 2 8 8 5 2" xfId="33227"/>
    <cellStyle name="计算 2 8 4 2 4 2" xfId="33228"/>
    <cellStyle name="输出 2 6 8 4 3 2" xfId="33229"/>
    <cellStyle name="检查单元格 2 8 9 4 2" xfId="33230"/>
    <cellStyle name="计算 2 8 4 3 3 2" xfId="33231"/>
    <cellStyle name="注释 2 7 7 11 2" xfId="33232"/>
    <cellStyle name="输出 2 6 8 4 4 2" xfId="33233"/>
    <cellStyle name="检查单元格 2 8 9 5 2" xfId="33234"/>
    <cellStyle name="计算 2 8 4 3 4 2" xfId="33235"/>
    <cellStyle name="注释 2 7 7 12 2" xfId="33236"/>
    <cellStyle name="输出 2 6 8 5 3 2" xfId="33237"/>
    <cellStyle name="输出 2 8 4 13" xfId="33238"/>
    <cellStyle name="计算 2 8 4 4 3 2" xfId="33239"/>
    <cellStyle name="输出 2 6 8 5 4" xfId="33240"/>
    <cellStyle name="计算 2 8 4 4 4" xfId="33241"/>
    <cellStyle name="输出 2 6 8 5 4 2" xfId="33242"/>
    <cellStyle name="计算 2 8 4 4 4 2" xfId="33243"/>
    <cellStyle name="输出 2 6 8 6 3 2" xfId="33244"/>
    <cellStyle name="输出 2 8 9 13" xfId="33245"/>
    <cellStyle name="计算 2 8 4 5 3 2" xfId="33246"/>
    <cellStyle name="输出 2 6 8 6 4" xfId="33247"/>
    <cellStyle name="计算 2 8 4 5 4" xfId="33248"/>
    <cellStyle name="输出 2 6 8 6 4 2" xfId="33249"/>
    <cellStyle name="计算 2 8 4 5 4 2" xfId="33250"/>
    <cellStyle name="输出 2 6 8 7 3 2" xfId="33251"/>
    <cellStyle name="计算 2 8 4 6 3 2" xfId="33252"/>
    <cellStyle name="输出 2 6 8 7 4" xfId="33253"/>
    <cellStyle name="输出 2 4 10 8 2 2" xfId="33254"/>
    <cellStyle name="计算 2 8 4 6 4" xfId="33255"/>
    <cellStyle name="输出 2 6 8 7 4 2" xfId="33256"/>
    <cellStyle name="计算 2 8 4 6 4 2" xfId="33257"/>
    <cellStyle name="输出 2 6 8 8 3 2" xfId="33258"/>
    <cellStyle name="计算 2 8 4 7 3 2" xfId="33259"/>
    <cellStyle name="输出 2 6 8 8 4" xfId="33260"/>
    <cellStyle name="输出 2 4 10 8 3 2" xfId="33261"/>
    <cellStyle name="计算 2 8 4 7 4" xfId="33262"/>
    <cellStyle name="输出 2 6 8 8 4 2" xfId="33263"/>
    <cellStyle name="计算 2 8 4 7 4 2" xfId="33264"/>
    <cellStyle name="计算 2 8 4 8 3 2" xfId="33265"/>
    <cellStyle name="注释 2 7 8 11 2" xfId="33266"/>
    <cellStyle name="输出 2 4 10 8 4 2" xfId="33267"/>
    <cellStyle name="计算 2 8 4 8 4" xfId="33268"/>
    <cellStyle name="注释 2 7 8 12" xfId="33269"/>
    <cellStyle name="计算 2 8 4 8 4 2" xfId="33270"/>
    <cellStyle name="注释 2 7 8 12 2" xfId="33271"/>
    <cellStyle name="计算 2 8 5" xfId="33272"/>
    <cellStyle name="输出 2 6 9 15" xfId="33273"/>
    <cellStyle name="计算 2 8 5 10" xfId="33274"/>
    <cellStyle name="输入 2 2 10 16" xfId="33275"/>
    <cellStyle name="输出 2 6 9 16" xfId="33276"/>
    <cellStyle name="计算 2 8 5 11" xfId="33277"/>
    <cellStyle name="计算 2 8 5 12" xfId="33278"/>
    <cellStyle name="计算 2 8 5 14" xfId="33279"/>
    <cellStyle name="输出 2 2 5 2 3 2" xfId="33280"/>
    <cellStyle name="计算 2 8 5 15" xfId="33281"/>
    <cellStyle name="计算 2 8 5 16" xfId="33282"/>
    <cellStyle name="输出 2 6 9 3" xfId="33283"/>
    <cellStyle name="计算 2 8 5 2" xfId="33284"/>
    <cellStyle name="输出 2 6 9 3 3 2" xfId="33285"/>
    <cellStyle name="检查单元格 2 9 8 4 2" xfId="33286"/>
    <cellStyle name="输入 2 3 6 12" xfId="33287"/>
    <cellStyle name="计算 2 8 5 2 3 2" xfId="33288"/>
    <cellStyle name="输出 2 6 9 4" xfId="33289"/>
    <cellStyle name="计算 2 8 5 3" xfId="33290"/>
    <cellStyle name="输出 2 6 9 4 3 2" xfId="33291"/>
    <cellStyle name="检查单元格 2 9 9 4 2" xfId="33292"/>
    <cellStyle name="计算 2 8 5 3 3 2" xfId="33293"/>
    <cellStyle name="输出 2 6 9 5 3 2" xfId="33294"/>
    <cellStyle name="计算 2 8 5 4 3 2" xfId="33295"/>
    <cellStyle name="输出 2 6 9 5 4" xfId="33296"/>
    <cellStyle name="计算 2 8 5 4 4" xfId="33297"/>
    <cellStyle name="输出 2 6 9 5 4 2" xfId="33298"/>
    <cellStyle name="计算 2 8 5 4 4 2" xfId="33299"/>
    <cellStyle name="输出 2 6 9 6" xfId="33300"/>
    <cellStyle name="计算 2 8 5 5" xfId="33301"/>
    <cellStyle name="输入 2 8 7 10 2" xfId="33302"/>
    <cellStyle name="输出 2 6 9 6 3 2" xfId="33303"/>
    <cellStyle name="计算 2 8 5 5 3 2" xfId="33304"/>
    <cellStyle name="输出 2 6 9 6 4" xfId="33305"/>
    <cellStyle name="计算 2 8 5 5 4" xfId="33306"/>
    <cellStyle name="输出 2 6 9 6 4 2" xfId="33307"/>
    <cellStyle name="计算 2 8 5 5 4 2" xfId="33308"/>
    <cellStyle name="输出 2 6 9 7" xfId="33309"/>
    <cellStyle name="输入 2 2 9 6 2" xfId="33310"/>
    <cellStyle name="计算 2 8 5 6" xfId="33311"/>
    <cellStyle name="输出 2 6 9 7 3 2" xfId="33312"/>
    <cellStyle name="计算 2 8 5 6 3 2" xfId="33313"/>
    <cellStyle name="输出 2 6 9 7 4" xfId="33314"/>
    <cellStyle name="计算 2 8 5 6 4" xfId="33315"/>
    <cellStyle name="输出 2 6 9 7 4 2" xfId="33316"/>
    <cellStyle name="计算 2 8 5 6 4 2" xfId="33317"/>
    <cellStyle name="输出 2 6 9 8 3 2" xfId="33318"/>
    <cellStyle name="输入 2 4 6 12" xfId="33319"/>
    <cellStyle name="计算 2 8 5 7 3 2" xfId="33320"/>
    <cellStyle name="输出 2 6 9 9" xfId="33321"/>
    <cellStyle name="输入 2 2 9 6 4" xfId="33322"/>
    <cellStyle name="计算 2 8 5 8" xfId="33323"/>
    <cellStyle name="计算 2 8 5 8 3 2" xfId="33324"/>
    <cellStyle name="计算 2 8 5 8 4" xfId="33325"/>
    <cellStyle name="计算 2 8 6 10" xfId="33326"/>
    <cellStyle name="输入 2 2 11 16" xfId="33327"/>
    <cellStyle name="检查单元格 2 5 3 3 2 2" xfId="33328"/>
    <cellStyle name="计算 2 8 6 11" xfId="33329"/>
    <cellStyle name="计算 2 8 6 12" xfId="33330"/>
    <cellStyle name="输入 2 9 3 3 4 2" xfId="33331"/>
    <cellStyle name="计算 2 8 6 2" xfId="33332"/>
    <cellStyle name="计算 2 8 6 2 3 2" xfId="33333"/>
    <cellStyle name="计算 2 9 3 15" xfId="33334"/>
    <cellStyle name="计算 2 8 6 2 4 2" xfId="33335"/>
    <cellStyle name="计算 2 8 6 3" xfId="33336"/>
    <cellStyle name="计算 2 8 6 4 3 2" xfId="33337"/>
    <cellStyle name="注释 2 11 5 15" xfId="33338"/>
    <cellStyle name="计算 2 8 6 4 4" xfId="33339"/>
    <cellStyle name="计算 2 8 6 4 4 2" xfId="33340"/>
    <cellStyle name="计算 2 8 6 5" xfId="33341"/>
    <cellStyle name="输入 2 8 7 11 2" xfId="33342"/>
    <cellStyle name="计算 2 8 6 5 3 2" xfId="33343"/>
    <cellStyle name="计算 2 8 6 5 4" xfId="33344"/>
    <cellStyle name="计算 2 8 6 5 4 2" xfId="33345"/>
    <cellStyle name="计算 2 8 6 6" xfId="33346"/>
    <cellStyle name="计算 2 8 6 6 3 2" xfId="33347"/>
    <cellStyle name="计算 2 8 6 6 4" xfId="33348"/>
    <cellStyle name="计算 2 8 6 6 4 2" xfId="33349"/>
    <cellStyle name="计算 2 8 6 7 3 2" xfId="33350"/>
    <cellStyle name="计算 2 8 6 7 4 2" xfId="33351"/>
    <cellStyle name="计算 2 8 6 8" xfId="33352"/>
    <cellStyle name="计算 2 8 7" xfId="33353"/>
    <cellStyle name="输出 2 11 7 4 4" xfId="33354"/>
    <cellStyle name="计算 2 8 7 16" xfId="33355"/>
    <cellStyle name="计算 2 8 7 2" xfId="33356"/>
    <cellStyle name="计算 2 8 7 2 2" xfId="33357"/>
    <cellStyle name="输出 2 4 11 7 3" xfId="33358"/>
    <cellStyle name="计算 2 8 7 2 2 2" xfId="33359"/>
    <cellStyle name="计算 2 8 7 2 3" xfId="33360"/>
    <cellStyle name="输出 2 4 11 8 3" xfId="33361"/>
    <cellStyle name="计算 2 8 7 2 3 2" xfId="33362"/>
    <cellStyle name="计算 2 8 7 2 4" xfId="33363"/>
    <cellStyle name="计算 2 8 7 2 4 2" xfId="33364"/>
    <cellStyle name="计算 2 8 7 2 5" xfId="33365"/>
    <cellStyle name="计算 2 8 7 2 5 2" xfId="33366"/>
    <cellStyle name="计算 2 8 7 2 6" xfId="33367"/>
    <cellStyle name="计算 2 8 7 2 7" xfId="33368"/>
    <cellStyle name="计算 2 8 7 2 8" xfId="33369"/>
    <cellStyle name="计算 2 8 7 2 9" xfId="33370"/>
    <cellStyle name="计算 2 8 7 3" xfId="33371"/>
    <cellStyle name="计算 2 8 7 3 3 2" xfId="33372"/>
    <cellStyle name="计算 2 8 7 3 4 2" xfId="33373"/>
    <cellStyle name="计算 2 8 7 3 5 2" xfId="33374"/>
    <cellStyle name="输出 2 2 22" xfId="33375"/>
    <cellStyle name="输出 2 2 17" xfId="33376"/>
    <cellStyle name="计算 2 8 7 4 4" xfId="33377"/>
    <cellStyle name="输出 2 2 22 2" xfId="33378"/>
    <cellStyle name="输出 2 2 17 2" xfId="33379"/>
    <cellStyle name="计算 2 8 7 4 4 2" xfId="33380"/>
    <cellStyle name="输出 2 2 23" xfId="33381"/>
    <cellStyle name="输出 2 2 18" xfId="33382"/>
    <cellStyle name="输入 2 2 17 2" xfId="33383"/>
    <cellStyle name="输入 2 2 22 2" xfId="33384"/>
    <cellStyle name="计算 2 8 7 4 5" xfId="33385"/>
    <cellStyle name="输出 2 2 23 2" xfId="33386"/>
    <cellStyle name="输出 2 2 18 2" xfId="33387"/>
    <cellStyle name="输入 2 2 17 2 2" xfId="33388"/>
    <cellStyle name="计算 2 8 7 4 5 2" xfId="33389"/>
    <cellStyle name="输出 2 2 24" xfId="33390"/>
    <cellStyle name="输出 2 2 19" xfId="33391"/>
    <cellStyle name="输入 2 2 17 3" xfId="33392"/>
    <cellStyle name="计算 2 8 7 4 6" xfId="33393"/>
    <cellStyle name="计算 2 8 7 5" xfId="33394"/>
    <cellStyle name="输入 2 8 7 12 2" xfId="33395"/>
    <cellStyle name="计算 2 8 7 5 3 2" xfId="33396"/>
    <cellStyle name="计算 2 8 7 5 4" xfId="33397"/>
    <cellStyle name="检查单元格 2 5" xfId="33398"/>
    <cellStyle name="计算 2 8 7 5 4 2" xfId="33399"/>
    <cellStyle name="计算 2 8 7 5 5" xfId="33400"/>
    <cellStyle name="计算 2 8 7 5 5 2" xfId="33401"/>
    <cellStyle name="输入 2 5 10 2 3" xfId="33402"/>
    <cellStyle name="计算 2 8 7 6" xfId="33403"/>
    <cellStyle name="计算 2 8 7 6 3 2" xfId="33404"/>
    <cellStyle name="计算 2 8 7 6 4" xfId="33405"/>
    <cellStyle name="计算 2 8 7 6 4 2" xfId="33406"/>
    <cellStyle name="计算 2 8 7 6 5" xfId="33407"/>
    <cellStyle name="计算 2 8 7 6 5 2" xfId="33408"/>
    <cellStyle name="输入 2 5 11 2 3" xfId="33409"/>
    <cellStyle name="输出 2 10 7 4 3 2" xfId="33410"/>
    <cellStyle name="计算 2 8 7 7" xfId="33411"/>
    <cellStyle name="计算 2 8 7 7 3 2" xfId="33412"/>
    <cellStyle name="计算 2 8 7 7 4" xfId="33413"/>
    <cellStyle name="计算 2 8 7 7 4 2" xfId="33414"/>
    <cellStyle name="计算 2 8 7 7 5" xfId="33415"/>
    <cellStyle name="计算 2 8 7 7 5 2" xfId="33416"/>
    <cellStyle name="计算 2 8 7 8" xfId="33417"/>
    <cellStyle name="计算 2 8 7 8 3 2" xfId="33418"/>
    <cellStyle name="计算 2 8 7 8 4" xfId="33419"/>
    <cellStyle name="计算 2 8 7 8 4 2" xfId="33420"/>
    <cellStyle name="计算 2 8 7 8 5" xfId="33421"/>
    <cellStyle name="计算 2 8 8" xfId="33422"/>
    <cellStyle name="计算 2 8 8 10" xfId="33423"/>
    <cellStyle name="输入 2 6 10 8 2" xfId="33424"/>
    <cellStyle name="输入 2 6 9 4 2" xfId="33425"/>
    <cellStyle name="计算 2 8 8 10 2" xfId="33426"/>
    <cellStyle name="输入 2 6 10 8 2 2" xfId="33427"/>
    <cellStyle name="输入 2 6 9 4 2 2" xfId="33428"/>
    <cellStyle name="注释 2 11 10 6" xfId="33429"/>
    <cellStyle name="计算 2 8 8 11 2" xfId="33430"/>
    <cellStyle name="输入 2 6 10 8 3 2" xfId="33431"/>
    <cellStyle name="输入 2 6 9 4 3 2" xfId="33432"/>
    <cellStyle name="注释 2 11 11 6" xfId="33433"/>
    <cellStyle name="计算 2 8 8 12" xfId="33434"/>
    <cellStyle name="输入 2 6 10 8 4" xfId="33435"/>
    <cellStyle name="输入 2 6 9 4 4" xfId="33436"/>
    <cellStyle name="注释 2 4 8 7 4 2" xfId="33437"/>
    <cellStyle name="检查单元格 2 6 5 2 7" xfId="33438"/>
    <cellStyle name="计算 2 8 8 12 2" xfId="33439"/>
    <cellStyle name="输入 2 6 10 8 4 2" xfId="33440"/>
    <cellStyle name="输入 2 6 9 4 4 2" xfId="33441"/>
    <cellStyle name="注释 2 11 12 6" xfId="33442"/>
    <cellStyle name="计算 2 8 8 13" xfId="33443"/>
    <cellStyle name="输入 2 6 10 8 5" xfId="33444"/>
    <cellStyle name="输入 2 6 9 4 5" xfId="33445"/>
    <cellStyle name="输出 2 11 7 9 2" xfId="33446"/>
    <cellStyle name="计算 2 8 8 14" xfId="33447"/>
    <cellStyle name="输入 2 6 9 4 6" xfId="33448"/>
    <cellStyle name="计算 2 8 8 15" xfId="33449"/>
    <cellStyle name="检查单元格 2 4 7 4 5 2" xfId="33450"/>
    <cellStyle name="计算 2 8 8 16" xfId="33451"/>
    <cellStyle name="注释 2 8 10 4 2 2" xfId="33452"/>
    <cellStyle name="计算 2 8 8 2" xfId="33453"/>
    <cellStyle name="计算 2 8 8 2 2" xfId="33454"/>
    <cellStyle name="计算 2 8 8 2 2 2" xfId="33455"/>
    <cellStyle name="计算 2 8 8 2 3" xfId="33456"/>
    <cellStyle name="计算 2 8 8 2 3 2" xfId="33457"/>
    <cellStyle name="计算 2 8 8 2 4" xfId="33458"/>
    <cellStyle name="计算 2 8 8 2 4 2" xfId="33459"/>
    <cellStyle name="计算 2 8 8 2 5" xfId="33460"/>
    <cellStyle name="计算 2 8 8 2 5 2" xfId="33461"/>
    <cellStyle name="计算 2 8 8 2 6" xfId="33462"/>
    <cellStyle name="计算 2 8 8 2 7" xfId="33463"/>
    <cellStyle name="计算 2 8 8 2 9" xfId="33464"/>
    <cellStyle name="计算 2 8 8 3" xfId="33465"/>
    <cellStyle name="计算 2 8 8 3 3 2" xfId="33466"/>
    <cellStyle name="注释 2 3 4 12" xfId="33467"/>
    <cellStyle name="注释 2 8 2 11 2" xfId="33468"/>
    <cellStyle name="计算 2 8 8 3 4 2" xfId="33469"/>
    <cellStyle name="注释 2 8 2 12 2" xfId="33470"/>
    <cellStyle name="计算 2 8 8 3 5 2" xfId="33471"/>
    <cellStyle name="输出 2 7 21 2" xfId="33472"/>
    <cellStyle name="输出 2 7 16 2" xfId="33473"/>
    <cellStyle name="计算 2 9 10 3 4" xfId="33474"/>
    <cellStyle name="计算 2 8 8 4 3 2" xfId="33475"/>
    <cellStyle name="注释 2 3 9 12" xfId="33476"/>
    <cellStyle name="输出 2 7 22" xfId="33477"/>
    <cellStyle name="输出 2 7 17" xfId="33478"/>
    <cellStyle name="计算 2 8 8 4 4" xfId="33479"/>
    <cellStyle name="输出 2 7 22 2" xfId="33480"/>
    <cellStyle name="输出 2 7 17 2" xfId="33481"/>
    <cellStyle name="计算 2 9 10 4 4" xfId="33482"/>
    <cellStyle name="计算 2 8 8 4 4 2" xfId="33483"/>
    <cellStyle name="输出 2 7 23" xfId="33484"/>
    <cellStyle name="输出 2 7 18" xfId="33485"/>
    <cellStyle name="计算 2 8 8 4 5" xfId="33486"/>
    <cellStyle name="输出 2 7 23 2" xfId="33487"/>
    <cellStyle name="输出 2 7 18 2" xfId="33488"/>
    <cellStyle name="计算 2 9 10 5 4" xfId="33489"/>
    <cellStyle name="计算 2 8 8 4 5 2" xfId="33490"/>
    <cellStyle name="输出 2 7 24" xfId="33491"/>
    <cellStyle name="输出 2 7 19" xfId="33492"/>
    <cellStyle name="计算 2 8 8 4 6" xfId="33493"/>
    <cellStyle name="计算 2 8 8 5" xfId="33494"/>
    <cellStyle name="计算 2 9 11 3 4" xfId="33495"/>
    <cellStyle name="计算 2 8 8 5 3 2" xfId="33496"/>
    <cellStyle name="计算 2 8 8 5 4" xfId="33497"/>
    <cellStyle name="计算 2 9 11 4 4" xfId="33498"/>
    <cellStyle name="计算 2 8 8 5 4 2" xfId="33499"/>
    <cellStyle name="计算 2 8 8 5 5" xfId="33500"/>
    <cellStyle name="计算 2 9 11 5 4" xfId="33501"/>
    <cellStyle name="计算 2 8 8 5 5 2" xfId="33502"/>
    <cellStyle name="计算 2 8 8 6" xfId="33503"/>
    <cellStyle name="计算 2 8 8 6 3 2" xfId="33504"/>
    <cellStyle name="计算 2 8 8 6 4" xfId="33505"/>
    <cellStyle name="计算 2 8 8 6 4 2" xfId="33506"/>
    <cellStyle name="计算 2 8 8 6 5" xfId="33507"/>
    <cellStyle name="计算 2 8 8 6 5 2" xfId="33508"/>
    <cellStyle name="输出 2 10 7 4 4 2" xfId="33509"/>
    <cellStyle name="计算 2 8 8 7" xfId="33510"/>
    <cellStyle name="计算 2 8 8 7 3 2" xfId="33511"/>
    <cellStyle name="输入 2 10 2 7 6" xfId="33512"/>
    <cellStyle name="计算 2 8 8 7 4" xfId="33513"/>
    <cellStyle name="计算 2 8 8 7 4 2" xfId="33514"/>
    <cellStyle name="计算 2 8 8 7 5" xfId="33515"/>
    <cellStyle name="计算 2 8 8 7 5 2" xfId="33516"/>
    <cellStyle name="计算 2 8 8 8" xfId="33517"/>
    <cellStyle name="计算 2 8 8 8 3 2" xfId="33518"/>
    <cellStyle name="输入 2 10 3 7 6" xfId="33519"/>
    <cellStyle name="注释 2 4 4 12" xfId="33520"/>
    <cellStyle name="注释 2 8 3 11 2" xfId="33521"/>
    <cellStyle name="计算 2 8 8 8 4" xfId="33522"/>
    <cellStyle name="注释 2 8 3 12" xfId="33523"/>
    <cellStyle name="计算 2 8 8 8 4 2" xfId="33524"/>
    <cellStyle name="注释 2 8 3 12 2" xfId="33525"/>
    <cellStyle name="计算 2 8 8 8 5" xfId="33526"/>
    <cellStyle name="注释 2 8 3 13" xfId="33527"/>
    <cellStyle name="计算 2 8 8 9" xfId="33528"/>
    <cellStyle name="计算 2 8 9 10" xfId="33529"/>
    <cellStyle name="输入 2 6 9 9 2" xfId="33530"/>
    <cellStyle name="计算 2 8 9 10 2" xfId="33531"/>
    <cellStyle name="注释 2 12 10 6" xfId="33532"/>
    <cellStyle name="计算 2 8 9 11" xfId="33533"/>
    <cellStyle name="计算 2 8 9 11 2" xfId="33534"/>
    <cellStyle name="注释 2 12 11 6" xfId="33535"/>
    <cellStyle name="计算 2 8 9 12 2" xfId="33536"/>
    <cellStyle name="注释 2 12 12 6" xfId="33537"/>
    <cellStyle name="计算 2 8 9 13" xfId="33538"/>
    <cellStyle name="计算 2 8 9 14" xfId="33539"/>
    <cellStyle name="输出 2 9 2 2 2 2" xfId="33540"/>
    <cellStyle name="计算 2 8 9 15" xfId="33541"/>
    <cellStyle name="计算 2 8 9 16" xfId="33542"/>
    <cellStyle name="计算 2 8 9 2 2" xfId="33543"/>
    <cellStyle name="计算 2 8 9 2 2 2" xfId="33544"/>
    <cellStyle name="计算 2 8 9 2 3" xfId="33545"/>
    <cellStyle name="输出 2 10 8 2 5 2" xfId="33546"/>
    <cellStyle name="计算 2 8 9 2 4" xfId="33547"/>
    <cellStyle name="计算 2 8 9 2 5" xfId="33548"/>
    <cellStyle name="计算 2 8 9 2 7" xfId="33549"/>
    <cellStyle name="计算 2 8 9 2 8" xfId="33550"/>
    <cellStyle name="计算 2 8 9 2 9" xfId="33551"/>
    <cellStyle name="计算 2 8 9 3 2 2" xfId="33552"/>
    <cellStyle name="注释 2 8 7 10 2" xfId="33553"/>
    <cellStyle name="计算 2 8 9 3 3" xfId="33554"/>
    <cellStyle name="注释 2 8 7 11" xfId="33555"/>
    <cellStyle name="计算 2 8 9 3 3 2" xfId="33556"/>
    <cellStyle name="注释 2 8 4 12" xfId="33557"/>
    <cellStyle name="注释 2 8 7 11 2" xfId="33558"/>
    <cellStyle name="计算 2 8 9 3 4" xfId="33559"/>
    <cellStyle name="注释 2 8 7 12" xfId="33560"/>
    <cellStyle name="计算 2 8 9 3 4 2" xfId="33561"/>
    <cellStyle name="注释 2 8 7 12 2" xfId="33562"/>
    <cellStyle name="计算 2 8 9 3 5" xfId="33563"/>
    <cellStyle name="注释 2 8 7 13" xfId="33564"/>
    <cellStyle name="计算 2 8 9 3 5 2" xfId="33565"/>
    <cellStyle name="计算 2 8 9 4 2 2" xfId="33566"/>
    <cellStyle name="计算 2 8 9 4 3" xfId="33567"/>
    <cellStyle name="计算 2 8 9 4 3 2" xfId="33568"/>
    <cellStyle name="注释 2 8 9 12" xfId="33569"/>
    <cellStyle name="计算 2 8 9 4 4" xfId="33570"/>
    <cellStyle name="计算 2 8 9 4 4 2" xfId="33571"/>
    <cellStyle name="计算 2 8 9 4 5" xfId="33572"/>
    <cellStyle name="计算 2 8 9 4 5 2" xfId="33573"/>
    <cellStyle name="计算 2 8 9 5 3" xfId="33574"/>
    <cellStyle name="计算 2 8 9 5 3 2" xfId="33575"/>
    <cellStyle name="计算 2 8 9 5 4" xfId="33576"/>
    <cellStyle name="计算 2 8 9 5 4 2" xfId="33577"/>
    <cellStyle name="计算 2 8 9 5 5" xfId="33578"/>
    <cellStyle name="计算 2 8 9 5 5 2" xfId="33579"/>
    <cellStyle name="计算 2 8 9 5 6" xfId="33580"/>
    <cellStyle name="计算 2 8 9 6 2" xfId="33581"/>
    <cellStyle name="计算 2 8 9 6 3" xfId="33582"/>
    <cellStyle name="计算 2 8 9 6 3 2" xfId="33583"/>
    <cellStyle name="计算 2 8 9 6 4" xfId="33584"/>
    <cellStyle name="计算 2 8 9 6 4 2" xfId="33585"/>
    <cellStyle name="计算 2 8 9 6 5" xfId="33586"/>
    <cellStyle name="计算 2 8 9 6 5 2" xfId="33587"/>
    <cellStyle name="输出 2 11 6 4 2 2" xfId="33588"/>
    <cellStyle name="计算 2 8 9 6 6" xfId="33589"/>
    <cellStyle name="计算 2 8 9 7 2" xfId="33590"/>
    <cellStyle name="计算 2 8 9 7 3" xfId="33591"/>
    <cellStyle name="计算 2 8 9 7 4" xfId="33592"/>
    <cellStyle name="计算 2 8 9 7 5" xfId="33593"/>
    <cellStyle name="输出 2 11 6 4 3 2" xfId="33594"/>
    <cellStyle name="计算 2 8 9 7 6" xfId="33595"/>
    <cellStyle name="计算 2 8 9 8 2" xfId="33596"/>
    <cellStyle name="注释 2 8 8 10" xfId="33597"/>
    <cellStyle name="计算 2 8 9 8 2 2" xfId="33598"/>
    <cellStyle name="输入 2 11 3 6 6" xfId="33599"/>
    <cellStyle name="注释 2 8 8 10 2" xfId="33600"/>
    <cellStyle name="计算 2 8 9 8 3" xfId="33601"/>
    <cellStyle name="注释 2 8 8 11" xfId="33602"/>
    <cellStyle name="计算 2 8 9 8 3 2" xfId="33603"/>
    <cellStyle name="输入 2 11 3 7 6" xfId="33604"/>
    <cellStyle name="注释 2 8 8 11 2" xfId="33605"/>
    <cellStyle name="注释 2 9 4 12" xfId="33606"/>
    <cellStyle name="计算 2 8 9 8 4" xfId="33607"/>
    <cellStyle name="注释 2 8 8 12" xfId="33608"/>
    <cellStyle name="计算 2 8 9 8 4 2" xfId="33609"/>
    <cellStyle name="注释 2 8 8 12 2" xfId="33610"/>
    <cellStyle name="计算 2 8 9 8 5" xfId="33611"/>
    <cellStyle name="注释 2 8 8 13" xfId="33612"/>
    <cellStyle name="计算 2 8 9 9 2" xfId="33613"/>
    <cellStyle name="计算 2 9 10" xfId="33614"/>
    <cellStyle name="计算 2 9 10 10 2" xfId="33615"/>
    <cellStyle name="计算 2 9 10 11 2" xfId="33616"/>
    <cellStyle name="计算 2 9 10 12 2" xfId="33617"/>
    <cellStyle name="计算 2 9 10 14" xfId="33618"/>
    <cellStyle name="注释 2 5 6 4 4 2" xfId="33619"/>
    <cellStyle name="计算 2 9 10 15" xfId="33620"/>
    <cellStyle name="计算 2 9 10 16" xfId="33621"/>
    <cellStyle name="计算 2 9 10 2" xfId="33622"/>
    <cellStyle name="计算 2 9 10 2 2" xfId="33623"/>
    <cellStyle name="计算 2 9 10 2 2 2" xfId="33624"/>
    <cellStyle name="计算 2 9 10 2 3 2" xfId="33625"/>
    <cellStyle name="输出 2 7 15 2 2" xfId="33626"/>
    <cellStyle name="计算 2 9 10 2 4 2" xfId="33627"/>
    <cellStyle name="输出 2 7 15 3" xfId="33628"/>
    <cellStyle name="计算 2 9 10 2 5" xfId="33629"/>
    <cellStyle name="输入 2 10 8 6 4 2" xfId="33630"/>
    <cellStyle name="输出 2 7 15 3 2" xfId="33631"/>
    <cellStyle name="计算 2 9 10 2 5 2" xfId="33632"/>
    <cellStyle name="输出 2 7 15 4" xfId="33633"/>
    <cellStyle name="计算 2 9 10 2 6" xfId="33634"/>
    <cellStyle name="输出 2 7 15 5" xfId="33635"/>
    <cellStyle name="计算 2 9 10 2 7" xfId="33636"/>
    <cellStyle name="输出 2 7 15 6" xfId="33637"/>
    <cellStyle name="计算 2 9 10 2 8" xfId="33638"/>
    <cellStyle name="计算 2 9 10 2 9" xfId="33639"/>
    <cellStyle name="计算 2 9 10 3" xfId="33640"/>
    <cellStyle name="注释 2 3 8 7 3 2" xfId="33641"/>
    <cellStyle name="计算 2 9 10 3 2 2" xfId="33642"/>
    <cellStyle name="计算 2 9 10 3 3 2" xfId="33643"/>
    <cellStyle name="输出 2 7 16 2 2" xfId="33644"/>
    <cellStyle name="计算 2 9 10 3 4 2" xfId="33645"/>
    <cellStyle name="输出 2 7 16 3" xfId="33646"/>
    <cellStyle name="计算 2 9 10 3 5" xfId="33647"/>
    <cellStyle name="输入 2 10 8 6 5 2" xfId="33648"/>
    <cellStyle name="输出 2 7 16 3 2" xfId="33649"/>
    <cellStyle name="计算 2 9 10 3 5 2" xfId="33650"/>
    <cellStyle name="输出 2 7 16 4" xfId="33651"/>
    <cellStyle name="计算 2 9 10 3 6" xfId="33652"/>
    <cellStyle name="计算 2 9 10 4 2 2" xfId="33653"/>
    <cellStyle name="计算 2 9 10 4 3 2" xfId="33654"/>
    <cellStyle name="输出 2 7 17 2 2" xfId="33655"/>
    <cellStyle name="计算 2 9 10 4 4 2" xfId="33656"/>
    <cellStyle name="输出 2 7 17 3" xfId="33657"/>
    <cellStyle name="计算 2 9 10 4 5" xfId="33658"/>
    <cellStyle name="输出 2 7 17 3 2" xfId="33659"/>
    <cellStyle name="计算 2 9 10 4 5 2" xfId="33660"/>
    <cellStyle name="输出 2 7 17 4" xfId="33661"/>
    <cellStyle name="计算 2 9 10 4 6" xfId="33662"/>
    <cellStyle name="计算 2 9 10 5 2 2" xfId="33663"/>
    <cellStyle name="输入 2 12 13" xfId="33664"/>
    <cellStyle name="计算 2 9 10 5 3 2" xfId="33665"/>
    <cellStyle name="输出 2 7 18 2 2" xfId="33666"/>
    <cellStyle name="计算 2 9 10 5 4 2" xfId="33667"/>
    <cellStyle name="输出 2 7 18 3" xfId="33668"/>
    <cellStyle name="计算 2 9 10 5 5" xfId="33669"/>
    <cellStyle name="输出 2 7 18 3 2" xfId="33670"/>
    <cellStyle name="计算 2 9 10 5 5 2" xfId="33671"/>
    <cellStyle name="输出 2 7 18 4" xfId="33672"/>
    <cellStyle name="计算 2 9 10 5 6" xfId="33673"/>
    <cellStyle name="输出 2 5 2 6 2" xfId="33674"/>
    <cellStyle name="计算 2 9 10 6 2 2" xfId="33675"/>
    <cellStyle name="输出 2 5 2 7" xfId="33676"/>
    <cellStyle name="计算 2 9 10 6 3" xfId="33677"/>
    <cellStyle name="输出 2 5 2 7 2" xfId="33678"/>
    <cellStyle name="计算 2 9 10 6 3 2" xfId="33679"/>
    <cellStyle name="输出 2 7 19 2" xfId="33680"/>
    <cellStyle name="计算 2 9 10 6 4" xfId="33681"/>
    <cellStyle name="输出 2 5 2 8" xfId="33682"/>
    <cellStyle name="输出 2 7 19 2 2" xfId="33683"/>
    <cellStyle name="计算 2 9 10 6 4 2" xfId="33684"/>
    <cellStyle name="输出 2 5 2 8 2" xfId="33685"/>
    <cellStyle name="输出 2 7 19 3" xfId="33686"/>
    <cellStyle name="计算 2 9 10 6 5" xfId="33687"/>
    <cellStyle name="输出 2 5 2 9" xfId="33688"/>
    <cellStyle name="输出 2 7 19 3 2" xfId="33689"/>
    <cellStyle name="计算 2 9 10 6 5 2" xfId="33690"/>
    <cellStyle name="输出 2 5 2 9 2" xfId="33691"/>
    <cellStyle name="输出 2 5 3 6 2" xfId="33692"/>
    <cellStyle name="计算 2 9 10 7 2 2" xfId="33693"/>
    <cellStyle name="输出 2 5 3 7" xfId="33694"/>
    <cellStyle name="计算 2 9 10 7 3" xfId="33695"/>
    <cellStyle name="输出 2 5 3 7 2" xfId="33696"/>
    <cellStyle name="计算 2 9 10 7 3 2" xfId="33697"/>
    <cellStyle name="输出 2 5 3 8" xfId="33698"/>
    <cellStyle name="计算 2 9 10 7 4" xfId="33699"/>
    <cellStyle name="输出 2 5 3 8 2" xfId="33700"/>
    <cellStyle name="计算 2 9 10 7 4 2" xfId="33701"/>
    <cellStyle name="输出 2 5 3 9" xfId="33702"/>
    <cellStyle name="计算 2 9 10 7 5" xfId="33703"/>
    <cellStyle name="输出 2 5 3 9 2" xfId="33704"/>
    <cellStyle name="计算 2 9 10 7 5 2" xfId="33705"/>
    <cellStyle name="输出 2 5 4 7" xfId="33706"/>
    <cellStyle name="计算 2 9 10 8 3" xfId="33707"/>
    <cellStyle name="输出 2 5 4 8" xfId="33708"/>
    <cellStyle name="计算 2 9 10 8 4" xfId="33709"/>
    <cellStyle name="输出 2 5 4 8 2" xfId="33710"/>
    <cellStyle name="计算 2 9 10 8 4 2" xfId="33711"/>
    <cellStyle name="输出 2 5 4 9" xfId="33712"/>
    <cellStyle name="计算 2 9 10 8 5" xfId="33713"/>
    <cellStyle name="输出 2 5 10 3 2 2" xfId="33714"/>
    <cellStyle name="输出 2 3 5 3 6" xfId="33715"/>
    <cellStyle name="计算 2 9 11 10 2" xfId="33716"/>
    <cellStyle name="注释 2 2 12 7" xfId="33717"/>
    <cellStyle name="输出 2 5 10 3 3" xfId="33718"/>
    <cellStyle name="计算 2 9 11 11" xfId="33719"/>
    <cellStyle name="输出 2 2 18 3 2" xfId="33720"/>
    <cellStyle name="输入 2 8 9 4" xfId="33721"/>
    <cellStyle name="输出 2 5 10 3 3 2" xfId="33722"/>
    <cellStyle name="输出 2 3 5 4 6" xfId="33723"/>
    <cellStyle name="计算 2 9 11 11 2" xfId="33724"/>
    <cellStyle name="输出 2 5 10 3 4 2" xfId="33725"/>
    <cellStyle name="输出 2 3 5 5 6" xfId="33726"/>
    <cellStyle name="计算 2 9 11 12 2" xfId="33727"/>
    <cellStyle name="输出 2 5 10 3 6" xfId="33728"/>
    <cellStyle name="计算 2 9 11 14" xfId="33729"/>
    <cellStyle name="输出 2 3 3 2 3" xfId="33730"/>
    <cellStyle name="输入 2 8 9 7" xfId="33731"/>
    <cellStyle name="输出 2 3 3 2 4" xfId="33732"/>
    <cellStyle name="输入 2 8 9 8" xfId="33733"/>
    <cellStyle name="计算 2 9 11 15" xfId="33734"/>
    <cellStyle name="输出 2 3 3 2 5" xfId="33735"/>
    <cellStyle name="输入 2 8 9 9" xfId="33736"/>
    <cellStyle name="注释 2 6 4 6 2 2" xfId="33737"/>
    <cellStyle name="计算 2 9 11 16" xfId="33738"/>
    <cellStyle name="计算 2 9 11 2 3 2" xfId="33739"/>
    <cellStyle name="计算 2 9 11 2 4 2" xfId="33740"/>
    <cellStyle name="计算 2 9 11 2 5 2" xfId="33741"/>
    <cellStyle name="输入 2 10 9 2 4" xfId="33742"/>
    <cellStyle name="注释 2 5 8 10" xfId="33743"/>
    <cellStyle name="计算 2 9 11 3" xfId="33744"/>
    <cellStyle name="注释 2 3 8 7 4 2" xfId="33745"/>
    <cellStyle name="计算 2 9 11 3 2 2" xfId="33746"/>
    <cellStyle name="计算 2 9 11 3 3 2" xfId="33747"/>
    <cellStyle name="计算 2 9 11 3 5" xfId="33748"/>
    <cellStyle name="输入 2 10 8 7 5 2" xfId="33749"/>
    <cellStyle name="注释 2 5 4 11 2" xfId="33750"/>
    <cellStyle name="计算 2 9 11 3 5 2" xfId="33751"/>
    <cellStyle name="注释 2 3 10 2 9" xfId="33752"/>
    <cellStyle name="计算 2 9 11 3 6" xfId="33753"/>
    <cellStyle name="计算 2 9 11 4 2 2" xfId="33754"/>
    <cellStyle name="计算 2 9 11 4 3 2" xfId="33755"/>
    <cellStyle name="计算 2 9 11 4 5" xfId="33756"/>
    <cellStyle name="注释 2 5 4 12 2" xfId="33757"/>
    <cellStyle name="计算 2 9 11 4 5 2" xfId="33758"/>
    <cellStyle name="计算 2 9 11 4 6" xfId="33759"/>
    <cellStyle name="计算 2 9 11 5 2 2" xfId="33760"/>
    <cellStyle name="计算 2 9 11 5 3" xfId="33761"/>
    <cellStyle name="注释 2 3 6 5 5 2" xfId="33762"/>
    <cellStyle name="计算 2 9 11 5 3 2" xfId="33763"/>
    <cellStyle name="计算 2 9 11 5 4 2" xfId="33764"/>
    <cellStyle name="计算 2 9 11 5 5" xfId="33765"/>
    <cellStyle name="计算 2 9 11 5 5 2" xfId="33766"/>
    <cellStyle name="计算 2 9 11 5 6" xfId="33767"/>
    <cellStyle name="输出 2 6 2 6 2" xfId="33768"/>
    <cellStyle name="计算 2 9 11 6 2 2" xfId="33769"/>
    <cellStyle name="输出 2 6 2 7" xfId="33770"/>
    <cellStyle name="计算 2 9 11 6 3" xfId="33771"/>
    <cellStyle name="输出 2 6 2 7 2" xfId="33772"/>
    <cellStyle name="注释 2 6 15" xfId="33773"/>
    <cellStyle name="注释 2 6 20" xfId="33774"/>
    <cellStyle name="计算 2 9 11 6 3 2" xfId="33775"/>
    <cellStyle name="输出 2 6 2 8" xfId="33776"/>
    <cellStyle name="计算 2 9 11 6 4" xfId="33777"/>
    <cellStyle name="输出 2 6 2 8 2" xfId="33778"/>
    <cellStyle name="计算 2 9 11 6 4 2" xfId="33779"/>
    <cellStyle name="输出 2 6 2 9" xfId="33780"/>
    <cellStyle name="计算 2 9 11 6 5" xfId="33781"/>
    <cellStyle name="输出 2 6 2 9 2" xfId="33782"/>
    <cellStyle name="计算 2 9 11 6 5 2" xfId="33783"/>
    <cellStyle name="注释 2 6 3 10" xfId="33784"/>
    <cellStyle name="输出 2 6 3 7 2" xfId="33785"/>
    <cellStyle name="计算 2 9 11 7 3 2" xfId="33786"/>
    <cellStyle name="输出 2 6 3 8 2" xfId="33787"/>
    <cellStyle name="计算 2 9 11 7 4 2" xfId="33788"/>
    <cellStyle name="输出 2 6 3 9 2" xfId="33789"/>
    <cellStyle name="计算 2 9 11 7 5 2" xfId="33790"/>
    <cellStyle name="注释 2 6 8 10" xfId="33791"/>
    <cellStyle name="输出 2 6 4 6 2" xfId="33792"/>
    <cellStyle name="计算 2 9 11 8 2 2" xfId="33793"/>
    <cellStyle name="输出 2 6 4 7" xfId="33794"/>
    <cellStyle name="计算 2 9 11 8 3" xfId="33795"/>
    <cellStyle name="输出 2 6 4 7 2" xfId="33796"/>
    <cellStyle name="计算 2 9 11 8 3 2" xfId="33797"/>
    <cellStyle name="输出 2 6 4 8" xfId="33798"/>
    <cellStyle name="计算 2 9 11 8 4" xfId="33799"/>
    <cellStyle name="输出 2 6 4 9" xfId="33800"/>
    <cellStyle name="计算 2 9 11 8 5" xfId="33801"/>
    <cellStyle name="计算 2 9 12 3" xfId="33802"/>
    <cellStyle name="注释 2 3 8 7 5 2" xfId="33803"/>
    <cellStyle name="计算 2 9 13 2 2" xfId="33804"/>
    <cellStyle name="注释 2 12 13" xfId="33805"/>
    <cellStyle name="注释 2 8 3 2 6" xfId="33806"/>
    <cellStyle name="计算 2 9 13 3" xfId="33807"/>
    <cellStyle name="计算 2 9 13 3 2" xfId="33808"/>
    <cellStyle name="注释 2 8 3 3 6" xfId="33809"/>
    <cellStyle name="计算 2 9 14 2 2" xfId="33810"/>
    <cellStyle name="注释 2 17 13" xfId="33811"/>
    <cellStyle name="注释 2 8 4 2 6" xfId="33812"/>
    <cellStyle name="计算 2 9 14 3" xfId="33813"/>
    <cellStyle name="计算 2 9 14 3 2" xfId="33814"/>
    <cellStyle name="注释 2 8 4 3 6" xfId="33815"/>
    <cellStyle name="计算 2 9 20 2" xfId="33816"/>
    <cellStyle name="计算 2 9 15 2" xfId="33817"/>
    <cellStyle name="计算 2 9 15 2 2" xfId="33818"/>
    <cellStyle name="注释 2 8 5 2 6" xfId="33819"/>
    <cellStyle name="计算 2 9 15 3" xfId="33820"/>
    <cellStyle name="计算 2 9 15 3 2" xfId="33821"/>
    <cellStyle name="注释 2 8 5 3 6" xfId="33822"/>
    <cellStyle name="计算 2 9 21" xfId="33823"/>
    <cellStyle name="计算 2 9 16" xfId="33824"/>
    <cellStyle name="计算 2 9 21 2" xfId="33825"/>
    <cellStyle name="计算 2 9 16 2" xfId="33826"/>
    <cellStyle name="计算 2 9 16 3" xfId="33827"/>
    <cellStyle name="计算 2 9 16 3 2" xfId="33828"/>
    <cellStyle name="注释 2 8 6 3 6" xfId="33829"/>
    <cellStyle name="计算 2 9 16 4 2" xfId="33830"/>
    <cellStyle name="注释 2 8 6 4 6" xfId="33831"/>
    <cellStyle name="计算 2 9 16 5" xfId="33832"/>
    <cellStyle name="输出 2 8 2 2 2 2" xfId="33833"/>
    <cellStyle name="计算 2 9 16 5 2" xfId="33834"/>
    <cellStyle name="注释 2 8 6 5 6" xfId="33835"/>
    <cellStyle name="计算 2 9 16 6" xfId="33836"/>
    <cellStyle name="计算 2 9 22" xfId="33837"/>
    <cellStyle name="计算 2 9 17" xfId="33838"/>
    <cellStyle name="计算 2 9 22 2" xfId="33839"/>
    <cellStyle name="计算 2 9 17 2" xfId="33840"/>
    <cellStyle name="计算 2 9 17 3" xfId="33841"/>
    <cellStyle name="计算 2 9 17 3 2" xfId="33842"/>
    <cellStyle name="注释 2 8 7 3 6" xfId="33843"/>
    <cellStyle name="计算 2 9 17 4" xfId="33844"/>
    <cellStyle name="计算 2 9 17 4 2" xfId="33845"/>
    <cellStyle name="输入 2 7" xfId="33846"/>
    <cellStyle name="注释 2 8 7 4 6" xfId="33847"/>
    <cellStyle name="计算 2 9 17 5" xfId="33848"/>
    <cellStyle name="输出 2 8 2 2 3 2" xfId="33849"/>
    <cellStyle name="计算 2 9 17 5 2" xfId="33850"/>
    <cellStyle name="注释 2 8 7 5 6" xfId="33851"/>
    <cellStyle name="计算 2 9 17 6" xfId="33852"/>
    <cellStyle name="计算 2 9 23" xfId="33853"/>
    <cellStyle name="计算 2 9 18" xfId="33854"/>
    <cellStyle name="计算 2 9 23 2" xfId="33855"/>
    <cellStyle name="计算 2 9 18 2" xfId="33856"/>
    <cellStyle name="计算 2 9 18 2 2" xfId="33857"/>
    <cellStyle name="注释 2 8 8 2 6" xfId="33858"/>
    <cellStyle name="计算 2 9 18 3" xfId="33859"/>
    <cellStyle name="输入 2 11 8 10 2" xfId="33860"/>
    <cellStyle name="计算 2 9 18 3 2" xfId="33861"/>
    <cellStyle name="注释 2 8 8 3 6" xfId="33862"/>
    <cellStyle name="计算 2 9 18 4 2" xfId="33863"/>
    <cellStyle name="注释 2 8 8 4 6" xfId="33864"/>
    <cellStyle name="计算 2 9 18 5" xfId="33865"/>
    <cellStyle name="输出 2 8 2 2 4 2" xfId="33866"/>
    <cellStyle name="计算 2 9 18 5 2" xfId="33867"/>
    <cellStyle name="注释 2 8 8 5 6" xfId="33868"/>
    <cellStyle name="计算 2 9 18 6" xfId="33869"/>
    <cellStyle name="计算 2 9 19 2" xfId="33870"/>
    <cellStyle name="注释 2 11 5 2 2" xfId="33871"/>
    <cellStyle name="计算 2 9 19 2 2" xfId="33872"/>
    <cellStyle name="注释 2 11 5 2 2 2" xfId="33873"/>
    <cellStyle name="注释 2 8 9 2 6" xfId="33874"/>
    <cellStyle name="计算 2 9 19 3" xfId="33875"/>
    <cellStyle name="输入 2 11 8 11 2" xfId="33876"/>
    <cellStyle name="注释 2 11 5 2 3" xfId="33877"/>
    <cellStyle name="计算 2 9 19 3 2" xfId="33878"/>
    <cellStyle name="注释 2 11 5 2 3 2" xfId="33879"/>
    <cellStyle name="注释 2 8 9 3 6" xfId="33880"/>
    <cellStyle name="计算 2 9 19 4 2" xfId="33881"/>
    <cellStyle name="注释 2 11 5 2 4 2" xfId="33882"/>
    <cellStyle name="注释 2 8 9 4 6" xfId="33883"/>
    <cellStyle name="计算 2 9 19 5" xfId="33884"/>
    <cellStyle name="输出 2 8 2 2 5 2" xfId="33885"/>
    <cellStyle name="注释 2 11 5 2 5" xfId="33886"/>
    <cellStyle name="输出 2 11 3 4 5" xfId="33887"/>
    <cellStyle name="计算 2 9 2" xfId="33888"/>
    <cellStyle name="计算 2 9 2 10" xfId="33889"/>
    <cellStyle name="输入 2 6 14 3 2" xfId="33890"/>
    <cellStyle name="计算 2 9 5" xfId="33891"/>
    <cellStyle name="计算 2 9 2 10 2" xfId="33892"/>
    <cellStyle name="输出 2 5 6 2" xfId="33893"/>
    <cellStyle name="计算 2 9 2 16" xfId="33894"/>
    <cellStyle name="输出 2 11 3 4 5 2" xfId="33895"/>
    <cellStyle name="计算 2 9 2 2" xfId="33896"/>
    <cellStyle name="计算 2 9 2 3" xfId="33897"/>
    <cellStyle name="计算 2 9 2 3 3 2" xfId="33898"/>
    <cellStyle name="注释 2 3 7 3" xfId="33899"/>
    <cellStyle name="计算 2 9 2 3 4 2" xfId="33900"/>
    <cellStyle name="注释 2 3 8 3" xfId="33901"/>
    <cellStyle name="计算 2 9 2 4" xfId="33902"/>
    <cellStyle name="计算 2 9 2 4 4 2" xfId="33903"/>
    <cellStyle name="注释 2 4 8 3" xfId="33904"/>
    <cellStyle name="计算 2 9 4 10 2" xfId="33905"/>
    <cellStyle name="计算 2 9 2 5" xfId="33906"/>
    <cellStyle name="计算 2 9 2 5 3 2" xfId="33907"/>
    <cellStyle name="注释 2 5 7 3" xfId="33908"/>
    <cellStyle name="计算 2 9 2 5 4 2" xfId="33909"/>
    <cellStyle name="注释 2 5 8 3" xfId="33910"/>
    <cellStyle name="计算 2 9 2 6" xfId="33911"/>
    <cellStyle name="计算 2 9 2 6 3 2" xfId="33912"/>
    <cellStyle name="注释 2 6 7 3" xfId="33913"/>
    <cellStyle name="计算 2 9 2 6 4 2" xfId="33914"/>
    <cellStyle name="注释 2 6 8 3" xfId="33915"/>
    <cellStyle name="计算 2 9 2 7" xfId="33916"/>
    <cellStyle name="计算 2 9 2 8" xfId="33917"/>
    <cellStyle name="计算 2 9 2 8 3 2" xfId="33918"/>
    <cellStyle name="注释 2 8 7 3" xfId="33919"/>
    <cellStyle name="输出 2 4 11 6 4 2" xfId="33920"/>
    <cellStyle name="计算 2 9 2 8 4" xfId="33921"/>
    <cellStyle name="计算 2 9 2 8 4 2" xfId="33922"/>
    <cellStyle name="注释 2 8 8 3" xfId="33923"/>
    <cellStyle name="计算 2 9 25" xfId="33924"/>
    <cellStyle name="注释 2 11 5 3" xfId="33925"/>
    <cellStyle name="计算 2 9 26" xfId="33926"/>
    <cellStyle name="输出 2 9 2 8 3 2" xfId="33927"/>
    <cellStyle name="注释 2 11 5 4" xfId="33928"/>
    <cellStyle name="计算 2 9 27" xfId="33929"/>
    <cellStyle name="注释 2 11 5 5" xfId="33930"/>
    <cellStyle name="输出 2 11 3 4 6" xfId="33931"/>
    <cellStyle name="计算 2 9 3" xfId="33932"/>
    <cellStyle name="计算 2 9 3 11" xfId="33933"/>
    <cellStyle name="计算 2 9 3 12" xfId="33934"/>
    <cellStyle name="计算 2 9 3 13" xfId="33935"/>
    <cellStyle name="计算 2 9 3 14" xfId="33936"/>
    <cellStyle name="注释 2 3 4 2 4 2" xfId="33937"/>
    <cellStyle name="计算 2 9 3 16" xfId="33938"/>
    <cellStyle name="注释 2 8 10 8 2 2" xfId="33939"/>
    <cellStyle name="计算 2 9 3 2" xfId="33940"/>
    <cellStyle name="计算 2 9 3 3" xfId="33941"/>
    <cellStyle name="计算 2 9 3 3 3 2" xfId="33942"/>
    <cellStyle name="计算 2 9 3 3 4 2" xfId="33943"/>
    <cellStyle name="计算 2 9 3 4" xfId="33944"/>
    <cellStyle name="计算 2 9 3 4 3 2" xfId="33945"/>
    <cellStyle name="计算 2 9 3 4 4" xfId="33946"/>
    <cellStyle name="计算 2 9 3 4 4 2" xfId="33947"/>
    <cellStyle name="计算 2 9 4 11 2" xfId="33948"/>
    <cellStyle name="计算 2 9 3 5" xfId="33949"/>
    <cellStyle name="计算 2 9 3 5 3 2" xfId="33950"/>
    <cellStyle name="计算 2 9 3 5 4" xfId="33951"/>
    <cellStyle name="计算 2 9 3 5 4 2" xfId="33952"/>
    <cellStyle name="计算 2 9 3 6" xfId="33953"/>
    <cellStyle name="计算 2 9 3 6 3 2" xfId="33954"/>
    <cellStyle name="输出 2 4 11 7 2 2" xfId="33955"/>
    <cellStyle name="计算 2 9 3 6 4" xfId="33956"/>
    <cellStyle name="计算 2 9 3 6 4 2" xfId="33957"/>
    <cellStyle name="计算 2 9 3 8" xfId="33958"/>
    <cellStyle name="计算 2 9 3 8 3 2" xfId="33959"/>
    <cellStyle name="输出 2 4 11 7 4 2" xfId="33960"/>
    <cellStyle name="计算 2 9 3 8 4" xfId="33961"/>
    <cellStyle name="计算 2 9 3 8 4 2" xfId="33962"/>
    <cellStyle name="计算 2 9 4" xfId="33963"/>
    <cellStyle name="计算 2 9 4 10" xfId="33964"/>
    <cellStyle name="检查单元格 2 9 8 4 3 2" xfId="33965"/>
    <cellStyle name="输出 2 7 8 16" xfId="33966"/>
    <cellStyle name="计算 2 9 4 11" xfId="33967"/>
    <cellStyle name="计算 2 9 4 12" xfId="33968"/>
    <cellStyle name="计算 2 9 4 5" xfId="33969"/>
    <cellStyle name="计算 2 9 4 12 2" xfId="33970"/>
    <cellStyle name="计算 2 9 4 14" xfId="33971"/>
    <cellStyle name="输出 2 9 2 6 2 2" xfId="33972"/>
    <cellStyle name="计算 2 9 4 15" xfId="33973"/>
    <cellStyle name="计算 2 9 4 16" xfId="33974"/>
    <cellStyle name="计算 2 9 4 2" xfId="33975"/>
    <cellStyle name="计算 2 9 4 3" xfId="33976"/>
    <cellStyle name="计算 2 9 4 3 3 2" xfId="33977"/>
    <cellStyle name="输入 2 12 11 2 2" xfId="33978"/>
    <cellStyle name="计算 2 9 4 3 4 2" xfId="33979"/>
    <cellStyle name="输入 2 12 11 3 2" xfId="33980"/>
    <cellStyle name="计算 2 9 4 4" xfId="33981"/>
    <cellStyle name="计算 2 9 4 4 3 2" xfId="33982"/>
    <cellStyle name="输入 2 12 12 2 2" xfId="33983"/>
    <cellStyle name="计算 2 9 4 4 4" xfId="33984"/>
    <cellStyle name="输入 2 12 12 3" xfId="33985"/>
    <cellStyle name="计算 2 9 4 4 4 2" xfId="33986"/>
    <cellStyle name="输入 2 12 12 3 2" xfId="33987"/>
    <cellStyle name="计算 2 9 4 5 3 2" xfId="33988"/>
    <cellStyle name="输入 2 12 13 2 2" xfId="33989"/>
    <cellStyle name="注释 2 10 5 7" xfId="33990"/>
    <cellStyle name="检查单元格 2 10 5 12" xfId="33991"/>
    <cellStyle name="计算 2 9 4 5 4" xfId="33992"/>
    <cellStyle name="输入 2 12 13 3" xfId="33993"/>
    <cellStyle name="计算 2 9 4 5 4 2" xfId="33994"/>
    <cellStyle name="输入 2 12 13 3 2" xfId="33995"/>
    <cellStyle name="注释 2 10 6 7" xfId="33996"/>
    <cellStyle name="计算 2 9 4 6" xfId="33997"/>
    <cellStyle name="计算 2 9 4 6 3 2" xfId="33998"/>
    <cellStyle name="输入 2 12 14 2 2" xfId="33999"/>
    <cellStyle name="注释 2 11 5 7" xfId="34000"/>
    <cellStyle name="输出 2 4 11 8 2 2" xfId="34001"/>
    <cellStyle name="计算 2 9 4 6 4" xfId="34002"/>
    <cellStyle name="输入 2 12 14 3" xfId="34003"/>
    <cellStyle name="计算 2 9 4 6 4 2" xfId="34004"/>
    <cellStyle name="输入 2 12 14 3 2" xfId="34005"/>
    <cellStyle name="注释 2 11 6 7" xfId="34006"/>
    <cellStyle name="计算 2 9 4 7 3 2" xfId="34007"/>
    <cellStyle name="输入 2 12 15 2 2" xfId="34008"/>
    <cellStyle name="注释 2 12 5 7" xfId="34009"/>
    <cellStyle name="输出 2 4 11 8 3 2" xfId="34010"/>
    <cellStyle name="计算 2 9 4 7 4" xfId="34011"/>
    <cellStyle name="输入 2 12 15 3" xfId="34012"/>
    <cellStyle name="计算 2 9 4 7 4 2" xfId="34013"/>
    <cellStyle name="输入 2 12 15 3 2" xfId="34014"/>
    <cellStyle name="注释 2 12 6 7" xfId="34015"/>
    <cellStyle name="计算 2 9 4 8" xfId="34016"/>
    <cellStyle name="计算 2 9 4 8 3 2" xfId="34017"/>
    <cellStyle name="输入 2 12 16 2 2" xfId="34018"/>
    <cellStyle name="输出 2 4 11 8 4 2" xfId="34019"/>
    <cellStyle name="计算 2 9 4 8 4" xfId="34020"/>
    <cellStyle name="输入 2 12 16 3" xfId="34021"/>
    <cellStyle name="计算 2 9 4 8 4 2" xfId="34022"/>
    <cellStyle name="输入 2 12 16 3 2" xfId="34023"/>
    <cellStyle name="计算 2 9 5 2" xfId="34024"/>
    <cellStyle name="计算 2 9 5 3" xfId="34025"/>
    <cellStyle name="计算 2 9 5 3 3 2" xfId="34026"/>
    <cellStyle name="计算 2 9 5 3 4 2" xfId="34027"/>
    <cellStyle name="计算 2 9 5 4 3 2" xfId="34028"/>
    <cellStyle name="计算 2 9 5 4 4 2" xfId="34029"/>
    <cellStyle name="计算 2 9 5 5" xfId="34030"/>
    <cellStyle name="计算 2 9 5 5 3 2" xfId="34031"/>
    <cellStyle name="计算 2 9 5 5 4" xfId="34032"/>
    <cellStyle name="计算 2 9 5 5 4 2" xfId="34033"/>
    <cellStyle name="计算 2 9 5 6" xfId="34034"/>
    <cellStyle name="计算 2 9 5 6 3 2" xfId="34035"/>
    <cellStyle name="计算 2 9 5 6 4" xfId="34036"/>
    <cellStyle name="计算 2 9 5 6 4 2" xfId="34037"/>
    <cellStyle name="计算 2 9 5 7 3 2" xfId="34038"/>
    <cellStyle name="计算 2 9 5 7 4" xfId="34039"/>
    <cellStyle name="计算 2 9 5 7 4 2" xfId="34040"/>
    <cellStyle name="计算 2 9 5 8" xfId="34041"/>
    <cellStyle name="计算 2 9 5 8 3 2" xfId="34042"/>
    <cellStyle name="计算 2 9 5 8 4" xfId="34043"/>
    <cellStyle name="计算 2 9 5 8 4 2" xfId="34044"/>
    <cellStyle name="计算 2 9 6" xfId="34045"/>
    <cellStyle name="注释 2 5 8 7 3 2" xfId="34046"/>
    <cellStyle name="计算 2 9 6 2" xfId="34047"/>
    <cellStyle name="计算 2 9 6 3" xfId="34048"/>
    <cellStyle name="计算 2 9 6 4 4" xfId="34049"/>
    <cellStyle name="计算 2 9 6 5" xfId="34050"/>
    <cellStyle name="计算 2 9 6 5 4" xfId="34051"/>
    <cellStyle name="计算 2 9 6 6" xfId="34052"/>
    <cellStyle name="计算 2 9 6 6 4" xfId="34053"/>
    <cellStyle name="计算 2 9 6 7 4" xfId="34054"/>
    <cellStyle name="计算 2 9 6 8" xfId="34055"/>
    <cellStyle name="计算 2 9 7" xfId="34056"/>
    <cellStyle name="输出 2 6 6 2" xfId="34057"/>
    <cellStyle name="计算 2 9 7 16" xfId="34058"/>
    <cellStyle name="计算 2 9 7 2" xfId="34059"/>
    <cellStyle name="计算 2 9 7 3" xfId="34060"/>
    <cellStyle name="计算 2 9 7 3 3 2" xfId="34061"/>
    <cellStyle name="计算 2 9 7 3 4 2" xfId="34062"/>
    <cellStyle name="计算 2 9 7 4 4" xfId="34063"/>
    <cellStyle name="计算 2 9 7 5" xfId="34064"/>
    <cellStyle name="计算 2 9 7 5 3 2" xfId="34065"/>
    <cellStyle name="计算 2 9 7 5 4" xfId="34066"/>
    <cellStyle name="计算 2 9 7 5 4 2" xfId="34067"/>
    <cellStyle name="计算 2 9 7 6" xfId="34068"/>
    <cellStyle name="计算 2 9 7 6 3 2" xfId="34069"/>
    <cellStyle name="计算 2 9 7 6 4" xfId="34070"/>
    <cellStyle name="计算 2 9 7 6 4 2" xfId="34071"/>
    <cellStyle name="输出 2 10 7 5 3 2" xfId="34072"/>
    <cellStyle name="计算 2 9 7 7" xfId="34073"/>
    <cellStyle name="计算 2 9 7 7 3 2" xfId="34074"/>
    <cellStyle name="计算 2 9 7 7 4" xfId="34075"/>
    <cellStyle name="计算 2 9 7 8" xfId="34076"/>
    <cellStyle name="输出 2 2 4 11" xfId="34077"/>
    <cellStyle name="计算 2 9 7 8 3 2" xfId="34078"/>
    <cellStyle name="计算 2 9 7 8 4" xfId="34079"/>
    <cellStyle name="计算 2 9 7 8 4 2" xfId="34080"/>
    <cellStyle name="计算 2 9 7 9" xfId="34081"/>
    <cellStyle name="计算 2 9 8" xfId="34082"/>
    <cellStyle name="计算 2 9 8 10 2" xfId="34083"/>
    <cellStyle name="计算 2 9 8 11 2" xfId="34084"/>
    <cellStyle name="计算 2 9 8 12" xfId="34085"/>
    <cellStyle name="计算 2 9 8 12 2" xfId="34086"/>
    <cellStyle name="计算 2 9 8 14" xfId="34087"/>
    <cellStyle name="注释 2 3 4 3 4 2" xfId="34088"/>
    <cellStyle name="计算 2 9 8 16" xfId="34089"/>
    <cellStyle name="计算 2 9 8 2" xfId="34090"/>
    <cellStyle name="计算 2 9 8 3" xfId="34091"/>
    <cellStyle name="计算 2 9 8 4 4" xfId="34092"/>
    <cellStyle name="计算 2 9 8 5" xfId="34093"/>
    <cellStyle name="计算 2 9 8 5 4" xfId="34094"/>
    <cellStyle name="计算 2 9 8 6" xfId="34095"/>
    <cellStyle name="计算 2 9 8 6 4" xfId="34096"/>
    <cellStyle name="输出 2 10 7 5 4 2" xfId="34097"/>
    <cellStyle name="计算 2 9 8 7" xfId="34098"/>
    <cellStyle name="计算 2 9 8 7 4" xfId="34099"/>
    <cellStyle name="计算 2 9 8 8" xfId="34100"/>
    <cellStyle name="计算 2 9 8 8 3 2" xfId="34101"/>
    <cellStyle name="计算 2 9 8 8 4" xfId="34102"/>
    <cellStyle name="计算 2 9 8 8 4 2" xfId="34103"/>
    <cellStyle name="计算 2 9 8 9" xfId="34104"/>
    <cellStyle name="计算 2 9 9 10" xfId="34105"/>
    <cellStyle name="输出 2 2 12 7" xfId="34106"/>
    <cellStyle name="计算 2 9 9 10 2" xfId="34107"/>
    <cellStyle name="检查单元格 2 9 8 5 3 2" xfId="34108"/>
    <cellStyle name="计算 2 9 9 11" xfId="34109"/>
    <cellStyle name="计算 2 9 9 11 2" xfId="34110"/>
    <cellStyle name="计算 2 9 9 12" xfId="34111"/>
    <cellStyle name="注释 2 10 4 2" xfId="34112"/>
    <cellStyle name="计算 2 9 9 12 2" xfId="34113"/>
    <cellStyle name="注释 2 10 4 2 2" xfId="34114"/>
    <cellStyle name="计算 2 9 9 14" xfId="34115"/>
    <cellStyle name="输出 2 9 2 7 2 2" xfId="34116"/>
    <cellStyle name="注释 2 10 4 4" xfId="34117"/>
    <cellStyle name="计算 2 9 9 15" xfId="34118"/>
    <cellStyle name="注释 2 10 4 5" xfId="34119"/>
    <cellStyle name="计算 2 9 9 16" xfId="34120"/>
    <cellStyle name="注释 2 10 4 6" xfId="34121"/>
    <cellStyle name="计算 2 9 9 2 8" xfId="34122"/>
    <cellStyle name="注释 2 10 10 8" xfId="34123"/>
    <cellStyle name="计算 2 9 9 2 9" xfId="34124"/>
    <cellStyle name="注释 2 10 10 9" xfId="34125"/>
    <cellStyle name="计算 2 9 9 3" xfId="34126"/>
    <cellStyle name="注释 2 10 11" xfId="34127"/>
    <cellStyle name="计算 2 9 9 3 4 2" xfId="34128"/>
    <cellStyle name="注释 2 10 11 4 2" xfId="34129"/>
    <cellStyle name="计算 2 9 9 3 5 2" xfId="34130"/>
    <cellStyle name="注释 2 10 11 5 2" xfId="34131"/>
    <cellStyle name="计算 2 9 9 4" xfId="34132"/>
    <cellStyle name="注释 2 10 12" xfId="34133"/>
    <cellStyle name="计算 2 9 9 4 4 2" xfId="34134"/>
    <cellStyle name="注释 2 10 12 4 2" xfId="34135"/>
    <cellStyle name="计算 2 9 9 4 5 2" xfId="34136"/>
    <cellStyle name="注释 2 10 12 5 2" xfId="34137"/>
    <cellStyle name="计算 2 9 9 5" xfId="34138"/>
    <cellStyle name="注释 2 10 13" xfId="34139"/>
    <cellStyle name="计算 2 9 9 5 4 2" xfId="34140"/>
    <cellStyle name="注释 2 10 13 4 2" xfId="34141"/>
    <cellStyle name="计算 2 9 9 5 5 2" xfId="34142"/>
    <cellStyle name="注释 2 10 13 5 2" xfId="34143"/>
    <cellStyle name="计算 2 9 9 6" xfId="34144"/>
    <cellStyle name="注释 2 10 14" xfId="34145"/>
    <cellStyle name="输出 2 10 7 5 5 2" xfId="34146"/>
    <cellStyle name="计算 2 9 9 7" xfId="34147"/>
    <cellStyle name="注释 2 10 15" xfId="34148"/>
    <cellStyle name="注释 2 10 20" xfId="34149"/>
    <cellStyle name="计算 2 9 9 7 5" xfId="34150"/>
    <cellStyle name="注释 2 10 15 5" xfId="34151"/>
    <cellStyle name="计算 2 9 9 7 5 2" xfId="34152"/>
    <cellStyle name="注释 2 10 15 5 2" xfId="34153"/>
    <cellStyle name="注释 2 12 3 2 6" xfId="34154"/>
    <cellStyle name="输出 2 11 7 4 3 2" xfId="34155"/>
    <cellStyle name="计算 2 9 9 7 6" xfId="34156"/>
    <cellStyle name="注释 2 10 15 6" xfId="34157"/>
    <cellStyle name="计算 2 9 9 8" xfId="34158"/>
    <cellStyle name="注释 2 10 16" xfId="34159"/>
    <cellStyle name="注释 2 10 21" xfId="34160"/>
    <cellStyle name="计算 2 9 9 8 4" xfId="34161"/>
    <cellStyle name="注释 2 10 16 4" xfId="34162"/>
    <cellStyle name="计算 2 9 9 8 4 2" xfId="34163"/>
    <cellStyle name="注释 2 10 16 4 2" xfId="34164"/>
    <cellStyle name="计算 2 9 9 8 5" xfId="34165"/>
    <cellStyle name="注释 2 10 16 5" xfId="34166"/>
    <cellStyle name="计算 2 9 9 9" xfId="34167"/>
    <cellStyle name="注释 2 10 17" xfId="34168"/>
    <cellStyle name="注释 2 10 22" xfId="34169"/>
    <cellStyle name="计算 2 9 9 9 2" xfId="34170"/>
    <cellStyle name="注释 2 10 17 2" xfId="34171"/>
    <cellStyle name="注释 2 10 22 2" xfId="34172"/>
    <cellStyle name="检查单元格 2" xfId="34173"/>
    <cellStyle name="输出 2 8 5 7 4" xfId="34174"/>
    <cellStyle name="输出 2 3 3 2 8" xfId="34175"/>
    <cellStyle name="检查单元格 2 10 10 2" xfId="34176"/>
    <cellStyle name="输入 2 8 7 2 4" xfId="34177"/>
    <cellStyle name="输出 2 11 5 6 5" xfId="34178"/>
    <cellStyle name="检查单元格 2 10 10 2 2" xfId="34179"/>
    <cellStyle name="输入 2 8 7 2 4 2" xfId="34180"/>
    <cellStyle name="输出 2 3 3 2 9" xfId="34181"/>
    <cellStyle name="检查单元格 2 6 3 3 3 2" xfId="34182"/>
    <cellStyle name="检查单元格 2 10 10 3" xfId="34183"/>
    <cellStyle name="输入 2 8 7 2 5" xfId="34184"/>
    <cellStyle name="输出 2 11 5 7 5" xfId="34185"/>
    <cellStyle name="检查单元格 2 10 10 3 2" xfId="34186"/>
    <cellStyle name="输入 2 6 7 2 9" xfId="34187"/>
    <cellStyle name="输入 2 8 7 2 5 2" xfId="34188"/>
    <cellStyle name="检查单元格 2 10 11" xfId="34189"/>
    <cellStyle name="检查单元格 2 10 12" xfId="34190"/>
    <cellStyle name="检查单元格 2 10 13" xfId="34191"/>
    <cellStyle name="检查单元格 2 10 2" xfId="34192"/>
    <cellStyle name="输入 2 3 9 5 5 2" xfId="34193"/>
    <cellStyle name="检查单元格 2 10 2 11" xfId="34194"/>
    <cellStyle name="检查单元格 2 10 2 12" xfId="34195"/>
    <cellStyle name="输入 2 3 8 6 4 2" xfId="34196"/>
    <cellStyle name="检查单元格 2 10 2 13" xfId="34197"/>
    <cellStyle name="检查单元格 2 10 2 2" xfId="34198"/>
    <cellStyle name="检查单元格 2 10 2 2 2" xfId="34199"/>
    <cellStyle name="检查单元格 2 10 2 2 2 2" xfId="34200"/>
    <cellStyle name="检查单元格 2 10 2 2 8" xfId="34201"/>
    <cellStyle name="检查单元格 2 10 2 2 9" xfId="34202"/>
    <cellStyle name="输出 2 8 4 3 5 2" xfId="34203"/>
    <cellStyle name="检查单元格 2 10 2 3" xfId="34204"/>
    <cellStyle name="注释 2 11 5 4 4 2" xfId="34205"/>
    <cellStyle name="输出 2 7 2 8 4 2" xfId="34206"/>
    <cellStyle name="检查单元格 2 10 2 4" xfId="34207"/>
    <cellStyle name="检查单元格 2 10 2 5" xfId="34208"/>
    <cellStyle name="检查单元格 2 10 2 6" xfId="34209"/>
    <cellStyle name="注释 2 2 2 6 4 2" xfId="34210"/>
    <cellStyle name="注释 2 5 6 12 2" xfId="34211"/>
    <cellStyle name="输出 2 3 17 2 2" xfId="34212"/>
    <cellStyle name="检查单元格 2 10 2 8" xfId="34213"/>
    <cellStyle name="检查单元格 2 10 2 9" xfId="34214"/>
    <cellStyle name="检查单元格 2 10 3" xfId="34215"/>
    <cellStyle name="检查单元格 2 10 3 2" xfId="34216"/>
    <cellStyle name="检查单元格 2 10 3 2 2" xfId="34217"/>
    <cellStyle name="检查单元格 2 10 3 2 2 2" xfId="34218"/>
    <cellStyle name="检查单元格 2 10 3 2 8" xfId="34219"/>
    <cellStyle name="检查单元格 2 10 3 2 9" xfId="34220"/>
    <cellStyle name="输出 2 8 4 4 5 2" xfId="34221"/>
    <cellStyle name="检查单元格 2 10 3 3" xfId="34222"/>
    <cellStyle name="注释 2 11 5 4 5 2" xfId="34223"/>
    <cellStyle name="检查单元格 2 10 3 4" xfId="34224"/>
    <cellStyle name="检查单元格 2 10 3 5" xfId="34225"/>
    <cellStyle name="检查单元格 2 10 3 6" xfId="34226"/>
    <cellStyle name="注释 2 2 2 6 5 2" xfId="34227"/>
    <cellStyle name="输出 2 3 17 3 2" xfId="34228"/>
    <cellStyle name="检查单元格 2 10 3 8" xfId="34229"/>
    <cellStyle name="检查单元格 2 10 3 9" xfId="34230"/>
    <cellStyle name="检查单元格 2 10 4" xfId="34231"/>
    <cellStyle name="检查单元格 2 10 4 2" xfId="34232"/>
    <cellStyle name="检查单元格 2 10 4 3" xfId="34233"/>
    <cellStyle name="检查单元格 2 10 5" xfId="34234"/>
    <cellStyle name="输出 2 3 17 5 2" xfId="34235"/>
    <cellStyle name="输出 2 11 3 14" xfId="34236"/>
    <cellStyle name="检查单元格 2 10 5 8" xfId="34237"/>
    <cellStyle name="检查单元格 2 10 6" xfId="34238"/>
    <cellStyle name="检查单元格 2 10 6 10" xfId="34239"/>
    <cellStyle name="输入 2 12 4 2 2 2" xfId="34240"/>
    <cellStyle name="检查单元格 2 10 6 11" xfId="34241"/>
    <cellStyle name="输入 2 12 18 2" xfId="34242"/>
    <cellStyle name="检查单元格 2 10 6 12" xfId="34243"/>
    <cellStyle name="检查单元格 2 10 6 2" xfId="34244"/>
    <cellStyle name="检查单元格 2 10 6 2 2" xfId="34245"/>
    <cellStyle name="检查单元格 2 10 6 2 8" xfId="34246"/>
    <cellStyle name="检查单元格 2 10 6 2 9" xfId="34247"/>
    <cellStyle name="输出 2 8 4 7 5 2" xfId="34248"/>
    <cellStyle name="检查单元格 2 10 6 3" xfId="34249"/>
    <cellStyle name="检查单元格 2 10 6 4" xfId="34250"/>
    <cellStyle name="检查单元格 2 10 6 5" xfId="34251"/>
    <cellStyle name="检查单元格 2 10 6 6" xfId="34252"/>
    <cellStyle name="检查单元格 2 10 6 8" xfId="34253"/>
    <cellStyle name="检查单元格 2 10 7" xfId="34254"/>
    <cellStyle name="检查单元格 2 10 7 2" xfId="34255"/>
    <cellStyle name="检查单元格 2 10 7 2 2" xfId="34256"/>
    <cellStyle name="检查单元格 2 10 7 2 8" xfId="34257"/>
    <cellStyle name="检查单元格 2 10 7 2 9" xfId="34258"/>
    <cellStyle name="检查单元格 2 10 7 3" xfId="34259"/>
    <cellStyle name="输出 2 8 11 5 2 2" xfId="34260"/>
    <cellStyle name="检查单元格 2 10 7 4" xfId="34261"/>
    <cellStyle name="检查单元格 2 10 7 5" xfId="34262"/>
    <cellStyle name="检查单元格 2 10 7 6" xfId="34263"/>
    <cellStyle name="检查单元格 2 10 7 7" xfId="34264"/>
    <cellStyle name="检查单元格 2 10 7 8" xfId="34265"/>
    <cellStyle name="注释 2 10 9 5 2 2" xfId="34266"/>
    <cellStyle name="输出 2 11 10 8 2" xfId="34267"/>
    <cellStyle name="检查单元格 2 10 8 2 2" xfId="34268"/>
    <cellStyle name="检查单元格 2 10 8 4" xfId="34269"/>
    <cellStyle name="检查单元格 2 10 8 6" xfId="34270"/>
    <cellStyle name="输出 2 11 11 8 2" xfId="34271"/>
    <cellStyle name="检查单元格 2 10 9 2 2" xfId="34272"/>
    <cellStyle name="输出 2 11 11 9 2" xfId="34273"/>
    <cellStyle name="注释 2 2 4 4 2 2" xfId="34274"/>
    <cellStyle name="检查单元格 2 10 9 3 2" xfId="34275"/>
    <cellStyle name="检查单元格 2 10 9 4" xfId="34276"/>
    <cellStyle name="检查单元格 2 10 9 4 2" xfId="34277"/>
    <cellStyle name="检查单元格 2 10 9 5 2" xfId="34278"/>
    <cellStyle name="检查单元格 2 10 9 6" xfId="34279"/>
    <cellStyle name="检查单元格 2 11 2" xfId="34280"/>
    <cellStyle name="检查单元格 2 11 2 2" xfId="34281"/>
    <cellStyle name="输入 2 9 2 4 4" xfId="34282"/>
    <cellStyle name="检查单元格 2 11 3" xfId="34283"/>
    <cellStyle name="检查单元格 2 11 3 2" xfId="34284"/>
    <cellStyle name="输入 2 9 2 5 4" xfId="34285"/>
    <cellStyle name="检查单元格 2 7 4 6 2" xfId="34286"/>
    <cellStyle name="检查单元格 2 12" xfId="34287"/>
    <cellStyle name="检查单元格 2 12 2" xfId="34288"/>
    <cellStyle name="检查单元格 2 12 3" xfId="34289"/>
    <cellStyle name="检查单元格 2 12 3 2" xfId="34290"/>
    <cellStyle name="输入 2 9 3 5 4" xfId="34291"/>
    <cellStyle name="检查单元格 2 13" xfId="34292"/>
    <cellStyle name="检查单元格 2 14" xfId="34293"/>
    <cellStyle name="检查单元格 2 15" xfId="34294"/>
    <cellStyle name="检查单元格 2 2 10" xfId="34295"/>
    <cellStyle name="检查单元格 2 2 10 2" xfId="34296"/>
    <cellStyle name="注释 2 14 12" xfId="34297"/>
    <cellStyle name="检查单元格 2 2 10 3" xfId="34298"/>
    <cellStyle name="注释 2 14 13" xfId="34299"/>
    <cellStyle name="检查单元格 2 2 10 4" xfId="34300"/>
    <cellStyle name="注释 2 14 14" xfId="34301"/>
    <cellStyle name="检查单元格 2 2 10 6" xfId="34302"/>
    <cellStyle name="注释 2 14 16" xfId="34303"/>
    <cellStyle name="检查单元格 2 2 11 3" xfId="34304"/>
    <cellStyle name="检查单元格 2 2 11 4" xfId="34305"/>
    <cellStyle name="检查单元格 2 2 11 6" xfId="34306"/>
    <cellStyle name="检查单元格 2 2 12 3" xfId="34307"/>
    <cellStyle name="检查单元格 2 2 12 4" xfId="34308"/>
    <cellStyle name="输出 2 10 7 6 2 2" xfId="34309"/>
    <cellStyle name="检查单元格 2 2 12 5" xfId="34310"/>
    <cellStyle name="检查单元格 2 2 15 2" xfId="34311"/>
    <cellStyle name="注释 2 15 12" xfId="34312"/>
    <cellStyle name="检查单元格 2 2 16" xfId="34313"/>
    <cellStyle name="检查单元格 2 2 16 2" xfId="34314"/>
    <cellStyle name="检查单元格 2 2 2 10" xfId="34315"/>
    <cellStyle name="检查单元格 2 2 2 11" xfId="34316"/>
    <cellStyle name="输出 2 10 9 8 3 2" xfId="34317"/>
    <cellStyle name="检查单元格 2 9 6 4 2 2" xfId="34318"/>
    <cellStyle name="注释 2 11 7 5 4" xfId="34319"/>
    <cellStyle name="检查单元格 2 2 2 12" xfId="34320"/>
    <cellStyle name="检查单元格 2 2 2 13" xfId="34321"/>
    <cellStyle name="检查单元格 2 2 2 2 2" xfId="34322"/>
    <cellStyle name="注释 2 4 14 2" xfId="34323"/>
    <cellStyle name="检查单元格 2 2 2 2 2 2" xfId="34324"/>
    <cellStyle name="注释 2 4 14 2 2" xfId="34325"/>
    <cellStyle name="检查单元格 2 2 2 2 3 2" xfId="34326"/>
    <cellStyle name="注释 2 4 14 3 2" xfId="34327"/>
    <cellStyle name="检查单元格 2 2 2 2 4" xfId="34328"/>
    <cellStyle name="注释 2 4 14 4" xfId="34329"/>
    <cellStyle name="注释 2 7 9 2 5 2" xfId="34330"/>
    <cellStyle name="检查单元格 2 2 2 2 4 2" xfId="34331"/>
    <cellStyle name="注释 2 4 14 4 2" xfId="34332"/>
    <cellStyle name="检查单元格 2 2 2 2 5" xfId="34333"/>
    <cellStyle name="注释 2 4 14 5" xfId="34334"/>
    <cellStyle name="输出 2 14" xfId="34335"/>
    <cellStyle name="检查单元格 2 2 2 2 5 2" xfId="34336"/>
    <cellStyle name="注释 2 4 14 5 2" xfId="34337"/>
    <cellStyle name="检查单元格 2 2 2 2 6" xfId="34338"/>
    <cellStyle name="注释 2 4 14 6" xfId="34339"/>
    <cellStyle name="检查单元格 2 2 2 2 7" xfId="34340"/>
    <cellStyle name="检查单元格 2 2 2 2 8" xfId="34341"/>
    <cellStyle name="输入 2 10 3 9 2" xfId="34342"/>
    <cellStyle name="检查单元格 2 2 2 2 9" xfId="34343"/>
    <cellStyle name="检查单元格 2 2 2 3 5 2" xfId="34344"/>
    <cellStyle name="注释 2 4 15 5 2" xfId="34345"/>
    <cellStyle name="检查单元格 2 2 2 4" xfId="34346"/>
    <cellStyle name="注释 2 4 16" xfId="34347"/>
    <cellStyle name="注释 2 4 21" xfId="34348"/>
    <cellStyle name="检查单元格 2 2 2 4 5 2" xfId="34349"/>
    <cellStyle name="注释 2 4 16 5 2" xfId="34350"/>
    <cellStyle name="检查单元格 2 2 2 4 6" xfId="34351"/>
    <cellStyle name="输出 2 9 3 2" xfId="34352"/>
    <cellStyle name="注释 2 4 16 6" xfId="34353"/>
    <cellStyle name="检查单元格 2 2 2 5" xfId="34354"/>
    <cellStyle name="注释 2 4 17" xfId="34355"/>
    <cellStyle name="注释 2 4 22" xfId="34356"/>
    <cellStyle name="检查单元格 2 2 2 6" xfId="34357"/>
    <cellStyle name="注释 2 4 18" xfId="34358"/>
    <cellStyle name="注释 2 4 23" xfId="34359"/>
    <cellStyle name="输出 2 6 11 9 2" xfId="34360"/>
    <cellStyle name="检查单元格 2 2 2 7" xfId="34361"/>
    <cellStyle name="输入 2 4 5 2 3 2" xfId="34362"/>
    <cellStyle name="注释 2 4 19" xfId="34363"/>
    <cellStyle name="注释 2 4 24" xfId="34364"/>
    <cellStyle name="检查单元格 2 2 2 8" xfId="34365"/>
    <cellStyle name="注释 2 10 9 7 4 2" xfId="34366"/>
    <cellStyle name="注释 2 4 25" xfId="34367"/>
    <cellStyle name="检查单元格 2 2 2 9" xfId="34368"/>
    <cellStyle name="注释 2 4 26" xfId="34369"/>
    <cellStyle name="检查单元格 2 6 6 3 3" xfId="34370"/>
    <cellStyle name="输入 2 10 2 2 4 2" xfId="34371"/>
    <cellStyle name="检查单元格 2 2 3 10" xfId="34372"/>
    <cellStyle name="检查单元格 2 6 6 3 4" xfId="34373"/>
    <cellStyle name="输入 2 8 3 6 5 2" xfId="34374"/>
    <cellStyle name="检查单元格 2 2 3 11" xfId="34375"/>
    <cellStyle name="检查单元格 2 4 10 2 2" xfId="34376"/>
    <cellStyle name="检查单元格 2 2 3 2 2" xfId="34377"/>
    <cellStyle name="检查单元格 2 2 3 2 2 2" xfId="34378"/>
    <cellStyle name="检查单元格 2 2 3 2 3 2" xfId="34379"/>
    <cellStyle name="检查单元格 2 2 3 2 4" xfId="34380"/>
    <cellStyle name="注释 2 7 9 3 5 2" xfId="34381"/>
    <cellStyle name="检查单元格 2 2 3 2 4 2" xfId="34382"/>
    <cellStyle name="检查单元格 2 2 3 2 5" xfId="34383"/>
    <cellStyle name="检查单元格 2 2 3 2 5 2" xfId="34384"/>
    <cellStyle name="检查单元格 2 2 5 2 2 2" xfId="34385"/>
    <cellStyle name="检查单元格 2 2 3 2 6" xfId="34386"/>
    <cellStyle name="检查单元格 2 2 3 2 7" xfId="34387"/>
    <cellStyle name="检查单元格 2 2 3 2 8" xfId="34388"/>
    <cellStyle name="输入 2 10 4 9 2" xfId="34389"/>
    <cellStyle name="检查单元格 2 2 3 2 9" xfId="34390"/>
    <cellStyle name="检查单元格 2 2 3 3 5 2" xfId="34391"/>
    <cellStyle name="检查单元格 2 2 5 2 3 2" xfId="34392"/>
    <cellStyle name="检查单元格 2 2 3 3 6" xfId="34393"/>
    <cellStyle name="检查单元格 2 4 10 4" xfId="34394"/>
    <cellStyle name="检查单元格 2 2 3 4" xfId="34395"/>
    <cellStyle name="检查单元格 2 2 3 4 5 2" xfId="34396"/>
    <cellStyle name="检查单元格 2 2 5 2 4 2" xfId="34397"/>
    <cellStyle name="检查单元格 2 2 3 4 6" xfId="34398"/>
    <cellStyle name="检查单元格 2 4 10 5" xfId="34399"/>
    <cellStyle name="检查单元格 2 2 3 5" xfId="34400"/>
    <cellStyle name="检查单元格 2 4 10 6" xfId="34401"/>
    <cellStyle name="检查单元格 2 2 3 6" xfId="34402"/>
    <cellStyle name="检查单元格 2 2 3 7" xfId="34403"/>
    <cellStyle name="输入 2 4 5 2 4 2" xfId="34404"/>
    <cellStyle name="检查单元格 2 2 3 8" xfId="34405"/>
    <cellStyle name="输入 2 4 15 2 2" xfId="34406"/>
    <cellStyle name="注释 2 10 9 7 5 2" xfId="34407"/>
    <cellStyle name="检查单元格 2 2 3 9" xfId="34408"/>
    <cellStyle name="检查单元格 2 2 4 10" xfId="34409"/>
    <cellStyle name="输入 2 12 5 4 4" xfId="34410"/>
    <cellStyle name="检查单元格 2 2 4 11" xfId="34411"/>
    <cellStyle name="输入 2 12 5 4 5" xfId="34412"/>
    <cellStyle name="检查单元格 2 2 4 12" xfId="34413"/>
    <cellStyle name="输入 2 12 5 4 6" xfId="34414"/>
    <cellStyle name="检查单元格 2 2 4 13" xfId="34415"/>
    <cellStyle name="检查单元格 2 4 11 2" xfId="34416"/>
    <cellStyle name="检查单元格 2 2 4 2" xfId="34417"/>
    <cellStyle name="检查单元格 2 2 4 2 4 2" xfId="34418"/>
    <cellStyle name="检查单元格 2 2 4 2 5" xfId="34419"/>
    <cellStyle name="检查单元格 2 2 4 2 5 2" xfId="34420"/>
    <cellStyle name="检查单元格 2 2 5 3 2 2" xfId="34421"/>
    <cellStyle name="检查单元格 2 2 4 2 6" xfId="34422"/>
    <cellStyle name="检查单元格 2 2 4 2 7" xfId="34423"/>
    <cellStyle name="输入 2 12 5 11 2" xfId="34424"/>
    <cellStyle name="检查单元格 2 2 4 2 8" xfId="34425"/>
    <cellStyle name="输入 2 10 5 9 2" xfId="34426"/>
    <cellStyle name="检查单元格 2 2 4 2 9" xfId="34427"/>
    <cellStyle name="检查单元格 2 2 4 3 4 2" xfId="34428"/>
    <cellStyle name="检查单元格 2 2 4 3 5" xfId="34429"/>
    <cellStyle name="检查单元格 2 2 4 3 5 2" xfId="34430"/>
    <cellStyle name="检查单元格 2 2 5 3 3 2" xfId="34431"/>
    <cellStyle name="检查单元格 2 2 4 3 6" xfId="34432"/>
    <cellStyle name="检查单元格 2 2 4 4 4 2" xfId="34433"/>
    <cellStyle name="检查单元格 2 2 4 4 5" xfId="34434"/>
    <cellStyle name="检查单元格 2 2 4 4 5 2" xfId="34435"/>
    <cellStyle name="检查单元格 2 2 5 3 4 2" xfId="34436"/>
    <cellStyle name="检查单元格 2 2 4 4 6" xfId="34437"/>
    <cellStyle name="检查单元格 2 4 11 5" xfId="34438"/>
    <cellStyle name="检查单元格 2 2 4 5" xfId="34439"/>
    <cellStyle name="检查单元格 2 2 4 5 5" xfId="34440"/>
    <cellStyle name="检查单元格 2 4 11 6" xfId="34441"/>
    <cellStyle name="检查单元格 2 2 4 6" xfId="34442"/>
    <cellStyle name="检查单元格 2 2 4 7" xfId="34443"/>
    <cellStyle name="输入 2 4 5 2 5 2" xfId="34444"/>
    <cellStyle name="检查单元格 2 2 4 7 2" xfId="34445"/>
    <cellStyle name="检查单元格 2 2 4 8" xfId="34446"/>
    <cellStyle name="输入 2 4 15 3 2" xfId="34447"/>
    <cellStyle name="检查单元格 2 2 4 8 2" xfId="34448"/>
    <cellStyle name="检查单元格 2 2 4 9" xfId="34449"/>
    <cellStyle name="检查单元格 2 2 4 9 2" xfId="34450"/>
    <cellStyle name="检查单元格 2 4 12" xfId="34451"/>
    <cellStyle name="检查单元格 2 2 5" xfId="34452"/>
    <cellStyle name="注释 2 5 7 3 5 2" xfId="34453"/>
    <cellStyle name="检查单元格 2 2 5 10" xfId="34454"/>
    <cellStyle name="检查单元格 2 4 12 2 2" xfId="34455"/>
    <cellStyle name="检查单元格 2 2 5 2 2" xfId="34456"/>
    <cellStyle name="检查单元格 2 2 5 2 4" xfId="34457"/>
    <cellStyle name="注释 2 7 9 5 5 2" xfId="34458"/>
    <cellStyle name="检查单元格 2 2 5 2 5" xfId="34459"/>
    <cellStyle name="检查单元格 2 2 5 2 5 2" xfId="34460"/>
    <cellStyle name="检查单元格 2 2 5 4 2 2" xfId="34461"/>
    <cellStyle name="检查单元格 2 2 5 2 6" xfId="34462"/>
    <cellStyle name="检查单元格 2 2 5 2 7" xfId="34463"/>
    <cellStyle name="检查单元格 2 2 5 2 8" xfId="34464"/>
    <cellStyle name="输入 2 10 6 9 2" xfId="34465"/>
    <cellStyle name="检查单元格 2 2 5 2 9" xfId="34466"/>
    <cellStyle name="检查单元格 2 4 12 3 2" xfId="34467"/>
    <cellStyle name="检查单元格 2 2 5 3 2" xfId="34468"/>
    <cellStyle name="检查单元格 2 2 5 3 4" xfId="34469"/>
    <cellStyle name="输入 2 8 10 2 2 2" xfId="34470"/>
    <cellStyle name="检查单元格 2 2 5 3 5" xfId="34471"/>
    <cellStyle name="检查单元格 2 2 5 3 5 2" xfId="34472"/>
    <cellStyle name="检查单元格 2 2 5 4 3 2" xfId="34473"/>
    <cellStyle name="检查单元格 2 2 5 3 6" xfId="34474"/>
    <cellStyle name="检查单元格 2 4 12 4 2" xfId="34475"/>
    <cellStyle name="检查单元格 2 2 5 4 2" xfId="34476"/>
    <cellStyle name="检查单元格 2 2 5 4 4" xfId="34477"/>
    <cellStyle name="输入 2 8 10 2 3 2" xfId="34478"/>
    <cellStyle name="检查单元格 2 2 5 4 6" xfId="34479"/>
    <cellStyle name="检查单元格 2 2 5 4 4 2" xfId="34480"/>
    <cellStyle name="检查单元格 2 2 5 4 5" xfId="34481"/>
    <cellStyle name="检查单元格 2 2 5 4 5 2" xfId="34482"/>
    <cellStyle name="检查单元格 2 4 12 5" xfId="34483"/>
    <cellStyle name="检查单元格 2 2 5 5" xfId="34484"/>
    <cellStyle name="检查单元格 2 2 5 5 2" xfId="34485"/>
    <cellStyle name="检查单元格 2 2 6 2 6" xfId="34486"/>
    <cellStyle name="检查单元格 2 2 5 5 2 2" xfId="34487"/>
    <cellStyle name="检查单元格 2 2 6 3 6" xfId="34488"/>
    <cellStyle name="检查单元格 2 2 5 5 3 2" xfId="34489"/>
    <cellStyle name="检查单元格 2 2 6 4 6" xfId="34490"/>
    <cellStyle name="检查单元格 2 2 5 5 4 2" xfId="34491"/>
    <cellStyle name="检查单元格 2 2 5 5 5" xfId="34492"/>
    <cellStyle name="检查单元格 2 2 5 6" xfId="34493"/>
    <cellStyle name="检查单元格 2 2 5 6 2" xfId="34494"/>
    <cellStyle name="检查单元格 2 2 5 7" xfId="34495"/>
    <cellStyle name="检查单元格 2 2 5 7 2" xfId="34496"/>
    <cellStyle name="检查单元格 2 2 5 8" xfId="34497"/>
    <cellStyle name="输入 2 4 15 4 2" xfId="34498"/>
    <cellStyle name="检查单元格 2 2 5 8 2" xfId="34499"/>
    <cellStyle name="检查单元格 2 2 5 9" xfId="34500"/>
    <cellStyle name="检查单元格 2 2 5 9 2" xfId="34501"/>
    <cellStyle name="检查单元格 2 4 13" xfId="34502"/>
    <cellStyle name="检查单元格 2 2 6" xfId="34503"/>
    <cellStyle name="检查单元格 2 8 8 3 4 2" xfId="34504"/>
    <cellStyle name="检查单元格 2 2 6 10" xfId="34505"/>
    <cellStyle name="注释 2 11 7 10 2" xfId="34506"/>
    <cellStyle name="检查单元格 2 2 6 11" xfId="34507"/>
    <cellStyle name="检查单元格 2 2 6 12" xfId="34508"/>
    <cellStyle name="检查单元格 2 2 6 13" xfId="34509"/>
    <cellStyle name="检查单元格 2 4 13 2" xfId="34510"/>
    <cellStyle name="检查单元格 2 2 6 2" xfId="34511"/>
    <cellStyle name="检查单元格 2 2 6 2 2" xfId="34512"/>
    <cellStyle name="检查单元格 2 3 3 2 6" xfId="34513"/>
    <cellStyle name="检查单元格 2 2 6 2 2 2" xfId="34514"/>
    <cellStyle name="检查单元格 2 3 3 3 6" xfId="34515"/>
    <cellStyle name="检查单元格 2 2 6 2 3 2" xfId="34516"/>
    <cellStyle name="检查单元格 2 2 6 2 4" xfId="34517"/>
    <cellStyle name="注释 2 7 9 6 5 2" xfId="34518"/>
    <cellStyle name="检查单元格 2 3 3 4 6" xfId="34519"/>
    <cellStyle name="检查单元格 2 2 6 2 4 2" xfId="34520"/>
    <cellStyle name="检查单元格 2 2 6 2 5" xfId="34521"/>
    <cellStyle name="检查单元格 2 2 6 2 5 2" xfId="34522"/>
    <cellStyle name="检查单元格 2 2 6 2 7" xfId="34523"/>
    <cellStyle name="检查单元格 2 2 6 2 8" xfId="34524"/>
    <cellStyle name="输入 2 10 7 9 2" xfId="34525"/>
    <cellStyle name="检查单元格 2 2 6 2 9" xfId="34526"/>
    <cellStyle name="检查单元格 2 2 6 3 2" xfId="34527"/>
    <cellStyle name="检查单元格 2 3 4 2 6" xfId="34528"/>
    <cellStyle name="检查单元格 2 2 6 3 2 2" xfId="34529"/>
    <cellStyle name="检查单元格 2 3 4 3 6" xfId="34530"/>
    <cellStyle name="检查单元格 2 2 6 3 3 2" xfId="34531"/>
    <cellStyle name="检查单元格 2 2 6 3 4" xfId="34532"/>
    <cellStyle name="输入 2 8 10 3 2 2" xfId="34533"/>
    <cellStyle name="检查单元格 2 3 4 4 6" xfId="34534"/>
    <cellStyle name="检查单元格 2 2 6 3 4 2" xfId="34535"/>
    <cellStyle name="检查单元格 2 2 6 3 5" xfId="34536"/>
    <cellStyle name="检查单元格 2 2 6 3 5 2" xfId="34537"/>
    <cellStyle name="检查单元格 2 2 6 4 2" xfId="34538"/>
    <cellStyle name="检查单元格 2 3 5 2 6" xfId="34539"/>
    <cellStyle name="检查单元格 2 2 6 4 2 2" xfId="34540"/>
    <cellStyle name="检查单元格 2 3 5 3 6" xfId="34541"/>
    <cellStyle name="检查单元格 2 2 6 4 3 2" xfId="34542"/>
    <cellStyle name="检查单元格 2 2 6 4 4" xfId="34543"/>
    <cellStyle name="输入 2 8 10 3 3 2" xfId="34544"/>
    <cellStyle name="检查单元格 2 3 5 4 6" xfId="34545"/>
    <cellStyle name="检查单元格 2 2 6 4 4 2" xfId="34546"/>
    <cellStyle name="检查单元格 2 2 6 4 5" xfId="34547"/>
    <cellStyle name="输出 2 7 10 2 5" xfId="34548"/>
    <cellStyle name="注释 2 9 7 8 2" xfId="34549"/>
    <cellStyle name="输出 2 3 10 3" xfId="34550"/>
    <cellStyle name="检查单元格 2 2 6 4 5 2" xfId="34551"/>
    <cellStyle name="检查单元格 2 2 6 5" xfId="34552"/>
    <cellStyle name="检查单元格 2 2 6 5 2" xfId="34553"/>
    <cellStyle name="检查单元格 2 3 6 2 6" xfId="34554"/>
    <cellStyle name="检查单元格 2 2 6 5 2 2" xfId="34555"/>
    <cellStyle name="检查单元格 2 3 6 3 6" xfId="34556"/>
    <cellStyle name="检查单元格 2 2 6 5 3 2" xfId="34557"/>
    <cellStyle name="检查单元格 2 3 6 4 6" xfId="34558"/>
    <cellStyle name="检查单元格 2 2 6 5 4 2" xfId="34559"/>
    <cellStyle name="检查单元格 2 2 6 5 5" xfId="34560"/>
    <cellStyle name="检查单元格 2 2 6 6" xfId="34561"/>
    <cellStyle name="检查单元格 2 2 6 6 2" xfId="34562"/>
    <cellStyle name="检查单元格 2 2 6 7" xfId="34563"/>
    <cellStyle name="检查单元格 2 2 6 7 2" xfId="34564"/>
    <cellStyle name="检查单元格 2 2 6 8" xfId="34565"/>
    <cellStyle name="输入 2 4 15 5 2" xfId="34566"/>
    <cellStyle name="检查单元格 2 2 6 8 2" xfId="34567"/>
    <cellStyle name="检查单元格 2 2 6 9" xfId="34568"/>
    <cellStyle name="检查单元格 2 2 6 9 2" xfId="34569"/>
    <cellStyle name="检查单元格 2 4 14" xfId="34570"/>
    <cellStyle name="检查单元格 2 2 7" xfId="34571"/>
    <cellStyle name="输出 2 3 10 2 4" xfId="34572"/>
    <cellStyle name="注释 2 11 8 5 2" xfId="34573"/>
    <cellStyle name="检查单元格 2 2 7 10" xfId="34574"/>
    <cellStyle name="输出 2 3 10 2 5" xfId="34575"/>
    <cellStyle name="注释 2 11 8 5 3" xfId="34576"/>
    <cellStyle name="检查单元格 2 2 7 11" xfId="34577"/>
    <cellStyle name="输出 2 3 10 2 6" xfId="34578"/>
    <cellStyle name="检查单元格 2 9 6 5 2 2" xfId="34579"/>
    <cellStyle name="注释 2 11 8 5 4" xfId="34580"/>
    <cellStyle name="检查单元格 2 2 7 12" xfId="34581"/>
    <cellStyle name="输出 2 3 10 2 7" xfId="34582"/>
    <cellStyle name="注释 2 11 8 5 5" xfId="34583"/>
    <cellStyle name="检查单元格 2 2 7 13" xfId="34584"/>
    <cellStyle name="检查单元格 2 4 14 2" xfId="34585"/>
    <cellStyle name="检查单元格 2 2 7 2" xfId="34586"/>
    <cellStyle name="注释 2 5 14" xfId="34587"/>
    <cellStyle name="检查单元格 2 2 7 2 2" xfId="34588"/>
    <cellStyle name="注释 2 5 14 2" xfId="34589"/>
    <cellStyle name="检查单元格 2 4 3 2 6" xfId="34590"/>
    <cellStyle name="检查单元格 2 2 7 2 2 2" xfId="34591"/>
    <cellStyle name="注释 2 5 14 2 2" xfId="34592"/>
    <cellStyle name="检查单元格 2 4 3 3 6" xfId="34593"/>
    <cellStyle name="检查单元格 2 2 7 2 3 2" xfId="34594"/>
    <cellStyle name="注释 2 5 14 3 2" xfId="34595"/>
    <cellStyle name="检查单元格 2 2 7 2 4" xfId="34596"/>
    <cellStyle name="注释 2 5 14 4" xfId="34597"/>
    <cellStyle name="注释 2 7 9 7 5 2" xfId="34598"/>
    <cellStyle name="检查单元格 2 4 3 4 6" xfId="34599"/>
    <cellStyle name="检查单元格 2 2 7 2 4 2" xfId="34600"/>
    <cellStyle name="注释 2 5 14 4 2" xfId="34601"/>
    <cellStyle name="检查单元格 2 2 7 2 5" xfId="34602"/>
    <cellStyle name="注释 2 5 14 5" xfId="34603"/>
    <cellStyle name="检查单元格 2 2 7 2 5 2" xfId="34604"/>
    <cellStyle name="注释 2 11 16" xfId="34605"/>
    <cellStyle name="注释 2 11 21" xfId="34606"/>
    <cellStyle name="注释 2 5 14 5 2" xfId="34607"/>
    <cellStyle name="检查单元格 2 2 7 2 6" xfId="34608"/>
    <cellStyle name="注释 2 5 14 6" xfId="34609"/>
    <cellStyle name="检查单元格 2 2 7 2 7" xfId="34610"/>
    <cellStyle name="检查单元格 2 2 7 2 8" xfId="34611"/>
    <cellStyle name="输入 2 10 8 9 2" xfId="34612"/>
    <cellStyle name="检查单元格 2 2 7 2 9" xfId="34613"/>
    <cellStyle name="输出 2 6 2 2 2 2" xfId="34614"/>
    <cellStyle name="检查单元格 2 2 7 3 2" xfId="34615"/>
    <cellStyle name="注释 2 5 15 2" xfId="34616"/>
    <cellStyle name="注释 2 5 20 2" xfId="34617"/>
    <cellStyle name="检查单元格 2 4 4 2 6" xfId="34618"/>
    <cellStyle name="检查单元格 2 2 7 3 2 2" xfId="34619"/>
    <cellStyle name="注释 2 5 15 2 2" xfId="34620"/>
    <cellStyle name="检查单元格 2 2 7 3 3" xfId="34621"/>
    <cellStyle name="注释 2 5 15 3" xfId="34622"/>
    <cellStyle name="检查单元格 2 4 4 3 6" xfId="34623"/>
    <cellStyle name="检查单元格 2 2 7 3 3 2" xfId="34624"/>
    <cellStyle name="注释 2 5 15 3 2" xfId="34625"/>
    <cellStyle name="检查单元格 2 2 7 3 4" xfId="34626"/>
    <cellStyle name="输入 2 8 10 4 2 2" xfId="34627"/>
    <cellStyle name="注释 2 5 15 4" xfId="34628"/>
    <cellStyle name="检查单元格 2 4 4 4 6" xfId="34629"/>
    <cellStyle name="检查单元格 2 2 7 3 4 2" xfId="34630"/>
    <cellStyle name="注释 2 5 15 4 2" xfId="34631"/>
    <cellStyle name="检查单元格 2 2 7 3 5" xfId="34632"/>
    <cellStyle name="注释 2 5 15 5" xfId="34633"/>
    <cellStyle name="检查单元格 2 2 7 3 5 2" xfId="34634"/>
    <cellStyle name="注释 2 16 16" xfId="34635"/>
    <cellStyle name="注释 2 5 15 5 2" xfId="34636"/>
    <cellStyle name="检查单元格 2 2 7 3 6" xfId="34637"/>
    <cellStyle name="注释 2 5 15 6" xfId="34638"/>
    <cellStyle name="输出 2 6 2 2 3 2" xfId="34639"/>
    <cellStyle name="检查单元格 2 2 7 4 2" xfId="34640"/>
    <cellStyle name="注释 2 5 16 2" xfId="34641"/>
    <cellStyle name="注释 2 5 21 2" xfId="34642"/>
    <cellStyle name="检查单元格 2 4 5 2 6" xfId="34643"/>
    <cellStyle name="检查单元格 2 2 7 4 2 2" xfId="34644"/>
    <cellStyle name="注释 2 5 16 2 2" xfId="34645"/>
    <cellStyle name="检查单元格 2 2 7 4 3" xfId="34646"/>
    <cellStyle name="注释 2 5 16 3" xfId="34647"/>
    <cellStyle name="检查单元格 2 4 5 3 6" xfId="34648"/>
    <cellStyle name="检查单元格 2 2 7 4 3 2" xfId="34649"/>
    <cellStyle name="注释 2 5 16 3 2" xfId="34650"/>
    <cellStyle name="检查单元格 2 2 7 4 4" xfId="34651"/>
    <cellStyle name="输入 2 8 10 4 3 2" xfId="34652"/>
    <cellStyle name="注释 2 5 16 4" xfId="34653"/>
    <cellStyle name="检查单元格 2 4 5 4 6" xfId="34654"/>
    <cellStyle name="检查单元格 2 2 7 4 4 2" xfId="34655"/>
    <cellStyle name="注释 2 5 16 4 2" xfId="34656"/>
    <cellStyle name="检查单元格 2 2 7 4 5" xfId="34657"/>
    <cellStyle name="注释 2 5 16 5" xfId="34658"/>
    <cellStyle name="检查单元格 2 2 7 4 5 2" xfId="34659"/>
    <cellStyle name="输出 2 8 10 3" xfId="34660"/>
    <cellStyle name="注释 2 5 16 5 2" xfId="34661"/>
    <cellStyle name="检查单元格 2 2 7 4 6" xfId="34662"/>
    <cellStyle name="注释 2 5 16 6" xfId="34663"/>
    <cellStyle name="输出 2 6 2 2 4" xfId="34664"/>
    <cellStyle name="检查单元格 2 2 7 5" xfId="34665"/>
    <cellStyle name="注释 2 5 17" xfId="34666"/>
    <cellStyle name="注释 2 5 22" xfId="34667"/>
    <cellStyle name="输出 2 6 2 2 4 2" xfId="34668"/>
    <cellStyle name="检查单元格 2 2 7 5 2" xfId="34669"/>
    <cellStyle name="注释 2 5 17 2" xfId="34670"/>
    <cellStyle name="注释 2 5 22 2" xfId="34671"/>
    <cellStyle name="检查单元格 2 4 6 2 6" xfId="34672"/>
    <cellStyle name="检查单元格 2 2 7 5 2 2" xfId="34673"/>
    <cellStyle name="注释 2 5 17 2 2" xfId="34674"/>
    <cellStyle name="检查单元格 2 2 7 5 3" xfId="34675"/>
    <cellStyle name="注释 2 5 17 3" xfId="34676"/>
    <cellStyle name="检查单元格 2 4 6 3 6" xfId="34677"/>
    <cellStyle name="检查单元格 2 2 7 5 3 2" xfId="34678"/>
    <cellStyle name="注释 2 5 17 3 2" xfId="34679"/>
    <cellStyle name="检查单元格 2 4 6 4 6" xfId="34680"/>
    <cellStyle name="检查单元格 2 2 7 5 4 2" xfId="34681"/>
    <cellStyle name="注释 2 5 17 4 2" xfId="34682"/>
    <cellStyle name="检查单元格 2 2 7 5 5" xfId="34683"/>
    <cellStyle name="注释 2 5 17 5" xfId="34684"/>
    <cellStyle name="输出 2 6 2 2 5" xfId="34685"/>
    <cellStyle name="检查单元格 2 2 7 6" xfId="34686"/>
    <cellStyle name="注释 2 5 18" xfId="34687"/>
    <cellStyle name="注释 2 5 23" xfId="34688"/>
    <cellStyle name="注释 2 6 7 5 2 2" xfId="34689"/>
    <cellStyle name="输出 2 6 2 2 5 2" xfId="34690"/>
    <cellStyle name="检查单元格 2 2 7 6 2" xfId="34691"/>
    <cellStyle name="注释 2 5 18 2" xfId="34692"/>
    <cellStyle name="注释 2 5 23 2" xfId="34693"/>
    <cellStyle name="输出 2 6 2 2 6" xfId="34694"/>
    <cellStyle name="检查单元格 2 2 7 7" xfId="34695"/>
    <cellStyle name="注释 2 5 19" xfId="34696"/>
    <cellStyle name="注释 2 5 24" xfId="34697"/>
    <cellStyle name="检查单元格 2 2 7 7 2" xfId="34698"/>
    <cellStyle name="注释 2 5 19 2" xfId="34699"/>
    <cellStyle name="输出 2 6 2 2 7" xfId="34700"/>
    <cellStyle name="检查单元格 2 2 7 8" xfId="34701"/>
    <cellStyle name="注释 2 5 25" xfId="34702"/>
    <cellStyle name="检查单元格 2 2 7 8 2" xfId="34703"/>
    <cellStyle name="输出 2 6 2 2 8" xfId="34704"/>
    <cellStyle name="检查单元格 2 2 7 9" xfId="34705"/>
    <cellStyle name="注释 2 5 26" xfId="34706"/>
    <cellStyle name="检查单元格 2 2 7 9 2" xfId="34707"/>
    <cellStyle name="检查单元格 2 4 20" xfId="34708"/>
    <cellStyle name="检查单元格 2 4 15" xfId="34709"/>
    <cellStyle name="检查单元格 2 2 8" xfId="34710"/>
    <cellStyle name="检查单元格 2 2 8 2 2" xfId="34711"/>
    <cellStyle name="输入 2 3 17" xfId="34712"/>
    <cellStyle name="输入 2 3 22" xfId="34713"/>
    <cellStyle name="检查单元格 2 5 3 2 6" xfId="34714"/>
    <cellStyle name="检查单元格 2 2 8 2 2 2" xfId="34715"/>
    <cellStyle name="输入 2 3 17 2" xfId="34716"/>
    <cellStyle name="输入 2 3 22 2" xfId="34717"/>
    <cellStyle name="检查单元格 2 2 8 2 3" xfId="34718"/>
    <cellStyle name="输入 2 3 18" xfId="34719"/>
    <cellStyle name="输入 2 3 23" xfId="34720"/>
    <cellStyle name="检查单元格 2 2 8 2 4" xfId="34721"/>
    <cellStyle name="输入 2 3 19" xfId="34722"/>
    <cellStyle name="输入 2 3 24" xfId="34723"/>
    <cellStyle name="检查单元格 2 2 8 2 5" xfId="34724"/>
    <cellStyle name="输入 2 3 25" xfId="34725"/>
    <cellStyle name="检查单元格 2 2 8 2 6" xfId="34726"/>
    <cellStyle name="输入 2 3 26" xfId="34727"/>
    <cellStyle name="检查单元格 2 2 8 2 7" xfId="34728"/>
    <cellStyle name="输入 2 3 27" xfId="34729"/>
    <cellStyle name="检查单元格 2 2 8 2 8" xfId="34730"/>
    <cellStyle name="输入 2 10 9 9 2" xfId="34731"/>
    <cellStyle name="检查单元格 2 2 8 2 9" xfId="34732"/>
    <cellStyle name="输出 2 6 2 3 2 2" xfId="34733"/>
    <cellStyle name="检查单元格 2 2 8 3 2" xfId="34734"/>
    <cellStyle name="检查单元格 2 5 4 2 6" xfId="34735"/>
    <cellStyle name="检查单元格 2 2 8 3 2 2" xfId="34736"/>
    <cellStyle name="检查单元格 2 2 8 3 3" xfId="34737"/>
    <cellStyle name="检查单元格 2 2 8 3 4" xfId="34738"/>
    <cellStyle name="输入 2 8 10 5 2 2" xfId="34739"/>
    <cellStyle name="输出 2 4 8 2 2 2" xfId="34740"/>
    <cellStyle name="检查单元格 2 2 8 3 5" xfId="34741"/>
    <cellStyle name="检查单元格 2 2 8 3 6" xfId="34742"/>
    <cellStyle name="输出 2 6 2 3 3" xfId="34743"/>
    <cellStyle name="检查单元格 2 2 8 4" xfId="34744"/>
    <cellStyle name="输出 2 6 2 3 3 2" xfId="34745"/>
    <cellStyle name="检查单元格 2 2 8 4 2" xfId="34746"/>
    <cellStyle name="检查单元格 2 5 5 2 6" xfId="34747"/>
    <cellStyle name="检查单元格 2 2 8 4 2 2" xfId="34748"/>
    <cellStyle name="检查单元格 2 2 8 4 3" xfId="34749"/>
    <cellStyle name="检查单元格 2 5 5 3 6" xfId="34750"/>
    <cellStyle name="检查单元格 2 2 8 4 3 2" xfId="34751"/>
    <cellStyle name="检查单元格 2 2 8 4 4" xfId="34752"/>
    <cellStyle name="输入 2 8 10 5 3 2" xfId="34753"/>
    <cellStyle name="检查单元格 2 5 5 4 6" xfId="34754"/>
    <cellStyle name="检查单元格 2 2 8 4 4 2" xfId="34755"/>
    <cellStyle name="输出 2 4 8 2 3 2" xfId="34756"/>
    <cellStyle name="检查单元格 2 2 8 4 5" xfId="34757"/>
    <cellStyle name="检查单元格 2 2 8 4 5 2" xfId="34758"/>
    <cellStyle name="检查单元格 2 2 8 4 6" xfId="34759"/>
    <cellStyle name="输出 2 6 2 3 4" xfId="34760"/>
    <cellStyle name="检查单元格 2 2 8 5" xfId="34761"/>
    <cellStyle name="输出 2 6 2 3 4 2" xfId="34762"/>
    <cellStyle name="检查单元格 2 2 8 5 2" xfId="34763"/>
    <cellStyle name="检查单元格 2 5 6 2 6" xfId="34764"/>
    <cellStyle name="检查单元格 2 2 8 5 2 2" xfId="34765"/>
    <cellStyle name="检查单元格 2 2 8 5 3" xfId="34766"/>
    <cellStyle name="检查单元格 2 5 6 3 6" xfId="34767"/>
    <cellStyle name="检查单元格 2 2 8 5 3 2" xfId="34768"/>
    <cellStyle name="检查单元格 2 5 6 4 6" xfId="34769"/>
    <cellStyle name="检查单元格 2 2 8 5 4 2" xfId="34770"/>
    <cellStyle name="输出 2 4 8 2 4 2" xfId="34771"/>
    <cellStyle name="检查单元格 2 2 8 5 5" xfId="34772"/>
    <cellStyle name="输出 2 6 2 3 5" xfId="34773"/>
    <cellStyle name="检查单元格 2 2 8 6" xfId="34774"/>
    <cellStyle name="注释 2 6 7 5 3 2" xfId="34775"/>
    <cellStyle name="输出 2 6 2 3 6" xfId="34776"/>
    <cellStyle name="检查单元格 2 2 8 7" xfId="34777"/>
    <cellStyle name="检查单元格 2 2 8 8" xfId="34778"/>
    <cellStyle name="输入 2 9 10 10" xfId="34779"/>
    <cellStyle name="检查单元格 2 4 16" xfId="34780"/>
    <cellStyle name="检查单元格 2 2 9" xfId="34781"/>
    <cellStyle name="检查单元格 2 4 16 2" xfId="34782"/>
    <cellStyle name="检查单元格 2 2 9 2" xfId="34783"/>
    <cellStyle name="输出 2 6 2 4 2" xfId="34784"/>
    <cellStyle name="检查单元格 2 2 9 3" xfId="34785"/>
    <cellStyle name="输出 2 6 2 4 3" xfId="34786"/>
    <cellStyle name="检查单元格 2 2 9 4" xfId="34787"/>
    <cellStyle name="输出 2 6 2 4 4" xfId="34788"/>
    <cellStyle name="检查单元格 2 2 9 5" xfId="34789"/>
    <cellStyle name="输出 2 6 2 4 5" xfId="34790"/>
    <cellStyle name="检查单元格 2 2 9 6" xfId="34791"/>
    <cellStyle name="注释 2 6 7 5 4 2" xfId="34792"/>
    <cellStyle name="输出 2 4 14 3" xfId="34793"/>
    <cellStyle name="检查单元格 2 3 10 2 2" xfId="34794"/>
    <cellStyle name="检查单元格 2 3 12 2" xfId="34795"/>
    <cellStyle name="检查单元格 2 3 12 2 2" xfId="34796"/>
    <cellStyle name="检查单元格 2 3 13" xfId="34797"/>
    <cellStyle name="检查单元格 2 3 13 2" xfId="34798"/>
    <cellStyle name="检查单元格 2 3 14" xfId="34799"/>
    <cellStyle name="输入 2 12 9 5 2 2" xfId="34800"/>
    <cellStyle name="检查单元格 2 3 14 2" xfId="34801"/>
    <cellStyle name="检查单元格 2 3 15 2" xfId="34802"/>
    <cellStyle name="检查单元格 2 3 16 2" xfId="34803"/>
    <cellStyle name="检查单元格 2 4 9 2" xfId="34804"/>
    <cellStyle name="检查单元格 2 3 17" xfId="34805"/>
    <cellStyle name="输出 2 6 4 4 2" xfId="34806"/>
    <cellStyle name="检查单元格 2 4 9 3" xfId="34807"/>
    <cellStyle name="检查单元格 2 3 18" xfId="34808"/>
    <cellStyle name="输出 2 6 4 4 3" xfId="34809"/>
    <cellStyle name="检查单元格 2 4 9 4" xfId="34810"/>
    <cellStyle name="检查单元格 2 3 19" xfId="34811"/>
    <cellStyle name="检查单元格 2 3 2" xfId="34812"/>
    <cellStyle name="检查单元格 2 3 2 10" xfId="34813"/>
    <cellStyle name="注释 2 4 3 8 2" xfId="34814"/>
    <cellStyle name="检查单元格 2 3 2 12" xfId="34815"/>
    <cellStyle name="注释 2 4 3 8 4" xfId="34816"/>
    <cellStyle name="检查单元格 2 3 2 13" xfId="34817"/>
    <cellStyle name="注释 2 4 3 8 5" xfId="34818"/>
    <cellStyle name="检查单元格 2 3 2 2 2" xfId="34819"/>
    <cellStyle name="注释 2 9 14 2" xfId="34820"/>
    <cellStyle name="检查单元格 2 3 2 2 2 2" xfId="34821"/>
    <cellStyle name="注释 2 9 14 2 2" xfId="34822"/>
    <cellStyle name="检查单元格 2 3 2 2 3" xfId="34823"/>
    <cellStyle name="注释 2 9 14 3" xfId="34824"/>
    <cellStyle name="检查单元格 2 3 2 2 3 2" xfId="34825"/>
    <cellStyle name="注释 2 9 14 3 2" xfId="34826"/>
    <cellStyle name="检查单元格 2 3 2 2 4" xfId="34827"/>
    <cellStyle name="注释 2 9 14 4" xfId="34828"/>
    <cellStyle name="检查单元格 2 3 2 2 5" xfId="34829"/>
    <cellStyle name="注释 2 9 14 5" xfId="34830"/>
    <cellStyle name="检查单元格 2 3 2 2 6" xfId="34831"/>
    <cellStyle name="注释 2 9 14 6" xfId="34832"/>
    <cellStyle name="检查单元格 2 3 2 2 7" xfId="34833"/>
    <cellStyle name="检查单元格 2 3 2 2 8" xfId="34834"/>
    <cellStyle name="输入 2 11 3 9 2" xfId="34835"/>
    <cellStyle name="检查单元格 2 3 2 2 9" xfId="34836"/>
    <cellStyle name="检查单元格 2 3 2 3 2" xfId="34837"/>
    <cellStyle name="注释 2 9 15 2" xfId="34838"/>
    <cellStyle name="注释 2 9 20 2" xfId="34839"/>
    <cellStyle name="检查单元格 2 3 2 3 4" xfId="34840"/>
    <cellStyle name="注释 2 9 15 4" xfId="34841"/>
    <cellStyle name="检查单元格 2 3 2 3 5" xfId="34842"/>
    <cellStyle name="注释 2 9 15 5" xfId="34843"/>
    <cellStyle name="检查单元格 2 3 2 3 6" xfId="34844"/>
    <cellStyle name="注释 2 9 15 6" xfId="34845"/>
    <cellStyle name="检查单元格 2 3 2 4 2" xfId="34846"/>
    <cellStyle name="注释 2 9 16 2" xfId="34847"/>
    <cellStyle name="注释 2 9 21 2" xfId="34848"/>
    <cellStyle name="检查单元格 2 3 2 4 2 2" xfId="34849"/>
    <cellStyle name="注释 2 9 16 2 2" xfId="34850"/>
    <cellStyle name="检查单元格 2 3 2 4 3 2" xfId="34851"/>
    <cellStyle name="注释 2 9 16 3 2" xfId="34852"/>
    <cellStyle name="检查单元格 2 3 2 4 4" xfId="34853"/>
    <cellStyle name="注释 2 9 16 4" xfId="34854"/>
    <cellStyle name="检查单元格 2 3 2 4 4 2" xfId="34855"/>
    <cellStyle name="注释 2 9 16 4 2" xfId="34856"/>
    <cellStyle name="检查单元格 2 3 2 4 5" xfId="34857"/>
    <cellStyle name="注释 2 9 16 5" xfId="34858"/>
    <cellStyle name="检查单元格 2 3 2 4 5 2" xfId="34859"/>
    <cellStyle name="注释 2 9 16 5 2" xfId="34860"/>
    <cellStyle name="检查单元格 2 3 2 4 6" xfId="34861"/>
    <cellStyle name="注释 2 9 16 6" xfId="34862"/>
    <cellStyle name="检查单元格 2 7 2 2 5 2" xfId="34863"/>
    <cellStyle name="注释 2 2 7 4 4" xfId="34864"/>
    <cellStyle name="检查单元格 2 3 2 5" xfId="34865"/>
    <cellStyle name="注释 2 9 17" xfId="34866"/>
    <cellStyle name="注释 2 9 22" xfId="34867"/>
    <cellStyle name="检查单元格 2 3 2 5 2" xfId="34868"/>
    <cellStyle name="注释 2 9 17 2" xfId="34869"/>
    <cellStyle name="注释 2 9 22 2" xfId="34870"/>
    <cellStyle name="检查单元格 2 3 2 5 2 2" xfId="34871"/>
    <cellStyle name="注释 2 9 17 2 2" xfId="34872"/>
    <cellStyle name="检查单元格 2 3 2 5 3 2" xfId="34873"/>
    <cellStyle name="注释 2 9 17 3 2" xfId="34874"/>
    <cellStyle name="检查单元格 2 3 2 5 4 2" xfId="34875"/>
    <cellStyle name="注释 2 9 17 4 2" xfId="34876"/>
    <cellStyle name="检查单元格 2 3 2 5 5" xfId="34877"/>
    <cellStyle name="注释 2 9 17 5" xfId="34878"/>
    <cellStyle name="检查单元格 2 3 2 6" xfId="34879"/>
    <cellStyle name="注释 2 9 18" xfId="34880"/>
    <cellStyle name="注释 2 9 23" xfId="34881"/>
    <cellStyle name="检查单元格 2 3 2 6 2" xfId="34882"/>
    <cellStyle name="注释 2 9 18 2" xfId="34883"/>
    <cellStyle name="注释 2 9 23 2" xfId="34884"/>
    <cellStyle name="检查单元格 2 3 3" xfId="34885"/>
    <cellStyle name="检查单元格 2 3 3 10" xfId="34886"/>
    <cellStyle name="检查单元格 2 3 3 11" xfId="34887"/>
    <cellStyle name="检查单元格 2 3 3 2" xfId="34888"/>
    <cellStyle name="检查单元格 2 3 3 2 2" xfId="34889"/>
    <cellStyle name="检查单元格 2 3 3 2 2 2" xfId="34890"/>
    <cellStyle name="注释 2 14 11" xfId="34891"/>
    <cellStyle name="检查单元格 2 3 3 2 3" xfId="34892"/>
    <cellStyle name="检查单元格 2 3 3 2 3 2" xfId="34893"/>
    <cellStyle name="检查单元格 2 3 3 2 4" xfId="34894"/>
    <cellStyle name="检查单元格 2 3 3 2 4 2" xfId="34895"/>
    <cellStyle name="检查单元格 2 3 3 2 5" xfId="34896"/>
    <cellStyle name="检查单元格 2 3 3 2 5 2" xfId="34897"/>
    <cellStyle name="检查单元格 2 3 3 2 7" xfId="34898"/>
    <cellStyle name="检查单元格 2 3 3 2 8" xfId="34899"/>
    <cellStyle name="输入 2 11 4 9 2" xfId="34900"/>
    <cellStyle name="检查单元格 2 3 3 2 9" xfId="34901"/>
    <cellStyle name="检查单元格 2 3 3 3 2" xfId="34902"/>
    <cellStyle name="检查单元格 2 3 3 3 2 2" xfId="34903"/>
    <cellStyle name="输入 2 6 4" xfId="34904"/>
    <cellStyle name="检查单元格 2 3 3 3 3 2" xfId="34905"/>
    <cellStyle name="输入 2 7 4" xfId="34906"/>
    <cellStyle name="检查单元格 2 3 3 3 4" xfId="34907"/>
    <cellStyle name="检查单元格 2 3 3 3 4 2" xfId="34908"/>
    <cellStyle name="输入 2 8 4" xfId="34909"/>
    <cellStyle name="检查单元格 2 3 3 3 5" xfId="34910"/>
    <cellStyle name="检查单元格 2 3 3 3 5 2" xfId="34911"/>
    <cellStyle name="输入 2 9 4" xfId="34912"/>
    <cellStyle name="检查单元格 2 3 3 4 2" xfId="34913"/>
    <cellStyle name="检查单元格 2 3 3 4 2 2" xfId="34914"/>
    <cellStyle name="检查单元格 2 3 3 4 3 2" xfId="34915"/>
    <cellStyle name="检查单元格 2 3 3 4 4" xfId="34916"/>
    <cellStyle name="检查单元格 2 3 3 4 4 2" xfId="34917"/>
    <cellStyle name="检查单元格 2 3 3 4 5" xfId="34918"/>
    <cellStyle name="检查单元格 2 3 3 4 5 2" xfId="34919"/>
    <cellStyle name="检查单元格 2 3 3 5" xfId="34920"/>
    <cellStyle name="检查单元格 2 3 3 5 2" xfId="34921"/>
    <cellStyle name="检查单元格 2 3 3 5 3 2" xfId="34922"/>
    <cellStyle name="检查单元格 2 3 3 5 4 2" xfId="34923"/>
    <cellStyle name="检查单元格 2 3 3 5 5" xfId="34924"/>
    <cellStyle name="检查单元格 2 3 3 6" xfId="34925"/>
    <cellStyle name="检查单元格 2 3 3 6 2" xfId="34926"/>
    <cellStyle name="检查单元格 2 3 4 10" xfId="34927"/>
    <cellStyle name="输入 2 4 10 4 4" xfId="34928"/>
    <cellStyle name="检查单元格 2 3 4 11" xfId="34929"/>
    <cellStyle name="输入 2 4 10 4 5" xfId="34930"/>
    <cellStyle name="检查单元格 2 3 4 12" xfId="34931"/>
    <cellStyle name="输入 2 4 10 4 6" xfId="34932"/>
    <cellStyle name="检查单元格 2 3 4 13" xfId="34933"/>
    <cellStyle name="检查单元格 2 3 4 2" xfId="34934"/>
    <cellStyle name="检查单元格 2 3 4 2 4 2" xfId="34935"/>
    <cellStyle name="检查单元格 2 3 4 2 5" xfId="34936"/>
    <cellStyle name="检查单元格 2 8" xfId="34937"/>
    <cellStyle name="检查单元格 2 3 4 2 5 2" xfId="34938"/>
    <cellStyle name="检查单元格 2 3 4 2 7" xfId="34939"/>
    <cellStyle name="输入 2 4 10 11 2" xfId="34940"/>
    <cellStyle name="检查单元格 2 3 4 2 8" xfId="34941"/>
    <cellStyle name="输入 2 11 5 9 2" xfId="34942"/>
    <cellStyle name="检查单元格 2 3 4 2 9" xfId="34943"/>
    <cellStyle name="检查单元格 2 3 4 3 4 2" xfId="34944"/>
    <cellStyle name="检查单元格 2 3 4 3 5" xfId="34945"/>
    <cellStyle name="检查单元格 2 3 4 3 5 2" xfId="34946"/>
    <cellStyle name="检查单元格 2 3 4 4 4 2" xfId="34947"/>
    <cellStyle name="检查单元格 2 3 4 4 5" xfId="34948"/>
    <cellStyle name="检查单元格 2 3 4 4 5 2" xfId="34949"/>
    <cellStyle name="检查单元格 2 3 4 5" xfId="34950"/>
    <cellStyle name="检查单元格 2 3 4 5 4 2" xfId="34951"/>
    <cellStyle name="检查单元格 2 3 4 5 5" xfId="34952"/>
    <cellStyle name="检查单元格 2 3 4 6" xfId="34953"/>
    <cellStyle name="检查单元格 2 3 5 10" xfId="34954"/>
    <cellStyle name="检查单元格 2 3 5 12" xfId="34955"/>
    <cellStyle name="检查单元格 2 3 5 13" xfId="34956"/>
    <cellStyle name="检查单元格 2 3 5 2" xfId="34957"/>
    <cellStyle name="检查单元格 2 3 5 2 2" xfId="34958"/>
    <cellStyle name="检查单元格 2 3 5 2 2 2" xfId="34959"/>
    <cellStyle name="检查单元格 2 3 5 2 3" xfId="34960"/>
    <cellStyle name="检查单元格 2 3 5 2 3 2" xfId="34961"/>
    <cellStyle name="检查单元格 2 3 5 2 4" xfId="34962"/>
    <cellStyle name="检查单元格 2 3 5 2 4 2" xfId="34963"/>
    <cellStyle name="检查单元格 2 3 5 2 5" xfId="34964"/>
    <cellStyle name="检查单元格 2 3 5 2 5 2" xfId="34965"/>
    <cellStyle name="检查单元格 2 3 5 3 2" xfId="34966"/>
    <cellStyle name="检查单元格 2 3 5 3 2 2" xfId="34967"/>
    <cellStyle name="检查单元格 2 3 5 3 3 2" xfId="34968"/>
    <cellStyle name="检查单元格 2 3 5 3 4" xfId="34969"/>
    <cellStyle name="输入 2 8 11 2 2 2" xfId="34970"/>
    <cellStyle name="检查单元格 2 3 5 3 4 2" xfId="34971"/>
    <cellStyle name="检查单元格 2 3 5 3 5" xfId="34972"/>
    <cellStyle name="检查单元格 2 3 5 3 5 2" xfId="34973"/>
    <cellStyle name="检查单元格 2 3 5 4 2" xfId="34974"/>
    <cellStyle name="检查单元格 2 3 5 4 2 2" xfId="34975"/>
    <cellStyle name="检查单元格 2 3 5 4 3 2" xfId="34976"/>
    <cellStyle name="检查单元格 2 3 5 4 4" xfId="34977"/>
    <cellStyle name="输入 2 8 11 2 3 2" xfId="34978"/>
    <cellStyle name="检查单元格 2 3 5 4 4 2" xfId="34979"/>
    <cellStyle name="检查单元格 2 3 5 4 5 2" xfId="34980"/>
    <cellStyle name="检查单元格 2 3 5 5" xfId="34981"/>
    <cellStyle name="检查单元格 2 3 5 5 2" xfId="34982"/>
    <cellStyle name="检查单元格 2 3 5 5 2 2" xfId="34983"/>
    <cellStyle name="输出 2 7 10 2 2 2" xfId="34984"/>
    <cellStyle name="检查单元格 2 3 5 5 3 2" xfId="34985"/>
    <cellStyle name="输出 2 7 10 2 3 2" xfId="34986"/>
    <cellStyle name="检查单元格 2 3 5 5 4 2" xfId="34987"/>
    <cellStyle name="注释 2 4 4 15" xfId="34988"/>
    <cellStyle name="检查单元格 2 3 5 6" xfId="34989"/>
    <cellStyle name="检查单元格 2 3 5 6 2" xfId="34990"/>
    <cellStyle name="检查单元格 2 3 5 7 2" xfId="34991"/>
    <cellStyle name="检查单元格 2 3 5 8 2" xfId="34992"/>
    <cellStyle name="检查单元格 2 3 5 9" xfId="34993"/>
    <cellStyle name="检查单元格 2 3 5 9 2" xfId="34994"/>
    <cellStyle name="检查单元格 2 3 6" xfId="34995"/>
    <cellStyle name="检查单元格 2 3 6 10" xfId="34996"/>
    <cellStyle name="注释 2 11 8 10 2" xfId="34997"/>
    <cellStyle name="注释 2 4 4 3 2" xfId="34998"/>
    <cellStyle name="检查单元格 2 3 6 11" xfId="34999"/>
    <cellStyle name="注释 2 4 4 3 3" xfId="35000"/>
    <cellStyle name="检查单元格 2 3 6 12" xfId="35001"/>
    <cellStyle name="注释 2 12 5 6 3 2" xfId="35002"/>
    <cellStyle name="注释 2 4 4 3 4" xfId="35003"/>
    <cellStyle name="检查单元格 2 3 6 13" xfId="35004"/>
    <cellStyle name="注释 2 4 4 3 5" xfId="35005"/>
    <cellStyle name="检查单元格 2 3 6 2" xfId="35006"/>
    <cellStyle name="检查单元格 2 3 6 2 2" xfId="35007"/>
    <cellStyle name="检查单元格 2 3 6 2 3" xfId="35008"/>
    <cellStyle name="输出 2 10 10 2 5 2" xfId="35009"/>
    <cellStyle name="检查单元格 2 3 6 2 4" xfId="35010"/>
    <cellStyle name="检查单元格 2 3 6 2 5" xfId="35011"/>
    <cellStyle name="检查单元格 2 3 6 2 7" xfId="35012"/>
    <cellStyle name="检查单元格 2 3 6 2 8" xfId="35013"/>
    <cellStyle name="输入 2 11 7 9 2" xfId="35014"/>
    <cellStyle name="检查单元格 2 3 6 2 9" xfId="35015"/>
    <cellStyle name="检查单元格 2 3 6 3 2" xfId="35016"/>
    <cellStyle name="检查单元格 2 3 6 3 4" xfId="35017"/>
    <cellStyle name="输入 2 8 11 3 2 2" xfId="35018"/>
    <cellStyle name="检查单元格 2 3 6 3 5" xfId="35019"/>
    <cellStyle name="检查单元格 2 3 6 4 2" xfId="35020"/>
    <cellStyle name="检查单元格 2 3 6 4 4" xfId="35021"/>
    <cellStyle name="输入 2 8 11 3 3 2" xfId="35022"/>
    <cellStyle name="检查单元格 2 3 6 4 5" xfId="35023"/>
    <cellStyle name="检查单元格 2 3 6 5" xfId="35024"/>
    <cellStyle name="检查单元格 2 3 6 5 2" xfId="35025"/>
    <cellStyle name="输出 2 7 11 2 4" xfId="35026"/>
    <cellStyle name="检查单元格 2 3 6 5 5" xfId="35027"/>
    <cellStyle name="检查单元格 2 3 6 6" xfId="35028"/>
    <cellStyle name="检查单元格 2 3 6 6 2" xfId="35029"/>
    <cellStyle name="检查单元格 2 3 6 7 2" xfId="35030"/>
    <cellStyle name="检查单元格 2 3 6 8 2" xfId="35031"/>
    <cellStyle name="检查单元格 2 3 6 9" xfId="35032"/>
    <cellStyle name="检查单元格 2 3 6 9 2" xfId="35033"/>
    <cellStyle name="检查单元格 2 3 7" xfId="35034"/>
    <cellStyle name="检查单元格 2 3 7 10" xfId="35035"/>
    <cellStyle name="注释 2 4 4 8 2" xfId="35036"/>
    <cellStyle name="检查单元格 2 3 7 12" xfId="35037"/>
    <cellStyle name="注释 2 4 4 8 4" xfId="35038"/>
    <cellStyle name="检查单元格 2 3 7 13" xfId="35039"/>
    <cellStyle name="注释 2 4 4 8 5" xfId="35040"/>
    <cellStyle name="检查单元格 2 3 7 2" xfId="35041"/>
    <cellStyle name="检查单元格 2 3 7 2 2" xfId="35042"/>
    <cellStyle name="检查单元格 2 3 7 2 3" xfId="35043"/>
    <cellStyle name="输出 2 10 10 3 5 2" xfId="35044"/>
    <cellStyle name="检查单元格 2 3 7 2 4" xfId="35045"/>
    <cellStyle name="检查单元格 2 3 7 2 5" xfId="35046"/>
    <cellStyle name="检查单元格 2 3 7 2 6" xfId="35047"/>
    <cellStyle name="检查单元格 2 3 7 2 7" xfId="35048"/>
    <cellStyle name="检查单元格 2 3 7 2 8" xfId="35049"/>
    <cellStyle name="输入 2 11 8 9 2" xfId="35050"/>
    <cellStyle name="检查单元格 2 3 7 2 9" xfId="35051"/>
    <cellStyle name="输出 2 6 3 2 2 2" xfId="35052"/>
    <cellStyle name="检查单元格 2 3 7 3 2" xfId="35053"/>
    <cellStyle name="检查单元格 2 3 7 3 3" xfId="35054"/>
    <cellStyle name="检查单元格 2 3 7 3 4" xfId="35055"/>
    <cellStyle name="输入 2 8 11 4 2 2" xfId="35056"/>
    <cellStyle name="检查单元格 2 3 7 3 5" xfId="35057"/>
    <cellStyle name="检查单元格 2 3 7 3 6" xfId="35058"/>
    <cellStyle name="输出 2 6 3 2 3 2" xfId="35059"/>
    <cellStyle name="检查单元格 2 3 7 4 2" xfId="35060"/>
    <cellStyle name="检查单元格 2 3 7 4 3" xfId="35061"/>
    <cellStyle name="检查单元格 2 3 7 4 4" xfId="35062"/>
    <cellStyle name="输入 2 8 11 4 3 2" xfId="35063"/>
    <cellStyle name="检查单元格 2 3 7 4 5" xfId="35064"/>
    <cellStyle name="检查单元格 2 3 7 4 6" xfId="35065"/>
    <cellStyle name="输出 2 6 3 2 4" xfId="35066"/>
    <cellStyle name="检查单元格 2 3 7 5" xfId="35067"/>
    <cellStyle name="输出 2 6 3 2 4 2" xfId="35068"/>
    <cellStyle name="检查单元格 2 3 7 5 2" xfId="35069"/>
    <cellStyle name="输出 2 7 12 2 2" xfId="35070"/>
    <cellStyle name="检查单元格 2 3 7 5 3" xfId="35071"/>
    <cellStyle name="检查单元格 2 3 7 5 5" xfId="35072"/>
    <cellStyle name="输出 2 6 3 2 5" xfId="35073"/>
    <cellStyle name="检查单元格 2 3 7 6" xfId="35074"/>
    <cellStyle name="注释 2 6 7 6 2 2" xfId="35075"/>
    <cellStyle name="输出 2 6 3 2 5 2" xfId="35076"/>
    <cellStyle name="检查单元格 2 3 7 6 2" xfId="35077"/>
    <cellStyle name="检查单元格 2 3 7 7 2" xfId="35078"/>
    <cellStyle name="检查单元格 2 3 7 8 2" xfId="35079"/>
    <cellStyle name="输出 2 6 3 2 8" xfId="35080"/>
    <cellStyle name="检查单元格 2 3 7 9" xfId="35081"/>
    <cellStyle name="检查单元格 2 3 7 9 2" xfId="35082"/>
    <cellStyle name="检查单元格 2 3 8 2" xfId="35083"/>
    <cellStyle name="检查单元格 2 3 8 2 2" xfId="35084"/>
    <cellStyle name="检查单元格 2 3 8 2 3" xfId="35085"/>
    <cellStyle name="输出 2 10 10 4 5 2" xfId="35086"/>
    <cellStyle name="检查单元格 2 3 8 2 4" xfId="35087"/>
    <cellStyle name="输出 2 10 7 2" xfId="35088"/>
    <cellStyle name="检查单元格 2 3 8 2 5" xfId="35089"/>
    <cellStyle name="输出 2 10 7 3" xfId="35090"/>
    <cellStyle name="检查单元格 2 3 8 2 6" xfId="35091"/>
    <cellStyle name="输出 2 10 7 4" xfId="35092"/>
    <cellStyle name="检查单元格 2 3 8 2 7" xfId="35093"/>
    <cellStyle name="输出 2 10 7 5" xfId="35094"/>
    <cellStyle name="检查单元格 2 3 8 2 8" xfId="35095"/>
    <cellStyle name="输入 2 11 9 9 2" xfId="35096"/>
    <cellStyle name="输出 2 10 7 6" xfId="35097"/>
    <cellStyle name="检查单元格 2 3 8 2 9" xfId="35098"/>
    <cellStyle name="输出 2 6 3 3 2" xfId="35099"/>
    <cellStyle name="检查单元格 2 3 8 3" xfId="35100"/>
    <cellStyle name="输出 2 6 3 3 2 2" xfId="35101"/>
    <cellStyle name="检查单元格 2 3 8 3 2" xfId="35102"/>
    <cellStyle name="检查单元格 2 3 8 3 3" xfId="35103"/>
    <cellStyle name="检查单元格 2 3 8 3 4" xfId="35104"/>
    <cellStyle name="输入 2 8 11 5 2 2" xfId="35105"/>
    <cellStyle name="输出 2 4 9 2 2 2" xfId="35106"/>
    <cellStyle name="输出 2 10 8 2" xfId="35107"/>
    <cellStyle name="检查单元格 2 3 8 3 5" xfId="35108"/>
    <cellStyle name="输出 2 10 8 3" xfId="35109"/>
    <cellStyle name="检查单元格 2 3 8 3 6" xfId="35110"/>
    <cellStyle name="输出 2 6 3 3 3" xfId="35111"/>
    <cellStyle name="检查单元格 2 3 8 4" xfId="35112"/>
    <cellStyle name="输出 2 6 3 3 3 2" xfId="35113"/>
    <cellStyle name="检查单元格 2 3 8 4 2" xfId="35114"/>
    <cellStyle name="检查单元格 2 3 8 4 3" xfId="35115"/>
    <cellStyle name="检查单元格 2 3 8 4 4" xfId="35116"/>
    <cellStyle name="输入 2 8 11 5 3 2" xfId="35117"/>
    <cellStyle name="输出 2 4 9 2 3 2" xfId="35118"/>
    <cellStyle name="输出 2 10 9 2" xfId="35119"/>
    <cellStyle name="检查单元格 2 3 8 4 5" xfId="35120"/>
    <cellStyle name="输出 2 10 9 3" xfId="35121"/>
    <cellStyle name="检查单元格 2 3 8 4 6" xfId="35122"/>
    <cellStyle name="输出 2 6 3 3 4" xfId="35123"/>
    <cellStyle name="检查单元格 2 3 8 5" xfId="35124"/>
    <cellStyle name="输出 2 6 3 3 4 2" xfId="35125"/>
    <cellStyle name="检查单元格 2 3 8 5 2" xfId="35126"/>
    <cellStyle name="输出 2 7 13 2 2" xfId="35127"/>
    <cellStyle name="检查单元格 2 3 8 5 3" xfId="35128"/>
    <cellStyle name="输出 2 4 9 2 4 2" xfId="35129"/>
    <cellStyle name="检查单元格 2 3 8 5 5" xfId="35130"/>
    <cellStyle name="检查单元格 2 3 9" xfId="35131"/>
    <cellStyle name="检查单元格 2 3 9 2" xfId="35132"/>
    <cellStyle name="输出 2 6 3 4 3" xfId="35133"/>
    <cellStyle name="检查单元格 2 3 9 4" xfId="35134"/>
    <cellStyle name="输出 2 6 3 4 4" xfId="35135"/>
    <cellStyle name="检查单元格 2 3 9 5" xfId="35136"/>
    <cellStyle name="检查单元格 2 4" xfId="35137"/>
    <cellStyle name="检查单元格 2 4 17" xfId="35138"/>
    <cellStyle name="输出 2 6 4 9 2" xfId="35139"/>
    <cellStyle name="检查单元格 2 4 18" xfId="35140"/>
    <cellStyle name="输出 2 14 4 3 2" xfId="35141"/>
    <cellStyle name="检查单元格 2 4 19" xfId="35142"/>
    <cellStyle name="输出 2 6 11 2 5" xfId="35143"/>
    <cellStyle name="检查单元格 2 4 2 10" xfId="35144"/>
    <cellStyle name="注释 2 4 8 8 2" xfId="35145"/>
    <cellStyle name="检查单元格 2 4 2 12" xfId="35146"/>
    <cellStyle name="注释 2 4 8 8 4" xfId="35147"/>
    <cellStyle name="检查单元格 2 4 2 13" xfId="35148"/>
    <cellStyle name="注释 2 4 8 8 5" xfId="35149"/>
    <cellStyle name="检查单元格 2 5 2 2 3" xfId="35150"/>
    <cellStyle name="注释 2 10 3 9 2" xfId="35151"/>
    <cellStyle name="检查单元格 2 4 2 2 2 2" xfId="35152"/>
    <cellStyle name="检查单元格 2 5 3 2 3" xfId="35153"/>
    <cellStyle name="注释 2 10 4 9 2" xfId="35154"/>
    <cellStyle name="检查单元格 2 4 2 3 2 2" xfId="35155"/>
    <cellStyle name="检查单元格 2 5 4 2 3" xfId="35156"/>
    <cellStyle name="注释 2 10 5 9 2" xfId="35157"/>
    <cellStyle name="检查单元格 2 4 2 4 2 2" xfId="35158"/>
    <cellStyle name="检查单元格 2 4 2 6 2" xfId="35159"/>
    <cellStyle name="输出 2 6 11 7 5" xfId="35160"/>
    <cellStyle name="检查单元格 2 4 3 10" xfId="35161"/>
    <cellStyle name="输出 2 6 11 7 6" xfId="35162"/>
    <cellStyle name="检查单元格 2 4 3 11" xfId="35163"/>
    <cellStyle name="输出 2 5 2 2 2 2" xfId="35164"/>
    <cellStyle name="输出 2 8 4 6 3" xfId="35165"/>
    <cellStyle name="检查单元格 2 4 3 12" xfId="35166"/>
    <cellStyle name="检查单元格 2 6 2 2 3" xfId="35167"/>
    <cellStyle name="注释 2 11 3 9 2" xfId="35168"/>
    <cellStyle name="检查单元格 2 4 3 2 2 2" xfId="35169"/>
    <cellStyle name="检查单元格 2 4 3 2 3" xfId="35170"/>
    <cellStyle name="检查单元格 2 6 2 3 3" xfId="35171"/>
    <cellStyle name="输入 2 2 7 2 8" xfId="35172"/>
    <cellStyle name="检查单元格 2 4 3 2 3 2" xfId="35173"/>
    <cellStyle name="检查单元格 2 4 3 2 4" xfId="35174"/>
    <cellStyle name="检查单元格 2 6 2 4 3" xfId="35175"/>
    <cellStyle name="检查单元格 2 4 3 2 4 2" xfId="35176"/>
    <cellStyle name="检查单元格 2 4 3 2 5" xfId="35177"/>
    <cellStyle name="输出 2 13 13" xfId="35178"/>
    <cellStyle name="检查单元格 2 6 2 5 3" xfId="35179"/>
    <cellStyle name="检查单元格 2 4 3 2 5 2" xfId="35180"/>
    <cellStyle name="检查单元格 2 4 3 2 7" xfId="35181"/>
    <cellStyle name="检查单元格 2 4 3 2 8" xfId="35182"/>
    <cellStyle name="输入 2 12 4 9 2" xfId="35183"/>
    <cellStyle name="检查单元格 2 4 3 2 9" xfId="35184"/>
    <cellStyle name="检查单元格 2 6 3 2 3" xfId="35185"/>
    <cellStyle name="注释 2 11 4 9 2" xfId="35186"/>
    <cellStyle name="检查单元格 2 4 3 3 2 2" xfId="35187"/>
    <cellStyle name="检查单元格 2 4 3 3 3" xfId="35188"/>
    <cellStyle name="检查单元格 2 6 3 3 3" xfId="35189"/>
    <cellStyle name="输入 2 2 8 2 8" xfId="35190"/>
    <cellStyle name="检查单元格 2 4 3 3 3 2" xfId="35191"/>
    <cellStyle name="检查单元格 2 4 3 3 4" xfId="35192"/>
    <cellStyle name="检查单元格 2 6 3 4 3" xfId="35193"/>
    <cellStyle name="检查单元格 2 4 3 3 4 2" xfId="35194"/>
    <cellStyle name="检查单元格 2 4 3 3 5" xfId="35195"/>
    <cellStyle name="检查单元格 2 6 3 5 3" xfId="35196"/>
    <cellStyle name="检查单元格 2 4 3 3 5 2" xfId="35197"/>
    <cellStyle name="检查单元格 2 6 4 2 3" xfId="35198"/>
    <cellStyle name="注释 2 11 5 9 2" xfId="35199"/>
    <cellStyle name="检查单元格 2 4 3 4 2 2" xfId="35200"/>
    <cellStyle name="检查单元格 2 4 3 4 3" xfId="35201"/>
    <cellStyle name="检查单元格 2 6 4 3 3" xfId="35202"/>
    <cellStyle name="输入 2 2 9 2 8" xfId="35203"/>
    <cellStyle name="检查单元格 2 4 3 4 3 2" xfId="35204"/>
    <cellStyle name="检查单元格 2 4 3 4 4" xfId="35205"/>
    <cellStyle name="检查单元格 2 6 4 4 3" xfId="35206"/>
    <cellStyle name="检查单元格 2 4 3 4 4 2" xfId="35207"/>
    <cellStyle name="检查单元格 2 4 3 4 5" xfId="35208"/>
    <cellStyle name="检查单元格 2 6 4 5 3" xfId="35209"/>
    <cellStyle name="检查单元格 2 4 3 4 5 2" xfId="35210"/>
    <cellStyle name="检查单元格 2 6 5 2 3" xfId="35211"/>
    <cellStyle name="注释 2 11 6 9 2" xfId="35212"/>
    <cellStyle name="检查单元格 2 4 3 5 2 2" xfId="35213"/>
    <cellStyle name="注释 2 11 12 2" xfId="35214"/>
    <cellStyle name="检查单元格 2 4 3 5 3" xfId="35215"/>
    <cellStyle name="注释 2 11 13" xfId="35216"/>
    <cellStyle name="检查单元格 2 6 5 3 3" xfId="35217"/>
    <cellStyle name="检查单元格 2 4 3 5 3 2" xfId="35218"/>
    <cellStyle name="注释 2 11 13 2" xfId="35219"/>
    <cellStyle name="检查单元格 2 4 3 5 4" xfId="35220"/>
    <cellStyle name="注释 2 11 14" xfId="35221"/>
    <cellStyle name="检查单元格 2 6 5 4 3" xfId="35222"/>
    <cellStyle name="检查单元格 2 4 3 5 4 2" xfId="35223"/>
    <cellStyle name="注释 2 11 14 2" xfId="35224"/>
    <cellStyle name="检查单元格 2 4 3 5 5" xfId="35225"/>
    <cellStyle name="注释 2 11 15" xfId="35226"/>
    <cellStyle name="注释 2 11 20" xfId="35227"/>
    <cellStyle name="检查单元格 2 4 3 6 2" xfId="35228"/>
    <cellStyle name="检查单元格 2 4 4 10" xfId="35229"/>
    <cellStyle name="输出 2 16 4 5 2" xfId="35230"/>
    <cellStyle name="检查单元格 2 4 4 11" xfId="35231"/>
    <cellStyle name="检查单元格 2 4 4 12" xfId="35232"/>
    <cellStyle name="检查单元格 2 4 4 13" xfId="35233"/>
    <cellStyle name="检查单元格 2 7 2 2 3" xfId="35234"/>
    <cellStyle name="注释 2 12 3 9 2" xfId="35235"/>
    <cellStyle name="检查单元格 2 4 4 2 2 2" xfId="35236"/>
    <cellStyle name="检查单元格 2 4 4 2 3" xfId="35237"/>
    <cellStyle name="检查单元格 2 4 4 2 4" xfId="35238"/>
    <cellStyle name="检查单元格 2 4 4 2 5" xfId="35239"/>
    <cellStyle name="检查单元格 2 4 4 2 7" xfId="35240"/>
    <cellStyle name="检查单元格 2 4 4 2 8" xfId="35241"/>
    <cellStyle name="输入 2 12 5 9 2" xfId="35242"/>
    <cellStyle name="检查单元格 2 4 4 2 9" xfId="35243"/>
    <cellStyle name="检查单元格 2 7 3 2 3" xfId="35244"/>
    <cellStyle name="注释 2 12 4 9 2" xfId="35245"/>
    <cellStyle name="检查单元格 2 4 4 3 2 2" xfId="35246"/>
    <cellStyle name="检查单元格 2 4 4 3 3" xfId="35247"/>
    <cellStyle name="检查单元格 2 4 4 3 4" xfId="35248"/>
    <cellStyle name="检查单元格 2 4 4 3 5" xfId="35249"/>
    <cellStyle name="检查单元格 2 7 4 2 3" xfId="35250"/>
    <cellStyle name="注释 2 12 5 9 2" xfId="35251"/>
    <cellStyle name="检查单元格 2 4 4 4 2 2" xfId="35252"/>
    <cellStyle name="检查单元格 2 4 4 4 3" xfId="35253"/>
    <cellStyle name="检查单元格 2 7 4 3 3" xfId="35254"/>
    <cellStyle name="输入 2 3 9 2 8" xfId="35255"/>
    <cellStyle name="检查单元格 2 4 4 4 3 2" xfId="35256"/>
    <cellStyle name="检查单元格 2 4 4 4 4" xfId="35257"/>
    <cellStyle name="检查单元格 2 7 4 4 3" xfId="35258"/>
    <cellStyle name="检查单元格 2 4 4 4 4 2" xfId="35259"/>
    <cellStyle name="检查单元格 2 4 4 4 5" xfId="35260"/>
    <cellStyle name="检查单元格 2 7 4 5 3" xfId="35261"/>
    <cellStyle name="检查单元格 2 4 4 4 5 2" xfId="35262"/>
    <cellStyle name="检查单元格 2 7 5 2 3" xfId="35263"/>
    <cellStyle name="注释 2 12 6 9 2" xfId="35264"/>
    <cellStyle name="检查单元格 2 4 4 5 2 2" xfId="35265"/>
    <cellStyle name="注释 2 16 12 2" xfId="35266"/>
    <cellStyle name="检查单元格 2 4 4 5 3" xfId="35267"/>
    <cellStyle name="注释 2 16 13" xfId="35268"/>
    <cellStyle name="检查单元格 2 7 5 3 3" xfId="35269"/>
    <cellStyle name="检查单元格 2 4 4 5 3 2" xfId="35270"/>
    <cellStyle name="检查单元格 2 4 4 5 4" xfId="35271"/>
    <cellStyle name="注释 2 16 14" xfId="35272"/>
    <cellStyle name="输出 2 2 4 14" xfId="35273"/>
    <cellStyle name="检查单元格 2 7 5 4 3" xfId="35274"/>
    <cellStyle name="检查单元格 2 4 4 5 4 2" xfId="35275"/>
    <cellStyle name="检查单元格 2 4 4 5 5" xfId="35276"/>
    <cellStyle name="注释 2 16 15" xfId="35277"/>
    <cellStyle name="检查单元格 2 4 4 6 2" xfId="35278"/>
    <cellStyle name="检查单元格 2 4 5 11" xfId="35279"/>
    <cellStyle name="检查单元格 2 4 5 12" xfId="35280"/>
    <cellStyle name="输入 2 3 9 3 4 2" xfId="35281"/>
    <cellStyle name="检查单元格 2 4 5 13" xfId="35282"/>
    <cellStyle name="检查单元格 2 8 2 2 3" xfId="35283"/>
    <cellStyle name="检查单元格 2 4 5 2 2 2" xfId="35284"/>
    <cellStyle name="检查单元格 2 8 2 3 3" xfId="35285"/>
    <cellStyle name="输入 2 4 7 2 8" xfId="35286"/>
    <cellStyle name="检查单元格 2 4 5 2 3 2" xfId="35287"/>
    <cellStyle name="检查单元格 2 4 5 2 4" xfId="35288"/>
    <cellStyle name="检查单元格 2 8 2 4 3" xfId="35289"/>
    <cellStyle name="检查单元格 2 4 5 2 4 2" xfId="35290"/>
    <cellStyle name="检查单元格 2 4 5 2 5" xfId="35291"/>
    <cellStyle name="检查单元格 2 4 5 2 7" xfId="35292"/>
    <cellStyle name="检查单元格 2 4 5 2 8" xfId="35293"/>
    <cellStyle name="输入 2 12 6 9 2" xfId="35294"/>
    <cellStyle name="检查单元格 2 4 5 2 9" xfId="35295"/>
    <cellStyle name="检查单元格 2 8 3 2 3" xfId="35296"/>
    <cellStyle name="检查单元格 2 4 5 3 2 2" xfId="35297"/>
    <cellStyle name="检查单元格 2 8 3 3 3" xfId="35298"/>
    <cellStyle name="输入 2 4 8 2 8" xfId="35299"/>
    <cellStyle name="检查单元格 2 4 5 3 3 2" xfId="35300"/>
    <cellStyle name="检查单元格 2 4 5 3 4" xfId="35301"/>
    <cellStyle name="检查单元格 2 8 3 4 3" xfId="35302"/>
    <cellStyle name="检查单元格 2 4 5 3 4 2" xfId="35303"/>
    <cellStyle name="检查单元格 2 4 5 3 5" xfId="35304"/>
    <cellStyle name="检查单元格 2 8 3 5 3" xfId="35305"/>
    <cellStyle name="检查单元格 2 4 5 3 5 2" xfId="35306"/>
    <cellStyle name="检查单元格 2 8 4 2 3" xfId="35307"/>
    <cellStyle name="检查单元格 2 4 5 4 2 2" xfId="35308"/>
    <cellStyle name="检查单元格 2 4 5 4 3" xfId="35309"/>
    <cellStyle name="检查单元格 2 8 4 3 3" xfId="35310"/>
    <cellStyle name="输入 2 4 9 2 8" xfId="35311"/>
    <cellStyle name="检查单元格 2 4 5 4 3 2" xfId="35312"/>
    <cellStyle name="检查单元格 2 4 5 4 4" xfId="35313"/>
    <cellStyle name="检查单元格 2 8 4 4 3" xfId="35314"/>
    <cellStyle name="检查单元格 2 4 5 4 4 2" xfId="35315"/>
    <cellStyle name="检查单元格 2 8 4 5 3" xfId="35316"/>
    <cellStyle name="检查单元格 2 4 5 4 5 2" xfId="35317"/>
    <cellStyle name="检查单元格 2 8 5 2 3" xfId="35318"/>
    <cellStyle name="检查单元格 2 4 5 5 2 2" xfId="35319"/>
    <cellStyle name="检查单元格 2 4 5 5 3" xfId="35320"/>
    <cellStyle name="检查单元格 2 8 5 3 3" xfId="35321"/>
    <cellStyle name="检查单元格 2 4 5 5 3 2" xfId="35322"/>
    <cellStyle name="检查单元格 2 4 5 5 4" xfId="35323"/>
    <cellStyle name="检查单元格 2 8 5 4 3" xfId="35324"/>
    <cellStyle name="输出 2 7 4 14" xfId="35325"/>
    <cellStyle name="检查单元格 2 4 5 5 4 2" xfId="35326"/>
    <cellStyle name="检查单元格 2 4 5 6 2" xfId="35327"/>
    <cellStyle name="检查单元格 2 4 5 7 2" xfId="35328"/>
    <cellStyle name="检查单元格 2 4 5 8" xfId="35329"/>
    <cellStyle name="输入 2 4 17 4 2" xfId="35330"/>
    <cellStyle name="检查单元格 2 4 5 8 2" xfId="35331"/>
    <cellStyle name="检查单元格 2 4 5 9" xfId="35332"/>
    <cellStyle name="检查单元格 2 4 5 9 2" xfId="35333"/>
    <cellStyle name="检查单元格 2 4 6 10" xfId="35334"/>
    <cellStyle name="注释 2 11 9 10 2" xfId="35335"/>
    <cellStyle name="注释 2 4 9 3 2" xfId="35336"/>
    <cellStyle name="检查单元格 2 4 6 11" xfId="35337"/>
    <cellStyle name="注释 2 4 9 3 3" xfId="35338"/>
    <cellStyle name="检查单元格 2 7 4 4 4 2" xfId="35339"/>
    <cellStyle name="检查单元格 2 4 6 12" xfId="35340"/>
    <cellStyle name="注释 2 4 9 3 4" xfId="35341"/>
    <cellStyle name="检查单元格 2 4 6 13" xfId="35342"/>
    <cellStyle name="注释 2 4 9 3 5" xfId="35343"/>
    <cellStyle name="输出 2 10 5 6 4" xfId="35344"/>
    <cellStyle name="检查单元格 2 9 2 2 3" xfId="35345"/>
    <cellStyle name="检查单元格 2 4 6 2 2 2" xfId="35346"/>
    <cellStyle name="检查单元格 2 4 6 2 3" xfId="35347"/>
    <cellStyle name="输出 2 10 11 2 5 2" xfId="35348"/>
    <cellStyle name="检查单元格 2 4 6 2 4" xfId="35349"/>
    <cellStyle name="输出 2 10 5 8 4" xfId="35350"/>
    <cellStyle name="检查单元格 2 9 2 4 3" xfId="35351"/>
    <cellStyle name="检查单元格 2 4 6 2 4 2" xfId="35352"/>
    <cellStyle name="检查单元格 2 4 6 2 5" xfId="35353"/>
    <cellStyle name="检查单元格 2 9 2 5 3" xfId="35354"/>
    <cellStyle name="检查单元格 2 4 6 2 5 2" xfId="35355"/>
    <cellStyle name="检查单元格 2 4 6 2 7" xfId="35356"/>
    <cellStyle name="检查单元格 2 4 6 2 8" xfId="35357"/>
    <cellStyle name="输入 2 12 7 9 2" xfId="35358"/>
    <cellStyle name="检查单元格 2 4 6 2 9" xfId="35359"/>
    <cellStyle name="检查单元格 2 4 6 3 3" xfId="35360"/>
    <cellStyle name="检查单元格 2 4 6 3 4" xfId="35361"/>
    <cellStyle name="检查单元格 2 4 6 3 5" xfId="35362"/>
    <cellStyle name="输出 2 10 7 6 4" xfId="35363"/>
    <cellStyle name="检查单元格 2 9 4 2 3" xfId="35364"/>
    <cellStyle name="检查单元格 2 4 6 4 2 2" xfId="35365"/>
    <cellStyle name="检查单元格 2 4 6 4 3" xfId="35366"/>
    <cellStyle name="输出 2 10 7 7 4" xfId="35367"/>
    <cellStyle name="检查单元格 2 9 4 3 3" xfId="35368"/>
    <cellStyle name="输入 2 5 9 2 8" xfId="35369"/>
    <cellStyle name="检查单元格 2 4 6 4 3 2" xfId="35370"/>
    <cellStyle name="输出 2 10 7 8 4" xfId="35371"/>
    <cellStyle name="检查单元格 2 9 4 4 3" xfId="35372"/>
    <cellStyle name="检查单元格 2 4 6 4 4 2" xfId="35373"/>
    <cellStyle name="检查单元格 2 4 6 4 5" xfId="35374"/>
    <cellStyle name="输出 2 10 8 8 4" xfId="35375"/>
    <cellStyle name="检查单元格 2 9 5 4 3" xfId="35376"/>
    <cellStyle name="检查单元格 2 4 6 5 4 2" xfId="35377"/>
    <cellStyle name="检查单元格 2 4 6 6 2" xfId="35378"/>
    <cellStyle name="检查单元格 2 4 6 7" xfId="35379"/>
    <cellStyle name="检查单元格 2 4 6 7 2" xfId="35380"/>
    <cellStyle name="检查单元格 2 4 6 8" xfId="35381"/>
    <cellStyle name="输入 2 4 17 5 2" xfId="35382"/>
    <cellStyle name="检查单元格 2 4 6 8 2" xfId="35383"/>
    <cellStyle name="检查单元格 2 4 6 9" xfId="35384"/>
    <cellStyle name="检查单元格 2 4 6 9 2" xfId="35385"/>
    <cellStyle name="检查单元格 2 4 7 10" xfId="35386"/>
    <cellStyle name="注释 2 4 9 8 2" xfId="35387"/>
    <cellStyle name="检查单元格 2 4 7 12" xfId="35388"/>
    <cellStyle name="注释 2 4 9 8 4" xfId="35389"/>
    <cellStyle name="检查单元格 2 4 7 13" xfId="35390"/>
    <cellStyle name="注释 2 4 9 8 5" xfId="35391"/>
    <cellStyle name="输出 2 11 5 6 4" xfId="35392"/>
    <cellStyle name="检查单元格 2 4 7 2 2 2" xfId="35393"/>
    <cellStyle name="检查单元格 2 4 7 2 3" xfId="35394"/>
    <cellStyle name="输出 2 11 5 7 4" xfId="35395"/>
    <cellStyle name="输入 2 6 7 2 8" xfId="35396"/>
    <cellStyle name="检查单元格 2 4 7 2 3 2" xfId="35397"/>
    <cellStyle name="输出 2 10 11 3 5 2" xfId="35398"/>
    <cellStyle name="检查单元格 2 4 7 2 4" xfId="35399"/>
    <cellStyle name="输出 2 11 5 8 4" xfId="35400"/>
    <cellStyle name="检查单元格 2 4 7 2 4 2" xfId="35401"/>
    <cellStyle name="检查单元格 2 4 7 2 5" xfId="35402"/>
    <cellStyle name="检查单元格 2 4 7 2 5 2" xfId="35403"/>
    <cellStyle name="检查单元格 2 4 7 2 6" xfId="35404"/>
    <cellStyle name="注释 2 5 18 2 2" xfId="35405"/>
    <cellStyle name="检查单元格 2 4 7 2 7" xfId="35406"/>
    <cellStyle name="检查单元格 2 4 7 2 8" xfId="35407"/>
    <cellStyle name="输入 2 12 8 9 2" xfId="35408"/>
    <cellStyle name="检查单元格 2 4 7 2 9" xfId="35409"/>
    <cellStyle name="输出 2 11 6 6 4" xfId="35410"/>
    <cellStyle name="检查单元格 2 4 7 3 2 2" xfId="35411"/>
    <cellStyle name="检查单元格 2 4 7 3 3" xfId="35412"/>
    <cellStyle name="输出 2 11 6 7 4" xfId="35413"/>
    <cellStyle name="输入 2 6 8 2 8" xfId="35414"/>
    <cellStyle name="检查单元格 2 4 7 3 3 2" xfId="35415"/>
    <cellStyle name="检查单元格 2 4 7 3 4" xfId="35416"/>
    <cellStyle name="输出 2 11 6 8 4" xfId="35417"/>
    <cellStyle name="输入 2 7 6 13" xfId="35418"/>
    <cellStyle name="检查单元格 2 4 7 3 4 2" xfId="35419"/>
    <cellStyle name="检查单元格 2 4 7 3 5" xfId="35420"/>
    <cellStyle name="检查单元格 2 4 7 3 6" xfId="35421"/>
    <cellStyle name="注释 2 5 18 3 2" xfId="35422"/>
    <cellStyle name="输出 2 11 7 6 4" xfId="35423"/>
    <cellStyle name="检查单元格 2 4 7 4 2 2" xfId="35424"/>
    <cellStyle name="检查单元格 2 4 7 4 3" xfId="35425"/>
    <cellStyle name="输出 2 11 7 7 4" xfId="35426"/>
    <cellStyle name="输入 2 6 9 2 8" xfId="35427"/>
    <cellStyle name="检查单元格 2 4 7 4 3 2" xfId="35428"/>
    <cellStyle name="检查单元格 2 4 7 4 4" xfId="35429"/>
    <cellStyle name="输出 2 11 7 8 4" xfId="35430"/>
    <cellStyle name="检查单元格 2 4 7 4 4 2" xfId="35431"/>
    <cellStyle name="检查单元格 2 4 7 4 5" xfId="35432"/>
    <cellStyle name="检查单元格 2 4 7 4 6" xfId="35433"/>
    <cellStyle name="注释 2 5 18 4 2" xfId="35434"/>
    <cellStyle name="输出 2 11 8 8 4" xfId="35435"/>
    <cellStyle name="输出 2 10 6 10 2" xfId="35436"/>
    <cellStyle name="检查单元格 2 4 7 5 4 2" xfId="35437"/>
    <cellStyle name="注释 2 10 5 16" xfId="35438"/>
    <cellStyle name="输出 2 6 4 2 5" xfId="35439"/>
    <cellStyle name="检查单元格 2 4 7 6" xfId="35440"/>
    <cellStyle name="注释 2 6 7 7 2 2" xfId="35441"/>
    <cellStyle name="输出 2 6 4 2 5 2" xfId="35442"/>
    <cellStyle name="检查单元格 2 4 7 6 2" xfId="35443"/>
    <cellStyle name="输出 2 3 8" xfId="35444"/>
    <cellStyle name="输入 2 10 6 2 3" xfId="35445"/>
    <cellStyle name="输出 2 6 4 2 6" xfId="35446"/>
    <cellStyle name="检查单元格 2 4 7 7" xfId="35447"/>
    <cellStyle name="输出 2 4 8" xfId="35448"/>
    <cellStyle name="输入 2 10 6 3 3" xfId="35449"/>
    <cellStyle name="检查单元格 2 4 7 7 2" xfId="35450"/>
    <cellStyle name="输出 2 6 4 2 7" xfId="35451"/>
    <cellStyle name="检查单元格 2 4 7 8" xfId="35452"/>
    <cellStyle name="输出 2 5 8" xfId="35453"/>
    <cellStyle name="输入 2 10 6 4 3" xfId="35454"/>
    <cellStyle name="检查单元格 2 4 7 8 2" xfId="35455"/>
    <cellStyle name="输出 2 6 4 2 8" xfId="35456"/>
    <cellStyle name="检查单元格 2 4 7 9" xfId="35457"/>
    <cellStyle name="输出 2 6 8" xfId="35458"/>
    <cellStyle name="输入 2 10 6 5 3" xfId="35459"/>
    <cellStyle name="检查单元格 2 4 7 9 2" xfId="35460"/>
    <cellStyle name="输出 2 12 5 6 4" xfId="35461"/>
    <cellStyle name="检查单元格 2 4 8 2 2 2" xfId="35462"/>
    <cellStyle name="检查单元格 2 4 8 2 3" xfId="35463"/>
    <cellStyle name="输出 2 12 5 7 4" xfId="35464"/>
    <cellStyle name="输入 2 7 7 2 8" xfId="35465"/>
    <cellStyle name="检查单元格 2 4 8 2 3 2" xfId="35466"/>
    <cellStyle name="输出 2 10 11 4 5 2" xfId="35467"/>
    <cellStyle name="检查单元格 2 4 8 2 4" xfId="35468"/>
    <cellStyle name="输出 2 12 5 8 4" xfId="35469"/>
    <cellStyle name="检查单元格 2 4 8 2 4 2" xfId="35470"/>
    <cellStyle name="检查单元格 2 4 8 2 5" xfId="35471"/>
    <cellStyle name="检查单元格 2 4 8 2 5 2" xfId="35472"/>
    <cellStyle name="检查单元格 2 4 8 2 6" xfId="35473"/>
    <cellStyle name="注释 2 5 19 2 2" xfId="35474"/>
    <cellStyle name="检查单元格 2 4 8 2 7" xfId="35475"/>
    <cellStyle name="检查单元格 2 4 8 2 8" xfId="35476"/>
    <cellStyle name="输入 2 12 9 9 2" xfId="35477"/>
    <cellStyle name="检查单元格 2 4 8 2 9" xfId="35478"/>
    <cellStyle name="输出 2 12 6 6 4" xfId="35479"/>
    <cellStyle name="检查单元格 2 4 8 3 2 2" xfId="35480"/>
    <cellStyle name="检查单元格 2 4 8 3 3" xfId="35481"/>
    <cellStyle name="输出 2 12 6 7 4" xfId="35482"/>
    <cellStyle name="输入 2 7 8 2 8" xfId="35483"/>
    <cellStyle name="检查单元格 2 4 8 3 3 2" xfId="35484"/>
    <cellStyle name="检查单元格 2 4 8 3 4" xfId="35485"/>
    <cellStyle name="输出 2 12 6 8 4" xfId="35486"/>
    <cellStyle name="输出 2 10 11 11" xfId="35487"/>
    <cellStyle name="检查单元格 2 4 8 3 4 2" xfId="35488"/>
    <cellStyle name="检查单元格 2 4 8 3 5" xfId="35489"/>
    <cellStyle name="检查单元格 2 4 8 3 5 2" xfId="35490"/>
    <cellStyle name="检查单元格 2 4 8 3 6" xfId="35491"/>
    <cellStyle name="注释 2 5 19 3 2" xfId="35492"/>
    <cellStyle name="输出 2 6 4 3 3 2" xfId="35493"/>
    <cellStyle name="检查单元格 2 4 8 4 2" xfId="35494"/>
    <cellStyle name="输出 2 12 7 6 4" xfId="35495"/>
    <cellStyle name="检查单元格 2 4 8 4 2 2" xfId="35496"/>
    <cellStyle name="检查单元格 2 4 8 4 3" xfId="35497"/>
    <cellStyle name="输出 2 12 7 7 4" xfId="35498"/>
    <cellStyle name="输入 2 7 9 2 8" xfId="35499"/>
    <cellStyle name="检查单元格 2 4 8 4 3 2" xfId="35500"/>
    <cellStyle name="检查单元格 2 4 8 4 4" xfId="35501"/>
    <cellStyle name="输出 2 12 7 8 4" xfId="35502"/>
    <cellStyle name="检查单元格 2 4 8 4 4 2" xfId="35503"/>
    <cellStyle name="检查单元格 2 4 8 4 5" xfId="35504"/>
    <cellStyle name="检查单元格 2 4 8 4 5 2" xfId="35505"/>
    <cellStyle name="检查单元格 2 4 8 4 6" xfId="35506"/>
    <cellStyle name="注释 2 5 19 4 2" xfId="35507"/>
    <cellStyle name="输出 2 6 4 3 4 2" xfId="35508"/>
    <cellStyle name="检查单元格 2 4 8 5 2" xfId="35509"/>
    <cellStyle name="输出 2 12 8 6 4" xfId="35510"/>
    <cellStyle name="检查单元格 2 4 8 5 2 2" xfId="35511"/>
    <cellStyle name="检查单元格 2 4 8 5 3" xfId="35512"/>
    <cellStyle name="输出 2 12 8 7 4" xfId="35513"/>
    <cellStyle name="检查单元格 2 4 8 5 3 2" xfId="35514"/>
    <cellStyle name="检查单元格 2 4 8 5 4" xfId="35515"/>
    <cellStyle name="检查单元格 2 4 8 5 5" xfId="35516"/>
    <cellStyle name="检查单元格 2 4 9" xfId="35517"/>
    <cellStyle name="检查单元格 2 4 9 2 2" xfId="35518"/>
    <cellStyle name="输出 2 6 4 4 2 2" xfId="35519"/>
    <cellStyle name="检查单元格 2 4 9 3 2" xfId="35520"/>
    <cellStyle name="输出 2 6 4 4 3 2" xfId="35521"/>
    <cellStyle name="检查单元格 2 4 9 4 2" xfId="35522"/>
    <cellStyle name="输出 2 6 4 4 4" xfId="35523"/>
    <cellStyle name="检查单元格 2 4 9 5" xfId="35524"/>
    <cellStyle name="输出 2 6 4 4 4 2" xfId="35525"/>
    <cellStyle name="检查单元格 2 4 9 5 2" xfId="35526"/>
    <cellStyle name="检查单元格 2 7 3 2 2" xfId="35527"/>
    <cellStyle name="检查单元格 2 5 10 2 2" xfId="35528"/>
    <cellStyle name="检查单元格 2 7 4 2 2" xfId="35529"/>
    <cellStyle name="检查单元格 2 5 11 2 2" xfId="35530"/>
    <cellStyle name="检查单元格 2 7 4 3 2" xfId="35531"/>
    <cellStyle name="检查单元格 2 5 11 3 2" xfId="35532"/>
    <cellStyle name="输入 2 3 9 2 7" xfId="35533"/>
    <cellStyle name="检查单元格 2 7 4 4" xfId="35534"/>
    <cellStyle name="检查单元格 2 5 11 4" xfId="35535"/>
    <cellStyle name="检查单元格 2 7 4 4 2" xfId="35536"/>
    <cellStyle name="检查单元格 2 5 11 4 2" xfId="35537"/>
    <cellStyle name="输出 2 2 8 2 2 2" xfId="35538"/>
    <cellStyle name="检查单元格 2 7 4 5" xfId="35539"/>
    <cellStyle name="检查单元格 2 5 11 5" xfId="35540"/>
    <cellStyle name="检查单元格 2 7 4 5 2" xfId="35541"/>
    <cellStyle name="检查单元格 2 5 11 5 2" xfId="35542"/>
    <cellStyle name="检查单元格 2 7 4 6" xfId="35543"/>
    <cellStyle name="检查单元格 2 5 11 6" xfId="35544"/>
    <cellStyle name="检查单元格 2 7 5 2 2" xfId="35545"/>
    <cellStyle name="检查单元格 2 5 12 2 2" xfId="35546"/>
    <cellStyle name="检查单元格 2 7 5 3 2" xfId="35547"/>
    <cellStyle name="检查单元格 2 5 12 3 2" xfId="35548"/>
    <cellStyle name="检查单元格 2 7 5 4" xfId="35549"/>
    <cellStyle name="检查单元格 2 5 12 4" xfId="35550"/>
    <cellStyle name="输出 2 2 4 13" xfId="35551"/>
    <cellStyle name="检查单元格 2 7 5 4 2" xfId="35552"/>
    <cellStyle name="检查单元格 2 5 12 4 2" xfId="35553"/>
    <cellStyle name="输出 2 2 8 2 3 2" xfId="35554"/>
    <cellStyle name="检查单元格 2 7 5 5" xfId="35555"/>
    <cellStyle name="检查单元格 2 5 12 5" xfId="35556"/>
    <cellStyle name="输出 2 4 2 3 4" xfId="35557"/>
    <cellStyle name="检查单元格 2 7 6" xfId="35558"/>
    <cellStyle name="检查单元格 2 5 13" xfId="35559"/>
    <cellStyle name="输出 2 4 2 3 4 2" xfId="35560"/>
    <cellStyle name="检查单元格 2 7 6 2" xfId="35561"/>
    <cellStyle name="检查单元格 2 5 13 2" xfId="35562"/>
    <cellStyle name="输出 2 4 2 3 5" xfId="35563"/>
    <cellStyle name="注释 2 6 5 5 3 2" xfId="35564"/>
    <cellStyle name="检查单元格 2 7 7" xfId="35565"/>
    <cellStyle name="检查单元格 2 5 14" xfId="35566"/>
    <cellStyle name="输出 2 4 2 3 5 2" xfId="35567"/>
    <cellStyle name="检查单元格 2 7 7 2" xfId="35568"/>
    <cellStyle name="检查单元格 2 5 14 2" xfId="35569"/>
    <cellStyle name="输出 2 4 2 3 6" xfId="35570"/>
    <cellStyle name="检查单元格 2 7 8" xfId="35571"/>
    <cellStyle name="检查单元格 2 5 20" xfId="35572"/>
    <cellStyle name="检查单元格 2 5 15" xfId="35573"/>
    <cellStyle name="输入 2 9 6 3 2" xfId="35574"/>
    <cellStyle name="检查单元格 2 7 8 2" xfId="35575"/>
    <cellStyle name="检查单元格 2 5 15 2" xfId="35576"/>
    <cellStyle name="输入 2 9 6 3 2 2" xfId="35577"/>
    <cellStyle name="检查单元格 2 7 9" xfId="35578"/>
    <cellStyle name="检查单元格 2 5 16" xfId="35579"/>
    <cellStyle name="输入 2 9 6 3 3" xfId="35580"/>
    <cellStyle name="检查单元格 2 5 17" xfId="35581"/>
    <cellStyle name="输入 2 9 6 3 4" xfId="35582"/>
    <cellStyle name="检查单元格 2 6 4 2 4 2" xfId="35583"/>
    <cellStyle name="检查单元格 2 5 18" xfId="35584"/>
    <cellStyle name="输入 2 9 6 3 5" xfId="35585"/>
    <cellStyle name="检查单元格 2 5 19" xfId="35586"/>
    <cellStyle name="输入 2 9 6 3 6" xfId="35587"/>
    <cellStyle name="注释 2 11 10 2 3 2" xfId="35588"/>
    <cellStyle name="检查单元格 2 5 2 11" xfId="35589"/>
    <cellStyle name="输入 2 5 3 8 2" xfId="35590"/>
    <cellStyle name="检查单元格 2 5 2 2 2 2" xfId="35591"/>
    <cellStyle name="检查单元格 2 5 2 2 3 2" xfId="35592"/>
    <cellStyle name="检查单元格 2 5 2 2 4" xfId="35593"/>
    <cellStyle name="输入 2 8 2 2 4 2" xfId="35594"/>
    <cellStyle name="检查单元格 2 5 2 2 4 2" xfId="35595"/>
    <cellStyle name="检查单元格 2 5 2 2 5" xfId="35596"/>
    <cellStyle name="检查单元格 2 5 2 2 5 2" xfId="35597"/>
    <cellStyle name="检查单元格 2 5 2 2 6" xfId="35598"/>
    <cellStyle name="检查单元格 2 5 2 2 7" xfId="35599"/>
    <cellStyle name="检查单元格 2 5 2 2 9" xfId="35600"/>
    <cellStyle name="检查单元格 2 5 2 4 2 2" xfId="35601"/>
    <cellStyle name="检查单元格 2 5 2 6 2" xfId="35602"/>
    <cellStyle name="检查单元格 2 5 3 12" xfId="35603"/>
    <cellStyle name="检查单元格 2 5 3 13" xfId="35604"/>
    <cellStyle name="输出 2 6 5 16" xfId="35605"/>
    <cellStyle name="检查单元格 2 5 3 2 2 2" xfId="35606"/>
    <cellStyle name="检查单元格 2 5 3 2 3 2" xfId="35607"/>
    <cellStyle name="检查单元格 2 5 3 2 4" xfId="35608"/>
    <cellStyle name="输入 2 8 2 3 4 2" xfId="35609"/>
    <cellStyle name="检查单元格 2 5 3 2 5" xfId="35610"/>
    <cellStyle name="检查单元格 2 5 3 2 5 2" xfId="35611"/>
    <cellStyle name="检查单元格 2 5 3 2 7" xfId="35612"/>
    <cellStyle name="输入 2 3 17 3" xfId="35613"/>
    <cellStyle name="检查单元格 2 5 3 2 8" xfId="35614"/>
    <cellStyle name="输入 2 3 17 4" xfId="35615"/>
    <cellStyle name="检查单元格 2 5 3 2 9" xfId="35616"/>
    <cellStyle name="输入 2 3 17 5" xfId="35617"/>
    <cellStyle name="检查单元格 2 5 3 4 2 2" xfId="35618"/>
    <cellStyle name="检查单元格 2 5 3 5 2 2" xfId="35619"/>
    <cellStyle name="输出 2 12 4 12 2" xfId="35620"/>
    <cellStyle name="输入 2 11 2 2 3" xfId="35621"/>
    <cellStyle name="注释 2 2 9 5 5 2" xfId="35622"/>
    <cellStyle name="检查单元格 2 5 3 6 2" xfId="35623"/>
    <cellStyle name="检查单元格 2 5 4 10" xfId="35624"/>
    <cellStyle name="输入 2 12 5 3 2 2" xfId="35625"/>
    <cellStyle name="检查单元格 2 5 4 11" xfId="35626"/>
    <cellStyle name="检查单元格 2 5 4 12" xfId="35627"/>
    <cellStyle name="检查单元格 2 5 4 13" xfId="35628"/>
    <cellStyle name="检查单元格 2 5 4 2 2 2" xfId="35629"/>
    <cellStyle name="检查单元格 2 5 4 2 3 2" xfId="35630"/>
    <cellStyle name="检查单元格 2 5 4 2 4" xfId="35631"/>
    <cellStyle name="输入 2 8 2 4 4 2" xfId="35632"/>
    <cellStyle name="检查单元格 2 5 4 2 4 2" xfId="35633"/>
    <cellStyle name="检查单元格 2 5 4 2 5" xfId="35634"/>
    <cellStyle name="检查单元格 2 5 4 2 5 2" xfId="35635"/>
    <cellStyle name="检查单元格 2 5 4 2 7" xfId="35636"/>
    <cellStyle name="检查单元格 2 5 4 2 8" xfId="35637"/>
    <cellStyle name="检查单元格 2 5 4 4 2 2" xfId="35638"/>
    <cellStyle name="输入 2 2 2 15" xfId="35639"/>
    <cellStyle name="输出 2 13 6" xfId="35640"/>
    <cellStyle name="检查单元格 2 5 4 5 2 2" xfId="35641"/>
    <cellStyle name="输入 2 2 7 15" xfId="35642"/>
    <cellStyle name="检查单元格 2 5 4 6 2" xfId="35643"/>
    <cellStyle name="检查单元格 2 5 5 11" xfId="35644"/>
    <cellStyle name="检查单元格 2 5 5 12" xfId="35645"/>
    <cellStyle name="输入 2 3 9 8 4 2" xfId="35646"/>
    <cellStyle name="检查单元格 2 5 5 13" xfId="35647"/>
    <cellStyle name="检查单元格 2 5 5 2 4" xfId="35648"/>
    <cellStyle name="输入 2 8 2 5 4 2" xfId="35649"/>
    <cellStyle name="检查单元格 2 5 5 2 5" xfId="35650"/>
    <cellStyle name="检查单元格 2 5 5 2 8" xfId="35651"/>
    <cellStyle name="检查单元格 2 5 5 2 9" xfId="35652"/>
    <cellStyle name="检查单元格 2 5 5 3 4" xfId="35653"/>
    <cellStyle name="输入 2 8 2 5 5 2" xfId="35654"/>
    <cellStyle name="检查单元格 2 5 5 3 5" xfId="35655"/>
    <cellStyle name="检查单元格 2 5 5 4 4" xfId="35656"/>
    <cellStyle name="检查单元格 2 5 5 4 5" xfId="35657"/>
    <cellStyle name="检查单元格 2 5 5 5 4" xfId="35658"/>
    <cellStyle name="检查单元格 2 5 5 5 5" xfId="35659"/>
    <cellStyle name="检查单元格 2 5 5 6 2" xfId="35660"/>
    <cellStyle name="检查单元格 2 5 5 7 2" xfId="35661"/>
    <cellStyle name="输出 2 3 6 12 2" xfId="35662"/>
    <cellStyle name="输入 2 7 10 4 3" xfId="35663"/>
    <cellStyle name="检查单元格 2 5 5 8" xfId="35664"/>
    <cellStyle name="输入 2 4 18 4 2" xfId="35665"/>
    <cellStyle name="检查单元格 2 5 5 8 2" xfId="35666"/>
    <cellStyle name="检查单元格 2 5 6 10" xfId="35667"/>
    <cellStyle name="检查单元格 2 5 6 11" xfId="35668"/>
    <cellStyle name="输入 2 5 4 3 2" xfId="35669"/>
    <cellStyle name="检查单元格 2 5 6 12" xfId="35670"/>
    <cellStyle name="输入 2 5 4 3 3" xfId="35671"/>
    <cellStyle name="检查单元格 2 5 6 13" xfId="35672"/>
    <cellStyle name="输入 2 5 4 3 4" xfId="35673"/>
    <cellStyle name="注释 2 4 7 2 3 2" xfId="35674"/>
    <cellStyle name="检查单元格 2 5 6 2 3" xfId="35675"/>
    <cellStyle name="注释 2 10 7 9 2" xfId="35676"/>
    <cellStyle name="检查单元格 2 5 6 2 4" xfId="35677"/>
    <cellStyle name="输入 2 8 2 6 4 2" xfId="35678"/>
    <cellStyle name="检查单元格 2 5 6 2 5" xfId="35679"/>
    <cellStyle name="检查单元格 2 5 6 2 7" xfId="35680"/>
    <cellStyle name="检查单元格 2 5 6 2 8" xfId="35681"/>
    <cellStyle name="检查单元格 2 5 6 2 9" xfId="35682"/>
    <cellStyle name="检查单元格 2 5 6 3 3" xfId="35683"/>
    <cellStyle name="检查单元格 2 5 6 3 4" xfId="35684"/>
    <cellStyle name="输入 2 8 2 6 5 2" xfId="35685"/>
    <cellStyle name="检查单元格 2 5 6 3 5" xfId="35686"/>
    <cellStyle name="检查单元格 2 5 6 4 3" xfId="35687"/>
    <cellStyle name="检查单元格 2 5 6 4 4" xfId="35688"/>
    <cellStyle name="检查单元格 2 5 6 4 5" xfId="35689"/>
    <cellStyle name="检查单元格 2 5 6 6 2" xfId="35690"/>
    <cellStyle name="检查单元格 2 5 6 7" xfId="35691"/>
    <cellStyle name="检查单元格 2 5 6 7 2" xfId="35692"/>
    <cellStyle name="检查单元格 2 5 6 8" xfId="35693"/>
    <cellStyle name="输入 2 4 18 5 2" xfId="35694"/>
    <cellStyle name="检查单元格 2 5 6 8 2" xfId="35695"/>
    <cellStyle name="检查单元格 2 5 7 10" xfId="35696"/>
    <cellStyle name="检查单元格 2 5 7 11" xfId="35697"/>
    <cellStyle name="输入 2 5 4 8 2" xfId="35698"/>
    <cellStyle name="检查单元格 2 5 7 2 3" xfId="35699"/>
    <cellStyle name="注释 2 10 8 9 2" xfId="35700"/>
    <cellStyle name="检查单元格 2 5 7 2 4" xfId="35701"/>
    <cellStyle name="输入 2 8 2 7 4 2" xfId="35702"/>
    <cellStyle name="检查单元格 2 5 7 2 5" xfId="35703"/>
    <cellStyle name="检查单元格 2 5 7 2 6" xfId="35704"/>
    <cellStyle name="检查单元格 2 5 7 2 7" xfId="35705"/>
    <cellStyle name="检查单元格 2 5 7 2 9" xfId="35706"/>
    <cellStyle name="检查单元格 2 5 7 3 3" xfId="35707"/>
    <cellStyle name="检查单元格 2 5 7 3 4" xfId="35708"/>
    <cellStyle name="输入 2 8 2 7 5 2" xfId="35709"/>
    <cellStyle name="检查单元格 2 5 7 3 5" xfId="35710"/>
    <cellStyle name="检查单元格 2 5 7 3 6" xfId="35711"/>
    <cellStyle name="检查单元格 2 5 7 4 3" xfId="35712"/>
    <cellStyle name="检查单元格 2 5 7 4 4" xfId="35713"/>
    <cellStyle name="检查单元格 2 5 7 4 5" xfId="35714"/>
    <cellStyle name="检查单元格 2 5 7 4 6" xfId="35715"/>
    <cellStyle name="输出 2 6 5 2 5" xfId="35716"/>
    <cellStyle name="检查单元格 2 5 7 6" xfId="35717"/>
    <cellStyle name="注释 2 6 7 8 2 2" xfId="35718"/>
    <cellStyle name="输出 2 6 5 2 5 2" xfId="35719"/>
    <cellStyle name="检查单元格 2 5 7 6 2" xfId="35720"/>
    <cellStyle name="输出 2 6 5 2 6" xfId="35721"/>
    <cellStyle name="检查单元格 2 5 7 7" xfId="35722"/>
    <cellStyle name="检查单元格 2 5 7 7 2" xfId="35723"/>
    <cellStyle name="输出 2 6 5 2 7" xfId="35724"/>
    <cellStyle name="检查单元格 2 5 7 8" xfId="35725"/>
    <cellStyle name="检查单元格 2 5 7 8 2" xfId="35726"/>
    <cellStyle name="检查单元格 2 5 8 2 3" xfId="35727"/>
    <cellStyle name="注释 2 10 9 9 2" xfId="35728"/>
    <cellStyle name="检查单元格 2 5 8 2 4" xfId="35729"/>
    <cellStyle name="输入 2 8 2 8 4 2" xfId="35730"/>
    <cellStyle name="检查单元格 2 5 8 2 5" xfId="35731"/>
    <cellStyle name="检查单元格 2 5 8 2 6" xfId="35732"/>
    <cellStyle name="输入 2 4 17 2" xfId="35733"/>
    <cellStyle name="输入 2 4 22 2" xfId="35734"/>
    <cellStyle name="检查单元格 2 5 8 2 7" xfId="35735"/>
    <cellStyle name="输入 2 4 17 3" xfId="35736"/>
    <cellStyle name="检查单元格 2 5 8 2 8" xfId="35737"/>
    <cellStyle name="输入 2 4 17 4" xfId="35738"/>
    <cellStyle name="检查单元格 2 5 8 2 9" xfId="35739"/>
    <cellStyle name="输入 2 4 17 5" xfId="35740"/>
    <cellStyle name="检查单元格 2 5 8 3 3" xfId="35741"/>
    <cellStyle name="检查单元格 2 5 8 3 4" xfId="35742"/>
    <cellStyle name="检查单元格 2 5 8 3 5" xfId="35743"/>
    <cellStyle name="输出 2 3 6 10" xfId="35744"/>
    <cellStyle name="检查单元格 2 5 8 3 6" xfId="35745"/>
    <cellStyle name="输入 2 4 18 2" xfId="35746"/>
    <cellStyle name="输入 2 4 23 2" xfId="35747"/>
    <cellStyle name="输出 2 6 5 3 3 2" xfId="35748"/>
    <cellStyle name="检查单元格 2 5 8 4 2" xfId="35749"/>
    <cellStyle name="输出 2 12 5 10 2" xfId="35750"/>
    <cellStyle name="检查单元格 2 5 8 4 3" xfId="35751"/>
    <cellStyle name="检查单元格 2 5 8 4 4" xfId="35752"/>
    <cellStyle name="检查单元格 2 5 8 4 5" xfId="35753"/>
    <cellStyle name="检查单元格 2 5 8 4 6" xfId="35754"/>
    <cellStyle name="输入 2 4 19 2" xfId="35755"/>
    <cellStyle name="输出 2 6 5 3 4 2" xfId="35756"/>
    <cellStyle name="检查单元格 2 5 8 5 2" xfId="35757"/>
    <cellStyle name="输出 2 12 5 11 2" xfId="35758"/>
    <cellStyle name="检查单元格 2 5 8 5 3" xfId="35759"/>
    <cellStyle name="检查单元格 2 5 8 5 4" xfId="35760"/>
    <cellStyle name="检查单元格 2 5 8 5 5" xfId="35761"/>
    <cellStyle name="检查单元格 2 5 9" xfId="35762"/>
    <cellStyle name="输出 2 6 5 4 3 2" xfId="35763"/>
    <cellStyle name="检查单元格 2 5 9 4 2" xfId="35764"/>
    <cellStyle name="输出 2 6 5 4 4 2" xfId="35765"/>
    <cellStyle name="检查单元格 2 5 9 5 2" xfId="35766"/>
    <cellStyle name="检查单元格 2 6" xfId="35767"/>
    <cellStyle name="检查单元格 2 6 11 5 2" xfId="35768"/>
    <cellStyle name="检查单元格 2 6 11 6" xfId="35769"/>
    <cellStyle name="输出 2 4 2 8 5" xfId="35770"/>
    <cellStyle name="输出 2 12 2 2 4" xfId="35771"/>
    <cellStyle name="检查单元格 2 6 14" xfId="35772"/>
    <cellStyle name="输出 2 12 2 2 5" xfId="35773"/>
    <cellStyle name="检查单元格 2 6 20" xfId="35774"/>
    <cellStyle name="检查单元格 2 6 15" xfId="35775"/>
    <cellStyle name="输入 2 9 6 8 2" xfId="35776"/>
    <cellStyle name="输出 2 12 2 2 5 2" xfId="35777"/>
    <cellStyle name="检查单元格 2 6 15 2" xfId="35778"/>
    <cellStyle name="输入 2 9 6 8 2 2" xfId="35779"/>
    <cellStyle name="输出 2 12 2 2 6" xfId="35780"/>
    <cellStyle name="输入 2 7 11 10" xfId="35781"/>
    <cellStyle name="检查单元格 2 6 16" xfId="35782"/>
    <cellStyle name="输入 2 9 6 8 3" xfId="35783"/>
    <cellStyle name="输出 2 12 2 2 8" xfId="35784"/>
    <cellStyle name="输入 2 7 11 12" xfId="35785"/>
    <cellStyle name="检查单元格 2 6 18" xfId="35786"/>
    <cellStyle name="输入 2 9 6 8 5" xfId="35787"/>
    <cellStyle name="输出 2 12 2 2 9" xfId="35788"/>
    <cellStyle name="输入 2 7 11 13" xfId="35789"/>
    <cellStyle name="注释 2 7 10 3 2 2" xfId="35790"/>
    <cellStyle name="检查单元格 2 6 19" xfId="35791"/>
    <cellStyle name="检查单元格 2 6 2 11" xfId="35792"/>
    <cellStyle name="输入 2 5 8 8 2" xfId="35793"/>
    <cellStyle name="检查单元格 2 6 2 2 2" xfId="35794"/>
    <cellStyle name="注释 2 3 5 16" xfId="35795"/>
    <cellStyle name="检查单元格 2 6 2 2 2 2" xfId="35796"/>
    <cellStyle name="输出 2 2 2 2 9" xfId="35797"/>
    <cellStyle name="检查单元格 2 6 2 2 3 2" xfId="35798"/>
    <cellStyle name="输入 2 7 6 2 5" xfId="35799"/>
    <cellStyle name="检查单元格 2 6 2 2 4" xfId="35800"/>
    <cellStyle name="输入 2 8 3 2 4 2" xfId="35801"/>
    <cellStyle name="检查单元格 2 6 2 2 4 2" xfId="35802"/>
    <cellStyle name="输入 2 7 6 3 5" xfId="35803"/>
    <cellStyle name="检查单元格 2 6 2 2 5" xfId="35804"/>
    <cellStyle name="检查单元格 2 6 2 2 5 2" xfId="35805"/>
    <cellStyle name="输入 2 7 6 4 5" xfId="35806"/>
    <cellStyle name="检查单元格 2 6 2 2 9" xfId="35807"/>
    <cellStyle name="检查单元格 2 6 2 3 2" xfId="35808"/>
    <cellStyle name="输入 2 2 7 2 7" xfId="35809"/>
    <cellStyle name="检查单元格 2 6 2 3 2 2" xfId="35810"/>
    <cellStyle name="输出 2 2 3 2 9" xfId="35811"/>
    <cellStyle name="检查单元格 2 6 2 3 3 2" xfId="35812"/>
    <cellStyle name="输入 2 7 7 2 5" xfId="35813"/>
    <cellStyle name="检查单元格 2 6 2 3 4" xfId="35814"/>
    <cellStyle name="输入 2 2 7 2 9" xfId="35815"/>
    <cellStyle name="输入 2 8 3 2 5 2" xfId="35816"/>
    <cellStyle name="检查单元格 2 6 2 3 4 2" xfId="35817"/>
    <cellStyle name="输入 2 7 7 3 5" xfId="35818"/>
    <cellStyle name="检查单元格 2 6 2 3 5" xfId="35819"/>
    <cellStyle name="检查单元格 2 6 2 3 5 2" xfId="35820"/>
    <cellStyle name="输入 2 7 7 4 5" xfId="35821"/>
    <cellStyle name="检查单元格 2 6 2 4" xfId="35822"/>
    <cellStyle name="检查单元格 2 6 2 4 2" xfId="35823"/>
    <cellStyle name="检查单元格 2 6 2 4 2 2" xfId="35824"/>
    <cellStyle name="输出 2 2 4 2 9" xfId="35825"/>
    <cellStyle name="检查单元格 2 6 2 4 3 2" xfId="35826"/>
    <cellStyle name="输入 2 7 8 2 5" xfId="35827"/>
    <cellStyle name="检查单元格 2 6 2 4 4" xfId="35828"/>
    <cellStyle name="检查单元格 2 6 2 4 4 2" xfId="35829"/>
    <cellStyle name="输入 2 7 8 3 5" xfId="35830"/>
    <cellStyle name="检查单元格 2 6 2 4 5" xfId="35831"/>
    <cellStyle name="检查单元格 2 6 2 4 5 2" xfId="35832"/>
    <cellStyle name="输入 2 7 8 4 5" xfId="35833"/>
    <cellStyle name="检查单元格 2 6 2 4 6" xfId="35834"/>
    <cellStyle name="注释 2 3 10 8 3 2" xfId="35835"/>
    <cellStyle name="检查单元格 2 6 2 5" xfId="35836"/>
    <cellStyle name="输出 2 13 12" xfId="35837"/>
    <cellStyle name="检查单元格 2 6 2 5 2" xfId="35838"/>
    <cellStyle name="输出 2 13 12 2" xfId="35839"/>
    <cellStyle name="检查单元格 2 6 2 5 2 2" xfId="35840"/>
    <cellStyle name="输出 2 2 5 2 9" xfId="35841"/>
    <cellStyle name="检查单元格 2 6 2 5 3 2" xfId="35842"/>
    <cellStyle name="输入 2 7 9 2 5" xfId="35843"/>
    <cellStyle name="输出 2 13 14" xfId="35844"/>
    <cellStyle name="检查单元格 2 6 2 5 4" xfId="35845"/>
    <cellStyle name="检查单元格 2 6 2 5 4 2" xfId="35846"/>
    <cellStyle name="输入 2 7 9 3 5" xfId="35847"/>
    <cellStyle name="输出 2 13 15" xfId="35848"/>
    <cellStyle name="检查单元格 2 6 2 5 5" xfId="35849"/>
    <cellStyle name="检查单元格 2 6 2 6" xfId="35850"/>
    <cellStyle name="检查单元格 2 6 2 6 2" xfId="35851"/>
    <cellStyle name="输出 2 5 27" xfId="35852"/>
    <cellStyle name="检查单元格 2 6 3 10" xfId="35853"/>
    <cellStyle name="检查单元格 2 6 3 11" xfId="35854"/>
    <cellStyle name="检查单元格 2 6 3 12" xfId="35855"/>
    <cellStyle name="检查单元格 2 6 3 13" xfId="35856"/>
    <cellStyle name="检查单元格 2 6 3 2 2" xfId="35857"/>
    <cellStyle name="检查单元格 2 6 3 2 2 2" xfId="35858"/>
    <cellStyle name="输出 2 3 2 2 9" xfId="35859"/>
    <cellStyle name="检查单元格 2 6 3 2 3 2" xfId="35860"/>
    <cellStyle name="输入 2 8 6 2 5" xfId="35861"/>
    <cellStyle name="检查单元格 2 6 3 2 4" xfId="35862"/>
    <cellStyle name="输入 2 8 3 3 4 2" xfId="35863"/>
    <cellStyle name="检查单元格 2 6 3 2 5" xfId="35864"/>
    <cellStyle name="检查单元格 2 6 3 2 5 2" xfId="35865"/>
    <cellStyle name="输入 2 8 6 4 5" xfId="35866"/>
    <cellStyle name="检查单元格 2 6 3 2 7" xfId="35867"/>
    <cellStyle name="输入 2 8 17 3" xfId="35868"/>
    <cellStyle name="检查单元格 2 6 3 2 8" xfId="35869"/>
    <cellStyle name="输入 2 8 17 4" xfId="35870"/>
    <cellStyle name="检查单元格 2 6 3 2 9" xfId="35871"/>
    <cellStyle name="输入 2 8 17 5" xfId="35872"/>
    <cellStyle name="检查单元格 2 6 3 3 2" xfId="35873"/>
    <cellStyle name="输入 2 2 8 2 7" xfId="35874"/>
    <cellStyle name="检查单元格 2 6 3 3 2 2" xfId="35875"/>
    <cellStyle name="检查单元格 2 6 3 3 4" xfId="35876"/>
    <cellStyle name="输入 2 2 8 2 9" xfId="35877"/>
    <cellStyle name="输入 2 8 3 3 5 2" xfId="35878"/>
    <cellStyle name="检查单元格 2 6 3 3 5" xfId="35879"/>
    <cellStyle name="输出 2 12 9 10" xfId="35880"/>
    <cellStyle name="注释 2 5 9 7 5 2" xfId="35881"/>
    <cellStyle name="检查单元格 2 6 3 4" xfId="35882"/>
    <cellStyle name="输出 2 12 9 10 2" xfId="35883"/>
    <cellStyle name="检查单元格 2 6 3 4 2" xfId="35884"/>
    <cellStyle name="检查单元格 2 6 3 4 2 2" xfId="35885"/>
    <cellStyle name="输出 2 3 4 2 9" xfId="35886"/>
    <cellStyle name="检查单元格 2 6 3 4 3 2" xfId="35887"/>
    <cellStyle name="输入 2 8 8 2 5" xfId="35888"/>
    <cellStyle name="检查单元格 2 6 3 4 4" xfId="35889"/>
    <cellStyle name="检查单元格 2 6 3 4 4 2" xfId="35890"/>
    <cellStyle name="输入 2 8 8 3 5" xfId="35891"/>
    <cellStyle name="检查单元格 2 6 3 4 5" xfId="35892"/>
    <cellStyle name="检查单元格 2 6 3 4 5 2" xfId="35893"/>
    <cellStyle name="输入 2 8 8 4 5" xfId="35894"/>
    <cellStyle name="检查单元格 2 6 3 4 6" xfId="35895"/>
    <cellStyle name="输入 2 8 19 2" xfId="35896"/>
    <cellStyle name="输出 2 12 9 11" xfId="35897"/>
    <cellStyle name="检查单元格 2 6 3 5" xfId="35898"/>
    <cellStyle name="输出 2 12 9 11 2" xfId="35899"/>
    <cellStyle name="检查单元格 2 6 3 5 2" xfId="35900"/>
    <cellStyle name="检查单元格 2 6 3 5 2 2" xfId="35901"/>
    <cellStyle name="输出 2 3 5 2 9" xfId="35902"/>
    <cellStyle name="检查单元格 2 6 3 5 3 2" xfId="35903"/>
    <cellStyle name="输入 2 8 9 2 5" xfId="35904"/>
    <cellStyle name="检查单元格 2 6 3 5 4" xfId="35905"/>
    <cellStyle name="检查单元格 2 6 3 5 4 2" xfId="35906"/>
    <cellStyle name="输入 2 8 9 3 5" xfId="35907"/>
    <cellStyle name="检查单元格 2 6 3 5 5" xfId="35908"/>
    <cellStyle name="输出 2 12 9 12" xfId="35909"/>
    <cellStyle name="输出 2 9 3 10 2" xfId="35910"/>
    <cellStyle name="检查单元格 2 6 3 6" xfId="35911"/>
    <cellStyle name="输出 2 12 9 12 2" xfId="35912"/>
    <cellStyle name="输入 2 12 2 2 3" xfId="35913"/>
    <cellStyle name="检查单元格 2 6 3 6 2" xfId="35914"/>
    <cellStyle name="输出 2 6 27" xfId="35915"/>
    <cellStyle name="检查单元格 2 6 4 10" xfId="35916"/>
    <cellStyle name="输入 2 12 5 8 2 2" xfId="35917"/>
    <cellStyle name="检查单元格 2 6 4 11" xfId="35918"/>
    <cellStyle name="检查单元格 2 6 4 12" xfId="35919"/>
    <cellStyle name="检查单元格 2 6 4 13" xfId="35920"/>
    <cellStyle name="输入 2 9 2 3 3 2" xfId="35921"/>
    <cellStyle name="检查单元格 2 6 4 2 2" xfId="35922"/>
    <cellStyle name="检查单元格 2 6 4 2 2 2" xfId="35923"/>
    <cellStyle name="检查单元格 2 6 4 2 4" xfId="35924"/>
    <cellStyle name="输入 2 8 3 4 4 2" xfId="35925"/>
    <cellStyle name="检查单元格 2 6 4 2 5" xfId="35926"/>
    <cellStyle name="检查单元格 2 6 4 2 5 2" xfId="35927"/>
    <cellStyle name="输入 2 9 6 4 5" xfId="35928"/>
    <cellStyle name="检查单元格 2 6 4 2 7" xfId="35929"/>
    <cellStyle name="检查单元格 2 6 4 2 8" xfId="35930"/>
    <cellStyle name="检查单元格 2 6 4 2 9" xfId="35931"/>
    <cellStyle name="检查单元格 2 6 4 3 2" xfId="35932"/>
    <cellStyle name="输入 2 2 9 2 7" xfId="35933"/>
    <cellStyle name="检查单元格 2 6 4 3 2 2" xfId="35934"/>
    <cellStyle name="检查单元格 2 6 4 3 4" xfId="35935"/>
    <cellStyle name="输入 2 2 9 2 9" xfId="35936"/>
    <cellStyle name="输入 2 8 3 4 5 2" xfId="35937"/>
    <cellStyle name="检查单元格 2 6 4 3 4 2" xfId="35938"/>
    <cellStyle name="输入 2 9 7 3 5" xfId="35939"/>
    <cellStyle name="检查单元格 2 6 4 3 5" xfId="35940"/>
    <cellStyle name="检查单元格 2 6 4 3 5 2" xfId="35941"/>
    <cellStyle name="输入 2 9 7 4 5" xfId="35942"/>
    <cellStyle name="检查单元格 2 6 4 4" xfId="35943"/>
    <cellStyle name="检查单元格 2 6 4 4 2" xfId="35944"/>
    <cellStyle name="检查单元格 2 6 4 4 2 2" xfId="35945"/>
    <cellStyle name="输出 2 4 4 2 9" xfId="35946"/>
    <cellStyle name="检查单元格 2 6 4 4 3 2" xfId="35947"/>
    <cellStyle name="输入 2 9 8 2 5" xfId="35948"/>
    <cellStyle name="检查单元格 2 6 4 5" xfId="35949"/>
    <cellStyle name="检查单元格 2 6 4 5 2" xfId="35950"/>
    <cellStyle name="检查单元格 2 6 4 5 2 2" xfId="35951"/>
    <cellStyle name="输出 2 4 5 2 9" xfId="35952"/>
    <cellStyle name="检查单元格 2 6 4 5 3 2" xfId="35953"/>
    <cellStyle name="输入 2 9 9 2 5" xfId="35954"/>
    <cellStyle name="检查单元格 2 6 4 5 4" xfId="35955"/>
    <cellStyle name="检查单元格 2 6 4 5 4 2" xfId="35956"/>
    <cellStyle name="输入 2 9 9 3 5" xfId="35957"/>
    <cellStyle name="检查单元格 2 6 4 5 5" xfId="35958"/>
    <cellStyle name="检查单元格 2 6 4 6" xfId="35959"/>
    <cellStyle name="检查单元格 2 6 4 6 2" xfId="35960"/>
    <cellStyle name="检查单元格 2 6 5 11" xfId="35961"/>
    <cellStyle name="检查单元格 2 6 5 2 2" xfId="35962"/>
    <cellStyle name="检查单元格 2 6 5 2 2 2" xfId="35963"/>
    <cellStyle name="输出 2 5 2 2 9" xfId="35964"/>
    <cellStyle name="注释 2 11 12 2 2" xfId="35965"/>
    <cellStyle name="检查单元格 2 6 5 2 3 2" xfId="35966"/>
    <cellStyle name="检查单元格 2 6 5 2 4" xfId="35967"/>
    <cellStyle name="输入 2 8 3 5 4 2" xfId="35968"/>
    <cellStyle name="检查单元格 2 6 5 2 4 2" xfId="35969"/>
    <cellStyle name="检查单元格 2 6 5 2 5" xfId="35970"/>
    <cellStyle name="检查单元格 2 6 5 2 5 2" xfId="35971"/>
    <cellStyle name="检查单元格 2 6 5 2 8" xfId="35972"/>
    <cellStyle name="检查单元格 2 6 5 2 9" xfId="35973"/>
    <cellStyle name="检查单元格 2 6 5 3 2" xfId="35974"/>
    <cellStyle name="检查单元格 2 6 5 3 4" xfId="35975"/>
    <cellStyle name="输入 2 8 3 5 5 2" xfId="35976"/>
    <cellStyle name="检查单元格 2 6 5 3 5" xfId="35977"/>
    <cellStyle name="检查单元格 2 6 5 4" xfId="35978"/>
    <cellStyle name="检查单元格 2 6 5 4 2" xfId="35979"/>
    <cellStyle name="检查单元格 2 6 5 4 2 2" xfId="35980"/>
    <cellStyle name="检查单元格 2 6 5 5" xfId="35981"/>
    <cellStyle name="检查单元格 2 6 5 5 2" xfId="35982"/>
    <cellStyle name="检查单元格 2 6 5 5 2 2" xfId="35983"/>
    <cellStyle name="检查单元格 2 6 5 5 3" xfId="35984"/>
    <cellStyle name="检查单元格 2 6 5 5 4" xfId="35985"/>
    <cellStyle name="检查单元格 2 6 5 5 5" xfId="35986"/>
    <cellStyle name="检查单元格 2 6 5 6" xfId="35987"/>
    <cellStyle name="检查单元格 2 6 5 6 2" xfId="35988"/>
    <cellStyle name="检查单元格 2 6 5 7 2" xfId="35989"/>
    <cellStyle name="检查单元格 2 6 5 8" xfId="35990"/>
    <cellStyle name="输入 2 4 19 4 2" xfId="35991"/>
    <cellStyle name="检查单元格 2 6 5 8 2" xfId="35992"/>
    <cellStyle name="检查单元格 2 6 6 10" xfId="35993"/>
    <cellStyle name="输出 2 8 27" xfId="35994"/>
    <cellStyle name="检查单元格 2 6 6 11" xfId="35995"/>
    <cellStyle name="输入 2 5 9 3 2" xfId="35996"/>
    <cellStyle name="检查单元格 2 6 6 12" xfId="35997"/>
    <cellStyle name="输入 2 5 9 3 3" xfId="35998"/>
    <cellStyle name="检查单元格 2 6 6 13" xfId="35999"/>
    <cellStyle name="输入 2 5 9 3 4" xfId="36000"/>
    <cellStyle name="注释 2 4 7 7 3 2" xfId="36001"/>
    <cellStyle name="输出 2 4 2 2 4 2" xfId="36002"/>
    <cellStyle name="检查单元格 2 6 6 2" xfId="36003"/>
    <cellStyle name="检查单元格 2 6 6 2 2" xfId="36004"/>
    <cellStyle name="检查单元格 2 6 6 2 2 2" xfId="36005"/>
    <cellStyle name="检查单元格 2 6 6 2 3" xfId="36006"/>
    <cellStyle name="输入 2 10 2 2 3 2" xfId="36007"/>
    <cellStyle name="注释 2 11 7 9 2" xfId="36008"/>
    <cellStyle name="输出 2 6 2 2 9" xfId="36009"/>
    <cellStyle name="注释 2 5 27" xfId="36010"/>
    <cellStyle name="检查单元格 2 6 6 2 3 2" xfId="36011"/>
    <cellStyle name="检查单元格 2 6 6 2 4" xfId="36012"/>
    <cellStyle name="输入 2 8 3 6 4 2" xfId="36013"/>
    <cellStyle name="检查单元格 2 6 6 2 4 2" xfId="36014"/>
    <cellStyle name="检查单元格 2 6 6 3" xfId="36015"/>
    <cellStyle name="检查单元格 2 6 6 3 2" xfId="36016"/>
    <cellStyle name="检查单元格 2 6 6 3 2 2" xfId="36017"/>
    <cellStyle name="输出 2 6 3 2 9" xfId="36018"/>
    <cellStyle name="检查单元格 2 6 6 3 3 2" xfId="36019"/>
    <cellStyle name="检查单元格 2 6 6 4" xfId="36020"/>
    <cellStyle name="检查单元格 2 6 6 4 2" xfId="36021"/>
    <cellStyle name="检查单元格 2 6 6 4 2 2" xfId="36022"/>
    <cellStyle name="检查单元格 2 6 6 4 3" xfId="36023"/>
    <cellStyle name="输入 2 10 2 2 5 2" xfId="36024"/>
    <cellStyle name="输出 2 6 4 2 9" xfId="36025"/>
    <cellStyle name="检查单元格 2 6 6 4 3 2" xfId="36026"/>
    <cellStyle name="检查单元格 2 6 6 4 4" xfId="36027"/>
    <cellStyle name="检查单元格 2 6 6 5" xfId="36028"/>
    <cellStyle name="检查单元格 2 6 6 5 2" xfId="36029"/>
    <cellStyle name="检查单元格 2 6 6 5 3" xfId="36030"/>
    <cellStyle name="输出 2 6 5 2 9" xfId="36031"/>
    <cellStyle name="检查单元格 2 6 6 5 3 2" xfId="36032"/>
    <cellStyle name="输入 2 7 10 6 5" xfId="36033"/>
    <cellStyle name="检查单元格 2 6 6 5 4" xfId="36034"/>
    <cellStyle name="检查单元格 2 6 6 6" xfId="36035"/>
    <cellStyle name="检查单元格 2 6 6 6 2" xfId="36036"/>
    <cellStyle name="检查单元格 2 6 6 7" xfId="36037"/>
    <cellStyle name="检查单元格 2 6 6 7 2" xfId="36038"/>
    <cellStyle name="检查单元格 2 6 6 8" xfId="36039"/>
    <cellStyle name="检查单元格 2 6 6 8 2" xfId="36040"/>
    <cellStyle name="检查单元格 2 6 7 10" xfId="36041"/>
    <cellStyle name="输出 2 9 27" xfId="36042"/>
    <cellStyle name="检查单元格 2 6 7 11" xfId="36043"/>
    <cellStyle name="输入 2 5 9 8 2" xfId="36044"/>
    <cellStyle name="检查单元格 2 6 7 12" xfId="36045"/>
    <cellStyle name="输入 2 5 9 8 3" xfId="36046"/>
    <cellStyle name="检查单元格 2 6 7 13" xfId="36047"/>
    <cellStyle name="输入 2 10 11 6 3 2" xfId="36048"/>
    <cellStyle name="输入 2 5 9 8 4" xfId="36049"/>
    <cellStyle name="输出 2 4 2 2 5 2" xfId="36050"/>
    <cellStyle name="检查单元格 2 6 7 2" xfId="36051"/>
    <cellStyle name="输出 2 3 10 6 3" xfId="36052"/>
    <cellStyle name="检查单元格 2 6 7 2 2" xfId="36053"/>
    <cellStyle name="注释 2 4 5 16" xfId="36054"/>
    <cellStyle name="输出 2 3 10 6 3 2" xfId="36055"/>
    <cellStyle name="检查单元格 2 6 7 2 2 2" xfId="36056"/>
    <cellStyle name="输出 2 3 10 6 4" xfId="36057"/>
    <cellStyle name="检查单元格 2 6 7 2 3" xfId="36058"/>
    <cellStyle name="输入 2 10 2 3 3 2" xfId="36059"/>
    <cellStyle name="注释 2 11 8 9 2" xfId="36060"/>
    <cellStyle name="输出 2 7 2 2 9" xfId="36061"/>
    <cellStyle name="输出 2 3 10 6 4 2" xfId="36062"/>
    <cellStyle name="检查单元格 2 6 7 2 3 2" xfId="36063"/>
    <cellStyle name="输出 2 3 10 6 5" xfId="36064"/>
    <cellStyle name="检查单元格 2 6 7 2 4" xfId="36065"/>
    <cellStyle name="输入 2 8 3 7 4 2" xfId="36066"/>
    <cellStyle name="输出 2 3 10 6 5 2" xfId="36067"/>
    <cellStyle name="检查单元格 2 6 7 2 4 2" xfId="36068"/>
    <cellStyle name="输出 2 6 6 2 2" xfId="36069"/>
    <cellStyle name="检查单元格 2 6 7 3" xfId="36070"/>
    <cellStyle name="输出 2 6 6 2 2 2" xfId="36071"/>
    <cellStyle name="输出 2 3 10 7 3" xfId="36072"/>
    <cellStyle name="检查单元格 2 6 7 3 2" xfId="36073"/>
    <cellStyle name="输出 2 3 10 7 3 2" xfId="36074"/>
    <cellStyle name="检查单元格 2 6 7 3 2 2" xfId="36075"/>
    <cellStyle name="输出 2 3 10 7 4" xfId="36076"/>
    <cellStyle name="检查单元格 2 6 7 3 3" xfId="36077"/>
    <cellStyle name="输入 2 10 2 3 4 2" xfId="36078"/>
    <cellStyle name="输出 2 3 10 7 4 2" xfId="36079"/>
    <cellStyle name="检查单元格 2 6 7 3 3 2" xfId="36080"/>
    <cellStyle name="输出 2 3 10 7 5" xfId="36081"/>
    <cellStyle name="检查单元格 2 6 7 3 4" xfId="36082"/>
    <cellStyle name="输入 2 8 3 7 5 2" xfId="36083"/>
    <cellStyle name="输出 2 6 6 2 3" xfId="36084"/>
    <cellStyle name="检查单元格 2 6 7 4" xfId="36085"/>
    <cellStyle name="输出 2 6 6 2 3 2" xfId="36086"/>
    <cellStyle name="输出 2 3 10 8 3" xfId="36087"/>
    <cellStyle name="检查单元格 2 6 7 4 2" xfId="36088"/>
    <cellStyle name="输出 2 3 10 8 3 2" xfId="36089"/>
    <cellStyle name="检查单元格 2 6 7 4 2 2" xfId="36090"/>
    <cellStyle name="输出 2 3 10 8 4" xfId="36091"/>
    <cellStyle name="检查单元格 2 6 7 4 3" xfId="36092"/>
    <cellStyle name="输入 2 10 2 3 5 2" xfId="36093"/>
    <cellStyle name="输出 2 3 10 8 4 2" xfId="36094"/>
    <cellStyle name="检查单元格 2 6 7 4 3 2" xfId="36095"/>
    <cellStyle name="输出 2 3 10 8 5" xfId="36096"/>
    <cellStyle name="检查单元格 2 6 7 4 4" xfId="36097"/>
    <cellStyle name="输出 2 6 6 2 4" xfId="36098"/>
    <cellStyle name="检查单元格 2 6 7 5" xfId="36099"/>
    <cellStyle name="输出 2 6 6 2 4 2" xfId="36100"/>
    <cellStyle name="检查单元格 2 6 7 5 2" xfId="36101"/>
    <cellStyle name="检查单元格 2 6 7 5 2 2" xfId="36102"/>
    <cellStyle name="检查单元格 2 6 7 5 3" xfId="36103"/>
    <cellStyle name="检查单元格 2 6 7 5 3 2" xfId="36104"/>
    <cellStyle name="检查单元格 2 6 7 5 4" xfId="36105"/>
    <cellStyle name="输出 2 6 6 2 5" xfId="36106"/>
    <cellStyle name="检查单元格 2 6 7 6" xfId="36107"/>
    <cellStyle name="输出 2 6 6 2 5 2" xfId="36108"/>
    <cellStyle name="检查单元格 2 6 7 6 2" xfId="36109"/>
    <cellStyle name="输出 2 6 6 2 6" xfId="36110"/>
    <cellStyle name="检查单元格 2 6 7 7" xfId="36111"/>
    <cellStyle name="检查单元格 2 6 7 7 2" xfId="36112"/>
    <cellStyle name="输入 2 10 10 10" xfId="36113"/>
    <cellStyle name="注释 2 4 6 16" xfId="36114"/>
    <cellStyle name="输出 2 6 6 2 7" xfId="36115"/>
    <cellStyle name="检查单元格 2 6 7 8" xfId="36116"/>
    <cellStyle name="检查单元格 2 6 7 8 2" xfId="36117"/>
    <cellStyle name="检查单元格 2 6 7 9 2" xfId="36118"/>
    <cellStyle name="检查单元格 2 6 8 2" xfId="36119"/>
    <cellStyle name="输入 2 9 6 2 2 2" xfId="36120"/>
    <cellStyle name="输出 2 3 11 6 3" xfId="36121"/>
    <cellStyle name="检查单元格 2 6 8 2 2" xfId="36122"/>
    <cellStyle name="输出 2 3 11 6 3 2" xfId="36123"/>
    <cellStyle name="检查单元格 2 6 8 2 2 2" xfId="36124"/>
    <cellStyle name="输入 2 10 10 7 4" xfId="36125"/>
    <cellStyle name="输出 2 3 11 6 4" xfId="36126"/>
    <cellStyle name="检查单元格 2 6 8 2 3" xfId="36127"/>
    <cellStyle name="输入 2 10 2 4 3 2" xfId="36128"/>
    <cellStyle name="注释 2 11 9 9 2" xfId="36129"/>
    <cellStyle name="输出 2 3 11 6 4 2" xfId="36130"/>
    <cellStyle name="检查单元格 2 6 8 2 3 2" xfId="36131"/>
    <cellStyle name="输入 2 10 10 8 4" xfId="36132"/>
    <cellStyle name="输出 2 3 11 6 5" xfId="36133"/>
    <cellStyle name="检查单元格 2 6 8 2 4" xfId="36134"/>
    <cellStyle name="输入 2 8 3 8 4 2" xfId="36135"/>
    <cellStyle name="输出 2 3 11 6 5 2" xfId="36136"/>
    <cellStyle name="检查单元格 2 6 8 2 4 2" xfId="36137"/>
    <cellStyle name="检查单元格 2 6 8 2 5 2" xfId="36138"/>
    <cellStyle name="检查单元格 2 6 8 2 6" xfId="36139"/>
    <cellStyle name="输入 2 9 17 2" xfId="36140"/>
    <cellStyle name="输入 2 9 22 2" xfId="36141"/>
    <cellStyle name="检查单元格 2 6 8 2 7" xfId="36142"/>
    <cellStyle name="输入 2 9 17 3" xfId="36143"/>
    <cellStyle name="检查单元格 2 6 8 2 8" xfId="36144"/>
    <cellStyle name="输入 2 9 17 4" xfId="36145"/>
    <cellStyle name="检查单元格 2 6 8 2 9" xfId="36146"/>
    <cellStyle name="输入 2 9 17 5" xfId="36147"/>
    <cellStyle name="输出 2 3 11 7 3 2" xfId="36148"/>
    <cellStyle name="检查单元格 2 6 8 3 2 2" xfId="36149"/>
    <cellStyle name="输入 2 10 11 7 4" xfId="36150"/>
    <cellStyle name="输出 2 3 11 7 4" xfId="36151"/>
    <cellStyle name="检查单元格 2 6 8 3 3" xfId="36152"/>
    <cellStyle name="输入 2 10 2 4 4 2" xfId="36153"/>
    <cellStyle name="输出 2 3 11 7 4 2" xfId="36154"/>
    <cellStyle name="检查单元格 2 6 8 3 3 2" xfId="36155"/>
    <cellStyle name="输入 2 10 11 8 4" xfId="36156"/>
    <cellStyle name="输出 2 3 11 7 5" xfId="36157"/>
    <cellStyle name="检查单元格 2 6 8 3 4" xfId="36158"/>
    <cellStyle name="输出 2 3 11 7 5 2" xfId="36159"/>
    <cellStyle name="检查单元格 2 6 8 3 4 2" xfId="36160"/>
    <cellStyle name="检查单元格 2 6 8 3 5 2" xfId="36161"/>
    <cellStyle name="输出 2 11 10 2 2" xfId="36162"/>
    <cellStyle name="检查单元格 2 6 8 3 6" xfId="36163"/>
    <cellStyle name="输入 2 9 18 2" xfId="36164"/>
    <cellStyle name="输入 2 9 23 2" xfId="36165"/>
    <cellStyle name="输出 2 3 11 8 4" xfId="36166"/>
    <cellStyle name="检查单元格 2 6 8 4 3" xfId="36167"/>
    <cellStyle name="输入 2 10 2 4 5 2" xfId="36168"/>
    <cellStyle name="输出 2 3 11 8 5" xfId="36169"/>
    <cellStyle name="检查单元格 2 6 8 4 4" xfId="36170"/>
    <cellStyle name="检查单元格 2 6 8 4 4 2" xfId="36171"/>
    <cellStyle name="检查单元格 2 6 8 4 5" xfId="36172"/>
    <cellStyle name="检查单元格 2 6 8 4 5 2" xfId="36173"/>
    <cellStyle name="输出 2 11 10 3 2" xfId="36174"/>
    <cellStyle name="检查单元格 2 6 8 4 6" xfId="36175"/>
    <cellStyle name="输入 2 9 19 2" xfId="36176"/>
    <cellStyle name="检查单元格 2 6 8 5 2 2" xfId="36177"/>
    <cellStyle name="检查单元格 2 6 8 5 3" xfId="36178"/>
    <cellStyle name="检查单元格 2 6 8 5 3 2" xfId="36179"/>
    <cellStyle name="检查单元格 2 6 8 5 4" xfId="36180"/>
    <cellStyle name="检查单元格 2 6 8 5 4 2" xfId="36181"/>
    <cellStyle name="检查单元格 2 6 8 5 5" xfId="36182"/>
    <cellStyle name="检查单元格 2 7" xfId="36183"/>
    <cellStyle name="检查单元格 2 7 10 2" xfId="36184"/>
    <cellStyle name="检查单元格 2 7 10 2 2" xfId="36185"/>
    <cellStyle name="检查单元格 2 7 11 2 2" xfId="36186"/>
    <cellStyle name="检查单元格 2 7 11 3" xfId="36187"/>
    <cellStyle name="注释 2 10 5 3 2" xfId="36188"/>
    <cellStyle name="检查单元格 2 7 11 3 2" xfId="36189"/>
    <cellStyle name="注释 2 10 5 3 2 2" xfId="36190"/>
    <cellStyle name="检查单元格 2 7 11 4" xfId="36191"/>
    <cellStyle name="输入 2 11 3 12 2" xfId="36192"/>
    <cellStyle name="注释 2 10 5 3 3" xfId="36193"/>
    <cellStyle name="检查单元格 2 7 11 4 2" xfId="36194"/>
    <cellStyle name="注释 2 10 5 3 3 2" xfId="36195"/>
    <cellStyle name="检查单元格 2 7 11 5 2" xfId="36196"/>
    <cellStyle name="注释 2 10 5 3 4 2" xfId="36197"/>
    <cellStyle name="检查单元格 2 7 11 6" xfId="36198"/>
    <cellStyle name="注释 2 10 5 3 5" xfId="36199"/>
    <cellStyle name="检查单元格 2 7 12 2 2" xfId="36200"/>
    <cellStyle name="检查单元格 2 7 12 3" xfId="36201"/>
    <cellStyle name="注释 2 10 5 4 2" xfId="36202"/>
    <cellStyle name="检查单元格 2 7 12 3 2" xfId="36203"/>
    <cellStyle name="注释 2 10 5 4 2 2" xfId="36204"/>
    <cellStyle name="检查单元格 2 7 12 4" xfId="36205"/>
    <cellStyle name="注释 2 10 5 4 3" xfId="36206"/>
    <cellStyle name="检查单元格 2 7 12 4 2" xfId="36207"/>
    <cellStyle name="注释 2 10 5 4 3 2" xfId="36208"/>
    <cellStyle name="输出 2 10 8 6 2 2" xfId="36209"/>
    <cellStyle name="检查单元格 2 7 12 5" xfId="36210"/>
    <cellStyle name="注释 2 10 5 4 4" xfId="36211"/>
    <cellStyle name="输出 2 12 2 7 5 2" xfId="36212"/>
    <cellStyle name="检查单元格 2 7 15 2" xfId="36213"/>
    <cellStyle name="输出 2 12 2 7 6" xfId="36214"/>
    <cellStyle name="检查单元格 2 7 16" xfId="36215"/>
    <cellStyle name="检查单元格 2 7 16 2" xfId="36216"/>
    <cellStyle name="检查单元格 2 9 7 4 2 2" xfId="36217"/>
    <cellStyle name="注释 2 12 7 5 4" xfId="36218"/>
    <cellStyle name="检查单元格 2 7 2 12" xfId="36219"/>
    <cellStyle name="检查单元格 2 7 2 13" xfId="36220"/>
    <cellStyle name="检查单元格 2 7 2 2 2" xfId="36221"/>
    <cellStyle name="注释 2 8 5 16" xfId="36222"/>
    <cellStyle name="检查单元格 2 7 2 2 2 2" xfId="36223"/>
    <cellStyle name="注释 2 6 5 12" xfId="36224"/>
    <cellStyle name="检查单元格 2 7 2 2 3 2" xfId="36225"/>
    <cellStyle name="注释 2 2 7 2 4" xfId="36226"/>
    <cellStyle name="检查单元格 2 7 2 2 4" xfId="36227"/>
    <cellStyle name="输入 2 8 4 2 4 2" xfId="36228"/>
    <cellStyle name="检查单元格 2 7 2 2 4 2" xfId="36229"/>
    <cellStyle name="注释 2 2 7 3 4" xfId="36230"/>
    <cellStyle name="检查单元格 2 7 2 2 5" xfId="36231"/>
    <cellStyle name="检查单元格 2 7 2 2 6" xfId="36232"/>
    <cellStyle name="检查单元格 2 7 2 2 8" xfId="36233"/>
    <cellStyle name="检查单元格 2 7 2 2 9" xfId="36234"/>
    <cellStyle name="检查单元格 2 7 2 4 6" xfId="36235"/>
    <cellStyle name="注释 2 3 11 8 3 2" xfId="36236"/>
    <cellStyle name="检查单元格 2 7 6 3 3" xfId="36237"/>
    <cellStyle name="输入 2 10 3 2 4 2" xfId="36238"/>
    <cellStyle name="注释 2 4 3 10 2" xfId="36239"/>
    <cellStyle name="检查单元格 2 7 3 10" xfId="36240"/>
    <cellStyle name="检查单元格 2 7 6 3 4" xfId="36241"/>
    <cellStyle name="输入 2 8 4 6 5 2" xfId="36242"/>
    <cellStyle name="检查单元格 2 7 3 11" xfId="36243"/>
    <cellStyle name="检查单元格 2 7 6 3 5" xfId="36244"/>
    <cellStyle name="检查单元格 2 7 3 12" xfId="36245"/>
    <cellStyle name="注释 2 9 10 4 4 2" xfId="36246"/>
    <cellStyle name="检查单元格 2 7 3 2 2 2" xfId="36247"/>
    <cellStyle name="注释 2 11 10 8 4" xfId="36248"/>
    <cellStyle name="检查单元格 2 7 3 2 3 2" xfId="36249"/>
    <cellStyle name="注释 2 3 7 2 4" xfId="36250"/>
    <cellStyle name="检查单元格 2 7 3 2 4" xfId="36251"/>
    <cellStyle name="输入 2 8 4 3 4 2" xfId="36252"/>
    <cellStyle name="检查单元格 2 7 3 2 4 2" xfId="36253"/>
    <cellStyle name="注释 2 3 7 3 4" xfId="36254"/>
    <cellStyle name="检查单元格 2 7 3 2 5" xfId="36255"/>
    <cellStyle name="检查单元格 2 7 3 2 5 2" xfId="36256"/>
    <cellStyle name="注释 2 3 7 4 4" xfId="36257"/>
    <cellStyle name="检查单元格 2 7 3 2 6" xfId="36258"/>
    <cellStyle name="检查单元格 2 7 3 2 7" xfId="36259"/>
    <cellStyle name="检查单元格 2 7 3 2 8" xfId="36260"/>
    <cellStyle name="检查单元格 2 7 3 2 9" xfId="36261"/>
    <cellStyle name="检查单元格 2 7 3 3 5 2" xfId="36262"/>
    <cellStyle name="注释 2 3 8 4 4" xfId="36263"/>
    <cellStyle name="检查单元格 2 7 3 3 6" xfId="36264"/>
    <cellStyle name="检查单元格 2 7 3 4 5 2" xfId="36265"/>
    <cellStyle name="注释 2 3 9 4 4" xfId="36266"/>
    <cellStyle name="检查单元格 2 7 3 4 6" xfId="36267"/>
    <cellStyle name="检查单元格 2 7 4 10" xfId="36268"/>
    <cellStyle name="检查单元格 2 7 4 11" xfId="36269"/>
    <cellStyle name="检查单元格 2 7 4 12" xfId="36270"/>
    <cellStyle name="检查单元格 2 7 4 13" xfId="36271"/>
    <cellStyle name="输入 2 9 2 8 3 2" xfId="36272"/>
    <cellStyle name="检查单元格 2 7 4 2 2 2" xfId="36273"/>
    <cellStyle name="检查单元格 2 7 4 2 3 2" xfId="36274"/>
    <cellStyle name="注释 2 4 7 2 4" xfId="36275"/>
    <cellStyle name="检查单元格 2 7 4 2 4" xfId="36276"/>
    <cellStyle name="输入 2 8 4 4 4 2" xfId="36277"/>
    <cellStyle name="检查单元格 2 7 4 2 4 2" xfId="36278"/>
    <cellStyle name="注释 2 4 7 3 4" xfId="36279"/>
    <cellStyle name="检查单元格 2 7 4 2 5" xfId="36280"/>
    <cellStyle name="检查单元格 2 7 4 2 5 2" xfId="36281"/>
    <cellStyle name="注释 2 4 7 4 4" xfId="36282"/>
    <cellStyle name="检查单元格 2 7 4 2 7" xfId="36283"/>
    <cellStyle name="注释 2 10 5 12 2" xfId="36284"/>
    <cellStyle name="检查单元格 2 7 4 2 8" xfId="36285"/>
    <cellStyle name="检查单元格 2 7 4 2 9" xfId="36286"/>
    <cellStyle name="检查单元格 2 7 4 3 2 2" xfId="36287"/>
    <cellStyle name="检查单元格 2 7 4 3 3 2" xfId="36288"/>
    <cellStyle name="注释 2 4 8 2 4" xfId="36289"/>
    <cellStyle name="检查单元格 2 7 4 3 4" xfId="36290"/>
    <cellStyle name="输入 2 3 9 2 9" xfId="36291"/>
    <cellStyle name="输入 2 8 4 4 5 2" xfId="36292"/>
    <cellStyle name="检查单元格 2 7 4 3 4 2" xfId="36293"/>
    <cellStyle name="注释 2 4 8 3 4" xfId="36294"/>
    <cellStyle name="检查单元格 2 7 4 3 5" xfId="36295"/>
    <cellStyle name="检查单元格 2 7 4 3 5 2" xfId="36296"/>
    <cellStyle name="注释 2 4 8 4 4" xfId="36297"/>
    <cellStyle name="检查单元格 2 7 4 4 2 2" xfId="36298"/>
    <cellStyle name="输入 2 9 11 14" xfId="36299"/>
    <cellStyle name="检查单元格 2 7 4 4 3 2" xfId="36300"/>
    <cellStyle name="注释 2 4 9 2 4" xfId="36301"/>
    <cellStyle name="检查单元格 2 7 4 4 4" xfId="36302"/>
    <cellStyle name="检查单元格 2 7 4 4 5" xfId="36303"/>
    <cellStyle name="检查单元格 2 7 4 4 5 2" xfId="36304"/>
    <cellStyle name="注释 2 4 9 4 4" xfId="36305"/>
    <cellStyle name="检查单元格 2 7 4 4 6" xfId="36306"/>
    <cellStyle name="检查单元格 2 7 4 5 2 2" xfId="36307"/>
    <cellStyle name="检查单元格 2 7 4 5 3 2" xfId="36308"/>
    <cellStyle name="检查单元格 2 7 4 5 4" xfId="36309"/>
    <cellStyle name="检查单元格 2 7 4 5 4 2" xfId="36310"/>
    <cellStyle name="检查单元格 2 7 4 5 5" xfId="36311"/>
    <cellStyle name="检查单元格 2 7 5 10" xfId="36312"/>
    <cellStyle name="检查单元格 2 7 5 2 2 2" xfId="36313"/>
    <cellStyle name="检查单元格 2 7 5 2 4" xfId="36314"/>
    <cellStyle name="输入 2 8 4 5 4 2" xfId="36315"/>
    <cellStyle name="检查单元格 2 7 5 2 4 2" xfId="36316"/>
    <cellStyle name="注释 2 5 7 3 4" xfId="36317"/>
    <cellStyle name="检查单元格 2 7 5 2 5" xfId="36318"/>
    <cellStyle name="输出 2 4 2 16" xfId="36319"/>
    <cellStyle name="检查单元格 2 7 5 2 5 2" xfId="36320"/>
    <cellStyle name="注释 2 5 7 4 4" xfId="36321"/>
    <cellStyle name="检查单元格 2 7 5 2 7" xfId="36322"/>
    <cellStyle name="检查单元格 2 7 5 2 8" xfId="36323"/>
    <cellStyle name="检查单元格 2 7 5 2 9" xfId="36324"/>
    <cellStyle name="检查单元格 2 7 5 3 2 2" xfId="36325"/>
    <cellStyle name="检查单元格 2 7 5 3 4" xfId="36326"/>
    <cellStyle name="输入 2 8 4 5 5 2" xfId="36327"/>
    <cellStyle name="检查单元格 2 7 5 3 4 2" xfId="36328"/>
    <cellStyle name="注释 2 5 8 3 4" xfId="36329"/>
    <cellStyle name="检查单元格 2 7 5 3 5" xfId="36330"/>
    <cellStyle name="检查单元格 2 7 5 4 2 2" xfId="36331"/>
    <cellStyle name="检查单元格 2 7 5 4 3 2" xfId="36332"/>
    <cellStyle name="注释 2 5 9 2 4" xfId="36333"/>
    <cellStyle name="输出 2 2 4 15" xfId="36334"/>
    <cellStyle name="检查单元格 2 7 5 4 4" xfId="36335"/>
    <cellStyle name="检查单元格 2 9 6 12" xfId="36336"/>
    <cellStyle name="检查单元格 2 7 5 4 4 2" xfId="36337"/>
    <cellStyle name="注释 2 5 9 3 4" xfId="36338"/>
    <cellStyle name="输出 2 2 4 16" xfId="36339"/>
    <cellStyle name="检查单元格 2 7 5 4 5" xfId="36340"/>
    <cellStyle name="检查单元格 2 7 5 4 6" xfId="36341"/>
    <cellStyle name="检查单元格 2 7 5 5 2" xfId="36342"/>
    <cellStyle name="检查单元格 2 7 5 5 2 2" xfId="36343"/>
    <cellStyle name="检查单元格 2 7 5 5 3" xfId="36344"/>
    <cellStyle name="检查单元格 2 7 5 5 3 2" xfId="36345"/>
    <cellStyle name="检查单元格 2 7 5 5 4" xfId="36346"/>
    <cellStyle name="检查单元格 2 7 5 5 4 2" xfId="36347"/>
    <cellStyle name="检查单元格 2 7 5 5 5" xfId="36348"/>
    <cellStyle name="检查单元格 2 7 5 6" xfId="36349"/>
    <cellStyle name="检查单元格 2 7 5 6 2" xfId="36350"/>
    <cellStyle name="检查单元格 2 7 5 7 2" xfId="36351"/>
    <cellStyle name="检查单元格 2 7 5 8" xfId="36352"/>
    <cellStyle name="检查单元格 2 7 5 8 2" xfId="36353"/>
    <cellStyle name="检查单元格 2 7 5 9" xfId="36354"/>
    <cellStyle name="输出 2 2 5 13" xfId="36355"/>
    <cellStyle name="检查单元格 2 7 5 9 2" xfId="36356"/>
    <cellStyle name="检查单元格 2 7 6 2 2" xfId="36357"/>
    <cellStyle name="检查单元格 2 7 6 2 2 2" xfId="36358"/>
    <cellStyle name="检查单元格 2 7 6 2 3" xfId="36359"/>
    <cellStyle name="输入 2 10 3 2 3 2" xfId="36360"/>
    <cellStyle name="注释 2 12 7 9 2" xfId="36361"/>
    <cellStyle name="检查单元格 2 7 6 2 3 2" xfId="36362"/>
    <cellStyle name="注释 2 6 7 2 4" xfId="36363"/>
    <cellStyle name="检查单元格 2 7 6 2 4" xfId="36364"/>
    <cellStyle name="输入 2 8 4 6 4 2" xfId="36365"/>
    <cellStyle name="检查单元格 2 7 6 2 4 2" xfId="36366"/>
    <cellStyle name="注释 2 6 7 3 4" xfId="36367"/>
    <cellStyle name="检查单元格 2 7 6 2 5" xfId="36368"/>
    <cellStyle name="检查单元格 2 7 6 2 5 2" xfId="36369"/>
    <cellStyle name="注释 2 6 7 4 4" xfId="36370"/>
    <cellStyle name="检查单元格 2 7 6 2 7" xfId="36371"/>
    <cellStyle name="检查单元格 2 7 6 2 8" xfId="36372"/>
    <cellStyle name="检查单元格 2 7 6 2 9" xfId="36373"/>
    <cellStyle name="检查单元格 2 7 6 3" xfId="36374"/>
    <cellStyle name="检查单元格 2 7 6 3 2" xfId="36375"/>
    <cellStyle name="检查单元格 2 7 6 3 2 2" xfId="36376"/>
    <cellStyle name="检查单元格 2 7 6 3 3 2" xfId="36377"/>
    <cellStyle name="注释 2 6 8 2 4" xfId="36378"/>
    <cellStyle name="检查单元格 2 7 6 3 4 2" xfId="36379"/>
    <cellStyle name="注释 2 6 8 3 4" xfId="36380"/>
    <cellStyle name="检查单元格 2 7 6 3 5 2" xfId="36381"/>
    <cellStyle name="输入 2 5 16" xfId="36382"/>
    <cellStyle name="输入 2 5 21" xfId="36383"/>
    <cellStyle name="注释 2 6 8 4 4" xfId="36384"/>
    <cellStyle name="检查单元格 2 7 6 4" xfId="36385"/>
    <cellStyle name="输出 2 2 9 13" xfId="36386"/>
    <cellStyle name="检查单元格 2 7 6 4 2" xfId="36387"/>
    <cellStyle name="检查单元格 2 7 6 4 2 2" xfId="36388"/>
    <cellStyle name="输出 2 2 9 14" xfId="36389"/>
    <cellStyle name="检查单元格 2 7 6 4 3" xfId="36390"/>
    <cellStyle name="输入 2 10 3 2 5 2" xfId="36391"/>
    <cellStyle name="注释 2 4 3 11 2" xfId="36392"/>
    <cellStyle name="检查单元格 2 7 6 4 3 2" xfId="36393"/>
    <cellStyle name="注释 2 6 9 2 4" xfId="36394"/>
    <cellStyle name="输出 2 2 8 2 4 2" xfId="36395"/>
    <cellStyle name="检查单元格 2 7 6 5" xfId="36396"/>
    <cellStyle name="检查单元格 2 7 6 5 2" xfId="36397"/>
    <cellStyle name="检查单元格 2 7 6 5 3" xfId="36398"/>
    <cellStyle name="注释 2 4 3 12 2" xfId="36399"/>
    <cellStyle name="检查单元格 2 7 6 5 3 2" xfId="36400"/>
    <cellStyle name="检查单元格 2 7 6 5 4" xfId="36401"/>
    <cellStyle name="检查单元格 2 7 6 5 4 2" xfId="36402"/>
    <cellStyle name="检查单元格 2 7 6 5 5" xfId="36403"/>
    <cellStyle name="检查单元格 2 7 6 6" xfId="36404"/>
    <cellStyle name="检查单元格 2 7 6 6 2" xfId="36405"/>
    <cellStyle name="检查单元格 2 7 6 7" xfId="36406"/>
    <cellStyle name="检查单元格 2 7 6 7 2" xfId="36407"/>
    <cellStyle name="检查单元格 2 7 6 8" xfId="36408"/>
    <cellStyle name="检查单元格 2 7 6 8 2" xfId="36409"/>
    <cellStyle name="检查单元格 2 7 6 9" xfId="36410"/>
    <cellStyle name="检查单元格 2 7 6 9 2" xfId="36411"/>
    <cellStyle name="检查单元格 2 9 7 5 2 2" xfId="36412"/>
    <cellStyle name="注释 2 12 8 5 4" xfId="36413"/>
    <cellStyle name="检查单元格 2 7 7 12" xfId="36414"/>
    <cellStyle name="检查单元格 2 7 7 13" xfId="36415"/>
    <cellStyle name="检查单元格 2 7 7 2 2" xfId="36416"/>
    <cellStyle name="注释 2 9 5 16" xfId="36417"/>
    <cellStyle name="检查单元格 2 7 7 2 2 2" xfId="36418"/>
    <cellStyle name="检查单元格 2 7 7 2 3" xfId="36419"/>
    <cellStyle name="输入 2 10 3 3 3 2" xfId="36420"/>
    <cellStyle name="注释 2 12 8 9 2" xfId="36421"/>
    <cellStyle name="检查单元格 2 7 7 2 3 2" xfId="36422"/>
    <cellStyle name="注释 2 7 7 2 4" xfId="36423"/>
    <cellStyle name="检查单元格 2 7 7 2 4" xfId="36424"/>
    <cellStyle name="输入 2 8 4 7 4 2" xfId="36425"/>
    <cellStyle name="检查单元格 2 7 7 2 4 2" xfId="36426"/>
    <cellStyle name="注释 2 7 7 3 4" xfId="36427"/>
    <cellStyle name="检查单元格 2 7 7 2 5" xfId="36428"/>
    <cellStyle name="检查单元格 2 7 7 2 5 2" xfId="36429"/>
    <cellStyle name="注释 2 7 7 4 4" xfId="36430"/>
    <cellStyle name="检查单元格 2 7 7 2 7" xfId="36431"/>
    <cellStyle name="检查单元格 2 7 7 2 8" xfId="36432"/>
    <cellStyle name="检查单元格 2 7 7 2 9" xfId="36433"/>
    <cellStyle name="输出 2 6 7 2 2" xfId="36434"/>
    <cellStyle name="检查单元格 2 7 7 3" xfId="36435"/>
    <cellStyle name="输出 2 6 7 2 2 2" xfId="36436"/>
    <cellStyle name="检查单元格 2 7 7 3 2" xfId="36437"/>
    <cellStyle name="检查单元格 2 7 7 3 2 2" xfId="36438"/>
    <cellStyle name="检查单元格 2 7 7 3 3" xfId="36439"/>
    <cellStyle name="输入 2 10 3 3 4 2" xfId="36440"/>
    <cellStyle name="检查单元格 2 7 7 3 3 2" xfId="36441"/>
    <cellStyle name="注释 2 7 8 2 4" xfId="36442"/>
    <cellStyle name="检查单元格 2 7 7 3 4" xfId="36443"/>
    <cellStyle name="输入 2 8 4 7 5 2" xfId="36444"/>
    <cellStyle name="检查单元格 2 7 7 3 5" xfId="36445"/>
    <cellStyle name="输出 2 6 7 2 3" xfId="36446"/>
    <cellStyle name="检查单元格 2 7 7 4" xfId="36447"/>
    <cellStyle name="输出 2 6 7 2 3 2" xfId="36448"/>
    <cellStyle name="检查单元格 2 7 7 4 2" xfId="36449"/>
    <cellStyle name="输出 2 2 10 2 9" xfId="36450"/>
    <cellStyle name="检查单元格 2 7 7 4 2 2" xfId="36451"/>
    <cellStyle name="检查单元格 2 7 7 4 3" xfId="36452"/>
    <cellStyle name="输入 2 10 3 3 5 2" xfId="36453"/>
    <cellStyle name="检查单元格 2 7 7 4 3 2" xfId="36454"/>
    <cellStyle name="注释 2 7 9 2 4" xfId="36455"/>
    <cellStyle name="检查单元格 2 7 7 4 4" xfId="36456"/>
    <cellStyle name="检查单元格 2 7 7 4 5" xfId="36457"/>
    <cellStyle name="检查单元格 2 7 7 4 6" xfId="36458"/>
    <cellStyle name="输出 2 6 7 2 4" xfId="36459"/>
    <cellStyle name="输出 2 2 8 2 5 2" xfId="36460"/>
    <cellStyle name="检查单元格 2 7 7 5" xfId="36461"/>
    <cellStyle name="输出 2 6 7 2 4 2" xfId="36462"/>
    <cellStyle name="检查单元格 2 7 7 5 2" xfId="36463"/>
    <cellStyle name="检查单元格 2 7 7 5 2 2" xfId="36464"/>
    <cellStyle name="检查单元格 2 7 7 5 3" xfId="36465"/>
    <cellStyle name="检查单元格 2 7 7 5 3 2" xfId="36466"/>
    <cellStyle name="检查单元格 2 7 7 5 4" xfId="36467"/>
    <cellStyle name="检查单元格 2 7 7 5 4 2" xfId="36468"/>
    <cellStyle name="检查单元格 2 7 7 5 5" xfId="36469"/>
    <cellStyle name="输出 2 6 7 2 5" xfId="36470"/>
    <cellStyle name="检查单元格 2 7 7 6" xfId="36471"/>
    <cellStyle name="输出 2 6 7 2 5 2" xfId="36472"/>
    <cellStyle name="检查单元格 2 7 7 6 2" xfId="36473"/>
    <cellStyle name="输出 2 6 7 2 6" xfId="36474"/>
    <cellStyle name="检查单元格 2 7 7 7" xfId="36475"/>
    <cellStyle name="检查单元格 2 7 7 7 2" xfId="36476"/>
    <cellStyle name="输入 2 11 10 10" xfId="36477"/>
    <cellStyle name="注释 2 9 6 16" xfId="36478"/>
    <cellStyle name="输出 2 6 7 2 7" xfId="36479"/>
    <cellStyle name="检查单元格 2 7 7 8" xfId="36480"/>
    <cellStyle name="检查单元格 2 7 7 8 2" xfId="36481"/>
    <cellStyle name="输出 2 6 7 2 8" xfId="36482"/>
    <cellStyle name="检查单元格 2 7 7 9" xfId="36483"/>
    <cellStyle name="输出 2 8 9 2 2 2" xfId="36484"/>
    <cellStyle name="检查单元格 2 7 7 9 2" xfId="36485"/>
    <cellStyle name="检查单元格 2 7 8 2 2" xfId="36486"/>
    <cellStyle name="输出 2 6 7" xfId="36487"/>
    <cellStyle name="输入 2 10 6 5 2" xfId="36488"/>
    <cellStyle name="检查单元格 2 7 8 2 2 2" xfId="36489"/>
    <cellStyle name="检查单元格 2 7 8 2 3" xfId="36490"/>
    <cellStyle name="输入 2 10 3 4 3 2" xfId="36491"/>
    <cellStyle name="注释 2 12 9 9 2" xfId="36492"/>
    <cellStyle name="检查单元格 2 7 8 2 4" xfId="36493"/>
    <cellStyle name="输入 2 8 4 8 4 2" xfId="36494"/>
    <cellStyle name="检查单元格 2 7 8 2 4 2" xfId="36495"/>
    <cellStyle name="注释 2 8 7 3 4" xfId="36496"/>
    <cellStyle name="检查单元格 2 7 8 2 5" xfId="36497"/>
    <cellStyle name="检查单元格 2 7 8 2 5 2" xfId="36498"/>
    <cellStyle name="输入 2 5" xfId="36499"/>
    <cellStyle name="注释 2 8 7 4 4" xfId="36500"/>
    <cellStyle name="检查单元格 2 7 8 2 7" xfId="36501"/>
    <cellStyle name="检查单元格 2 7 8 2 8" xfId="36502"/>
    <cellStyle name="检查单元格 2 7 8 2 9" xfId="36503"/>
    <cellStyle name="检查单元格 2 7 8 3 2 2" xfId="36504"/>
    <cellStyle name="检查单元格 2 7 8 3 3" xfId="36505"/>
    <cellStyle name="输入 2 10 3 4 4 2" xfId="36506"/>
    <cellStyle name="检查单元格 2 7 8 3 3 2" xfId="36507"/>
    <cellStyle name="注释 2 8 8 2 4" xfId="36508"/>
    <cellStyle name="检查单元格 2 7 8 3 4" xfId="36509"/>
    <cellStyle name="检查单元格 2 7 8 3 4 2" xfId="36510"/>
    <cellStyle name="注释 2 8 8 3 4" xfId="36511"/>
    <cellStyle name="检查单元格 2 7 8 3 5" xfId="36512"/>
    <cellStyle name="检查单元格 2 7 8 3 5 2" xfId="36513"/>
    <cellStyle name="注释 2 8 8 4 4" xfId="36514"/>
    <cellStyle name="检查单元格 2 7 8 4 2 2" xfId="36515"/>
    <cellStyle name="检查单元格 2 7 8 4 3" xfId="36516"/>
    <cellStyle name="输入 2 10 3 4 5 2" xfId="36517"/>
    <cellStyle name="检查单元格 2 7 8 4 3 2" xfId="36518"/>
    <cellStyle name="注释 2 8 9 2 4" xfId="36519"/>
    <cellStyle name="检查单元格 2 7 8 4 4" xfId="36520"/>
    <cellStyle name="检查单元格 2 7 8 4 4 2" xfId="36521"/>
    <cellStyle name="注释 2 8 9 3 4" xfId="36522"/>
    <cellStyle name="检查单元格 2 7 8 4 5" xfId="36523"/>
    <cellStyle name="检查单元格 2 7 8 4 5 2" xfId="36524"/>
    <cellStyle name="注释 2 8 9 4 4" xfId="36525"/>
    <cellStyle name="检查单元格 2 7 8 4 6" xfId="36526"/>
    <cellStyle name="检查单元格 2 7 8 5 2 2" xfId="36527"/>
    <cellStyle name="检查单元格 2 7 8 5 3" xfId="36528"/>
    <cellStyle name="检查单元格 2 7 8 5 3 2" xfId="36529"/>
    <cellStyle name="检查单元格 2 7 8 5 4" xfId="36530"/>
    <cellStyle name="检查单元格 2 7 8 5 4 2" xfId="36531"/>
    <cellStyle name="检查单元格 2 7 8 5 5" xfId="36532"/>
    <cellStyle name="检查单元格 2 8 10 2" xfId="36533"/>
    <cellStyle name="检查单元格 2 8 10 2 2" xfId="36534"/>
    <cellStyle name="输入 2 13 6 4" xfId="36535"/>
    <cellStyle name="检查单元格 2 8 11 2" xfId="36536"/>
    <cellStyle name="检查单元格 2 8 11 2 2" xfId="36537"/>
    <cellStyle name="检查单元格 2 8 11 3" xfId="36538"/>
    <cellStyle name="检查单元格 2 8 11 3 2" xfId="36539"/>
    <cellStyle name="检查单元格 2 8 11 4" xfId="36540"/>
    <cellStyle name="输入 2 11 4 12 2" xfId="36541"/>
    <cellStyle name="检查单元格 2 8 11 4 2" xfId="36542"/>
    <cellStyle name="检查单元格 2 8 11 5" xfId="36543"/>
    <cellStyle name="检查单元格 2 8 11 5 2" xfId="36544"/>
    <cellStyle name="检查单元格 2 8 11 6" xfId="36545"/>
    <cellStyle name="输出 2 4 2 12 2" xfId="36546"/>
    <cellStyle name="输入 2 7 4 7 6" xfId="36547"/>
    <cellStyle name="检查单元格 2 8 12" xfId="36548"/>
    <cellStyle name="检查单元格 2 8 12 2" xfId="36549"/>
    <cellStyle name="检查单元格 2 8 12 2 2" xfId="36550"/>
    <cellStyle name="检查单元格 2 8 12 3" xfId="36551"/>
    <cellStyle name="检查单元格 2 8 12 3 2" xfId="36552"/>
    <cellStyle name="检查单元格 2 8 12 4" xfId="36553"/>
    <cellStyle name="检查单元格 2 8 12 4 2" xfId="36554"/>
    <cellStyle name="检查单元格 2 8 12 5" xfId="36555"/>
    <cellStyle name="检查单元格 2 8 13" xfId="36556"/>
    <cellStyle name="检查单元格 2 8 13 2" xfId="36557"/>
    <cellStyle name="检查单元格 2 8 14" xfId="36558"/>
    <cellStyle name="输入 2 12 9 6 2 2" xfId="36559"/>
    <cellStyle name="检查单元格 2 8 14 2" xfId="36560"/>
    <cellStyle name="检查单元格 2 8 2 12" xfId="36561"/>
    <cellStyle name="注释 2 5 3 8 4" xfId="36562"/>
    <cellStyle name="检查单元格 2 8 2 13" xfId="36563"/>
    <cellStyle name="注释 2 5 3 8 5" xfId="36564"/>
    <cellStyle name="检查单元格 2 8 2 2 2" xfId="36565"/>
    <cellStyle name="检查单元格 2 8 2 2 2 2" xfId="36566"/>
    <cellStyle name="输入 2 3 11" xfId="36567"/>
    <cellStyle name="检查单元格 2 8 2 2 3 2" xfId="36568"/>
    <cellStyle name="检查单元格 2 8 2 2 4" xfId="36569"/>
    <cellStyle name="输入 2 8 5 2 4 2" xfId="36570"/>
    <cellStyle name="检查单元格 2 8 2 2 4 2" xfId="36571"/>
    <cellStyle name="检查单元格 2 8 2 2 5" xfId="36572"/>
    <cellStyle name="检查单元格 2 8 2 2 5 2" xfId="36573"/>
    <cellStyle name="检查单元格 2 8 2 2 6" xfId="36574"/>
    <cellStyle name="检查单元格 2 8 2 2 8" xfId="36575"/>
    <cellStyle name="检查单元格 2 8 2 2 9" xfId="36576"/>
    <cellStyle name="检查单元格 2 8 2 3 2" xfId="36577"/>
    <cellStyle name="输入 2 4 7 2 7" xfId="36578"/>
    <cellStyle name="检查单元格 2 8 2 3 2 2" xfId="36579"/>
    <cellStyle name="输入 2 8 11" xfId="36580"/>
    <cellStyle name="注释 2 2 11 13" xfId="36581"/>
    <cellStyle name="检查单元格 2 8 2 3 3 2" xfId="36582"/>
    <cellStyle name="输出 2 8 2 2 6" xfId="36583"/>
    <cellStyle name="检查单元格 2 8 2 3 4" xfId="36584"/>
    <cellStyle name="输入 2 4 7 2 9" xfId="36585"/>
    <cellStyle name="输入 2 8 5 2 5 2" xfId="36586"/>
    <cellStyle name="注释 2 10 2 10" xfId="36587"/>
    <cellStyle name="检查单元格 2 8 2 3 4 2" xfId="36588"/>
    <cellStyle name="输出 2 8 2 3 6" xfId="36589"/>
    <cellStyle name="注释 2 10 2 10 2" xfId="36590"/>
    <cellStyle name="检查单元格 2 8 2 3 5" xfId="36591"/>
    <cellStyle name="注释 2 10 2 11" xfId="36592"/>
    <cellStyle name="检查单元格 2 8 2 3 5 2" xfId="36593"/>
    <cellStyle name="输出 2 8 2 4 6" xfId="36594"/>
    <cellStyle name="注释 2 10 2 11 2" xfId="36595"/>
    <cellStyle name="检查单元格 2 8 2 3 6" xfId="36596"/>
    <cellStyle name="注释 2 10 2 12" xfId="36597"/>
    <cellStyle name="检查单元格 2 8 2 4 2" xfId="36598"/>
    <cellStyle name="输出 2 6 10 2 9" xfId="36599"/>
    <cellStyle name="检查单元格 2 8 2 4 2 2" xfId="36600"/>
    <cellStyle name="检查单元格 2 8 2 4 3 2" xfId="36601"/>
    <cellStyle name="输出 2 8 3 2 6" xfId="36602"/>
    <cellStyle name="检查单元格 2 8 2 4 4" xfId="36603"/>
    <cellStyle name="检查单元格 2 8 2 4 4 2" xfId="36604"/>
    <cellStyle name="输出 2 8 3 3 6" xfId="36605"/>
    <cellStyle name="检查单元格 2 8 2 4 5" xfId="36606"/>
    <cellStyle name="检查单元格 2 8 2 4 5 2" xfId="36607"/>
    <cellStyle name="输出 2 8 3 4 6" xfId="36608"/>
    <cellStyle name="强调文字颜色 3 2" xfId="36609"/>
    <cellStyle name="输入 2 3 2 4 3" xfId="36610"/>
    <cellStyle name="检查单元格 2 8 2 5" xfId="36611"/>
    <cellStyle name="检查单元格 2 8 2 5 4 2" xfId="36612"/>
    <cellStyle name="输出 2 8 4 3 6" xfId="36613"/>
    <cellStyle name="检查单元格 2 8 2 6 2" xfId="36614"/>
    <cellStyle name="检查单元格 2 8 3 2 2" xfId="36615"/>
    <cellStyle name="输出 2 23" xfId="36616"/>
    <cellStyle name="输出 2 18" xfId="36617"/>
    <cellStyle name="检查单元格 2 8 3 2 2 2" xfId="36618"/>
    <cellStyle name="输入 2 10 6 12" xfId="36619"/>
    <cellStyle name="检查单元格 2 8 3 2 3 2" xfId="36620"/>
    <cellStyle name="检查单元格 2 8 3 2 4" xfId="36621"/>
    <cellStyle name="输入 2 8 5 3 4 2" xfId="36622"/>
    <cellStyle name="检查单元格 2 8 3 2 4 2" xfId="36623"/>
    <cellStyle name="检查单元格 2 8 3 2 5" xfId="36624"/>
    <cellStyle name="检查单元格 2 8 3 2 5 2" xfId="36625"/>
    <cellStyle name="检查单元格 2 8 3 2 6" xfId="36626"/>
    <cellStyle name="检查单元格 2 8 3 2 7" xfId="36627"/>
    <cellStyle name="检查单元格 2 8 3 2 8" xfId="36628"/>
    <cellStyle name="检查单元格 2 8 3 2 9" xfId="36629"/>
    <cellStyle name="检查单元格 2 8 3 3 2" xfId="36630"/>
    <cellStyle name="输入 2 4 8 2 7" xfId="36631"/>
    <cellStyle name="检查单元格 2 8 3 3 2 2" xfId="36632"/>
    <cellStyle name="注释 2 3 11 13" xfId="36633"/>
    <cellStyle name="检查单元格 2 8 3 3 3 2" xfId="36634"/>
    <cellStyle name="输出 2 9 2 2 6" xfId="36635"/>
    <cellStyle name="检查单元格 2 8 3 3 4" xfId="36636"/>
    <cellStyle name="输入 2 4 8 2 9" xfId="36637"/>
    <cellStyle name="输入 2 8 5 3 5 2" xfId="36638"/>
    <cellStyle name="注释 2 10 7 10" xfId="36639"/>
    <cellStyle name="检查单元格 2 8 3 3 4 2" xfId="36640"/>
    <cellStyle name="输出 2 9 2 3 6" xfId="36641"/>
    <cellStyle name="注释 2 10 7 10 2" xfId="36642"/>
    <cellStyle name="检查单元格 2 8 3 3 5" xfId="36643"/>
    <cellStyle name="注释 2 10 7 11" xfId="36644"/>
    <cellStyle name="检查单元格 2 8 3 3 5 2" xfId="36645"/>
    <cellStyle name="输出 2 9 2 4 6" xfId="36646"/>
    <cellStyle name="注释 2 10 7 11 2" xfId="36647"/>
    <cellStyle name="检查单元格 2 8 3 3 6" xfId="36648"/>
    <cellStyle name="注释 2 10 7 12" xfId="36649"/>
    <cellStyle name="检查单元格 2 8 3 4 2" xfId="36650"/>
    <cellStyle name="检查单元格 2 8 3 4 2 2" xfId="36651"/>
    <cellStyle name="检查单元格 2 8 3 4 3 2" xfId="36652"/>
    <cellStyle name="输出 2 9 3 2 6" xfId="36653"/>
    <cellStyle name="检查单元格 2 8 3 4 4" xfId="36654"/>
    <cellStyle name="检查单元格 2 8 3 4 4 2" xfId="36655"/>
    <cellStyle name="输出 2 9 3 3 6" xfId="36656"/>
    <cellStyle name="检查单元格 2 8 3 4 5" xfId="36657"/>
    <cellStyle name="检查单元格 2 8 3 4 5 2" xfId="36658"/>
    <cellStyle name="输出 2 9 3 4 6" xfId="36659"/>
    <cellStyle name="检查单元格 2 8 3 4 6" xfId="36660"/>
    <cellStyle name="强调文字颜色 4 2" xfId="36661"/>
    <cellStyle name="输入 2 3 2 5 3" xfId="36662"/>
    <cellStyle name="检查单元格 2 8 3 5" xfId="36663"/>
    <cellStyle name="检查单元格 2 8 3 5 2" xfId="36664"/>
    <cellStyle name="检查单元格 2 8 3 5 2 2" xfId="36665"/>
    <cellStyle name="输出 2 5 16 2 2" xfId="36666"/>
    <cellStyle name="检查单元格 2 8 3 5 4" xfId="36667"/>
    <cellStyle name="检查单元格 2 8 3 5 4 2" xfId="36668"/>
    <cellStyle name="输出 2 9 4 3 6" xfId="36669"/>
    <cellStyle name="检查单元格 2 8 3 5 5" xfId="36670"/>
    <cellStyle name="强调文字颜色 4 3" xfId="36671"/>
    <cellStyle name="输入 2 3 2 5 4" xfId="36672"/>
    <cellStyle name="检查单元格 2 8 3 6" xfId="36673"/>
    <cellStyle name="检查单元格 2 8 3 6 2" xfId="36674"/>
    <cellStyle name="检查单元格 2 8 4 12" xfId="36675"/>
    <cellStyle name="检查单元格 2 8 4 13" xfId="36676"/>
    <cellStyle name="检查单元格 2 8 4 2 2" xfId="36677"/>
    <cellStyle name="检查单元格 2 8 4 2 2 2" xfId="36678"/>
    <cellStyle name="注释 2 12 6 13" xfId="36679"/>
    <cellStyle name="检查单元格 2 8 4 2 3 2" xfId="36680"/>
    <cellStyle name="检查单元格 2 8 4 2 4" xfId="36681"/>
    <cellStyle name="输入 2 8 5 4 4 2" xfId="36682"/>
    <cellStyle name="检查单元格 2 8 4 2 4 2" xfId="36683"/>
    <cellStyle name="检查单元格 2 8 4 2 5" xfId="36684"/>
    <cellStyle name="检查单元格 2 8 4 2 5 2" xfId="36685"/>
    <cellStyle name="检查单元格 2 8 4 2 7" xfId="36686"/>
    <cellStyle name="检查单元格 2 8 4 2 8" xfId="36687"/>
    <cellStyle name="检查单元格 2 8 4 2 9" xfId="36688"/>
    <cellStyle name="检查单元格 2 8 4 3 2" xfId="36689"/>
    <cellStyle name="输入 2 4 9 2 7" xfId="36690"/>
    <cellStyle name="检查单元格 2 8 4 3 4" xfId="36691"/>
    <cellStyle name="输入 2 4 9 2 9" xfId="36692"/>
    <cellStyle name="输入 2 8 5 4 5 2" xfId="36693"/>
    <cellStyle name="检查单元格 2 8 4 3 5" xfId="36694"/>
    <cellStyle name="检查单元格 2 8 4 4" xfId="36695"/>
    <cellStyle name="检查单元格 2 8 4 4 2" xfId="36696"/>
    <cellStyle name="检查单元格 2 8 4 4 4" xfId="36697"/>
    <cellStyle name="检查单元格 2 8 4 4 5" xfId="36698"/>
    <cellStyle name="检查单元格 2 8 4 4 6" xfId="36699"/>
    <cellStyle name="检查单元格 2 8 4 5 2" xfId="36700"/>
    <cellStyle name="输出 2 5 17 2 2" xfId="36701"/>
    <cellStyle name="检查单元格 2 8 4 5 4" xfId="36702"/>
    <cellStyle name="检查单元格 2 8 4 5 5" xfId="36703"/>
    <cellStyle name="强调文字颜色 5 3" xfId="36704"/>
    <cellStyle name="输入 2 3 2 6 4" xfId="36705"/>
    <cellStyle name="注释 2 7 6 13" xfId="36706"/>
    <cellStyle name="检查单元格 2 8 4 6" xfId="36707"/>
    <cellStyle name="输出 2 11 24" xfId="36708"/>
    <cellStyle name="输出 2 11 19" xfId="36709"/>
    <cellStyle name="输入 2 3 2 6 4 2" xfId="36710"/>
    <cellStyle name="注释 2 11 3 2 8" xfId="36711"/>
    <cellStyle name="检查单元格 2 8 4 6 2" xfId="36712"/>
    <cellStyle name="检查单元格 2 8 5 10" xfId="36713"/>
    <cellStyle name="输出 2 2 3 10 2" xfId="36714"/>
    <cellStyle name="检查单元格 2 8 5 12" xfId="36715"/>
    <cellStyle name="检查单元格 2 8 5 13" xfId="36716"/>
    <cellStyle name="输出 2 4 2 4 3 2" xfId="36717"/>
    <cellStyle name="检查单元格 2 8 5 2" xfId="36718"/>
    <cellStyle name="检查单元格 2 8 5 2 2" xfId="36719"/>
    <cellStyle name="检查单元格 2 8 5 2 2 2" xfId="36720"/>
    <cellStyle name="检查单元格 2 8 5 2 3 2" xfId="36721"/>
    <cellStyle name="检查单元格 2 8 5 2 4" xfId="36722"/>
    <cellStyle name="输入 2 8 5 5 4 2" xfId="36723"/>
    <cellStyle name="检查单元格 2 8 5 2 4 2" xfId="36724"/>
    <cellStyle name="检查单元格 2 8 5 2 5" xfId="36725"/>
    <cellStyle name="检查单元格 2 8 5 2 5 2" xfId="36726"/>
    <cellStyle name="检查单元格 2 8 5 2 7" xfId="36727"/>
    <cellStyle name="检查单元格 2 8 5 2 8" xfId="36728"/>
    <cellStyle name="检查单元格 2 8 5 2 9" xfId="36729"/>
    <cellStyle name="检查单元格 2 8 5 3" xfId="36730"/>
    <cellStyle name="检查单元格 2 8 5 3 2" xfId="36731"/>
    <cellStyle name="检查单元格 2 8 5 3 2 2" xfId="36732"/>
    <cellStyle name="注释 2 5 11 13" xfId="36733"/>
    <cellStyle name="检查单元格 2 8 5 3 3 2" xfId="36734"/>
    <cellStyle name="检查单元格 2 8 5 3 4" xfId="36735"/>
    <cellStyle name="输入 2 8 5 5 5 2" xfId="36736"/>
    <cellStyle name="检查单元格 2 8 5 3 4 2" xfId="36737"/>
    <cellStyle name="检查单元格 2 8 5 3 5" xfId="36738"/>
    <cellStyle name="检查单元格 2 8 5 3 5 2" xfId="36739"/>
    <cellStyle name="检查单元格 2 8 5 4" xfId="36740"/>
    <cellStyle name="检查单元格 2 8 5 4 2" xfId="36741"/>
    <cellStyle name="输出 2 7 4 13" xfId="36742"/>
    <cellStyle name="检查单元格 2 8 5 4 2 2" xfId="36743"/>
    <cellStyle name="检查单元格 2 8 5 4 3 2" xfId="36744"/>
    <cellStyle name="检查单元格 2 8 5 4 4" xfId="36745"/>
    <cellStyle name="输出 2 7 4 15" xfId="36746"/>
    <cellStyle name="检查单元格 2 8 5 4 4 2" xfId="36747"/>
    <cellStyle name="检查单元格 2 8 5 4 5" xfId="36748"/>
    <cellStyle name="输出 2 7 4 16" xfId="36749"/>
    <cellStyle name="检查单元格 2 8 5 4 5 2" xfId="36750"/>
    <cellStyle name="检查单元格 2 8 5 4 6" xfId="36751"/>
    <cellStyle name="检查单元格 2 8 5 5 2" xfId="36752"/>
    <cellStyle name="检查单元格 2 8 5 5 2 2" xfId="36753"/>
    <cellStyle name="检查单元格 2 8 5 5 3" xfId="36754"/>
    <cellStyle name="检查单元格 2 8 5 5 3 2" xfId="36755"/>
    <cellStyle name="输出 2 5 18 2 2" xfId="36756"/>
    <cellStyle name="检查单元格 2 8 5 5 4" xfId="36757"/>
    <cellStyle name="检查单元格 2 8 5 5 4 2" xfId="36758"/>
    <cellStyle name="检查单元格 2 8 5 5 5" xfId="36759"/>
    <cellStyle name="强调文字颜色 6 3" xfId="36760"/>
    <cellStyle name="输入 2 3 2 7 4" xfId="36761"/>
    <cellStyle name="检查单元格 2 8 5 6" xfId="36762"/>
    <cellStyle name="检查单元格 2 8 5 6 2" xfId="36763"/>
    <cellStyle name="检查单元格 2 8 5 7 2" xfId="36764"/>
    <cellStyle name="检查单元格 2 8 5 8 2" xfId="36765"/>
    <cellStyle name="检查单元格 2 8 5 9" xfId="36766"/>
    <cellStyle name="检查单元格 2 8 5 9 2" xfId="36767"/>
    <cellStyle name="输出 2 7 5 13" xfId="36768"/>
    <cellStyle name="输出 2 4 2 4 4" xfId="36769"/>
    <cellStyle name="检查单元格 2 8 6" xfId="36770"/>
    <cellStyle name="检查单元格 2 8 6 10" xfId="36771"/>
    <cellStyle name="注释 2 5 4 3 2" xfId="36772"/>
    <cellStyle name="检查单元格 2 8 6 11" xfId="36773"/>
    <cellStyle name="注释 2 5 4 3 3" xfId="36774"/>
    <cellStyle name="检查单元格 2 8 6 12" xfId="36775"/>
    <cellStyle name="注释 2 12 6 6 3 2" xfId="36776"/>
    <cellStyle name="注释 2 5 4 3 4" xfId="36777"/>
    <cellStyle name="检查单元格 2 8 6 13" xfId="36778"/>
    <cellStyle name="注释 2 5 4 3 5" xfId="36779"/>
    <cellStyle name="输出 2 4 2 4 4 2" xfId="36780"/>
    <cellStyle name="检查单元格 2 8 6 2" xfId="36781"/>
    <cellStyle name="检查单元格 2 8 6 2 2" xfId="36782"/>
    <cellStyle name="检查单元格 2 8 6 2 2 2" xfId="36783"/>
    <cellStyle name="检查单元格 2 8 6 2 3" xfId="36784"/>
    <cellStyle name="输入 2 10 4 2 3 2" xfId="36785"/>
    <cellStyle name="检查单元格 2 8 6 2 3 2" xfId="36786"/>
    <cellStyle name="检查单元格 2 8 6 2 4" xfId="36787"/>
    <cellStyle name="输入 2 8 5 6 4 2" xfId="36788"/>
    <cellStyle name="检查单元格 2 8 6 2 4 2" xfId="36789"/>
    <cellStyle name="检查单元格 2 8 6 2 5" xfId="36790"/>
    <cellStyle name="检查单元格 2 8 6 2 5 2" xfId="36791"/>
    <cellStyle name="检查单元格 2 8 6 2 7" xfId="36792"/>
    <cellStyle name="检查单元格 2 8 6 2 8" xfId="36793"/>
    <cellStyle name="检查单元格 2 8 6 2 9" xfId="36794"/>
    <cellStyle name="检查单元格 2 8 6 3" xfId="36795"/>
    <cellStyle name="检查单元格 2 8 6 3 2" xfId="36796"/>
    <cellStyle name="检查单元格 2 8 6 3 2 2" xfId="36797"/>
    <cellStyle name="注释 2 6 11 13" xfId="36798"/>
    <cellStyle name="检查单元格 2 8 6 3 3" xfId="36799"/>
    <cellStyle name="输入 2 10 4 2 4 2" xfId="36800"/>
    <cellStyle name="注释 2 4 8 10 2" xfId="36801"/>
    <cellStyle name="检查单元格 2 8 6 3 3 2" xfId="36802"/>
    <cellStyle name="检查单元格 2 8 6 3 4" xfId="36803"/>
    <cellStyle name="输入 2 8 5 6 5 2" xfId="36804"/>
    <cellStyle name="输出 2 10 10 9" xfId="36805"/>
    <cellStyle name="检查单元格 2 8 6 3 4 2" xfId="36806"/>
    <cellStyle name="检查单元格 2 8 6 3 5" xfId="36807"/>
    <cellStyle name="输出 2 10 11 9" xfId="36808"/>
    <cellStyle name="检查单元格 2 8 6 3 5 2" xfId="36809"/>
    <cellStyle name="检查单元格 2 8 6 4" xfId="36810"/>
    <cellStyle name="检查单元格 2 8 6 4 2" xfId="36811"/>
    <cellStyle name="输出 2 7 9 13" xfId="36812"/>
    <cellStyle name="检查单元格 2 8 6 4 2 2" xfId="36813"/>
    <cellStyle name="检查单元格 2 8 6 4 3" xfId="36814"/>
    <cellStyle name="输出 2 7 9 14" xfId="36815"/>
    <cellStyle name="输入 2 10 4 2 5 2" xfId="36816"/>
    <cellStyle name="注释 2 4 8 11 2" xfId="36817"/>
    <cellStyle name="检查单元格 2 8 6 4 3 2" xfId="36818"/>
    <cellStyle name="检查单元格 2 8 6 5 2" xfId="36819"/>
    <cellStyle name="检查单元格 2 8 6 5 2 2" xfId="36820"/>
    <cellStyle name="检查单元格 2 8 6 5 3" xfId="36821"/>
    <cellStyle name="注释 2 4 8 12 2" xfId="36822"/>
    <cellStyle name="检查单元格 2 8 6 5 3 2" xfId="36823"/>
    <cellStyle name="检查单元格 2 8 6 6" xfId="36824"/>
    <cellStyle name="检查单元格 2 8 6 6 2" xfId="36825"/>
    <cellStyle name="检查单元格 2 8 6 7" xfId="36826"/>
    <cellStyle name="检查单元格 2 8 6 7 2" xfId="36827"/>
    <cellStyle name="检查单元格 2 8 6 8 2" xfId="36828"/>
    <cellStyle name="检查单元格 2 8 6 9" xfId="36829"/>
    <cellStyle name="检查单元格 2 8 6 9 2" xfId="36830"/>
    <cellStyle name="输出 2 4 2 4 5" xfId="36831"/>
    <cellStyle name="注释 2 6 5 5 4 2" xfId="36832"/>
    <cellStyle name="检查单元格 2 8 7" xfId="36833"/>
    <cellStyle name="检查单元格 2 8 7 10" xfId="36834"/>
    <cellStyle name="注释 2 5 4 8 2" xfId="36835"/>
    <cellStyle name="检查单元格 2 8 7 12" xfId="36836"/>
    <cellStyle name="注释 2 5 4 8 4" xfId="36837"/>
    <cellStyle name="检查单元格 2 8 7 13" xfId="36838"/>
    <cellStyle name="注释 2 5 4 8 5" xfId="36839"/>
    <cellStyle name="输出 2 4 2 4 5 2" xfId="36840"/>
    <cellStyle name="检查单元格 2 8 7 2" xfId="36841"/>
    <cellStyle name="检查单元格 2 8 7 2 2" xfId="36842"/>
    <cellStyle name="检查单元格 2 8 7 2 2 2" xfId="36843"/>
    <cellStyle name="检查单元格 2 8 7 2 3" xfId="36844"/>
    <cellStyle name="输入 2 10 4 3 3 2" xfId="36845"/>
    <cellStyle name="检查单元格 2 8 7 2 3 2" xfId="36846"/>
    <cellStyle name="检查单元格 2 8 7 2 4" xfId="36847"/>
    <cellStyle name="输入 2 8 5 7 4 2" xfId="36848"/>
    <cellStyle name="检查单元格 2 8 7 2 4 2" xfId="36849"/>
    <cellStyle name="检查单元格 2 8 7 2 5" xfId="36850"/>
    <cellStyle name="检查单元格 2 8 7 2 5 2" xfId="36851"/>
    <cellStyle name="检查单元格 2 8 7 2 7" xfId="36852"/>
    <cellStyle name="检查单元格 2 8 7 2 8" xfId="36853"/>
    <cellStyle name="检查单元格 2 8 7 2 9" xfId="36854"/>
    <cellStyle name="输出 2 6 8 2 2" xfId="36855"/>
    <cellStyle name="检查单元格 2 8 7 3" xfId="36856"/>
    <cellStyle name="输出 2 6 8 2 2 2" xfId="36857"/>
    <cellStyle name="检查单元格 2 8 7 3 2" xfId="36858"/>
    <cellStyle name="检查单元格 2 8 7 3 2 2" xfId="36859"/>
    <cellStyle name="注释 2 7 11 13" xfId="36860"/>
    <cellStyle name="检查单元格 2 8 7 3 3" xfId="36861"/>
    <cellStyle name="输入 2 10 4 3 4 2" xfId="36862"/>
    <cellStyle name="检查单元格 2 8 7 3 3 2" xfId="36863"/>
    <cellStyle name="检查单元格 2 8 7 3 4" xfId="36864"/>
    <cellStyle name="输入 2 8 5 7 5 2" xfId="36865"/>
    <cellStyle name="注释 2 11 2 10" xfId="36866"/>
    <cellStyle name="检查单元格 2 8 7 3 4 2" xfId="36867"/>
    <cellStyle name="注释 2 11 2 10 2" xfId="36868"/>
    <cellStyle name="检查单元格 2 8 7 3 5" xfId="36869"/>
    <cellStyle name="注释 2 11 2 11" xfId="36870"/>
    <cellStyle name="检查单元格 2 8 7 3 5 2" xfId="36871"/>
    <cellStyle name="注释 2 11 2 11 2" xfId="36872"/>
    <cellStyle name="输出 2 6 8 2 3" xfId="36873"/>
    <cellStyle name="检查单元格 2 8 7 4" xfId="36874"/>
    <cellStyle name="输出 2 6 8 2 3 2" xfId="36875"/>
    <cellStyle name="检查单元格 2 8 7 4 2" xfId="36876"/>
    <cellStyle name="检查单元格 2 8 7 4 3" xfId="36877"/>
    <cellStyle name="输入 2 10 4 3 5 2" xfId="36878"/>
    <cellStyle name="检查单元格 2 8 7 4 4" xfId="36879"/>
    <cellStyle name="检查单元格 2 8 7 4 5" xfId="36880"/>
    <cellStyle name="检查单元格 2 8 7 4 5 2" xfId="36881"/>
    <cellStyle name="输出 2 6 8 2 5" xfId="36882"/>
    <cellStyle name="检查单元格 2 8 7 6" xfId="36883"/>
    <cellStyle name="输出 2 6 8 2 5 2" xfId="36884"/>
    <cellStyle name="检查单元格 2 8 7 6 2" xfId="36885"/>
    <cellStyle name="输出 2 6 8 2 6" xfId="36886"/>
    <cellStyle name="检查单元格 2 8 7 7" xfId="36887"/>
    <cellStyle name="检查单元格 2 8 7 7 2" xfId="36888"/>
    <cellStyle name="检查单元格 2 8 7 8 2" xfId="36889"/>
    <cellStyle name="输出 2 6 8 2 8" xfId="36890"/>
    <cellStyle name="检查单元格 2 8 7 9" xfId="36891"/>
    <cellStyle name="输出 2 8 9 3 2 2" xfId="36892"/>
    <cellStyle name="检查单元格 2 8 7 9 2" xfId="36893"/>
    <cellStyle name="输出 2 4 2 4 6" xfId="36894"/>
    <cellStyle name="输入 2 12 7 10 2" xfId="36895"/>
    <cellStyle name="检查单元格 2 8 8" xfId="36896"/>
    <cellStyle name="输入 2 9 6 4 2" xfId="36897"/>
    <cellStyle name="检查单元格 2 8 8 2" xfId="36898"/>
    <cellStyle name="输入 2 9 6 4 2 2" xfId="36899"/>
    <cellStyle name="检查单元格 2 8 8 2 2" xfId="36900"/>
    <cellStyle name="检查单元格 2 8 8 2 2 2" xfId="36901"/>
    <cellStyle name="注释 2 11 25" xfId="36902"/>
    <cellStyle name="检查单元格 2 8 8 2 3" xfId="36903"/>
    <cellStyle name="输入 2 10 4 4 3 2" xfId="36904"/>
    <cellStyle name="检查单元格 2 8 8 2 3 2" xfId="36905"/>
    <cellStyle name="检查单元格 2 8 8 2 4" xfId="36906"/>
    <cellStyle name="输入 2 8 5 8 4 2" xfId="36907"/>
    <cellStyle name="检查单元格 2 8 8 2 4 2" xfId="36908"/>
    <cellStyle name="检查单元格 2 8 8 2 5" xfId="36909"/>
    <cellStyle name="检查单元格 2 8 8 2 5 2" xfId="36910"/>
    <cellStyle name="检查单元格 2 8 8 2 7" xfId="36911"/>
    <cellStyle name="输出 2 2 10 2 3 2" xfId="36912"/>
    <cellStyle name="检查单元格 2 8 8 2 8" xfId="36913"/>
    <cellStyle name="检查单元格 2 8 8 2 9" xfId="36914"/>
    <cellStyle name="检查单元格 2 8 8 3 2 2" xfId="36915"/>
    <cellStyle name="注释 2 8 11 13" xfId="36916"/>
    <cellStyle name="检查单元格 2 8 8 3 3" xfId="36917"/>
    <cellStyle name="输入 2 10 4 4 4 2" xfId="36918"/>
    <cellStyle name="检查单元格 2 8 8 3 3 2" xfId="36919"/>
    <cellStyle name="检查单元格 2 8 8 3 4" xfId="36920"/>
    <cellStyle name="注释 2 11 7 10" xfId="36921"/>
    <cellStyle name="检查单元格 2 8 8 3 5" xfId="36922"/>
    <cellStyle name="注释 2 11 7 11" xfId="36923"/>
    <cellStyle name="检查单元格 2 8 8 3 5 2" xfId="36924"/>
    <cellStyle name="注释 2 11 7 11 2" xfId="36925"/>
    <cellStyle name="检查单元格 2 8 8 4 2 2" xfId="36926"/>
    <cellStyle name="输出 2 8 10 7" xfId="36927"/>
    <cellStyle name="检查单元格 2 8 8 4 3" xfId="36928"/>
    <cellStyle name="输入 2 10 4 4 5 2" xfId="36929"/>
    <cellStyle name="检查单元格 2 8 8 4 3 2" xfId="36930"/>
    <cellStyle name="输出 2 8 11 7" xfId="36931"/>
    <cellStyle name="检查单元格 2 8 8 4 4" xfId="36932"/>
    <cellStyle name="检查单元格 2 8 8 4 4 2" xfId="36933"/>
    <cellStyle name="输出 2 8 12 7" xfId="36934"/>
    <cellStyle name="检查单元格 2 8 8 4 5" xfId="36935"/>
    <cellStyle name="检查单元格 2 8 8 4 5 2" xfId="36936"/>
    <cellStyle name="检查单元格 2 8 8 4 6" xfId="36937"/>
    <cellStyle name="检查单元格 2 8 8 5 2 2" xfId="36938"/>
    <cellStyle name="检查单元格 2 8 8 5 3" xfId="36939"/>
    <cellStyle name="检查单元格 2 8 8 5 3 2" xfId="36940"/>
    <cellStyle name="检查单元格 2 8 8 5 4" xfId="36941"/>
    <cellStyle name="检查单元格 2 8 8 5 4 2" xfId="36942"/>
    <cellStyle name="检查单元格 2 8 8 5 5" xfId="36943"/>
    <cellStyle name="检查单元格 2 9 10" xfId="36944"/>
    <cellStyle name="检查单元格 2 9 10 2 2" xfId="36945"/>
    <cellStyle name="检查单元格 2 9 11 2" xfId="36946"/>
    <cellStyle name="检查单元格 2 9 11 2 2" xfId="36947"/>
    <cellStyle name="检查单元格 2 9 11 4 2" xfId="36948"/>
    <cellStyle name="检查单元格 2 9 11 5" xfId="36949"/>
    <cellStyle name="检查单元格 2 9 11 5 2" xfId="36950"/>
    <cellStyle name="检查单元格 2 9 11 6" xfId="36951"/>
    <cellStyle name="检查单元格 2 9 12" xfId="36952"/>
    <cellStyle name="注释 2 5 7 4 5 2" xfId="36953"/>
    <cellStyle name="检查单元格 2 9 12 2" xfId="36954"/>
    <cellStyle name="检查单元格 2 9 12 2 2" xfId="36955"/>
    <cellStyle name="输入 2 10 2 5 5" xfId="36956"/>
    <cellStyle name="检查单元格 2 9 12 3 2" xfId="36957"/>
    <cellStyle name="输入 2 10 2 6 5" xfId="36958"/>
    <cellStyle name="检查单元格 2 9 12 4 2" xfId="36959"/>
    <cellStyle name="输入 2 10 2 7 5" xfId="36960"/>
    <cellStyle name="检查单元格 2 9 12 5" xfId="36961"/>
    <cellStyle name="检查单元格 2 9 13" xfId="36962"/>
    <cellStyle name="检查单元格 2 9 13 2" xfId="36963"/>
    <cellStyle name="检查单元格 2 9 14" xfId="36964"/>
    <cellStyle name="检查单元格 2 9 14 2" xfId="36965"/>
    <cellStyle name="检查单元格 2 9 2 12" xfId="36966"/>
    <cellStyle name="注释 2 5 8 8 4" xfId="36967"/>
    <cellStyle name="检查单元格 2 9 2 13" xfId="36968"/>
    <cellStyle name="注释 2 5 8 8 5" xfId="36969"/>
    <cellStyle name="输出 2 10 5 6 3" xfId="36970"/>
    <cellStyle name="检查单元格 2 9 2 2 2" xfId="36971"/>
    <cellStyle name="输出 2 10 5 6 5" xfId="36972"/>
    <cellStyle name="检查单元格 2 9 2 2 4" xfId="36973"/>
    <cellStyle name="输入 2 8 6 2 4 2" xfId="36974"/>
    <cellStyle name="输出 2 10 5 6 5 2" xfId="36975"/>
    <cellStyle name="检查单元格 2 9 2 2 4 2" xfId="36976"/>
    <cellStyle name="输出 2 10 5 6 6" xfId="36977"/>
    <cellStyle name="检查单元格 2 9 2 2 5" xfId="36978"/>
    <cellStyle name="检查单元格 2 9 2 2 5 2" xfId="36979"/>
    <cellStyle name="输入 2 9 9 12" xfId="36980"/>
    <cellStyle name="检查单元格 2 9 2 2 6" xfId="36981"/>
    <cellStyle name="注释 2 6 13 2 2" xfId="36982"/>
    <cellStyle name="检查单元格 2 9 2 2 8" xfId="36983"/>
    <cellStyle name="检查单元格 2 9 2 2 9" xfId="36984"/>
    <cellStyle name="检查单元格 2 9 2 3" xfId="36985"/>
    <cellStyle name="输出 2 6 4" xfId="36986"/>
    <cellStyle name="输出 2 10 5 7 3 2" xfId="36987"/>
    <cellStyle name="检查单元格 2 9 2 3 2 2" xfId="36988"/>
    <cellStyle name="输出 2 10 5 7 4 2" xfId="36989"/>
    <cellStyle name="检查单元格 2 9 2 3 3 2" xfId="36990"/>
    <cellStyle name="输出 2 7 4" xfId="36991"/>
    <cellStyle name="输出 2 10 5 7 5 2" xfId="36992"/>
    <cellStyle name="检查单元格 2 9 2 3 4 2" xfId="36993"/>
    <cellStyle name="输出 2 8 4" xfId="36994"/>
    <cellStyle name="检查单元格 2 9 2 3 5 2" xfId="36995"/>
    <cellStyle name="输出 2 9 4" xfId="36996"/>
    <cellStyle name="检查单元格 2 9 2 4" xfId="36997"/>
    <cellStyle name="输出 2 9 5 3 4 2" xfId="36998"/>
    <cellStyle name="输出 2 10 5 8 3" xfId="36999"/>
    <cellStyle name="检查单元格 2 9 2 4 2" xfId="37000"/>
    <cellStyle name="输出 2 10 5 8 3 2" xfId="37001"/>
    <cellStyle name="检查单元格 2 9 2 4 2 2" xfId="37002"/>
    <cellStyle name="输出 2 10 5 8 4 2" xfId="37003"/>
    <cellStyle name="检查单元格 2 9 2 4 3 2" xfId="37004"/>
    <cellStyle name="输出 2 10 5 8 5" xfId="37005"/>
    <cellStyle name="检查单元格 2 9 2 4 4" xfId="37006"/>
    <cellStyle name="检查单元格 2 9 2 4 4 2" xfId="37007"/>
    <cellStyle name="检查单元格 2 9 2 4 5" xfId="37008"/>
    <cellStyle name="输入 2 5 10 7 2 2" xfId="37009"/>
    <cellStyle name="检查单元格 2 9 2 4 5 2" xfId="37010"/>
    <cellStyle name="检查单元格 2 9 2 4 6" xfId="37011"/>
    <cellStyle name="注释 2 6 13 4 2" xfId="37012"/>
    <cellStyle name="检查单元格 2 9 2 5" xfId="37013"/>
    <cellStyle name="检查单元格 2 9 2 5 2" xfId="37014"/>
    <cellStyle name="检查单元格 2 9 2 5 2 2" xfId="37015"/>
    <cellStyle name="注释 2 5 10 5" xfId="37016"/>
    <cellStyle name="检查单元格 2 9 2 5 3 2" xfId="37017"/>
    <cellStyle name="注释 2 5 11 5" xfId="37018"/>
    <cellStyle name="检查单元格 2 9 2 5 4" xfId="37019"/>
    <cellStyle name="检查单元格 2 9 2 5 4 2" xfId="37020"/>
    <cellStyle name="注释 2 5 12 5" xfId="37021"/>
    <cellStyle name="检查单元格 2 9 2 5 5" xfId="37022"/>
    <cellStyle name="输入 2 5 10 7 3 2" xfId="37023"/>
    <cellStyle name="检查单元格 2 9 2 6 2" xfId="37024"/>
    <cellStyle name="检查单元格 2 9 3 10" xfId="37025"/>
    <cellStyle name="输入 2 2 6 2" xfId="37026"/>
    <cellStyle name="输出 2 5 3 2 2 2" xfId="37027"/>
    <cellStyle name="输出 2 9 4 6 3" xfId="37028"/>
    <cellStyle name="检查单元格 2 9 3 11" xfId="37029"/>
    <cellStyle name="输入 2 2 6 3" xfId="37030"/>
    <cellStyle name="检查单元格 2 9 3 12" xfId="37031"/>
    <cellStyle name="输入 2 2 6 4" xfId="37032"/>
    <cellStyle name="输出 2 10 6 6 5 2" xfId="37033"/>
    <cellStyle name="检查单元格 2 9 3 2 4 2" xfId="37034"/>
    <cellStyle name="输出 2 10 6 6 6" xfId="37035"/>
    <cellStyle name="检查单元格 2 9 3 2 5" xfId="37036"/>
    <cellStyle name="检查单元格 2 9 3 2 5 2" xfId="37037"/>
    <cellStyle name="检查单元格 2 9 3 2 6" xfId="37038"/>
    <cellStyle name="注释 2 6 14 2 2" xfId="37039"/>
    <cellStyle name="检查单元格 2 9 3 2 7" xfId="37040"/>
    <cellStyle name="检查单元格 2 9 3 2 8" xfId="37041"/>
    <cellStyle name="检查单元格 2 9 3 2 9" xfId="37042"/>
    <cellStyle name="检查单元格 2 9 3 3" xfId="37043"/>
    <cellStyle name="输出 2 10 6 7 6" xfId="37044"/>
    <cellStyle name="检查单元格 2 9 3 3 5" xfId="37045"/>
    <cellStyle name="检查单元格 2 9 3 3 5 2" xfId="37046"/>
    <cellStyle name="检查单元格 2 9 3 3 6" xfId="37047"/>
    <cellStyle name="注释 2 6 14 3 2" xfId="37048"/>
    <cellStyle name="检查单元格 2 9 3 4" xfId="37049"/>
    <cellStyle name="输出 2 9 5 3 5 2" xfId="37050"/>
    <cellStyle name="检查单元格 2 9 3 4 4 2" xfId="37051"/>
    <cellStyle name="检查单元格 2 9 3 4 5" xfId="37052"/>
    <cellStyle name="输入 2 2 6 15" xfId="37053"/>
    <cellStyle name="输入 2 5 10 8 2 2" xfId="37054"/>
    <cellStyle name="检查单元格 2 9 3 4 5 2" xfId="37055"/>
    <cellStyle name="检查单元格 2 9 3 4 6" xfId="37056"/>
    <cellStyle name="输入 2 2 6 16" xfId="37057"/>
    <cellStyle name="注释 2 6 14 4 2" xfId="37058"/>
    <cellStyle name="检查单元格 2 9 3 5" xfId="37059"/>
    <cellStyle name="检查单元格 2 9 3 5 4 2" xfId="37060"/>
    <cellStyle name="检查单元格 2 9 3 5 5" xfId="37061"/>
    <cellStyle name="输入 2 5 10 8 3 2" xfId="37062"/>
    <cellStyle name="检查单元格 2 9 3 6" xfId="37063"/>
    <cellStyle name="输出 2 3 10 6 2 2" xfId="37064"/>
    <cellStyle name="检查单元格 2 9 4 10" xfId="37065"/>
    <cellStyle name="输出 2 2 12 5 2" xfId="37066"/>
    <cellStyle name="检查单元格 2 9 4 12" xfId="37067"/>
    <cellStyle name="检查单元格 2 9 4 13" xfId="37068"/>
    <cellStyle name="输出 2 10 7 6 3" xfId="37069"/>
    <cellStyle name="检查单元格 2 9 4 2 2" xfId="37070"/>
    <cellStyle name="输出 2 10 7 6 3 2" xfId="37071"/>
    <cellStyle name="检查单元格 2 9 4 2 2 2" xfId="37072"/>
    <cellStyle name="输出 2 10 7 6 4 2" xfId="37073"/>
    <cellStyle name="检查单元格 2 9 4 2 3 2" xfId="37074"/>
    <cellStyle name="输出 2 10 7 6 5" xfId="37075"/>
    <cellStyle name="检查单元格 2 9 4 2 4" xfId="37076"/>
    <cellStyle name="输入 2 8 6 4 4 2" xfId="37077"/>
    <cellStyle name="输出 2 10 7 6 5 2" xfId="37078"/>
    <cellStyle name="检查单元格 2 9 4 2 4 2" xfId="37079"/>
    <cellStyle name="注释 2 15 15" xfId="37080"/>
    <cellStyle name="输出 2 10 7 6 6" xfId="37081"/>
    <cellStyle name="检查单元格 2 9 4 2 5" xfId="37082"/>
    <cellStyle name="检查单元格 2 9 4 2 5 2" xfId="37083"/>
    <cellStyle name="检查单元格 2 9 4 2 6" xfId="37084"/>
    <cellStyle name="注释 2 6 15 2 2" xfId="37085"/>
    <cellStyle name="检查单元格 2 9 4 2 7" xfId="37086"/>
    <cellStyle name="检查单元格 2 9 4 2 8" xfId="37087"/>
    <cellStyle name="检查单元格 2 9 4 2 9" xfId="37088"/>
    <cellStyle name="检查单元格 2 9 4 3" xfId="37089"/>
    <cellStyle name="输出 2 10 7 7 3" xfId="37090"/>
    <cellStyle name="检查单元格 2 9 4 3 2" xfId="37091"/>
    <cellStyle name="输入 2 5 9 2 7" xfId="37092"/>
    <cellStyle name="输出 2 10 7 7 3 2" xfId="37093"/>
    <cellStyle name="检查单元格 2 9 4 3 2 2" xfId="37094"/>
    <cellStyle name="输入 2 9 8" xfId="37095"/>
    <cellStyle name="输出 2 10 7 7 4 2" xfId="37096"/>
    <cellStyle name="检查单元格 2 9 4 3 3 2" xfId="37097"/>
    <cellStyle name="输出 2 10 7 7 5" xfId="37098"/>
    <cellStyle name="检查单元格 2 9 4 3 4" xfId="37099"/>
    <cellStyle name="输入 2 5 9 2 9" xfId="37100"/>
    <cellStyle name="输入 2 8 6 4 5 2" xfId="37101"/>
    <cellStyle name="输出 2 10 7 7 5 2" xfId="37102"/>
    <cellStyle name="检查单元格 2 9 4 3 4 2" xfId="37103"/>
    <cellStyle name="输出 2 10 7 7 6" xfId="37104"/>
    <cellStyle name="检查单元格 2 9 4 3 5" xfId="37105"/>
    <cellStyle name="检查单元格 2 9 4 3 5 2" xfId="37106"/>
    <cellStyle name="检查单元格 2 9 4 3 6" xfId="37107"/>
    <cellStyle name="注释 2 6 15 3 2" xfId="37108"/>
    <cellStyle name="检查单元格 2 9 4 4" xfId="37109"/>
    <cellStyle name="输出 2 10 7 8 3" xfId="37110"/>
    <cellStyle name="检查单元格 2 9 4 4 2" xfId="37111"/>
    <cellStyle name="输出 2 10 7 8 3 2" xfId="37112"/>
    <cellStyle name="检查单元格 2 9 4 4 2 2" xfId="37113"/>
    <cellStyle name="输出 2 10 7 8 4 2" xfId="37114"/>
    <cellStyle name="检查单元格 2 9 4 4 3 2" xfId="37115"/>
    <cellStyle name="输出 2 10 7 8 5" xfId="37116"/>
    <cellStyle name="检查单元格 2 9 4 4 4" xfId="37117"/>
    <cellStyle name="检查单元格 2 9 4 4 5" xfId="37118"/>
    <cellStyle name="检查单元格 2 9 4 4 5 2" xfId="37119"/>
    <cellStyle name="检查单元格 2 9 4 4 6" xfId="37120"/>
    <cellStyle name="注释 2 6 15 4 2" xfId="37121"/>
    <cellStyle name="检查单元格 2 9 4 5 2 2" xfId="37122"/>
    <cellStyle name="检查单元格 2 9 4 5 3 2" xfId="37123"/>
    <cellStyle name="检查单元格 2 9 4 5 4" xfId="37124"/>
    <cellStyle name="检查单元格 2 9 4 5 5" xfId="37125"/>
    <cellStyle name="检查单元格 2 9 4 6" xfId="37126"/>
    <cellStyle name="检查单元格 2 9 4 6 2" xfId="37127"/>
    <cellStyle name="检查单元格 2 9 5 11" xfId="37128"/>
    <cellStyle name="输出 2 2 4 10 2" xfId="37129"/>
    <cellStyle name="检查单元格 2 9 5 12" xfId="37130"/>
    <cellStyle name="检查单元格 2 9 5 13" xfId="37131"/>
    <cellStyle name="输出 2 4 2 5 3 2" xfId="37132"/>
    <cellStyle name="输出 2 10 11 14" xfId="37133"/>
    <cellStyle name="检查单元格 2 9 5 2" xfId="37134"/>
    <cellStyle name="输出 2 10 8 6 3" xfId="37135"/>
    <cellStyle name="检查单元格 2 9 5 2 2" xfId="37136"/>
    <cellStyle name="输出 2 10 8 6 3 2" xfId="37137"/>
    <cellStyle name="检查单元格 2 9 5 2 2 2" xfId="37138"/>
    <cellStyle name="注释 2 10 5 5 4" xfId="37139"/>
    <cellStyle name="输出 2 10 8 6 4 2" xfId="37140"/>
    <cellStyle name="检查单元格 2 9 5 2 3 2" xfId="37141"/>
    <cellStyle name="注释 2 10 5 6 4" xfId="37142"/>
    <cellStyle name="输出 2 10 8 6 5" xfId="37143"/>
    <cellStyle name="检查单元格 2 9 5 2 4" xfId="37144"/>
    <cellStyle name="输入 2 8 6 5 4 2" xfId="37145"/>
    <cellStyle name="输出 2 10 8 6 5 2" xfId="37146"/>
    <cellStyle name="检查单元格 2 9 5 2 4 2" xfId="37147"/>
    <cellStyle name="注释 2 10 5 7 4" xfId="37148"/>
    <cellStyle name="输出 2 10 8 6 6" xfId="37149"/>
    <cellStyle name="检查单元格 2 9 5 2 5" xfId="37150"/>
    <cellStyle name="检查单元格 2 9 5 2 5 2" xfId="37151"/>
    <cellStyle name="注释 2 10 5 8 4" xfId="37152"/>
    <cellStyle name="检查单元格 2 9 5 2 6" xfId="37153"/>
    <cellStyle name="注释 2 6 16 2 2" xfId="37154"/>
    <cellStyle name="检查单元格 2 9 5 2 7" xfId="37155"/>
    <cellStyle name="检查单元格 2 9 5 2 8" xfId="37156"/>
    <cellStyle name="检查单元格 2 9 5 2 9" xfId="37157"/>
    <cellStyle name="输出 2 10 11 15" xfId="37158"/>
    <cellStyle name="检查单元格 2 9 5 3" xfId="37159"/>
    <cellStyle name="输出 2 10 8 7 3" xfId="37160"/>
    <cellStyle name="检查单元格 2 9 5 3 2" xfId="37161"/>
    <cellStyle name="输出 2 10 8 7 3 2" xfId="37162"/>
    <cellStyle name="检查单元格 2 9 5 3 2 2" xfId="37163"/>
    <cellStyle name="注释 2 10 6 5 4" xfId="37164"/>
    <cellStyle name="输出 2 10 8 7 4 2" xfId="37165"/>
    <cellStyle name="检查单元格 2 9 5 3 3 2" xfId="37166"/>
    <cellStyle name="注释 2 10 6 6 4" xfId="37167"/>
    <cellStyle name="输出 2 10 8 7 5" xfId="37168"/>
    <cellStyle name="检查单元格 2 9 5 3 4" xfId="37169"/>
    <cellStyle name="输入 2 8 6 5 5 2" xfId="37170"/>
    <cellStyle name="输出 2 10 8 7 5 2" xfId="37171"/>
    <cellStyle name="检查单元格 2 9 5 3 4 2" xfId="37172"/>
    <cellStyle name="注释 2 10 6 7 4" xfId="37173"/>
    <cellStyle name="输出 2 10 8 7 6" xfId="37174"/>
    <cellStyle name="检查单元格 2 9 5 3 5" xfId="37175"/>
    <cellStyle name="检查单元格 2 9 5 3 5 2" xfId="37176"/>
    <cellStyle name="注释 2 10 6 8 4" xfId="37177"/>
    <cellStyle name="检查单元格 2 9 5 3 6" xfId="37178"/>
    <cellStyle name="注释 2 6 16 3 2" xfId="37179"/>
    <cellStyle name="输出 2 10 11 16" xfId="37180"/>
    <cellStyle name="检查单元格 2 9 5 4" xfId="37181"/>
    <cellStyle name="输出 2 10 8 8 3" xfId="37182"/>
    <cellStyle name="检查单元格 2 9 5 4 2" xfId="37183"/>
    <cellStyle name="输出 2 10 8 8 3 2" xfId="37184"/>
    <cellStyle name="检查单元格 2 9 5 4 2 2" xfId="37185"/>
    <cellStyle name="注释 2 10 7 5 4" xfId="37186"/>
    <cellStyle name="输出 2 10 8 8 4 2" xfId="37187"/>
    <cellStyle name="检查单元格 2 9 5 4 3 2" xfId="37188"/>
    <cellStyle name="注释 2 10 7 6 4" xfId="37189"/>
    <cellStyle name="输出 2 10 8 8 5" xfId="37190"/>
    <cellStyle name="检查单元格 2 9 5 4 4" xfId="37191"/>
    <cellStyle name="检查单元格 2 9 5 4 5" xfId="37192"/>
    <cellStyle name="检查单元格 2 9 5 4 5 2" xfId="37193"/>
    <cellStyle name="注释 2 10 7 8 4" xfId="37194"/>
    <cellStyle name="检查单元格 2 9 5 4 6" xfId="37195"/>
    <cellStyle name="注释 2 6 16 4 2" xfId="37196"/>
    <cellStyle name="检查单元格 2 9 5 5 2" xfId="37197"/>
    <cellStyle name="检查单元格 2 9 5 5 2 2" xfId="37198"/>
    <cellStyle name="注释 2 10 8 5 4" xfId="37199"/>
    <cellStyle name="检查单元格 2 9 5 5 3" xfId="37200"/>
    <cellStyle name="检查单元格 2 9 5 5 3 2" xfId="37201"/>
    <cellStyle name="注释 2 10 8 6 4" xfId="37202"/>
    <cellStyle name="检查单元格 2 9 5 5 4" xfId="37203"/>
    <cellStyle name="检查单元格 2 9 5 5 5" xfId="37204"/>
    <cellStyle name="检查单元格 2 9 5 6" xfId="37205"/>
    <cellStyle name="检查单元格 2 9 5 6 2" xfId="37206"/>
    <cellStyle name="检查单元格 2 9 5 7 2" xfId="37207"/>
    <cellStyle name="检查单元格 2 9 5 8" xfId="37208"/>
    <cellStyle name="检查单元格 2 9 5 8 2" xfId="37209"/>
    <cellStyle name="检查单元格 2 9 5 9 2" xfId="37210"/>
    <cellStyle name="输出 2 4 2 5 4" xfId="37211"/>
    <cellStyle name="检查单元格 2 9 6" xfId="37212"/>
    <cellStyle name="检查单元格 2 9 6 10" xfId="37213"/>
    <cellStyle name="输入 2 9 10 2 3 2" xfId="37214"/>
    <cellStyle name="注释 2 5 9 3 2" xfId="37215"/>
    <cellStyle name="检查单元格 2 9 6 11" xfId="37216"/>
    <cellStyle name="输入 2 6 2 6 2 2" xfId="37217"/>
    <cellStyle name="注释 2 5 9 3 3" xfId="37218"/>
    <cellStyle name="检查单元格 2 9 6 13" xfId="37219"/>
    <cellStyle name="注释 2 5 9 3 5" xfId="37220"/>
    <cellStyle name="输出 2 4 2 5 4 2" xfId="37221"/>
    <cellStyle name="检查单元格 2 9 6 2" xfId="37222"/>
    <cellStyle name="输出 2 10 9 6 3" xfId="37223"/>
    <cellStyle name="检查单元格 2 9 6 2 2" xfId="37224"/>
    <cellStyle name="输出 2 10 9 6 3 2" xfId="37225"/>
    <cellStyle name="检查单元格 2 9 6 2 2 2" xfId="37226"/>
    <cellStyle name="注释 2 11 5 5 4" xfId="37227"/>
    <cellStyle name="输出 2 10 9 6 4" xfId="37228"/>
    <cellStyle name="检查单元格 2 9 6 2 3" xfId="37229"/>
    <cellStyle name="输入 2 10 5 2 3 2" xfId="37230"/>
    <cellStyle name="输出 2 10 9 6 4 2" xfId="37231"/>
    <cellStyle name="检查单元格 2 9 6 2 3 2" xfId="37232"/>
    <cellStyle name="注释 2 11 5 6 4" xfId="37233"/>
    <cellStyle name="输出 2 10 9 6 5" xfId="37234"/>
    <cellStyle name="检查单元格 2 9 6 2 4" xfId="37235"/>
    <cellStyle name="输入 2 8 6 6 4 2" xfId="37236"/>
    <cellStyle name="输出 2 10 9 6 5 2" xfId="37237"/>
    <cellStyle name="检查单元格 2 9 6 2 4 2" xfId="37238"/>
    <cellStyle name="注释 2 11 5 7 4" xfId="37239"/>
    <cellStyle name="输出 2 10 9 6 6" xfId="37240"/>
    <cellStyle name="检查单元格 2 9 6 2 5" xfId="37241"/>
    <cellStyle name="检查单元格 2 9 6 2 5 2" xfId="37242"/>
    <cellStyle name="注释 2 11 5 8 4" xfId="37243"/>
    <cellStyle name="检查单元格 2 9 6 2 6" xfId="37244"/>
    <cellStyle name="注释 2 6 17 2 2" xfId="37245"/>
    <cellStyle name="检查单元格 2 9 6 2 7" xfId="37246"/>
    <cellStyle name="检查单元格 2 9 6 2 8" xfId="37247"/>
    <cellStyle name="检查单元格 2 9 6 2 9" xfId="37248"/>
    <cellStyle name="检查单元格 2 9 6 3" xfId="37249"/>
    <cellStyle name="输出 2 10 9 7 3" xfId="37250"/>
    <cellStyle name="检查单元格 2 9 6 3 2" xfId="37251"/>
    <cellStyle name="输出 2 10 9 7 3 2" xfId="37252"/>
    <cellStyle name="检查单元格 2 9 6 3 2 2" xfId="37253"/>
    <cellStyle name="注释 2 11 6 5 4" xfId="37254"/>
    <cellStyle name="输出 2 10 9 7 4" xfId="37255"/>
    <cellStyle name="检查单元格 2 9 6 3 3" xfId="37256"/>
    <cellStyle name="输入 2 10 5 2 4 2" xfId="37257"/>
    <cellStyle name="输出 2 10 9 7 5" xfId="37258"/>
    <cellStyle name="检查单元格 2 9 6 3 4" xfId="37259"/>
    <cellStyle name="输入 2 8 6 6 5 2" xfId="37260"/>
    <cellStyle name="输出 2 10 9 7 5 2" xfId="37261"/>
    <cellStyle name="检查单元格 2 9 6 3 4 2" xfId="37262"/>
    <cellStyle name="注释 2 11 6 7 4" xfId="37263"/>
    <cellStyle name="输出 2 10 9 7 6" xfId="37264"/>
    <cellStyle name="检查单元格 2 9 6 3 5" xfId="37265"/>
    <cellStyle name="检查单元格 2 9 6 3 5 2" xfId="37266"/>
    <cellStyle name="注释 2 11 6 8 4" xfId="37267"/>
    <cellStyle name="检查单元格 2 9 6 3 6" xfId="37268"/>
    <cellStyle name="注释 2 6 17 3 2" xfId="37269"/>
    <cellStyle name="检查单元格 2 9 6 4" xfId="37270"/>
    <cellStyle name="输出 2 10 9 8 3" xfId="37271"/>
    <cellStyle name="检查单元格 2 9 6 4 2" xfId="37272"/>
    <cellStyle name="输出 2 10 9 8 4" xfId="37273"/>
    <cellStyle name="检查单元格 2 9 6 4 3" xfId="37274"/>
    <cellStyle name="输入 2 10 5 2 5 2" xfId="37275"/>
    <cellStyle name="输出 2 10 9 8 4 2" xfId="37276"/>
    <cellStyle name="检查单元格 2 9 6 4 3 2" xfId="37277"/>
    <cellStyle name="注释 2 11 7 6 4" xfId="37278"/>
    <cellStyle name="检查单元格 2 9 6 5 2" xfId="37279"/>
    <cellStyle name="检查单元格 2 9 6 5 3" xfId="37280"/>
    <cellStyle name="输出 2 3 10 3 6" xfId="37281"/>
    <cellStyle name="检查单元格 2 9 6 5 3 2" xfId="37282"/>
    <cellStyle name="注释 2 11 8 6 4" xfId="37283"/>
    <cellStyle name="检查单元格 2 9 6 6" xfId="37284"/>
    <cellStyle name="检查单元格 2 9 6 6 2" xfId="37285"/>
    <cellStyle name="检查单元格 2 9 6 7" xfId="37286"/>
    <cellStyle name="检查单元格 2 9 6 7 2" xfId="37287"/>
    <cellStyle name="检查单元格 2 9 6 8" xfId="37288"/>
    <cellStyle name="检查单元格 2 9 6 8 2" xfId="37289"/>
    <cellStyle name="检查单元格 2 9 6 9 2" xfId="37290"/>
    <cellStyle name="输出 2 4 2 5 5" xfId="37291"/>
    <cellStyle name="注释 2 6 5 5 5 2" xfId="37292"/>
    <cellStyle name="检查单元格 2 9 7" xfId="37293"/>
    <cellStyle name="检查单元格 2 9 7 10" xfId="37294"/>
    <cellStyle name="注释 2 5 9 8 2" xfId="37295"/>
    <cellStyle name="注释 2 7 10 5 3" xfId="37296"/>
    <cellStyle name="检查单元格 2 9 7 12" xfId="37297"/>
    <cellStyle name="注释 2 5 9 8 4" xfId="37298"/>
    <cellStyle name="注释 2 7 10 5 5" xfId="37299"/>
    <cellStyle name="检查单元格 2 9 7 13" xfId="37300"/>
    <cellStyle name="注释 2 5 9 8 5" xfId="37301"/>
    <cellStyle name="注释 2 7 10 5 6" xfId="37302"/>
    <cellStyle name="输出 2 4 2 5 5 2" xfId="37303"/>
    <cellStyle name="输入 2 2 10 2 6" xfId="37304"/>
    <cellStyle name="检查单元格 2 9 7 2" xfId="37305"/>
    <cellStyle name="检查单元格 2 9 7 2 2" xfId="37306"/>
    <cellStyle name="检查单元格 2 9 7 2 2 2" xfId="37307"/>
    <cellStyle name="注释 2 12 5 5 4" xfId="37308"/>
    <cellStyle name="检查单元格 2 9 7 2 3" xfId="37309"/>
    <cellStyle name="输入 2 10 5 3 3 2" xfId="37310"/>
    <cellStyle name="检查单元格 2 9 7 2 3 2" xfId="37311"/>
    <cellStyle name="注释 2 12 5 6 4" xfId="37312"/>
    <cellStyle name="检查单元格 2 9 7 2 4" xfId="37313"/>
    <cellStyle name="输入 2 8 6 7 4 2" xfId="37314"/>
    <cellStyle name="检查单元格 2 9 7 2 4 2" xfId="37315"/>
    <cellStyle name="注释 2 12 5 7 4" xfId="37316"/>
    <cellStyle name="检查单元格 2 9 7 2 5" xfId="37317"/>
    <cellStyle name="检查单元格 2 9 7 2 5 2" xfId="37318"/>
    <cellStyle name="注释 2 12 5 8 4" xfId="37319"/>
    <cellStyle name="检查单元格 2 9 7 2 6" xfId="37320"/>
    <cellStyle name="注释 2 6 18 2 2" xfId="37321"/>
    <cellStyle name="检查单元格 2 9 7 2 7" xfId="37322"/>
    <cellStyle name="检查单元格 2 9 7 2 8" xfId="37323"/>
    <cellStyle name="检查单元格 2 9 7 2 9" xfId="37324"/>
    <cellStyle name="输出 2 6 9 2 2" xfId="37325"/>
    <cellStyle name="检查单元格 2 9 7 3" xfId="37326"/>
    <cellStyle name="输出 2 6 9 2 2 2" xfId="37327"/>
    <cellStyle name="检查单元格 2 9 7 3 2" xfId="37328"/>
    <cellStyle name="检查单元格 2 9 7 3 2 2" xfId="37329"/>
    <cellStyle name="注释 2 12 6 5 4" xfId="37330"/>
    <cellStyle name="检查单元格 2 9 7 3 3" xfId="37331"/>
    <cellStyle name="输入 2 10 5 3 4 2" xfId="37332"/>
    <cellStyle name="输出 2 2 3 16" xfId="37333"/>
    <cellStyle name="检查单元格 2 9 7 3 3 2" xfId="37334"/>
    <cellStyle name="注释 2 12 6 6 4" xfId="37335"/>
    <cellStyle name="检查单元格 2 9 7 3 4" xfId="37336"/>
    <cellStyle name="输入 2 8 6 7 5 2" xfId="37337"/>
    <cellStyle name="检查单元格 2 9 7 3 4 2" xfId="37338"/>
    <cellStyle name="注释 2 12 6 7 4" xfId="37339"/>
    <cellStyle name="检查单元格 2 9 7 3 5" xfId="37340"/>
    <cellStyle name="检查单元格 2 9 7 3 5 2" xfId="37341"/>
    <cellStyle name="注释 2 12 6 8 4" xfId="37342"/>
    <cellStyle name="检查单元格 2 9 7 3 6" xfId="37343"/>
    <cellStyle name="注释 2 6 18 3 2" xfId="37344"/>
    <cellStyle name="输出 2 6 9 2 3" xfId="37345"/>
    <cellStyle name="检查单元格 2 9 7 4" xfId="37346"/>
    <cellStyle name="输出 2 6 9 2 3 2" xfId="37347"/>
    <cellStyle name="检查单元格 2 9 7 4 2" xfId="37348"/>
    <cellStyle name="检查单元格 2 9 7 4 3" xfId="37349"/>
    <cellStyle name="输入 2 10 5 3 5 2" xfId="37350"/>
    <cellStyle name="检查单元格 2 9 7 4 4" xfId="37351"/>
    <cellStyle name="检查单元格 2 9 7 4 4 2" xfId="37352"/>
    <cellStyle name="注释 2 12 7 7 4" xfId="37353"/>
    <cellStyle name="检查单元格 2 9 7 4 5" xfId="37354"/>
    <cellStyle name="检查单元格 2 9 7 4 5 2" xfId="37355"/>
    <cellStyle name="注释 2 12 7 8 4" xfId="37356"/>
    <cellStyle name="检查单元格 2 9 7 4 6" xfId="37357"/>
    <cellStyle name="注释 2 6 18 4 2" xfId="37358"/>
    <cellStyle name="输出 2 6 9 2 4 2" xfId="37359"/>
    <cellStyle name="检查单元格 2 9 7 5 2" xfId="37360"/>
    <cellStyle name="检查单元格 2 9 7 5 3" xfId="37361"/>
    <cellStyle name="检查单元格 2 9 7 5 4" xfId="37362"/>
    <cellStyle name="检查单元格 2 9 7 5 4 2" xfId="37363"/>
    <cellStyle name="注释 2 12 8 7 4" xfId="37364"/>
    <cellStyle name="检查单元格 2 9 7 5 5" xfId="37365"/>
    <cellStyle name="输出 2 6 9 2 5" xfId="37366"/>
    <cellStyle name="检查单元格 2 9 7 6" xfId="37367"/>
    <cellStyle name="输出 2 6 9 2 5 2" xfId="37368"/>
    <cellStyle name="检查单元格 2 9 7 6 2" xfId="37369"/>
    <cellStyle name="输出 2 6 9 2 6" xfId="37370"/>
    <cellStyle name="检查单元格 2 9 7 7" xfId="37371"/>
    <cellStyle name="检查单元格 2 9 7 7 2" xfId="37372"/>
    <cellStyle name="注释 2 10 10 15" xfId="37373"/>
    <cellStyle name="输出 2 6 9 2 7" xfId="37374"/>
    <cellStyle name="检查单元格 2 9 7 8" xfId="37375"/>
    <cellStyle name="注释 2 5 3 3 2 2" xfId="37376"/>
    <cellStyle name="检查单元格 2 9 7 8 2" xfId="37377"/>
    <cellStyle name="检查单元格 2 9 7 9 2" xfId="37378"/>
    <cellStyle name="输入 2 3 2 12" xfId="37379"/>
    <cellStyle name="输出 2 4 2 5 6" xfId="37380"/>
    <cellStyle name="输入 2 12 7 11 2" xfId="37381"/>
    <cellStyle name="检查单元格 2 9 8" xfId="37382"/>
    <cellStyle name="输入 2 9 6 5 2" xfId="37383"/>
    <cellStyle name="检查单元格 2 9 8 2 2 2" xfId="37384"/>
    <cellStyle name="检查单元格 2 9 8 2 3" xfId="37385"/>
    <cellStyle name="输入 2 10 5 4 3 2" xfId="37386"/>
    <cellStyle name="检查单元格 2 9 8 2 3 2" xfId="37387"/>
    <cellStyle name="检查单元格 2 9 8 2 4" xfId="37388"/>
    <cellStyle name="输入 2 8 6 8 4 2" xfId="37389"/>
    <cellStyle name="检查单元格 2 9 8 2 4 2" xfId="37390"/>
    <cellStyle name="输出 2" xfId="37391"/>
    <cellStyle name="注释 2 9 11 2 2" xfId="37392"/>
    <cellStyle name="检查单元格 2 9 8 2 5" xfId="37393"/>
    <cellStyle name="输出 2 2" xfId="37394"/>
    <cellStyle name="输出 2 10 27" xfId="37395"/>
    <cellStyle name="注释 2 9 11 2 2 2" xfId="37396"/>
    <cellStyle name="检查单元格 2 9 8 2 5 2" xfId="37397"/>
    <cellStyle name="检查单元格 2 9 8 2 6" xfId="37398"/>
    <cellStyle name="注释 2 6 19 2 2" xfId="37399"/>
    <cellStyle name="检查单元格 2 9 8 2 7" xfId="37400"/>
    <cellStyle name="输出 2 2 11 2 3 2" xfId="37401"/>
    <cellStyle name="检查单元格 2 9 8 2 8" xfId="37402"/>
    <cellStyle name="检查单元格 2 9 8 2 9" xfId="37403"/>
    <cellStyle name="检查单元格 2 9 8 3 2 2" xfId="37404"/>
    <cellStyle name="检查单元格 2 9 8 3 3" xfId="37405"/>
    <cellStyle name="输入 2 10 5 4 4 2" xfId="37406"/>
    <cellStyle name="输出 2 7 3 16" xfId="37407"/>
    <cellStyle name="检查单元格 2 9 8 3 3 2" xfId="37408"/>
    <cellStyle name="检查单元格 2 9 8 3 4" xfId="37409"/>
    <cellStyle name="检查单元格 2 9 8 3 4 2" xfId="37410"/>
    <cellStyle name="检查单元格 2 9 8 3 5" xfId="37411"/>
    <cellStyle name="检查单元格 2 9 8 3 5 2" xfId="37412"/>
    <cellStyle name="检查单元格 2 9 8 3 6" xfId="37413"/>
    <cellStyle name="注释 2 6 19 3 2" xfId="37414"/>
    <cellStyle name="检查单元格 2 9 8 4 2 2" xfId="37415"/>
    <cellStyle name="输入 2 3 6 12 2" xfId="37416"/>
    <cellStyle name="检查单元格 2 9 8 4 3" xfId="37417"/>
    <cellStyle name="输入 2 10 5 4 5 2" xfId="37418"/>
    <cellStyle name="输入 2 3 6 13" xfId="37419"/>
    <cellStyle name="检查单元格 2 9 8 4 4" xfId="37420"/>
    <cellStyle name="输入 2 3 6 14" xfId="37421"/>
    <cellStyle name="检查单元格 2 9 8 4 4 2" xfId="37422"/>
    <cellStyle name="检查单元格 2 9 8 4 5" xfId="37423"/>
    <cellStyle name="输入 2 3 6 15" xfId="37424"/>
    <cellStyle name="检查单元格 2 9 8 4 5 2" xfId="37425"/>
    <cellStyle name="检查单元格 2 9 8 4 6" xfId="37426"/>
    <cellStyle name="输入 2 3 6 16" xfId="37427"/>
    <cellStyle name="注释 2 6 19 4 2" xfId="37428"/>
    <cellStyle name="检查单元格 2 9 8 5 2 2" xfId="37429"/>
    <cellStyle name="检查单元格 2 9 8 5 4" xfId="37430"/>
    <cellStyle name="检查单元格 2 9 8 5 5" xfId="37431"/>
    <cellStyle name="输出 2 11 19 3 2" xfId="37432"/>
    <cellStyle name="检查单元格 3" xfId="37433"/>
    <cellStyle name="输出 2 8 5 7 5" xfId="37434"/>
    <cellStyle name="解释性文本 2" xfId="37435"/>
    <cellStyle name="解释性文本 3" xfId="37436"/>
    <cellStyle name="警告文本 2" xfId="37437"/>
    <cellStyle name="链接单元格 3" xfId="37438"/>
    <cellStyle name="霓付_97MBO" xfId="37439"/>
    <cellStyle name="注释 2 9 4 7 2 2" xfId="37440"/>
    <cellStyle name="烹拳 [0]_97MBO" xfId="37441"/>
    <cellStyle name="输入 2 7 2 2 4" xfId="37442"/>
    <cellStyle name="烹拳_97MBO" xfId="37443"/>
    <cellStyle name="输入 2 11 10 13" xfId="37444"/>
    <cellStyle name="千位_laroux" xfId="37445"/>
    <cellStyle name="输出 2 15 3 4 2" xfId="37446"/>
    <cellStyle name="钎霖_laroux" xfId="37447"/>
    <cellStyle name="输入 2 11 17 2" xfId="37448"/>
    <cellStyle name="输入 2 11 22 2" xfId="37449"/>
    <cellStyle name="输出 2 10" xfId="37450"/>
    <cellStyle name="输出 2 12 6 3 4 2" xfId="37451"/>
    <cellStyle name="输出 2 10 3 3 3" xfId="37452"/>
    <cellStyle name="输出 2 10 10 11 2" xfId="37453"/>
    <cellStyle name="输出 2 3 4 3 5 2" xfId="37454"/>
    <cellStyle name="输出 2 10 10 12" xfId="37455"/>
    <cellStyle name="输出 2 12 6 3 5" xfId="37456"/>
    <cellStyle name="输出 2 12 6 3 5 2" xfId="37457"/>
    <cellStyle name="输出 2 10 3 4 3" xfId="37458"/>
    <cellStyle name="输出 2 10 10 12 2" xfId="37459"/>
    <cellStyle name="输出 2 12 6 3 6" xfId="37460"/>
    <cellStyle name="输出 2 10 10 13" xfId="37461"/>
    <cellStyle name="输出 2 10 10 14" xfId="37462"/>
    <cellStyle name="输出 2 10 10 15" xfId="37463"/>
    <cellStyle name="输出 2 10 10 16" xfId="37464"/>
    <cellStyle name="输出 2 9 5 3 2 2" xfId="37465"/>
    <cellStyle name="输出 2 10 10 2" xfId="37466"/>
    <cellStyle name="输出 2 10 10 2 2" xfId="37467"/>
    <cellStyle name="输出 2 10 10 2 2 2" xfId="37468"/>
    <cellStyle name="输出 2 10 10 2 3" xfId="37469"/>
    <cellStyle name="输出 2 10 10 2 3 2" xfId="37470"/>
    <cellStyle name="输出 2 10 10 2 4" xfId="37471"/>
    <cellStyle name="输出 2 10 10 2 4 2" xfId="37472"/>
    <cellStyle name="输出 2 10 10 2 5" xfId="37473"/>
    <cellStyle name="输出 2 10 10 2 6" xfId="37474"/>
    <cellStyle name="输出 2 10 10 2 7" xfId="37475"/>
    <cellStyle name="输入 2 5 19 3 2" xfId="37476"/>
    <cellStyle name="输出 2 10 10 3 2" xfId="37477"/>
    <cellStyle name="输出 2 10 10 3 2 2" xfId="37478"/>
    <cellStyle name="输出 2 10 10 3 3" xfId="37479"/>
    <cellStyle name="输出 2 10 10 3 3 2" xfId="37480"/>
    <cellStyle name="输出 2 10 10 3 4" xfId="37481"/>
    <cellStyle name="输出 2 10 10 3 4 2" xfId="37482"/>
    <cellStyle name="输出 2 10 10 3 5" xfId="37483"/>
    <cellStyle name="输出 2 10 10 3 6" xfId="37484"/>
    <cellStyle name="输出 2 10 10 4 2" xfId="37485"/>
    <cellStyle name="输出 2 10 10 4 2 2" xfId="37486"/>
    <cellStyle name="输出 2 10 10 4 3" xfId="37487"/>
    <cellStyle name="输出 2 10 10 4 3 2" xfId="37488"/>
    <cellStyle name="输出 2 10 10 4 4" xfId="37489"/>
    <cellStyle name="输出 2 10 10 4 4 2" xfId="37490"/>
    <cellStyle name="输出 2 10 10 4 5" xfId="37491"/>
    <cellStyle name="输出 2 10 10 4 6" xfId="37492"/>
    <cellStyle name="输出 2 10 10 5" xfId="37493"/>
    <cellStyle name="输出 2 10 10 5 2" xfId="37494"/>
    <cellStyle name="输入 2 5 5 13" xfId="37495"/>
    <cellStyle name="输出 2 10 10 5 3" xfId="37496"/>
    <cellStyle name="输入 2 5 5 14" xfId="37497"/>
    <cellStyle name="输出 2 10 10 5 4" xfId="37498"/>
    <cellStyle name="输入 2 5 5 15" xfId="37499"/>
    <cellStyle name="输出 2 10 10 5 5" xfId="37500"/>
    <cellStyle name="输入 2 5 5 16" xfId="37501"/>
    <cellStyle name="输出 2 10 10 5 6" xfId="37502"/>
    <cellStyle name="输出 2 10 10 6" xfId="37503"/>
    <cellStyle name="输出 2 10 10 6 2 2" xfId="37504"/>
    <cellStyle name="输出 2 10 10 6 3 2" xfId="37505"/>
    <cellStyle name="输出 2 10 10 6 4" xfId="37506"/>
    <cellStyle name="输出 2 10 10 6 4 2" xfId="37507"/>
    <cellStyle name="输出 2 10 10 6 5 2" xfId="37508"/>
    <cellStyle name="输出 2 10 10 6 6" xfId="37509"/>
    <cellStyle name="输出 2 10 10 7" xfId="37510"/>
    <cellStyle name="输出 2 10 10 7 3 2" xfId="37511"/>
    <cellStyle name="输出 2 10 10 7 4 2" xfId="37512"/>
    <cellStyle name="输出 2 10 10 7 5 2" xfId="37513"/>
    <cellStyle name="输出 2 10 10 8" xfId="37514"/>
    <cellStyle name="输入 2 7 3 5 2 2" xfId="37515"/>
    <cellStyle name="输出 2 10 10 8 3 2" xfId="37516"/>
    <cellStyle name="输出 2 10 10 8 4" xfId="37517"/>
    <cellStyle name="输出 2 10 10 8 4 2" xfId="37518"/>
    <cellStyle name="输出 2 10 11" xfId="37519"/>
    <cellStyle name="输出 2 12 6 8 3" xfId="37520"/>
    <cellStyle name="输出 2 10 11 10" xfId="37521"/>
    <cellStyle name="输入 2 3 5 5 2 2" xfId="37522"/>
    <cellStyle name="输出 2 10 11 13" xfId="37523"/>
    <cellStyle name="输出 2 10 11 2" xfId="37524"/>
    <cellStyle name="输出 2 10 11 2 2" xfId="37525"/>
    <cellStyle name="输出 2 10 11 2 2 2" xfId="37526"/>
    <cellStyle name="输出 2 10 11 2 3" xfId="37527"/>
    <cellStyle name="输出 2 10 11 2 4" xfId="37528"/>
    <cellStyle name="输出 2 10 11 2 4 2" xfId="37529"/>
    <cellStyle name="输出 2 10 11 2 5" xfId="37530"/>
    <cellStyle name="输出 2 10 11 2 6" xfId="37531"/>
    <cellStyle name="输出 2 10 11 3 2" xfId="37532"/>
    <cellStyle name="输出 2 10 11 3 2 2" xfId="37533"/>
    <cellStyle name="输出 2 10 11 3 3" xfId="37534"/>
    <cellStyle name="输出 2 10 11 3 4" xfId="37535"/>
    <cellStyle name="输出 2 10 11 3 4 2" xfId="37536"/>
    <cellStyle name="输出 2 10 11 3 5" xfId="37537"/>
    <cellStyle name="输出 2 10 11 3 6" xfId="37538"/>
    <cellStyle name="输出 2 10 11 4 2" xfId="37539"/>
    <cellStyle name="输出 2 10 11 4 3" xfId="37540"/>
    <cellStyle name="输出 2 10 11 4 3 2" xfId="37541"/>
    <cellStyle name="输出 2 10 11 4 4" xfId="37542"/>
    <cellStyle name="输出 2 10 11 4 4 2" xfId="37543"/>
    <cellStyle name="输出 2 10 11 4 5" xfId="37544"/>
    <cellStyle name="输出 2 10 11 4 6" xfId="37545"/>
    <cellStyle name="输出 2 10 11 5" xfId="37546"/>
    <cellStyle name="输出 2 10 11 5 2" xfId="37547"/>
    <cellStyle name="输出 2 10 11 5 3" xfId="37548"/>
    <cellStyle name="输出 2 10 11 5 3 2" xfId="37549"/>
    <cellStyle name="输出 2 10 11 5 4" xfId="37550"/>
    <cellStyle name="输出 2 10 11 5 4 2" xfId="37551"/>
    <cellStyle name="注释 2 5 2 11" xfId="37552"/>
    <cellStyle name="输出 2 10 11 5 5" xfId="37553"/>
    <cellStyle name="输出 2 10 11 5 5 2" xfId="37554"/>
    <cellStyle name="输出 2 10 11 5 6" xfId="37555"/>
    <cellStyle name="输出 2 10 11 6" xfId="37556"/>
    <cellStyle name="输出 2 10 11 6 2 2" xfId="37557"/>
    <cellStyle name="输出 2 10 11 6 3 2" xfId="37558"/>
    <cellStyle name="输出 2 10 11 6 4" xfId="37559"/>
    <cellStyle name="输出 2 10 11 6 4 2" xfId="37560"/>
    <cellStyle name="注释 2 5 7 11" xfId="37561"/>
    <cellStyle name="输出 2 10 11 6 5 2" xfId="37562"/>
    <cellStyle name="输出 2 10 11 6 6" xfId="37563"/>
    <cellStyle name="输出 2 10 11 7" xfId="37564"/>
    <cellStyle name="输出 2 10 11 7 4 2" xfId="37565"/>
    <cellStyle name="输出 2 10 11 7 5 2" xfId="37566"/>
    <cellStyle name="输出 2 10 11 8" xfId="37567"/>
    <cellStyle name="输入 2 7 3 5 3 2" xfId="37568"/>
    <cellStyle name="输出 2 10 11 8 4" xfId="37569"/>
    <cellStyle name="输出 2 10 11 8 4 2" xfId="37570"/>
    <cellStyle name="输出 2 10 12" xfId="37571"/>
    <cellStyle name="输出 2 10 12 2" xfId="37572"/>
    <cellStyle name="输出 2 10 12 2 2" xfId="37573"/>
    <cellStyle name="输出 2 10 12 3" xfId="37574"/>
    <cellStyle name="输出 2 10 12 3 2" xfId="37575"/>
    <cellStyle name="输出 2 10 12 4 2" xfId="37576"/>
    <cellStyle name="输出 2 10 12 5" xfId="37577"/>
    <cellStyle name="输出 2 10 12 5 2" xfId="37578"/>
    <cellStyle name="输出 2 10 12 6" xfId="37579"/>
    <cellStyle name="输出 2 10 13 2" xfId="37580"/>
    <cellStyle name="注释 2 6 4 2 6" xfId="37581"/>
    <cellStyle name="输出 2 10 13 2 2" xfId="37582"/>
    <cellStyle name="输出 2 10 13 3" xfId="37583"/>
    <cellStyle name="注释 2 3 4 8 2 2" xfId="37584"/>
    <cellStyle name="注释 2 6 4 2 7" xfId="37585"/>
    <cellStyle name="输出 2 10 13 3 2" xfId="37586"/>
    <cellStyle name="输出 2 10 13 4 2" xfId="37587"/>
    <cellStyle name="输出 2 10 13 5" xfId="37588"/>
    <cellStyle name="注释 2 6 4 2 9" xfId="37589"/>
    <cellStyle name="输出 2 10 13 5 2" xfId="37590"/>
    <cellStyle name="输出 2 10 13 6" xfId="37591"/>
    <cellStyle name="输出 2 10 14 2" xfId="37592"/>
    <cellStyle name="注释 2 6 4 3 6" xfId="37593"/>
    <cellStyle name="输出 2 10 14 2 2" xfId="37594"/>
    <cellStyle name="输出 2 10 14 3" xfId="37595"/>
    <cellStyle name="注释 2 3 4 8 3 2" xfId="37596"/>
    <cellStyle name="输出 2 10 14 3 2" xfId="37597"/>
    <cellStyle name="输出 2 10 14 4 2" xfId="37598"/>
    <cellStyle name="输出 2 10 14 5" xfId="37599"/>
    <cellStyle name="输出 2 10 14 5 2" xfId="37600"/>
    <cellStyle name="输出 2 10 14 6" xfId="37601"/>
    <cellStyle name="输出 2 10 15 2 2" xfId="37602"/>
    <cellStyle name="输出 2 10 15 3" xfId="37603"/>
    <cellStyle name="注释 2 3 4 8 4 2" xfId="37604"/>
    <cellStyle name="输出 2 10 15 3 2" xfId="37605"/>
    <cellStyle name="输出 2 10 15 4 2" xfId="37606"/>
    <cellStyle name="输出 2 10 15 5" xfId="37607"/>
    <cellStyle name="输出 2 10 15 5 2" xfId="37608"/>
    <cellStyle name="输入 2 6 5 13" xfId="37609"/>
    <cellStyle name="输出 2 10 15 6" xfId="37610"/>
    <cellStyle name="输出 2 10 16 3" xfId="37611"/>
    <cellStyle name="输出 2 10 16 5" xfId="37612"/>
    <cellStyle name="输出 2 10 16 6" xfId="37613"/>
    <cellStyle name="输出 2 10 17 3" xfId="37614"/>
    <cellStyle name="输出 2 10 17 5" xfId="37615"/>
    <cellStyle name="输出 2 10 17 6" xfId="37616"/>
    <cellStyle name="输出 2 10 18 3" xfId="37617"/>
    <cellStyle name="注释 2 15 2 4" xfId="37618"/>
    <cellStyle name="输出 2 3 4 7 5" xfId="37619"/>
    <cellStyle name="输出 2 10 18 3 2" xfId="37620"/>
    <cellStyle name="注释 2 15 2 4 2" xfId="37621"/>
    <cellStyle name="输出 2 3 4 8 5" xfId="37622"/>
    <cellStyle name="输出 2 11 4 2 4" xfId="37623"/>
    <cellStyle name="输出 2 10 18 4 2" xfId="37624"/>
    <cellStyle name="注释 2 15 2 5 2" xfId="37625"/>
    <cellStyle name="输出 2 10 18 5" xfId="37626"/>
    <cellStyle name="注释 2 15 2 6" xfId="37627"/>
    <cellStyle name="输出 2 11 4 3 4" xfId="37628"/>
    <cellStyle name="输出 2 10 18 5 2" xfId="37629"/>
    <cellStyle name="输出 2 10 18 6" xfId="37630"/>
    <cellStyle name="注释 2 15 2 7" xfId="37631"/>
    <cellStyle name="输出 2 10 19 2" xfId="37632"/>
    <cellStyle name="注释 2 15 3 3" xfId="37633"/>
    <cellStyle name="输出 2 3 5 6 5" xfId="37634"/>
    <cellStyle name="输出 2 10 19 2 2" xfId="37635"/>
    <cellStyle name="注释 2 15 3 3 2" xfId="37636"/>
    <cellStyle name="注释 2 2 15 6" xfId="37637"/>
    <cellStyle name="输出 2 10 19 3" xfId="37638"/>
    <cellStyle name="注释 2 15 3 4" xfId="37639"/>
    <cellStyle name="输出 2 3 5 7 5" xfId="37640"/>
    <cellStyle name="输出 2 10 19 3 2" xfId="37641"/>
    <cellStyle name="注释 2 15 3 4 2" xfId="37642"/>
    <cellStyle name="注释 2 2 16 6" xfId="37643"/>
    <cellStyle name="输出 2 10 19 4" xfId="37644"/>
    <cellStyle name="注释 2 15 3 5" xfId="37645"/>
    <cellStyle name="输出 2 3 5 8 5" xfId="37646"/>
    <cellStyle name="输出 2 11 5 2 4" xfId="37647"/>
    <cellStyle name="输出 2 10 19 4 2" xfId="37648"/>
    <cellStyle name="注释 2 15 3 5 2" xfId="37649"/>
    <cellStyle name="注释 2 2 17 6" xfId="37650"/>
    <cellStyle name="输出 2 10 19 5" xfId="37651"/>
    <cellStyle name="注释 2 15 3 6" xfId="37652"/>
    <cellStyle name="输出 2 10 2 10 2" xfId="37653"/>
    <cellStyle name="输入 2 10 5 6 5 2" xfId="37654"/>
    <cellStyle name="输出 2 10 2 11 2" xfId="37655"/>
    <cellStyle name="输出 2 10 2 12 2" xfId="37656"/>
    <cellStyle name="输出 2 7 10 4 2 2" xfId="37657"/>
    <cellStyle name="输出 2 10 2 14" xfId="37658"/>
    <cellStyle name="输出 2 10 2 15" xfId="37659"/>
    <cellStyle name="输出 2 10 2 16" xfId="37660"/>
    <cellStyle name="输出 2 2 2 8 3" xfId="37661"/>
    <cellStyle name="输出 2 10 2 2 2" xfId="37662"/>
    <cellStyle name="输出 2 2 2 8 3 2" xfId="37663"/>
    <cellStyle name="输出 2 10 2 2 2 2" xfId="37664"/>
    <cellStyle name="输出 2 2 2 8 4 2" xfId="37665"/>
    <cellStyle name="输出 2 10 2 2 3 2" xfId="37666"/>
    <cellStyle name="输出 2 2 2 8 5" xfId="37667"/>
    <cellStyle name="输出 2 10 2 2 4" xfId="37668"/>
    <cellStyle name="输出 2 10 2 2 5" xfId="37669"/>
    <cellStyle name="输出 2 10 2 2 8" xfId="37670"/>
    <cellStyle name="输入 2 5 11 12" xfId="37671"/>
    <cellStyle name="输出 2 10 2 3" xfId="37672"/>
    <cellStyle name="输出 2 10 2 3 2" xfId="37673"/>
    <cellStyle name="输出 2 10 2 3 2 2" xfId="37674"/>
    <cellStyle name="输出 2 10 2 3 3 2" xfId="37675"/>
    <cellStyle name="输出 2 10 2 3 4" xfId="37676"/>
    <cellStyle name="输出 2 10 2 3 5" xfId="37677"/>
    <cellStyle name="输出 2 10 2 3 5 2" xfId="37678"/>
    <cellStyle name="输出 2 10 2 4" xfId="37679"/>
    <cellStyle name="输出 2 10 2 4 2 2" xfId="37680"/>
    <cellStyle name="输出 2 10 2 4 3 2" xfId="37681"/>
    <cellStyle name="输出 2 10 2 4 4 2" xfId="37682"/>
    <cellStyle name="输出 2 10 2 4 5" xfId="37683"/>
    <cellStyle name="输出 2 10 2 4 5 2" xfId="37684"/>
    <cellStyle name="输出 2 10 2 5" xfId="37685"/>
    <cellStyle name="输入 2 11 9 4 2" xfId="37686"/>
    <cellStyle name="输出 2 10 2 5 5 2" xfId="37687"/>
    <cellStyle name="输出 2 10 2 6 5 2" xfId="37688"/>
    <cellStyle name="输出 2 10 2 7" xfId="37689"/>
    <cellStyle name="输入 2 11 9 4 4" xfId="37690"/>
    <cellStyle name="输出 2 10 2 7 5 2" xfId="37691"/>
    <cellStyle name="输出 2 10 2 7 6" xfId="37692"/>
    <cellStyle name="输出 2 10 2 8" xfId="37693"/>
    <cellStyle name="输入 2 10 18 2" xfId="37694"/>
    <cellStyle name="输入 2 10 23 2" xfId="37695"/>
    <cellStyle name="输入 2 11 9 4 5" xfId="37696"/>
    <cellStyle name="输出 2 10 2 9" xfId="37697"/>
    <cellStyle name="输入 2 10 18 3" xfId="37698"/>
    <cellStyle name="输入 2 11 9 4 6" xfId="37699"/>
    <cellStyle name="输出 2 10 25" xfId="37700"/>
    <cellStyle name="输出 2 10 26" xfId="37701"/>
    <cellStyle name="输出 2 10 3 10 2" xfId="37702"/>
    <cellStyle name="输出 2 10 3 11 2" xfId="37703"/>
    <cellStyle name="输出 2 10 3 12 2" xfId="37704"/>
    <cellStyle name="输出 2 10 3 16" xfId="37705"/>
    <cellStyle name="输入 2 10 2 5 2 2" xfId="37706"/>
    <cellStyle name="输出 2 2 3 8 3" xfId="37707"/>
    <cellStyle name="输出 2 10 3 2 2" xfId="37708"/>
    <cellStyle name="输出 2 2 3 8 5" xfId="37709"/>
    <cellStyle name="输出 2 10 3 2 4" xfId="37710"/>
    <cellStyle name="输出 2 10 3 2 4 2" xfId="37711"/>
    <cellStyle name="输出 2 10 3 2 5" xfId="37712"/>
    <cellStyle name="输出 2 10 3 2 8" xfId="37713"/>
    <cellStyle name="输出 2 10 3 3" xfId="37714"/>
    <cellStyle name="输出 2 10 3 3 2" xfId="37715"/>
    <cellStyle name="输出 2 11 10 3 5" xfId="37716"/>
    <cellStyle name="输入 2 9 19 5" xfId="37717"/>
    <cellStyle name="输出 2 10 3 3 2 2" xfId="37718"/>
    <cellStyle name="输出 2 11 10 4 5" xfId="37719"/>
    <cellStyle name="输出 2 10 3 3 3 2" xfId="37720"/>
    <cellStyle name="输出 2 10 3 3 4" xfId="37721"/>
    <cellStyle name="输出 2 11 10 5 5" xfId="37722"/>
    <cellStyle name="输出 2 10 3 3 4 2" xfId="37723"/>
    <cellStyle name="输出 2 10 3 3 5" xfId="37724"/>
    <cellStyle name="输出 2 11 10 6 5" xfId="37725"/>
    <cellStyle name="输出 2 10 3 3 5 2" xfId="37726"/>
    <cellStyle name="输出 2 10 3 4" xfId="37727"/>
    <cellStyle name="输出 2 10 3 4 2" xfId="37728"/>
    <cellStyle name="输出 2 11 11 3 5" xfId="37729"/>
    <cellStyle name="输出 2 10 3 4 2 2" xfId="37730"/>
    <cellStyle name="输出 2 11 11 4 5" xfId="37731"/>
    <cellStyle name="输出 2 10 3 4 3 2" xfId="37732"/>
    <cellStyle name="输出 2 10 3 4 4" xfId="37733"/>
    <cellStyle name="输出 2 11 11 5 5" xfId="37734"/>
    <cellStyle name="输出 2 10 3 4 4 2" xfId="37735"/>
    <cellStyle name="输出 2 10 3 4 5" xfId="37736"/>
    <cellStyle name="输出 2 11 11 6 5" xfId="37737"/>
    <cellStyle name="输出 2 10 3 4 5 2" xfId="37738"/>
    <cellStyle name="输出 2 10 3 5" xfId="37739"/>
    <cellStyle name="输入 2 11 9 5 2" xfId="37740"/>
    <cellStyle name="输出 2 10 3 5 2" xfId="37741"/>
    <cellStyle name="输入 2 11 9 5 2 2" xfId="37742"/>
    <cellStyle name="输出 2 10 3 5 2 2" xfId="37743"/>
    <cellStyle name="输出 2 10 3 5 3" xfId="37744"/>
    <cellStyle name="输出 2 10 3 5 3 2" xfId="37745"/>
    <cellStyle name="输出 2 10 3 5 4 2" xfId="37746"/>
    <cellStyle name="输出 2 10 3 5 5" xfId="37747"/>
    <cellStyle name="输出 2 10 3 5 5 2" xfId="37748"/>
    <cellStyle name="输出 2 10 3 6 2" xfId="37749"/>
    <cellStyle name="输入 2 11 9 5 3 2" xfId="37750"/>
    <cellStyle name="输出 2 10 3 6 2 2" xfId="37751"/>
    <cellStyle name="输出 2 10 3 6 3" xfId="37752"/>
    <cellStyle name="输出 2 10 3 6 3 2" xfId="37753"/>
    <cellStyle name="输出 2 10 3 6 4 2" xfId="37754"/>
    <cellStyle name="输出 2 10 3 6 5" xfId="37755"/>
    <cellStyle name="输出 2 10 3 6 5 2" xfId="37756"/>
    <cellStyle name="输出 2 10 3 7" xfId="37757"/>
    <cellStyle name="输入 2 11 9 5 4" xfId="37758"/>
    <cellStyle name="输出 2 10 3 7 2" xfId="37759"/>
    <cellStyle name="输入 2 11 9 5 4 2" xfId="37760"/>
    <cellStyle name="输入 2 5 5 2 6" xfId="37761"/>
    <cellStyle name="输出 2 10 3 7 2 2" xfId="37762"/>
    <cellStyle name="输出 2 10 3 7 3" xfId="37763"/>
    <cellStyle name="输入 2 5 5 2 7" xfId="37764"/>
    <cellStyle name="输出 2 10 3 7 3 2" xfId="37765"/>
    <cellStyle name="输出 2 10 3 7 4 2" xfId="37766"/>
    <cellStyle name="输出 2 10 3 7 5" xfId="37767"/>
    <cellStyle name="输入 2 5 5 2 9" xfId="37768"/>
    <cellStyle name="输出 2 10 3 7 5 2" xfId="37769"/>
    <cellStyle name="输出 2 10 3 7 6" xfId="37770"/>
    <cellStyle name="输出 2 10 3 8" xfId="37771"/>
    <cellStyle name="输入 2 10 19 2" xfId="37772"/>
    <cellStyle name="输入 2 11 9 5 5" xfId="37773"/>
    <cellStyle name="输出 2 10 3 8 2" xfId="37774"/>
    <cellStyle name="输入 2 10 19 2 2" xfId="37775"/>
    <cellStyle name="输入 2 11 9 5 5 2" xfId="37776"/>
    <cellStyle name="输入 2 5 5 3 6" xfId="37777"/>
    <cellStyle name="输出 2 10 3 8 2 2" xfId="37778"/>
    <cellStyle name="输出 2 10 3 8 3" xfId="37779"/>
    <cellStyle name="输出 2 10 3 8 3 2" xfId="37780"/>
    <cellStyle name="输出 2 10 3 8 4" xfId="37781"/>
    <cellStyle name="输出 2 10 3 8 4 2" xfId="37782"/>
    <cellStyle name="输出 2 10 3 8 5" xfId="37783"/>
    <cellStyle name="输出 2 10 3 9" xfId="37784"/>
    <cellStyle name="输入 2 10 19 3" xfId="37785"/>
    <cellStyle name="输入 2 11 9 5 6" xfId="37786"/>
    <cellStyle name="输出 2 10 3 9 2" xfId="37787"/>
    <cellStyle name="输入 2 10 19 3 2" xfId="37788"/>
    <cellStyle name="输入 2 5 5 4 6" xfId="37789"/>
    <cellStyle name="输出 2 3 4 10 2" xfId="37790"/>
    <cellStyle name="输出 2 10 4 14" xfId="37791"/>
    <cellStyle name="输出 2 10 4 16" xfId="37792"/>
    <cellStyle name="输出 2 2 4 8 3" xfId="37793"/>
    <cellStyle name="输出 2 10 4 2 2" xfId="37794"/>
    <cellStyle name="输出 2 2 4 8 3 2" xfId="37795"/>
    <cellStyle name="输出 2 10 4 2 2 2" xfId="37796"/>
    <cellStyle name="输出 2 2 4 8 4" xfId="37797"/>
    <cellStyle name="输出 2 10 4 2 3" xfId="37798"/>
    <cellStyle name="输出 2 12 6 4 3 2" xfId="37799"/>
    <cellStyle name="输出 2 2 4 8 4 2" xfId="37800"/>
    <cellStyle name="输出 2 10 4 2 3 2" xfId="37801"/>
    <cellStyle name="输出 2 2 4 8 5" xfId="37802"/>
    <cellStyle name="输出 2 10 4 2 4" xfId="37803"/>
    <cellStyle name="注释 2 14 2 5 2" xfId="37804"/>
    <cellStyle name="输出 2 10 4 2 4 2" xfId="37805"/>
    <cellStyle name="输出 2 10 4 2 5" xfId="37806"/>
    <cellStyle name="输出 2 10 4 2 8" xfId="37807"/>
    <cellStyle name="输出 2 10 4 2 9" xfId="37808"/>
    <cellStyle name="输出 2 10 4 3" xfId="37809"/>
    <cellStyle name="输出 2 10 4 3 2" xfId="37810"/>
    <cellStyle name="输出 2 10 4 3 2 2" xfId="37811"/>
    <cellStyle name="输出 2 12 6 4 4 2" xfId="37812"/>
    <cellStyle name="输出 2 10 4 3 3" xfId="37813"/>
    <cellStyle name="输出 2 10 4 3 3 2" xfId="37814"/>
    <cellStyle name="输出 2 10 4 3 4" xfId="37815"/>
    <cellStyle name="输出 2 10 4 3 4 2" xfId="37816"/>
    <cellStyle name="输出 2 10 4 3 5" xfId="37817"/>
    <cellStyle name="输出 2 10 4 3 5 2" xfId="37818"/>
    <cellStyle name="输出 2 10 4 4" xfId="37819"/>
    <cellStyle name="输出 2 10 4 4 2" xfId="37820"/>
    <cellStyle name="输出 2 10 4 4 2 2" xfId="37821"/>
    <cellStyle name="输出 2 12 6 4 5 2" xfId="37822"/>
    <cellStyle name="输出 2 10 4 4 3" xfId="37823"/>
    <cellStyle name="输出 2 10 4 4 3 2" xfId="37824"/>
    <cellStyle name="输出 2 10 4 4 4" xfId="37825"/>
    <cellStyle name="输出 2 10 4 4 4 2" xfId="37826"/>
    <cellStyle name="输出 2 10 4 4 5" xfId="37827"/>
    <cellStyle name="输出 2 10 4 4 5 2" xfId="37828"/>
    <cellStyle name="输出 2 10 4 5" xfId="37829"/>
    <cellStyle name="输入 2 11 9 6 2" xfId="37830"/>
    <cellStyle name="输出 2 10 4 5 2" xfId="37831"/>
    <cellStyle name="输入 2 11 9 6 2 2" xfId="37832"/>
    <cellStyle name="输出 2 10 4 5 2 2" xfId="37833"/>
    <cellStyle name="输出 2 10 4 5 3" xfId="37834"/>
    <cellStyle name="输出 2 10 4 5 3 2" xfId="37835"/>
    <cellStyle name="输出 2 10 4 5 4" xfId="37836"/>
    <cellStyle name="输出 2 10 4 5 4 2" xfId="37837"/>
    <cellStyle name="输出 2 10 4 5 5" xfId="37838"/>
    <cellStyle name="输出 2 10 4 5 5 2" xfId="37839"/>
    <cellStyle name="输出 2 10 4 6" xfId="37840"/>
    <cellStyle name="输入 2 11 9 6 3" xfId="37841"/>
    <cellStyle name="输出 2 10 4 6 2" xfId="37842"/>
    <cellStyle name="输入 2 11 9 6 3 2" xfId="37843"/>
    <cellStyle name="输出 2 10 4 6 3" xfId="37844"/>
    <cellStyle name="输出 2 10 4 6 3 2" xfId="37845"/>
    <cellStyle name="输出 2 10 4 6 4" xfId="37846"/>
    <cellStyle name="输出 2 10 4 6 4 2" xfId="37847"/>
    <cellStyle name="输出 2 10 4 6 5" xfId="37848"/>
    <cellStyle name="输出 2 10 4 6 5 2" xfId="37849"/>
    <cellStyle name="输出 2 10 4 6 6" xfId="37850"/>
    <cellStyle name="输出 2 10 4 7" xfId="37851"/>
    <cellStyle name="输入 2 11 9 6 4" xfId="37852"/>
    <cellStyle name="输出 2 10 4 7 2" xfId="37853"/>
    <cellStyle name="输入 2 11 9 6 4 2" xfId="37854"/>
    <cellStyle name="输入 2 5 6 2 6" xfId="37855"/>
    <cellStyle name="输出 2 10 4 7 2 2" xfId="37856"/>
    <cellStyle name="输出 2 10 4 7 3" xfId="37857"/>
    <cellStyle name="输入 2 5 6 2 7" xfId="37858"/>
    <cellStyle name="输出 2 10 4 7 3 2" xfId="37859"/>
    <cellStyle name="输出 2 10 4 7 4" xfId="37860"/>
    <cellStyle name="输入 2 5 6 2 8" xfId="37861"/>
    <cellStyle name="输出 2 10 4 7 4 2" xfId="37862"/>
    <cellStyle name="输出 2 10 4 7 5" xfId="37863"/>
    <cellStyle name="输入 2 5 6 2 9" xfId="37864"/>
    <cellStyle name="输出 2 10 4 7 5 2" xfId="37865"/>
    <cellStyle name="输出 2 10 4 7 6" xfId="37866"/>
    <cellStyle name="输出 2 10 4 8" xfId="37867"/>
    <cellStyle name="输出 2 7 3 7 2 2" xfId="37868"/>
    <cellStyle name="输入 2 11 9 6 5" xfId="37869"/>
    <cellStyle name="输出 2 10 4 8 2" xfId="37870"/>
    <cellStyle name="输入 2 11 9 6 5 2" xfId="37871"/>
    <cellStyle name="输入 2 5 6 3 6" xfId="37872"/>
    <cellStyle name="输出 2 10 4 8 2 2" xfId="37873"/>
    <cellStyle name="输出 2 10 4 8 3" xfId="37874"/>
    <cellStyle name="输出 2 10 4 8 3 2" xfId="37875"/>
    <cellStyle name="输出 2 10 4 8 4" xfId="37876"/>
    <cellStyle name="输出 2 10 4 8 4 2" xfId="37877"/>
    <cellStyle name="输出 2 10 4 9" xfId="37878"/>
    <cellStyle name="输入 2 11 9 6 6" xfId="37879"/>
    <cellStyle name="输出 2 10 4 9 2" xfId="37880"/>
    <cellStyle name="输入 2 5 6 4 6" xfId="37881"/>
    <cellStyle name="输出 2 11 3 8 4" xfId="37882"/>
    <cellStyle name="输出 2 10 5 10 2" xfId="37883"/>
    <cellStyle name="输出 2 10 5 11 2" xfId="37884"/>
    <cellStyle name="输出 2 10 5 12 2" xfId="37885"/>
    <cellStyle name="输出 2 10 5 14" xfId="37886"/>
    <cellStyle name="输出 2 10 5 15" xfId="37887"/>
    <cellStyle name="输出 2 10 5 16" xfId="37888"/>
    <cellStyle name="注释 2 11 7 2 3 2" xfId="37889"/>
    <cellStyle name="输出 2 10 5 2" xfId="37890"/>
    <cellStyle name="输出 2 2 5 8 3" xfId="37891"/>
    <cellStyle name="输出 2 10 5 2 2" xfId="37892"/>
    <cellStyle name="输出 2 2 5 8 3 2" xfId="37893"/>
    <cellStyle name="输出 2 10 5 2 2 2" xfId="37894"/>
    <cellStyle name="注释 2 10 9 5" xfId="37895"/>
    <cellStyle name="输出 2 2 5 8 4" xfId="37896"/>
    <cellStyle name="输出 2 10 5 2 3" xfId="37897"/>
    <cellStyle name="输出 2 12 6 5 3 2" xfId="37898"/>
    <cellStyle name="输出 2 2 5 8 5" xfId="37899"/>
    <cellStyle name="输出 2 10 5 2 4" xfId="37900"/>
    <cellStyle name="输入 2 9 7 12 2" xfId="37901"/>
    <cellStyle name="注释 2 14 3 5 2" xfId="37902"/>
    <cellStyle name="输出 2 10 5 2 4 2" xfId="37903"/>
    <cellStyle name="输出 2 3 2 2 4 2" xfId="37904"/>
    <cellStyle name="输入 2 7 9 8 2" xfId="37905"/>
    <cellStyle name="输出 2 10 5 2 5" xfId="37906"/>
    <cellStyle name="输出 2 10 5 2 6" xfId="37907"/>
    <cellStyle name="输出 2 10 5 2 7" xfId="37908"/>
    <cellStyle name="输出 2 10 5 2 8" xfId="37909"/>
    <cellStyle name="输出 2 10 5 2 9" xfId="37910"/>
    <cellStyle name="输出 2 10 5 3" xfId="37911"/>
    <cellStyle name="输出 2 10 5 3 2" xfId="37912"/>
    <cellStyle name="输出 2 10 5 3 2 2" xfId="37913"/>
    <cellStyle name="注释 2 11 9 5" xfId="37914"/>
    <cellStyle name="输出 2 12 6 5 4 2" xfId="37915"/>
    <cellStyle name="输出 2 10 5 3 3" xfId="37916"/>
    <cellStyle name="输出 2 10 5 3 3 2" xfId="37917"/>
    <cellStyle name="输出 2 10 5 3 4" xfId="37918"/>
    <cellStyle name="输出 2 10 5 3 4 2" xfId="37919"/>
    <cellStyle name="输出 2 3 2 2 5 2" xfId="37920"/>
    <cellStyle name="输入 2 7 9 9 2" xfId="37921"/>
    <cellStyle name="输出 2 10 5 3 5" xfId="37922"/>
    <cellStyle name="输出 2 10 5 3 5 2" xfId="37923"/>
    <cellStyle name="输出 2 10 5 3 6" xfId="37924"/>
    <cellStyle name="输出 2 10 5 4" xfId="37925"/>
    <cellStyle name="输出 2 10 5 4 2" xfId="37926"/>
    <cellStyle name="输出 2 10 5 4 2 2" xfId="37927"/>
    <cellStyle name="注释 2 12 9 5" xfId="37928"/>
    <cellStyle name="输出 2 12 6 5 5 2" xfId="37929"/>
    <cellStyle name="输出 2 10 5 4 3" xfId="37930"/>
    <cellStyle name="输出 2 10 5 4 3 2" xfId="37931"/>
    <cellStyle name="注释 2 4 10 5" xfId="37932"/>
    <cellStyle name="输出 2 10 5 4 4" xfId="37933"/>
    <cellStyle name="输出 2 10 5 4 4 2" xfId="37934"/>
    <cellStyle name="注释 2 4 11 5" xfId="37935"/>
    <cellStyle name="输出 2 10 5 4 5" xfId="37936"/>
    <cellStyle name="输入 2 8 6 2 2 2" xfId="37937"/>
    <cellStyle name="输出 2 10 5 4 5 2" xfId="37938"/>
    <cellStyle name="注释 2 4 12 5" xfId="37939"/>
    <cellStyle name="输出 2 10 5 4 6" xfId="37940"/>
    <cellStyle name="输出 2 10 5 5" xfId="37941"/>
    <cellStyle name="输入 2 11 9 7 2" xfId="37942"/>
    <cellStyle name="输出 2 10 5 5 2" xfId="37943"/>
    <cellStyle name="输入 2 11 9 7 2 2" xfId="37944"/>
    <cellStyle name="输出 2 10 5 5 2 2" xfId="37945"/>
    <cellStyle name="输出 2 10 5 5 3" xfId="37946"/>
    <cellStyle name="输出 2 10 5 5 3 2" xfId="37947"/>
    <cellStyle name="输出 2 10 5 5 4" xfId="37948"/>
    <cellStyle name="输出 2 10 5 5 4 2" xfId="37949"/>
    <cellStyle name="输出 2 10 5 5 5" xfId="37950"/>
    <cellStyle name="输入 2 8 6 2 3 2" xfId="37951"/>
    <cellStyle name="输出 2 10 5 5 5 2" xfId="37952"/>
    <cellStyle name="输出 2 10 5 5 6" xfId="37953"/>
    <cellStyle name="输出 2 10 5 6" xfId="37954"/>
    <cellStyle name="输入 2 11 9 7 3" xfId="37955"/>
    <cellStyle name="输出 2 10 5 6 2" xfId="37956"/>
    <cellStyle name="输入 2 11 9 7 3 2" xfId="37957"/>
    <cellStyle name="输出 2 10 5 7" xfId="37958"/>
    <cellStyle name="输入 2 11 9 7 4" xfId="37959"/>
    <cellStyle name="输出 2 5 4" xfId="37960"/>
    <cellStyle name="输出 2 10 5 7 2 2" xfId="37961"/>
    <cellStyle name="输出 2 10 5 8" xfId="37962"/>
    <cellStyle name="输出 2 7 3 7 3 2" xfId="37963"/>
    <cellStyle name="输入 2 11 9 7 5" xfId="37964"/>
    <cellStyle name="输出 2 10 5 8 2" xfId="37965"/>
    <cellStyle name="输入 2 11 9 7 5 2" xfId="37966"/>
    <cellStyle name="输入 2 5 7 3 6" xfId="37967"/>
    <cellStyle name="输出 2 10 5 8 2 2" xfId="37968"/>
    <cellStyle name="输出 2 10 5 9" xfId="37969"/>
    <cellStyle name="输入 2 11 9 7 6" xfId="37970"/>
    <cellStyle name="输出 2 10 5 9 2" xfId="37971"/>
    <cellStyle name="输入 2 5 7 4 6" xfId="37972"/>
    <cellStyle name="输出 2 10 6" xfId="37973"/>
    <cellStyle name="输入 2 5 10 8 4 2" xfId="37974"/>
    <cellStyle name="输出 2 10 6 11 2" xfId="37975"/>
    <cellStyle name="注释 2 8 10 5 2 2" xfId="37976"/>
    <cellStyle name="输出 2 10 6 12 2" xfId="37977"/>
    <cellStyle name="注释 2 8 10 5 3 2" xfId="37978"/>
    <cellStyle name="输出 2 10 6 14" xfId="37979"/>
    <cellStyle name="注释 2 8 10 5 5" xfId="37980"/>
    <cellStyle name="输出 2 10 6 15" xfId="37981"/>
    <cellStyle name="注释 2 8 10 5 6" xfId="37982"/>
    <cellStyle name="输出 2 10 6 16" xfId="37983"/>
    <cellStyle name="输出 2 10 6 2" xfId="37984"/>
    <cellStyle name="输出 2 10 6 2 6" xfId="37985"/>
    <cellStyle name="输出 2 10 6 2 7" xfId="37986"/>
    <cellStyle name="输出 2 10 6 2 8" xfId="37987"/>
    <cellStyle name="输出 2 10 6 3" xfId="37988"/>
    <cellStyle name="输出 2 10 6 3 4 2" xfId="37989"/>
    <cellStyle name="注释 2 9 11 6 6" xfId="37990"/>
    <cellStyle name="输出 2 10 6 3 5 2" xfId="37991"/>
    <cellStyle name="注释 2 9 11 7 6" xfId="37992"/>
    <cellStyle name="输出 2 10 6 3 6" xfId="37993"/>
    <cellStyle name="输入 2 2 5 15" xfId="37994"/>
    <cellStyle name="输出 2 10 6 4" xfId="37995"/>
    <cellStyle name="输出 2 10 6 4 2 2" xfId="37996"/>
    <cellStyle name="输出 2 10 6 4 3 2" xfId="37997"/>
    <cellStyle name="注释 2 9 10 5" xfId="37998"/>
    <cellStyle name="输出 2 10 6 4 4 2" xfId="37999"/>
    <cellStyle name="注释 2 9 11 5" xfId="38000"/>
    <cellStyle name="输出 2 10 6 4 5 2" xfId="38001"/>
    <cellStyle name="注释 2 9 12 5" xfId="38002"/>
    <cellStyle name="输出 2 10 6 4 6" xfId="38003"/>
    <cellStyle name="输出 2 10 6 5" xfId="38004"/>
    <cellStyle name="输入 2 11 9 8 2" xfId="38005"/>
    <cellStyle name="输出 2 10 6 5 5 2" xfId="38006"/>
    <cellStyle name="输出 2 10 6 6" xfId="38007"/>
    <cellStyle name="输入 2 11 9 8 3" xfId="38008"/>
    <cellStyle name="输出 2 10 6 7" xfId="38009"/>
    <cellStyle name="输入 2 11 9 8 4" xfId="38010"/>
    <cellStyle name="输出 2 10 6 8" xfId="38011"/>
    <cellStyle name="输出 2 7 3 7 4 2" xfId="38012"/>
    <cellStyle name="输入 2 11 9 8 5" xfId="38013"/>
    <cellStyle name="输出 2 10 6 9" xfId="38014"/>
    <cellStyle name="输出 2 10 7" xfId="38015"/>
    <cellStyle name="输出 2 10 7 10 2" xfId="38016"/>
    <cellStyle name="输入 2 10 6 6 5 2" xfId="38017"/>
    <cellStyle name="输出 2 10 7 11 2" xfId="38018"/>
    <cellStyle name="输出 2 10 7 12 2" xfId="38019"/>
    <cellStyle name="输出 2 7 10 5 2 2" xfId="38020"/>
    <cellStyle name="输出 2 10 7 14" xfId="38021"/>
    <cellStyle name="输出 2 10 7 15" xfId="38022"/>
    <cellStyle name="输出 2 10 7 16" xfId="38023"/>
    <cellStyle name="输出 2 10 7 2 6" xfId="38024"/>
    <cellStyle name="输出 2 10 7 2 7" xfId="38025"/>
    <cellStyle name="输出 2 10 7 3 6" xfId="38026"/>
    <cellStyle name="输出 2 10 7 4 6" xfId="38027"/>
    <cellStyle name="输出 2 10 7 5 4" xfId="38028"/>
    <cellStyle name="输出 2 10 7 5 5" xfId="38029"/>
    <cellStyle name="输入 2 8 6 4 3 2" xfId="38030"/>
    <cellStyle name="输出 2 10 7 5 6" xfId="38031"/>
    <cellStyle name="输出 2 10 7 7" xfId="38032"/>
    <cellStyle name="输出 2 10 7 7 2" xfId="38033"/>
    <cellStyle name="输入 2 5 9 2 6" xfId="38034"/>
    <cellStyle name="输出 2 10 7 7 2 2" xfId="38035"/>
    <cellStyle name="输入 2 8 8" xfId="38036"/>
    <cellStyle name="输出 2 10 7 8 2" xfId="38037"/>
    <cellStyle name="输入 2 5 9 3 6" xfId="38038"/>
    <cellStyle name="输出 2 10 7 8 2 2" xfId="38039"/>
    <cellStyle name="输出 2 10 7 9" xfId="38040"/>
    <cellStyle name="输出 2 4 9 2 2" xfId="38041"/>
    <cellStyle name="输出 2 10 8" xfId="38042"/>
    <cellStyle name="输出 2 10 8 10" xfId="38043"/>
    <cellStyle name="输出 2 10 8 10 2" xfId="38044"/>
    <cellStyle name="输出 2 10 8 11" xfId="38045"/>
    <cellStyle name="输出 2 10 8 11 2" xfId="38046"/>
    <cellStyle name="输出 2 10 8 12" xfId="38047"/>
    <cellStyle name="输出 2 10 8 12 2" xfId="38048"/>
    <cellStyle name="输出 2 3 13 5 2" xfId="38049"/>
    <cellStyle name="输出 2 10 8 14" xfId="38050"/>
    <cellStyle name="输出 2 10 8 16" xfId="38051"/>
    <cellStyle name="输入 2 10 2 6 2 2" xfId="38052"/>
    <cellStyle name="输出 2 10 8 2 6" xfId="38053"/>
    <cellStyle name="输出 2 10 8 2 7" xfId="38054"/>
    <cellStyle name="输出 2 10 8 3 4 2" xfId="38055"/>
    <cellStyle name="注释 2 10 2 6 4" xfId="38056"/>
    <cellStyle name="输出 2 10 8 3 6" xfId="38057"/>
    <cellStyle name="输出 2 10 8 4" xfId="38058"/>
    <cellStyle name="输出 2 10 8 4 3 2" xfId="38059"/>
    <cellStyle name="注释 2 10 3 5 4" xfId="38060"/>
    <cellStyle name="输出 2 10 8 4 4" xfId="38061"/>
    <cellStyle name="输出 2 10 8 4 4 2" xfId="38062"/>
    <cellStyle name="注释 2 10 3 6 4" xfId="38063"/>
    <cellStyle name="输出 2 10 8 4 6" xfId="38064"/>
    <cellStyle name="输出 2 10 8 5" xfId="38065"/>
    <cellStyle name="输出 2 10 8 5 3 2" xfId="38066"/>
    <cellStyle name="注释 2 10 4 5 4" xfId="38067"/>
    <cellStyle name="输出 2 10 8 5 4 2" xfId="38068"/>
    <cellStyle name="注释 2 10 4 6 4" xfId="38069"/>
    <cellStyle name="输出 2 10 8 5 5" xfId="38070"/>
    <cellStyle name="输入 2 8 6 5 3 2" xfId="38071"/>
    <cellStyle name="输出 2 10 8 5 5 2" xfId="38072"/>
    <cellStyle name="注释 2 10 4 7 4" xfId="38073"/>
    <cellStyle name="输出 2 10 8 5 6" xfId="38074"/>
    <cellStyle name="输出 2 10 8 6" xfId="38075"/>
    <cellStyle name="输出 2 10 8 7" xfId="38076"/>
    <cellStyle name="输出 2 10 8 7 2" xfId="38077"/>
    <cellStyle name="输出 2 10 8 7 2 2" xfId="38078"/>
    <cellStyle name="注释 2 10 6 4 4" xfId="38079"/>
    <cellStyle name="输出 2 10 8 8 2" xfId="38080"/>
    <cellStyle name="输出 2 10 8 8 2 2" xfId="38081"/>
    <cellStyle name="注释 2 10 7 4 4" xfId="38082"/>
    <cellStyle name="输出 2 10 8 9 2" xfId="38083"/>
    <cellStyle name="输出 2 4 9 2 3" xfId="38084"/>
    <cellStyle name="输出 2 10 9" xfId="38085"/>
    <cellStyle name="输出 2 10 9 14" xfId="38086"/>
    <cellStyle name="输出 2 10 9 16" xfId="38087"/>
    <cellStyle name="输出 2 10 9 2 6" xfId="38088"/>
    <cellStyle name="输出 2 10 9 2 7" xfId="38089"/>
    <cellStyle name="输出 2 10 9 2 9" xfId="38090"/>
    <cellStyle name="输出 2 10 9 3 6" xfId="38091"/>
    <cellStyle name="输出 2 10 9 4" xfId="38092"/>
    <cellStyle name="输出 2 10 9 4 4" xfId="38093"/>
    <cellStyle name="输出 2 10 9 4 6" xfId="38094"/>
    <cellStyle name="输出 2 10 9 5" xfId="38095"/>
    <cellStyle name="输出 2 10 9 5 3 2" xfId="38096"/>
    <cellStyle name="注释 2 11 4 5 4" xfId="38097"/>
    <cellStyle name="输出 2 10 9 5 4" xfId="38098"/>
    <cellStyle name="输入 2 10 5 2 2 2" xfId="38099"/>
    <cellStyle name="输出 2 10 9 5 4 2" xfId="38100"/>
    <cellStyle name="注释 2 11 4 6 4" xfId="38101"/>
    <cellStyle name="输出 2 10 9 5 5" xfId="38102"/>
    <cellStyle name="输入 2 8 6 6 3 2" xfId="38103"/>
    <cellStyle name="输出 2 17 15" xfId="38104"/>
    <cellStyle name="输出 2 10 9 5 5 2" xfId="38105"/>
    <cellStyle name="注释 2 11 4 7 4" xfId="38106"/>
    <cellStyle name="输出 2 10 9 5 6" xfId="38107"/>
    <cellStyle name="输出 2 10 9 6" xfId="38108"/>
    <cellStyle name="输出 2 10 9 6 2 2" xfId="38109"/>
    <cellStyle name="注释 2 11 5 4 4" xfId="38110"/>
    <cellStyle name="输出 2 10 9 7" xfId="38111"/>
    <cellStyle name="输出 2 10 9 7 2" xfId="38112"/>
    <cellStyle name="输出 2 10 9 7 2 2" xfId="38113"/>
    <cellStyle name="注释 2 11 6 4 4" xfId="38114"/>
    <cellStyle name="输出 2 10 9 8 2" xfId="38115"/>
    <cellStyle name="输出 2 10 9 8 2 2" xfId="38116"/>
    <cellStyle name="注释 2 11 7 4 4" xfId="38117"/>
    <cellStyle name="输出 2 10 9 9 2" xfId="38118"/>
    <cellStyle name="输出 2 11 10" xfId="38119"/>
    <cellStyle name="输出 2 11 10 15" xfId="38120"/>
    <cellStyle name="输出 2 11 10 16" xfId="38121"/>
    <cellStyle name="输出 2 9 6 3 2 2" xfId="38122"/>
    <cellStyle name="输出 2 11 10 2" xfId="38123"/>
    <cellStyle name="输入 2 9 18" xfId="38124"/>
    <cellStyle name="输入 2 9 23" xfId="38125"/>
    <cellStyle name="输出 2 11 10 2 2 2" xfId="38126"/>
    <cellStyle name="输入 2 9 18 2 2" xfId="38127"/>
    <cellStyle name="输出 2 11 10 2 3" xfId="38128"/>
    <cellStyle name="输入 2 9 18 3" xfId="38129"/>
    <cellStyle name="输出 2 11 10 2 3 2" xfId="38130"/>
    <cellStyle name="输入 2 9 18 3 2" xfId="38131"/>
    <cellStyle name="输出 2 11 10 2 4" xfId="38132"/>
    <cellStyle name="输入 2 9 18 4" xfId="38133"/>
    <cellStyle name="输出 2 11 10 2 4 2" xfId="38134"/>
    <cellStyle name="输入 2 9 18 4 2" xfId="38135"/>
    <cellStyle name="输出 2 11 10 2 5" xfId="38136"/>
    <cellStyle name="输入 2 9 18 5" xfId="38137"/>
    <cellStyle name="输出 2 11 10 2 5 2" xfId="38138"/>
    <cellStyle name="输入 2 9 18 5 2" xfId="38139"/>
    <cellStyle name="输出 2 11 10 2 6" xfId="38140"/>
    <cellStyle name="输入 2 9 18 6" xfId="38141"/>
    <cellStyle name="输出 2 11 10 3" xfId="38142"/>
    <cellStyle name="输入 2 9 19" xfId="38143"/>
    <cellStyle name="输入 2 9 24" xfId="38144"/>
    <cellStyle name="输出 2 11 10 3 2 2" xfId="38145"/>
    <cellStyle name="输入 2 9 19 2 2" xfId="38146"/>
    <cellStyle name="注释 2 10 4" xfId="38147"/>
    <cellStyle name="输出 2 11 10 3 3" xfId="38148"/>
    <cellStyle name="输入 2 9 19 3" xfId="38149"/>
    <cellStyle name="输出 2 11 10 3 3 2" xfId="38150"/>
    <cellStyle name="输入 2 9 19 3 2" xfId="38151"/>
    <cellStyle name="注释 2 11 4" xfId="38152"/>
    <cellStyle name="输出 2 11 10 3 4" xfId="38153"/>
    <cellStyle name="输入 2 9 19 4" xfId="38154"/>
    <cellStyle name="输出 2 11 10 3 4 2" xfId="38155"/>
    <cellStyle name="输入 2 9 19 4 2" xfId="38156"/>
    <cellStyle name="注释 2 12 4" xfId="38157"/>
    <cellStyle name="输出 2 11 10 3 5 2" xfId="38158"/>
    <cellStyle name="注释 2 13 4" xfId="38159"/>
    <cellStyle name="输出 2 11 10 3 6" xfId="38160"/>
    <cellStyle name="输出 2 11 10 4" xfId="38161"/>
    <cellStyle name="输入 2 9 25" xfId="38162"/>
    <cellStyle name="输出 2 11 10 4 2" xfId="38163"/>
    <cellStyle name="输出 2 11 10 4 2 2" xfId="38164"/>
    <cellStyle name="输出 2 11 10 4 3" xfId="38165"/>
    <cellStyle name="输出 2 11 10 4 3 2" xfId="38166"/>
    <cellStyle name="输出 2 11 10 4 4" xfId="38167"/>
    <cellStyle name="输出 2 11 10 4 4 2" xfId="38168"/>
    <cellStyle name="输出 2 11 10 4 5 2" xfId="38169"/>
    <cellStyle name="输出 2 11 10 4 6" xfId="38170"/>
    <cellStyle name="输出 2 11 10 5" xfId="38171"/>
    <cellStyle name="输入 2 9 26" xfId="38172"/>
    <cellStyle name="输出 2 11 10 5 2" xfId="38173"/>
    <cellStyle name="输出 2 11 10 5 2 2" xfId="38174"/>
    <cellStyle name="输出 2 11 10 5 3" xfId="38175"/>
    <cellStyle name="输出 2 11 10 5 3 2" xfId="38176"/>
    <cellStyle name="输出 2 11 10 5 4" xfId="38177"/>
    <cellStyle name="输出 2 11 10 5 4 2" xfId="38178"/>
    <cellStyle name="输出 2 6 11 16" xfId="38179"/>
    <cellStyle name="输出 2 11 10 5 5 2" xfId="38180"/>
    <cellStyle name="输出 2 11 10 5 6" xfId="38181"/>
    <cellStyle name="注释 2 6 3 2 2" xfId="38182"/>
    <cellStyle name="输出 2 11 10 6 2" xfId="38183"/>
    <cellStyle name="输出 2 11 10 6 2 2" xfId="38184"/>
    <cellStyle name="输出 2 11 10 6 3 2" xfId="38185"/>
    <cellStyle name="输出 2 11 10 6 4" xfId="38186"/>
    <cellStyle name="输出 2 11 10 6 4 2" xfId="38187"/>
    <cellStyle name="输出 2 11 10 6 5 2" xfId="38188"/>
    <cellStyle name="输出 2 11 10 6 6" xfId="38189"/>
    <cellStyle name="注释 2 6 3 3 2" xfId="38190"/>
    <cellStyle name="输出 2 11 10 7" xfId="38191"/>
    <cellStyle name="输出 2 11 10 7 2" xfId="38192"/>
    <cellStyle name="输出 2 11 10 7 2 2" xfId="38193"/>
    <cellStyle name="输出 2 11 10 7 3 2" xfId="38194"/>
    <cellStyle name="输出 2 11 10 7 4" xfId="38195"/>
    <cellStyle name="输出 2 11 10 7 4 2" xfId="38196"/>
    <cellStyle name="输出 2 11 10 7 5" xfId="38197"/>
    <cellStyle name="输出 2 11 10 7 5 2" xfId="38198"/>
    <cellStyle name="输出 2 11 10 7 6" xfId="38199"/>
    <cellStyle name="注释 2 6 3 4 2" xfId="38200"/>
    <cellStyle name="输出 2 11 10 8 2 2" xfId="38201"/>
    <cellStyle name="输出 2 11 10 8 3 2" xfId="38202"/>
    <cellStyle name="输出 2 11 10 8 4" xfId="38203"/>
    <cellStyle name="输出 2 11 10 8 5" xfId="38204"/>
    <cellStyle name="输出 2 11 11 2 2 2" xfId="38205"/>
    <cellStyle name="输出 2 11 11 2 3" xfId="38206"/>
    <cellStyle name="输出 2 11 11 2 3 2" xfId="38207"/>
    <cellStyle name="输入 2 5 3 13" xfId="38208"/>
    <cellStyle name="输出 2 11 11 2 4" xfId="38209"/>
    <cellStyle name="输出 2 11 11 2 4 2" xfId="38210"/>
    <cellStyle name="输出 2 11 11 2 5" xfId="38211"/>
    <cellStyle name="输出 2 11 11 2 5 2" xfId="38212"/>
    <cellStyle name="输出 2 11 11 2 6" xfId="38213"/>
    <cellStyle name="输出 2 11 11 3 2 2" xfId="38214"/>
    <cellStyle name="输入 2 2 5 9" xfId="38215"/>
    <cellStyle name="输出 2 11 11 3 3" xfId="38216"/>
    <cellStyle name="输出 2 11 11 3 3 2" xfId="38217"/>
    <cellStyle name="输入 2 2 6 9" xfId="38218"/>
    <cellStyle name="输入 2 5 8 13" xfId="38219"/>
    <cellStyle name="输出 2 11 11 3 4" xfId="38220"/>
    <cellStyle name="输出 2 11 11 3 5 2" xfId="38221"/>
    <cellStyle name="输入 2 2 8 9" xfId="38222"/>
    <cellStyle name="输出 2 11 11 3 6" xfId="38223"/>
    <cellStyle name="输出 2 11 11 4 2 2" xfId="38224"/>
    <cellStyle name="输入 2 3 5 9" xfId="38225"/>
    <cellStyle name="输出 2 11 11 4 3" xfId="38226"/>
    <cellStyle name="输出 2 11 11 4 3 2" xfId="38227"/>
    <cellStyle name="输入 2 3 6 9" xfId="38228"/>
    <cellStyle name="输出 2 11 11 4 4" xfId="38229"/>
    <cellStyle name="输出 2 11 11 4 4 2" xfId="38230"/>
    <cellStyle name="输入 2 3 7 9" xfId="38231"/>
    <cellStyle name="输出 2 11 11 4 5 2" xfId="38232"/>
    <cellStyle name="输入 2 3 8 9" xfId="38233"/>
    <cellStyle name="输出 2 11 11 4 6" xfId="38234"/>
    <cellStyle name="输出 2 11 11 5 2 2" xfId="38235"/>
    <cellStyle name="输入 2 4 5 9" xfId="38236"/>
    <cellStyle name="输出 2 11 11 5 3" xfId="38237"/>
    <cellStyle name="输出 2 11 11 5 3 2" xfId="38238"/>
    <cellStyle name="输入 2 4 6 9" xfId="38239"/>
    <cellStyle name="输出 2 11 11 5 4" xfId="38240"/>
    <cellStyle name="输出 2 11 11 5 4 2" xfId="38241"/>
    <cellStyle name="输入 2 4 7 9" xfId="38242"/>
    <cellStyle name="输出 2 7 11 16" xfId="38243"/>
    <cellStyle name="输出 2 11 11 5 5 2" xfId="38244"/>
    <cellStyle name="输入 2 4 8 9" xfId="38245"/>
    <cellStyle name="输出 2 11 11 5 6" xfId="38246"/>
    <cellStyle name="注释 2 6 4 2 2" xfId="38247"/>
    <cellStyle name="输出 2 11 11 6 2" xfId="38248"/>
    <cellStyle name="输出 2 11 11 6 2 2" xfId="38249"/>
    <cellStyle name="输入 2 5 5 9" xfId="38250"/>
    <cellStyle name="输出 2 11 11 6 3 2" xfId="38251"/>
    <cellStyle name="输入 2 5 6 9" xfId="38252"/>
    <cellStyle name="输出 2 11 11 6 4" xfId="38253"/>
    <cellStyle name="输出 2 11 11 6 4 2" xfId="38254"/>
    <cellStyle name="输入 2 5 7 9" xfId="38255"/>
    <cellStyle name="输出 2 11 11 6 5 2" xfId="38256"/>
    <cellStyle name="输入 2 5 8 9" xfId="38257"/>
    <cellStyle name="输出 2 11 11 6 6" xfId="38258"/>
    <cellStyle name="注释 2 6 4 3 2" xfId="38259"/>
    <cellStyle name="输出 2 11 11 7 2" xfId="38260"/>
    <cellStyle name="输出 2 11 11 7 2 2" xfId="38261"/>
    <cellStyle name="输入 2 6 5 9" xfId="38262"/>
    <cellStyle name="输出 2 11 11 7 3 2" xfId="38263"/>
    <cellStyle name="输入 2 6 3 13" xfId="38264"/>
    <cellStyle name="输入 2 6 6 9" xfId="38265"/>
    <cellStyle name="输出 2 11 11 7 4" xfId="38266"/>
    <cellStyle name="输出 2 11 11 7 4 2" xfId="38267"/>
    <cellStyle name="输入 2 6 7 9" xfId="38268"/>
    <cellStyle name="输出 2 11 11 7 5" xfId="38269"/>
    <cellStyle name="输出 2 11 11 7 5 2" xfId="38270"/>
    <cellStyle name="输入 2 6 8 9" xfId="38271"/>
    <cellStyle name="输出 2 11 11 7 6" xfId="38272"/>
    <cellStyle name="注释 2 6 4 4 2" xfId="38273"/>
    <cellStyle name="输出 2 11 11 8 2 2" xfId="38274"/>
    <cellStyle name="输入 2 7 5 9" xfId="38275"/>
    <cellStyle name="输出 2 11 11 8 3 2" xfId="38276"/>
    <cellStyle name="输入 2 6 8 13" xfId="38277"/>
    <cellStyle name="输入 2 7 6 9" xfId="38278"/>
    <cellStyle name="输出 2 11 11 8 4" xfId="38279"/>
    <cellStyle name="输出 2 11 11 8 5" xfId="38280"/>
    <cellStyle name="输出 2 11 17 5 2" xfId="38281"/>
    <cellStyle name="输出 2 11 18 3 2" xfId="38282"/>
    <cellStyle name="输出 2 8 4 7 5" xfId="38283"/>
    <cellStyle name="输出 2 11 18 4" xfId="38284"/>
    <cellStyle name="输出 2 11 18 4 2" xfId="38285"/>
    <cellStyle name="输出 2 8 4 8 5" xfId="38286"/>
    <cellStyle name="输出 2 11 18 5" xfId="38287"/>
    <cellStyle name="输出 2 11 18 5 2" xfId="38288"/>
    <cellStyle name="输出 2 11 19 4" xfId="38289"/>
    <cellStyle name="输出 2 11 19 4 2" xfId="38290"/>
    <cellStyle name="输出 2 8 5 8 5" xfId="38291"/>
    <cellStyle name="输出 2 11 19 5" xfId="38292"/>
    <cellStyle name="输出 2 11 2 10 2" xfId="38293"/>
    <cellStyle name="输出 2 11 2 11 2" xfId="38294"/>
    <cellStyle name="输出 2 11 2 12 2" xfId="38295"/>
    <cellStyle name="输出 2 11 2 14" xfId="38296"/>
    <cellStyle name="输出 2 11 2 2 8" xfId="38297"/>
    <cellStyle name="输入 2 6 11 12" xfId="38298"/>
    <cellStyle name="输出 2 11 2 2 9" xfId="38299"/>
    <cellStyle name="输入 2 6 11 13" xfId="38300"/>
    <cellStyle name="输出 2 11 2 3 5 2" xfId="38301"/>
    <cellStyle name="输出 2 11 2 4 4 2" xfId="38302"/>
    <cellStyle name="输出 2 11 2 4 5 2" xfId="38303"/>
    <cellStyle name="输出 2 11 2 4 6" xfId="38304"/>
    <cellStyle name="输出 2 11 2 5" xfId="38305"/>
    <cellStyle name="输出 2 11 2 5 5 2" xfId="38306"/>
    <cellStyle name="输出 2 11 2 7" xfId="38307"/>
    <cellStyle name="输出 2 11 2 7 5 2" xfId="38308"/>
    <cellStyle name="输出 2 11 2 7 6" xfId="38309"/>
    <cellStyle name="输出 2 11 2 8" xfId="38310"/>
    <cellStyle name="输出 2 11 2 9" xfId="38311"/>
    <cellStyle name="输出 2 11 25" xfId="38312"/>
    <cellStyle name="注释 2 11 3 2 9" xfId="38313"/>
    <cellStyle name="输出 2 5 17 3 2" xfId="38314"/>
    <cellStyle name="输出 2 11 26" xfId="38315"/>
    <cellStyle name="输出 2 11 27" xfId="38316"/>
    <cellStyle name="输出 2 11 3 16" xfId="38317"/>
    <cellStyle name="输出 2 8 2 4 2" xfId="38318"/>
    <cellStyle name="输出 2 12 7 3 5 2" xfId="38319"/>
    <cellStyle name="输出 2 11 3 4 3" xfId="38320"/>
    <cellStyle name="输出 2 11 3 4 4" xfId="38321"/>
    <cellStyle name="输出 2 11 3 4 4 2" xfId="38322"/>
    <cellStyle name="输出 2 11 3 5" xfId="38323"/>
    <cellStyle name="输出 2 11 3 5 2" xfId="38324"/>
    <cellStyle name="输出 2 11 3 5 2 2" xfId="38325"/>
    <cellStyle name="注释 2 13 10" xfId="38326"/>
    <cellStyle name="注释 2 8 3 7 3" xfId="38327"/>
    <cellStyle name="输出 2 11 3 5 3" xfId="38328"/>
    <cellStyle name="输出 2 11 3 5 3 2" xfId="38329"/>
    <cellStyle name="注释 2 8 3 8 3" xfId="38330"/>
    <cellStyle name="输出 2 11 3 5 4 2" xfId="38331"/>
    <cellStyle name="输出 2 11 3 5 5" xfId="38332"/>
    <cellStyle name="输出 2 11 3 5 5 2" xfId="38333"/>
    <cellStyle name="输出 2 11 3 5 6" xfId="38334"/>
    <cellStyle name="输出 2 11 3 6 2" xfId="38335"/>
    <cellStyle name="输出 2 11 3 6 2 2" xfId="38336"/>
    <cellStyle name="注释 2 8 4 7 3" xfId="38337"/>
    <cellStyle name="输出 2 11 3 6 3" xfId="38338"/>
    <cellStyle name="输出 2 11 3 6 3 2" xfId="38339"/>
    <cellStyle name="输入 2 2 3" xfId="38340"/>
    <cellStyle name="注释 2 8 4 8 3" xfId="38341"/>
    <cellStyle name="输出 2 11 3 6 4 2" xfId="38342"/>
    <cellStyle name="输入 2 3 3" xfId="38343"/>
    <cellStyle name="输出 2 11 3 6 5" xfId="38344"/>
    <cellStyle name="输出 2 11 3 6 5 2" xfId="38345"/>
    <cellStyle name="输入 2 4 3" xfId="38346"/>
    <cellStyle name="输出 2 11 3 6 6" xfId="38347"/>
    <cellStyle name="输出 2 11 3 7" xfId="38348"/>
    <cellStyle name="输出 2 11 3 7 2" xfId="38349"/>
    <cellStyle name="输入 2 6 5 2 6" xfId="38350"/>
    <cellStyle name="输出 2 11 3 7 2 2" xfId="38351"/>
    <cellStyle name="注释 2 8 5 7 3" xfId="38352"/>
    <cellStyle name="输出 2 11 3 7 3" xfId="38353"/>
    <cellStyle name="输入 2 6 5 2 7" xfId="38354"/>
    <cellStyle name="输出 2 11 3 7 3 2" xfId="38355"/>
    <cellStyle name="注释 2 8 5 8 3" xfId="38356"/>
    <cellStyle name="输出 2 11 3 7 4 2" xfId="38357"/>
    <cellStyle name="输出 2 11 3 7 5" xfId="38358"/>
    <cellStyle name="输入 2 6 5 2 9" xfId="38359"/>
    <cellStyle name="输出 2 11 3 7 5 2" xfId="38360"/>
    <cellStyle name="输出 2 11 3 7 6" xfId="38361"/>
    <cellStyle name="输出 2 11 3 8" xfId="38362"/>
    <cellStyle name="输出 2 11 3 8 2" xfId="38363"/>
    <cellStyle name="输入 2 6 5 3 6" xfId="38364"/>
    <cellStyle name="输出 2 11 3 8 2 2" xfId="38365"/>
    <cellStyle name="注释 2 8 6 7 3" xfId="38366"/>
    <cellStyle name="输出 2 11 3 8 3" xfId="38367"/>
    <cellStyle name="输出 2 11 3 8 3 2" xfId="38368"/>
    <cellStyle name="注释 2 8 6 8 3" xfId="38369"/>
    <cellStyle name="输出 2 11 3 8 4 2" xfId="38370"/>
    <cellStyle name="输出 2 11 3 8 5" xfId="38371"/>
    <cellStyle name="输出 2 11 3 9" xfId="38372"/>
    <cellStyle name="输出 2 11 3 9 2" xfId="38373"/>
    <cellStyle name="输入 2 6 5 4 6" xfId="38374"/>
    <cellStyle name="输出 2 11 4 10 2" xfId="38375"/>
    <cellStyle name="注释 2 2 4 5 3 2" xfId="38376"/>
    <cellStyle name="输出 2 11 4 11 2" xfId="38377"/>
    <cellStyle name="注释 2 2 4 5 4 2" xfId="38378"/>
    <cellStyle name="输出 2 11 4 12 2" xfId="38379"/>
    <cellStyle name="注释 2 2 4 5 5 2" xfId="38380"/>
    <cellStyle name="输出 2 3 5 10 2" xfId="38381"/>
    <cellStyle name="输出 2 11 4 14" xfId="38382"/>
    <cellStyle name="输出 2 11 4 16" xfId="38383"/>
    <cellStyle name="输出 2 8 2 9 2" xfId="38384"/>
    <cellStyle name="输出 2 3 4 8 3" xfId="38385"/>
    <cellStyle name="输出 2 11 4 2 2" xfId="38386"/>
    <cellStyle name="输出 2 3 4 8 4" xfId="38387"/>
    <cellStyle name="输出 2 11 4 2 3" xfId="38388"/>
    <cellStyle name="输出 2 12 7 4 3 2" xfId="38389"/>
    <cellStyle name="输出 2 4 11 3 5" xfId="38390"/>
    <cellStyle name="输出 2 11 4 2 4 2" xfId="38391"/>
    <cellStyle name="输出 2 11 4 2 5" xfId="38392"/>
    <cellStyle name="输出 2 4 11 4 5" xfId="38393"/>
    <cellStyle name="输入 2 8 8 8 2 2" xfId="38394"/>
    <cellStyle name="输出 2 11 4 2 5 2" xfId="38395"/>
    <cellStyle name="输出 2 11 4 2 8" xfId="38396"/>
    <cellStyle name="输出 2 11 4 3 2" xfId="38397"/>
    <cellStyle name="输出 2 12 7 4 4 2" xfId="38398"/>
    <cellStyle name="输入 2 12 9 14" xfId="38399"/>
    <cellStyle name="输出 2 11 4 3 3" xfId="38400"/>
    <cellStyle name="输出 2 11 4 3 4 2" xfId="38401"/>
    <cellStyle name="输出 2 11 4 3 5" xfId="38402"/>
    <cellStyle name="输出 2 11 4 3 5 2" xfId="38403"/>
    <cellStyle name="输出 2 11 4 3 6" xfId="38404"/>
    <cellStyle name="输出 2 11 4 4 2" xfId="38405"/>
    <cellStyle name="输出 2 12 7 4 5 2" xfId="38406"/>
    <cellStyle name="输出 2 11 4 4 3" xfId="38407"/>
    <cellStyle name="输出 2 11 4 4 4" xfId="38408"/>
    <cellStyle name="输出 2 2 11 4" xfId="38409"/>
    <cellStyle name="输出 2 11 4 4 4 2" xfId="38410"/>
    <cellStyle name="输出 2 11 4 4 5" xfId="38411"/>
    <cellStyle name="输出 2 2 12 4" xfId="38412"/>
    <cellStyle name="输出 2 11 4 4 5 2" xfId="38413"/>
    <cellStyle name="输出 2 11 4 4 6" xfId="38414"/>
    <cellStyle name="输出 2 11 4 5 2 2" xfId="38415"/>
    <cellStyle name="注释 2 9 3 7 3" xfId="38416"/>
    <cellStyle name="输出 2 11 4 5 3" xfId="38417"/>
    <cellStyle name="输出 2 11 4 5 3 2" xfId="38418"/>
    <cellStyle name="注释 2 9 3 8 3" xfId="38419"/>
    <cellStyle name="输出 2 11 4 5 4" xfId="38420"/>
    <cellStyle name="输出 2 11 4 5 4 2" xfId="38421"/>
    <cellStyle name="输出 2 11 4 5 5" xfId="38422"/>
    <cellStyle name="输出 2 11 4 5 5 2" xfId="38423"/>
    <cellStyle name="输出 2 11 4 5 6" xfId="38424"/>
    <cellStyle name="输出 2 11 4 6 2 2" xfId="38425"/>
    <cellStyle name="注释 2 9 4 7 3" xfId="38426"/>
    <cellStyle name="输出 2 11 4 6 3" xfId="38427"/>
    <cellStyle name="输出 2 11 4 6 3 2" xfId="38428"/>
    <cellStyle name="注释 2 9 4 8 3" xfId="38429"/>
    <cellStyle name="输出 2 11 4 6 4" xfId="38430"/>
    <cellStyle name="输出 2 11 4 6 4 2" xfId="38431"/>
    <cellStyle name="输出 2 11 4 6 5" xfId="38432"/>
    <cellStyle name="输出 2 11 4 6 5 2" xfId="38433"/>
    <cellStyle name="输出 2 11 4 6 6" xfId="38434"/>
    <cellStyle name="输出 2 11 4 7 2 2" xfId="38435"/>
    <cellStyle name="注释 2 9 5 7 3" xfId="38436"/>
    <cellStyle name="输出 2 11 4 7 3" xfId="38437"/>
    <cellStyle name="输入 2 6 6 2 7" xfId="38438"/>
    <cellStyle name="输出 2 11 4 7 3 2" xfId="38439"/>
    <cellStyle name="注释 2 9 5 8 3" xfId="38440"/>
    <cellStyle name="输出 2 11 4 7 4" xfId="38441"/>
    <cellStyle name="输入 2 6 6 2 8" xfId="38442"/>
    <cellStyle name="输出 2 11 4 7 4 2" xfId="38443"/>
    <cellStyle name="输出 2 11 4 7 5" xfId="38444"/>
    <cellStyle name="输入 2 6 6 2 9" xfId="38445"/>
    <cellStyle name="输出 2 11 4 7 5 2" xfId="38446"/>
    <cellStyle name="输出 2 11 4 7 6" xfId="38447"/>
    <cellStyle name="输出 2 11 4 8 2" xfId="38448"/>
    <cellStyle name="输入 2 6 6 3 6" xfId="38449"/>
    <cellStyle name="输出 2 11 4 8 2 2" xfId="38450"/>
    <cellStyle name="注释 2 9 6 7 3" xfId="38451"/>
    <cellStyle name="输出 2 11 4 8 3" xfId="38452"/>
    <cellStyle name="输出 2 11 4 8 3 2" xfId="38453"/>
    <cellStyle name="注释 2 9 6 8 3" xfId="38454"/>
    <cellStyle name="输出 2 11 4 8 4" xfId="38455"/>
    <cellStyle name="输出 2 11 4 8 4 2" xfId="38456"/>
    <cellStyle name="输出 2 11 4 8 5" xfId="38457"/>
    <cellStyle name="输出 2 11 5 10 2" xfId="38458"/>
    <cellStyle name="输出 2 11 5 11 2" xfId="38459"/>
    <cellStyle name="输出 2 11 5 12 2" xfId="38460"/>
    <cellStyle name="输出 2 11 5 14" xfId="38461"/>
    <cellStyle name="输出 2 11 5 15" xfId="38462"/>
    <cellStyle name="输入 2 5 3 2 2 2" xfId="38463"/>
    <cellStyle name="输出 2 11 5 16" xfId="38464"/>
    <cellStyle name="注释 2 11 7 7 3 2" xfId="38465"/>
    <cellStyle name="输出 2 11 5 2" xfId="38466"/>
    <cellStyle name="输出 2 3 5 8 3" xfId="38467"/>
    <cellStyle name="输出 2 11 5 2 2" xfId="38468"/>
    <cellStyle name="注释 2 2 17 4" xfId="38469"/>
    <cellStyle name="输出 2 3 5 8 4" xfId="38470"/>
    <cellStyle name="输出 2 11 5 2 3" xfId="38471"/>
    <cellStyle name="注释 2 2 17 5" xfId="38472"/>
    <cellStyle name="输出 2 12 7 5 3 2" xfId="38473"/>
    <cellStyle name="输出 2 11 5 2 4 2" xfId="38474"/>
    <cellStyle name="输出 2 3 3 2 4 2" xfId="38475"/>
    <cellStyle name="输入 2 8 9 8 2" xfId="38476"/>
    <cellStyle name="输出 2 11 5 2 5" xfId="38477"/>
    <cellStyle name="输出 2 11 5 2 5 2" xfId="38478"/>
    <cellStyle name="输出 2 11 5 2 6" xfId="38479"/>
    <cellStyle name="输出 2 11 5 2 7" xfId="38480"/>
    <cellStyle name="输出 2 11 5 2 8" xfId="38481"/>
    <cellStyle name="注释 2 2 5 10" xfId="38482"/>
    <cellStyle name="输出 2 11 5 2 9" xfId="38483"/>
    <cellStyle name="注释 2 2 5 11" xfId="38484"/>
    <cellStyle name="输出 2 11 5 3" xfId="38485"/>
    <cellStyle name="输出 2 11 5 3 2" xfId="38486"/>
    <cellStyle name="注释 2 2 18 4" xfId="38487"/>
    <cellStyle name="输出 2 12 7 5 4 2" xfId="38488"/>
    <cellStyle name="输出 2 11 5 3 3" xfId="38489"/>
    <cellStyle name="注释 2 2 18 5" xfId="38490"/>
    <cellStyle name="输出 2 11 5 3 4" xfId="38491"/>
    <cellStyle name="注释 2 2 18 6" xfId="38492"/>
    <cellStyle name="输出 2 11 5 3 4 2" xfId="38493"/>
    <cellStyle name="注释 2 3 3 14" xfId="38494"/>
    <cellStyle name="输出 2 3 3 2 5 2" xfId="38495"/>
    <cellStyle name="输入 2 8 9 9 2" xfId="38496"/>
    <cellStyle name="输出 2 11 5 3 5" xfId="38497"/>
    <cellStyle name="输出 2 11 5 3 5 2" xfId="38498"/>
    <cellStyle name="输出 2 11 5 3 6" xfId="38499"/>
    <cellStyle name="输出 2 11 5 4" xfId="38500"/>
    <cellStyle name="输出 2 12 7 5 5 2" xfId="38501"/>
    <cellStyle name="输出 2 11 5 4 3" xfId="38502"/>
    <cellStyle name="注释 2 2 19 5" xfId="38503"/>
    <cellStyle name="输出 2 11 5 4 4" xfId="38504"/>
    <cellStyle name="输出 2 7 11 4" xfId="38505"/>
    <cellStyle name="注释 2 5 11 6 3" xfId="38506"/>
    <cellStyle name="输出 2 11 5 4 4 2" xfId="38507"/>
    <cellStyle name="注释 2 3 8 14" xfId="38508"/>
    <cellStyle name="输出 2 11 5 4 5" xfId="38509"/>
    <cellStyle name="输入 2 8 7 2 2 2" xfId="38510"/>
    <cellStyle name="输出 2 7 12 4" xfId="38511"/>
    <cellStyle name="注释 2 5 11 7 3" xfId="38512"/>
    <cellStyle name="输出 2 11 5 4 5 2" xfId="38513"/>
    <cellStyle name="输出 2 11 5 4 6" xfId="38514"/>
    <cellStyle name="输出 2 11 5 5" xfId="38515"/>
    <cellStyle name="输出 2 11 5 5 2" xfId="38516"/>
    <cellStyle name="输出 2 11 5 5 2 2" xfId="38517"/>
    <cellStyle name="输出 2 11 5 5 3" xfId="38518"/>
    <cellStyle name="输出 2 11 5 5 4" xfId="38519"/>
    <cellStyle name="输出 2 11 5 5 4 2" xfId="38520"/>
    <cellStyle name="输出 2 11 5 5 5" xfId="38521"/>
    <cellStyle name="输入 2 8 7 2 3 2" xfId="38522"/>
    <cellStyle name="输出 2 11 5 5 5 2" xfId="38523"/>
    <cellStyle name="输出 2 11 5 5 6" xfId="38524"/>
    <cellStyle name="输出 2 11 5 6" xfId="38525"/>
    <cellStyle name="输出 2 11 5 6 2" xfId="38526"/>
    <cellStyle name="输出 2 11 5 6 3" xfId="38527"/>
    <cellStyle name="输出 2 11 5 6 4 2" xfId="38528"/>
    <cellStyle name="输出 2 11 5 6 5 2" xfId="38529"/>
    <cellStyle name="输出 2 11 5 6 6" xfId="38530"/>
    <cellStyle name="输出 2 11 5 7" xfId="38531"/>
    <cellStyle name="输出 2 11 5 7 2" xfId="38532"/>
    <cellStyle name="输入 2 6 7 2 6" xfId="38533"/>
    <cellStyle name="输出 2 11 5 7 2 2" xfId="38534"/>
    <cellStyle name="输出 2 11 5 7 3" xfId="38535"/>
    <cellStyle name="输入 2 6 7 2 7" xfId="38536"/>
    <cellStyle name="输出 2 11 5 7 3 2" xfId="38537"/>
    <cellStyle name="输出 2 11 5 7 4 2" xfId="38538"/>
    <cellStyle name="输入 2 10 2 2 8" xfId="38539"/>
    <cellStyle name="输出 2 11 5 7 5 2" xfId="38540"/>
    <cellStyle name="输出 2 11 5 7 6" xfId="38541"/>
    <cellStyle name="输出 2 11 5 8" xfId="38542"/>
    <cellStyle name="输出 2 7 3 8 3 2" xfId="38543"/>
    <cellStyle name="输出 2 11 5 8 2" xfId="38544"/>
    <cellStyle name="输入 2 6 7 3 6" xfId="38545"/>
    <cellStyle name="输出 2 11 5 8 2 2" xfId="38546"/>
    <cellStyle name="输出 2 11 5 8 3" xfId="38547"/>
    <cellStyle name="输出 2 11 5 8 3 2" xfId="38548"/>
    <cellStyle name="输出 2 11 5 8 4 2" xfId="38549"/>
    <cellStyle name="输入 2 10 3 2 8" xfId="38550"/>
    <cellStyle name="注释 2 4 3 14" xfId="38551"/>
    <cellStyle name="输出 2 11 5 9" xfId="38552"/>
    <cellStyle name="输出 2 11 6" xfId="38553"/>
    <cellStyle name="输出 2 11 6 11 2" xfId="38554"/>
    <cellStyle name="输出 2 11 6 12 2" xfId="38555"/>
    <cellStyle name="输出 2 11 6 14" xfId="38556"/>
    <cellStyle name="输出 2 11 6 16" xfId="38557"/>
    <cellStyle name="输出 2 11 6 2" xfId="38558"/>
    <cellStyle name="输出 2 3 24" xfId="38559"/>
    <cellStyle name="输出 2 3 19" xfId="38560"/>
    <cellStyle name="输出 2 11 6 2 5 2" xfId="38561"/>
    <cellStyle name="输出 2 11 6 2 6" xfId="38562"/>
    <cellStyle name="输出 2 11 6 2 7" xfId="38563"/>
    <cellStyle name="输出 2 11 6 2 8" xfId="38564"/>
    <cellStyle name="输出 2 11 6 2 9" xfId="38565"/>
    <cellStyle name="输出 2 11 6 3" xfId="38566"/>
    <cellStyle name="输出 2 11 6 3 4 2" xfId="38567"/>
    <cellStyle name="注释 2 8 3 14" xfId="38568"/>
    <cellStyle name="输出 2 11 6 3 5 2" xfId="38569"/>
    <cellStyle name="输出 2 11 6 3 6" xfId="38570"/>
    <cellStyle name="输入 2 7 5 15" xfId="38571"/>
    <cellStyle name="输出 2 11 6 4" xfId="38572"/>
    <cellStyle name="输入 2 4 11 10 2" xfId="38573"/>
    <cellStyle name="输出 2 11 6 4 4 2" xfId="38574"/>
    <cellStyle name="注释 2 8 8 14" xfId="38575"/>
    <cellStyle name="输出 2 11 6 5" xfId="38576"/>
    <cellStyle name="输出 2 11 6 5 2" xfId="38577"/>
    <cellStyle name="输出 2 11 6 5 4" xfId="38578"/>
    <cellStyle name="输出 2 11 6 6" xfId="38579"/>
    <cellStyle name="输出 2 11 6 6 2" xfId="38580"/>
    <cellStyle name="输出 2 11 6 7" xfId="38581"/>
    <cellStyle name="输出 2 11 6 7 2" xfId="38582"/>
    <cellStyle name="输入 2 6 8 2 6" xfId="38583"/>
    <cellStyle name="输出 2 11 6 8" xfId="38584"/>
    <cellStyle name="输出 2 7 3 8 4 2" xfId="38585"/>
    <cellStyle name="输出 2 11 6 8 2" xfId="38586"/>
    <cellStyle name="输入 2 6 8 3 6" xfId="38587"/>
    <cellStyle name="输入 2 7 6 11" xfId="38588"/>
    <cellStyle name="输出 2 11 6 8 3" xfId="38589"/>
    <cellStyle name="输入 2 7 6 12" xfId="38590"/>
    <cellStyle name="输出 2 11 6 9" xfId="38591"/>
    <cellStyle name="输出 2 11 7" xfId="38592"/>
    <cellStyle name="输出 2 11 7 10 2" xfId="38593"/>
    <cellStyle name="输出 2 11 7 11 2" xfId="38594"/>
    <cellStyle name="输出 2 11 7 12 2" xfId="38595"/>
    <cellStyle name="输出 2 11 7 14" xfId="38596"/>
    <cellStyle name="输出 2 11 7 15" xfId="38597"/>
    <cellStyle name="输出 2 11 7 2" xfId="38598"/>
    <cellStyle name="输出 2 11 7 2 5 2" xfId="38599"/>
    <cellStyle name="输出 2 11 7 2 6" xfId="38600"/>
    <cellStyle name="输出 2 11 7 2 7" xfId="38601"/>
    <cellStyle name="输出 2 11 7 2 9" xfId="38602"/>
    <cellStyle name="输出 2 11 7 3" xfId="38603"/>
    <cellStyle name="输出 2 11 7 3 5 2" xfId="38604"/>
    <cellStyle name="输出 2 11 7 3 6" xfId="38605"/>
    <cellStyle name="输出 2 11 7 4" xfId="38606"/>
    <cellStyle name="输入 2 4 11 11 2" xfId="38607"/>
    <cellStyle name="输出 2 11 7 4 4 2" xfId="38608"/>
    <cellStyle name="注释 2 10 16 6" xfId="38609"/>
    <cellStyle name="输出 2 11 7 5" xfId="38610"/>
    <cellStyle name="输出 2 11 7 5 3 2" xfId="38611"/>
    <cellStyle name="输出 2 11 7 5 4" xfId="38612"/>
    <cellStyle name="输出 2 11 7 5 4 2" xfId="38613"/>
    <cellStyle name="输出 2 11 7 6" xfId="38614"/>
    <cellStyle name="输出 2 11 7 6 2 2" xfId="38615"/>
    <cellStyle name="输出 2 11 7 6 3" xfId="38616"/>
    <cellStyle name="输出 2 11 7 6 3 2" xfId="38617"/>
    <cellStyle name="输出 2 11 7 6 4 2" xfId="38618"/>
    <cellStyle name="输出 2 11 7 7" xfId="38619"/>
    <cellStyle name="输出 2 11 7 7 2" xfId="38620"/>
    <cellStyle name="输入 2 6 10 6 6" xfId="38621"/>
    <cellStyle name="输入 2 6 9 2 6" xfId="38622"/>
    <cellStyle name="输出 2 11 7 7 2 2" xfId="38623"/>
    <cellStyle name="输出 2 11 7 7 3" xfId="38624"/>
    <cellStyle name="输入 2 6 9 2 7" xfId="38625"/>
    <cellStyle name="输出 2 11 7 7 3 2" xfId="38626"/>
    <cellStyle name="输出 2 11 7 7 4 2" xfId="38627"/>
    <cellStyle name="输入 2 12 2 2 8" xfId="38628"/>
    <cellStyle name="输出 2 11 7 8 2" xfId="38629"/>
    <cellStyle name="输入 2 6 10 7 6" xfId="38630"/>
    <cellStyle name="输入 2 6 9 3 6" xfId="38631"/>
    <cellStyle name="输出 2 11 7 8 3" xfId="38632"/>
    <cellStyle name="输出 2 11 7 8 3 2" xfId="38633"/>
    <cellStyle name="输出 2 11 7 8 4 2" xfId="38634"/>
    <cellStyle name="输入 2 12 3 2 8" xfId="38635"/>
    <cellStyle name="输出 2 11 7 9" xfId="38636"/>
    <cellStyle name="输出 2 11 8 10" xfId="38637"/>
    <cellStyle name="输出 2 11 8 11" xfId="38638"/>
    <cellStyle name="输出 2 11 8 12" xfId="38639"/>
    <cellStyle name="输入 2 4 11 4 2 2" xfId="38640"/>
    <cellStyle name="输出 2 6 10 5 3" xfId="38641"/>
    <cellStyle name="输出 2 3 18 5 2" xfId="38642"/>
    <cellStyle name="输出 2 11 8 14" xfId="38643"/>
    <cellStyle name="输出 2 6 10 5 5" xfId="38644"/>
    <cellStyle name="注释 2 13 11 2" xfId="38645"/>
    <cellStyle name="注释 2 8 3 7 4 2" xfId="38646"/>
    <cellStyle name="输出 2 11 8 16" xfId="38647"/>
    <cellStyle name="输出 2 8 3 4 2" xfId="38648"/>
    <cellStyle name="输出 2 2 4 3 2" xfId="38649"/>
    <cellStyle name="输出 2 11 8 2 5 2" xfId="38650"/>
    <cellStyle name="输出 2 2 4 4" xfId="38651"/>
    <cellStyle name="输出 2 11 8 2 6" xfId="38652"/>
    <cellStyle name="输出 2 2 4 5" xfId="38653"/>
    <cellStyle name="输出 2 11 8 2 7" xfId="38654"/>
    <cellStyle name="输出 2 2 4 7" xfId="38655"/>
    <cellStyle name="输出 2 11 8 2 9" xfId="38656"/>
    <cellStyle name="输出 2 11 8 3" xfId="38657"/>
    <cellStyle name="输出 2 2 5 2 2" xfId="38658"/>
    <cellStyle name="输出 2 11 8 3 4 2" xfId="38659"/>
    <cellStyle name="输出 2 2 5 3 2" xfId="38660"/>
    <cellStyle name="输出 2 11 8 3 5 2" xfId="38661"/>
    <cellStyle name="输出 2 2 5 4" xfId="38662"/>
    <cellStyle name="输出 2 11 8 3 6" xfId="38663"/>
    <cellStyle name="输出 2 11 8 4" xfId="38664"/>
    <cellStyle name="输入 2 4 11 12 2" xfId="38665"/>
    <cellStyle name="输出 2 11 8 4 3 2" xfId="38666"/>
    <cellStyle name="输出 2 2 6 2" xfId="38667"/>
    <cellStyle name="输出 2 11 8 4 4" xfId="38668"/>
    <cellStyle name="输出 2 2 6 2 2" xfId="38669"/>
    <cellStyle name="输出 2 11 8 4 4 2" xfId="38670"/>
    <cellStyle name="输出 2 11 8 5" xfId="38671"/>
    <cellStyle name="输出 2 11 8 5 3 2" xfId="38672"/>
    <cellStyle name="输出 2 2 7 2 2" xfId="38673"/>
    <cellStyle name="输出 2 11 8 5 4 2" xfId="38674"/>
    <cellStyle name="输出 2 11 8 6" xfId="38675"/>
    <cellStyle name="输出 2 11 8 6 2 2" xfId="38676"/>
    <cellStyle name="输出 2 11 8 6 3" xfId="38677"/>
    <cellStyle name="输出 2 11 8 6 3 2" xfId="38678"/>
    <cellStyle name="输出 2 2 8 2 2" xfId="38679"/>
    <cellStyle name="输出 2 11 8 6 4 2" xfId="38680"/>
    <cellStyle name="输出 2 11 8 7" xfId="38681"/>
    <cellStyle name="输出 2 11 8 7 2" xfId="38682"/>
    <cellStyle name="输入 2 6 11 6 6" xfId="38683"/>
    <cellStyle name="输出 2 11 8 7 2 2" xfId="38684"/>
    <cellStyle name="输出 2 11 8 7 3" xfId="38685"/>
    <cellStyle name="输出 2 11 8 7 3 2" xfId="38686"/>
    <cellStyle name="输出 2 2 9 2 2" xfId="38687"/>
    <cellStyle name="输出 2 11 8 7 4 2" xfId="38688"/>
    <cellStyle name="输出 2 11 8 8 2" xfId="38689"/>
    <cellStyle name="输入 2 6 11 7 6" xfId="38690"/>
    <cellStyle name="输出 2 11 8 8 2 2" xfId="38691"/>
    <cellStyle name="输出 2 11 8 8 3" xfId="38692"/>
    <cellStyle name="输出 2 11 8 8 3 2" xfId="38693"/>
    <cellStyle name="输出 2 11 8 8 4 2" xfId="38694"/>
    <cellStyle name="输出 2 11 8 9 2" xfId="38695"/>
    <cellStyle name="输出 2 11 9 10" xfId="38696"/>
    <cellStyle name="注释 2 2 5 5 3" xfId="38697"/>
    <cellStyle name="注释 2 5 9 2 5 2" xfId="38698"/>
    <cellStyle name="输出 2 11 9 10 2" xfId="38699"/>
    <cellStyle name="注释 2 2 5 5 3 2" xfId="38700"/>
    <cellStyle name="输出 2 11 9 11" xfId="38701"/>
    <cellStyle name="注释 2 12 3 7 5 2" xfId="38702"/>
    <cellStyle name="注释 2 2 5 5 4" xfId="38703"/>
    <cellStyle name="输出 2 11 9 12" xfId="38704"/>
    <cellStyle name="输出 2 9 2 10 2" xfId="38705"/>
    <cellStyle name="注释 2 2 5 5 5" xfId="38706"/>
    <cellStyle name="输出 2 11 9 12 2" xfId="38707"/>
    <cellStyle name="注释 2 2 5 5 5 2" xfId="38708"/>
    <cellStyle name="输出 2 11 9 13" xfId="38709"/>
    <cellStyle name="注释 2 2 5 5 6" xfId="38710"/>
    <cellStyle name="输出 2 11 9 14" xfId="38711"/>
    <cellStyle name="输出 2 11 9 15" xfId="38712"/>
    <cellStyle name="输出 2 11 9 16" xfId="38713"/>
    <cellStyle name="输出 2 8 3 9 2" xfId="38714"/>
    <cellStyle name="输出 2 5 11 4 5" xfId="38715"/>
    <cellStyle name="输出 2 3 4 3 2" xfId="38716"/>
    <cellStyle name="输出 2 11 9 2 5 2" xfId="38717"/>
    <cellStyle name="输出 2 3 4 4" xfId="38718"/>
    <cellStyle name="输出 2 11 9 2 6" xfId="38719"/>
    <cellStyle name="输出 2 3 4 5" xfId="38720"/>
    <cellStyle name="输出 2 11 9 2 7" xfId="38721"/>
    <cellStyle name="输出 2 3 4 7" xfId="38722"/>
    <cellStyle name="输出 2 11 9 2 9" xfId="38723"/>
    <cellStyle name="输出 2 11 9 3" xfId="38724"/>
    <cellStyle name="输出 2 3 5 2 2" xfId="38725"/>
    <cellStyle name="输出 2 11 9 3 4 2" xfId="38726"/>
    <cellStyle name="注释 2 2 11 3" xfId="38727"/>
    <cellStyle name="输出 2 3 5 3 2" xfId="38728"/>
    <cellStyle name="输出 2 11 9 3 5 2" xfId="38729"/>
    <cellStyle name="注释 2 2 12 3" xfId="38730"/>
    <cellStyle name="输出 2 3 5 4" xfId="38731"/>
    <cellStyle name="输出 2 11 9 3 6" xfId="38732"/>
    <cellStyle name="输出 2 11 9 4" xfId="38733"/>
    <cellStyle name="输出 2 11 9 4 3 2" xfId="38734"/>
    <cellStyle name="输出 2 3 6 2" xfId="38735"/>
    <cellStyle name="输出 2 11 9 4 4" xfId="38736"/>
    <cellStyle name="输出 2 3 6 2 2" xfId="38737"/>
    <cellStyle name="输出 2 11 9 4 4 2" xfId="38738"/>
    <cellStyle name="输出 2 11 9 5 3 2" xfId="38739"/>
    <cellStyle name="输出 2 3 7 2" xfId="38740"/>
    <cellStyle name="输出 2 11 9 5 4" xfId="38741"/>
    <cellStyle name="输入 2 10 6 2 2 2" xfId="38742"/>
    <cellStyle name="输出 2 3 7 2 2" xfId="38743"/>
    <cellStyle name="输出 2 11 9 5 4 2" xfId="38744"/>
    <cellStyle name="输出 2 11 9 6 2 2" xfId="38745"/>
    <cellStyle name="输出 2 11 9 6 3" xfId="38746"/>
    <cellStyle name="输出 2 11 9 6 3 2" xfId="38747"/>
    <cellStyle name="输出 2 3 8 2" xfId="38748"/>
    <cellStyle name="输出 2 11 9 6 4" xfId="38749"/>
    <cellStyle name="输入 2 10 6 2 3 2" xfId="38750"/>
    <cellStyle name="输出 2 3 8 2 2" xfId="38751"/>
    <cellStyle name="输出 2 11 9 6 4 2" xfId="38752"/>
    <cellStyle name="输出 2 11 9 7 2 2" xfId="38753"/>
    <cellStyle name="输出 2 11 9 7 3" xfId="38754"/>
    <cellStyle name="输出 2 11 9 7 3 2" xfId="38755"/>
    <cellStyle name="输出 2 3 9 2" xfId="38756"/>
    <cellStyle name="输出 2 11 9 7 4" xfId="38757"/>
    <cellStyle name="输入 2 10 6 2 4 2" xfId="38758"/>
    <cellStyle name="输出 2 3 9 2 2" xfId="38759"/>
    <cellStyle name="输出 2 11 9 7 4 2" xfId="38760"/>
    <cellStyle name="输出 2 11 9 8 2" xfId="38761"/>
    <cellStyle name="输出 2 11 9 8 2 2" xfId="38762"/>
    <cellStyle name="输出 2 11 9 8 3" xfId="38763"/>
    <cellStyle name="输出 2 11 9 8 3 2" xfId="38764"/>
    <cellStyle name="注释 2 3 10 3" xfId="38765"/>
    <cellStyle name="输出 2 11 9 8 4" xfId="38766"/>
    <cellStyle name="输入 2 10 6 2 5 2" xfId="38767"/>
    <cellStyle name="输出 2 11 9 8 4 2" xfId="38768"/>
    <cellStyle name="注释 2 3 11 3" xfId="38769"/>
    <cellStyle name="输出 2 11 9 9 2" xfId="38770"/>
    <cellStyle name="输出 2 7 11 8 4 2" xfId="38771"/>
    <cellStyle name="输出 2 12" xfId="38772"/>
    <cellStyle name="输出 2 12 10 2" xfId="38773"/>
    <cellStyle name="输出 2 12 10 2 2" xfId="38774"/>
    <cellStyle name="输出 2 12 2 4 2" xfId="38775"/>
    <cellStyle name="输出 2 12 10 3" xfId="38776"/>
    <cellStyle name="输出 2 12 2 4 2 2" xfId="38777"/>
    <cellStyle name="输出 2 12 10 3 2" xfId="38778"/>
    <cellStyle name="输出 2 12 8 2 5 2" xfId="38779"/>
    <cellStyle name="输出 2 12 2 4 3" xfId="38780"/>
    <cellStyle name="输出 2 12 10 4" xfId="38781"/>
    <cellStyle name="输出 2 12 2 4 3 2" xfId="38782"/>
    <cellStyle name="输出 2 12 10 4 2" xfId="38783"/>
    <cellStyle name="输出 2 12 2 4 4" xfId="38784"/>
    <cellStyle name="输出 2 12 10 5" xfId="38785"/>
    <cellStyle name="输出 2 12 2 4 4 2" xfId="38786"/>
    <cellStyle name="输出 2 12 10 5 2" xfId="38787"/>
    <cellStyle name="输出 2 12 2 4 6" xfId="38788"/>
    <cellStyle name="输出 2 12 10 7" xfId="38789"/>
    <cellStyle name="输出 2 12 24" xfId="38790"/>
    <cellStyle name="输出 2 12 19" xfId="38791"/>
    <cellStyle name="输出 2 12 19 2" xfId="38792"/>
    <cellStyle name="输入 2 7 4 8 5" xfId="38793"/>
    <cellStyle name="输出 2 12 2 14" xfId="38794"/>
    <cellStyle name="输出 2 4 4 3 2 2" xfId="38795"/>
    <cellStyle name="输出 2 12 2 15" xfId="38796"/>
    <cellStyle name="输出 2 12 2 3" xfId="38797"/>
    <cellStyle name="输出 2 12 2 3 2" xfId="38798"/>
    <cellStyle name="输出 2 12 2 3 4" xfId="38799"/>
    <cellStyle name="输出 2 12 2 3 5" xfId="38800"/>
    <cellStyle name="输出 2 12 2 3 5 2" xfId="38801"/>
    <cellStyle name="输出 2 12 2 3 6" xfId="38802"/>
    <cellStyle name="输出 2 12 2 4" xfId="38803"/>
    <cellStyle name="输出 2 12 2 5" xfId="38804"/>
    <cellStyle name="输出 2 12 2 6 5 2" xfId="38805"/>
    <cellStyle name="输出 2 12 2 7" xfId="38806"/>
    <cellStyle name="输出 2 12 2 8" xfId="38807"/>
    <cellStyle name="输出 2 12 2 9" xfId="38808"/>
    <cellStyle name="输出 2 12 25" xfId="38809"/>
    <cellStyle name="输出 2 4 3 8 3" xfId="38810"/>
    <cellStyle name="输出 2 12 3 2 2" xfId="38811"/>
    <cellStyle name="输出 2 4 3 8 5" xfId="38812"/>
    <cellStyle name="输出 2 12 3 2 4" xfId="38813"/>
    <cellStyle name="输出 2 12 3 2 5" xfId="38814"/>
    <cellStyle name="输出 2 12 3 2 6" xfId="38815"/>
    <cellStyle name="输出 2 12 3 2 8" xfId="38816"/>
    <cellStyle name="输出 2 12 3 2 9" xfId="38817"/>
    <cellStyle name="注释 2 7 10 4 2 2" xfId="38818"/>
    <cellStyle name="输出 2 12 3 3" xfId="38819"/>
    <cellStyle name="输出 2 12 3 3 2" xfId="38820"/>
    <cellStyle name="输出 2 12 8 3 4 2" xfId="38821"/>
    <cellStyle name="输出 2 12 3 3 3" xfId="38822"/>
    <cellStyle name="输出 2 12 3 3 4" xfId="38823"/>
    <cellStyle name="输出 2 12 3 3 5" xfId="38824"/>
    <cellStyle name="输出 2 12 3 3 6" xfId="38825"/>
    <cellStyle name="输出 2 12 4 2" xfId="38826"/>
    <cellStyle name="输出 2 4 4 8 3" xfId="38827"/>
    <cellStyle name="输出 2 12 4 2 2" xfId="38828"/>
    <cellStyle name="输出 2 4 4 8 3 2" xfId="38829"/>
    <cellStyle name="输出 2 12 4 2 2 2" xfId="38830"/>
    <cellStyle name="输出 2 4 4 8 4" xfId="38831"/>
    <cellStyle name="输出 2 12 4 2 3" xfId="38832"/>
    <cellStyle name="输出 2 12 8 4 3 2" xfId="38833"/>
    <cellStyle name="输出 2 4 4 8 4 2" xfId="38834"/>
    <cellStyle name="输出 2 12 4 2 3 2" xfId="38835"/>
    <cellStyle name="输出 2 4 4 8 5" xfId="38836"/>
    <cellStyle name="输出 2 12 4 2 4" xfId="38837"/>
    <cellStyle name="注释 2 16 2 5 2" xfId="38838"/>
    <cellStyle name="输出 2 12 4 2 4 2" xfId="38839"/>
    <cellStyle name="输出 2 12 4 2 5" xfId="38840"/>
    <cellStyle name="输出 2 12 4 2 5 2" xfId="38841"/>
    <cellStyle name="输出 2 12 4 2 6" xfId="38842"/>
    <cellStyle name="输出 2 12 4 3" xfId="38843"/>
    <cellStyle name="输出 2 12 4 3 5 2" xfId="38844"/>
    <cellStyle name="输出 2 12 5" xfId="38845"/>
    <cellStyle name="输出 2 12 5 2" xfId="38846"/>
    <cellStyle name="输出 2 4 5 8 3" xfId="38847"/>
    <cellStyle name="输出 2 12 5 2 2" xfId="38848"/>
    <cellStyle name="注释 2 7 17 4" xfId="38849"/>
    <cellStyle name="输出 2 4 5 8 3 2" xfId="38850"/>
    <cellStyle name="输出 2 12 5 2 2 2" xfId="38851"/>
    <cellStyle name="注释 2 7 17 4 2" xfId="38852"/>
    <cellStyle name="输出 2 4 5 8 4" xfId="38853"/>
    <cellStyle name="输出 2 12 5 2 3" xfId="38854"/>
    <cellStyle name="注释 2 7 17 5" xfId="38855"/>
    <cellStyle name="输出 2 12 8 5 3 2" xfId="38856"/>
    <cellStyle name="输出 2 4 5 8 4 2" xfId="38857"/>
    <cellStyle name="输出 2 12 5 2 3 2" xfId="38858"/>
    <cellStyle name="注释 2 7 17 5 2" xfId="38859"/>
    <cellStyle name="输出 2 4 5 8 5" xfId="38860"/>
    <cellStyle name="输出 2 12 5 2 4" xfId="38861"/>
    <cellStyle name="注释 2 16 3 5 2" xfId="38862"/>
    <cellStyle name="注释 2 7 17 6" xfId="38863"/>
    <cellStyle name="输出 2 3 4 2 4 2" xfId="38864"/>
    <cellStyle name="输入 2 9 9 8 2" xfId="38865"/>
    <cellStyle name="输出 2 12 5 2 5" xfId="38866"/>
    <cellStyle name="输出 2 12 5 2 5 2" xfId="38867"/>
    <cellStyle name="输出 2 12 5 2 6" xfId="38868"/>
    <cellStyle name="输出 2 12 5 2 7" xfId="38869"/>
    <cellStyle name="输出 2 12 5 2 8" xfId="38870"/>
    <cellStyle name="注释 2 7 5 10" xfId="38871"/>
    <cellStyle name="输出 2 12 5 2 9" xfId="38872"/>
    <cellStyle name="注释 2 7 10 6 2 2" xfId="38873"/>
    <cellStyle name="注释 2 7 5 11" xfId="38874"/>
    <cellStyle name="输出 2 12 5 3" xfId="38875"/>
    <cellStyle name="输出 2 12 5 3 2" xfId="38876"/>
    <cellStyle name="注释 2 7 18 4" xfId="38877"/>
    <cellStyle name="输出 2 12 5 3 2 2" xfId="38878"/>
    <cellStyle name="注释 2 7 18 4 2" xfId="38879"/>
    <cellStyle name="输出 2 12 8 5 4 2" xfId="38880"/>
    <cellStyle name="输出 2 12 5 3 3" xfId="38881"/>
    <cellStyle name="注释 2 7 18 5" xfId="38882"/>
    <cellStyle name="输出 2 12 5 3 3 2" xfId="38883"/>
    <cellStyle name="注释 2 7 18 5 2" xfId="38884"/>
    <cellStyle name="输出 2 12 5 3 4" xfId="38885"/>
    <cellStyle name="注释 2 7 18 6" xfId="38886"/>
    <cellStyle name="输出 2 3 4 2 5 2" xfId="38887"/>
    <cellStyle name="输入 2 9 9 9 2" xfId="38888"/>
    <cellStyle name="输出 2 12 5 3 5" xfId="38889"/>
    <cellStyle name="输出 2 12 5 3 5 2" xfId="38890"/>
    <cellStyle name="输出 2 12 5 3 6" xfId="38891"/>
    <cellStyle name="输出 2 12 8 5 5 2" xfId="38892"/>
    <cellStyle name="输出 2 12 5 4 3" xfId="38893"/>
    <cellStyle name="注释 2 7 19 5" xfId="38894"/>
    <cellStyle name="输出 2 12 5 4 4" xfId="38895"/>
    <cellStyle name="输出 2 12 5 4 5" xfId="38896"/>
    <cellStyle name="输入 2 8 8 2 2 2" xfId="38897"/>
    <cellStyle name="输出 2 12 5 4 5 2" xfId="38898"/>
    <cellStyle name="输出 2 12 5 4 6" xfId="38899"/>
    <cellStyle name="输出 2 12 5 5 2 2" xfId="38900"/>
    <cellStyle name="输出 2 12 5 5 3" xfId="38901"/>
    <cellStyle name="输出 2 12 5 5 3 2" xfId="38902"/>
    <cellStyle name="输出 2 12 5 5 4" xfId="38903"/>
    <cellStyle name="输出 2 12 5 5 4 2" xfId="38904"/>
    <cellStyle name="输出 2 12 5 5 5" xfId="38905"/>
    <cellStyle name="输入 2 8 8 2 3 2" xfId="38906"/>
    <cellStyle name="输出 2 12 5 5 5 2" xfId="38907"/>
    <cellStyle name="输出 2 12 5 5 6" xfId="38908"/>
    <cellStyle name="输出 2 12 5 6 3" xfId="38909"/>
    <cellStyle name="输出 2 12 5 6 5" xfId="38910"/>
    <cellStyle name="输入 2 8 8 2 4 2" xfId="38911"/>
    <cellStyle name="输出 2 12 5 6 5 2" xfId="38912"/>
    <cellStyle name="输出 2 12 5 6 6" xfId="38913"/>
    <cellStyle name="输出 2 12 5 7 3" xfId="38914"/>
    <cellStyle name="输入 2 7 7 2 7" xfId="38915"/>
    <cellStyle name="输出 2 12 5 7 5" xfId="38916"/>
    <cellStyle name="输入 2 7 7 2 9" xfId="38917"/>
    <cellStyle name="输入 2 8 8 2 5 2" xfId="38918"/>
    <cellStyle name="输出 2 12 5 7 6" xfId="38919"/>
    <cellStyle name="输出 2 12 5 8 2" xfId="38920"/>
    <cellStyle name="输入 2 7 7 3 6" xfId="38921"/>
    <cellStyle name="输出 2 12 5 8 3" xfId="38922"/>
    <cellStyle name="输出 2 12 5 9 2" xfId="38923"/>
    <cellStyle name="输入 2 7 7 4 6" xfId="38924"/>
    <cellStyle name="输出 2 12 6" xfId="38925"/>
    <cellStyle name="输出 2 6 5 8 3 2" xfId="38926"/>
    <cellStyle name="输出 2 12 6 10 2" xfId="38927"/>
    <cellStyle name="输出 2 6 5 8 4 2" xfId="38928"/>
    <cellStyle name="输出 2 12 6 11 2" xfId="38929"/>
    <cellStyle name="输出 2 12 6 2" xfId="38930"/>
    <cellStyle name="输出 2 2 11 14" xfId="38931"/>
    <cellStyle name="输出 2 12 6 2 6" xfId="38932"/>
    <cellStyle name="输出 2 2 11 15" xfId="38933"/>
    <cellStyle name="输出 2 12 6 2 7" xfId="38934"/>
    <cellStyle name="输出 2 2 11 16" xfId="38935"/>
    <cellStyle name="输出 2 12 6 2 8" xfId="38936"/>
    <cellStyle name="输出 2 12 6 2 9" xfId="38937"/>
    <cellStyle name="注释 2 7 10 7 2 2" xfId="38938"/>
    <cellStyle name="输出 2 12 6 3" xfId="38939"/>
    <cellStyle name="输出 2 2 4 7 4" xfId="38940"/>
    <cellStyle name="输出 2 12 6 4 2 2" xfId="38941"/>
    <cellStyle name="输出 2 12 8 6 5 2" xfId="38942"/>
    <cellStyle name="输出 2 12 6 4 3" xfId="38943"/>
    <cellStyle name="输出 2 12 6 4 4" xfId="38944"/>
    <cellStyle name="输出 2 12 6 4 5" xfId="38945"/>
    <cellStyle name="输入 2 8 8 3 2 2" xfId="38946"/>
    <cellStyle name="输出 2 12 6 4 6" xfId="38947"/>
    <cellStyle name="输出 2 2 5 7 4" xfId="38948"/>
    <cellStyle name="输出 2 12 6 5 2 2" xfId="38949"/>
    <cellStyle name="输出 2 12 6 5 3" xfId="38950"/>
    <cellStyle name="输出 2 12 6 5 4" xfId="38951"/>
    <cellStyle name="输出 2 12 6 5 5" xfId="38952"/>
    <cellStyle name="输入 2 8 8 3 3 2" xfId="38953"/>
    <cellStyle name="输出 2 12 6 5 6" xfId="38954"/>
    <cellStyle name="输出 2 12 6 6 3" xfId="38955"/>
    <cellStyle name="输出 2 12 6 6 5" xfId="38956"/>
    <cellStyle name="输入 2 8 8 3 4 2" xfId="38957"/>
    <cellStyle name="输出 2 12 6 6 6" xfId="38958"/>
    <cellStyle name="输出 2 12 6 7 3" xfId="38959"/>
    <cellStyle name="输入 2 7 8 2 7" xfId="38960"/>
    <cellStyle name="输出 2 12 6 7 5" xfId="38961"/>
    <cellStyle name="输入 2 7 8 2 9" xfId="38962"/>
    <cellStyle name="输入 2 8 8 3 5 2" xfId="38963"/>
    <cellStyle name="输出 2 12 6 7 6" xfId="38964"/>
    <cellStyle name="输出 2 12 6 8 2" xfId="38965"/>
    <cellStyle name="输入 2 7 8 3 6" xfId="38966"/>
    <cellStyle name="输出 2 12 6 9" xfId="38967"/>
    <cellStyle name="输出 2 12 6 9 2" xfId="38968"/>
    <cellStyle name="输入 2 7 8 4 6" xfId="38969"/>
    <cellStyle name="输出 2 12 7" xfId="38970"/>
    <cellStyle name="输出 2 12 7 14" xfId="38971"/>
    <cellStyle name="输出 2 4 4 4 2 2" xfId="38972"/>
    <cellStyle name="输出 2 12 7 15" xfId="38973"/>
    <cellStyle name="输出 2 12 7 2" xfId="38974"/>
    <cellStyle name="输出 2 12 7 2 6" xfId="38975"/>
    <cellStyle name="输出 2 12 7 2 7" xfId="38976"/>
    <cellStyle name="输出 2 12 7 3" xfId="38977"/>
    <cellStyle name="输出 2 3 4 4 5 2" xfId="38978"/>
    <cellStyle name="输出 2 12 7 3 5" xfId="38979"/>
    <cellStyle name="输出 2 12 7 3 6" xfId="38980"/>
    <cellStyle name="输出 2 3 4 7 4" xfId="38981"/>
    <cellStyle name="输出 2 12 7 4 2 2" xfId="38982"/>
    <cellStyle name="输出 2 12 8 7 5 2" xfId="38983"/>
    <cellStyle name="输出 2 12 7 4 3" xfId="38984"/>
    <cellStyle name="输出 2 12 7 4 4" xfId="38985"/>
    <cellStyle name="输出 2 12 7 4 5" xfId="38986"/>
    <cellStyle name="输入 2 8 8 4 2 2" xfId="38987"/>
    <cellStyle name="输出 2 12 7 4 6" xfId="38988"/>
    <cellStyle name="输出 2 3 5 7 4" xfId="38989"/>
    <cellStyle name="注释 2 2 16 5" xfId="38990"/>
    <cellStyle name="输出 2 12 7 5 2 2" xfId="38991"/>
    <cellStyle name="输出 2 12 7 5 3" xfId="38992"/>
    <cellStyle name="输出 2 12 7 5 4" xfId="38993"/>
    <cellStyle name="输出 2 12 7 5 5" xfId="38994"/>
    <cellStyle name="输入 2 8 8 4 3 2" xfId="38995"/>
    <cellStyle name="输出 2 12 7 5 6" xfId="38996"/>
    <cellStyle name="输出 2 12 7 6 3" xfId="38997"/>
    <cellStyle name="输出 2 12 7 6 5" xfId="38998"/>
    <cellStyle name="输入 2 8 8 4 4 2" xfId="38999"/>
    <cellStyle name="输出 2 12 7 7 3" xfId="39000"/>
    <cellStyle name="输入 2 7 9 2 7" xfId="39001"/>
    <cellStyle name="输出 2 12 7 7 5" xfId="39002"/>
    <cellStyle name="输入 2 7 9 2 9" xfId="39003"/>
    <cellStyle name="输入 2 8 8 4 5 2" xfId="39004"/>
    <cellStyle name="输出 2 12 7 7 6" xfId="39005"/>
    <cellStyle name="输出 2 12 7 8 2" xfId="39006"/>
    <cellStyle name="输入 2 7 9 3 6" xfId="39007"/>
    <cellStyle name="输出 2 12 7 8 3" xfId="39008"/>
    <cellStyle name="输出 2 12 7 9" xfId="39009"/>
    <cellStyle name="输出 2 12 7 9 2" xfId="39010"/>
    <cellStyle name="输入 2 7 9 4 6" xfId="39011"/>
    <cellStyle name="输出 2 12 8 10" xfId="39012"/>
    <cellStyle name="输出 2 12 8 12" xfId="39013"/>
    <cellStyle name="输出 2 12 8 2 6" xfId="39014"/>
    <cellStyle name="输出 2 12 8 2 7" xfId="39015"/>
    <cellStyle name="输出 2 12 8 3" xfId="39016"/>
    <cellStyle name="输出 2 3 4 5 5 2" xfId="39017"/>
    <cellStyle name="输出 2 12 8 3 5" xfId="39018"/>
    <cellStyle name="输出 2 12 8 3 6" xfId="39019"/>
    <cellStyle name="输出 2 4 4 7 4" xfId="39020"/>
    <cellStyle name="输出 2 12 8 4 2 2" xfId="39021"/>
    <cellStyle name="输出 2 12 8 4 3" xfId="39022"/>
    <cellStyle name="输出 2 12 8 4 4" xfId="39023"/>
    <cellStyle name="输出 2 12 8 4 5" xfId="39024"/>
    <cellStyle name="输入 2 8 8 5 2 2" xfId="39025"/>
    <cellStyle name="输出 2 12 8 4 6" xfId="39026"/>
    <cellStyle name="输出 2 4 5 7 4" xfId="39027"/>
    <cellStyle name="注释 2 7 16 5" xfId="39028"/>
    <cellStyle name="输出 2 12 8 5 2 2" xfId="39029"/>
    <cellStyle name="输出 2 12 8 5 3" xfId="39030"/>
    <cellStyle name="输出 2 12 8 5 4" xfId="39031"/>
    <cellStyle name="输出 2 12 8 5 5" xfId="39032"/>
    <cellStyle name="输入 2 8 8 5 3 2" xfId="39033"/>
    <cellStyle name="输出 2 12 8 5 6" xfId="39034"/>
    <cellStyle name="输出 2 12 8 6 3" xfId="39035"/>
    <cellStyle name="输出 2 12 8 6 5" xfId="39036"/>
    <cellStyle name="输入 2 8 8 5 4 2" xfId="39037"/>
    <cellStyle name="输出 2 12 8 6 6" xfId="39038"/>
    <cellStyle name="输出 2 12 8 7 3" xfId="39039"/>
    <cellStyle name="输出 2 12 8 7 5" xfId="39040"/>
    <cellStyle name="输入 2 8 8 5 5 2" xfId="39041"/>
    <cellStyle name="输出 2 12 8 7 6" xfId="39042"/>
    <cellStyle name="输出 2 12 8 9" xfId="39043"/>
    <cellStyle name="输出 2 12 8 9 2" xfId="39044"/>
    <cellStyle name="输出 2 12 9 2 5 2" xfId="39045"/>
    <cellStyle name="输出 2 12 9 2 6" xfId="39046"/>
    <cellStyle name="输出 2 12 9 3" xfId="39047"/>
    <cellStyle name="输出 2 5 12 2" xfId="39048"/>
    <cellStyle name="输出 2 12 9 3 5 2" xfId="39049"/>
    <cellStyle name="输出 2 12 9 4 3" xfId="39050"/>
    <cellStyle name="输出 2 5 4 8 4" xfId="39051"/>
    <cellStyle name="输出 2 12 9 4 3 2" xfId="39052"/>
    <cellStyle name="输出 2 12 9 4 4" xfId="39053"/>
    <cellStyle name="输出 2 12 9 4 4 2" xfId="39054"/>
    <cellStyle name="输出 2 12 9 4 5" xfId="39055"/>
    <cellStyle name="输入 2 8 8 6 2 2" xfId="39056"/>
    <cellStyle name="输出 2 12 9 4 5 2" xfId="39057"/>
    <cellStyle name="输出 2 5 5 7 4" xfId="39058"/>
    <cellStyle name="输出 2 12 9 5 2 2" xfId="39059"/>
    <cellStyle name="输出 2 12 9 5 3" xfId="39060"/>
    <cellStyle name="输出 2 5 5 8 4" xfId="39061"/>
    <cellStyle name="输出 2 12 9 5 3 2" xfId="39062"/>
    <cellStyle name="输出 2 12 9 5 4" xfId="39063"/>
    <cellStyle name="输入 2 10 7 2 2 2" xfId="39064"/>
    <cellStyle name="输出 2 12 9 5 4 2" xfId="39065"/>
    <cellStyle name="输出 2 12 9 5 5" xfId="39066"/>
    <cellStyle name="输入 2 8 8 6 3 2" xfId="39067"/>
    <cellStyle name="输出 2 12 9 5 5 2" xfId="39068"/>
    <cellStyle name="输出 2 12 9 6 3" xfId="39069"/>
    <cellStyle name="输出 2 12 9 6 4" xfId="39070"/>
    <cellStyle name="输入 2 10 7 2 3 2" xfId="39071"/>
    <cellStyle name="输出 2 12 9 6 5" xfId="39072"/>
    <cellStyle name="输入 2 8 8 6 4 2" xfId="39073"/>
    <cellStyle name="输出 2 12 9 6 5 2" xfId="39074"/>
    <cellStyle name="输出 2 12 9 7 3" xfId="39075"/>
    <cellStyle name="输出 2 12 9 7 4" xfId="39076"/>
    <cellStyle name="输入 2 10 7 2 4 2" xfId="39077"/>
    <cellStyle name="输出 2 12 9 7 5" xfId="39078"/>
    <cellStyle name="输入 2 8 8 6 5 2" xfId="39079"/>
    <cellStyle name="输出 2 12 9 7 5 2" xfId="39080"/>
    <cellStyle name="输出 2 12 9 9" xfId="39081"/>
    <cellStyle name="输出 2 12 9 9 2" xfId="39082"/>
    <cellStyle name="输出 2 13" xfId="39083"/>
    <cellStyle name="输出 2 13 11" xfId="39084"/>
    <cellStyle name="输入 2 2 7 4 6" xfId="39085"/>
    <cellStyle name="输出 2 13 11 2" xfId="39086"/>
    <cellStyle name="输出 2 13 16" xfId="39087"/>
    <cellStyle name="注释 2 3 10 8 4 2" xfId="39088"/>
    <cellStyle name="输出 2 13 2" xfId="39089"/>
    <cellStyle name="输入 2 2 7 11" xfId="39090"/>
    <cellStyle name="输出 2 13 2 2" xfId="39091"/>
    <cellStyle name="输入 2 2 7 11 2" xfId="39092"/>
    <cellStyle name="输出 2 5 2 8 3" xfId="39093"/>
    <cellStyle name="输出 2 13 2 2 2" xfId="39094"/>
    <cellStyle name="输出 2 13 2 3" xfId="39095"/>
    <cellStyle name="输出 2 13 2 3 2" xfId="39096"/>
    <cellStyle name="输出 2 13 2 4" xfId="39097"/>
    <cellStyle name="输出 2 13 2 4 2" xfId="39098"/>
    <cellStyle name="输出 2 13 2 5" xfId="39099"/>
    <cellStyle name="输出 2 13 2 7" xfId="39100"/>
    <cellStyle name="输出 2 13 2 8" xfId="39101"/>
    <cellStyle name="输出 2 13 2 9" xfId="39102"/>
    <cellStyle name="输出 2 13 3 3" xfId="39103"/>
    <cellStyle name="输出 2 9 11 16" xfId="39104"/>
    <cellStyle name="输出 2 13 3 3 2" xfId="39105"/>
    <cellStyle name="输出 2 13 3 4" xfId="39106"/>
    <cellStyle name="输出 2 13 3 4 2" xfId="39107"/>
    <cellStyle name="输出 2 13 3 5" xfId="39108"/>
    <cellStyle name="输出 2 13 3 5 2" xfId="39109"/>
    <cellStyle name="输出 2 13 4" xfId="39110"/>
    <cellStyle name="输入 2 2 7 13" xfId="39111"/>
    <cellStyle name="输出 2 13 4 2" xfId="39112"/>
    <cellStyle name="输出 2 5 4 8 3" xfId="39113"/>
    <cellStyle name="输出 2 13 4 2 2" xfId="39114"/>
    <cellStyle name="输出 2 13 4 3" xfId="39115"/>
    <cellStyle name="注释 2 6 6 2 2 2" xfId="39116"/>
    <cellStyle name="输出 2 13 4 3 2" xfId="39117"/>
    <cellStyle name="输出 2 13 4 4" xfId="39118"/>
    <cellStyle name="输出 2 13 4 4 2" xfId="39119"/>
    <cellStyle name="输出 2 13 4 5" xfId="39120"/>
    <cellStyle name="输出 2 13 4 5 2" xfId="39121"/>
    <cellStyle name="输出 2 13 4 6" xfId="39122"/>
    <cellStyle name="输出 2 13 5" xfId="39123"/>
    <cellStyle name="输入 2 2 7 14" xfId="39124"/>
    <cellStyle name="输出 2 13 5 2" xfId="39125"/>
    <cellStyle name="输出 2 13 5 3" xfId="39126"/>
    <cellStyle name="注释 2 6 6 2 3 2" xfId="39127"/>
    <cellStyle name="输出 2 13 5 4" xfId="39128"/>
    <cellStyle name="输出 2 13 5 4 2" xfId="39129"/>
    <cellStyle name="输出 2 13 5 5" xfId="39130"/>
    <cellStyle name="输出 2 13 5 5 2" xfId="39131"/>
    <cellStyle name="输出 2 13 5 6" xfId="39132"/>
    <cellStyle name="输出 2 13 6 2" xfId="39133"/>
    <cellStyle name="输出 2 13 6 3" xfId="39134"/>
    <cellStyle name="注释 2 6 6 2 4 2" xfId="39135"/>
    <cellStyle name="输出 2 13 6 4" xfId="39136"/>
    <cellStyle name="输出 2 13 6 4 2" xfId="39137"/>
    <cellStyle name="输出 2 13 6 5" xfId="39138"/>
    <cellStyle name="输出 2 13 6 5 2" xfId="39139"/>
    <cellStyle name="输出 2 13 6 6" xfId="39140"/>
    <cellStyle name="输出 2 13 7" xfId="39141"/>
    <cellStyle name="输入 2 2 7 16" xfId="39142"/>
    <cellStyle name="输出 2 13 7 2" xfId="39143"/>
    <cellStyle name="输出 2 13 7 3" xfId="39144"/>
    <cellStyle name="注释 2 6 6 2 5 2" xfId="39145"/>
    <cellStyle name="输出 2 13 7 4" xfId="39146"/>
    <cellStyle name="输出 2 13 7 4 2" xfId="39147"/>
    <cellStyle name="输出 2 13 7 5" xfId="39148"/>
    <cellStyle name="输出 2 13 7 5 2" xfId="39149"/>
    <cellStyle name="输出 2 13 7 6" xfId="39150"/>
    <cellStyle name="输出 2 13 8 3" xfId="39151"/>
    <cellStyle name="输出 2 13 8 4" xfId="39152"/>
    <cellStyle name="输出 2 13 8 4 2" xfId="39153"/>
    <cellStyle name="输出 2 13 8 5" xfId="39154"/>
    <cellStyle name="输出 2 14 11 2" xfId="39155"/>
    <cellStyle name="输出 2 14 12 2" xfId="39156"/>
    <cellStyle name="输出 2 14 13" xfId="39157"/>
    <cellStyle name="输出 2 14 14" xfId="39158"/>
    <cellStyle name="注释 2 3 8 6 2 2" xfId="39159"/>
    <cellStyle name="输出 2 14 2 2" xfId="39160"/>
    <cellStyle name="输出 2 6 2 8 3" xfId="39161"/>
    <cellStyle name="输出 2 14 2 2 2" xfId="39162"/>
    <cellStyle name="输出 2 14 2 3" xfId="39163"/>
    <cellStyle name="输出 2 14 2 3 2" xfId="39164"/>
    <cellStyle name="输出 2 14 2 4 2" xfId="39165"/>
    <cellStyle name="输出 2 14 2 5" xfId="39166"/>
    <cellStyle name="输出 2 14 2 5 2" xfId="39167"/>
    <cellStyle name="输出 2 14 2 7" xfId="39168"/>
    <cellStyle name="输出 2 15 2 5 2" xfId="39169"/>
    <cellStyle name="输出 2 14 2 8" xfId="39170"/>
    <cellStyle name="输出 2 14 2 9" xfId="39171"/>
    <cellStyle name="输出 2 14 3 2" xfId="39172"/>
    <cellStyle name="输出 2 6 3 8 3" xfId="39173"/>
    <cellStyle name="输出 2 14 3 2 2" xfId="39174"/>
    <cellStyle name="输出 2 14 3 3" xfId="39175"/>
    <cellStyle name="输出 2 14 3 3 2" xfId="39176"/>
    <cellStyle name="输出 2 14 3 5 2" xfId="39177"/>
    <cellStyle name="输出 2 14 3 6" xfId="39178"/>
    <cellStyle name="输出 2 14 4 2" xfId="39179"/>
    <cellStyle name="输出 2 14 4 3" xfId="39180"/>
    <cellStyle name="注释 2 6 6 3 2 2" xfId="39181"/>
    <cellStyle name="输出 2 14 4 4 2" xfId="39182"/>
    <cellStyle name="输出 2 14 4 5" xfId="39183"/>
    <cellStyle name="输出 2 14 4 5 2" xfId="39184"/>
    <cellStyle name="输出 2 14 4 6" xfId="39185"/>
    <cellStyle name="输出 2 14 5" xfId="39186"/>
    <cellStyle name="输出 2 14 5 2" xfId="39187"/>
    <cellStyle name="输出 2 14 5 3" xfId="39188"/>
    <cellStyle name="注释 2 6 6 3 3 2" xfId="39189"/>
    <cellStyle name="输出 2 14 5 4 2" xfId="39190"/>
    <cellStyle name="输出 2 14 5 5" xfId="39191"/>
    <cellStyle name="输出 2 14 5 5 2" xfId="39192"/>
    <cellStyle name="输出 2 14 5 6" xfId="39193"/>
    <cellStyle name="输出 2 14 6 2" xfId="39194"/>
    <cellStyle name="输出 2 14 6 3" xfId="39195"/>
    <cellStyle name="注释 2 6 6 3 4 2" xfId="39196"/>
    <cellStyle name="输出 2 14 6 4" xfId="39197"/>
    <cellStyle name="输出 2 14 6 4 2" xfId="39198"/>
    <cellStyle name="输出 2 14 6 5" xfId="39199"/>
    <cellStyle name="输出 2 14 6 5 2" xfId="39200"/>
    <cellStyle name="输出 2 14 6 6" xfId="39201"/>
    <cellStyle name="输出 2 14 7" xfId="39202"/>
    <cellStyle name="输出 2 14 7 2" xfId="39203"/>
    <cellStyle name="输出 2 14 7 3" xfId="39204"/>
    <cellStyle name="注释 2 6 6 3 5 2" xfId="39205"/>
    <cellStyle name="输出 2 14 7 4" xfId="39206"/>
    <cellStyle name="输出 2 14 7 4 2" xfId="39207"/>
    <cellStyle name="输出 2 14 7 5" xfId="39208"/>
    <cellStyle name="输出 2 14 7 5 2" xfId="39209"/>
    <cellStyle name="输出 2 14 7 6" xfId="39210"/>
    <cellStyle name="输出 2 14 8 3" xfId="39211"/>
    <cellStyle name="输出 2 14 8 4" xfId="39212"/>
    <cellStyle name="输出 2 14 8 4 2" xfId="39213"/>
    <cellStyle name="输出 2 14 8 5" xfId="39214"/>
    <cellStyle name="输出 2 15 10 2" xfId="39215"/>
    <cellStyle name="输出 2 15 11" xfId="39216"/>
    <cellStyle name="输出 2 15 11 2" xfId="39217"/>
    <cellStyle name="输出 2 15 12" xfId="39218"/>
    <cellStyle name="输出 2 15 12 2" xfId="39219"/>
    <cellStyle name="输出 2 20 2" xfId="39220"/>
    <cellStyle name="输出 2 15 2" xfId="39221"/>
    <cellStyle name="输出 2 15 2 2" xfId="39222"/>
    <cellStyle name="输出 2 7 2 8 3" xfId="39223"/>
    <cellStyle name="输出 2 15 2 2 2" xfId="39224"/>
    <cellStyle name="输出 2 15 2 3" xfId="39225"/>
    <cellStyle name="输出 2 15 2 3 2" xfId="39226"/>
    <cellStyle name="输出 2 15 2 5" xfId="39227"/>
    <cellStyle name="输出 2 15 2 6" xfId="39228"/>
    <cellStyle name="输出 2 15 2 7" xfId="39229"/>
    <cellStyle name="输出 2 15 3 5 2" xfId="39230"/>
    <cellStyle name="输出 2 15 2 8" xfId="39231"/>
    <cellStyle name="输入 2 11 18 2" xfId="39232"/>
    <cellStyle name="输入 2 11 23 2" xfId="39233"/>
    <cellStyle name="输出 2 15 2 9" xfId="39234"/>
    <cellStyle name="输入 2 11 18 3" xfId="39235"/>
    <cellStyle name="输出 2 15 3" xfId="39236"/>
    <cellStyle name="输出 2 15 3 2" xfId="39237"/>
    <cellStyle name="输出 2 15 3 2 2" xfId="39238"/>
    <cellStyle name="输出 2 7 3 8 3" xfId="39239"/>
    <cellStyle name="输出 2 15 3 3" xfId="39240"/>
    <cellStyle name="输出 2 15 3 3 2" xfId="39241"/>
    <cellStyle name="输出 2 15 3 5" xfId="39242"/>
    <cellStyle name="输出 2 15 3 6" xfId="39243"/>
    <cellStyle name="输出 2 15 4" xfId="39244"/>
    <cellStyle name="输出 2 15 4 2" xfId="39245"/>
    <cellStyle name="输出 2 15 4 2 2" xfId="39246"/>
    <cellStyle name="输出 2 7 4 8 3" xfId="39247"/>
    <cellStyle name="输出 2 15 4 3" xfId="39248"/>
    <cellStyle name="注释 2 6 6 4 2 2" xfId="39249"/>
    <cellStyle name="输出 2 15 4 3 2" xfId="39250"/>
    <cellStyle name="输出 2 15 4 4 2" xfId="39251"/>
    <cellStyle name="输出 2 15 4 5" xfId="39252"/>
    <cellStyle name="输出 2 16 2 8" xfId="39253"/>
    <cellStyle name="输出 2 15 4 5 2" xfId="39254"/>
    <cellStyle name="输出 2 15 4 6" xfId="39255"/>
    <cellStyle name="输出 2 15 5" xfId="39256"/>
    <cellStyle name="输出 2 15 5 2" xfId="39257"/>
    <cellStyle name="输出 2 15 5 3" xfId="39258"/>
    <cellStyle name="注释 2 6 6 4 3 2" xfId="39259"/>
    <cellStyle name="输出 2 15 5 4" xfId="39260"/>
    <cellStyle name="输出 2 15 5 4 2" xfId="39261"/>
    <cellStyle name="输出 2 15 5 5" xfId="39262"/>
    <cellStyle name="输出 2 15 5 5 2" xfId="39263"/>
    <cellStyle name="输出 2 15 5 6" xfId="39264"/>
    <cellStyle name="输出 2 15 6 2" xfId="39265"/>
    <cellStyle name="输出 2 15 6 3" xfId="39266"/>
    <cellStyle name="注释 2 6 6 4 4 2" xfId="39267"/>
    <cellStyle name="输出 2 15 6 4" xfId="39268"/>
    <cellStyle name="输出 2 15 6 4 2" xfId="39269"/>
    <cellStyle name="输出 2 15 6 5" xfId="39270"/>
    <cellStyle name="输出 2 15 6 5 2" xfId="39271"/>
    <cellStyle name="输出 2 15 6 6" xfId="39272"/>
    <cellStyle name="输出 2 15 7" xfId="39273"/>
    <cellStyle name="输出 2 15 7 2" xfId="39274"/>
    <cellStyle name="输出 2 15 7 3" xfId="39275"/>
    <cellStyle name="注释 2 6 6 4 5 2" xfId="39276"/>
    <cellStyle name="输出 2 15 7 4" xfId="39277"/>
    <cellStyle name="输出 2 15 7 4 2" xfId="39278"/>
    <cellStyle name="输出 2 15 7 5" xfId="39279"/>
    <cellStyle name="输出 2 15 7 5 2" xfId="39280"/>
    <cellStyle name="输出 2 15 7 6" xfId="39281"/>
    <cellStyle name="输出 2 15 8 3" xfId="39282"/>
    <cellStyle name="输出 2 15 8 4" xfId="39283"/>
    <cellStyle name="输出 2 15 8 4 2" xfId="39284"/>
    <cellStyle name="输出 2 15 8 5" xfId="39285"/>
    <cellStyle name="输出 2 21" xfId="39286"/>
    <cellStyle name="输出 2 16" xfId="39287"/>
    <cellStyle name="输入 2 10 6 10" xfId="39288"/>
    <cellStyle name="输出 2 7 14 4" xfId="39289"/>
    <cellStyle name="输出 2 16 10" xfId="39290"/>
    <cellStyle name="输出 2 7 14 4 2" xfId="39291"/>
    <cellStyle name="输出 2 16 10 2" xfId="39292"/>
    <cellStyle name="输出 2 7 14 5" xfId="39293"/>
    <cellStyle name="输出 2 16 11" xfId="39294"/>
    <cellStyle name="输出 2 7 14 5 2" xfId="39295"/>
    <cellStyle name="输出 2 16 11 2" xfId="39296"/>
    <cellStyle name="输出 2 7 14 6" xfId="39297"/>
    <cellStyle name="输出 2 16 12" xfId="39298"/>
    <cellStyle name="输出 2 16 12 2" xfId="39299"/>
    <cellStyle name="输出 2 16 13" xfId="39300"/>
    <cellStyle name="注释 2 11 4 2 2" xfId="39301"/>
    <cellStyle name="输出 2 16 14" xfId="39302"/>
    <cellStyle name="注释 2 11 4 2 3" xfId="39303"/>
    <cellStyle name="输出 2 16 16" xfId="39304"/>
    <cellStyle name="输入 2 8 10 2" xfId="39305"/>
    <cellStyle name="注释 2 11 4 2 5" xfId="39306"/>
    <cellStyle name="注释 2 2 11 12 2" xfId="39307"/>
    <cellStyle name="输出 2 16 2" xfId="39308"/>
    <cellStyle name="输入 2 10 6 10 2" xfId="39309"/>
    <cellStyle name="输出 2 16 2 2" xfId="39310"/>
    <cellStyle name="输出 2 16 2 2 2" xfId="39311"/>
    <cellStyle name="输出 2 8 2 8 3" xfId="39312"/>
    <cellStyle name="输出 2 16 2 3" xfId="39313"/>
    <cellStyle name="输出 2 16 2 3 2" xfId="39314"/>
    <cellStyle name="输出 2 16 2 4 2" xfId="39315"/>
    <cellStyle name="输出 2 16 2 5" xfId="39316"/>
    <cellStyle name="输出 2 16 2 5 2" xfId="39317"/>
    <cellStyle name="输出 2 16 2 6" xfId="39318"/>
    <cellStyle name="输出 2 16 2 7" xfId="39319"/>
    <cellStyle name="输出 2 16 2 9" xfId="39320"/>
    <cellStyle name="输出 2 16 3" xfId="39321"/>
    <cellStyle name="输出 2 16 3 2" xfId="39322"/>
    <cellStyle name="输出 2 16 3 2 2" xfId="39323"/>
    <cellStyle name="输出 2 8 3 8 3" xfId="39324"/>
    <cellStyle name="输出 2 16 3 3" xfId="39325"/>
    <cellStyle name="输出 2 16 3 3 2" xfId="39326"/>
    <cellStyle name="输出 2 16 3 4 2" xfId="39327"/>
    <cellStyle name="输出 2 16 3 5" xfId="39328"/>
    <cellStyle name="输出 2 16 3 5 2" xfId="39329"/>
    <cellStyle name="输出 2 16 3 6" xfId="39330"/>
    <cellStyle name="输出 2 5 2 2 4" xfId="39331"/>
    <cellStyle name="输出 2 16 4 2" xfId="39332"/>
    <cellStyle name="输出 2 5 2 2 4 2" xfId="39333"/>
    <cellStyle name="输出 2 16 4 2 2" xfId="39334"/>
    <cellStyle name="输出 2 8 4 8 3" xfId="39335"/>
    <cellStyle name="输出 2 5 2 2 5" xfId="39336"/>
    <cellStyle name="输出 2 16 4 3" xfId="39337"/>
    <cellStyle name="注释 2 6 6 5 2 2" xfId="39338"/>
    <cellStyle name="输出 2 5 2 2 5 2" xfId="39339"/>
    <cellStyle name="输出 2 16 4 3 2" xfId="39340"/>
    <cellStyle name="输出 2 16 4 4 2" xfId="39341"/>
    <cellStyle name="输出 2 5 2 2 7" xfId="39342"/>
    <cellStyle name="输出 2 16 4 5" xfId="39343"/>
    <cellStyle name="输出 2 5 2 2 8" xfId="39344"/>
    <cellStyle name="输出 2 16 4 6" xfId="39345"/>
    <cellStyle name="输出 2 16 5" xfId="39346"/>
    <cellStyle name="输出 2 5 2 3 4" xfId="39347"/>
    <cellStyle name="输出 2 16 5 2" xfId="39348"/>
    <cellStyle name="输出 2 5 2 3 5" xfId="39349"/>
    <cellStyle name="输出 2 16 5 3" xfId="39350"/>
    <cellStyle name="注释 2 6 6 5 3 2" xfId="39351"/>
    <cellStyle name="输出 2 5 2 3 6" xfId="39352"/>
    <cellStyle name="输出 2 16 5 4" xfId="39353"/>
    <cellStyle name="输出 2 16 5 4 2" xfId="39354"/>
    <cellStyle name="输出 2 16 5 5" xfId="39355"/>
    <cellStyle name="输入 2 8 10 10" xfId="39356"/>
    <cellStyle name="输出 2 16 5 5 2" xfId="39357"/>
    <cellStyle name="输入 2 8 10 10 2" xfId="39358"/>
    <cellStyle name="输出 2 16 5 6" xfId="39359"/>
    <cellStyle name="输入 2 8 10 11" xfId="39360"/>
    <cellStyle name="输出 2 5 2 4 4" xfId="39361"/>
    <cellStyle name="输出 2 16 6 2" xfId="39362"/>
    <cellStyle name="输出 2 5 2 4 5" xfId="39363"/>
    <cellStyle name="输出 2 16 6 3" xfId="39364"/>
    <cellStyle name="注释 2 6 6 5 4 2" xfId="39365"/>
    <cellStyle name="输出 2 5 2 4 6" xfId="39366"/>
    <cellStyle name="输出 2 16 6 4" xfId="39367"/>
    <cellStyle name="输出 2 16 6 4 2" xfId="39368"/>
    <cellStyle name="输出 2 16 6 5" xfId="39369"/>
    <cellStyle name="输出 2 16 6 5 2" xfId="39370"/>
    <cellStyle name="输出 2 16 6 6" xfId="39371"/>
    <cellStyle name="输出 2 16 7" xfId="39372"/>
    <cellStyle name="输出 2 5 2 5 4" xfId="39373"/>
    <cellStyle name="输出 2 16 7 2" xfId="39374"/>
    <cellStyle name="输出 2 5 2 5 5" xfId="39375"/>
    <cellStyle name="输出 2 16 7 3" xfId="39376"/>
    <cellStyle name="注释 2 6 6 5 5 2" xfId="39377"/>
    <cellStyle name="输出 2 5 2 5 6" xfId="39378"/>
    <cellStyle name="输出 2 16 7 4" xfId="39379"/>
    <cellStyle name="输出 2 16 7 5" xfId="39380"/>
    <cellStyle name="输出 2 16 7 6" xfId="39381"/>
    <cellStyle name="输出 2 5 2 6 5" xfId="39382"/>
    <cellStyle name="输出 2 16 8 3" xfId="39383"/>
    <cellStyle name="输出 2 5 2 6 6" xfId="39384"/>
    <cellStyle name="输出 2 16 8 4" xfId="39385"/>
    <cellStyle name="输出 2 16 8 5" xfId="39386"/>
    <cellStyle name="输出 2 22" xfId="39387"/>
    <cellStyle name="输出 2 17" xfId="39388"/>
    <cellStyle name="输入 2 10 6 11" xfId="39389"/>
    <cellStyle name="输出 2 7 19 4 2" xfId="39390"/>
    <cellStyle name="输出 2 17 10 2" xfId="39391"/>
    <cellStyle name="输出 2 17 12 2" xfId="39392"/>
    <cellStyle name="输出 2 17 13" xfId="39393"/>
    <cellStyle name="注释 2 11 4 7 2" xfId="39394"/>
    <cellStyle name="输出 2 17 14" xfId="39395"/>
    <cellStyle name="输入 2 8 3 3 2 2" xfId="39396"/>
    <cellStyle name="注释 2 11 4 7 3" xfId="39397"/>
    <cellStyle name="输出 2 17 2" xfId="39398"/>
    <cellStyle name="输入 2 10 6 11 2" xfId="39399"/>
    <cellStyle name="输出 2 17 2 2" xfId="39400"/>
    <cellStyle name="输出 2 17 2 2 2" xfId="39401"/>
    <cellStyle name="输出 2 9 2 8 3" xfId="39402"/>
    <cellStyle name="输出 2 17 2 3" xfId="39403"/>
    <cellStyle name="输出 2 17 2 3 2" xfId="39404"/>
    <cellStyle name="输出 2 17 2 4 2" xfId="39405"/>
    <cellStyle name="输出 2 17 2 5 2" xfId="39406"/>
    <cellStyle name="输出 2 17 2 6" xfId="39407"/>
    <cellStyle name="输出 2 17 3" xfId="39408"/>
    <cellStyle name="输出 2 17 3 2" xfId="39409"/>
    <cellStyle name="输出 2 17 3 2 2" xfId="39410"/>
    <cellStyle name="输出 2 9 3 8 3" xfId="39411"/>
    <cellStyle name="输出 2 17 3 3" xfId="39412"/>
    <cellStyle name="输出 2 17 3 3 2" xfId="39413"/>
    <cellStyle name="输出 2 5 3 2 4" xfId="39414"/>
    <cellStyle name="输出 2 17 4 2" xfId="39415"/>
    <cellStyle name="输出 2 5 3 2 4 2" xfId="39416"/>
    <cellStyle name="输出 2 17 4 2 2" xfId="39417"/>
    <cellStyle name="输出 2 9 4 8 3" xfId="39418"/>
    <cellStyle name="输出 2 5 3 2 5" xfId="39419"/>
    <cellStyle name="输出 2 17 4 3" xfId="39420"/>
    <cellStyle name="注释 2 6 6 6 2 2" xfId="39421"/>
    <cellStyle name="输出 2 5 3 2 5 2" xfId="39422"/>
    <cellStyle name="输出 2 17 4 3 2" xfId="39423"/>
    <cellStyle name="输出 2 17 5" xfId="39424"/>
    <cellStyle name="输出 2 5 3 3 4" xfId="39425"/>
    <cellStyle name="输出 2 17 5 2" xfId="39426"/>
    <cellStyle name="输出 2 5 3 4 4" xfId="39427"/>
    <cellStyle name="输出 2 17 6 2" xfId="39428"/>
    <cellStyle name="输出 2 17 7" xfId="39429"/>
    <cellStyle name="输出 2 5 3 5 4" xfId="39430"/>
    <cellStyle name="输出 2 17 7 2" xfId="39431"/>
    <cellStyle name="输出 2 18 2" xfId="39432"/>
    <cellStyle name="输入 2 10 6 12 2" xfId="39433"/>
    <cellStyle name="输入 2 2 8 11" xfId="39434"/>
    <cellStyle name="输出 2 18 2 2" xfId="39435"/>
    <cellStyle name="输入 2 2 8 11 2" xfId="39436"/>
    <cellStyle name="输出 2 2 4 2 2 2" xfId="39437"/>
    <cellStyle name="输出 2 18 3" xfId="39438"/>
    <cellStyle name="输入 2 2 8 12" xfId="39439"/>
    <cellStyle name="输出 2 18 3 2" xfId="39440"/>
    <cellStyle name="输入 2 2 8 12 2" xfId="39441"/>
    <cellStyle name="输出 2 18 5" xfId="39442"/>
    <cellStyle name="输入 2 2 8 14" xfId="39443"/>
    <cellStyle name="输出 2 18 6" xfId="39444"/>
    <cellStyle name="输入 2 2 8 15" xfId="39445"/>
    <cellStyle name="注释 2 9 11 10 2" xfId="39446"/>
    <cellStyle name="输出 2 18 7" xfId="39447"/>
    <cellStyle name="输入 2 2 8 16" xfId="39448"/>
    <cellStyle name="输出 2 24" xfId="39449"/>
    <cellStyle name="输出 2 19" xfId="39450"/>
    <cellStyle name="输入 2 10 6 13" xfId="39451"/>
    <cellStyle name="输出 2 2 10 2 2 2" xfId="39452"/>
    <cellStyle name="输出 2 2 10 2 4" xfId="39453"/>
    <cellStyle name="输出 2 2 10 2 4 2" xfId="39454"/>
    <cellStyle name="注释 2 11 7 14" xfId="39455"/>
    <cellStyle name="输出 2 2 10 2 5 2" xfId="39456"/>
    <cellStyle name="输出 2 2 10 2 6" xfId="39457"/>
    <cellStyle name="输出 2 2 10 2 7" xfId="39458"/>
    <cellStyle name="输出 2 2 10 2 8" xfId="39459"/>
    <cellStyle name="输出 2 2 10 3 2 2" xfId="39460"/>
    <cellStyle name="输出 2 2 10 3 3 2" xfId="39461"/>
    <cellStyle name="输出 2 2 10 3 4" xfId="39462"/>
    <cellStyle name="输出 2 2 10 3 4 2" xfId="39463"/>
    <cellStyle name="输出 2 2 10 3 5 2" xfId="39464"/>
    <cellStyle name="输出 2 2 10 3 6" xfId="39465"/>
    <cellStyle name="输出 2 2 10 4 2" xfId="39466"/>
    <cellStyle name="输出 2 2 10 4 2 2" xfId="39467"/>
    <cellStyle name="输出 2 2 10 4 3" xfId="39468"/>
    <cellStyle name="输出 2 2 10 4 3 2" xfId="39469"/>
    <cellStyle name="输出 2 2 10 4 4 2" xfId="39470"/>
    <cellStyle name="输出 2 2 10 4 5 2" xfId="39471"/>
    <cellStyle name="输出 2 2 10 5" xfId="39472"/>
    <cellStyle name="输出 2 2 10 5 2" xfId="39473"/>
    <cellStyle name="输出 2 2 10 5 2 2" xfId="39474"/>
    <cellStyle name="输出 2 2 10 5 3" xfId="39475"/>
    <cellStyle name="输出 2 2 10 5 3 2" xfId="39476"/>
    <cellStyle name="输出 2 2 10 5 4 2" xfId="39477"/>
    <cellStyle name="输出 2 2 10 6" xfId="39478"/>
    <cellStyle name="输出 2 2 10 6 2" xfId="39479"/>
    <cellStyle name="输出 2 2 3" xfId="39480"/>
    <cellStyle name="注释 2 15 6 4" xfId="39481"/>
    <cellStyle name="输出 2 2 10 6 2 2" xfId="39482"/>
    <cellStyle name="输出 2 2 10 6 3" xfId="39483"/>
    <cellStyle name="输出 2 3 3" xfId="39484"/>
    <cellStyle name="注释 2 15 7 4" xfId="39485"/>
    <cellStyle name="输出 2 2 10 6 3 2" xfId="39486"/>
    <cellStyle name="输出 2 4 3" xfId="39487"/>
    <cellStyle name="注释 2 15 8 4" xfId="39488"/>
    <cellStyle name="输出 2 2 10 6 4 2" xfId="39489"/>
    <cellStyle name="注释 2 12 2 14" xfId="39490"/>
    <cellStyle name="输出 2 2 10 6 5" xfId="39491"/>
    <cellStyle name="注释 2 7 8 7 5 2" xfId="39492"/>
    <cellStyle name="输出 2 5 3" xfId="39493"/>
    <cellStyle name="输出 2 2 10 6 5 2" xfId="39494"/>
    <cellStyle name="输出 2 2 10 7 2" xfId="39495"/>
    <cellStyle name="输出 2 2 10 7 2 2" xfId="39496"/>
    <cellStyle name="输出 2 2 10 7 3" xfId="39497"/>
    <cellStyle name="输出 2 2 10 7 3 2" xfId="39498"/>
    <cellStyle name="输出 2 2 10 7 4" xfId="39499"/>
    <cellStyle name="输出 2 2 10 7 4 2" xfId="39500"/>
    <cellStyle name="注释 2 12 7 14" xfId="39501"/>
    <cellStyle name="输出 2 2 10 7 5" xfId="39502"/>
    <cellStyle name="输出 2 2 10 7 5 2" xfId="39503"/>
    <cellStyle name="输出 2 2 10 8 2" xfId="39504"/>
    <cellStyle name="输出 2 2 10 8 3" xfId="39505"/>
    <cellStyle name="输出 2 2 10 8 4" xfId="39506"/>
    <cellStyle name="输出 2 2 10 8 5" xfId="39507"/>
    <cellStyle name="输出 2 2 10 9" xfId="39508"/>
    <cellStyle name="输出 2 2 11 2 2 2" xfId="39509"/>
    <cellStyle name="输出 2 2 11 2 4" xfId="39510"/>
    <cellStyle name="输出 2 2 11 2 4 2" xfId="39511"/>
    <cellStyle name="输出 2 2 11 2 5 2" xfId="39512"/>
    <cellStyle name="输出 2 2 11 2 6" xfId="39513"/>
    <cellStyle name="输出 2 2 11 3 2" xfId="39514"/>
    <cellStyle name="输入 2 5 10 8" xfId="39515"/>
    <cellStyle name="输出 2 2 11 3 2 2" xfId="39516"/>
    <cellStyle name="输入 2 5 10 8 2" xfId="39517"/>
    <cellStyle name="输出 2 2 11 3 3" xfId="39518"/>
    <cellStyle name="输入 2 5 10 9" xfId="39519"/>
    <cellStyle name="输出 2 2 11 3 3 2" xfId="39520"/>
    <cellStyle name="输入 2 5 10 9 2" xfId="39521"/>
    <cellStyle name="输出 2 2 11 3 4" xfId="39522"/>
    <cellStyle name="输出 2 2 11 3 4 2" xfId="39523"/>
    <cellStyle name="输出 2 2 11 3 5 2" xfId="39524"/>
    <cellStyle name="输出 2 2 11 3 6" xfId="39525"/>
    <cellStyle name="输出 2 2 11 4 2 2" xfId="39526"/>
    <cellStyle name="输入 2 5 11 8 2" xfId="39527"/>
    <cellStyle name="输出 2 2 11 4 3 2" xfId="39528"/>
    <cellStyle name="输入 2 5 11 9 2" xfId="39529"/>
    <cellStyle name="输出 2 2 11 4 4 2" xfId="39530"/>
    <cellStyle name="输出 2 2 11 4 5 2" xfId="39531"/>
    <cellStyle name="输出 2 2 11 5" xfId="39532"/>
    <cellStyle name="输出 2 2 11 5 2" xfId="39533"/>
    <cellStyle name="输入 2 5 12 8" xfId="39534"/>
    <cellStyle name="输出 2 2 11 5 2 2" xfId="39535"/>
    <cellStyle name="输出 2 2 11 5 3" xfId="39536"/>
    <cellStyle name="输入 2 5 12 9" xfId="39537"/>
    <cellStyle name="输出 2 2 11 5 3 2" xfId="39538"/>
    <cellStyle name="输出 2 2 11 5 4" xfId="39539"/>
    <cellStyle name="输入 2 5 4 10" xfId="39540"/>
    <cellStyle name="输出 2 2 11 5 4 2" xfId="39541"/>
    <cellStyle name="输入 2 5 4 10 2" xfId="39542"/>
    <cellStyle name="输出 2 2 11 6" xfId="39543"/>
    <cellStyle name="输出 2 4 5 16" xfId="39544"/>
    <cellStyle name="输出 2 2 11 6 2" xfId="39545"/>
    <cellStyle name="输出 2 2 11 6 3" xfId="39546"/>
    <cellStyle name="输出 2 2 11 6 4" xfId="39547"/>
    <cellStyle name="输出 2 2 11 6 5" xfId="39548"/>
    <cellStyle name="输出 2 2 11 7" xfId="39549"/>
    <cellStyle name="输出 2 2 11 7 2" xfId="39550"/>
    <cellStyle name="输出 2 2 11 7 2 2" xfId="39551"/>
    <cellStyle name="输出 2 2 11 7 3" xfId="39552"/>
    <cellStyle name="输出 2 2 11 7 3 2" xfId="39553"/>
    <cellStyle name="输出 2 2 11 7 4" xfId="39554"/>
    <cellStyle name="输出 2 2 11 7 4 2" xfId="39555"/>
    <cellStyle name="输出 2 2 11 7 5" xfId="39556"/>
    <cellStyle name="输出 2 2 11 7 5 2" xfId="39557"/>
    <cellStyle name="输出 2 2 11 8" xfId="39558"/>
    <cellStyle name="输出 2 2 11 8 2" xfId="39559"/>
    <cellStyle name="输出 2 2 11 8 2 2" xfId="39560"/>
    <cellStyle name="输出 2 2 11 8 3" xfId="39561"/>
    <cellStyle name="输出 2 2 11 8 3 2" xfId="39562"/>
    <cellStyle name="输出 2 2 11 8 4" xfId="39563"/>
    <cellStyle name="输出 2 2 11 8 4 2" xfId="39564"/>
    <cellStyle name="输出 2 2 11 8 5" xfId="39565"/>
    <cellStyle name="输出 2 2 11 9" xfId="39566"/>
    <cellStyle name="输出 2 2 12 2 2" xfId="39567"/>
    <cellStyle name="输入 2 2 8 4" xfId="39568"/>
    <cellStyle name="输出 2 2 12 3" xfId="39569"/>
    <cellStyle name="输出 2 2 12 3 2" xfId="39570"/>
    <cellStyle name="输入 2 2 9 4" xfId="39571"/>
    <cellStyle name="输出 2 2 12 4 2" xfId="39572"/>
    <cellStyle name="输出 2 2 12 6" xfId="39573"/>
    <cellStyle name="输出 2 2 12 8" xfId="39574"/>
    <cellStyle name="输出 2 2 12 9" xfId="39575"/>
    <cellStyle name="输出 2 2 13 2 2" xfId="39576"/>
    <cellStyle name="输入 2 3 8 4" xfId="39577"/>
    <cellStyle name="输出 2 2 13 3" xfId="39578"/>
    <cellStyle name="输入 2 10 7 6 2 2" xfId="39579"/>
    <cellStyle name="输出 2 2 13 3 2" xfId="39580"/>
    <cellStyle name="输入 2 3 9 4" xfId="39581"/>
    <cellStyle name="输出 2 2 13 4" xfId="39582"/>
    <cellStyle name="输出 2 2 13 4 2" xfId="39583"/>
    <cellStyle name="输出 2 2 13 5 2" xfId="39584"/>
    <cellStyle name="输出 2 2 13 6" xfId="39585"/>
    <cellStyle name="输出 2 7 11 11" xfId="39586"/>
    <cellStyle name="输出 2 2 14 2 2" xfId="39587"/>
    <cellStyle name="输入 2 4 8 4" xfId="39588"/>
    <cellStyle name="输出 2 2 14 3" xfId="39589"/>
    <cellStyle name="输入 2 10 7 6 3 2" xfId="39590"/>
    <cellStyle name="输出 2 2 14 3 2" xfId="39591"/>
    <cellStyle name="输入 2 4 9 4" xfId="39592"/>
    <cellStyle name="输出 2 2 14 4" xfId="39593"/>
    <cellStyle name="输出 2 2 14 4 2" xfId="39594"/>
    <cellStyle name="输出 2 2 14 5 2" xfId="39595"/>
    <cellStyle name="输出 2 2 14 6" xfId="39596"/>
    <cellStyle name="输出 2 2 15 2 2" xfId="39597"/>
    <cellStyle name="输入 2 5 8 4" xfId="39598"/>
    <cellStyle name="输出 2 2 15 3" xfId="39599"/>
    <cellStyle name="输入 2 10 7 6 4 2" xfId="39600"/>
    <cellStyle name="输出 2 2 15 3 2" xfId="39601"/>
    <cellStyle name="输入 2 5 9 4" xfId="39602"/>
    <cellStyle name="输出 2 2 15 4" xfId="39603"/>
    <cellStyle name="输出 2 2 15 4 2" xfId="39604"/>
    <cellStyle name="输出 2 2 15 5 2" xfId="39605"/>
    <cellStyle name="输出 2 2 16 2 2" xfId="39606"/>
    <cellStyle name="输入 2 6 8 4" xfId="39607"/>
    <cellStyle name="输出 2 2 16 3 2" xfId="39608"/>
    <cellStyle name="输入 2 6 10 8" xfId="39609"/>
    <cellStyle name="输入 2 6 9 4" xfId="39610"/>
    <cellStyle name="输出 2 2 16 4" xfId="39611"/>
    <cellStyle name="输出 2 2 16 5" xfId="39612"/>
    <cellStyle name="输出 2 2 16 5 2" xfId="39613"/>
    <cellStyle name="输入 2 6 12 8" xfId="39614"/>
    <cellStyle name="输出 2 2 17 2 2" xfId="39615"/>
    <cellStyle name="输入 2 7 8 4" xfId="39616"/>
    <cellStyle name="输出 2 2 17 3" xfId="39617"/>
    <cellStyle name="输出 2 2 17 3 2" xfId="39618"/>
    <cellStyle name="输入 2 7 9 4" xfId="39619"/>
    <cellStyle name="输出 2 2 17 4" xfId="39620"/>
    <cellStyle name="输出 2 2 17 5" xfId="39621"/>
    <cellStyle name="输出 2 2 17 5 2" xfId="39622"/>
    <cellStyle name="输出 2 5 10 2 3" xfId="39623"/>
    <cellStyle name="输出 2 2 18 2 2" xfId="39624"/>
    <cellStyle name="输入 2 8 8 4" xfId="39625"/>
    <cellStyle name="输出 2 2 18 3" xfId="39626"/>
    <cellStyle name="输出 2 2 18 4" xfId="39627"/>
    <cellStyle name="输出 2 5 10 4 3" xfId="39628"/>
    <cellStyle name="输出 2 2 18 4 2" xfId="39629"/>
    <cellStyle name="输出 2 2 18 5" xfId="39630"/>
    <cellStyle name="注释 2 9 6 4 2 2" xfId="39631"/>
    <cellStyle name="输出 2 5 10 5 3" xfId="39632"/>
    <cellStyle name="输入 2 12 3 10" xfId="39633"/>
    <cellStyle name="输出 2 2 18 5 2" xfId="39634"/>
    <cellStyle name="输出 2 2 19 2" xfId="39635"/>
    <cellStyle name="输入 2 2 17 3 2" xfId="39636"/>
    <cellStyle name="输出 2 5 11 2 3" xfId="39637"/>
    <cellStyle name="输出 2 2 19 2 2" xfId="39638"/>
    <cellStyle name="输入 2 9 8 4" xfId="39639"/>
    <cellStyle name="输出 2 2 19 3" xfId="39640"/>
    <cellStyle name="输出 2 5 11 3 3" xfId="39641"/>
    <cellStyle name="输出 2 2 19 3 2" xfId="39642"/>
    <cellStyle name="输入 2 9 9 4" xfId="39643"/>
    <cellStyle name="输出 2 5 11 4 3" xfId="39644"/>
    <cellStyle name="输出 2 2 19 4 2" xfId="39645"/>
    <cellStyle name="输出 2 2 19 5" xfId="39646"/>
    <cellStyle name="注释 2 9 6 4 3 2" xfId="39647"/>
    <cellStyle name="输出 2 2 2" xfId="39648"/>
    <cellStyle name="注释 2 15 6 3" xfId="39649"/>
    <cellStyle name="输出 2 2 2 16" xfId="39650"/>
    <cellStyle name="输出 2 2 2 2 3" xfId="39651"/>
    <cellStyle name="输出 2 2 2 2 4" xfId="39652"/>
    <cellStyle name="输出 2 2 2 2 5" xfId="39653"/>
    <cellStyle name="注释 2 6 3 5 2 2" xfId="39654"/>
    <cellStyle name="输出 2 2 2 2 7" xfId="39655"/>
    <cellStyle name="输出 2 2 2 2 8" xfId="39656"/>
    <cellStyle name="输出 2 2 2 3 3" xfId="39657"/>
    <cellStyle name="输出 2 2 2 3 4" xfId="39658"/>
    <cellStyle name="输出 2 2 2 3 5" xfId="39659"/>
    <cellStyle name="注释 2 6 3 5 3 2" xfId="39660"/>
    <cellStyle name="输出 2 2 2 3 6" xfId="39661"/>
    <cellStyle name="输出 2 9 9 6 3 2" xfId="39662"/>
    <cellStyle name="输出 2 2 2 4 2" xfId="39663"/>
    <cellStyle name="输出 2 2 2 4 3" xfId="39664"/>
    <cellStyle name="输出 2 2 2 4 4" xfId="39665"/>
    <cellStyle name="输出 2 2 2 4 5" xfId="39666"/>
    <cellStyle name="注释 2 6 3 5 4 2" xfId="39667"/>
    <cellStyle name="输出 2 2 2 4 6" xfId="39668"/>
    <cellStyle name="输出 2 9 9 6 4 2" xfId="39669"/>
    <cellStyle name="输出 2 2 2 5" xfId="39670"/>
    <cellStyle name="输出 2 2 2 5 2 2" xfId="39671"/>
    <cellStyle name="输出 2 2 2 5 3 2" xfId="39672"/>
    <cellStyle name="输出 2 2 2 5 4 2" xfId="39673"/>
    <cellStyle name="输出 2 2 2 5 5 2" xfId="39674"/>
    <cellStyle name="注释 2 9 3 16" xfId="39675"/>
    <cellStyle name="输出 2 2 2 5 6" xfId="39676"/>
    <cellStyle name="输出 2 9 9 6 5 2" xfId="39677"/>
    <cellStyle name="输出 2 2 2 6 2" xfId="39678"/>
    <cellStyle name="输出 2 2 2 6 2 2" xfId="39679"/>
    <cellStyle name="输出 2 2 2 6 3" xfId="39680"/>
    <cellStyle name="输出 2 2 2 6 3 2" xfId="39681"/>
    <cellStyle name="输出 2 2 2 6 4 2" xfId="39682"/>
    <cellStyle name="输出 2 2 2 6 5" xfId="39683"/>
    <cellStyle name="输出 2 2 2 6 5 2" xfId="39684"/>
    <cellStyle name="注释 2 9 8 16" xfId="39685"/>
    <cellStyle name="输出 2 2 2 6 6" xfId="39686"/>
    <cellStyle name="输出 2 2 2 7" xfId="39687"/>
    <cellStyle name="输出 2 2 2 7 2" xfId="39688"/>
    <cellStyle name="输出 2 2 2 7 2 2" xfId="39689"/>
    <cellStyle name="输出 2 2 2 7 3" xfId="39690"/>
    <cellStyle name="输出 2 2 2 7 3 2" xfId="39691"/>
    <cellStyle name="输出 2 2 2 7 4 2" xfId="39692"/>
    <cellStyle name="输出 2 2 2 7 5" xfId="39693"/>
    <cellStyle name="输出 2 2 2 7 5 2" xfId="39694"/>
    <cellStyle name="输出 2 2 2 7 6" xfId="39695"/>
    <cellStyle name="输出 2 2 2 8" xfId="39696"/>
    <cellStyle name="输出 2 2 2 8 2" xfId="39697"/>
    <cellStyle name="输出 2 2 2 8 2 2" xfId="39698"/>
    <cellStyle name="输出 2 2 2 9" xfId="39699"/>
    <cellStyle name="输出 2 2 2 9 2" xfId="39700"/>
    <cellStyle name="输出 2 2 25" xfId="39701"/>
    <cellStyle name="输入 2 2 17 4" xfId="39702"/>
    <cellStyle name="注释 2 5 3 5 5 2" xfId="39703"/>
    <cellStyle name="输出 2 2 26" xfId="39704"/>
    <cellStyle name="输出 2 8 9 6 5 2" xfId="39705"/>
    <cellStyle name="输入 2 2 17 5" xfId="39706"/>
    <cellStyle name="输出 2 2 3 10" xfId="39707"/>
    <cellStyle name="输出 2 9 17 3 2" xfId="39708"/>
    <cellStyle name="输出 2 2 3 15" xfId="39709"/>
    <cellStyle name="注释 2 12 6 6 3" xfId="39710"/>
    <cellStyle name="输出 2 2 3 2 2 2" xfId="39711"/>
    <cellStyle name="输出 2 2 3 2 3 2" xfId="39712"/>
    <cellStyle name="输出 2 2 3 2 4 2" xfId="39713"/>
    <cellStyle name="输出 2 2 3 2 5 2" xfId="39714"/>
    <cellStyle name="输出 2 2 3 2 7" xfId="39715"/>
    <cellStyle name="输出 2 2 3 2 8" xfId="39716"/>
    <cellStyle name="输出 2 2 3 3 2" xfId="39717"/>
    <cellStyle name="输出 2 2 3 3 2 2" xfId="39718"/>
    <cellStyle name="输出 2 2 3 3 3" xfId="39719"/>
    <cellStyle name="输出 2 2 3 3 3 2" xfId="39720"/>
    <cellStyle name="输出 2 2 3 3 4" xfId="39721"/>
    <cellStyle name="输出 2 2 3 3 4 2" xfId="39722"/>
    <cellStyle name="输出 2 2 3 3 5" xfId="39723"/>
    <cellStyle name="注释 2 6 3 6 3 2" xfId="39724"/>
    <cellStyle name="输出 2 2 3 3 5 2" xfId="39725"/>
    <cellStyle name="输出 2 2 3 4" xfId="39726"/>
    <cellStyle name="输出 2 2 3 4 2" xfId="39727"/>
    <cellStyle name="输出 2 2 3 4 2 2" xfId="39728"/>
    <cellStyle name="输出 2 7 6 13" xfId="39729"/>
    <cellStyle name="输出 2 2 3 4 3" xfId="39730"/>
    <cellStyle name="输出 2 2 3 4 3 2" xfId="39731"/>
    <cellStyle name="输出 2 2 3 4 4" xfId="39732"/>
    <cellStyle name="输出 2 2 3 4 4 2" xfId="39733"/>
    <cellStyle name="输出 2 2 3 4 5" xfId="39734"/>
    <cellStyle name="注释 2 6 3 6 4 2" xfId="39735"/>
    <cellStyle name="输出 2 2 3 4 5 2" xfId="39736"/>
    <cellStyle name="输出 2 2 3 5" xfId="39737"/>
    <cellStyle name="输出 2 2 3 5 2" xfId="39738"/>
    <cellStyle name="输出 2 2 3 5 2 2" xfId="39739"/>
    <cellStyle name="输出 2 2 3 5 3" xfId="39740"/>
    <cellStyle name="输出 2 2 3 5 4" xfId="39741"/>
    <cellStyle name="输出 2 2 3 5 4 2" xfId="39742"/>
    <cellStyle name="输出 2 2 3 5 5" xfId="39743"/>
    <cellStyle name="注释 2 6 3 6 5 2" xfId="39744"/>
    <cellStyle name="输出 2 2 3 5 5 2" xfId="39745"/>
    <cellStyle name="输出 2 2 3 6 2" xfId="39746"/>
    <cellStyle name="输出 2 2 3 6 2 2" xfId="39747"/>
    <cellStyle name="输出 2 2 3 6 3" xfId="39748"/>
    <cellStyle name="输出 2 2 3 6 4 2" xfId="39749"/>
    <cellStyle name="输出 2 2 3 6 5" xfId="39750"/>
    <cellStyle name="输出 2 2 3 6 5 2" xfId="39751"/>
    <cellStyle name="输出 2 2 3 6 6" xfId="39752"/>
    <cellStyle name="输出 2 2 3 7" xfId="39753"/>
    <cellStyle name="输出 2 2 3 7 2" xfId="39754"/>
    <cellStyle name="输出 2 2 3 7 3" xfId="39755"/>
    <cellStyle name="输出 2 2 3 7 5" xfId="39756"/>
    <cellStyle name="输出 2 2 3 7 5 2" xfId="39757"/>
    <cellStyle name="输出 2 2 3 7 6" xfId="39758"/>
    <cellStyle name="输出 2 2 3 8" xfId="39759"/>
    <cellStyle name="输出 2 2 3 8 2" xfId="39760"/>
    <cellStyle name="输出 2 2 3 9" xfId="39761"/>
    <cellStyle name="输出 2 2 3 9 2" xfId="39762"/>
    <cellStyle name="输出 2 2 4" xfId="39763"/>
    <cellStyle name="输入 2 5 7 2 3 2" xfId="39764"/>
    <cellStyle name="注释 2 15 6 5" xfId="39765"/>
    <cellStyle name="输出 2 2 4 10" xfId="39766"/>
    <cellStyle name="注释 2 4 5 8 3 2" xfId="39767"/>
    <cellStyle name="输出 2 2 4 12 2" xfId="39768"/>
    <cellStyle name="输出 2 2 4 2 3" xfId="39769"/>
    <cellStyle name="输出 2 2 4 2 4" xfId="39770"/>
    <cellStyle name="输出 2 2 4 2 4 2" xfId="39771"/>
    <cellStyle name="输出 2 2 4 2 5" xfId="39772"/>
    <cellStyle name="注释 2 6 3 7 2 2" xfId="39773"/>
    <cellStyle name="输出 2 2 7 2 4" xfId="39774"/>
    <cellStyle name="输出 2 2 4 2 5 2" xfId="39775"/>
    <cellStyle name="输出 2 2 4 2 7" xfId="39776"/>
    <cellStyle name="输出 2 2 4 2 8" xfId="39777"/>
    <cellStyle name="输出 2 2 4 3 2 2" xfId="39778"/>
    <cellStyle name="输出 2 2 4 3 3" xfId="39779"/>
    <cellStyle name="输出 2 2 4 3 3 2" xfId="39780"/>
    <cellStyle name="输出 2 2 4 3 4" xfId="39781"/>
    <cellStyle name="输出 2 2 4 3 4 2" xfId="39782"/>
    <cellStyle name="输出 2 2 4 3 5" xfId="39783"/>
    <cellStyle name="注释 2 6 3 7 3 2" xfId="39784"/>
    <cellStyle name="输出 2 2 8 2 4" xfId="39785"/>
    <cellStyle name="输出 2 2 4 3 5 2" xfId="39786"/>
    <cellStyle name="输出 2 2 4 3 6" xfId="39787"/>
    <cellStyle name="输出 2 9 9 8 3 2" xfId="39788"/>
    <cellStyle name="输出 2 2 4 4 2" xfId="39789"/>
    <cellStyle name="输出 2 2 4 4 2 2" xfId="39790"/>
    <cellStyle name="输出 2 2 4 4 3" xfId="39791"/>
    <cellStyle name="输出 2 2 4 4 3 2" xfId="39792"/>
    <cellStyle name="输出 2 2 4 4 4" xfId="39793"/>
    <cellStyle name="输出 2 2 4 4 4 2" xfId="39794"/>
    <cellStyle name="输出 2 2 4 4 5" xfId="39795"/>
    <cellStyle name="注释 2 6 3 7 4 2" xfId="39796"/>
    <cellStyle name="输出 2 2 9 2 4" xfId="39797"/>
    <cellStyle name="输出 2 2 4 4 5 2" xfId="39798"/>
    <cellStyle name="输出 2 2 4 4 6" xfId="39799"/>
    <cellStyle name="输出 2 9 9 8 4 2" xfId="39800"/>
    <cellStyle name="输出 2 2 4 5 2" xfId="39801"/>
    <cellStyle name="输出 2 2 4 5 2 2" xfId="39802"/>
    <cellStyle name="输出 2 2 4 5 3" xfId="39803"/>
    <cellStyle name="输出 2 2 4 5 3 2" xfId="39804"/>
    <cellStyle name="输出 2 2 4 5 4" xfId="39805"/>
    <cellStyle name="输出 2 2 4 5 4 2" xfId="39806"/>
    <cellStyle name="输出 2 2 4 5 5" xfId="39807"/>
    <cellStyle name="注释 2 14 2 2 2" xfId="39808"/>
    <cellStyle name="注释 2 6 3 7 5 2" xfId="39809"/>
    <cellStyle name="输出 2 2 4 5 5 2" xfId="39810"/>
    <cellStyle name="输出 2 2 4 5 6" xfId="39811"/>
    <cellStyle name="输出 2 2 4 6 2" xfId="39812"/>
    <cellStyle name="输出 2 2 4 6 2 2" xfId="39813"/>
    <cellStyle name="输入 2 3 3 12" xfId="39814"/>
    <cellStyle name="输出 2 2 4 6 3" xfId="39815"/>
    <cellStyle name="输出 2 2 4 6 3 2" xfId="39816"/>
    <cellStyle name="输出 2 2 4 6 4" xfId="39817"/>
    <cellStyle name="输出 2 2 4 6 4 2" xfId="39818"/>
    <cellStyle name="输出 2 2 4 6 5" xfId="39819"/>
    <cellStyle name="注释 2 14 2 3 2" xfId="39820"/>
    <cellStyle name="输出 2 2 4 6 5 2" xfId="39821"/>
    <cellStyle name="输出 2 2 4 6 6" xfId="39822"/>
    <cellStyle name="输出 2 2 4 7 2" xfId="39823"/>
    <cellStyle name="输出 2 2 4 7 2 2" xfId="39824"/>
    <cellStyle name="输入 2 3 8 12" xfId="39825"/>
    <cellStyle name="输出 2 2 4 7 3" xfId="39826"/>
    <cellStyle name="输出 2 2 4 7 4 2" xfId="39827"/>
    <cellStyle name="输出 2 2 4 7 5" xfId="39828"/>
    <cellStyle name="注释 2 14 2 4 2" xfId="39829"/>
    <cellStyle name="输出 2 2 4 7 5 2" xfId="39830"/>
    <cellStyle name="输出 2 2 4 7 6" xfId="39831"/>
    <cellStyle name="输出 2 2 4 8" xfId="39832"/>
    <cellStyle name="输出 2 2 4 8 2" xfId="39833"/>
    <cellStyle name="输出 2 2 4 8 2 2" xfId="39834"/>
    <cellStyle name="输出 2 2 4 9" xfId="39835"/>
    <cellStyle name="输出 2 2 4 9 2" xfId="39836"/>
    <cellStyle name="输出 2 2 5" xfId="39837"/>
    <cellStyle name="注释 2 15 6 6" xfId="39838"/>
    <cellStyle name="输出 2 2 5 10" xfId="39839"/>
    <cellStyle name="输出 2 2 5 10 2" xfId="39840"/>
    <cellStyle name="输出 2 2 5 11" xfId="39841"/>
    <cellStyle name="输出 2 2 5 12" xfId="39842"/>
    <cellStyle name="输出 2 2 5 12 2" xfId="39843"/>
    <cellStyle name="输出 2 2 5 14" xfId="39844"/>
    <cellStyle name="输出 2 2 5 15" xfId="39845"/>
    <cellStyle name="输出 2 2 5 16" xfId="39846"/>
    <cellStyle name="输出 2 2 5 2 2 2" xfId="39847"/>
    <cellStyle name="输入 2 7 8 12" xfId="39848"/>
    <cellStyle name="输出 2 2 5 2 3" xfId="39849"/>
    <cellStyle name="输出 2 2 5 2 4" xfId="39850"/>
    <cellStyle name="输出 2 2 5 2 4 2" xfId="39851"/>
    <cellStyle name="输出 2 2 5 2 5" xfId="39852"/>
    <cellStyle name="注释 2 6 3 8 2 2" xfId="39853"/>
    <cellStyle name="输出 2 3 7 2 4" xfId="39854"/>
    <cellStyle name="输出 2 2 5 2 5 2" xfId="39855"/>
    <cellStyle name="输出 2 2 5 2 7" xfId="39856"/>
    <cellStyle name="输出 2 2 5 2 8" xfId="39857"/>
    <cellStyle name="输出 2 2 5 3 2 2" xfId="39858"/>
    <cellStyle name="输出 2 2 5 3 3" xfId="39859"/>
    <cellStyle name="输出 2 2 5 3 3 2" xfId="39860"/>
    <cellStyle name="输出 2 2 5 3 4" xfId="39861"/>
    <cellStyle name="输出 2 2 5 3 4 2" xfId="39862"/>
    <cellStyle name="输出 2 2 5 3 5" xfId="39863"/>
    <cellStyle name="注释 2 6 3 8 3 2" xfId="39864"/>
    <cellStyle name="输出 2 3 8 2 4" xfId="39865"/>
    <cellStyle name="输出 2 2 5 3 5 2" xfId="39866"/>
    <cellStyle name="输出 2 2 5 3 6" xfId="39867"/>
    <cellStyle name="输出 2 2 5 4 2" xfId="39868"/>
    <cellStyle name="输出 2 2 5 4 2 2" xfId="39869"/>
    <cellStyle name="输出 2 2 5 4 3" xfId="39870"/>
    <cellStyle name="输出 2 2 5 4 3 2" xfId="39871"/>
    <cellStyle name="输出 2 2 5 4 4" xfId="39872"/>
    <cellStyle name="输出 2 2 5 4 4 2" xfId="39873"/>
    <cellStyle name="输出 2 2 5 4 5" xfId="39874"/>
    <cellStyle name="注释 2 6 3 8 4 2" xfId="39875"/>
    <cellStyle name="输出 2 3 9 2 4" xfId="39876"/>
    <cellStyle name="输出 2 2 5 4 5 2" xfId="39877"/>
    <cellStyle name="输出 2 2 5 4 6" xfId="39878"/>
    <cellStyle name="输出 2 2 5 5" xfId="39879"/>
    <cellStyle name="输出 2 2 5 5 2" xfId="39880"/>
    <cellStyle name="输出 2 2 5 5 2 2" xfId="39881"/>
    <cellStyle name="输出 2 2 5 5 3" xfId="39882"/>
    <cellStyle name="输出 2 2 5 5 3 2" xfId="39883"/>
    <cellStyle name="输出 2 2 5 5 4" xfId="39884"/>
    <cellStyle name="输出 2 2 5 5 4 2" xfId="39885"/>
    <cellStyle name="注释 2 3 10 5" xfId="39886"/>
    <cellStyle name="输出 2 2 5 5 5" xfId="39887"/>
    <cellStyle name="注释 2 14 3 2 2" xfId="39888"/>
    <cellStyle name="输出 2 2 5 5 5 2" xfId="39889"/>
    <cellStyle name="注释 2 3 11 5" xfId="39890"/>
    <cellStyle name="输出 2 2 5 5 6" xfId="39891"/>
    <cellStyle name="输出 2 2 5 6 2" xfId="39892"/>
    <cellStyle name="输出 2 2 5 6 2 2" xfId="39893"/>
    <cellStyle name="输入 2 8 3 12" xfId="39894"/>
    <cellStyle name="输出 2 2 5 6 3" xfId="39895"/>
    <cellStyle name="输出 2 2 5 6 3 2" xfId="39896"/>
    <cellStyle name="输出 2 2 5 6 4" xfId="39897"/>
    <cellStyle name="输出 2 2 5 6 4 2" xfId="39898"/>
    <cellStyle name="输出 2 8 10 2 8" xfId="39899"/>
    <cellStyle name="输出 2 2 5 6 5" xfId="39900"/>
    <cellStyle name="输入 2 9 7 10 2" xfId="39901"/>
    <cellStyle name="注释 2 14 3 3 2" xfId="39902"/>
    <cellStyle name="输出 2 2 5 6 5 2" xfId="39903"/>
    <cellStyle name="输出 2 3 2 2 2 2" xfId="39904"/>
    <cellStyle name="输入 2 7 9 6 2" xfId="39905"/>
    <cellStyle name="输出 2 2 5 6 6" xfId="39906"/>
    <cellStyle name="输出 2 2 5 7" xfId="39907"/>
    <cellStyle name="输入 2 2 5 2 2" xfId="39908"/>
    <cellStyle name="输出 2 2 5 7 2" xfId="39909"/>
    <cellStyle name="输入 2 2 5 2 2 2" xfId="39910"/>
    <cellStyle name="输出 2 2 5 7 2 2" xfId="39911"/>
    <cellStyle name="输入 2 8 8 12" xfId="39912"/>
    <cellStyle name="输出 2 2 5 7 3" xfId="39913"/>
    <cellStyle name="输出 2 2 5 7 5" xfId="39914"/>
    <cellStyle name="输入 2 9 7 11 2" xfId="39915"/>
    <cellStyle name="注释 2 14 3 4 2" xfId="39916"/>
    <cellStyle name="输出 2 3 2 2 3 2" xfId="39917"/>
    <cellStyle name="输入 2 7 9 7 2" xfId="39918"/>
    <cellStyle name="输出 2 2 5 7 6" xfId="39919"/>
    <cellStyle name="输出 2 2 5 8" xfId="39920"/>
    <cellStyle name="输入 2 2 5 2 3" xfId="39921"/>
    <cellStyle name="输出 2 2 5 8 2" xfId="39922"/>
    <cellStyle name="输入 2 2 5 2 3 2" xfId="39923"/>
    <cellStyle name="输出 2 2 5 8 2 2" xfId="39924"/>
    <cellStyle name="注释 2 10 8 5" xfId="39925"/>
    <cellStyle name="输出 2 2 5 9" xfId="39926"/>
    <cellStyle name="输入 2 2 5 2 4" xfId="39927"/>
    <cellStyle name="注释 2 4 4 3 2 2" xfId="39928"/>
    <cellStyle name="输出 2 2 5 9 2" xfId="39929"/>
    <cellStyle name="输入 2 2 5 2 4 2" xfId="39930"/>
    <cellStyle name="输出 2 2 6" xfId="39931"/>
    <cellStyle name="输出 2 2 6 2 2 2" xfId="39932"/>
    <cellStyle name="输出 2 2 6 2 3" xfId="39933"/>
    <cellStyle name="输出 2 2 6 2 4" xfId="39934"/>
    <cellStyle name="输出 2 2 6 2 5" xfId="39935"/>
    <cellStyle name="输出 2 2 6 2 7" xfId="39936"/>
    <cellStyle name="输出 2 2 6 2 8" xfId="39937"/>
    <cellStyle name="输出 2 2 6 2 9" xfId="39938"/>
    <cellStyle name="输出 2 2 7 2 2 2" xfId="39939"/>
    <cellStyle name="输出 2 2 7 2 3" xfId="39940"/>
    <cellStyle name="输出 2 2 7 2 3 2" xfId="39941"/>
    <cellStyle name="输出 2 2 7 2 4 2" xfId="39942"/>
    <cellStyle name="输出 2 2 7 2 5" xfId="39943"/>
    <cellStyle name="输出 2 5 7 2 4" xfId="39944"/>
    <cellStyle name="输出 2 2 7 2 5 2" xfId="39945"/>
    <cellStyle name="输出 2 2 7 2 6" xfId="39946"/>
    <cellStyle name="输出 2 2 7 2 7" xfId="39947"/>
    <cellStyle name="输出 2 2 7 2 8" xfId="39948"/>
    <cellStyle name="输出 2 8 5 2 2 2" xfId="39949"/>
    <cellStyle name="输出 2 2 7 2 9" xfId="39950"/>
    <cellStyle name="输出 2 2 8 2 3" xfId="39951"/>
    <cellStyle name="输出 2 2 8 2 5" xfId="39952"/>
    <cellStyle name="输出 2 2 8 2 6" xfId="39953"/>
    <cellStyle name="输出 2 2 8 2 7" xfId="39954"/>
    <cellStyle name="输出 2 2 8 2 8" xfId="39955"/>
    <cellStyle name="输出 2 8 5 3 2 2" xfId="39956"/>
    <cellStyle name="输出 2 2 8 2 9" xfId="39957"/>
    <cellStyle name="输出 2 2 9 11 2" xfId="39958"/>
    <cellStyle name="输入 2 9 16" xfId="39959"/>
    <cellStyle name="输入 2 9 21" xfId="39960"/>
    <cellStyle name="输出 2 2 9 12 2" xfId="39961"/>
    <cellStyle name="输出 2 2 9 2 2 2" xfId="39962"/>
    <cellStyle name="输出 2 2 9 2 3" xfId="39963"/>
    <cellStyle name="输出 2 2 9 2 3 2" xfId="39964"/>
    <cellStyle name="输出 2 2 9 2 4 2" xfId="39965"/>
    <cellStyle name="输出 2 2 9 2 5" xfId="39966"/>
    <cellStyle name="输出 2 2 9 2 5 2" xfId="39967"/>
    <cellStyle name="输出 2 7 7 2 4" xfId="39968"/>
    <cellStyle name="输出 2 2 9 2 6" xfId="39969"/>
    <cellStyle name="输出 2 2 9 2 9" xfId="39970"/>
    <cellStyle name="输出 2 25" xfId="39971"/>
    <cellStyle name="输入 2 10 6 14" xfId="39972"/>
    <cellStyle name="输出 2 7 10 2 4 2" xfId="39973"/>
    <cellStyle name="输出 2 3 10 2 2" xfId="39974"/>
    <cellStyle name="输出 2 3 10 2 2 2" xfId="39975"/>
    <cellStyle name="输出 2 3 10 2 3 2" xfId="39976"/>
    <cellStyle name="输出 2 3 10 2 4 2" xfId="39977"/>
    <cellStyle name="注释 2 11 8 5 2 2" xfId="39978"/>
    <cellStyle name="输出 2 3 10 2 5 2" xfId="39979"/>
    <cellStyle name="输入 2 10 10 8" xfId="39980"/>
    <cellStyle name="注释 2 11 8 5 3 2" xfId="39981"/>
    <cellStyle name="输出 2 3 10 2 8" xfId="39982"/>
    <cellStyle name="注释 2 11 8 5 6" xfId="39983"/>
    <cellStyle name="输出 2 3 10 2 9" xfId="39984"/>
    <cellStyle name="输出 2 7 10 2 5 2" xfId="39985"/>
    <cellStyle name="注释 2 9 7 8 2 2" xfId="39986"/>
    <cellStyle name="输出 2 3 10 3 2" xfId="39987"/>
    <cellStyle name="输出 2 3 10 3 2 2" xfId="39988"/>
    <cellStyle name="输出 2 3 10 3 3 2" xfId="39989"/>
    <cellStyle name="输出 2 3 10 3 4" xfId="39990"/>
    <cellStyle name="注释 2 11 8 6 2" xfId="39991"/>
    <cellStyle name="输出 2 3 10 3 4 2" xfId="39992"/>
    <cellStyle name="注释 2 11 8 6 2 2" xfId="39993"/>
    <cellStyle name="输出 2 3 10 3 5" xfId="39994"/>
    <cellStyle name="注释 2 11 8 6 3" xfId="39995"/>
    <cellStyle name="输出 2 3 10 3 5 2" xfId="39996"/>
    <cellStyle name="注释 2 11 8 6 3 2" xfId="39997"/>
    <cellStyle name="输出 2 3 10 4 2 2" xfId="39998"/>
    <cellStyle name="输出 2 3 10 4 3" xfId="39999"/>
    <cellStyle name="输出 2 3 10 4 3 2" xfId="40000"/>
    <cellStyle name="输出 2 3 10 4 4" xfId="40001"/>
    <cellStyle name="注释 2 11 8 7 2" xfId="40002"/>
    <cellStyle name="输出 2 3 10 4 4 2" xfId="40003"/>
    <cellStyle name="注释 2 11 8 7 2 2" xfId="40004"/>
    <cellStyle name="输出 2 3 10 4 5" xfId="40005"/>
    <cellStyle name="输入 2 8 3 7 2 2" xfId="40006"/>
    <cellStyle name="注释 2 11 8 7 3" xfId="40007"/>
    <cellStyle name="输出 2 3 10 4 5 2" xfId="40008"/>
    <cellStyle name="注释 2 11 8 7 3 2" xfId="40009"/>
    <cellStyle name="输出 2 3 10 5 2 2" xfId="40010"/>
    <cellStyle name="输出 2 3 10 5 3" xfId="40011"/>
    <cellStyle name="输出 2 4 5 14" xfId="40012"/>
    <cellStyle name="输出 2 3 10 5 3 2" xfId="40013"/>
    <cellStyle name="输出 2 3 10 5 4" xfId="40014"/>
    <cellStyle name="输入 2 10 2 3 2 2" xfId="40015"/>
    <cellStyle name="注释 2 11 8 8 2" xfId="40016"/>
    <cellStyle name="输出 2 3 10 5 4 2" xfId="40017"/>
    <cellStyle name="注释 2 11 8 8 2 2" xfId="40018"/>
    <cellStyle name="输出 2 3 10 5 5" xfId="40019"/>
    <cellStyle name="输入 2 8 3 7 3 2" xfId="40020"/>
    <cellStyle name="注释 2 11 8 8 3" xfId="40021"/>
    <cellStyle name="输出 2 3 10 5 5 2" xfId="40022"/>
    <cellStyle name="注释 2 11 8 8 3 2" xfId="40023"/>
    <cellStyle name="输出 2 3 10 7 2 2" xfId="40024"/>
    <cellStyle name="输出 2 3 10 8 2" xfId="40025"/>
    <cellStyle name="输出 2 3 10 8 2 2" xfId="40026"/>
    <cellStyle name="输出 2 3 10 9 2" xfId="40027"/>
    <cellStyle name="输出 2 7 10 3 4 2" xfId="40028"/>
    <cellStyle name="输出 2 8 17 5" xfId="40029"/>
    <cellStyle name="输出 2 3 11 2 2" xfId="40030"/>
    <cellStyle name="注释 2 8 4" xfId="40031"/>
    <cellStyle name="输出 2 3 11 2 2 2" xfId="40032"/>
    <cellStyle name="注释 2 8 4 2" xfId="40033"/>
    <cellStyle name="输出 2 3 11 2 3" xfId="40034"/>
    <cellStyle name="注释 2 8 5" xfId="40035"/>
    <cellStyle name="输出 2 3 11 2 3 2" xfId="40036"/>
    <cellStyle name="注释 2 8 5 2" xfId="40037"/>
    <cellStyle name="输出 2 3 11 2 4" xfId="40038"/>
    <cellStyle name="注释 2 11 9 5 2" xfId="40039"/>
    <cellStyle name="注释 2 8 6" xfId="40040"/>
    <cellStyle name="输出 2 3 11 2 4 2" xfId="40041"/>
    <cellStyle name="注释 2 11 9 5 2 2" xfId="40042"/>
    <cellStyle name="注释 2 8 6 2" xfId="40043"/>
    <cellStyle name="输出 2 3 11 2 5" xfId="40044"/>
    <cellStyle name="注释 2 11 9 5 3" xfId="40045"/>
    <cellStyle name="注释 2 8 7" xfId="40046"/>
    <cellStyle name="输出 2 3 11 2 5 2" xfId="40047"/>
    <cellStyle name="注释 2 11 9 5 3 2" xfId="40048"/>
    <cellStyle name="注释 2 12 10 9" xfId="40049"/>
    <cellStyle name="注释 2 8 7 2" xfId="40050"/>
    <cellStyle name="输出 2 3 11 2 6" xfId="40051"/>
    <cellStyle name="注释 2 11 9 5 4" xfId="40052"/>
    <cellStyle name="注释 2 8 8" xfId="40053"/>
    <cellStyle name="输出 2 7 10 3 5" xfId="40054"/>
    <cellStyle name="注释 2 8 8 7 2 2" xfId="40055"/>
    <cellStyle name="注释 2 9 7 9 2" xfId="40056"/>
    <cellStyle name="输出 2 3 11 3" xfId="40057"/>
    <cellStyle name="输出 2 7 10 3 5 2" xfId="40058"/>
    <cellStyle name="输出 2 8 18 5" xfId="40059"/>
    <cellStyle name="输出 2 3 11 3 2" xfId="40060"/>
    <cellStyle name="注释 2 9 4" xfId="40061"/>
    <cellStyle name="输出 2 3 11 3 2 2" xfId="40062"/>
    <cellStyle name="注释 2 9 4 2" xfId="40063"/>
    <cellStyle name="输出 2 3 11 3 3" xfId="40064"/>
    <cellStyle name="注释 2 9 5" xfId="40065"/>
    <cellStyle name="输出 2 3 11 3 3 2" xfId="40066"/>
    <cellStyle name="注释 2 9 5 2" xfId="40067"/>
    <cellStyle name="输出 2 3 11 3 4" xfId="40068"/>
    <cellStyle name="注释 2 11 9 6 2" xfId="40069"/>
    <cellStyle name="注释 2 9 6" xfId="40070"/>
    <cellStyle name="输出 2 3 11 3 4 2" xfId="40071"/>
    <cellStyle name="注释 2 11 9 6 2 2" xfId="40072"/>
    <cellStyle name="注释 2 9 6 2" xfId="40073"/>
    <cellStyle name="输出 2 3 11 3 5" xfId="40074"/>
    <cellStyle name="注释 2 11 9 6 3" xfId="40075"/>
    <cellStyle name="注释 2 9 7" xfId="40076"/>
    <cellStyle name="输出 2 3 11 3 5 2" xfId="40077"/>
    <cellStyle name="注释 2 11 9 6 3 2" xfId="40078"/>
    <cellStyle name="注释 2 9 7 2" xfId="40079"/>
    <cellStyle name="输出 2 3 11 3 6" xfId="40080"/>
    <cellStyle name="注释 2 11 9 6 4" xfId="40081"/>
    <cellStyle name="注释 2 9 8" xfId="40082"/>
    <cellStyle name="输出 2 3 11 4 2 2" xfId="40083"/>
    <cellStyle name="输出 2 3 11 4 3" xfId="40084"/>
    <cellStyle name="输出 2 3 11 4 3 2" xfId="40085"/>
    <cellStyle name="输出 2 3 11 4 4" xfId="40086"/>
    <cellStyle name="注释 2 11 9 7 2" xfId="40087"/>
    <cellStyle name="输出 2 3 11 4 4 2" xfId="40088"/>
    <cellStyle name="注释 2 11 9 7 2 2" xfId="40089"/>
    <cellStyle name="输出 2 3 11 4 5" xfId="40090"/>
    <cellStyle name="输入 2 8 3 8 2 2" xfId="40091"/>
    <cellStyle name="注释 2 11 9 7 3" xfId="40092"/>
    <cellStyle name="输出 2 3 11 4 5 2" xfId="40093"/>
    <cellStyle name="注释 2 11 9 7 3 2" xfId="40094"/>
    <cellStyle name="输出 2 3 11 5 2 2" xfId="40095"/>
    <cellStyle name="输出 2 3 11 5 3" xfId="40096"/>
    <cellStyle name="输出 2 3 11 5 3 2" xfId="40097"/>
    <cellStyle name="输出 2 9 5 14" xfId="40098"/>
    <cellStyle name="输出 2 3 11 5 4" xfId="40099"/>
    <cellStyle name="输入 2 10 2 4 2 2" xfId="40100"/>
    <cellStyle name="注释 2 11 9 8 2" xfId="40101"/>
    <cellStyle name="输出 2 3 11 5 4 2" xfId="40102"/>
    <cellStyle name="注释 2 11 9 8 2 2" xfId="40103"/>
    <cellStyle name="输出 2 3 11 5 5" xfId="40104"/>
    <cellStyle name="输入 2 8 3 8 3 2" xfId="40105"/>
    <cellStyle name="注释 2 11 9 8 3" xfId="40106"/>
    <cellStyle name="输出 2 3 11 5 5 2" xfId="40107"/>
    <cellStyle name="注释 2 11 9 8 3 2" xfId="40108"/>
    <cellStyle name="输出 2 3 11 6 2 2" xfId="40109"/>
    <cellStyle name="输入 2 10 10 6 4" xfId="40110"/>
    <cellStyle name="输出 2 3 11 7 2 2" xfId="40111"/>
    <cellStyle name="输入 2 10 11 6 4" xfId="40112"/>
    <cellStyle name="输出 2 3 11 8 2" xfId="40113"/>
    <cellStyle name="输出 2 3 11 9 2" xfId="40114"/>
    <cellStyle name="输出 2 7 10 4 4 2" xfId="40115"/>
    <cellStyle name="输出 2 3 12 2 2" xfId="40116"/>
    <cellStyle name="输出 2 7 10 4 5" xfId="40117"/>
    <cellStyle name="注释 2 8 8 7 3 2" xfId="40118"/>
    <cellStyle name="输出 2 3 12 3" xfId="40119"/>
    <cellStyle name="输出 2 7 10 4 5 2" xfId="40120"/>
    <cellStyle name="输出 2 3 12 3 2" xfId="40121"/>
    <cellStyle name="输出 2 3 12 8" xfId="40122"/>
    <cellStyle name="输出 2 3 12 9" xfId="40123"/>
    <cellStyle name="注释 2 12 4 2 3 2" xfId="40124"/>
    <cellStyle name="输出 2 7 10 5 4 2" xfId="40125"/>
    <cellStyle name="输出 2 3 13 2 2" xfId="40126"/>
    <cellStyle name="输出 2 7 10 5 5" xfId="40127"/>
    <cellStyle name="注释 2 8 8 7 4 2" xfId="40128"/>
    <cellStyle name="输出 2 3 13 3" xfId="40129"/>
    <cellStyle name="输出 2 7 10 5 5 2" xfId="40130"/>
    <cellStyle name="输出 2 3 13 3 2" xfId="40131"/>
    <cellStyle name="输出 2 7 10 5 6" xfId="40132"/>
    <cellStyle name="输出 2 3 13 4" xfId="40133"/>
    <cellStyle name="输出 2 3 13 4 2" xfId="40134"/>
    <cellStyle name="输出 2 3 13 6" xfId="40135"/>
    <cellStyle name="输入 2 7 4 6 3 2" xfId="40136"/>
    <cellStyle name="输出 2 7 10 6 4 2" xfId="40137"/>
    <cellStyle name="输出 2 3 14 2 2" xfId="40138"/>
    <cellStyle name="输出 2 7 10 6 5" xfId="40139"/>
    <cellStyle name="注释 2 8 8 7 5 2" xfId="40140"/>
    <cellStyle name="输出 2 3 14 3" xfId="40141"/>
    <cellStyle name="输出 2 7 10 6 5 2" xfId="40142"/>
    <cellStyle name="输出 2 3 14 3 2" xfId="40143"/>
    <cellStyle name="输出 2 7 10 6 6" xfId="40144"/>
    <cellStyle name="输出 2 3 14 4" xfId="40145"/>
    <cellStyle name="输出 2 3 14 4 2" xfId="40146"/>
    <cellStyle name="输出 2 3 14 5 2" xfId="40147"/>
    <cellStyle name="输出 2 3 14 6" xfId="40148"/>
    <cellStyle name="输入 2 7 4 6 4 2" xfId="40149"/>
    <cellStyle name="输出 2 7 10 7 4" xfId="40150"/>
    <cellStyle name="输出 2 3 20 2" xfId="40151"/>
    <cellStyle name="输出 2 3 15 2" xfId="40152"/>
    <cellStyle name="注释 2 7 5 2 8" xfId="40153"/>
    <cellStyle name="输出 2 7 10 7 4 2" xfId="40154"/>
    <cellStyle name="输出 2 3 15 2 2" xfId="40155"/>
    <cellStyle name="输出 2 7 10 7 5" xfId="40156"/>
    <cellStyle name="输出 2 3 15 3" xfId="40157"/>
    <cellStyle name="注释 2 7 5 2 9" xfId="40158"/>
    <cellStyle name="输出 2 7 10 7 5 2" xfId="40159"/>
    <cellStyle name="输出 2 3 15 3 2" xfId="40160"/>
    <cellStyle name="输出 2 7 10 7 6" xfId="40161"/>
    <cellStyle name="输出 2 3 15 4" xfId="40162"/>
    <cellStyle name="输出 2 3 15 4 2" xfId="40163"/>
    <cellStyle name="输出 2 3 15 5" xfId="40164"/>
    <cellStyle name="输出 2 3 15 5 2" xfId="40165"/>
    <cellStyle name="输出 2 3 21" xfId="40166"/>
    <cellStyle name="输出 2 3 16" xfId="40167"/>
    <cellStyle name="输出 2 7 10 8 4" xfId="40168"/>
    <cellStyle name="输出 2 3 21 2" xfId="40169"/>
    <cellStyle name="输出 2 3 16 2" xfId="40170"/>
    <cellStyle name="输出 2 7 10 8 4 2" xfId="40171"/>
    <cellStyle name="输出 2 9 17 5" xfId="40172"/>
    <cellStyle name="输出 2 3 16 2 2" xfId="40173"/>
    <cellStyle name="输出 2 7 10 8 5" xfId="40174"/>
    <cellStyle name="输出 2 3 16 3" xfId="40175"/>
    <cellStyle name="输出 2 3 16 3 2" xfId="40176"/>
    <cellStyle name="输出 2 3 16 4" xfId="40177"/>
    <cellStyle name="输出 2 3 16 4 2" xfId="40178"/>
    <cellStyle name="输出 2 3 16 5" xfId="40179"/>
    <cellStyle name="输出 2 3 16 5 2" xfId="40180"/>
    <cellStyle name="输入 2 10 5" xfId="40181"/>
    <cellStyle name="输出 2 3 22" xfId="40182"/>
    <cellStyle name="输出 2 3 17" xfId="40183"/>
    <cellStyle name="输出 2 3 22 2" xfId="40184"/>
    <cellStyle name="输出 2 3 17 2" xfId="40185"/>
    <cellStyle name="输出 2 3 17 3" xfId="40186"/>
    <cellStyle name="输出 2 3 17 4" xfId="40187"/>
    <cellStyle name="输出 2 3 17 5" xfId="40188"/>
    <cellStyle name="输出 2 3 23" xfId="40189"/>
    <cellStyle name="输出 2 3 18" xfId="40190"/>
    <cellStyle name="输出 2 3 23 2" xfId="40191"/>
    <cellStyle name="输出 2 3 18 2" xfId="40192"/>
    <cellStyle name="输出 2 6 10 2 3" xfId="40193"/>
    <cellStyle name="输出 2 3 18 2 2" xfId="40194"/>
    <cellStyle name="输出 2 3 18 3" xfId="40195"/>
    <cellStyle name="输出 2 6 10 3 3" xfId="40196"/>
    <cellStyle name="输出 2 3 18 3 2" xfId="40197"/>
    <cellStyle name="输出 2 3 18 4" xfId="40198"/>
    <cellStyle name="输出 2 6 10 4 3" xfId="40199"/>
    <cellStyle name="输出 2 3 18 4 2" xfId="40200"/>
    <cellStyle name="输出 2 3 18 5" xfId="40201"/>
    <cellStyle name="输出 2 3 18 6" xfId="40202"/>
    <cellStyle name="输出 2 3 19 2" xfId="40203"/>
    <cellStyle name="输出 2 6 11 2 3" xfId="40204"/>
    <cellStyle name="输出 2 3 19 2 2" xfId="40205"/>
    <cellStyle name="输出 2 3 19 3" xfId="40206"/>
    <cellStyle name="输出 2 6 11 3 3" xfId="40207"/>
    <cellStyle name="输出 2 3 19 3 2" xfId="40208"/>
    <cellStyle name="输出 2 3 19 4" xfId="40209"/>
    <cellStyle name="输出 2 6 11 4 3" xfId="40210"/>
    <cellStyle name="注释 2 3 25" xfId="40211"/>
    <cellStyle name="输出 2 3 19 4 2" xfId="40212"/>
    <cellStyle name="输出 2 3 19 5" xfId="40213"/>
    <cellStyle name="输出 2 3 2" xfId="40214"/>
    <cellStyle name="注释 2 15 7 3" xfId="40215"/>
    <cellStyle name="输出 2 3 2 10" xfId="40216"/>
    <cellStyle name="输出 2 3 2 16" xfId="40217"/>
    <cellStyle name="输出 2 3 2 2 3" xfId="40218"/>
    <cellStyle name="输入 2 7 9 7" xfId="40219"/>
    <cellStyle name="输出 2 3 2 2 4" xfId="40220"/>
    <cellStyle name="输入 2 7 9 8" xfId="40221"/>
    <cellStyle name="输出 2 3 2 2 5" xfId="40222"/>
    <cellStyle name="输入 2 7 9 9" xfId="40223"/>
    <cellStyle name="注释 2 6 4 5 2 2" xfId="40224"/>
    <cellStyle name="输出 2 3 2 2 7" xfId="40225"/>
    <cellStyle name="输出 2 3 2 2 8" xfId="40226"/>
    <cellStyle name="输出 2 3 2 4 2" xfId="40227"/>
    <cellStyle name="输入 2 6 9 10" xfId="40228"/>
    <cellStyle name="输出 2 3 2 5" xfId="40229"/>
    <cellStyle name="输出 2 3 2 6 2" xfId="40230"/>
    <cellStyle name="输出 2 3 2 7" xfId="40231"/>
    <cellStyle name="输出 2 3 2 7 2" xfId="40232"/>
    <cellStyle name="输出 2 3 2 8" xfId="40233"/>
    <cellStyle name="输出 2 3 2 8 2" xfId="40234"/>
    <cellStyle name="输出 2 3 2 9" xfId="40235"/>
    <cellStyle name="输出 2 3 2 9 2" xfId="40236"/>
    <cellStyle name="输出 2 3 25" xfId="40237"/>
    <cellStyle name="输出 2 3 26" xfId="40238"/>
    <cellStyle name="输出 2 3 27" xfId="40239"/>
    <cellStyle name="输出 2 3 3 10" xfId="40240"/>
    <cellStyle name="输出 2 3 3 10 2" xfId="40241"/>
    <cellStyle name="输入 2 2 9 5 6" xfId="40242"/>
    <cellStyle name="输出 2 3 3 15" xfId="40243"/>
    <cellStyle name="注释 2 4 11 6 3" xfId="40244"/>
    <cellStyle name="输出 2 3 3 16" xfId="40245"/>
    <cellStyle name="注释 2 4 11 6 4" xfId="40246"/>
    <cellStyle name="输出 2 5 10 3 5 2" xfId="40247"/>
    <cellStyle name="输出 2 3 5 6 6" xfId="40248"/>
    <cellStyle name="输出 2 3 3 2 2 2" xfId="40249"/>
    <cellStyle name="输入 2 8 9 6 2" xfId="40250"/>
    <cellStyle name="输出 2 3 5 7 6" xfId="40251"/>
    <cellStyle name="输出 2 3 3 2 3 2" xfId="40252"/>
    <cellStyle name="输入 2 8 9 7 2" xfId="40253"/>
    <cellStyle name="输出 2 3 3 2 7" xfId="40254"/>
    <cellStyle name="输出 2 5 10 4 5" xfId="40255"/>
    <cellStyle name="输出 2 3 3 3 2" xfId="40256"/>
    <cellStyle name="输出 2 3 3 4" xfId="40257"/>
    <cellStyle name="输出 2 5 10 5 5" xfId="40258"/>
    <cellStyle name="输入 2 12 3 12" xfId="40259"/>
    <cellStyle name="输出 2 3 3 4 2" xfId="40260"/>
    <cellStyle name="输出 2 3 3 5" xfId="40261"/>
    <cellStyle name="输出 2 5 10 6 5" xfId="40262"/>
    <cellStyle name="输出 2 3 3 5 2" xfId="40263"/>
    <cellStyle name="输出 2 5 10 7 5" xfId="40264"/>
    <cellStyle name="输出 2 3 3 6 2" xfId="40265"/>
    <cellStyle name="输出 2 3 3 7" xfId="40266"/>
    <cellStyle name="输出 2 5 10 8 5" xfId="40267"/>
    <cellStyle name="输出 2 3 3 7 2" xfId="40268"/>
    <cellStyle name="输出 2 3 3 8" xfId="40269"/>
    <cellStyle name="输出 2 3 3 8 2" xfId="40270"/>
    <cellStyle name="输出 2 3 3 9" xfId="40271"/>
    <cellStyle name="输出 2 3 3 9 2" xfId="40272"/>
    <cellStyle name="输出 2 3 4 10" xfId="40273"/>
    <cellStyle name="输出 2 5 11 3 5 2" xfId="40274"/>
    <cellStyle name="输出 2 4 5 6 6" xfId="40275"/>
    <cellStyle name="输出 2 3 4 2 2 2" xfId="40276"/>
    <cellStyle name="输入 2 9 9 6 2" xfId="40277"/>
    <cellStyle name="输出 2 5 11 3 6" xfId="40278"/>
    <cellStyle name="输出 2 3 4 2 3" xfId="40279"/>
    <cellStyle name="输入 2 9 9 7" xfId="40280"/>
    <cellStyle name="输出 2 4 5 7 6" xfId="40281"/>
    <cellStyle name="输出 2 3 4 2 3 2" xfId="40282"/>
    <cellStyle name="输入 2 9 9 7 2" xfId="40283"/>
    <cellStyle name="输出 2 3 4 2 4" xfId="40284"/>
    <cellStyle name="输入 2 9 9 8" xfId="40285"/>
    <cellStyle name="输出 2 3 4 2 5" xfId="40286"/>
    <cellStyle name="输入 2 9 9 9" xfId="40287"/>
    <cellStyle name="注释 2 6 4 7 2 2" xfId="40288"/>
    <cellStyle name="输出 2 3 4 2 7" xfId="40289"/>
    <cellStyle name="输出 2 3 4 2 8" xfId="40290"/>
    <cellStyle name="输出 2 3 4 3 4" xfId="40291"/>
    <cellStyle name="输出 2 3 4 3 5" xfId="40292"/>
    <cellStyle name="注释 2 6 4 7 3 2" xfId="40293"/>
    <cellStyle name="输出 2 5 10 2 2 2" xfId="40294"/>
    <cellStyle name="输出 2 3 4 3 6" xfId="40295"/>
    <cellStyle name="输出 2 5 11 5 5" xfId="40296"/>
    <cellStyle name="输入 2 12 8 12" xfId="40297"/>
    <cellStyle name="输出 2 3 4 4 2" xfId="40298"/>
    <cellStyle name="输出 2 3 4 4 4" xfId="40299"/>
    <cellStyle name="输出 2 3 4 4 5" xfId="40300"/>
    <cellStyle name="注释 2 6 4 7 4 2" xfId="40301"/>
    <cellStyle name="输出 2 5 10 2 3 2" xfId="40302"/>
    <cellStyle name="输出 2 3 4 4 6" xfId="40303"/>
    <cellStyle name="输出 2 5 11 6 5" xfId="40304"/>
    <cellStyle name="输出 2 3 4 5 2" xfId="40305"/>
    <cellStyle name="输出 2 3 4 5 4" xfId="40306"/>
    <cellStyle name="输出 2 3 4 5 5" xfId="40307"/>
    <cellStyle name="注释 2 15 2 2 2" xfId="40308"/>
    <cellStyle name="注释 2 6 4 7 5 2" xfId="40309"/>
    <cellStyle name="输出 2 5 10 2 4 2" xfId="40310"/>
    <cellStyle name="输出 2 3 4 5 6" xfId="40311"/>
    <cellStyle name="输出 2 5 11 7 5" xfId="40312"/>
    <cellStyle name="输出 2 3 4 6 2" xfId="40313"/>
    <cellStyle name="输出 2 5 11 8 5" xfId="40314"/>
    <cellStyle name="输出 2 3 4 7 2" xfId="40315"/>
    <cellStyle name="输出 2 3 4 7 3" xfId="40316"/>
    <cellStyle name="输出 2 3 4 7 6" xfId="40317"/>
    <cellStyle name="输出 2 3 4 8" xfId="40318"/>
    <cellStyle name="输出 2 3 4 8 2" xfId="40319"/>
    <cellStyle name="输出 2 3 4 9" xfId="40320"/>
    <cellStyle name="输出 2 3 4 9 2" xfId="40321"/>
    <cellStyle name="输出 2 3 5" xfId="40322"/>
    <cellStyle name="注释 2 15 7 6" xfId="40323"/>
    <cellStyle name="输出 2 3 5 10" xfId="40324"/>
    <cellStyle name="输出 2 3 5 16" xfId="40325"/>
    <cellStyle name="注释 2 9 2 4 5 2" xfId="40326"/>
    <cellStyle name="输出 2 3 5 2 3" xfId="40327"/>
    <cellStyle name="注释 2 2 11 4" xfId="40328"/>
    <cellStyle name="输出 2 3 5 2 4" xfId="40329"/>
    <cellStyle name="注释 2 2 11 5" xfId="40330"/>
    <cellStyle name="输出 2 3 5 2 5" xfId="40331"/>
    <cellStyle name="注释 2 2 11 6" xfId="40332"/>
    <cellStyle name="注释 2 6 4 8 2 2" xfId="40333"/>
    <cellStyle name="输出 2 3 5 2 7" xfId="40334"/>
    <cellStyle name="注释 2 2 11 8" xfId="40335"/>
    <cellStyle name="输出 2 3 5 2 8" xfId="40336"/>
    <cellStyle name="注释 2 2 11 9" xfId="40337"/>
    <cellStyle name="输出 2 3 5 3 4" xfId="40338"/>
    <cellStyle name="注释 2 2 12 5" xfId="40339"/>
    <cellStyle name="输出 2 3 5 3 5" xfId="40340"/>
    <cellStyle name="注释 2 2 12 6" xfId="40341"/>
    <cellStyle name="注释 2 6 4 8 3 2" xfId="40342"/>
    <cellStyle name="输出 2 3 5 4 2" xfId="40343"/>
    <cellStyle name="注释 2 2 13 3" xfId="40344"/>
    <cellStyle name="输出 2 3 5 4 4" xfId="40345"/>
    <cellStyle name="注释 2 2 13 5" xfId="40346"/>
    <cellStyle name="输出 2 3 5 4 5" xfId="40347"/>
    <cellStyle name="注释 2 2 13 6" xfId="40348"/>
    <cellStyle name="注释 2 6 4 8 4 2" xfId="40349"/>
    <cellStyle name="输出 2 3 5 5" xfId="40350"/>
    <cellStyle name="输出 2 3 5 5 4" xfId="40351"/>
    <cellStyle name="注释 2 2 14 5" xfId="40352"/>
    <cellStyle name="输出 2 3 5 5 5" xfId="40353"/>
    <cellStyle name="注释 2 15 3 2 2" xfId="40354"/>
    <cellStyle name="注释 2 2 14 6" xfId="40355"/>
    <cellStyle name="输出 2 3 5 6 2" xfId="40356"/>
    <cellStyle name="注释 2 2 15 3" xfId="40357"/>
    <cellStyle name="输出 2 3 5 6 4" xfId="40358"/>
    <cellStyle name="注释 2 2 15 5" xfId="40359"/>
    <cellStyle name="输出 2 3 5 7" xfId="40360"/>
    <cellStyle name="输入 2 2 6 2 2" xfId="40361"/>
    <cellStyle name="输出 2 3 5 7 2" xfId="40362"/>
    <cellStyle name="输入 2 2 6 2 2 2" xfId="40363"/>
    <cellStyle name="注释 2 2 16 3" xfId="40364"/>
    <cellStyle name="输出 2 3 5 7 3" xfId="40365"/>
    <cellStyle name="注释 2 2 16 4" xfId="40366"/>
    <cellStyle name="输出 2 3 5 8" xfId="40367"/>
    <cellStyle name="输入 2 2 6 2 3" xfId="40368"/>
    <cellStyle name="输出 2 3 5 8 2" xfId="40369"/>
    <cellStyle name="输入 2 2 6 2 3 2" xfId="40370"/>
    <cellStyle name="注释 2 2 17 3" xfId="40371"/>
    <cellStyle name="输出 2 3 5 9" xfId="40372"/>
    <cellStyle name="输入 2 2 6 2 4" xfId="40373"/>
    <cellStyle name="注释 2 4 4 4 2 2" xfId="40374"/>
    <cellStyle name="输出 2 3 5 9 2" xfId="40375"/>
    <cellStyle name="输入 2 2 6 2 4 2" xfId="40376"/>
    <cellStyle name="注释 2 2 18 3" xfId="40377"/>
    <cellStyle name="输出 2 3 6" xfId="40378"/>
    <cellStyle name="输出 2 3 6 11" xfId="40379"/>
    <cellStyle name="输入 2 6 8 7 5 2" xfId="40380"/>
    <cellStyle name="输出 2 3 6 12" xfId="40381"/>
    <cellStyle name="输出 2 3 6 13" xfId="40382"/>
    <cellStyle name="输出 2 3 6 14" xfId="40383"/>
    <cellStyle name="输出 2 3 6 2 3" xfId="40384"/>
    <cellStyle name="输出 2 3 6 2 4" xfId="40385"/>
    <cellStyle name="输出 2 3 6 2 5" xfId="40386"/>
    <cellStyle name="输出 2 3 6 2 6" xfId="40387"/>
    <cellStyle name="输出 2 3 6 2 7" xfId="40388"/>
    <cellStyle name="输出 2 3 6 2 8" xfId="40389"/>
    <cellStyle name="输出 2 3 6 2 9" xfId="40390"/>
    <cellStyle name="输入 2 12 2 2 4 2" xfId="40391"/>
    <cellStyle name="输出 2 3 7" xfId="40392"/>
    <cellStyle name="输入 2 10 6 2 2" xfId="40393"/>
    <cellStyle name="输出 2 3 7 10" xfId="40394"/>
    <cellStyle name="输出 2 3 7 12" xfId="40395"/>
    <cellStyle name="输出 2 3 7 12 2" xfId="40396"/>
    <cellStyle name="输入 2 3 4 7 6" xfId="40397"/>
    <cellStyle name="输出 2 3 7 13" xfId="40398"/>
    <cellStyle name="输出 2 3 7 14" xfId="40399"/>
    <cellStyle name="输出 2 3 7 2 3" xfId="40400"/>
    <cellStyle name="输出 2 3 7 2 5" xfId="40401"/>
    <cellStyle name="输出 2 3 7 2 6" xfId="40402"/>
    <cellStyle name="输出 2 3 7 2 7" xfId="40403"/>
    <cellStyle name="输出 2 3 7 2 8" xfId="40404"/>
    <cellStyle name="输出 2 8 6 2 2 2" xfId="40405"/>
    <cellStyle name="输出 2 3 8 11 2" xfId="40406"/>
    <cellStyle name="输入 2 3 9 6 6" xfId="40407"/>
    <cellStyle name="输出 2 3 8 12 2" xfId="40408"/>
    <cellStyle name="输入 2 3 9 7 6" xfId="40409"/>
    <cellStyle name="输出 2 3 8 2 2 2" xfId="40410"/>
    <cellStyle name="输出 2 3 8 2 3" xfId="40411"/>
    <cellStyle name="输出 2 3 8 2 3 2" xfId="40412"/>
    <cellStyle name="输出 2 3 8 2 4 2" xfId="40413"/>
    <cellStyle name="输出 2 3 8 2 5" xfId="40414"/>
    <cellStyle name="输出 2 3 8 2 5 2" xfId="40415"/>
    <cellStyle name="输出 2 3 8 2 6" xfId="40416"/>
    <cellStyle name="输出 2 3 8 2 7" xfId="40417"/>
    <cellStyle name="输出 2 3 8 2 8" xfId="40418"/>
    <cellStyle name="输出 2 8 6 3 2 2" xfId="40419"/>
    <cellStyle name="输出 2 3 8 2 9" xfId="40420"/>
    <cellStyle name="输入 2 12 2 4 4 2" xfId="40421"/>
    <cellStyle name="输出 2 3 9" xfId="40422"/>
    <cellStyle name="输入 2 10 6 2 4" xfId="40423"/>
    <cellStyle name="输出 2 3 9 2 2 2" xfId="40424"/>
    <cellStyle name="输入 2 3 6 6" xfId="40425"/>
    <cellStyle name="输出 2 3 9 2 3" xfId="40426"/>
    <cellStyle name="输出 2 3 9 2 3 2" xfId="40427"/>
    <cellStyle name="输入 2 3 7 6" xfId="40428"/>
    <cellStyle name="输出 2 3 9 2 4 2" xfId="40429"/>
    <cellStyle name="输入 2 3 8 6" xfId="40430"/>
    <cellStyle name="输出 2 3 9 2 5" xfId="40431"/>
    <cellStyle name="输出 2 3 9 2 5 2" xfId="40432"/>
    <cellStyle name="输入 2 3 9 6" xfId="40433"/>
    <cellStyle name="输出 2 3 9 2 6" xfId="40434"/>
    <cellStyle name="输出 2 3 9 2 9" xfId="40435"/>
    <cellStyle name="输入 2 12 2 5 4 2" xfId="40436"/>
    <cellStyle name="输出 2 4" xfId="40437"/>
    <cellStyle name="输出 2 4 10 2 5 2" xfId="40438"/>
    <cellStyle name="输出 2 4 10 2 6" xfId="40439"/>
    <cellStyle name="输出 2 4 10 2 7" xfId="40440"/>
    <cellStyle name="输出 2 4 10 3" xfId="40441"/>
    <cellStyle name="输出 2 4 10 3 5 2" xfId="40442"/>
    <cellStyle name="输出 2 6 4 7 4" xfId="40443"/>
    <cellStyle name="输出 2 4 10 4 2 2" xfId="40444"/>
    <cellStyle name="注释 2 8 19 4 2" xfId="40445"/>
    <cellStyle name="输出 2 4 10 4 3" xfId="40446"/>
    <cellStyle name="注释 2 8 19 5" xfId="40447"/>
    <cellStyle name="输出 2 4 10 4 4" xfId="40448"/>
    <cellStyle name="输出 2 4 10 4 4 2" xfId="40449"/>
    <cellStyle name="输出 2 4 10 4 5" xfId="40450"/>
    <cellStyle name="输入 2 8 8 7 2 2" xfId="40451"/>
    <cellStyle name="输出 2 4 10 4 5 2" xfId="40452"/>
    <cellStyle name="输出 2 6 5 7 4" xfId="40453"/>
    <cellStyle name="输出 2 4 10 5 2 2" xfId="40454"/>
    <cellStyle name="输出 2 4 10 5 3" xfId="40455"/>
    <cellStyle name="输出 2 4 10 5 4" xfId="40456"/>
    <cellStyle name="输入 2 10 7 3 2 2" xfId="40457"/>
    <cellStyle name="输出 2 4 10 5 4 2" xfId="40458"/>
    <cellStyle name="输出 2 4 10 5 5" xfId="40459"/>
    <cellStyle name="输入 2 8 8 7 3 2" xfId="40460"/>
    <cellStyle name="输出 2 4 10 5 5 2" xfId="40461"/>
    <cellStyle name="输出 2 4 10 6 3" xfId="40462"/>
    <cellStyle name="输出 2 4 10 6 4" xfId="40463"/>
    <cellStyle name="输入 2 10 7 3 3 2" xfId="40464"/>
    <cellStyle name="输出 2 4 10 6 5" xfId="40465"/>
    <cellStyle name="输入 2 8 8 7 4 2" xfId="40466"/>
    <cellStyle name="输出 2 4 10 6 5 2" xfId="40467"/>
    <cellStyle name="输出 2 4 10 7 3" xfId="40468"/>
    <cellStyle name="输出 2 4 10 7 4" xfId="40469"/>
    <cellStyle name="输入 2 10 7 3 4 2" xfId="40470"/>
    <cellStyle name="输出 2 4 10 7 5" xfId="40471"/>
    <cellStyle name="输入 2 8 8 7 5 2" xfId="40472"/>
    <cellStyle name="输出 2 4 10 7 5 2" xfId="40473"/>
    <cellStyle name="输出 2 4 10 8 2" xfId="40474"/>
    <cellStyle name="输出 2 4 10 8 3" xfId="40475"/>
    <cellStyle name="输出 2 4 10 8 4" xfId="40476"/>
    <cellStyle name="输入 2 10 7 3 5 2" xfId="40477"/>
    <cellStyle name="输出 2 4 10 9" xfId="40478"/>
    <cellStyle name="输出 2 4 10 9 2" xfId="40479"/>
    <cellStyle name="输出 2 4 11 2 6" xfId="40480"/>
    <cellStyle name="输出 2 4 11 3" xfId="40481"/>
    <cellStyle name="输出 2 4 11 3 4 2" xfId="40482"/>
    <cellStyle name="输入 2 11 16 3" xfId="40483"/>
    <cellStyle name="输出 2 4 11 3 5 2" xfId="40484"/>
    <cellStyle name="输入 2 11 17 3" xfId="40485"/>
    <cellStyle name="输出 2 4 11 3 6" xfId="40486"/>
    <cellStyle name="输出 2 4 11 4 2 2" xfId="40487"/>
    <cellStyle name="输出 2 4 11 4 3" xfId="40488"/>
    <cellStyle name="输出 2 4 11 4 3 2" xfId="40489"/>
    <cellStyle name="输出 2 4 11 4 4" xfId="40490"/>
    <cellStyle name="输出 2 4 11 4 4 2" xfId="40491"/>
    <cellStyle name="输出 2 4 11 4 5 2" xfId="40492"/>
    <cellStyle name="输出 2 4 11 5 2 2" xfId="40493"/>
    <cellStyle name="输出 2 4 11 5 3" xfId="40494"/>
    <cellStyle name="输出 2 4 11 5 3 2" xfId="40495"/>
    <cellStyle name="输出 2 4 11 5 4" xfId="40496"/>
    <cellStyle name="输入 2 10 7 4 2 2" xfId="40497"/>
    <cellStyle name="输出 2 4 11 5 4 2" xfId="40498"/>
    <cellStyle name="输出 2 4 11 5 5" xfId="40499"/>
    <cellStyle name="输入 2 8 8 8 3 2" xfId="40500"/>
    <cellStyle name="输出 2 4 11 5 5 2" xfId="40501"/>
    <cellStyle name="输出 2 4 11 6 5 2" xfId="40502"/>
    <cellStyle name="输出 2 4 11 7 4" xfId="40503"/>
    <cellStyle name="输入 2 10 7 4 4 2" xfId="40504"/>
    <cellStyle name="输出 2 4 11 7 5" xfId="40505"/>
    <cellStyle name="输出 2 4 11 7 5 2" xfId="40506"/>
    <cellStyle name="输出 2 4 11 8 2" xfId="40507"/>
    <cellStyle name="注释 2 3 5 2 3 2" xfId="40508"/>
    <cellStyle name="输出 2 4 11 8 4" xfId="40509"/>
    <cellStyle name="输入 2 10 7 4 5 2" xfId="40510"/>
    <cellStyle name="输出 2 4 11 9" xfId="40511"/>
    <cellStyle name="注释 2 12 4 7 2 2" xfId="40512"/>
    <cellStyle name="注释 2 3 5 2 4" xfId="40513"/>
    <cellStyle name="输出 2 4 11 9 2" xfId="40514"/>
    <cellStyle name="注释 2 3 5 2 4 2" xfId="40515"/>
    <cellStyle name="输出 2 4 12 2" xfId="40516"/>
    <cellStyle name="输出 2 4 12 3" xfId="40517"/>
    <cellStyle name="输出 2 4 12 8" xfId="40518"/>
    <cellStyle name="注释 2 3 5 3 3" xfId="40519"/>
    <cellStyle name="输出 2 4 12 9" xfId="40520"/>
    <cellStyle name="注释 2 12 4 7 3 2" xfId="40521"/>
    <cellStyle name="注释 2 3 5 3 4" xfId="40522"/>
    <cellStyle name="输出 2 4 13 2" xfId="40523"/>
    <cellStyle name="输出 2 4 13 3" xfId="40524"/>
    <cellStyle name="输出 2 4 13 4 2" xfId="40525"/>
    <cellStyle name="输出 2 4 13 5" xfId="40526"/>
    <cellStyle name="输出 2 4 13 5 2" xfId="40527"/>
    <cellStyle name="输出 2 4 13 6" xfId="40528"/>
    <cellStyle name="输出 2 4 14 2" xfId="40529"/>
    <cellStyle name="输出 2 4 14 2 2" xfId="40530"/>
    <cellStyle name="输出 2 4 14 3 2" xfId="40531"/>
    <cellStyle name="输出 2 4 14 4 2" xfId="40532"/>
    <cellStyle name="输出 2 4 14 5" xfId="40533"/>
    <cellStyle name="输出 2 4 14 5 2" xfId="40534"/>
    <cellStyle name="输出 2 4 14 6" xfId="40535"/>
    <cellStyle name="输出 2 4 2" xfId="40536"/>
    <cellStyle name="注释 2 15 8 3" xfId="40537"/>
    <cellStyle name="输出 2 4 2 10" xfId="40538"/>
    <cellStyle name="输出 2 4 2 12" xfId="40539"/>
    <cellStyle name="注释 2 7 6 5 4 2" xfId="40540"/>
    <cellStyle name="输出 2 4 2 13" xfId="40541"/>
    <cellStyle name="输出 2 4 2 15" xfId="40542"/>
    <cellStyle name="输入 2 3 11 8 2 2" xfId="40543"/>
    <cellStyle name="输出 2 4 2 5" xfId="40544"/>
    <cellStyle name="输出 2 4 2 6 3 2" xfId="40545"/>
    <cellStyle name="输出 2 4 2 6 4 2" xfId="40546"/>
    <cellStyle name="输出 2 4 2 6 5" xfId="40547"/>
    <cellStyle name="输出 2 4 2 6 5 2" xfId="40548"/>
    <cellStyle name="输入 2 2 11 2 6" xfId="40549"/>
    <cellStyle name="输出 2 4 2 6 6" xfId="40550"/>
    <cellStyle name="输入 2 12 7 12 2" xfId="40551"/>
    <cellStyle name="输出 2 4 9 11 2" xfId="40552"/>
    <cellStyle name="输出 2 4 2 7" xfId="40553"/>
    <cellStyle name="输出 2 4 2 7 4 2" xfId="40554"/>
    <cellStyle name="输出 2 4 2 7 5" xfId="40555"/>
    <cellStyle name="输出 2 4 2 7 5 2" xfId="40556"/>
    <cellStyle name="输出 2 4 2 7 6" xfId="40557"/>
    <cellStyle name="输出 2 4 2 8" xfId="40558"/>
    <cellStyle name="输出 2 4 2 9" xfId="40559"/>
    <cellStyle name="输出 2 4 3 10" xfId="40560"/>
    <cellStyle name="输出 2 4 3 10 2" xfId="40561"/>
    <cellStyle name="输入 2 7 9 5 6" xfId="40562"/>
    <cellStyle name="输出 2 4 3 11 2" xfId="40563"/>
    <cellStyle name="输入 2 7 9 6 6" xfId="40564"/>
    <cellStyle name="输出 2 4 3 12" xfId="40565"/>
    <cellStyle name="输出 2 4 3 12 2" xfId="40566"/>
    <cellStyle name="输入 2 7 9 7 6" xfId="40567"/>
    <cellStyle name="输出 2 4 3 14" xfId="40568"/>
    <cellStyle name="输出 2 9 3 2 2" xfId="40569"/>
    <cellStyle name="输出 2 4 3 16" xfId="40570"/>
    <cellStyle name="输出 2 9 3 2 4" xfId="40571"/>
    <cellStyle name="输出 2 5 15 6" xfId="40572"/>
    <cellStyle name="输出 2 4 3 2 2 2" xfId="40573"/>
    <cellStyle name="输出 2 5 16 6" xfId="40574"/>
    <cellStyle name="输出 2 4 3 2 3 2" xfId="40575"/>
    <cellStyle name="输出 2 4 3 2 4" xfId="40576"/>
    <cellStyle name="输出 2 5 17 6" xfId="40577"/>
    <cellStyle name="输出 2 4 3 2 4 2" xfId="40578"/>
    <cellStyle name="输出 2 4 3 2 5" xfId="40579"/>
    <cellStyle name="注释 2 6 5 6 2 2" xfId="40580"/>
    <cellStyle name="输出 2 5 18 6" xfId="40581"/>
    <cellStyle name="输出 2 4 3 2 5 2" xfId="40582"/>
    <cellStyle name="输出 2 4 3 3 2" xfId="40583"/>
    <cellStyle name="输出 2 4 3 3 2 2" xfId="40584"/>
    <cellStyle name="输出 2 4 3 3 3" xfId="40585"/>
    <cellStyle name="输出 2 4 3 3 3 2" xfId="40586"/>
    <cellStyle name="输出 2 4 3 3 4" xfId="40587"/>
    <cellStyle name="输出 2 4 3 3 4 2" xfId="40588"/>
    <cellStyle name="输出 2 4 3 3 5" xfId="40589"/>
    <cellStyle name="注释 2 6 5 6 3 2" xfId="40590"/>
    <cellStyle name="输出 2 4 3 3 5 2" xfId="40591"/>
    <cellStyle name="输出 2 4 3 3 6" xfId="40592"/>
    <cellStyle name="输出 2 4 3 4" xfId="40593"/>
    <cellStyle name="输出 2 4 3 4 2" xfId="40594"/>
    <cellStyle name="输出 2 4 3 4 3" xfId="40595"/>
    <cellStyle name="输出 2 4 3 4 4" xfId="40596"/>
    <cellStyle name="输出 2 4 3 4 5" xfId="40597"/>
    <cellStyle name="注释 2 6 5 6 4 2" xfId="40598"/>
    <cellStyle name="输出 2 4 3 4 6" xfId="40599"/>
    <cellStyle name="输出 2 4 3 5" xfId="40600"/>
    <cellStyle name="输出 2 4 3 5 2" xfId="40601"/>
    <cellStyle name="输出 2 4 3 5 3" xfId="40602"/>
    <cellStyle name="输出 2 4 3 5 4" xfId="40603"/>
    <cellStyle name="输出 2 4 3 5 5" xfId="40604"/>
    <cellStyle name="注释 2 6 5 6 5 2" xfId="40605"/>
    <cellStyle name="输出 2 4 3 5 6" xfId="40606"/>
    <cellStyle name="输出 2 4 3 6 2" xfId="40607"/>
    <cellStyle name="输出 2 4 3 6 3" xfId="40608"/>
    <cellStyle name="输出 2 4 3 6 5" xfId="40609"/>
    <cellStyle name="输出 2 4 3 6 6" xfId="40610"/>
    <cellStyle name="输出 2 4 9 12 2" xfId="40611"/>
    <cellStyle name="输出 2 4 3 7" xfId="40612"/>
    <cellStyle name="输出 2 4 3 7 2" xfId="40613"/>
    <cellStyle name="输出 2 4 3 7 3" xfId="40614"/>
    <cellStyle name="输出 2 4 3 7 5" xfId="40615"/>
    <cellStyle name="输出 2 4 3 7 6" xfId="40616"/>
    <cellStyle name="输出 2 4 3 8" xfId="40617"/>
    <cellStyle name="输出 2 4 3 8 2" xfId="40618"/>
    <cellStyle name="输出 2 4 3 9" xfId="40619"/>
    <cellStyle name="输出 2 4 3 9 2" xfId="40620"/>
    <cellStyle name="输出 2 4 4" xfId="40621"/>
    <cellStyle name="输入 2 5 7 2 5 2" xfId="40622"/>
    <cellStyle name="注释 2 15 8 5" xfId="40623"/>
    <cellStyle name="输出 2 4 4 10" xfId="40624"/>
    <cellStyle name="注释 2 3 5 3 5" xfId="40625"/>
    <cellStyle name="输出 2 4 4 10 2" xfId="40626"/>
    <cellStyle name="注释 2 3 5 3 5 2" xfId="40627"/>
    <cellStyle name="输出 2 4 4 11 2" xfId="40628"/>
    <cellStyle name="输出 2 4 4 12" xfId="40629"/>
    <cellStyle name="输出 2 4 4 12 2" xfId="40630"/>
    <cellStyle name="输出 2 4 4 13" xfId="40631"/>
    <cellStyle name="输出 2 4 4 14" xfId="40632"/>
    <cellStyle name="输出 2 9 3 7 2" xfId="40633"/>
    <cellStyle name="输出 2 4 4 15" xfId="40634"/>
    <cellStyle name="输出 2 9 3 7 3" xfId="40635"/>
    <cellStyle name="输出 2 4 4 2 2 2" xfId="40636"/>
    <cellStyle name="输出 2 4 4 2 3 2" xfId="40637"/>
    <cellStyle name="输出 2 4 4 2 4" xfId="40638"/>
    <cellStyle name="输出 2 4 4 2 4 2" xfId="40639"/>
    <cellStyle name="输出 2 4 4 2 5" xfId="40640"/>
    <cellStyle name="注释 2 6 5 7 2 2" xfId="40641"/>
    <cellStyle name="输出 2 4 4 2 5 2" xfId="40642"/>
    <cellStyle name="输出 2 4 4 2 7" xfId="40643"/>
    <cellStyle name="输出 2 4 4 2 8" xfId="40644"/>
    <cellStyle name="输出 2 4 4 3 2" xfId="40645"/>
    <cellStyle name="输出 2 4 4 3 3" xfId="40646"/>
    <cellStyle name="输出 2 4 4 3 3 2" xfId="40647"/>
    <cellStyle name="输出 2 4 4 3 4" xfId="40648"/>
    <cellStyle name="输出 2 4 4 3 4 2" xfId="40649"/>
    <cellStyle name="输出 2 4 4 3 5" xfId="40650"/>
    <cellStyle name="注释 2 6 5 7 3 2" xfId="40651"/>
    <cellStyle name="输出 2 4 4 3 5 2" xfId="40652"/>
    <cellStyle name="输出 2 5 11 2 2 2" xfId="40653"/>
    <cellStyle name="输出 2 4 4 3 6" xfId="40654"/>
    <cellStyle name="输出 2 4 4 4" xfId="40655"/>
    <cellStyle name="输出 2 4 4 4 2" xfId="40656"/>
    <cellStyle name="输出 2 4 4 5" xfId="40657"/>
    <cellStyle name="输出 2 4 4 5 2" xfId="40658"/>
    <cellStyle name="输出 2 4 4 5 2 2" xfId="40659"/>
    <cellStyle name="输出 2 4 4 5 3" xfId="40660"/>
    <cellStyle name="输出 2 4 4 5 4" xfId="40661"/>
    <cellStyle name="输出 2 4 4 5 5" xfId="40662"/>
    <cellStyle name="注释 2 16 2 2 2" xfId="40663"/>
    <cellStyle name="注释 2 6 5 7 5 2" xfId="40664"/>
    <cellStyle name="输出 2 5 11 2 4 2" xfId="40665"/>
    <cellStyle name="输出 2 4 4 5 6" xfId="40666"/>
    <cellStyle name="输出 2 4 4 6 2" xfId="40667"/>
    <cellStyle name="注释 2 3 5 10 2" xfId="40668"/>
    <cellStyle name="输出 2 4 4 6 2 2" xfId="40669"/>
    <cellStyle name="输出 2 4 4 6 3" xfId="40670"/>
    <cellStyle name="输出 2 4 4 6 3 2" xfId="40671"/>
    <cellStyle name="输出 2 4 4 6 4" xfId="40672"/>
    <cellStyle name="输出 2 4 4 6 4 2" xfId="40673"/>
    <cellStyle name="输出 2 4 4 6 5" xfId="40674"/>
    <cellStyle name="注释 2 16 2 3 2" xfId="40675"/>
    <cellStyle name="输出 2 4 4 6 5 2" xfId="40676"/>
    <cellStyle name="输出 2 5 11 2 5 2" xfId="40677"/>
    <cellStyle name="输出 2 4 4 6 6" xfId="40678"/>
    <cellStyle name="输出 2 4 4 7" xfId="40679"/>
    <cellStyle name="注释 2 3 5 11" xfId="40680"/>
    <cellStyle name="输出 2 4 4 7 2" xfId="40681"/>
    <cellStyle name="注释 2 3 5 11 2" xfId="40682"/>
    <cellStyle name="输出 2 4 4 7 2 2" xfId="40683"/>
    <cellStyle name="输出 2 4 4 7 3" xfId="40684"/>
    <cellStyle name="输出 2 4 4 7 3 2" xfId="40685"/>
    <cellStyle name="输出 2 4 4 7 4 2" xfId="40686"/>
    <cellStyle name="输出 2 4 4 7 5" xfId="40687"/>
    <cellStyle name="注释 2 16 2 4 2" xfId="40688"/>
    <cellStyle name="输出 2 4 4 7 5 2" xfId="40689"/>
    <cellStyle name="输出 2 4 4 7 6" xfId="40690"/>
    <cellStyle name="输出 2 4 4 8" xfId="40691"/>
    <cellStyle name="注释 2 3 5 12" xfId="40692"/>
    <cellStyle name="输出 2 4 4 8 2" xfId="40693"/>
    <cellStyle name="注释 2 3 5 12 2" xfId="40694"/>
    <cellStyle name="输出 2 4 4 8 2 2" xfId="40695"/>
    <cellStyle name="输出 2 4 4 9" xfId="40696"/>
    <cellStyle name="注释 2 3 5 13" xfId="40697"/>
    <cellStyle name="输出 2 4 4 9 2" xfId="40698"/>
    <cellStyle name="输出 2 4 5" xfId="40699"/>
    <cellStyle name="输出 2 4 5 10" xfId="40700"/>
    <cellStyle name="注释 2 3 5 8 5" xfId="40701"/>
    <cellStyle name="输出 2 4 5 10 2" xfId="40702"/>
    <cellStyle name="输出 2 4 5 11" xfId="40703"/>
    <cellStyle name="输出 2 4 5 11 2" xfId="40704"/>
    <cellStyle name="输出 2 4 5 12" xfId="40705"/>
    <cellStyle name="输出 2 4 5 12 2" xfId="40706"/>
    <cellStyle name="输出 2 4 5 13" xfId="40707"/>
    <cellStyle name="输出 2 4 5 2 2 2" xfId="40708"/>
    <cellStyle name="注释 2 7 11 3 2" xfId="40709"/>
    <cellStyle name="输出 2 4 5 2 3" xfId="40710"/>
    <cellStyle name="注释 2 7 11 4" xfId="40711"/>
    <cellStyle name="输出 2 4 5 2 3 2" xfId="40712"/>
    <cellStyle name="注释 2 7 11 4 2" xfId="40713"/>
    <cellStyle name="输出 2 4 5 2 4" xfId="40714"/>
    <cellStyle name="注释 2 7 11 5" xfId="40715"/>
    <cellStyle name="输出 2 4 5 2 4 2" xfId="40716"/>
    <cellStyle name="注释 2 7 11 5 2" xfId="40717"/>
    <cellStyle name="输出 2 4 5 2 5" xfId="40718"/>
    <cellStyle name="注释 2 6 5 8 2 2" xfId="40719"/>
    <cellStyle name="注释 2 7 11 6" xfId="40720"/>
    <cellStyle name="输出 2 4 5 2 5 2" xfId="40721"/>
    <cellStyle name="注释 2 7 11 6 2" xfId="40722"/>
    <cellStyle name="输出 2 4 5 2 7" xfId="40723"/>
    <cellStyle name="注释 2 7 11 8" xfId="40724"/>
    <cellStyle name="输出 2 4 5 2 8" xfId="40725"/>
    <cellStyle name="注释 2 7 11 9" xfId="40726"/>
    <cellStyle name="输出 2 4 5 3 2" xfId="40727"/>
    <cellStyle name="注释 2 7 12 3" xfId="40728"/>
    <cellStyle name="输出 2 4 5 3 2 2" xfId="40729"/>
    <cellStyle name="注释 2 7 12 3 2" xfId="40730"/>
    <cellStyle name="输出 2 4 5 3 3" xfId="40731"/>
    <cellStyle name="注释 2 7 12 4" xfId="40732"/>
    <cellStyle name="输出 2 4 5 3 3 2" xfId="40733"/>
    <cellStyle name="注释 2 7 12 4 2" xfId="40734"/>
    <cellStyle name="输出 2 4 5 3 4" xfId="40735"/>
    <cellStyle name="注释 2 7 12 5" xfId="40736"/>
    <cellStyle name="输出 2 4 5 3 4 2" xfId="40737"/>
    <cellStyle name="注释 2 7 12 5 2" xfId="40738"/>
    <cellStyle name="输出 2 4 5 3 5" xfId="40739"/>
    <cellStyle name="注释 2 6 5 8 3 2" xfId="40740"/>
    <cellStyle name="注释 2 7 12 6" xfId="40741"/>
    <cellStyle name="输出 2 4 5 3 5 2" xfId="40742"/>
    <cellStyle name="输出 2 5 11 3 2 2" xfId="40743"/>
    <cellStyle name="输出 2 4 5 3 6" xfId="40744"/>
    <cellStyle name="注释 2 7 12 7" xfId="40745"/>
    <cellStyle name="输出 2 4 5 4 2" xfId="40746"/>
    <cellStyle name="注释 2 7 13 3" xfId="40747"/>
    <cellStyle name="输出 2 4 5 4 2 2" xfId="40748"/>
    <cellStyle name="注释 2 7 13 3 2" xfId="40749"/>
    <cellStyle name="输出 2 4 5 4 3" xfId="40750"/>
    <cellStyle name="注释 2 7 13 4" xfId="40751"/>
    <cellStyle name="输出 2 4 5 4 4" xfId="40752"/>
    <cellStyle name="注释 2 7 13 5" xfId="40753"/>
    <cellStyle name="输出 2 4 5 4 4 2" xfId="40754"/>
    <cellStyle name="注释 2 7 13 5 2" xfId="40755"/>
    <cellStyle name="输出 2 4 5 4 5" xfId="40756"/>
    <cellStyle name="注释 2 6 5 8 4 2" xfId="40757"/>
    <cellStyle name="注释 2 7 13 6" xfId="40758"/>
    <cellStyle name="输出 2 5 3 13" xfId="40759"/>
    <cellStyle name="输出 2 4 5 4 5 2" xfId="40760"/>
    <cellStyle name="输出 2 5 11 3 3 2" xfId="40761"/>
    <cellStyle name="输出 2 4 5 4 6" xfId="40762"/>
    <cellStyle name="输出 2 4 5 5 2" xfId="40763"/>
    <cellStyle name="注释 2 7 14 3" xfId="40764"/>
    <cellStyle name="输出 2 4 5 5 3" xfId="40765"/>
    <cellStyle name="注释 2 7 14 4" xfId="40766"/>
    <cellStyle name="输出 2 4 5 5 4" xfId="40767"/>
    <cellStyle name="注释 2 7 14 5" xfId="40768"/>
    <cellStyle name="输出 2 4 5 5 5" xfId="40769"/>
    <cellStyle name="注释 2 16 3 2 2" xfId="40770"/>
    <cellStyle name="注释 2 7 14 6" xfId="40771"/>
    <cellStyle name="输出 2 5 11 3 4 2" xfId="40772"/>
    <cellStyle name="输出 2 4 5 5 6" xfId="40773"/>
    <cellStyle name="输出 2 4 5 6 2" xfId="40774"/>
    <cellStyle name="注释 2 7 15 3" xfId="40775"/>
    <cellStyle name="输出 2 4 5 6 3" xfId="40776"/>
    <cellStyle name="注释 2 7 15 4" xfId="40777"/>
    <cellStyle name="输出 2 4 5 6 3 2" xfId="40778"/>
    <cellStyle name="注释 2 7 15 4 2" xfId="40779"/>
    <cellStyle name="输出 2 4 5 6 4" xfId="40780"/>
    <cellStyle name="注释 2 7 15 5" xfId="40781"/>
    <cellStyle name="输出 2 4 5 6 4 2" xfId="40782"/>
    <cellStyle name="注释 2 7 15 5 2" xfId="40783"/>
    <cellStyle name="输出 2 4 5 6 5" xfId="40784"/>
    <cellStyle name="注释 2 16 3 3 2" xfId="40785"/>
    <cellStyle name="注释 2 7 15 6" xfId="40786"/>
    <cellStyle name="输出 2 4 5 6 5 2" xfId="40787"/>
    <cellStyle name="输出 2 4 5 7" xfId="40788"/>
    <cellStyle name="输入 2 2 7 2 2" xfId="40789"/>
    <cellStyle name="输出 2 4 5 7 2" xfId="40790"/>
    <cellStyle name="输入 2 2 7 2 2 2" xfId="40791"/>
    <cellStyle name="注释 2 7 16 3" xfId="40792"/>
    <cellStyle name="输出 2 4 5 7 2 2" xfId="40793"/>
    <cellStyle name="注释 2 7 16 3 2" xfId="40794"/>
    <cellStyle name="输出 2 4 5 7 3" xfId="40795"/>
    <cellStyle name="注释 2 7 16 4" xfId="40796"/>
    <cellStyle name="输出 2 4 5 7 3 2" xfId="40797"/>
    <cellStyle name="注释 2 7 16 4 2" xfId="40798"/>
    <cellStyle name="输出 2 4 5 7 4 2" xfId="40799"/>
    <cellStyle name="注释 2 7 16 5 2" xfId="40800"/>
    <cellStyle name="输出 2 4 5 7 5" xfId="40801"/>
    <cellStyle name="注释 2 16 3 4 2" xfId="40802"/>
    <cellStyle name="注释 2 7 16 6" xfId="40803"/>
    <cellStyle name="输出 2 4 5 7 5 2" xfId="40804"/>
    <cellStyle name="输出 2 4 5 8" xfId="40805"/>
    <cellStyle name="输入 2 2 7 2 3" xfId="40806"/>
    <cellStyle name="输出 2 4 5 8 2" xfId="40807"/>
    <cellStyle name="输入 2 2 7 2 3 2" xfId="40808"/>
    <cellStyle name="注释 2 7 17 3" xfId="40809"/>
    <cellStyle name="输出 2 4 5 8 2 2" xfId="40810"/>
    <cellStyle name="注释 2 7 17 3 2" xfId="40811"/>
    <cellStyle name="输出 2 4 5 9" xfId="40812"/>
    <cellStyle name="输入 2 2 7 2 4" xfId="40813"/>
    <cellStyle name="注释 2 4 4 5 2 2" xfId="40814"/>
    <cellStyle name="输出 2 4 5 9 2" xfId="40815"/>
    <cellStyle name="输入 2 2 7 2 4 2" xfId="40816"/>
    <cellStyle name="注释 2 7 18 3" xfId="40817"/>
    <cellStyle name="输出 2 4 6" xfId="40818"/>
    <cellStyle name="输出 2 4 6 10 2" xfId="40819"/>
    <cellStyle name="输入 2 8 10 2 3" xfId="40820"/>
    <cellStyle name="输出 2 4 6 11" xfId="40821"/>
    <cellStyle name="输出 2 4 6 11 2" xfId="40822"/>
    <cellStyle name="输入 2 8 10 3 3" xfId="40823"/>
    <cellStyle name="输出 2 4 6 12" xfId="40824"/>
    <cellStyle name="输出 2 4 6 12 2" xfId="40825"/>
    <cellStyle name="输入 2 8 10 4 3" xfId="40826"/>
    <cellStyle name="输出 2 4 6 2" xfId="40827"/>
    <cellStyle name="输出 2 4 6 2 2" xfId="40828"/>
    <cellStyle name="输出 2 4 6 2 2 2" xfId="40829"/>
    <cellStyle name="输出 2 4 6 2 3" xfId="40830"/>
    <cellStyle name="输出 2 4 6 2 3 2" xfId="40831"/>
    <cellStyle name="输出 2 4 6 2 4" xfId="40832"/>
    <cellStyle name="输出 2 4 6 2 4 2" xfId="40833"/>
    <cellStyle name="输出 2 4 6 2 5" xfId="40834"/>
    <cellStyle name="输出 2 4 6 2 5 2" xfId="40835"/>
    <cellStyle name="输出 2 4 6 2 6" xfId="40836"/>
    <cellStyle name="输出 2 4 6 2 7" xfId="40837"/>
    <cellStyle name="输出 2 4 6 2 8" xfId="40838"/>
    <cellStyle name="输出 2 4 6 2 9" xfId="40839"/>
    <cellStyle name="输入 2 12 3 2 4 2" xfId="40840"/>
    <cellStyle name="输出 2 4 7" xfId="40841"/>
    <cellStyle name="输入 2 10 6 3 2" xfId="40842"/>
    <cellStyle name="输出 2 4 7 10" xfId="40843"/>
    <cellStyle name="输出 2 4 7 10 2" xfId="40844"/>
    <cellStyle name="输入 2 8 4 5 6" xfId="40845"/>
    <cellStyle name="输出 2 4 7 11 2" xfId="40846"/>
    <cellStyle name="输入 2 8 4 6 6" xfId="40847"/>
    <cellStyle name="输出 2 4 7 12" xfId="40848"/>
    <cellStyle name="注释 2 7 6 6 4 2" xfId="40849"/>
    <cellStyle name="输出 2 4 7 12 2" xfId="40850"/>
    <cellStyle name="输入 2 8 4 7 6" xfId="40851"/>
    <cellStyle name="输出 2 4 7 13" xfId="40852"/>
    <cellStyle name="输出 2 4 7 2" xfId="40853"/>
    <cellStyle name="输入 2 10 6 3 2 2" xfId="40854"/>
    <cellStyle name="输出 2 4 7 2 3 2" xfId="40855"/>
    <cellStyle name="输出 2 4 7 2 4 2" xfId="40856"/>
    <cellStyle name="输出 2 4 7 2 5 2" xfId="40857"/>
    <cellStyle name="输出 2 4 8 11 2" xfId="40858"/>
    <cellStyle name="输入 2 8 9 6 6" xfId="40859"/>
    <cellStyle name="输出 2 4 8 12 2" xfId="40860"/>
    <cellStyle name="输入 2 8 9 7 6" xfId="40861"/>
    <cellStyle name="输出 2 4 8 2" xfId="40862"/>
    <cellStyle name="输入 2 10 6 3 3 2" xfId="40863"/>
    <cellStyle name="输出 2 4 8 2 2" xfId="40864"/>
    <cellStyle name="输出 2 4 8 2 3" xfId="40865"/>
    <cellStyle name="输出 2 4 8 2 5" xfId="40866"/>
    <cellStyle name="输出 2 4 8 2 5 2" xfId="40867"/>
    <cellStyle name="输出 2 4 8 2 6" xfId="40868"/>
    <cellStyle name="输出 2 4 9" xfId="40869"/>
    <cellStyle name="输入 2 10 6 3 4" xfId="40870"/>
    <cellStyle name="输出 2 4 9 12" xfId="40871"/>
    <cellStyle name="输出 2 4 9 13" xfId="40872"/>
    <cellStyle name="输出 2 4 9 14" xfId="40873"/>
    <cellStyle name="输出 2 9 4 7 2" xfId="40874"/>
    <cellStyle name="注释 2 4 5 11 2" xfId="40875"/>
    <cellStyle name="输出 2 4 9 2" xfId="40876"/>
    <cellStyle name="输入 2 10 6 3 4 2" xfId="40877"/>
    <cellStyle name="输出 2 4 9 2 5" xfId="40878"/>
    <cellStyle name="输出 2 4 9 2 5 2" xfId="40879"/>
    <cellStyle name="输出 2 4 9 2 6" xfId="40880"/>
    <cellStyle name="输出 2 4 9 2 9" xfId="40881"/>
    <cellStyle name="输入 2 12 3 5 4 2" xfId="40882"/>
    <cellStyle name="输出 2 5" xfId="40883"/>
    <cellStyle name="输出 2 9 2 4 4 2" xfId="40884"/>
    <cellStyle name="输出 2 5 10 2 6" xfId="40885"/>
    <cellStyle name="输出 2 5 10 2 7" xfId="40886"/>
    <cellStyle name="输出 2 5 10 2 8" xfId="40887"/>
    <cellStyle name="输出 2 5 10 4 4" xfId="40888"/>
    <cellStyle name="输出 2 5 10 5 4" xfId="40889"/>
    <cellStyle name="输入 2 12 3 11" xfId="40890"/>
    <cellStyle name="输出 2 5 10 6 3" xfId="40891"/>
    <cellStyle name="输出 2 5 10 6 4" xfId="40892"/>
    <cellStyle name="输出 2 5 10 7 2" xfId="40893"/>
    <cellStyle name="输出 2 5 10 7 3" xfId="40894"/>
    <cellStyle name="注释 2 10 4 6 2 2" xfId="40895"/>
    <cellStyle name="输出 2 5 10 7 4" xfId="40896"/>
    <cellStyle name="输出 2 5 10 8" xfId="40897"/>
    <cellStyle name="注释 2 7 11 4 2 2" xfId="40898"/>
    <cellStyle name="输出 2 5 10 9 2" xfId="40899"/>
    <cellStyle name="输出 2 5 11 2 4" xfId="40900"/>
    <cellStyle name="输出 2 5 11 2 6" xfId="40901"/>
    <cellStyle name="输出 2 5 11 3 4" xfId="40902"/>
    <cellStyle name="输出 2 5 11 4 4" xfId="40903"/>
    <cellStyle name="输出 2 5 11 5 3" xfId="40904"/>
    <cellStyle name="输入 2 12 8 10" xfId="40905"/>
    <cellStyle name="输出 2 5 11 5 4" xfId="40906"/>
    <cellStyle name="输入 2 12 8 11" xfId="40907"/>
    <cellStyle name="输出 2 5 11 6 2" xfId="40908"/>
    <cellStyle name="输出 2 5 11 6 3" xfId="40909"/>
    <cellStyle name="输出 2 5 11 6 4" xfId="40910"/>
    <cellStyle name="输出 2 5 11 7" xfId="40911"/>
    <cellStyle name="输出 2 5 11 7 2" xfId="40912"/>
    <cellStyle name="输出 2 5 11 7 3" xfId="40913"/>
    <cellStyle name="注释 2 10 4 7 2 2" xfId="40914"/>
    <cellStyle name="输出 2 5 11 7 4" xfId="40915"/>
    <cellStyle name="输出 2 5 11 8" xfId="40916"/>
    <cellStyle name="注释 2 7 11 4 3 2" xfId="40917"/>
    <cellStyle name="输出 2 5 11 9 2" xfId="40918"/>
    <cellStyle name="输出 2 5 12 4 2" xfId="40919"/>
    <cellStyle name="输出 2 5 12 5" xfId="40920"/>
    <cellStyle name="输出 2 5 12 5 2" xfId="40921"/>
    <cellStyle name="输出 2 5 12 6" xfId="40922"/>
    <cellStyle name="输出 2 5 12 7" xfId="40923"/>
    <cellStyle name="输出 2 5 12 8" xfId="40924"/>
    <cellStyle name="注释 2 7 11 4 4 2" xfId="40925"/>
    <cellStyle name="输出 2 5 13 2" xfId="40926"/>
    <cellStyle name="输出 2 5 13 2 2" xfId="40927"/>
    <cellStyle name="输出 2 5 13 3" xfId="40928"/>
    <cellStyle name="输出 2 5 13 3 2" xfId="40929"/>
    <cellStyle name="输出 2 5 13 4" xfId="40930"/>
    <cellStyle name="输出 2 5 13 4 2" xfId="40931"/>
    <cellStyle name="输出 2 5 13 5" xfId="40932"/>
    <cellStyle name="输出 2 5 13 5 2" xfId="40933"/>
    <cellStyle name="输出 2 5 13 6" xfId="40934"/>
    <cellStyle name="输出 2 5 14 2" xfId="40935"/>
    <cellStyle name="输出 2 5 14 2 2" xfId="40936"/>
    <cellStyle name="输出 2 5 14 3" xfId="40937"/>
    <cellStyle name="输出 2 5 14 3 2" xfId="40938"/>
    <cellStyle name="输出 2 5 14 4" xfId="40939"/>
    <cellStyle name="输出 2 5 14 4 2" xfId="40940"/>
    <cellStyle name="输出 2 5 14 5" xfId="40941"/>
    <cellStyle name="输出 2 5 14 5 2" xfId="40942"/>
    <cellStyle name="输出 2 5 14 6" xfId="40943"/>
    <cellStyle name="输出 2 5 15 3" xfId="40944"/>
    <cellStyle name="输入 2 8 5 2 8" xfId="40945"/>
    <cellStyle name="输出 2 5 15 3 2" xfId="40946"/>
    <cellStyle name="输出 2 5 15 4" xfId="40947"/>
    <cellStyle name="输入 2 8 5 2 9" xfId="40948"/>
    <cellStyle name="输出 2 5 15 4 2" xfId="40949"/>
    <cellStyle name="输出 2 5 15 5" xfId="40950"/>
    <cellStyle name="输出 2 5 15 5 2" xfId="40951"/>
    <cellStyle name="注释 2 10 3 10" xfId="40952"/>
    <cellStyle name="输出 2 5 16 3" xfId="40953"/>
    <cellStyle name="输出 2 5 16 3 2" xfId="40954"/>
    <cellStyle name="输出 2 5 16 4" xfId="40955"/>
    <cellStyle name="输出 2 5 16 4 2" xfId="40956"/>
    <cellStyle name="输出 2 5 16 5" xfId="40957"/>
    <cellStyle name="输出 2 5 16 5 2" xfId="40958"/>
    <cellStyle name="注释 2 10 8 10" xfId="40959"/>
    <cellStyle name="输出 2 5 17 3" xfId="40960"/>
    <cellStyle name="输出 2 5 17 4" xfId="40961"/>
    <cellStyle name="输出 2 5 17 4 2" xfId="40962"/>
    <cellStyle name="输出 2 5 17 5" xfId="40963"/>
    <cellStyle name="输出 2 5 17 5 2" xfId="40964"/>
    <cellStyle name="输出 2 5 18 3" xfId="40965"/>
    <cellStyle name="输出 2 5 18 3 2" xfId="40966"/>
    <cellStyle name="输出 2 5 18 4" xfId="40967"/>
    <cellStyle name="输出 2 5 18 4 2" xfId="40968"/>
    <cellStyle name="输出 2 5 18 5" xfId="40969"/>
    <cellStyle name="输出 2 5 18 5 2" xfId="40970"/>
    <cellStyle name="输出 2 5 2" xfId="40971"/>
    <cellStyle name="输出 2 5 2 10" xfId="40972"/>
    <cellStyle name="输出 2 5 2 10 2" xfId="40973"/>
    <cellStyle name="输出 2 5 2 11" xfId="40974"/>
    <cellStyle name="输出 2 5 2 11 2" xfId="40975"/>
    <cellStyle name="输出 2 5 2 12" xfId="40976"/>
    <cellStyle name="输出 2 5 2 12 2" xfId="40977"/>
    <cellStyle name="输出 2 5 2 13" xfId="40978"/>
    <cellStyle name="输出 2 5 2 15" xfId="40979"/>
    <cellStyle name="输出 2 9 8 2 4 2" xfId="40980"/>
    <cellStyle name="输出 2 5 2 16" xfId="40981"/>
    <cellStyle name="输入 2 3 11 8 2" xfId="40982"/>
    <cellStyle name="输出 2 5 2 2 3 2" xfId="40983"/>
    <cellStyle name="输出 2 8 4 7 3" xfId="40984"/>
    <cellStyle name="输出 2 5 2 3 3" xfId="40985"/>
    <cellStyle name="输出 2 5 2 4 2" xfId="40986"/>
    <cellStyle name="输出 2 5 2 4 3" xfId="40987"/>
    <cellStyle name="输出 2 5 2 5" xfId="40988"/>
    <cellStyle name="输出 2 5 2 5 2" xfId="40989"/>
    <cellStyle name="输出 2 5 2 5 3" xfId="40990"/>
    <cellStyle name="输出 2 5 2 6 3" xfId="40991"/>
    <cellStyle name="输出 2 5 2 7 3" xfId="40992"/>
    <cellStyle name="输出 2 5 2 7 5" xfId="40993"/>
    <cellStyle name="输出 2 5 2 7 6" xfId="40994"/>
    <cellStyle name="输出 2 5 2 8 5" xfId="40995"/>
    <cellStyle name="输出 2 5 25" xfId="40996"/>
    <cellStyle name="输出 2 5 3 10" xfId="40997"/>
    <cellStyle name="输出 2 5 3 10 2" xfId="40998"/>
    <cellStyle name="输出 2 5 3 11" xfId="40999"/>
    <cellStyle name="输出 2 5 3 11 2" xfId="41000"/>
    <cellStyle name="输出 2 5 3 12" xfId="41001"/>
    <cellStyle name="输出 2 5 3 12 2" xfId="41002"/>
    <cellStyle name="输出 2 5 3 14" xfId="41003"/>
    <cellStyle name="输出 2 9 8 2 2" xfId="41004"/>
    <cellStyle name="输出 2 5 3 15" xfId="41005"/>
    <cellStyle name="输出 2 9 8 2 3" xfId="41006"/>
    <cellStyle name="输出 2 5 3 3 2" xfId="41007"/>
    <cellStyle name="输出 2 5 3 3 3" xfId="41008"/>
    <cellStyle name="输出 2 9 11 10 2" xfId="41009"/>
    <cellStyle name="输出 2 5 3 4 2" xfId="41010"/>
    <cellStyle name="输出 2 5 3 4 3" xfId="41011"/>
    <cellStyle name="输出 2 9 11 11 2" xfId="41012"/>
    <cellStyle name="输出 2 5 3 5" xfId="41013"/>
    <cellStyle name="输出 2 5 3 5 2" xfId="41014"/>
    <cellStyle name="输出 2 5 3 5 3" xfId="41015"/>
    <cellStyle name="输出 2 9 11 12 2" xfId="41016"/>
    <cellStyle name="输出 2 5 3 6 3" xfId="41017"/>
    <cellStyle name="输出 2 5 3 7 3" xfId="41018"/>
    <cellStyle name="输出 2 5 4 10" xfId="41019"/>
    <cellStyle name="输出 2 5 4 10 2" xfId="41020"/>
    <cellStyle name="输出 2 5 4 16" xfId="41021"/>
    <cellStyle name="输出 2 9 8 7 4" xfId="41022"/>
    <cellStyle name="输出 2 5 4 3 3" xfId="41023"/>
    <cellStyle name="输出 2 5 4 3 4" xfId="41024"/>
    <cellStyle name="输出 2 5 4 4" xfId="41025"/>
    <cellStyle name="输出 2 5 4 4 3" xfId="41026"/>
    <cellStyle name="输出 2 5 4 4 4" xfId="41027"/>
    <cellStyle name="输出 2 5 4 5" xfId="41028"/>
    <cellStyle name="输出 2 5 4 5 3" xfId="41029"/>
    <cellStyle name="输出 2 5 4 5 4" xfId="41030"/>
    <cellStyle name="输出 2 5 4 6 3" xfId="41031"/>
    <cellStyle name="输出 2 5 4 6 4" xfId="41032"/>
    <cellStyle name="输出 2 5 4 9 2" xfId="41033"/>
    <cellStyle name="输出 2 5 5" xfId="41034"/>
    <cellStyle name="输出 2 5 5 10" xfId="41035"/>
    <cellStyle name="输出 2 5 5 10 2" xfId="41036"/>
    <cellStyle name="输出 2 5 5 11" xfId="41037"/>
    <cellStyle name="输出 2 5 5 11 2" xfId="41038"/>
    <cellStyle name="输出 2 5 5 12" xfId="41039"/>
    <cellStyle name="输出 2 5 5 12 2" xfId="41040"/>
    <cellStyle name="输出 2 5 5 13" xfId="41041"/>
    <cellStyle name="输出 2 5 5 14" xfId="41042"/>
    <cellStyle name="输出 2 5 5 16" xfId="41043"/>
    <cellStyle name="输出 2 5 5 2 2" xfId="41044"/>
    <cellStyle name="输出 2 5 5 2 2 2" xfId="41045"/>
    <cellStyle name="输出 2 5 5 3 2" xfId="41046"/>
    <cellStyle name="输出 2 5 5 3 3" xfId="41047"/>
    <cellStyle name="输出 2 5 5 3 4" xfId="41048"/>
    <cellStyle name="输出 2 5 5 4" xfId="41049"/>
    <cellStyle name="输入 2 8 5 15" xfId="41050"/>
    <cellStyle name="输出 2 5 5 5" xfId="41051"/>
    <cellStyle name="输入 2 8 5 16" xfId="41052"/>
    <cellStyle name="输出 2 5 5 5 4" xfId="41053"/>
    <cellStyle name="输出 2 5 5 6 4" xfId="41054"/>
    <cellStyle name="输出 2 5 5 7" xfId="41055"/>
    <cellStyle name="输入 2 2 8 2 2" xfId="41056"/>
    <cellStyle name="输出 2 5 5 8" xfId="41057"/>
    <cellStyle name="输入 2 2 8 2 3" xfId="41058"/>
    <cellStyle name="输出 2 5 5 9" xfId="41059"/>
    <cellStyle name="输入 2 2 8 2 4" xfId="41060"/>
    <cellStyle name="注释 2 4 4 6 2 2" xfId="41061"/>
    <cellStyle name="输出 2 5 6" xfId="41062"/>
    <cellStyle name="输出 2 5 6 2 2" xfId="41063"/>
    <cellStyle name="输出 2 5 6 2 2 2" xfId="41064"/>
    <cellStyle name="输出 2 5 6 2 3" xfId="41065"/>
    <cellStyle name="输出 2 5 6 2 3 2" xfId="41066"/>
    <cellStyle name="输出 2 5 6 2 4" xfId="41067"/>
    <cellStyle name="输出 2 5 6 2 4 2" xfId="41068"/>
    <cellStyle name="输出 2 5 6 2 5" xfId="41069"/>
    <cellStyle name="输出 2 5 6 2 5 2" xfId="41070"/>
    <cellStyle name="输出 2 5 6 2 6" xfId="41071"/>
    <cellStyle name="输出 2 5 6 2 7" xfId="41072"/>
    <cellStyle name="输出 2 5 6 2 8" xfId="41073"/>
    <cellStyle name="输出 2 5 6 2 9" xfId="41074"/>
    <cellStyle name="输入 2 12 4 2 4 2" xfId="41075"/>
    <cellStyle name="注释 2 11 16 2 2" xfId="41076"/>
    <cellStyle name="输出 2 5 7" xfId="41077"/>
    <cellStyle name="输入 2 10 6 4 2" xfId="41078"/>
    <cellStyle name="输出 2 5 7 10" xfId="41079"/>
    <cellStyle name="输出 2 5 7 10 2" xfId="41080"/>
    <cellStyle name="输出 2 5 7 11" xfId="41081"/>
    <cellStyle name="输出 2 5 7 11 2" xfId="41082"/>
    <cellStyle name="输出 2 5 7 12" xfId="41083"/>
    <cellStyle name="输出 2 5 7 12 2" xfId="41084"/>
    <cellStyle name="输出 2 5 7 13" xfId="41085"/>
    <cellStyle name="输出 2 5 7 14" xfId="41086"/>
    <cellStyle name="注释 2 6 2 2 4 2" xfId="41087"/>
    <cellStyle name="输出 2 5 7 2" xfId="41088"/>
    <cellStyle name="输入 2 10 6 4 2 2" xfId="41089"/>
    <cellStyle name="输出 2 5 7 2 2" xfId="41090"/>
    <cellStyle name="输出 2 7 11 7 6" xfId="41091"/>
    <cellStyle name="输出 2 5 7 2 2 2" xfId="41092"/>
    <cellStyle name="输出 2 5 7 2 3" xfId="41093"/>
    <cellStyle name="输出 2 5 7 2 3 2" xfId="41094"/>
    <cellStyle name="输出 2 5 7 2 4 2" xfId="41095"/>
    <cellStyle name="输出 2 5 7 2 5" xfId="41096"/>
    <cellStyle name="输出 2 5 7 2 5 2" xfId="41097"/>
    <cellStyle name="输出 2 5 7 2 6" xfId="41098"/>
    <cellStyle name="输出 2 5 7 2 7" xfId="41099"/>
    <cellStyle name="输出 2 5 7 2 8" xfId="41100"/>
    <cellStyle name="输出 2 8 8 2 2 2" xfId="41101"/>
    <cellStyle name="输出 2 5 7 2 9" xfId="41102"/>
    <cellStyle name="输入 2 12 4 3 4 2" xfId="41103"/>
    <cellStyle name="注释 2 11 17 2 2" xfId="41104"/>
    <cellStyle name="输出 2 5 8 11 2" xfId="41105"/>
    <cellStyle name="输出 2 5 8 12 2" xfId="41106"/>
    <cellStyle name="输出 2 5 8 2 2" xfId="41107"/>
    <cellStyle name="输出 2 5 8 2 3" xfId="41108"/>
    <cellStyle name="输出 2 5 8 2 3 2" xfId="41109"/>
    <cellStyle name="输出 2 5 8 2 4 2" xfId="41110"/>
    <cellStyle name="输出 2 5 8 2 5" xfId="41111"/>
    <cellStyle name="输出 2 5 8 2 5 2" xfId="41112"/>
    <cellStyle name="输出 2 5 8 2 8" xfId="41113"/>
    <cellStyle name="输出 2 8 8 3 2 2" xfId="41114"/>
    <cellStyle name="输出 2 5 8 2 9" xfId="41115"/>
    <cellStyle name="输入 2 12 4 4 4 2" xfId="41116"/>
    <cellStyle name="注释 2 11 18 2 2" xfId="41117"/>
    <cellStyle name="输出 2 5 9" xfId="41118"/>
    <cellStyle name="输入 2 10 6 4 4" xfId="41119"/>
    <cellStyle name="输出 2 5 9 2" xfId="41120"/>
    <cellStyle name="输入 2 10 6 4 4 2" xfId="41121"/>
    <cellStyle name="输出 2 5 9 2 9" xfId="41122"/>
    <cellStyle name="输入 2 12 4 5 4 2" xfId="41123"/>
    <cellStyle name="注释 2 11 19 2 2" xfId="41124"/>
    <cellStyle name="输出 2 6" xfId="41125"/>
    <cellStyle name="输出 2 6 10 10" xfId="41126"/>
    <cellStyle name="输出 2 6 10 11" xfId="41127"/>
    <cellStyle name="输出 2 6 10 11 2" xfId="41128"/>
    <cellStyle name="输出 2 6 10 12 2" xfId="41129"/>
    <cellStyle name="输出 2 6 10 13" xfId="41130"/>
    <cellStyle name="输出 2 6 10 14" xfId="41131"/>
    <cellStyle name="输出 2 6 10 15" xfId="41132"/>
    <cellStyle name="输入 2 5 5 8 2 2" xfId="41133"/>
    <cellStyle name="输出 2 6 10 16" xfId="41134"/>
    <cellStyle name="输出 2 6 10 2 5" xfId="41135"/>
    <cellStyle name="注释 2 4 7 8 2" xfId="41136"/>
    <cellStyle name="输出 2 6 10 2 5 2" xfId="41137"/>
    <cellStyle name="注释 2 4 7 8 2 2" xfId="41138"/>
    <cellStyle name="输出 2 6 10 2 7" xfId="41139"/>
    <cellStyle name="注释 2 4 7 8 4" xfId="41140"/>
    <cellStyle name="输出 2 6 10 2 8" xfId="41141"/>
    <cellStyle name="注释 2 4 7 8 5" xfId="41142"/>
    <cellStyle name="输出 2 6 10 3 5" xfId="41143"/>
    <cellStyle name="注释 2 4 7 9 2" xfId="41144"/>
    <cellStyle name="注释 2 8 3 7 2 2" xfId="41145"/>
    <cellStyle name="输出 2 6 10 3 5 2" xfId="41146"/>
    <cellStyle name="输出 2 6 10 4 5" xfId="41147"/>
    <cellStyle name="注释 2 13 10 2" xfId="41148"/>
    <cellStyle name="注释 2 8 3 7 3 2" xfId="41149"/>
    <cellStyle name="输出 2 6 10 4 5 2" xfId="41150"/>
    <cellStyle name="输出 2 6 10 4 6" xfId="41151"/>
    <cellStyle name="输出 2 6 10 5 5 2" xfId="41152"/>
    <cellStyle name="输出 2 6 10 5 6" xfId="41153"/>
    <cellStyle name="输出 2 6 10 6 3" xfId="41154"/>
    <cellStyle name="输出 2 6 10 6 5" xfId="41155"/>
    <cellStyle name="注释 2 13 12 2" xfId="41156"/>
    <cellStyle name="注释 2 8 3 7 5 2" xfId="41157"/>
    <cellStyle name="输出 2 6 10 6 5 2" xfId="41158"/>
    <cellStyle name="输出 2 6 10 6 6" xfId="41159"/>
    <cellStyle name="输出 2 6 10 7 2" xfId="41160"/>
    <cellStyle name="输出 2 6 10 7 3" xfId="41161"/>
    <cellStyle name="注释 2 10 9 6 2 2" xfId="41162"/>
    <cellStyle name="输出 2 6 10 7 4" xfId="41163"/>
    <cellStyle name="输出 2 6 10 7 5" xfId="41164"/>
    <cellStyle name="输出 2 6 10 7 5 2" xfId="41165"/>
    <cellStyle name="输出 2 6 10 7 6" xfId="41166"/>
    <cellStyle name="输出 2 6 10 8 2" xfId="41167"/>
    <cellStyle name="输出 2 6 10 8 3" xfId="41168"/>
    <cellStyle name="注释 2 10 9 6 3 2" xfId="41169"/>
    <cellStyle name="输出 2 6 10 8 4" xfId="41170"/>
    <cellStyle name="输出 2 6 10 8 5" xfId="41171"/>
    <cellStyle name="输出 2 6 10 9" xfId="41172"/>
    <cellStyle name="输出 2 6 10 9 2" xfId="41173"/>
    <cellStyle name="输出 2 6 11 11" xfId="41174"/>
    <cellStyle name="输出 2 6 11 11 2" xfId="41175"/>
    <cellStyle name="注释 2 8 2 4 5" xfId="41176"/>
    <cellStyle name="输出 2 6 11 12" xfId="41177"/>
    <cellStyle name="输出 2 6 11 12 2" xfId="41178"/>
    <cellStyle name="注释 2 8 2 5 5" xfId="41179"/>
    <cellStyle name="输出 2 6 11 14" xfId="41180"/>
    <cellStyle name="输出 2 6 11 15" xfId="41181"/>
    <cellStyle name="输出 2 6 11 2 4" xfId="41182"/>
    <cellStyle name="输出 2 6 11 2 5 2" xfId="41183"/>
    <cellStyle name="输入 2 6 11 6 4" xfId="41184"/>
    <cellStyle name="注释 2 4 8 8 2 2" xfId="41185"/>
    <cellStyle name="输出 2 6 11 3 4" xfId="41186"/>
    <cellStyle name="输出 2 6 11 3 5" xfId="41187"/>
    <cellStyle name="注释 2 4 8 9 2" xfId="41188"/>
    <cellStyle name="注释 2 8 3 8 2 2" xfId="41189"/>
    <cellStyle name="输出 2 6 11 3 5 2" xfId="41190"/>
    <cellStyle name="输出 2 6 11 4 4" xfId="41191"/>
    <cellStyle name="注释 2 3 26" xfId="41192"/>
    <cellStyle name="输出 2 6 11 4 5" xfId="41193"/>
    <cellStyle name="注释 2 3 27" xfId="41194"/>
    <cellStyle name="注释 2 8 3 8 3 2" xfId="41195"/>
    <cellStyle name="输出 2 6 11 4 5 2" xfId="41196"/>
    <cellStyle name="输出 2 6 11 4 6" xfId="41197"/>
    <cellStyle name="输出 2 6 11 5 3" xfId="41198"/>
    <cellStyle name="输出 2 6 11 5 4" xfId="41199"/>
    <cellStyle name="输出 2 6 11 5 5" xfId="41200"/>
    <cellStyle name="注释 2 8 3 8 4 2" xfId="41201"/>
    <cellStyle name="输出 2 6 11 5 5 2" xfId="41202"/>
    <cellStyle name="输出 2 6 11 5 6" xfId="41203"/>
    <cellStyle name="输出 2 6 11 6 2" xfId="41204"/>
    <cellStyle name="输出 2 6 11 6 3" xfId="41205"/>
    <cellStyle name="输出 2 6 11 6 4" xfId="41206"/>
    <cellStyle name="输出 2 6 11 6 5" xfId="41207"/>
    <cellStyle name="输出 2 6 11 6 5 2" xfId="41208"/>
    <cellStyle name="输出 2 6 11 6 6" xfId="41209"/>
    <cellStyle name="输出 2 6 11 7 2" xfId="41210"/>
    <cellStyle name="输出 2 6 11 7 3" xfId="41211"/>
    <cellStyle name="注释 2 10 9 7 2 2" xfId="41212"/>
    <cellStyle name="输出 2 6 11 7 4" xfId="41213"/>
    <cellStyle name="输出 2 6 11 7 5 2" xfId="41214"/>
    <cellStyle name="输出 2 6 11 8 2" xfId="41215"/>
    <cellStyle name="输入 2 4 5 2 2 2" xfId="41216"/>
    <cellStyle name="输出 2 6 11 8 3" xfId="41217"/>
    <cellStyle name="注释 2 10 9 7 3 2" xfId="41218"/>
    <cellStyle name="输出 2 6 11 8 4" xfId="41219"/>
    <cellStyle name="输出 2 6 11 8 5" xfId="41220"/>
    <cellStyle name="输出 2 6 11 9" xfId="41221"/>
    <cellStyle name="输入 2 4 5 2 3" xfId="41222"/>
    <cellStyle name="输出 2 6 12 2" xfId="41223"/>
    <cellStyle name="输出 2 6 12 2 2" xfId="41224"/>
    <cellStyle name="输出 2 6 12 3 2" xfId="41225"/>
    <cellStyle name="输出 2 6 12 4" xfId="41226"/>
    <cellStyle name="输入 2 8 9 5 2 2" xfId="41227"/>
    <cellStyle name="输出 2 6 12 4 2" xfId="41228"/>
    <cellStyle name="注释 2 8 19" xfId="41229"/>
    <cellStyle name="注释 2 8 24" xfId="41230"/>
    <cellStyle name="输出 2 6 13 2 2" xfId="41231"/>
    <cellStyle name="输出 2 6 13 3" xfId="41232"/>
    <cellStyle name="输出 2 6 13 3 2" xfId="41233"/>
    <cellStyle name="输出 2 6 13 4" xfId="41234"/>
    <cellStyle name="输入 2 8 9 5 3 2" xfId="41235"/>
    <cellStyle name="输出 2 6 13 4 2" xfId="41236"/>
    <cellStyle name="输出 2 6 14 2 2" xfId="41237"/>
    <cellStyle name="输出 2 6 14 3" xfId="41238"/>
    <cellStyle name="输出 2 6 14 3 2" xfId="41239"/>
    <cellStyle name="输出 2 6 14 4" xfId="41240"/>
    <cellStyle name="输入 2 8 9 5 4 2" xfId="41241"/>
    <cellStyle name="输出 2 6 14 4 2" xfId="41242"/>
    <cellStyle name="输出 2 6 15 2 2" xfId="41243"/>
    <cellStyle name="输出 2 6 15 3" xfId="41244"/>
    <cellStyle name="输出 2 6 15 3 2" xfId="41245"/>
    <cellStyle name="输出 2 6 15 4" xfId="41246"/>
    <cellStyle name="输入 2 8 9 5 5 2" xfId="41247"/>
    <cellStyle name="输出 2 6 15 4 2" xfId="41248"/>
    <cellStyle name="输出 2 6 16 3" xfId="41249"/>
    <cellStyle name="输出 2 6 16 4" xfId="41250"/>
    <cellStyle name="输出 2 6 22 2" xfId="41251"/>
    <cellStyle name="输出 2 6 17 2" xfId="41252"/>
    <cellStyle name="输出 2 6 17 2 2" xfId="41253"/>
    <cellStyle name="输出 2 6 17 3" xfId="41254"/>
    <cellStyle name="输出 2 6 17 3 2" xfId="41255"/>
    <cellStyle name="输出 2 6 17 4" xfId="41256"/>
    <cellStyle name="输出 2 6 17 4 2" xfId="41257"/>
    <cellStyle name="输出 2 6 23" xfId="41258"/>
    <cellStyle name="输出 2 6 18" xfId="41259"/>
    <cellStyle name="输出 2 6 23 2" xfId="41260"/>
    <cellStyle name="输出 2 6 18 2" xfId="41261"/>
    <cellStyle name="输出 2 6 18 2 2" xfId="41262"/>
    <cellStyle name="输出 2 6 18 3" xfId="41263"/>
    <cellStyle name="输出 2 6 18 3 2" xfId="41264"/>
    <cellStyle name="输出 2 6 18 4" xfId="41265"/>
    <cellStyle name="输出 2 6 18 4 2" xfId="41266"/>
    <cellStyle name="输出 2 6 19 2" xfId="41267"/>
    <cellStyle name="输出 2 6 19 2 2" xfId="41268"/>
    <cellStyle name="输出 2 6 19 3" xfId="41269"/>
    <cellStyle name="输出 2 6 19 3 2" xfId="41270"/>
    <cellStyle name="输出 2 6 19 4" xfId="41271"/>
    <cellStyle name="输出 2 6 19 4 2" xfId="41272"/>
    <cellStyle name="输出 2 6 2" xfId="41273"/>
    <cellStyle name="输出 2 6 2 10" xfId="41274"/>
    <cellStyle name="输出 2 6 2 10 2" xfId="41275"/>
    <cellStyle name="输出 2 6 2 11" xfId="41276"/>
    <cellStyle name="输出 2 6 2 11 2" xfId="41277"/>
    <cellStyle name="输出 2 6 2 12" xfId="41278"/>
    <cellStyle name="输出 2 6 2 12 2" xfId="41279"/>
    <cellStyle name="输出 2 6 2 3 5 2" xfId="41280"/>
    <cellStyle name="输出 2 6 2 4 6" xfId="41281"/>
    <cellStyle name="输出 2 6 2 5" xfId="41282"/>
    <cellStyle name="输出 2 6 2 5 3" xfId="41283"/>
    <cellStyle name="输出 2 6 2 5 4" xfId="41284"/>
    <cellStyle name="输出 2 6 2 5 5" xfId="41285"/>
    <cellStyle name="注释 2 6 7 5 5 2" xfId="41286"/>
    <cellStyle name="输出 2 6 2 5 6" xfId="41287"/>
    <cellStyle name="输出 2 6 2 6 3" xfId="41288"/>
    <cellStyle name="输出 2 6 2 6 6" xfId="41289"/>
    <cellStyle name="输出 2 6 2 7 2 2" xfId="41290"/>
    <cellStyle name="注释 2 6 15 2" xfId="41291"/>
    <cellStyle name="注释 2 6 20 2" xfId="41292"/>
    <cellStyle name="输出 2 6 2 7 3" xfId="41293"/>
    <cellStyle name="注释 2 6 16" xfId="41294"/>
    <cellStyle name="注释 2 6 21" xfId="41295"/>
    <cellStyle name="输出 2 6 2 7 3 2" xfId="41296"/>
    <cellStyle name="注释 2 6 16 2" xfId="41297"/>
    <cellStyle name="注释 2 6 21 2" xfId="41298"/>
    <cellStyle name="输出 2 6 2 7 4 2" xfId="41299"/>
    <cellStyle name="注释 2 6 17 2" xfId="41300"/>
    <cellStyle name="注释 2 6 22 2" xfId="41301"/>
    <cellStyle name="输出 2 6 2 7 5 2" xfId="41302"/>
    <cellStyle name="注释 2 6 18 2" xfId="41303"/>
    <cellStyle name="注释 2 6 23 2" xfId="41304"/>
    <cellStyle name="输出 2 6 2 7 6" xfId="41305"/>
    <cellStyle name="注释 2 6 19" xfId="41306"/>
    <cellStyle name="注释 2 6 24" xfId="41307"/>
    <cellStyle name="输出 2 6 2 8 2 2" xfId="41308"/>
    <cellStyle name="输出 2 6 2 8 3 2" xfId="41309"/>
    <cellStyle name="输出 2 6 2 8 4 2" xfId="41310"/>
    <cellStyle name="输出 2 6 25" xfId="41311"/>
    <cellStyle name="输出 2 6 3 10" xfId="41312"/>
    <cellStyle name="输出 2 6 3 10 2" xfId="41313"/>
    <cellStyle name="输出 2 6 3 11" xfId="41314"/>
    <cellStyle name="输出 2 6 3 11 2" xfId="41315"/>
    <cellStyle name="输出 2 6 3 12" xfId="41316"/>
    <cellStyle name="输出 2 6 3 12 2" xfId="41317"/>
    <cellStyle name="输出 2 6 3 5 2 2" xfId="41318"/>
    <cellStyle name="输出 2 6 3 5 3" xfId="41319"/>
    <cellStyle name="输出 2 6 3 5 3 2" xfId="41320"/>
    <cellStyle name="输出 2 6 3 5 4" xfId="41321"/>
    <cellStyle name="输出 2 6 3 5 4 2" xfId="41322"/>
    <cellStyle name="输出 2 6 3 6 2 2" xfId="41323"/>
    <cellStyle name="输出 2 6 3 6 3" xfId="41324"/>
    <cellStyle name="输出 2 6 3 6 3 2" xfId="41325"/>
    <cellStyle name="输出 2 6 3 6 4 2" xfId="41326"/>
    <cellStyle name="输出 2 6 3 7 2 2" xfId="41327"/>
    <cellStyle name="输出 2 6 3 7 3" xfId="41328"/>
    <cellStyle name="输出 2 6 3 7 3 2" xfId="41329"/>
    <cellStyle name="输出 2 6 3 7 4 2" xfId="41330"/>
    <cellStyle name="输出 2 6 3 8 2 2" xfId="41331"/>
    <cellStyle name="输出 2 6 3 8 3 2" xfId="41332"/>
    <cellStyle name="输出 2 6 3 8 4 2" xfId="41333"/>
    <cellStyle name="输出 2 6 4 4" xfId="41334"/>
    <cellStyle name="输出 2 6 4 5" xfId="41335"/>
    <cellStyle name="输出 2 6 4 5 2" xfId="41336"/>
    <cellStyle name="输出 2 6 4 5 2 2" xfId="41337"/>
    <cellStyle name="输出 2 6 4 5 3" xfId="41338"/>
    <cellStyle name="输出 2 6 4 5 3 2" xfId="41339"/>
    <cellStyle name="输出 2 6 4 5 4" xfId="41340"/>
    <cellStyle name="输出 2 6 4 5 4 2" xfId="41341"/>
    <cellStyle name="输出 2 6 4 6 2 2" xfId="41342"/>
    <cellStyle name="输出 2 6 4 6 3" xfId="41343"/>
    <cellStyle name="输出 2 6 4 6 3 2" xfId="41344"/>
    <cellStyle name="输出 2 6 4 6 4" xfId="41345"/>
    <cellStyle name="输出 2 6 4 7 2 2" xfId="41346"/>
    <cellStyle name="输出 2 6 4 7 3" xfId="41347"/>
    <cellStyle name="输出 2 6 4 7 3 2" xfId="41348"/>
    <cellStyle name="输出 2 6 4 8 3 2" xfId="41349"/>
    <cellStyle name="输出 2 6 4 8 4 2" xfId="41350"/>
    <cellStyle name="输出 2 6 5" xfId="41351"/>
    <cellStyle name="输出 2 6 5 14" xfId="41352"/>
    <cellStyle name="输出 2 6 5 15" xfId="41353"/>
    <cellStyle name="输出 2 6 5 4" xfId="41354"/>
    <cellStyle name="输出 2 6 5 5" xfId="41355"/>
    <cellStyle name="输出 2 6 5 5 3 2" xfId="41356"/>
    <cellStyle name="输出 2 6 5 5 4" xfId="41357"/>
    <cellStyle name="输出 2 6 5 5 4 2" xfId="41358"/>
    <cellStyle name="输出 2 6 5 6 3 2" xfId="41359"/>
    <cellStyle name="输出 2 6 5 6 4" xfId="41360"/>
    <cellStyle name="输出 2 6 5 7" xfId="41361"/>
    <cellStyle name="输入 2 2 9 2 2" xfId="41362"/>
    <cellStyle name="输出 2 6 5 7 3 2" xfId="41363"/>
    <cellStyle name="输出 2 6 5 8" xfId="41364"/>
    <cellStyle name="输入 2 2 9 2 3" xfId="41365"/>
    <cellStyle name="输出 2 6 5 9" xfId="41366"/>
    <cellStyle name="输入 2 2 9 2 4" xfId="41367"/>
    <cellStyle name="注释 2 4 4 7 2 2" xfId="41368"/>
    <cellStyle name="输出 2 6 6" xfId="41369"/>
    <cellStyle name="输出 2 6 6 2 9" xfId="41370"/>
    <cellStyle name="输入 2 12 5 2 4 2" xfId="41371"/>
    <cellStyle name="输出 2 6 7 10" xfId="41372"/>
    <cellStyle name="输出 2 6 7 10 2" xfId="41373"/>
    <cellStyle name="注释 2 10 6 2 6" xfId="41374"/>
    <cellStyle name="输出 2 6 7 11" xfId="41375"/>
    <cellStyle name="输出 2 6 7 11 2" xfId="41376"/>
    <cellStyle name="注释 2 10 6 3 6" xfId="41377"/>
    <cellStyle name="输出 2 6 7 12" xfId="41378"/>
    <cellStyle name="输出 2 6 7 12 2" xfId="41379"/>
    <cellStyle name="注释 2 10 6 4 6" xfId="41380"/>
    <cellStyle name="输出 2 6 7 13" xfId="41381"/>
    <cellStyle name="输出 2 6 7 14" xfId="41382"/>
    <cellStyle name="注释 2 6 2 7 4 2" xfId="41383"/>
    <cellStyle name="输出 2 6 7 2" xfId="41384"/>
    <cellStyle name="输入 2 10 6 5 2 2" xfId="41385"/>
    <cellStyle name="输出 2 6 7 2 9" xfId="41386"/>
    <cellStyle name="输入 2 12 5 3 4 2" xfId="41387"/>
    <cellStyle name="输出 2 6 8 11 2" xfId="41388"/>
    <cellStyle name="输出 2 6 8 12 2" xfId="41389"/>
    <cellStyle name="输出 2 6 8 2" xfId="41390"/>
    <cellStyle name="输入 2 10 6 5 3 2" xfId="41391"/>
    <cellStyle name="输出 2 6 8 2 9" xfId="41392"/>
    <cellStyle name="输入 2 12 5 4 4 2" xfId="41393"/>
    <cellStyle name="输出 2 6 9" xfId="41394"/>
    <cellStyle name="输入 2 10 6 5 4" xfId="41395"/>
    <cellStyle name="输出 2 6 9 13" xfId="41396"/>
    <cellStyle name="输出 2 6 9 14" xfId="41397"/>
    <cellStyle name="注释 2 4 7 11 2" xfId="41398"/>
    <cellStyle name="输出 2 6 9 2" xfId="41399"/>
    <cellStyle name="输入 2 10 6 5 4 2" xfId="41400"/>
    <cellStyle name="输出 2 6 9 2 9" xfId="41401"/>
    <cellStyle name="输入 2 12 5 5 4 2" xfId="41402"/>
    <cellStyle name="输出 2 7" xfId="41403"/>
    <cellStyle name="输出 2 7 10 10" xfId="41404"/>
    <cellStyle name="输入 2 4 3 3" xfId="41405"/>
    <cellStyle name="注释 2 7 11 7 4" xfId="41406"/>
    <cellStyle name="输出 2 7 10 11" xfId="41407"/>
    <cellStyle name="输入 2 4 3 4" xfId="41408"/>
    <cellStyle name="注释 2 7 11 7 5" xfId="41409"/>
    <cellStyle name="输出 2 7 10 13" xfId="41410"/>
    <cellStyle name="输入 2 4 3 6" xfId="41411"/>
    <cellStyle name="输出 2 7 10 14" xfId="41412"/>
    <cellStyle name="输入 2 4 3 7" xfId="41413"/>
    <cellStyle name="输出 2 7 10 15" xfId="41414"/>
    <cellStyle name="输入 2 4 3 8" xfId="41415"/>
    <cellStyle name="输入 2 5 6 8 2 2" xfId="41416"/>
    <cellStyle name="输出 2 7 10 16" xfId="41417"/>
    <cellStyle name="输入 2 4 3 9" xfId="41418"/>
    <cellStyle name="输出 2 7 10 3 2 2" xfId="41419"/>
    <cellStyle name="输出 2 8 15 5" xfId="41420"/>
    <cellStyle name="输出 2 7 10 3 3 2" xfId="41421"/>
    <cellStyle name="输出 2 8 16 5" xfId="41422"/>
    <cellStyle name="输出 2 7 10 4 2" xfId="41423"/>
    <cellStyle name="注释 2 5 11 5 3 2" xfId="41424"/>
    <cellStyle name="输出 2 7 10 4 3 2" xfId="41425"/>
    <cellStyle name="输出 2 7 10 5" xfId="41426"/>
    <cellStyle name="注释 2 5 11 5 4" xfId="41427"/>
    <cellStyle name="输出 2 7 10 5 2" xfId="41428"/>
    <cellStyle name="注释 2 5 11 5 4 2" xfId="41429"/>
    <cellStyle name="输出 2 7 10 5 3 2" xfId="41430"/>
    <cellStyle name="输出 2 7 10 6" xfId="41431"/>
    <cellStyle name="注释 2 5 11 5 5" xfId="41432"/>
    <cellStyle name="输出 2 7 10 6 2" xfId="41433"/>
    <cellStyle name="注释 2 5 11 5 5 2" xfId="41434"/>
    <cellStyle name="输出 2 7 10 6 2 2" xfId="41435"/>
    <cellStyle name="输出 2 7 10 6 3" xfId="41436"/>
    <cellStyle name="输出 2 7 10 6 3 2" xfId="41437"/>
    <cellStyle name="输出 2 7 10 7 2" xfId="41438"/>
    <cellStyle name="输出 2 7 10 7 2 2" xfId="41439"/>
    <cellStyle name="输出 2 7 10 7 3" xfId="41440"/>
    <cellStyle name="输出 2 7 10 7 3 2" xfId="41441"/>
    <cellStyle name="输出 2 7 10 8 2" xfId="41442"/>
    <cellStyle name="输出 2 7 10 8 2 2" xfId="41443"/>
    <cellStyle name="输出 2 9 15 5" xfId="41444"/>
    <cellStyle name="输出 2 7 10 8 3" xfId="41445"/>
    <cellStyle name="输出 2 7 10 8 3 2" xfId="41446"/>
    <cellStyle name="输出 2 9 16 5" xfId="41447"/>
    <cellStyle name="输出 2 7 11 12" xfId="41448"/>
    <cellStyle name="输入 2 4 8 5" xfId="41449"/>
    <cellStyle name="输出 2 7 11 14" xfId="41450"/>
    <cellStyle name="输入 2 4 8 7" xfId="41451"/>
    <cellStyle name="输出 2 7 11 15" xfId="41452"/>
    <cellStyle name="输入 2 4 8 8" xfId="41453"/>
    <cellStyle name="输出 2 7 11 2 5" xfId="41454"/>
    <cellStyle name="注释 2 9 8 8 2" xfId="41455"/>
    <cellStyle name="输出 2 7 11 2 6" xfId="41456"/>
    <cellStyle name="注释 2 9 8 8 3" xfId="41457"/>
    <cellStyle name="输出 2 7 11 3 2" xfId="41458"/>
    <cellStyle name="注释 2 5 11 6 2 2" xfId="41459"/>
    <cellStyle name="输出 2 7 11 3 4" xfId="41460"/>
    <cellStyle name="输出 2 7 11 3 5" xfId="41461"/>
    <cellStyle name="注释 2 8 8 8 2 2" xfId="41462"/>
    <cellStyle name="注释 2 9 8 9 2" xfId="41463"/>
    <cellStyle name="输出 2 7 11 3 6" xfId="41464"/>
    <cellStyle name="输出 2 7 11 4 2" xfId="41465"/>
    <cellStyle name="注释 2 5 11 6 3 2" xfId="41466"/>
    <cellStyle name="输出 2 7 11 4 4" xfId="41467"/>
    <cellStyle name="输出 2 7 11 4 5" xfId="41468"/>
    <cellStyle name="注释 2 8 8 8 3 2" xfId="41469"/>
    <cellStyle name="输出 2 7 11 4 6" xfId="41470"/>
    <cellStyle name="输出 2 7 11 5" xfId="41471"/>
    <cellStyle name="注释 2 5 11 6 4" xfId="41472"/>
    <cellStyle name="输出 2 7 11 5 2" xfId="41473"/>
    <cellStyle name="注释 2 5 11 6 4 2" xfId="41474"/>
    <cellStyle name="输出 2 7 11 5 4" xfId="41475"/>
    <cellStyle name="输出 2 7 11 5 5" xfId="41476"/>
    <cellStyle name="注释 2 8 8 8 4 2" xfId="41477"/>
    <cellStyle name="输出 2 7 11 5 6" xfId="41478"/>
    <cellStyle name="输出 2 7 11 6" xfId="41479"/>
    <cellStyle name="注释 2 5 11 6 5" xfId="41480"/>
    <cellStyle name="输出 2 7 11 6 2" xfId="41481"/>
    <cellStyle name="注释 2 5 11 6 5 2" xfId="41482"/>
    <cellStyle name="输出 2 7 11 6 2 2" xfId="41483"/>
    <cellStyle name="输出 2 7 11 6 3" xfId="41484"/>
    <cellStyle name="输出 2 7 11 6 4" xfId="41485"/>
    <cellStyle name="输出 2 7 11 6 5" xfId="41486"/>
    <cellStyle name="输出 2 7 11 6 6" xfId="41487"/>
    <cellStyle name="输出 2 7 11 7" xfId="41488"/>
    <cellStyle name="注释 2 5 11 6 6" xfId="41489"/>
    <cellStyle name="输出 2 7 11 7 2" xfId="41490"/>
    <cellStyle name="输出 2 7 11 7 2 2" xfId="41491"/>
    <cellStyle name="输出 2 7 11 7 3" xfId="41492"/>
    <cellStyle name="输出 2 7 11 7 3 2" xfId="41493"/>
    <cellStyle name="输出 2 7 11 7 4" xfId="41494"/>
    <cellStyle name="输出 2 7 11 7 4 2" xfId="41495"/>
    <cellStyle name="输出 2 7 11 7 5" xfId="41496"/>
    <cellStyle name="输出 2 7 11 7 5 2" xfId="41497"/>
    <cellStyle name="输出 2 7 11 8" xfId="41498"/>
    <cellStyle name="输出 2 7 11 8 2" xfId="41499"/>
    <cellStyle name="注释 2 5 10 13" xfId="41500"/>
    <cellStyle name="输出 2 7 11 8 2 2" xfId="41501"/>
    <cellStyle name="输出 2 7 11 8 3" xfId="41502"/>
    <cellStyle name="注释 2 5 10 14" xfId="41503"/>
    <cellStyle name="输出 2 7 11 8 3 2" xfId="41504"/>
    <cellStyle name="输出 2 7 11 8 4" xfId="41505"/>
    <cellStyle name="注释 2 5 10 15" xfId="41506"/>
    <cellStyle name="输出 2 7 11 8 5" xfId="41507"/>
    <cellStyle name="注释 2 5 10 16" xfId="41508"/>
    <cellStyle name="输出 2 7 11 9 2" xfId="41509"/>
    <cellStyle name="输出 2 7 12 3" xfId="41510"/>
    <cellStyle name="注释 2 5 11 7 2" xfId="41511"/>
    <cellStyle name="输出 2 7 12 3 2" xfId="41512"/>
    <cellStyle name="注释 2 5 11 7 2 2" xfId="41513"/>
    <cellStyle name="输出 2 7 12 4 2" xfId="41514"/>
    <cellStyle name="注释 2 5 11 7 3 2" xfId="41515"/>
    <cellStyle name="输出 2 7 12 5" xfId="41516"/>
    <cellStyle name="注释 2 5 11 7 4" xfId="41517"/>
    <cellStyle name="输出 2 7 12 5 2" xfId="41518"/>
    <cellStyle name="注释 2 5 11 7 4 2" xfId="41519"/>
    <cellStyle name="输出 2 7 12 6" xfId="41520"/>
    <cellStyle name="注释 2 5 11 7 5" xfId="41521"/>
    <cellStyle name="输出 2 7 12 7" xfId="41522"/>
    <cellStyle name="注释 2 5 11 7 6" xfId="41523"/>
    <cellStyle name="输出 2 7 12 8" xfId="41524"/>
    <cellStyle name="输出 2 7 12 9" xfId="41525"/>
    <cellStyle name="输出 2 7 13 3" xfId="41526"/>
    <cellStyle name="输入 2 10 8 6 2 2" xfId="41527"/>
    <cellStyle name="注释 2 5 11 8 2" xfId="41528"/>
    <cellStyle name="输出 2 7 13 3 2" xfId="41529"/>
    <cellStyle name="注释 2 5 11 8 2 2" xfId="41530"/>
    <cellStyle name="输出 2 7 13 4" xfId="41531"/>
    <cellStyle name="注释 2 5 11 8 3" xfId="41532"/>
    <cellStyle name="输出 2 7 13 4 2" xfId="41533"/>
    <cellStyle name="注释 2 5 11 8 3 2" xfId="41534"/>
    <cellStyle name="输出 2 7 13 5" xfId="41535"/>
    <cellStyle name="注释 2 5 11 8 4" xfId="41536"/>
    <cellStyle name="输出 2 7 13 5 2" xfId="41537"/>
    <cellStyle name="注释 2 5 11 8 4 2" xfId="41538"/>
    <cellStyle name="输出 2 7 13 6" xfId="41539"/>
    <cellStyle name="注释 2 5 11 8 5" xfId="41540"/>
    <cellStyle name="输出 2 7 14 3" xfId="41541"/>
    <cellStyle name="输入 2 10 8 6 3 2" xfId="41542"/>
    <cellStyle name="注释 2 5 11 9 2" xfId="41543"/>
    <cellStyle name="输出 2 7 15 4 2" xfId="41544"/>
    <cellStyle name="输出 2 7 15 5 2" xfId="41545"/>
    <cellStyle name="输出 2 7 16 4 2" xfId="41546"/>
    <cellStyle name="输出 2 7 16 5" xfId="41547"/>
    <cellStyle name="输出 2 7 16 5 2" xfId="41548"/>
    <cellStyle name="输出 2 7 17 4 2" xfId="41549"/>
    <cellStyle name="输出 2 7 17 5" xfId="41550"/>
    <cellStyle name="输出 2 7 17 5 2" xfId="41551"/>
    <cellStyle name="输出 2 7 18 4 2" xfId="41552"/>
    <cellStyle name="输出 2 7 18 5" xfId="41553"/>
    <cellStyle name="注释 2 9 7 4 2 2" xfId="41554"/>
    <cellStyle name="输出 2 7 18 5 2" xfId="41555"/>
    <cellStyle name="输入 2 13 13" xfId="41556"/>
    <cellStyle name="输出 2 7 2" xfId="41557"/>
    <cellStyle name="输出 2 7 2 10" xfId="41558"/>
    <cellStyle name="输出 2 7 2 10 2" xfId="41559"/>
    <cellStyle name="输出 2 7 2 16" xfId="41560"/>
    <cellStyle name="输出 2 7 2 2 2 2" xfId="41561"/>
    <cellStyle name="输入 2 10 4 6 5" xfId="41562"/>
    <cellStyle name="输出 2 7 2 2 3 2" xfId="41563"/>
    <cellStyle name="输入 2 10 4 7 5" xfId="41564"/>
    <cellStyle name="注释 2 4 9 11" xfId="41565"/>
    <cellStyle name="输出 2 7 2 2 4" xfId="41566"/>
    <cellStyle name="输出 2 7 2 2 4 2" xfId="41567"/>
    <cellStyle name="输入 2 10 4 8 5" xfId="41568"/>
    <cellStyle name="输出 2 7 2 2 5" xfId="41569"/>
    <cellStyle name="注释 2 6 8 5 2 2" xfId="41570"/>
    <cellStyle name="输出 2 7 2 2 5 2" xfId="41571"/>
    <cellStyle name="输出 2 7 2 2 6" xfId="41572"/>
    <cellStyle name="输出 2 7 2 2 7" xfId="41573"/>
    <cellStyle name="输出 2 7 2 2 8" xfId="41574"/>
    <cellStyle name="输出 2 7 2 3 3" xfId="41575"/>
    <cellStyle name="输出 2 7 2 3 3 2" xfId="41576"/>
    <cellStyle name="输入 2 10 5 7 5" xfId="41577"/>
    <cellStyle name="注释 2 6 10 14" xfId="41578"/>
    <cellStyle name="输出 2 7 2 3 4" xfId="41579"/>
    <cellStyle name="输出 2 7 2 3 4 2" xfId="41580"/>
    <cellStyle name="输入 2 10 5 8 5" xfId="41581"/>
    <cellStyle name="输出 2 7 2 3 5" xfId="41582"/>
    <cellStyle name="注释 2 6 8 5 3 2" xfId="41583"/>
    <cellStyle name="输出 2 7 2 3 5 2" xfId="41584"/>
    <cellStyle name="输出 2 7 2 3 6" xfId="41585"/>
    <cellStyle name="输出 2 7 2 4 2" xfId="41586"/>
    <cellStyle name="输出 2 7 2 4 3" xfId="41587"/>
    <cellStyle name="输出 2 7 2 4 3 2" xfId="41588"/>
    <cellStyle name="输入 2 10 6 7 5" xfId="41589"/>
    <cellStyle name="输出 2 7 2 4 4" xfId="41590"/>
    <cellStyle name="输出 2 7 2 4 4 2" xfId="41591"/>
    <cellStyle name="输入 2 10 6 8 5" xfId="41592"/>
    <cellStyle name="输出 2 7 2 4 5" xfId="41593"/>
    <cellStyle name="注释 2 6 8 5 4 2" xfId="41594"/>
    <cellStyle name="输出 2 7 2 4 5 2" xfId="41595"/>
    <cellStyle name="输出 2 7 2 4 6" xfId="41596"/>
    <cellStyle name="输出 2 7 2 5" xfId="41597"/>
    <cellStyle name="输出 2 7 2 5 2" xfId="41598"/>
    <cellStyle name="输出 2 7 2 5 2 2" xfId="41599"/>
    <cellStyle name="输入 2 10 7 6 5" xfId="41600"/>
    <cellStyle name="输出 2 7 2 5 3" xfId="41601"/>
    <cellStyle name="输出 2 7 2 5 3 2" xfId="41602"/>
    <cellStyle name="输入 2 10 7 7 5" xfId="41603"/>
    <cellStyle name="输出 2 7 2 5 4" xfId="41604"/>
    <cellStyle name="输出 2 7 2 5 4 2" xfId="41605"/>
    <cellStyle name="输入 2 10 7 8 5" xfId="41606"/>
    <cellStyle name="输出 2 7 2 5 5" xfId="41607"/>
    <cellStyle name="注释 2 6 8 5 5 2" xfId="41608"/>
    <cellStyle name="输出 2 7 2 5 5 2" xfId="41609"/>
    <cellStyle name="输出 2 7 2 5 6" xfId="41610"/>
    <cellStyle name="输出 2 7 2 6 2" xfId="41611"/>
    <cellStyle name="输出 2 7 2 6 2 2" xfId="41612"/>
    <cellStyle name="输入 2 10 8 6 5" xfId="41613"/>
    <cellStyle name="输出 2 7 2 6 3" xfId="41614"/>
    <cellStyle name="输出 2 7 2 6 3 2" xfId="41615"/>
    <cellStyle name="输入 2 10 8 7 5" xfId="41616"/>
    <cellStyle name="注释 2 5 4 11" xfId="41617"/>
    <cellStyle name="输出 2 7 2 6 4 2" xfId="41618"/>
    <cellStyle name="输入 2 10 8 8 5" xfId="41619"/>
    <cellStyle name="输出 2 7 2 6 5 2" xfId="41620"/>
    <cellStyle name="输出 2 7 2 6 6" xfId="41621"/>
    <cellStyle name="输出 2 7 2 7" xfId="41622"/>
    <cellStyle name="输出 2 7 2 7 2" xfId="41623"/>
    <cellStyle name="输出 2 7 2 7 2 2" xfId="41624"/>
    <cellStyle name="输入 2 10 9 6 5" xfId="41625"/>
    <cellStyle name="输出 2 7 2 7 3" xfId="41626"/>
    <cellStyle name="输出 2 7 2 7 3 2" xfId="41627"/>
    <cellStyle name="输入 2 10 9 7 5" xfId="41628"/>
    <cellStyle name="注释 2 5 9 11" xfId="41629"/>
    <cellStyle name="输出 2 7 2 7 4 2" xfId="41630"/>
    <cellStyle name="输入 2 10 9 8 5" xfId="41631"/>
    <cellStyle name="输出 2 7 2 7 5 2" xfId="41632"/>
    <cellStyle name="输出 2 7 2 7 6" xfId="41633"/>
    <cellStyle name="输出 2 7 2 8" xfId="41634"/>
    <cellStyle name="输出 2 7 2 8 2" xfId="41635"/>
    <cellStyle name="输出 2 7 2 8 3 2" xfId="41636"/>
    <cellStyle name="输出 2 7 2 9" xfId="41637"/>
    <cellStyle name="输出 2 7 2 9 2" xfId="41638"/>
    <cellStyle name="输出 2 7 25" xfId="41639"/>
    <cellStyle name="注释 2 5 3 6 5 2" xfId="41640"/>
    <cellStyle name="输出 2 7 3 15" xfId="41641"/>
    <cellStyle name="输出 2 7 3 2 2 2" xfId="41642"/>
    <cellStyle name="输入 2 11 4 6 5" xfId="41643"/>
    <cellStyle name="输出 2 7 3 2 3" xfId="41644"/>
    <cellStyle name="输出 2 7 3 2 3 2" xfId="41645"/>
    <cellStyle name="输入 2 11 4 7 5" xfId="41646"/>
    <cellStyle name="注释 2 9 9 11" xfId="41647"/>
    <cellStyle name="输出 2 7 3 2 4" xfId="41648"/>
    <cellStyle name="输出 2 7 3 2 4 2" xfId="41649"/>
    <cellStyle name="输入 2 11 4 8 5" xfId="41650"/>
    <cellStyle name="输出 2 7 3 2 5" xfId="41651"/>
    <cellStyle name="注释 2 6 8 6 2 2" xfId="41652"/>
    <cellStyle name="输出 2 7 3 2 5 2" xfId="41653"/>
    <cellStyle name="输出 2 7 3 2 6" xfId="41654"/>
    <cellStyle name="输出 2 7 3 2 7" xfId="41655"/>
    <cellStyle name="输出 2 7 3 2 8" xfId="41656"/>
    <cellStyle name="输出 2 7 3 2 9" xfId="41657"/>
    <cellStyle name="输出 2 7 3 3" xfId="41658"/>
    <cellStyle name="输出 2 7 3 3 2" xfId="41659"/>
    <cellStyle name="输出 2 7 3 3 3" xfId="41660"/>
    <cellStyle name="输出 2 7 3 3 3 2" xfId="41661"/>
    <cellStyle name="输入 2 11 5 7 5" xfId="41662"/>
    <cellStyle name="注释 2 7 10 14" xfId="41663"/>
    <cellStyle name="输出 2 7 3 3 4" xfId="41664"/>
    <cellStyle name="输出 2 7 3 3 4 2" xfId="41665"/>
    <cellStyle name="输入 2 11 5 8 5" xfId="41666"/>
    <cellStyle name="输出 2 7 3 4" xfId="41667"/>
    <cellStyle name="输出 2 7 3 4 2" xfId="41668"/>
    <cellStyle name="输出 2 7 3 4 3" xfId="41669"/>
    <cellStyle name="输出 2 7 3 4 3 2" xfId="41670"/>
    <cellStyle name="输入 2 11 6 7 5" xfId="41671"/>
    <cellStyle name="输出 2 7 3 4 4" xfId="41672"/>
    <cellStyle name="输出 2 7 3 4 4 2" xfId="41673"/>
    <cellStyle name="输入 2 11 6 8 5" xfId="41674"/>
    <cellStyle name="输出 2 7 3 5" xfId="41675"/>
    <cellStyle name="输出 2 7 3 5 2" xfId="41676"/>
    <cellStyle name="输出 2 7 3 5 2 2" xfId="41677"/>
    <cellStyle name="输入 2 11 7 6 5" xfId="41678"/>
    <cellStyle name="输出 2 7 3 5 3" xfId="41679"/>
    <cellStyle name="输出 2 7 3 5 3 2" xfId="41680"/>
    <cellStyle name="输入 2 11 7 7 5" xfId="41681"/>
    <cellStyle name="输出 2 7 3 5 4" xfId="41682"/>
    <cellStyle name="输出 2 7 3 5 4 2" xfId="41683"/>
    <cellStyle name="输入 2 11 7 8 5" xfId="41684"/>
    <cellStyle name="输出 2 7 3 6" xfId="41685"/>
    <cellStyle name="输出 2 7 8 12 2" xfId="41686"/>
    <cellStyle name="输出 2 7 3 6 2" xfId="41687"/>
    <cellStyle name="输出 2 7 3 6 2 2" xfId="41688"/>
    <cellStyle name="输入 2 11 8 6 5" xfId="41689"/>
    <cellStyle name="输出 2 7 3 6 3" xfId="41690"/>
    <cellStyle name="输出 2 7 3 6 3 2" xfId="41691"/>
    <cellStyle name="输入 2 11 8 7 5" xfId="41692"/>
    <cellStyle name="输出 2 7 3 6 4 2" xfId="41693"/>
    <cellStyle name="输入 2 11 8 8 5" xfId="41694"/>
    <cellStyle name="输出 2 7 3 7" xfId="41695"/>
    <cellStyle name="输出 2 7 3 7 2" xfId="41696"/>
    <cellStyle name="输入 2 10 25" xfId="41697"/>
    <cellStyle name="输出 2 7 3 7 3" xfId="41698"/>
    <cellStyle name="输入 2 10 26" xfId="41699"/>
    <cellStyle name="输出 2 7 3 8" xfId="41700"/>
    <cellStyle name="输出 2 7 3 8 2" xfId="41701"/>
    <cellStyle name="输出 2 7 3 9" xfId="41702"/>
    <cellStyle name="输出 2 7 3 9 2" xfId="41703"/>
    <cellStyle name="输出 2 7 4 10" xfId="41704"/>
    <cellStyle name="注释 2 4 6 8 3 2" xfId="41705"/>
    <cellStyle name="输出 2 7 4 10 2" xfId="41706"/>
    <cellStyle name="输出 2 7 4 11" xfId="41707"/>
    <cellStyle name="输出 2 7 4 11 2" xfId="41708"/>
    <cellStyle name="输出 2 7 4 12" xfId="41709"/>
    <cellStyle name="输出 2 7 4 12 2" xfId="41710"/>
    <cellStyle name="输出 2 7 4 2" xfId="41711"/>
    <cellStyle name="输出 2 7 4 2 2" xfId="41712"/>
    <cellStyle name="输出 2 7 4 2 2 2" xfId="41713"/>
    <cellStyle name="输入 2 12 4 6 5" xfId="41714"/>
    <cellStyle name="输出 2 7 4 2 3" xfId="41715"/>
    <cellStyle name="输出 2 7 4 2 3 2" xfId="41716"/>
    <cellStyle name="输入 2 12 4 7 5" xfId="41717"/>
    <cellStyle name="注释 2 10 26" xfId="41718"/>
    <cellStyle name="输出 2 7 4 2 4" xfId="41719"/>
    <cellStyle name="输出 2 7 4 2 4 2" xfId="41720"/>
    <cellStyle name="输入 2 12 4 8 5" xfId="41721"/>
    <cellStyle name="输出 2 7 4 2 5 2" xfId="41722"/>
    <cellStyle name="输出 2 7 4 2 7" xfId="41723"/>
    <cellStyle name="输出 2 7 4 2 8" xfId="41724"/>
    <cellStyle name="输出 2 7 4 2 9" xfId="41725"/>
    <cellStyle name="输出 2 7 4 3" xfId="41726"/>
    <cellStyle name="输出 2 7 4 3 2" xfId="41727"/>
    <cellStyle name="输出 2 7 4 3 2 2" xfId="41728"/>
    <cellStyle name="输入 2 12 5 6 5" xfId="41729"/>
    <cellStyle name="输出 2 7 4 3 3" xfId="41730"/>
    <cellStyle name="输出 2 7 4 3 3 2" xfId="41731"/>
    <cellStyle name="输入 2 12 5 7 5" xfId="41732"/>
    <cellStyle name="注释 2 8 10 14" xfId="41733"/>
    <cellStyle name="输出 2 7 4 3 4" xfId="41734"/>
    <cellStyle name="输出 2 7 4 3 4 2" xfId="41735"/>
    <cellStyle name="输入 2 12 5 8 5" xfId="41736"/>
    <cellStyle name="输出 2 7 4 4" xfId="41737"/>
    <cellStyle name="输出 2 7 4 4 2" xfId="41738"/>
    <cellStyle name="输出 2 7 4 4 2 2" xfId="41739"/>
    <cellStyle name="输入 2 12 6 6 5" xfId="41740"/>
    <cellStyle name="输出 2 7 4 4 3" xfId="41741"/>
    <cellStyle name="输出 2 7 4 4 3 2" xfId="41742"/>
    <cellStyle name="输入 2 12 6 7 5" xfId="41743"/>
    <cellStyle name="输出 2 7 4 4 4" xfId="41744"/>
    <cellStyle name="输出 2 7 4 4 4 2" xfId="41745"/>
    <cellStyle name="输入 2 12 6 8 5" xfId="41746"/>
    <cellStyle name="输出 2 7 4 5" xfId="41747"/>
    <cellStyle name="输出 2 7 4 5 2" xfId="41748"/>
    <cellStyle name="输出 2 7 4 5 2 2" xfId="41749"/>
    <cellStyle name="输入 2 12 7 6 5" xfId="41750"/>
    <cellStyle name="输出 2 7 4 5 3 2" xfId="41751"/>
    <cellStyle name="输入 2 12 7 7 5" xfId="41752"/>
    <cellStyle name="输出 2 7 4 5 4" xfId="41753"/>
    <cellStyle name="输出 2 7 4 5 4 2" xfId="41754"/>
    <cellStyle name="输入 2 12 7 8 5" xfId="41755"/>
    <cellStyle name="输出 2 7 4 6" xfId="41756"/>
    <cellStyle name="输出 2 7 4 6 2" xfId="41757"/>
    <cellStyle name="输出 2 7 4 6 2 2" xfId="41758"/>
    <cellStyle name="输入 2 12 8 6 5" xfId="41759"/>
    <cellStyle name="输出 2 7 4 6 3" xfId="41760"/>
    <cellStyle name="输出 2 7 4 6 3 2" xfId="41761"/>
    <cellStyle name="输入 2 12 8 7 5" xfId="41762"/>
    <cellStyle name="输出 2 7 4 6 4" xfId="41763"/>
    <cellStyle name="输出 2 7 4 6 4 2" xfId="41764"/>
    <cellStyle name="输入 2 12 8 8 5" xfId="41765"/>
    <cellStyle name="输出 2 7 4 7" xfId="41766"/>
    <cellStyle name="输出 2 7 4 7 2" xfId="41767"/>
    <cellStyle name="输出 2 7 4 7 2 2" xfId="41768"/>
    <cellStyle name="输入 2 12 9 6 5" xfId="41769"/>
    <cellStyle name="输出 2 7 4 7 3" xfId="41770"/>
    <cellStyle name="输出 2 7 4 7 3 2" xfId="41771"/>
    <cellStyle name="输入 2 12 9 7 5" xfId="41772"/>
    <cellStyle name="输出 2 7 4 7 4" xfId="41773"/>
    <cellStyle name="输出 2 7 4 7 4 2" xfId="41774"/>
    <cellStyle name="输入 2 12 9 8 5" xfId="41775"/>
    <cellStyle name="输出 2 7 4 8" xfId="41776"/>
    <cellStyle name="输出 2 7 4 8 2" xfId="41777"/>
    <cellStyle name="输出 2 7 4 8 2 2" xfId="41778"/>
    <cellStyle name="输入 2 4 10 6 5" xfId="41779"/>
    <cellStyle name="输出 2 7 4 8 3 2" xfId="41780"/>
    <cellStyle name="输入 2 4 10 7 5" xfId="41781"/>
    <cellStyle name="输出 2 7 4 8 4" xfId="41782"/>
    <cellStyle name="输出 2 7 4 8 4 2" xfId="41783"/>
    <cellStyle name="输入 2 4 10 8 5" xfId="41784"/>
    <cellStyle name="输出 2 7 4 9" xfId="41785"/>
    <cellStyle name="输出 2 7 4 9 2" xfId="41786"/>
    <cellStyle name="输出 2 7 5" xfId="41787"/>
    <cellStyle name="输出 2 7 5 10" xfId="41788"/>
    <cellStyle name="输入 2 10 10 7 3 2" xfId="41789"/>
    <cellStyle name="输出 2 7 5 10 2" xfId="41790"/>
    <cellStyle name="输出 2 7 5 11" xfId="41791"/>
    <cellStyle name="输出 2 7 5 11 2" xfId="41792"/>
    <cellStyle name="输出 2 7 5 12" xfId="41793"/>
    <cellStyle name="输出 2 7 5 12 2" xfId="41794"/>
    <cellStyle name="输出 2 7 5 14" xfId="41795"/>
    <cellStyle name="输出 2 7 5 15" xfId="41796"/>
    <cellStyle name="输出 2 7 5 16" xfId="41797"/>
    <cellStyle name="输出 2 7 5 2" xfId="41798"/>
    <cellStyle name="输出 2 7 5 2 2" xfId="41799"/>
    <cellStyle name="输出 2 7 5 2 2 2" xfId="41800"/>
    <cellStyle name="输出 2 7 5 2 3" xfId="41801"/>
    <cellStyle name="输出 2 7 5 2 3 2" xfId="41802"/>
    <cellStyle name="输出 2 7 5 2 4" xfId="41803"/>
    <cellStyle name="输出 2 7 5 2 4 2" xfId="41804"/>
    <cellStyle name="输出 2 7 5 2 5" xfId="41805"/>
    <cellStyle name="注释 2 6 8 8 2 2" xfId="41806"/>
    <cellStyle name="输出 2 7 5 2 5 2" xfId="41807"/>
    <cellStyle name="输出 2 7 5 2 6" xfId="41808"/>
    <cellStyle name="输出 2 7 5 2 7" xfId="41809"/>
    <cellStyle name="输出 2 7 5 2 8" xfId="41810"/>
    <cellStyle name="输出 2 7 5 2 9" xfId="41811"/>
    <cellStyle name="输出 2 7 5 3" xfId="41812"/>
    <cellStyle name="输出 2 7 5 3 2" xfId="41813"/>
    <cellStyle name="输出 2 7 5 3 2 2" xfId="41814"/>
    <cellStyle name="输出 2 7 5 3 3" xfId="41815"/>
    <cellStyle name="输出 2 7 5 3 3 2" xfId="41816"/>
    <cellStyle name="注释 2 9 10 14" xfId="41817"/>
    <cellStyle name="输出 2 7 5 3 4" xfId="41818"/>
    <cellStyle name="输出 2 7 5 3 4 2" xfId="41819"/>
    <cellStyle name="输出 2 7 5 4" xfId="41820"/>
    <cellStyle name="输出 2 7 5 4 3 2" xfId="41821"/>
    <cellStyle name="输出 2 7 5 4 4 2" xfId="41822"/>
    <cellStyle name="输出 2 7 5 5" xfId="41823"/>
    <cellStyle name="输出 2 7 5 5 3 2" xfId="41824"/>
    <cellStyle name="输出 2 7 5 5 4" xfId="41825"/>
    <cellStyle name="输出 2 7 5 5 4 2" xfId="41826"/>
    <cellStyle name="输出 2 7 5 6" xfId="41827"/>
    <cellStyle name="输出 2 7 5 6 3 2" xfId="41828"/>
    <cellStyle name="输出 2 7 5 6 4" xfId="41829"/>
    <cellStyle name="输出 2 7 5 7" xfId="41830"/>
    <cellStyle name="输出 2 7 5 7 3 2" xfId="41831"/>
    <cellStyle name="输出 2 7 5 7 4" xfId="41832"/>
    <cellStyle name="输出 2 7 5 8" xfId="41833"/>
    <cellStyle name="输出 2 7 5 8 3 2" xfId="41834"/>
    <cellStyle name="输出 2 7 5 8 4" xfId="41835"/>
    <cellStyle name="输出 2 7 5 8 4 2" xfId="41836"/>
    <cellStyle name="输出 2 7 5 9" xfId="41837"/>
    <cellStyle name="注释 2 4 4 8 2 2" xfId="41838"/>
    <cellStyle name="输出 2 7 6" xfId="41839"/>
    <cellStyle name="输出 2 7 6 10" xfId="41840"/>
    <cellStyle name="输出 2 7 6 11" xfId="41841"/>
    <cellStyle name="输入 2 6 10 6 5 2" xfId="41842"/>
    <cellStyle name="输入 2 6 9 2 5 2" xfId="41843"/>
    <cellStyle name="输出 2 7 6 12" xfId="41844"/>
    <cellStyle name="输出 2 7 6 15" xfId="41845"/>
    <cellStyle name="输出 2 7 6 2" xfId="41846"/>
    <cellStyle name="输出 2 7 6 2 2" xfId="41847"/>
    <cellStyle name="输出 2 7 6 2 2 2" xfId="41848"/>
    <cellStyle name="输出 2 8 10 7 3" xfId="41849"/>
    <cellStyle name="输出 2 7 6 2 3" xfId="41850"/>
    <cellStyle name="输出 2 7 6 2 3 2" xfId="41851"/>
    <cellStyle name="输出 2 8 10 8 3" xfId="41852"/>
    <cellStyle name="输出 2 7 6 2 4" xfId="41853"/>
    <cellStyle name="输出 2 7 6 2 4 2" xfId="41854"/>
    <cellStyle name="输出 2 7 6 2 5" xfId="41855"/>
    <cellStyle name="输入 2 6 14 2" xfId="41856"/>
    <cellStyle name="输出 2 7 6 2 5 2" xfId="41857"/>
    <cellStyle name="输入 2 6 14 2 2" xfId="41858"/>
    <cellStyle name="输出 2 7 6 2 6" xfId="41859"/>
    <cellStyle name="输入 2 6 14 3" xfId="41860"/>
    <cellStyle name="输出 2 7 6 2 7" xfId="41861"/>
    <cellStyle name="输入 2 6 14 4" xfId="41862"/>
    <cellStyle name="输出 2 7 6 2 8" xfId="41863"/>
    <cellStyle name="输入 2 6 14 5" xfId="41864"/>
    <cellStyle name="输出 2 7 6 2 9" xfId="41865"/>
    <cellStyle name="输入 2 12 6 2 4 2" xfId="41866"/>
    <cellStyle name="输入 2 6 14 6" xfId="41867"/>
    <cellStyle name="输出 2 7 6 3" xfId="41868"/>
    <cellStyle name="输出 2 7 6 4" xfId="41869"/>
    <cellStyle name="输出 2 7 6 4 3 2" xfId="41870"/>
    <cellStyle name="输出 2 7 6 4 4 2" xfId="41871"/>
    <cellStyle name="输出 2 7 6 5" xfId="41872"/>
    <cellStyle name="输出 2 7 6 5 3 2" xfId="41873"/>
    <cellStyle name="输出 2 7 6 5 4" xfId="41874"/>
    <cellStyle name="输出 2 7 6 5 4 2" xfId="41875"/>
    <cellStyle name="输出 2 7 6 6" xfId="41876"/>
    <cellStyle name="输出 2 7 6 6 3 2" xfId="41877"/>
    <cellStyle name="输出 2 7 6 6 4" xfId="41878"/>
    <cellStyle name="输出 2 7 6 6 4 2" xfId="41879"/>
    <cellStyle name="输出 2 7 6 7" xfId="41880"/>
    <cellStyle name="输出 2 7 6 7 3 2" xfId="41881"/>
    <cellStyle name="输出 2 7 6 7 4" xfId="41882"/>
    <cellStyle name="输出 2 7 6 7 4 2" xfId="41883"/>
    <cellStyle name="输出 2 7 6 8" xfId="41884"/>
    <cellStyle name="输出 2 7 6 9" xfId="41885"/>
    <cellStyle name="注释 2 4 4 8 3 2" xfId="41886"/>
    <cellStyle name="输出 2 7 7 10" xfId="41887"/>
    <cellStyle name="输出 2 7 7 10 2" xfId="41888"/>
    <cellStyle name="输出 2 7 7 11" xfId="41889"/>
    <cellStyle name="输出 2 7 7 12" xfId="41890"/>
    <cellStyle name="输出 2 7 7 13" xfId="41891"/>
    <cellStyle name="输出 2 7 7 14" xfId="41892"/>
    <cellStyle name="输出 2 7 7 15" xfId="41893"/>
    <cellStyle name="输出 2 7 7 16" xfId="41894"/>
    <cellStyle name="输出 2 7 7 2 2" xfId="41895"/>
    <cellStyle name="输出 2 7 7 2 2 2" xfId="41896"/>
    <cellStyle name="输出 2 7 7 2 3" xfId="41897"/>
    <cellStyle name="输出 2 7 7 2 3 2" xfId="41898"/>
    <cellStyle name="输出 2 7 7 2 4 2" xfId="41899"/>
    <cellStyle name="输出 2 7 7 2 5" xfId="41900"/>
    <cellStyle name="输出 2 7 7 2 5 2" xfId="41901"/>
    <cellStyle name="输出 2 7 7 2 6" xfId="41902"/>
    <cellStyle name="输出 2 7 7 2 7" xfId="41903"/>
    <cellStyle name="输出 2 7 7 2 8" xfId="41904"/>
    <cellStyle name="输出 2 7 7 2 9" xfId="41905"/>
    <cellStyle name="输入 2 12 6 3 4 2" xfId="41906"/>
    <cellStyle name="输出 2 7 7 3" xfId="41907"/>
    <cellStyle name="输出 2 7 7 4" xfId="41908"/>
    <cellStyle name="输出 2 7 7 4 3 2" xfId="41909"/>
    <cellStyle name="输出 2 7 7 4 4 2" xfId="41910"/>
    <cellStyle name="输出 2 7 7 5" xfId="41911"/>
    <cellStyle name="输出 2 7 7 5 3 2" xfId="41912"/>
    <cellStyle name="输出 2 7 7 5 4" xfId="41913"/>
    <cellStyle name="输出 2 7 7 5 4 2" xfId="41914"/>
    <cellStyle name="输出 2 7 7 6" xfId="41915"/>
    <cellStyle name="输出 2 7 7 6 3 2" xfId="41916"/>
    <cellStyle name="输出 2 7 7 6 4" xfId="41917"/>
    <cellStyle name="输出 2 7 7 6 4 2" xfId="41918"/>
    <cellStyle name="输出 2 7 7 7" xfId="41919"/>
    <cellStyle name="输出 2 7 7 7 3 2" xfId="41920"/>
    <cellStyle name="输出 2 7 7 7 4" xfId="41921"/>
    <cellStyle name="输出 2 7 7 7 4 2" xfId="41922"/>
    <cellStyle name="输出 2 7 7 9" xfId="41923"/>
    <cellStyle name="注释 2 4 4 8 4 2" xfId="41924"/>
    <cellStyle name="输出 2 7 8 10 2" xfId="41925"/>
    <cellStyle name="输出 2 7 8 11" xfId="41926"/>
    <cellStyle name="输入 2 2 4 6 4 2" xfId="41927"/>
    <cellStyle name="输出 2 7 8 12" xfId="41928"/>
    <cellStyle name="输出 2 7 8 13" xfId="41929"/>
    <cellStyle name="输出 2 7 8 14" xfId="41930"/>
    <cellStyle name="输出 2 7 8 15" xfId="41931"/>
    <cellStyle name="输出 2 7 8 2 8" xfId="41932"/>
    <cellStyle name="输出 2 7 8 2 9" xfId="41933"/>
    <cellStyle name="输入 2 12 6 4 4 2" xfId="41934"/>
    <cellStyle name="输出 2 7 8 3" xfId="41935"/>
    <cellStyle name="输出 2 7 8 4" xfId="41936"/>
    <cellStyle name="输出 2 7 8 4 3 2" xfId="41937"/>
    <cellStyle name="输出 2 7 8 4 4 2" xfId="41938"/>
    <cellStyle name="输出 2 7 8 5" xfId="41939"/>
    <cellStyle name="输出 2 7 8 5 3 2" xfId="41940"/>
    <cellStyle name="输出 2 7 8 5 4" xfId="41941"/>
    <cellStyle name="输出 2 7 8 5 4 2" xfId="41942"/>
    <cellStyle name="输出 2 7 8 6" xfId="41943"/>
    <cellStyle name="输出 2 7 8 6 3 2" xfId="41944"/>
    <cellStyle name="输出 2 7 8 6 4" xfId="41945"/>
    <cellStyle name="输出 2 7 8 6 4 2" xfId="41946"/>
    <cellStyle name="输出 2 7 8 7" xfId="41947"/>
    <cellStyle name="输出 2 7 8 7 3 2" xfId="41948"/>
    <cellStyle name="输出 2 7 8 7 4" xfId="41949"/>
    <cellStyle name="输出 2 7 8 7 4 2" xfId="41950"/>
    <cellStyle name="注释 2 11 10" xfId="41951"/>
    <cellStyle name="输出 2 7 8 8 3 2" xfId="41952"/>
    <cellStyle name="输出 2 7 8 8 4" xfId="41953"/>
    <cellStyle name="输出 2 7 8 8 4 2" xfId="41954"/>
    <cellStyle name="注释 2 16 10" xfId="41955"/>
    <cellStyle name="输出 2 7 8 9" xfId="41956"/>
    <cellStyle name="输出 2 7 9 10" xfId="41957"/>
    <cellStyle name="输出 2 7 9 10 2" xfId="41958"/>
    <cellStyle name="输出 2 7 9 11" xfId="41959"/>
    <cellStyle name="输出 2 7 9 11 2" xfId="41960"/>
    <cellStyle name="输出 2 7 9 12" xfId="41961"/>
    <cellStyle name="输出 2 7 9 12 2" xfId="41962"/>
    <cellStyle name="输出 2 7 9 2 9" xfId="41963"/>
    <cellStyle name="输入 2 12 6 5 4 2" xfId="41964"/>
    <cellStyle name="输出 2 7 9 3" xfId="41965"/>
    <cellStyle name="输出 2 7 9 4" xfId="41966"/>
    <cellStyle name="输出 2 7 9 4 3 2" xfId="41967"/>
    <cellStyle name="输出 2 7 9 4 4 2" xfId="41968"/>
    <cellStyle name="输出 2 7 9 5 3 2" xfId="41969"/>
    <cellStyle name="输出 2 7 9 5 4" xfId="41970"/>
    <cellStyle name="输出 2 7 9 5 4 2" xfId="41971"/>
    <cellStyle name="输出 2 7 9 6" xfId="41972"/>
    <cellStyle name="输出 2 7 9 6 3 2" xfId="41973"/>
    <cellStyle name="输出 2 7 9 6 4" xfId="41974"/>
    <cellStyle name="输出 2 7 9 6 4 2" xfId="41975"/>
    <cellStyle name="输出 2 7 9 7" xfId="41976"/>
    <cellStyle name="输出 2 7 9 7 3 2" xfId="41977"/>
    <cellStyle name="输出 2 7 9 7 4" xfId="41978"/>
    <cellStyle name="输出 2 7 9 7 4 2" xfId="41979"/>
    <cellStyle name="输出 2 7 9 8 3 2" xfId="41980"/>
    <cellStyle name="输入 2 5 10 7 5" xfId="41981"/>
    <cellStyle name="输出 2 7 9 8 4" xfId="41982"/>
    <cellStyle name="输出 2 7 9 8 4 2" xfId="41983"/>
    <cellStyle name="输入 2 5 10 8 5" xfId="41984"/>
    <cellStyle name="输出 2 7 9 9" xfId="41985"/>
    <cellStyle name="输出 2 8 10 15" xfId="41986"/>
    <cellStyle name="输入 2 5 7 8 2 2" xfId="41987"/>
    <cellStyle name="输出 2 8 10 16" xfId="41988"/>
    <cellStyle name="输出 2 8 10 2 2" xfId="41989"/>
    <cellStyle name="输出 2 8 10 2 2 2" xfId="41990"/>
    <cellStyle name="输出 2 8 10 2 3" xfId="41991"/>
    <cellStyle name="输出 2 8 10 2 3 2" xfId="41992"/>
    <cellStyle name="输出 2 8 10 2 4" xfId="41993"/>
    <cellStyle name="输出 2 8 10 2 4 2" xfId="41994"/>
    <cellStyle name="输出 2 8 10 2 5" xfId="41995"/>
    <cellStyle name="输出 2 8 10 2 5 2" xfId="41996"/>
    <cellStyle name="输出 2 8 10 2 6" xfId="41997"/>
    <cellStyle name="输出 2 8 10 2 7" xfId="41998"/>
    <cellStyle name="输出 2 8 10 2 9" xfId="41999"/>
    <cellStyle name="输出 2 8 10 3 2" xfId="42000"/>
    <cellStyle name="输入 2 8 10 6" xfId="42001"/>
    <cellStyle name="注释 2 11 4 2 9" xfId="42002"/>
    <cellStyle name="输出 2 8 10 3 2 2" xfId="42003"/>
    <cellStyle name="输入 2 8 10 6 2" xfId="42004"/>
    <cellStyle name="输出 2 8 10 3 3" xfId="42005"/>
    <cellStyle name="输入 2 8 10 7" xfId="42006"/>
    <cellStyle name="输出 2 8 10 3 3 2" xfId="42007"/>
    <cellStyle name="输入 2 8 10 7 2" xfId="42008"/>
    <cellStyle name="输出 2 8 10 3 4" xfId="42009"/>
    <cellStyle name="输入 2 8 10 8" xfId="42010"/>
    <cellStyle name="输出 2 8 10 3 4 2" xfId="42011"/>
    <cellStyle name="输入 2 8 10 8 2" xfId="42012"/>
    <cellStyle name="输出 2 8 10 3 5" xfId="42013"/>
    <cellStyle name="输入 2 8 10 9" xfId="42014"/>
    <cellStyle name="输出 2 8 10 3 5 2" xfId="42015"/>
    <cellStyle name="输入 2 8 10 9 2" xfId="42016"/>
    <cellStyle name="输出 2 8 10 3 6" xfId="42017"/>
    <cellStyle name="输出 2 8 10 4" xfId="42018"/>
    <cellStyle name="输出 2 8 10 4 2" xfId="42019"/>
    <cellStyle name="输入 2 8 11 6" xfId="42020"/>
    <cellStyle name="输出 2 8 10 4 2 2" xfId="42021"/>
    <cellStyle name="输入 2 8 11 6 2" xfId="42022"/>
    <cellStyle name="输出 2 8 10 4 3" xfId="42023"/>
    <cellStyle name="输入 2 8 11 7" xfId="42024"/>
    <cellStyle name="输出 2 8 10 4 3 2" xfId="42025"/>
    <cellStyle name="输出 2 9 10 13" xfId="42026"/>
    <cellStyle name="输入 2 8 11 7 2" xfId="42027"/>
    <cellStyle name="输出 2 8 10 4 4" xfId="42028"/>
    <cellStyle name="输入 2 8 11 8" xfId="42029"/>
    <cellStyle name="输出 2 8 10 4 4 2" xfId="42030"/>
    <cellStyle name="输入 2 8 11 8 2" xfId="42031"/>
    <cellStyle name="输出 2 8 10 4 5" xfId="42032"/>
    <cellStyle name="输入 2 8 11 9" xfId="42033"/>
    <cellStyle name="输入 2 9 3 7 2 2" xfId="42034"/>
    <cellStyle name="输出 2 8 10 4 5 2" xfId="42035"/>
    <cellStyle name="输入 2 8 11 9 2" xfId="42036"/>
    <cellStyle name="输出 2 8 10 4 6" xfId="42037"/>
    <cellStyle name="输出 2 8 10 5" xfId="42038"/>
    <cellStyle name="输出 2 8 10 5 2" xfId="42039"/>
    <cellStyle name="输入 2 8 12 6" xfId="42040"/>
    <cellStyle name="输出 2 8 10 5 2 2" xfId="42041"/>
    <cellStyle name="输出 2 8 10 5 3" xfId="42042"/>
    <cellStyle name="输入 2 8 12 7" xfId="42043"/>
    <cellStyle name="输出 2 8 10 5 3 2" xfId="42044"/>
    <cellStyle name="输出 2 8 10 5 4" xfId="42045"/>
    <cellStyle name="输入 2 11 2 3 2 2" xfId="42046"/>
    <cellStyle name="输入 2 8 12 8" xfId="42047"/>
    <cellStyle name="输出 2 8 10 5 4 2" xfId="42048"/>
    <cellStyle name="输出 2 8 10 5 5" xfId="42049"/>
    <cellStyle name="输入 2 8 12 9" xfId="42050"/>
    <cellStyle name="输入 2 9 3 7 3 2" xfId="42051"/>
    <cellStyle name="输出 2 8 10 5 5 2" xfId="42052"/>
    <cellStyle name="输出 2 8 10 5 6" xfId="42053"/>
    <cellStyle name="输入 2 8 4 10" xfId="42054"/>
    <cellStyle name="输出 2 8 10 6" xfId="42055"/>
    <cellStyle name="输出 2 8 10 6 2" xfId="42056"/>
    <cellStyle name="输入 2 8 13 6" xfId="42057"/>
    <cellStyle name="输出 2 8 10 6 2 2" xfId="42058"/>
    <cellStyle name="输出 2 8 10 6 3" xfId="42059"/>
    <cellStyle name="输出 2 8 10 6 3 2" xfId="42060"/>
    <cellStyle name="输出 2 8 10 6 4" xfId="42061"/>
    <cellStyle name="输入 2 11 2 3 3 2" xfId="42062"/>
    <cellStyle name="输出 2 8 10 6 4 2" xfId="42063"/>
    <cellStyle name="输出 2 8 10 6 5" xfId="42064"/>
    <cellStyle name="输入 2 9 3 7 4 2" xfId="42065"/>
    <cellStyle name="输出 2 8 10 6 5 2" xfId="42066"/>
    <cellStyle name="输出 2 8 10 6 6" xfId="42067"/>
    <cellStyle name="输出 2 8 10 7 2" xfId="42068"/>
    <cellStyle name="输入 2 8 14 6" xfId="42069"/>
    <cellStyle name="输出 2 8 10 7 2 2" xfId="42070"/>
    <cellStyle name="输出 2 8 10 7 3 2" xfId="42071"/>
    <cellStyle name="输出 2 8 10 7 4" xfId="42072"/>
    <cellStyle name="输入 2 11 2 3 4 2" xfId="42073"/>
    <cellStyle name="输出 2 8 10 7 4 2" xfId="42074"/>
    <cellStyle name="输出 2 8 10 7 5" xfId="42075"/>
    <cellStyle name="输入 2 9 3 7 5 2" xfId="42076"/>
    <cellStyle name="输出 2 8 10 7 6" xfId="42077"/>
    <cellStyle name="输出 2 8 10 8 2" xfId="42078"/>
    <cellStyle name="输入 2 8 15 6" xfId="42079"/>
    <cellStyle name="输出 2 8 10 8 2 2" xfId="42080"/>
    <cellStyle name="输出 2 8 10 8 3 2" xfId="42081"/>
    <cellStyle name="输出 2 8 10 8 4" xfId="42082"/>
    <cellStyle name="输入 2 11 2 3 5 2" xfId="42083"/>
    <cellStyle name="输出 2 8 10 8 4 2" xfId="42084"/>
    <cellStyle name="输出 2 8 10 9" xfId="42085"/>
    <cellStyle name="输出 2 8 10 9 2" xfId="42086"/>
    <cellStyle name="输入 2 8 16 6" xfId="42087"/>
    <cellStyle name="输出 2 8 11" xfId="42088"/>
    <cellStyle name="输出 2 8 11 10 2" xfId="42089"/>
    <cellStyle name="输出 2 8 11 11" xfId="42090"/>
    <cellStyle name="输出 2 8 11 12" xfId="42091"/>
    <cellStyle name="输出 2 8 11 12 2" xfId="42092"/>
    <cellStyle name="输出 2 8 11 13" xfId="42093"/>
    <cellStyle name="注释 2 3 12 5 2" xfId="42094"/>
    <cellStyle name="输出 2 8 11 14" xfId="42095"/>
    <cellStyle name="输出 2 8 11 15" xfId="42096"/>
    <cellStyle name="输入 2 2 2 12 2" xfId="42097"/>
    <cellStyle name="输出 2 8 11 16" xfId="42098"/>
    <cellStyle name="输出 2 8 11 2" xfId="42099"/>
    <cellStyle name="输出 2 8 11 2 2" xfId="42100"/>
    <cellStyle name="输出 2 8 11 2 2 2" xfId="42101"/>
    <cellStyle name="输出 2 8 11 3" xfId="42102"/>
    <cellStyle name="输出 2 8 11 3 2" xfId="42103"/>
    <cellStyle name="注释 2 11 5 2 9" xfId="42104"/>
    <cellStyle name="输出 2 8 11 3 2 2" xfId="42105"/>
    <cellStyle name="输出 2 8 11 4" xfId="42106"/>
    <cellStyle name="输出 2 8 11 4 2" xfId="42107"/>
    <cellStyle name="输出 2 8 11 4 2 2" xfId="42108"/>
    <cellStyle name="输出 2 8 11 5" xfId="42109"/>
    <cellStyle name="输出 2 8 11 5 2" xfId="42110"/>
    <cellStyle name="输出 2 8 11 6" xfId="42111"/>
    <cellStyle name="输出 2 8 11 6 2" xfId="42112"/>
    <cellStyle name="输出 2 8 11 6 2 2" xfId="42113"/>
    <cellStyle name="输出 2 8 11 7 2" xfId="42114"/>
    <cellStyle name="输出 2 8 11 7 2 2" xfId="42115"/>
    <cellStyle name="输出 2 8 11 8" xfId="42116"/>
    <cellStyle name="输出 2 8 11 8 2" xfId="42117"/>
    <cellStyle name="输出 2 8 11 8 2 2" xfId="42118"/>
    <cellStyle name="输出 2 8 11 9" xfId="42119"/>
    <cellStyle name="注释 2 12 5 2 2 2" xfId="42120"/>
    <cellStyle name="输出 2 8 11 9 2" xfId="42121"/>
    <cellStyle name="输出 2 8 12 3" xfId="42122"/>
    <cellStyle name="输出 2 8 12 3 2" xfId="42123"/>
    <cellStyle name="注释 2 11 6 2 9" xfId="42124"/>
    <cellStyle name="输出 2 8 12 4" xfId="42125"/>
    <cellStyle name="输出 2 8 12 4 2" xfId="42126"/>
    <cellStyle name="输出 2 8 12 5" xfId="42127"/>
    <cellStyle name="输出 2 8 12 5 2" xfId="42128"/>
    <cellStyle name="输出 2 8 12 6" xfId="42129"/>
    <cellStyle name="输入 2 7 5 6 2 2" xfId="42130"/>
    <cellStyle name="输出 2 8 12 8" xfId="42131"/>
    <cellStyle name="输出 2 8 12 9" xfId="42132"/>
    <cellStyle name="注释 2 12 5 2 3 2" xfId="42133"/>
    <cellStyle name="输出 2 8 13 2 2" xfId="42134"/>
    <cellStyle name="输出 2 8 13 3" xfId="42135"/>
    <cellStyle name="输出 2 8 13 3 2" xfId="42136"/>
    <cellStyle name="注释 2 11 7 2 9" xfId="42137"/>
    <cellStyle name="输出 2 8 13 4" xfId="42138"/>
    <cellStyle name="输出 2 8 13 4 2" xfId="42139"/>
    <cellStyle name="输出 2 8 13 5" xfId="42140"/>
    <cellStyle name="输出 2 8 13 5 2" xfId="42141"/>
    <cellStyle name="输出 2 8 13 6" xfId="42142"/>
    <cellStyle name="输入 2 7 5 6 3 2" xfId="42143"/>
    <cellStyle name="输出 2 8 14 2 2" xfId="42144"/>
    <cellStyle name="输出 2 8 14 3" xfId="42145"/>
    <cellStyle name="输出 2 8 14 3 2" xfId="42146"/>
    <cellStyle name="注释 2 11 8 2 9" xfId="42147"/>
    <cellStyle name="输出 2 8 14 4" xfId="42148"/>
    <cellStyle name="输出 2 8 14 4 2" xfId="42149"/>
    <cellStyle name="输出 2 8 14 5" xfId="42150"/>
    <cellStyle name="输出 2 8 14 5 2" xfId="42151"/>
    <cellStyle name="输出 2 8 14 6" xfId="42152"/>
    <cellStyle name="输入 2 7 5 6 4 2" xfId="42153"/>
    <cellStyle name="输出 2 8 15 2" xfId="42154"/>
    <cellStyle name="输出 2 8 20 2" xfId="42155"/>
    <cellStyle name="注释 2 8 5 2 8" xfId="42156"/>
    <cellStyle name="输出 2 8 15 2 2" xfId="42157"/>
    <cellStyle name="输出 2 8 15 3" xfId="42158"/>
    <cellStyle name="注释 2 8 5 2 9" xfId="42159"/>
    <cellStyle name="输出 2 8 15 3 2" xfId="42160"/>
    <cellStyle name="输入 2 9 10 6" xfId="42161"/>
    <cellStyle name="注释 2 11 9 2 9" xfId="42162"/>
    <cellStyle name="输出 2 8 15 4" xfId="42163"/>
    <cellStyle name="输出 2 8 15 4 2" xfId="42164"/>
    <cellStyle name="输入 2 9 11 6" xfId="42165"/>
    <cellStyle name="输出 2 8 15 5 2" xfId="42166"/>
    <cellStyle name="输入 2 9 12 6" xfId="42167"/>
    <cellStyle name="输出 2 8 15 6" xfId="42168"/>
    <cellStyle name="输入 2 7 5 6 5 2" xfId="42169"/>
    <cellStyle name="输出 2 8 16" xfId="42170"/>
    <cellStyle name="输出 2 8 21" xfId="42171"/>
    <cellStyle name="输出 2 8 16 2" xfId="42172"/>
    <cellStyle name="输出 2 8 21 2" xfId="42173"/>
    <cellStyle name="输出 2 8 16 2 2" xfId="42174"/>
    <cellStyle name="输出 2 8 16 3" xfId="42175"/>
    <cellStyle name="输出 2 8 16 3 2" xfId="42176"/>
    <cellStyle name="输出 2 8 16 4" xfId="42177"/>
    <cellStyle name="输出 2 8 16 4 2" xfId="42178"/>
    <cellStyle name="输出 2 8 16 5 2" xfId="42179"/>
    <cellStyle name="输出 2 8 16 6" xfId="42180"/>
    <cellStyle name="输出 2 8 17" xfId="42181"/>
    <cellStyle name="输出 2 8 22" xfId="42182"/>
    <cellStyle name="输出 2 8 17 2" xfId="42183"/>
    <cellStyle name="输出 2 8 22 2" xfId="42184"/>
    <cellStyle name="输出 2 8 17 2 2" xfId="42185"/>
    <cellStyle name="输出 2 8 17 3" xfId="42186"/>
    <cellStyle name="输出 2 8 17 3 2" xfId="42187"/>
    <cellStyle name="输出 2 8 17 4" xfId="42188"/>
    <cellStyle name="输出 2 8 17 4 2" xfId="42189"/>
    <cellStyle name="输出 2 8 17 5 2" xfId="42190"/>
    <cellStyle name="输出 2 8 17 6" xfId="42191"/>
    <cellStyle name="输出 2 8 18" xfId="42192"/>
    <cellStyle name="输出 2 8 23" xfId="42193"/>
    <cellStyle name="输出 2 8 18 2" xfId="42194"/>
    <cellStyle name="输出 2 8 23 2" xfId="42195"/>
    <cellStyle name="输出 2 8 18 2 2" xfId="42196"/>
    <cellStyle name="输出 2 8 18 3" xfId="42197"/>
    <cellStyle name="输出 2 8 18 3 2" xfId="42198"/>
    <cellStyle name="输出 2 8 18 4" xfId="42199"/>
    <cellStyle name="输出 2 8 18 4 2" xfId="42200"/>
    <cellStyle name="输出 2 8 18 5 2" xfId="42201"/>
    <cellStyle name="输出 2 8 18 6" xfId="42202"/>
    <cellStyle name="输出 2 8 19" xfId="42203"/>
    <cellStyle name="输出 2 8 24" xfId="42204"/>
    <cellStyle name="输出 2 8 19 2" xfId="42205"/>
    <cellStyle name="输出 2 8 19 2 2" xfId="42206"/>
    <cellStyle name="输出 2 8 19 3" xfId="42207"/>
    <cellStyle name="输出 2 8 19 3 2" xfId="42208"/>
    <cellStyle name="输出 2 8 19 4" xfId="42209"/>
    <cellStyle name="输出 2 8 19 4 2" xfId="42210"/>
    <cellStyle name="输出 2 8 2" xfId="42211"/>
    <cellStyle name="输出 2 8 2 10" xfId="42212"/>
    <cellStyle name="输出 2 8 2 11" xfId="42213"/>
    <cellStyle name="输出 2 8 2 12" xfId="42214"/>
    <cellStyle name="输出 2 8 2 13" xfId="42215"/>
    <cellStyle name="输出 2 8 2 14" xfId="42216"/>
    <cellStyle name="输入 2 9 10 8 2" xfId="42217"/>
    <cellStyle name="输出 2 8 2 15" xfId="42218"/>
    <cellStyle name="输入 2 9 10 8 3" xfId="42219"/>
    <cellStyle name="输出 2 8 2 16" xfId="42220"/>
    <cellStyle name="输入 2 9 10 8 4" xfId="42221"/>
    <cellStyle name="输出 2 8 2 2" xfId="42222"/>
    <cellStyle name="输出 2 8 2 2 2" xfId="42223"/>
    <cellStyle name="输出 2 8 2 2 3" xfId="42224"/>
    <cellStyle name="输出 2 8 2 2 4" xfId="42225"/>
    <cellStyle name="输出 2 8 2 2 5" xfId="42226"/>
    <cellStyle name="注释 2 6 9 5 2 2" xfId="42227"/>
    <cellStyle name="输出 2 8 2 2 7" xfId="42228"/>
    <cellStyle name="输出 2 8 2 2 8" xfId="42229"/>
    <cellStyle name="输出 2 8 2 2 9" xfId="42230"/>
    <cellStyle name="输出 2 8 2 3" xfId="42231"/>
    <cellStyle name="输出 2 8 2 3 2 2" xfId="42232"/>
    <cellStyle name="输出 2 8 2 3 3" xfId="42233"/>
    <cellStyle name="输出 2 8 2 3 3 2" xfId="42234"/>
    <cellStyle name="输出 2 8 2 3 4" xfId="42235"/>
    <cellStyle name="输出 2 8 2 3 5" xfId="42236"/>
    <cellStyle name="注释 2 6 9 5 3 2" xfId="42237"/>
    <cellStyle name="输出 2 8 2 3 5 2" xfId="42238"/>
    <cellStyle name="注释 2 11 6 2 5" xfId="42239"/>
    <cellStyle name="输出 2 8 2 4" xfId="42240"/>
    <cellStyle name="输出 2 8 2 4 2 2" xfId="42241"/>
    <cellStyle name="输出 2 8 2 4 3" xfId="42242"/>
    <cellStyle name="输出 2 8 2 4 3 2" xfId="42243"/>
    <cellStyle name="输出 2 8 2 4 4" xfId="42244"/>
    <cellStyle name="输出 2 8 2 4 4 2" xfId="42245"/>
    <cellStyle name="输出 2 8 2 4 5" xfId="42246"/>
    <cellStyle name="注释 2 6 9 5 4 2" xfId="42247"/>
    <cellStyle name="输出 2 8 2 4 5 2" xfId="42248"/>
    <cellStyle name="注释 2 11 7 2 5" xfId="42249"/>
    <cellStyle name="输出 2 8 2 5" xfId="42250"/>
    <cellStyle name="输出 2 8 2 5 2" xfId="42251"/>
    <cellStyle name="输出 2 8 2 5 2 2" xfId="42252"/>
    <cellStyle name="输出 2 8 2 5 3" xfId="42253"/>
    <cellStyle name="输出 2 8 2 5 3 2" xfId="42254"/>
    <cellStyle name="输出 2 8 2 5 4" xfId="42255"/>
    <cellStyle name="输出 2 8 2 5 4 2" xfId="42256"/>
    <cellStyle name="输出 2 8 2 5 5" xfId="42257"/>
    <cellStyle name="注释 2 6 9 5 5 2" xfId="42258"/>
    <cellStyle name="输出 2 8 2 5 5 2" xfId="42259"/>
    <cellStyle name="注释 2 11 8 2 5" xfId="42260"/>
    <cellStyle name="输出 2 8 2 5 6" xfId="42261"/>
    <cellStyle name="注释 2 10 2 12 2" xfId="42262"/>
    <cellStyle name="输出 2 8 2 6" xfId="42263"/>
    <cellStyle name="输出 2 8 2 6 2" xfId="42264"/>
    <cellStyle name="注释 2 2 4 2 9" xfId="42265"/>
    <cellStyle name="输出 2 8 2 6 2 2" xfId="42266"/>
    <cellStyle name="注释 2 2 9" xfId="42267"/>
    <cellStyle name="输出 2 8 2 6 3" xfId="42268"/>
    <cellStyle name="输出 2 8 2 6 3 2" xfId="42269"/>
    <cellStyle name="注释 2 3 9" xfId="42270"/>
    <cellStyle name="输出 2 8 2 6 4 2" xfId="42271"/>
    <cellStyle name="注释 2 4 9" xfId="42272"/>
    <cellStyle name="输出 2 8 2 6 5 2" xfId="42273"/>
    <cellStyle name="输入 2 9 10 2" xfId="42274"/>
    <cellStyle name="注释 2 11 9 2 5" xfId="42275"/>
    <cellStyle name="注释 2 5 9" xfId="42276"/>
    <cellStyle name="输出 2 8 2 6 6" xfId="42277"/>
    <cellStyle name="输入 2 9 11" xfId="42278"/>
    <cellStyle name="输出 2 8 2 7" xfId="42279"/>
    <cellStyle name="输出 2 8 2 7 2" xfId="42280"/>
    <cellStyle name="输出 2 8 2 7 2 2" xfId="42281"/>
    <cellStyle name="输出 2 8 2 7 3" xfId="42282"/>
    <cellStyle name="输出 2 8 2 7 3 2" xfId="42283"/>
    <cellStyle name="输出 2 8 2 7 4 2" xfId="42284"/>
    <cellStyle name="输出 2 8 2 7 5 2" xfId="42285"/>
    <cellStyle name="输出 2 8 2 7 6" xfId="42286"/>
    <cellStyle name="输出 2 8 2 8" xfId="42287"/>
    <cellStyle name="输出 2 8 2 8 2" xfId="42288"/>
    <cellStyle name="输出 2 8 2 8 2 2" xfId="42289"/>
    <cellStyle name="输出 2 8 2 8 3 2" xfId="42290"/>
    <cellStyle name="输出 2 8 2 8 4 2" xfId="42291"/>
    <cellStyle name="输出 2 8 2 9" xfId="42292"/>
    <cellStyle name="输出 2 8 25" xfId="42293"/>
    <cellStyle name="输出 2 8 26" xfId="42294"/>
    <cellStyle name="输出 2 8 3 10" xfId="42295"/>
    <cellStyle name="输出 2 8 3 10 2" xfId="42296"/>
    <cellStyle name="输出 2 8 3 11 2" xfId="42297"/>
    <cellStyle name="输出 2 8 3 12" xfId="42298"/>
    <cellStyle name="输出 2 8 3 12 2" xfId="42299"/>
    <cellStyle name="输出 2 8 3 13" xfId="42300"/>
    <cellStyle name="输出 2 8 3 14" xfId="42301"/>
    <cellStyle name="输出 2 8 3 15" xfId="42302"/>
    <cellStyle name="输出 2 8 3 16" xfId="42303"/>
    <cellStyle name="输出 2 8 3 2" xfId="42304"/>
    <cellStyle name="输出 2 8 3 2 2" xfId="42305"/>
    <cellStyle name="输出 2 8 3 2 2 2" xfId="42306"/>
    <cellStyle name="输出 2 8 3 2 3" xfId="42307"/>
    <cellStyle name="输出 2 8 3 2 3 2" xfId="42308"/>
    <cellStyle name="输出 2 8 3 2 4" xfId="42309"/>
    <cellStyle name="输出 2 8 3 2 4 2" xfId="42310"/>
    <cellStyle name="输出 2 8 3 2 5" xfId="42311"/>
    <cellStyle name="注释 2 6 9 6 2 2" xfId="42312"/>
    <cellStyle name="输出 2 8 3 2 5 2" xfId="42313"/>
    <cellStyle name="注释 2 12 5 2 5" xfId="42314"/>
    <cellStyle name="输出 2 8 3 2 7" xfId="42315"/>
    <cellStyle name="输出 2 8 3 2 8" xfId="42316"/>
    <cellStyle name="输出 2 8 3 2 9" xfId="42317"/>
    <cellStyle name="输出 2 8 3 3" xfId="42318"/>
    <cellStyle name="输出 2 8 3 3 2" xfId="42319"/>
    <cellStyle name="输出 2 8 3 3 2 2" xfId="42320"/>
    <cellStyle name="输出 2 8 3 3 3" xfId="42321"/>
    <cellStyle name="输出 2 8 3 3 3 2" xfId="42322"/>
    <cellStyle name="输出 2 8 3 3 4" xfId="42323"/>
    <cellStyle name="输出 2 8 3 3 4 2" xfId="42324"/>
    <cellStyle name="输出 2 8 3 3 5 2" xfId="42325"/>
    <cellStyle name="注释 2 12 6 2 5" xfId="42326"/>
    <cellStyle name="输出 2 8 3 4" xfId="42327"/>
    <cellStyle name="输出 2 8 3 4 2 2" xfId="42328"/>
    <cellStyle name="输出 2 8 3 4 3" xfId="42329"/>
    <cellStyle name="输出 2 8 3 4 3 2" xfId="42330"/>
    <cellStyle name="输出 2 8 3 4 4" xfId="42331"/>
    <cellStyle name="输出 2 8 3 4 4 2" xfId="42332"/>
    <cellStyle name="输出 2 8 3 4 5 2" xfId="42333"/>
    <cellStyle name="注释 2 12 7 2 5" xfId="42334"/>
    <cellStyle name="输出 2 8 3 5" xfId="42335"/>
    <cellStyle name="输出 2 8 3 5 2" xfId="42336"/>
    <cellStyle name="输出 2 8 3 5 2 2" xfId="42337"/>
    <cellStyle name="输出 2 8 3 5 3" xfId="42338"/>
    <cellStyle name="输出 2 8 3 5 3 2" xfId="42339"/>
    <cellStyle name="输出 2 8 3 5 4" xfId="42340"/>
    <cellStyle name="输出 2 8 3 5 4 2" xfId="42341"/>
    <cellStyle name="输出 2 8 3 5 5 2" xfId="42342"/>
    <cellStyle name="注释 2 12 8 2 5" xfId="42343"/>
    <cellStyle name="输出 2 8 3 5 6" xfId="42344"/>
    <cellStyle name="输出 2 8 3 6" xfId="42345"/>
    <cellStyle name="输出 2 8 3 6 2" xfId="42346"/>
    <cellStyle name="注释 2 2 5 2 9" xfId="42347"/>
    <cellStyle name="输出 2 8 3 6 2 2" xfId="42348"/>
    <cellStyle name="输出 2 8 3 6 3" xfId="42349"/>
    <cellStyle name="输出 2 8 3 6 3 2" xfId="42350"/>
    <cellStyle name="输出 2 8 3 6 4 2" xfId="42351"/>
    <cellStyle name="输出 2 8 3 6 5 2" xfId="42352"/>
    <cellStyle name="注释 2 12 9 2 5" xfId="42353"/>
    <cellStyle name="输出 2 8 3 6 6" xfId="42354"/>
    <cellStyle name="输出 2 8 3 7" xfId="42355"/>
    <cellStyle name="输出 2 8 3 7 2" xfId="42356"/>
    <cellStyle name="输出 2 8 3 7 2 2" xfId="42357"/>
    <cellStyle name="输出 2 8 3 7 3" xfId="42358"/>
    <cellStyle name="输出 2 8 3 7 3 2" xfId="42359"/>
    <cellStyle name="输出 2 8 3 7 4 2" xfId="42360"/>
    <cellStyle name="输出 2 8 3 7 5 2" xfId="42361"/>
    <cellStyle name="注释 2 4 10 2 5" xfId="42362"/>
    <cellStyle name="输出 2 8 3 7 6" xfId="42363"/>
    <cellStyle name="输出 2 8 3 8" xfId="42364"/>
    <cellStyle name="输出 2 8 3 8 2" xfId="42365"/>
    <cellStyle name="输出 2 8 3 8 2 2" xfId="42366"/>
    <cellStyle name="输出 2 8 3 8 3 2" xfId="42367"/>
    <cellStyle name="输出 2 8 3 8 4 2" xfId="42368"/>
    <cellStyle name="输出 2 8 3 9" xfId="42369"/>
    <cellStyle name="输出 2 8 4 10" xfId="42370"/>
    <cellStyle name="输出 2 8 4 10 2" xfId="42371"/>
    <cellStyle name="输出 2 8 4 11" xfId="42372"/>
    <cellStyle name="输出 2 8 4 11 2" xfId="42373"/>
    <cellStyle name="输出 2 8 4 12" xfId="42374"/>
    <cellStyle name="注释 2 3 2 4 3 2" xfId="42375"/>
    <cellStyle name="输出 2 8 4 14" xfId="42376"/>
    <cellStyle name="输入 2 10 4 6 5 2" xfId="42377"/>
    <cellStyle name="输出 2 8 4 15" xfId="42378"/>
    <cellStyle name="输出 2 8 4 16" xfId="42379"/>
    <cellStyle name="输出 2 8 4 2" xfId="42380"/>
    <cellStyle name="输出 2 8 4 2 2" xfId="42381"/>
    <cellStyle name="输出 2 8 4 2 2 2" xfId="42382"/>
    <cellStyle name="输出 2 8 4 2 3" xfId="42383"/>
    <cellStyle name="输出 2 8 4 2 3 2" xfId="42384"/>
    <cellStyle name="输出 2 8 4 2 4" xfId="42385"/>
    <cellStyle name="输出 2 8 4 2 4 2" xfId="42386"/>
    <cellStyle name="输出 2 8 4 2 5" xfId="42387"/>
    <cellStyle name="注释 2 6 9 7 2 2" xfId="42388"/>
    <cellStyle name="输出 2 8 4 2 5 2" xfId="42389"/>
    <cellStyle name="输出 2 8 4 3" xfId="42390"/>
    <cellStyle name="输出 2 8 4 3 2" xfId="42391"/>
    <cellStyle name="输出 2 8 4 3 2 2" xfId="42392"/>
    <cellStyle name="输出 2 8 4 3 3" xfId="42393"/>
    <cellStyle name="输出 2 8 4 3 3 2" xfId="42394"/>
    <cellStyle name="输出 2 8 4 3 4" xfId="42395"/>
    <cellStyle name="输出 2 8 4 3 4 2" xfId="42396"/>
    <cellStyle name="输出 2 8 4 4" xfId="42397"/>
    <cellStyle name="输出 2 8 4 4 2" xfId="42398"/>
    <cellStyle name="输出 2 8 4 4 2 2" xfId="42399"/>
    <cellStyle name="输出 2 8 4 4 3" xfId="42400"/>
    <cellStyle name="输出 2 8 4 4 3 2" xfId="42401"/>
    <cellStyle name="输出 2 8 4 4 4" xfId="42402"/>
    <cellStyle name="输出 2 8 4 4 4 2" xfId="42403"/>
    <cellStyle name="输出 2 8 4 4 6" xfId="42404"/>
    <cellStyle name="输出 2 8 4 5" xfId="42405"/>
    <cellStyle name="输出 2 8 4 5 2" xfId="42406"/>
    <cellStyle name="输出 2 8 4 5 2 2" xfId="42407"/>
    <cellStyle name="输出 2 8 4 5 3" xfId="42408"/>
    <cellStyle name="输出 2 8 4 5 3 2" xfId="42409"/>
    <cellStyle name="输出 2 8 4 5 4" xfId="42410"/>
    <cellStyle name="输出 2 8 4 5 4 2" xfId="42411"/>
    <cellStyle name="输出 2 8 4 5 6" xfId="42412"/>
    <cellStyle name="输出 2 8 4 6" xfId="42413"/>
    <cellStyle name="输出 2 8 4 6 2" xfId="42414"/>
    <cellStyle name="注释 2 2 6 2 9" xfId="42415"/>
    <cellStyle name="输出 2 8 4 6 2 2" xfId="42416"/>
    <cellStyle name="输出 2 8 4 6 3 2" xfId="42417"/>
    <cellStyle name="注释 2 11 5 12" xfId="42418"/>
    <cellStyle name="输出 2 8 4 6 4" xfId="42419"/>
    <cellStyle name="输出 2 8 4 6 4 2" xfId="42420"/>
    <cellStyle name="输出 2 8 4 6 6" xfId="42421"/>
    <cellStyle name="输出 2 8 4 7" xfId="42422"/>
    <cellStyle name="输出 2 8 4 7 2" xfId="42423"/>
    <cellStyle name="输出 2 8 4 7 2 2" xfId="42424"/>
    <cellStyle name="输出 2 8 4 7 3 2" xfId="42425"/>
    <cellStyle name="输出 2 8 4 7 4" xfId="42426"/>
    <cellStyle name="输出 2 8 4 7 4 2" xfId="42427"/>
    <cellStyle name="输出 2 8 4 7 6" xfId="42428"/>
    <cellStyle name="输出 2 8 4 8" xfId="42429"/>
    <cellStyle name="输出 2 8 4 8 2" xfId="42430"/>
    <cellStyle name="输出 2 8 4 8 2 2" xfId="42431"/>
    <cellStyle name="输入 2 9 10 6 5" xfId="42432"/>
    <cellStyle name="输出 2 8 4 8 3 2" xfId="42433"/>
    <cellStyle name="输入 2 9 10 7 5" xfId="42434"/>
    <cellStyle name="输出 2 8 4 8 4" xfId="42435"/>
    <cellStyle name="输出 2 8 4 8 4 2" xfId="42436"/>
    <cellStyle name="输入 2 9 10 8 5" xfId="42437"/>
    <cellStyle name="输出 2 8 4 9" xfId="42438"/>
    <cellStyle name="输出 2 8 4 9 2" xfId="42439"/>
    <cellStyle name="输出 2 8 5" xfId="42440"/>
    <cellStyle name="输出 2 8 5 10" xfId="42441"/>
    <cellStyle name="输出 2 8 5 10 2" xfId="42442"/>
    <cellStyle name="输出 2 8 5 11" xfId="42443"/>
    <cellStyle name="输出 2 8 5 11 2" xfId="42444"/>
    <cellStyle name="输出 2 8 5 12" xfId="42445"/>
    <cellStyle name="输出 2 8 5 12 2" xfId="42446"/>
    <cellStyle name="输出 2 8 5 14" xfId="42447"/>
    <cellStyle name="注释 2 6 5 2" xfId="42448"/>
    <cellStyle name="输出 2 8 5 15" xfId="42449"/>
    <cellStyle name="注释 2 6 5 3" xfId="42450"/>
    <cellStyle name="输出 2 8 5 16" xfId="42451"/>
    <cellStyle name="注释 2 6 5 4" xfId="42452"/>
    <cellStyle name="注释 2 9 3 4 5 2" xfId="42453"/>
    <cellStyle name="输出 2 8 5 2" xfId="42454"/>
    <cellStyle name="输出 2 8 5 2 2" xfId="42455"/>
    <cellStyle name="输出 2 8 5 2 3 2" xfId="42456"/>
    <cellStyle name="输出 2 8 5 2 4" xfId="42457"/>
    <cellStyle name="输出 2 8 5 2 4 2" xfId="42458"/>
    <cellStyle name="输入 2 2 9 16" xfId="42459"/>
    <cellStyle name="输出 2 8 5 2 5" xfId="42460"/>
    <cellStyle name="注释 2 6 9 8 2 2" xfId="42461"/>
    <cellStyle name="输出 2 8 5 2 5 2" xfId="42462"/>
    <cellStyle name="输出 2 8 5 2 6" xfId="42463"/>
    <cellStyle name="输出 2 8 5 2 7" xfId="42464"/>
    <cellStyle name="输出 2 8 5 2 8" xfId="42465"/>
    <cellStyle name="输出 2 8 5 2 9" xfId="42466"/>
    <cellStyle name="输出 2 8 5 3" xfId="42467"/>
    <cellStyle name="输出 2 8 5 3 2" xfId="42468"/>
    <cellStyle name="输出 2 8 5 3 3" xfId="42469"/>
    <cellStyle name="输出 2 8 5 3 3 2" xfId="42470"/>
    <cellStyle name="输出 2 8 5 3 4" xfId="42471"/>
    <cellStyle name="输出 2 8 5 3 4 2" xfId="42472"/>
    <cellStyle name="输出 2 8 5 3 5 2" xfId="42473"/>
    <cellStyle name="输出 2 8 5 3 6" xfId="42474"/>
    <cellStyle name="输出 2 8 5 4" xfId="42475"/>
    <cellStyle name="输出 2 8 5 4 3 2" xfId="42476"/>
    <cellStyle name="输出 2 8 5 4 4 2" xfId="42477"/>
    <cellStyle name="输出 2 8 5 4 5 2" xfId="42478"/>
    <cellStyle name="输出 2 8 5 5" xfId="42479"/>
    <cellStyle name="输出 2 8 5 5 3 2" xfId="42480"/>
    <cellStyle name="输出 2 8 5 5 4" xfId="42481"/>
    <cellStyle name="输出 2 8 5 5 5 2" xfId="42482"/>
    <cellStyle name="输出 2 8 5 5 6" xfId="42483"/>
    <cellStyle name="输出 2 8 5 6" xfId="42484"/>
    <cellStyle name="输出 2 8 5 6 4" xfId="42485"/>
    <cellStyle name="输出 2 8 5 6 6" xfId="42486"/>
    <cellStyle name="输出 2 8 5 7" xfId="42487"/>
    <cellStyle name="输出 2 8 5 7 6" xfId="42488"/>
    <cellStyle name="输出 2 8 5 8" xfId="42489"/>
    <cellStyle name="输出 2 8 5 8 3 2" xfId="42490"/>
    <cellStyle name="输出 2 8 5 8 4" xfId="42491"/>
    <cellStyle name="输出 2 8 5 8 4 2" xfId="42492"/>
    <cellStyle name="输出 2 8 5 9" xfId="42493"/>
    <cellStyle name="输出 2 8 6" xfId="42494"/>
    <cellStyle name="输出 2 8 6 10" xfId="42495"/>
    <cellStyle name="输出 2 8 6 10 2" xfId="42496"/>
    <cellStyle name="输出 2 8 6 11" xfId="42497"/>
    <cellStyle name="输入 2 6 9 7 5 2" xfId="42498"/>
    <cellStyle name="输出 2 8 6 11 2" xfId="42499"/>
    <cellStyle name="输出 2 8 6 12" xfId="42500"/>
    <cellStyle name="输出 2 8 6 12 2" xfId="42501"/>
    <cellStyle name="输出 2 8 6 13" xfId="42502"/>
    <cellStyle name="输出 2 8 6 14" xfId="42503"/>
    <cellStyle name="输入 2 9 11 3 2" xfId="42504"/>
    <cellStyle name="输出 2 8 6 15" xfId="42505"/>
    <cellStyle name="输入 2 9 11 3 3" xfId="42506"/>
    <cellStyle name="输出 2 8 6 2" xfId="42507"/>
    <cellStyle name="输出 2 8 6 2 2" xfId="42508"/>
    <cellStyle name="输出 2 8 6 2 3" xfId="42509"/>
    <cellStyle name="输出 2 8 6 2 3 2" xfId="42510"/>
    <cellStyle name="输出 2 8 6 2 4" xfId="42511"/>
    <cellStyle name="输出 2 8 6 2 4 2" xfId="42512"/>
    <cellStyle name="输入 2 7 9 16" xfId="42513"/>
    <cellStyle name="输出 2 8 6 2 5" xfId="42514"/>
    <cellStyle name="输出 2 8 6 2 5 2" xfId="42515"/>
    <cellStyle name="输出 2 8 6 2 6" xfId="42516"/>
    <cellStyle name="输出 2 8 6 2 7" xfId="42517"/>
    <cellStyle name="输出 2 8 6 2 8" xfId="42518"/>
    <cellStyle name="输出 2 8 6 2 9" xfId="42519"/>
    <cellStyle name="输入 2 12 7 2 4 2" xfId="42520"/>
    <cellStyle name="输出 2 8 6 3" xfId="42521"/>
    <cellStyle name="输出 2 8 6 3 2" xfId="42522"/>
    <cellStyle name="输出 2 8 6 3 3" xfId="42523"/>
    <cellStyle name="输出 2 8 6 3 3 2" xfId="42524"/>
    <cellStyle name="输出 2 8 6 3 4" xfId="42525"/>
    <cellStyle name="输出 2 8 6 3 4 2" xfId="42526"/>
    <cellStyle name="输出 2 8 6 3 5 2" xfId="42527"/>
    <cellStyle name="输出 2 8 6 3 6" xfId="42528"/>
    <cellStyle name="输出 2 8 6 4" xfId="42529"/>
    <cellStyle name="输出 2 8 6 4 3 2" xfId="42530"/>
    <cellStyle name="输出 2 8 6 4 4 2" xfId="42531"/>
    <cellStyle name="输出 2 8 6 4 5 2" xfId="42532"/>
    <cellStyle name="输出 2 8 6 5" xfId="42533"/>
    <cellStyle name="输入 2 7 3 2 2 2" xfId="42534"/>
    <cellStyle name="输出 2 8 6 5 3 2" xfId="42535"/>
    <cellStyle name="注释 2 3 12 9" xfId="42536"/>
    <cellStyle name="输出 2 8 6 5 4" xfId="42537"/>
    <cellStyle name="输出 2 8 6 5 5 2" xfId="42538"/>
    <cellStyle name="输出 2 8 6 5 6" xfId="42539"/>
    <cellStyle name="输出 2 8 6 6" xfId="42540"/>
    <cellStyle name="输出 2 8 6 6 3 2" xfId="42541"/>
    <cellStyle name="输出 2 8 6 6 4" xfId="42542"/>
    <cellStyle name="输出 2 8 6 6 4 2" xfId="42543"/>
    <cellStyle name="输入 2 8 4 16" xfId="42544"/>
    <cellStyle name="输出 2 8 6 6 5 2" xfId="42545"/>
    <cellStyle name="输出 2 8 6 7" xfId="42546"/>
    <cellStyle name="输出 2 8 6 7 3 2" xfId="42547"/>
    <cellStyle name="输出 2 8 6 7 4" xfId="42548"/>
    <cellStyle name="输出 2 8 6 7 4 2" xfId="42549"/>
    <cellStyle name="输入 2 8 9 16" xfId="42550"/>
    <cellStyle name="输出 2 8 6 7 5" xfId="42551"/>
    <cellStyle name="输出 2 8 6 7 5 2" xfId="42552"/>
    <cellStyle name="输出 2 8 6 8" xfId="42553"/>
    <cellStyle name="输出 2 8 6 8 3 2" xfId="42554"/>
    <cellStyle name="输出 2 8 6 8 4" xfId="42555"/>
    <cellStyle name="输出 2 8 6 8 4 2" xfId="42556"/>
    <cellStyle name="输出 2 8 6 8 5" xfId="42557"/>
    <cellStyle name="输出 2 8 6 9" xfId="42558"/>
    <cellStyle name="输出 2 8 7" xfId="42559"/>
    <cellStyle name="输入 2 10 6 7 2" xfId="42560"/>
    <cellStyle name="输出 2 8 7 10" xfId="42561"/>
    <cellStyle name="输出 2 8 7 10 2" xfId="42562"/>
    <cellStyle name="输出 2 8 7 11" xfId="42563"/>
    <cellStyle name="输出 2 8 7 11 2" xfId="42564"/>
    <cellStyle name="输出 2 8 7 12" xfId="42565"/>
    <cellStyle name="输出 2 8 7 12 2" xfId="42566"/>
    <cellStyle name="输出 2 8 7 13" xfId="42567"/>
    <cellStyle name="输出 2 8 7 14" xfId="42568"/>
    <cellStyle name="输入 2 9 11 8 2" xfId="42569"/>
    <cellStyle name="输出 2 8 7 15" xfId="42570"/>
    <cellStyle name="输入 2 9 11 8 3" xfId="42571"/>
    <cellStyle name="输出 2 8 7 16" xfId="42572"/>
    <cellStyle name="输入 2 9 11 8 4" xfId="42573"/>
    <cellStyle name="输出 2 8 7 2" xfId="42574"/>
    <cellStyle name="输入 2 10 6 7 2 2" xfId="42575"/>
    <cellStyle name="输出 2 8 7 2 2" xfId="42576"/>
    <cellStyle name="输出 2 8 7 2 3" xfId="42577"/>
    <cellStyle name="输出 2 8 7 2 3 2" xfId="42578"/>
    <cellStyle name="输出 2 8 7 2 4" xfId="42579"/>
    <cellStyle name="输出 2 8 7 2 4 2" xfId="42580"/>
    <cellStyle name="输出 2 8 7 2 5" xfId="42581"/>
    <cellStyle name="输出 2 8 7 2 5 2" xfId="42582"/>
    <cellStyle name="输出 2 8 7 2 6" xfId="42583"/>
    <cellStyle name="输出 2 8 7 2 7" xfId="42584"/>
    <cellStyle name="输出 2 8 7 2 8" xfId="42585"/>
    <cellStyle name="输出 2 8 7 2 9" xfId="42586"/>
    <cellStyle name="输入 2 12 7 3 4 2" xfId="42587"/>
    <cellStyle name="输出 2 8 7 3" xfId="42588"/>
    <cellStyle name="输出 2 8 7 3 2" xfId="42589"/>
    <cellStyle name="输出 2 8 7 3 3" xfId="42590"/>
    <cellStyle name="输出 2 8 7 3 3 2" xfId="42591"/>
    <cellStyle name="输出 2 8 7 3 4" xfId="42592"/>
    <cellStyle name="输出 2 8 7 3 4 2" xfId="42593"/>
    <cellStyle name="输出 2 8 7 3 5 2" xfId="42594"/>
    <cellStyle name="输出 2 8 7 3 6" xfId="42595"/>
    <cellStyle name="注释 2 10 3 10 2" xfId="42596"/>
    <cellStyle name="输出 2 8 7 4" xfId="42597"/>
    <cellStyle name="输出 2 8 7 4 3 2" xfId="42598"/>
    <cellStyle name="输出 2 8 7 4 5 2" xfId="42599"/>
    <cellStyle name="输出 2 8 7 5" xfId="42600"/>
    <cellStyle name="输入 2 7 3 2 3 2" xfId="42601"/>
    <cellStyle name="输出 2 8 7 5 3 2" xfId="42602"/>
    <cellStyle name="注释 2 8 12 9" xfId="42603"/>
    <cellStyle name="输出 2 8 7 5 4" xfId="42604"/>
    <cellStyle name="输出 2 8 7 5 5 2" xfId="42605"/>
    <cellStyle name="输出 2 8 7 5 6" xfId="42606"/>
    <cellStyle name="注释 2 10 3 12 2" xfId="42607"/>
    <cellStyle name="输出 2 8 7 6" xfId="42608"/>
    <cellStyle name="输出 2 8 7 6 5 2" xfId="42609"/>
    <cellStyle name="输出 2 8 7 7" xfId="42610"/>
    <cellStyle name="输出 2 8 7 7 5 2" xfId="42611"/>
    <cellStyle name="输出 2 8 7 9" xfId="42612"/>
    <cellStyle name="输出 2 8 8" xfId="42613"/>
    <cellStyle name="输入 2 10 6 7 3" xfId="42614"/>
    <cellStyle name="输出 2 8 8 10" xfId="42615"/>
    <cellStyle name="输出 2 8 8 10 2" xfId="42616"/>
    <cellStyle name="输出 2 8 8 11 2" xfId="42617"/>
    <cellStyle name="输出 2 8 8 12" xfId="42618"/>
    <cellStyle name="输出 2 8 8 12 2" xfId="42619"/>
    <cellStyle name="输出 2 8 8 13" xfId="42620"/>
    <cellStyle name="输出 2 8 8 14" xfId="42621"/>
    <cellStyle name="输出 2 8 8 15" xfId="42622"/>
    <cellStyle name="输出 2 8 8 16" xfId="42623"/>
    <cellStyle name="输出 2 8 8 2" xfId="42624"/>
    <cellStyle name="输入 2 10 6 7 3 2" xfId="42625"/>
    <cellStyle name="输出 2 8 8 2 2" xfId="42626"/>
    <cellStyle name="输出 2 8 8 2 3" xfId="42627"/>
    <cellStyle name="输出 2 8 8 2 4" xfId="42628"/>
    <cellStyle name="输出 2 8 8 2 5" xfId="42629"/>
    <cellStyle name="输出 2 8 8 2 6" xfId="42630"/>
    <cellStyle name="输出 2 8 8 2 7" xfId="42631"/>
    <cellStyle name="注释 2 5 5 2 2 2" xfId="42632"/>
    <cellStyle name="输出 2 8 8 2 8" xfId="42633"/>
    <cellStyle name="输出 2 8 8 2 9" xfId="42634"/>
    <cellStyle name="输入 2 12 7 4 4 2" xfId="42635"/>
    <cellStyle name="输出 2 8 8 3" xfId="42636"/>
    <cellStyle name="输出 2 8 8 3 2" xfId="42637"/>
    <cellStyle name="输出 2 8 8 3 3" xfId="42638"/>
    <cellStyle name="输出 2 8 8 3 4" xfId="42639"/>
    <cellStyle name="输出 2 8 8 3 6" xfId="42640"/>
    <cellStyle name="输出 2 8 8 4" xfId="42641"/>
    <cellStyle name="输出 2 8 8 5" xfId="42642"/>
    <cellStyle name="输入 2 7 3 2 4 2" xfId="42643"/>
    <cellStyle name="输出 2 8 8 5 4" xfId="42644"/>
    <cellStyle name="输出 2 8 8 5 6" xfId="42645"/>
    <cellStyle name="输出 2 8 8 6" xfId="42646"/>
    <cellStyle name="输出 2 8 8 6 5 2" xfId="42647"/>
    <cellStyle name="输出 2 8 8 7" xfId="42648"/>
    <cellStyle name="输出 2 8 8 7 5 2" xfId="42649"/>
    <cellStyle name="注释 2 5 10 2 5" xfId="42650"/>
    <cellStyle name="输出 2 8 8 9" xfId="42651"/>
    <cellStyle name="输出 2 8 9" xfId="42652"/>
    <cellStyle name="输入 2 10 6 7 4" xfId="42653"/>
    <cellStyle name="输出 2 8 9 10" xfId="42654"/>
    <cellStyle name="输出 2 8 9 10 2" xfId="42655"/>
    <cellStyle name="输出 2 8 9 11" xfId="42656"/>
    <cellStyle name="输出 2 8 9 11 2" xfId="42657"/>
    <cellStyle name="输出 2 8 9 12" xfId="42658"/>
    <cellStyle name="注释 2 3 2 5 3 2" xfId="42659"/>
    <cellStyle name="输出 2 8 9 12 2" xfId="42660"/>
    <cellStyle name="输出 2 8 9 14" xfId="42661"/>
    <cellStyle name="输入 2 10 4 7 5 2" xfId="42662"/>
    <cellStyle name="注释 2 4 9 11 2" xfId="42663"/>
    <cellStyle name="输出 2 8 9 15" xfId="42664"/>
    <cellStyle name="输出 2 8 9 16" xfId="42665"/>
    <cellStyle name="输出 2 8 9 2" xfId="42666"/>
    <cellStyle name="输入 2 10 6 7 4 2" xfId="42667"/>
    <cellStyle name="输出 2 8 9 2 2" xfId="42668"/>
    <cellStyle name="输出 2 8 9 2 3" xfId="42669"/>
    <cellStyle name="输出 2 8 9 2 5" xfId="42670"/>
    <cellStyle name="输出 2 8 9 3" xfId="42671"/>
    <cellStyle name="输出 2 8 9 3 2" xfId="42672"/>
    <cellStyle name="输出 2 8 9 3 3" xfId="42673"/>
    <cellStyle name="输出 2 8 9 3 4" xfId="42674"/>
    <cellStyle name="输出 2 8 9 3 6" xfId="42675"/>
    <cellStyle name="输出 2 8 9 4" xfId="42676"/>
    <cellStyle name="输出 2 8 9 5 4" xfId="42677"/>
    <cellStyle name="输出 2 8 9 6" xfId="42678"/>
    <cellStyle name="输出 2 8 9 6 3 2" xfId="42679"/>
    <cellStyle name="输入 2 2 15 5" xfId="42680"/>
    <cellStyle name="输出 2 8 9 6 4" xfId="42681"/>
    <cellStyle name="输出 2 8 9 6 4 2" xfId="42682"/>
    <cellStyle name="输入 2 2 16 5" xfId="42683"/>
    <cellStyle name="输出 2 8 9 6 5" xfId="42684"/>
    <cellStyle name="注释 2 3 11 2 2 2" xfId="42685"/>
    <cellStyle name="输出 2 8 9 7" xfId="42686"/>
    <cellStyle name="输入 2 5 9 10 2" xfId="42687"/>
    <cellStyle name="输出 2 8 9 7 3 2" xfId="42688"/>
    <cellStyle name="输出 2 8 9 7 4" xfId="42689"/>
    <cellStyle name="输出 2 8 9 7 4 2" xfId="42690"/>
    <cellStyle name="输出 2 8 9 7 5" xfId="42691"/>
    <cellStyle name="注释 2 3 11 2 3 2" xfId="42692"/>
    <cellStyle name="输出 2 8 9 8 3 2" xfId="42693"/>
    <cellStyle name="输出 2 8 9 8 4" xfId="42694"/>
    <cellStyle name="输出 2 8 9 8 4 2" xfId="42695"/>
    <cellStyle name="输出 2 8 9 8 5" xfId="42696"/>
    <cellStyle name="注释 2 3 11 2 4 2" xfId="42697"/>
    <cellStyle name="输出 2 8 9 9" xfId="42698"/>
    <cellStyle name="输出 2 9" xfId="42699"/>
    <cellStyle name="输出 2 9 10 10" xfId="42700"/>
    <cellStyle name="输出 2 9 10 10 2" xfId="42701"/>
    <cellStyle name="输出 2 9 10 11" xfId="42702"/>
    <cellStyle name="输出 2 9 10 11 2" xfId="42703"/>
    <cellStyle name="输出 2 9 10 12" xfId="42704"/>
    <cellStyle name="输出 2 9 10 12 2" xfId="42705"/>
    <cellStyle name="输出 2 9 10 14" xfId="42706"/>
    <cellStyle name="输入 2 8 11 7 3" xfId="42707"/>
    <cellStyle name="输出 2 9 10 15" xfId="42708"/>
    <cellStyle name="输入 2 5 8 8 2 2" xfId="42709"/>
    <cellStyle name="输入 2 8 11 7 4" xfId="42710"/>
    <cellStyle name="输出 2 9 10 16" xfId="42711"/>
    <cellStyle name="输入 2 8 11 7 5" xfId="42712"/>
    <cellStyle name="输出 2 9 10 2 2" xfId="42713"/>
    <cellStyle name="输出 2 9 10 2 2 2" xfId="42714"/>
    <cellStyle name="输出 2 9 10 2 3" xfId="42715"/>
    <cellStyle name="输出 2 9 10 2 3 2" xfId="42716"/>
    <cellStyle name="输出 2 9 10 2 4" xfId="42717"/>
    <cellStyle name="输出 2 9 10 2 4 2" xfId="42718"/>
    <cellStyle name="输出 2 9 10 2 5" xfId="42719"/>
    <cellStyle name="输出 2 9 10 2 5 2" xfId="42720"/>
    <cellStyle name="输出 2 9 10 2 6" xfId="42721"/>
    <cellStyle name="输出 2 9 10 2 7" xfId="42722"/>
    <cellStyle name="输出 2 9 10 2 8" xfId="42723"/>
    <cellStyle name="输出 2 9 10 2 9" xfId="42724"/>
    <cellStyle name="输出 2 9 10 3 2" xfId="42725"/>
    <cellStyle name="输出 2 9 10 3 2 2" xfId="42726"/>
    <cellStyle name="输出 2 9 10 3 3" xfId="42727"/>
    <cellStyle name="输出 2 9 10 3 4" xfId="42728"/>
    <cellStyle name="输出 2 9 10 3 4 2" xfId="42729"/>
    <cellStyle name="输出 2 9 10 3 5" xfId="42730"/>
    <cellStyle name="输出 2 9 10 3 5 2" xfId="42731"/>
    <cellStyle name="输出 2 9 10 3 6" xfId="42732"/>
    <cellStyle name="输出 2 9 10 4" xfId="42733"/>
    <cellStyle name="输出 2 9 10 4 2" xfId="42734"/>
    <cellStyle name="输出 2 9 10 4 2 2" xfId="42735"/>
    <cellStyle name="输出 2 9 10 4 3" xfId="42736"/>
    <cellStyle name="输出 2 9 10 4 3 2" xfId="42737"/>
    <cellStyle name="输出 2 9 10 4 4" xfId="42738"/>
    <cellStyle name="输出 2 9 10 4 4 2" xfId="42739"/>
    <cellStyle name="输出 2 9 10 4 5" xfId="42740"/>
    <cellStyle name="输入 2 9 8 7 2 2" xfId="42741"/>
    <cellStyle name="输出 2 9 10 4 5 2" xfId="42742"/>
    <cellStyle name="输出 2 9 10 4 6" xfId="42743"/>
    <cellStyle name="输出 2 9 10 5" xfId="42744"/>
    <cellStyle name="输出 2 9 10 5 2" xfId="42745"/>
    <cellStyle name="输出 2 9 10 6 2 2" xfId="42746"/>
    <cellStyle name="注释 2 10 10 5 4" xfId="42747"/>
    <cellStyle name="输出 2 9 10 7 2 2" xfId="42748"/>
    <cellStyle name="输入 2 3 3 2 4 2" xfId="42749"/>
    <cellStyle name="注释 2 10 11 5 4" xfId="42750"/>
    <cellStyle name="输出 2 9 10 8 2 2" xfId="42751"/>
    <cellStyle name="输入 2 3 3 3 4 2" xfId="42752"/>
    <cellStyle name="输出 2 9 11 10" xfId="42753"/>
    <cellStyle name="输出 2 9 11 11" xfId="42754"/>
    <cellStyle name="输出 2 9 11 12" xfId="42755"/>
    <cellStyle name="输出 2 9 11 13" xfId="42756"/>
    <cellStyle name="输出 2 9 11 14" xfId="42757"/>
    <cellStyle name="输出 2 9 11 2 2" xfId="42758"/>
    <cellStyle name="输出 2 9 11 2 2 2" xfId="42759"/>
    <cellStyle name="输出 2 9 11 2 3" xfId="42760"/>
    <cellStyle name="输出 2 9 11 2 3 2" xfId="42761"/>
    <cellStyle name="输出 2 9 11 2 4" xfId="42762"/>
    <cellStyle name="输出 2 9 11 2 4 2" xfId="42763"/>
    <cellStyle name="输出 2 9 11 2 5" xfId="42764"/>
    <cellStyle name="输出 2 9 11 2 5 2" xfId="42765"/>
    <cellStyle name="输入 2 11 6 14" xfId="42766"/>
    <cellStyle name="输出 2 9 11 2 6" xfId="42767"/>
    <cellStyle name="输出 2 9 11 3 2" xfId="42768"/>
    <cellStyle name="输出 2 9 11 3 2 2" xfId="42769"/>
    <cellStyle name="输出 2 9 11 3 3" xfId="42770"/>
    <cellStyle name="输出 2 9 11 3 4" xfId="42771"/>
    <cellStyle name="输出 2 9 11 3 4 2" xfId="42772"/>
    <cellStyle name="输出 2 9 11 3 5" xfId="42773"/>
    <cellStyle name="输出 2 9 11 3 5 2" xfId="42774"/>
    <cellStyle name="输出 2 9 11 3 6" xfId="42775"/>
    <cellStyle name="输出 2 9 11 4" xfId="42776"/>
    <cellStyle name="输出 2 9 11 4 2" xfId="42777"/>
    <cellStyle name="输出 2 9 11 4 2 2" xfId="42778"/>
    <cellStyle name="输出 2 9 11 4 3" xfId="42779"/>
    <cellStyle name="输出 2 9 11 4 4" xfId="42780"/>
    <cellStyle name="输出 2 9 11 4 5" xfId="42781"/>
    <cellStyle name="输入 2 9 8 8 2 2" xfId="42782"/>
    <cellStyle name="输出 2 9 11 4 6" xfId="42783"/>
    <cellStyle name="输出 2 9 11 5" xfId="42784"/>
    <cellStyle name="输出 2 9 11 5 2 2" xfId="42785"/>
    <cellStyle name="输出 2 9 11 6 2 2" xfId="42786"/>
    <cellStyle name="输出 2 9 11 7 2 2" xfId="42787"/>
    <cellStyle name="输入 2 3 4 2 4 2" xfId="42788"/>
    <cellStyle name="输出 2 9 11 8 2 2" xfId="42789"/>
    <cellStyle name="输入 2 3 4 3 4 2" xfId="42790"/>
    <cellStyle name="输出 2 9 12 2" xfId="42791"/>
    <cellStyle name="输出 2 9 12 2 2" xfId="42792"/>
    <cellStyle name="输出 2 9 12 3" xfId="42793"/>
    <cellStyle name="输出 2 9 12 3 2" xfId="42794"/>
    <cellStyle name="输出 2 9 12 4 2" xfId="42795"/>
    <cellStyle name="输出 2 9 12 5" xfId="42796"/>
    <cellStyle name="输出 2 9 12 5 2" xfId="42797"/>
    <cellStyle name="输出 2 9 13" xfId="42798"/>
    <cellStyle name="输出 2 9 13 2" xfId="42799"/>
    <cellStyle name="输出 2 9 13 2 2" xfId="42800"/>
    <cellStyle name="输出 2 9 13 3" xfId="42801"/>
    <cellStyle name="输出 2 9 13 3 2" xfId="42802"/>
    <cellStyle name="输出 2 9 13 4 2" xfId="42803"/>
    <cellStyle name="输出 2 9 13 5" xfId="42804"/>
    <cellStyle name="输出 2 9 13 5 2" xfId="42805"/>
    <cellStyle name="输出 2 9 14" xfId="42806"/>
    <cellStyle name="输出 2 9 14 2" xfId="42807"/>
    <cellStyle name="输出 2 9 14 2 2" xfId="42808"/>
    <cellStyle name="输出 2 9 14 3" xfId="42809"/>
    <cellStyle name="输出 2 9 14 3 2" xfId="42810"/>
    <cellStyle name="输出 2 9 14 4 2" xfId="42811"/>
    <cellStyle name="输出 2 9 14 5" xfId="42812"/>
    <cellStyle name="输出 2 9 14 5 2" xfId="42813"/>
    <cellStyle name="输出 2 9 15 2" xfId="42814"/>
    <cellStyle name="输出 2 9 20 2" xfId="42815"/>
    <cellStyle name="输出 2 9 15 2 2" xfId="42816"/>
    <cellStyle name="输出 2 9 15 3" xfId="42817"/>
    <cellStyle name="注释 2 2 2 5 2 2" xfId="42818"/>
    <cellStyle name="输出 2 9 15 3 2" xfId="42819"/>
    <cellStyle name="输出 2 9 15 4 2" xfId="42820"/>
    <cellStyle name="输出 2 9 15 5 2" xfId="42821"/>
    <cellStyle name="输出 2 9 16" xfId="42822"/>
    <cellStyle name="输出 2 9 21" xfId="42823"/>
    <cellStyle name="注释 2 3 7 3 4 2" xfId="42824"/>
    <cellStyle name="输出 2 9 16 2" xfId="42825"/>
    <cellStyle name="输出 2 9 21 2" xfId="42826"/>
    <cellStyle name="输出 2 9 16 2 2" xfId="42827"/>
    <cellStyle name="输出 2 9 16 3" xfId="42828"/>
    <cellStyle name="注释 2 2 2 5 3 2" xfId="42829"/>
    <cellStyle name="输出 2 9 16 3 2" xfId="42830"/>
    <cellStyle name="输出 2 9 16 4 2" xfId="42831"/>
    <cellStyle name="输出 2 9 16 6" xfId="42832"/>
    <cellStyle name="输出 2 9 17" xfId="42833"/>
    <cellStyle name="输出 2 9 22" xfId="42834"/>
    <cellStyle name="输出 2 9 17 2" xfId="42835"/>
    <cellStyle name="输出 2 9 22 2" xfId="42836"/>
    <cellStyle name="输出 2 9 17 2 2" xfId="42837"/>
    <cellStyle name="输出 2 9 17 3" xfId="42838"/>
    <cellStyle name="注释 2 2 2 5 4 2" xfId="42839"/>
    <cellStyle name="输出 2 9 17 4 2" xfId="42840"/>
    <cellStyle name="输出 2 9 17 5 2" xfId="42841"/>
    <cellStyle name="输出 2 9 17 6" xfId="42842"/>
    <cellStyle name="输出 2 9 18" xfId="42843"/>
    <cellStyle name="输出 2 9 23" xfId="42844"/>
    <cellStyle name="输出 2 9 18 2" xfId="42845"/>
    <cellStyle name="输出 2 9 23 2" xfId="42846"/>
    <cellStyle name="输出 2 9 18 2 2" xfId="42847"/>
    <cellStyle name="输出 2 9 18 3" xfId="42848"/>
    <cellStyle name="注释 2 2 2 5 5 2" xfId="42849"/>
    <cellStyle name="输出 2 9 18 4 2" xfId="42850"/>
    <cellStyle name="输出 2 9 18 5" xfId="42851"/>
    <cellStyle name="输出 2 9 18 5 2" xfId="42852"/>
    <cellStyle name="输出 2 9 18 6" xfId="42853"/>
    <cellStyle name="输出 2 9 19" xfId="42854"/>
    <cellStyle name="输出 2 9 24" xfId="42855"/>
    <cellStyle name="输出 2 9 19 2" xfId="42856"/>
    <cellStyle name="输出 2 9 19 2 2" xfId="42857"/>
    <cellStyle name="输出 2 9 19 3" xfId="42858"/>
    <cellStyle name="输出 2 9 19 3 2" xfId="42859"/>
    <cellStyle name="输出 2 9 19 4 2" xfId="42860"/>
    <cellStyle name="输出 2 9 19 5" xfId="42861"/>
    <cellStyle name="输出 2 9 2" xfId="42862"/>
    <cellStyle name="输出 2 9 2 10" xfId="42863"/>
    <cellStyle name="输出 2 9 2 11" xfId="42864"/>
    <cellStyle name="输出 2 9 2 11 2" xfId="42865"/>
    <cellStyle name="注释 2 2 5 6 5" xfId="42866"/>
    <cellStyle name="输出 2 9 2 12" xfId="42867"/>
    <cellStyle name="注释 2 7 7 5 4 2" xfId="42868"/>
    <cellStyle name="输出 2 9 2 12 2" xfId="42869"/>
    <cellStyle name="注释 2 2 5 7 5" xfId="42870"/>
    <cellStyle name="输出 2 9 2 13" xfId="42871"/>
    <cellStyle name="输出 2 9 2 14" xfId="42872"/>
    <cellStyle name="输出 2 9 2 15" xfId="42873"/>
    <cellStyle name="输出 2 9 2 16" xfId="42874"/>
    <cellStyle name="输出 2 9 2 2 2" xfId="42875"/>
    <cellStyle name="输出 2 9 2 2 3" xfId="42876"/>
    <cellStyle name="输出 2 9 2 2 3 2" xfId="42877"/>
    <cellStyle name="输出 2 9 2 2 4" xfId="42878"/>
    <cellStyle name="输出 2 9 2 2 4 2" xfId="42879"/>
    <cellStyle name="输出 2 9 2 2 5" xfId="42880"/>
    <cellStyle name="输出 2 9 2 2 5 2" xfId="42881"/>
    <cellStyle name="输出 2 9 2 2 7" xfId="42882"/>
    <cellStyle name="输出 2 9 2 2 8" xfId="42883"/>
    <cellStyle name="输出 2 9 2 2 9" xfId="42884"/>
    <cellStyle name="输出 2 9 2 3" xfId="42885"/>
    <cellStyle name="输出 2 9 2 3 2" xfId="42886"/>
    <cellStyle name="输出 2 9 2 3 2 2" xfId="42887"/>
    <cellStyle name="输出 2 9 2 3 3" xfId="42888"/>
    <cellStyle name="输出 2 9 2 3 3 2" xfId="42889"/>
    <cellStyle name="输出 2 9 2 3 4" xfId="42890"/>
    <cellStyle name="输出 2 9 2 3 4 2" xfId="42891"/>
    <cellStyle name="输出 2 9 2 3 5" xfId="42892"/>
    <cellStyle name="输出 2 9 2 3 5 2" xfId="42893"/>
    <cellStyle name="输出 2 9 2 4" xfId="42894"/>
    <cellStyle name="输出 2 9 2 4 2" xfId="42895"/>
    <cellStyle name="输出 2 9 2 4 2 2" xfId="42896"/>
    <cellStyle name="输出 2 9 2 4 3" xfId="42897"/>
    <cellStyle name="输出 2 9 2 4 3 2" xfId="42898"/>
    <cellStyle name="输出 2 9 2 4 4" xfId="42899"/>
    <cellStyle name="输出 2 9 2 4 5" xfId="42900"/>
    <cellStyle name="输出 2 9 2 4 5 2" xfId="42901"/>
    <cellStyle name="输出 2 9 2 5" xfId="42902"/>
    <cellStyle name="输出 2 9 2 5 2" xfId="42903"/>
    <cellStyle name="输出 2 9 2 5 2 2" xfId="42904"/>
    <cellStyle name="输出 2 9 2 5 3" xfId="42905"/>
    <cellStyle name="输出 2 9 2 5 3 2" xfId="42906"/>
    <cellStyle name="输出 2 9 2 5 4" xfId="42907"/>
    <cellStyle name="输出 2 9 2 5 4 2" xfId="42908"/>
    <cellStyle name="注释 2 11 11 14" xfId="42909"/>
    <cellStyle name="输出 2 9 2 5 5" xfId="42910"/>
    <cellStyle name="输出 2 9 2 5 5 2" xfId="42911"/>
    <cellStyle name="输出 2 9 2 5 6" xfId="42912"/>
    <cellStyle name="注释 2 10 7 12 2" xfId="42913"/>
    <cellStyle name="输出 2 9 2 6" xfId="42914"/>
    <cellStyle name="输出 2 9 2 6 2" xfId="42915"/>
    <cellStyle name="注释 2 3 4 2 9" xfId="42916"/>
    <cellStyle name="输出 2 9 2 6 3" xfId="42917"/>
    <cellStyle name="输出 2 9 2 6 3 2" xfId="42918"/>
    <cellStyle name="输出 2 9 2 6 4 2" xfId="42919"/>
    <cellStyle name="输出 2 9 2 6 5 2" xfId="42920"/>
    <cellStyle name="输出 2 9 2 6 6" xfId="42921"/>
    <cellStyle name="输出 2 9 2 7" xfId="42922"/>
    <cellStyle name="输出 2 9 2 7 2" xfId="42923"/>
    <cellStyle name="输出 2 9 2 7 3" xfId="42924"/>
    <cellStyle name="输出 2 9 2 7 4 2" xfId="42925"/>
    <cellStyle name="注释 2 10 6 4" xfId="42926"/>
    <cellStyle name="输出 2 9 2 7 5 2" xfId="42927"/>
    <cellStyle name="注释 2 10 7 4" xfId="42928"/>
    <cellStyle name="输出 2 9 2 7 6" xfId="42929"/>
    <cellStyle name="输出 2 9 2 8" xfId="42930"/>
    <cellStyle name="输出 2 9 2 8 2" xfId="42931"/>
    <cellStyle name="输出 2 9 2 8 2 2" xfId="42932"/>
    <cellStyle name="注释 2 11 4 4" xfId="42933"/>
    <cellStyle name="输出 2 9 2 8 4 2" xfId="42934"/>
    <cellStyle name="注释 2 11 6 4" xfId="42935"/>
    <cellStyle name="输出 2 9 2 9" xfId="42936"/>
    <cellStyle name="输出 2 9 2 9 2" xfId="42937"/>
    <cellStyle name="输出 2 9 25" xfId="42938"/>
    <cellStyle name="输出 2 9 3 10" xfId="42939"/>
    <cellStyle name="输出 2 9 3 11 2" xfId="42940"/>
    <cellStyle name="输出 2 9 3 12" xfId="42941"/>
    <cellStyle name="输出 2 9 3 12 2" xfId="42942"/>
    <cellStyle name="输出 2 9 3 13" xfId="42943"/>
    <cellStyle name="输出 2 9 3 14" xfId="42944"/>
    <cellStyle name="输出 2 9 3 15" xfId="42945"/>
    <cellStyle name="输出 2 9 3 16" xfId="42946"/>
    <cellStyle name="输出 2 9 3 2 2 2" xfId="42947"/>
    <cellStyle name="输出 2 9 3 2 3 2" xfId="42948"/>
    <cellStyle name="输出 2 9 3 2 4 2" xfId="42949"/>
    <cellStyle name="输出 2 9 3 2 5" xfId="42950"/>
    <cellStyle name="输出 2 9 3 2 5 2" xfId="42951"/>
    <cellStyle name="输出 2 9 3 2 7" xfId="42952"/>
    <cellStyle name="输出 2 9 3 2 8" xfId="42953"/>
    <cellStyle name="输出 2 9 3 2 9" xfId="42954"/>
    <cellStyle name="输出 2 9 3 3" xfId="42955"/>
    <cellStyle name="输出 2 9 3 3 2" xfId="42956"/>
    <cellStyle name="输出 2 9 3 3 2 2" xfId="42957"/>
    <cellStyle name="输出 2 9 3 3 3" xfId="42958"/>
    <cellStyle name="输出 2 9 3 3 3 2" xfId="42959"/>
    <cellStyle name="输出 2 9 3 3 4" xfId="42960"/>
    <cellStyle name="输出 2 9 3 3 4 2" xfId="42961"/>
    <cellStyle name="输出 2 9 3 3 5 2" xfId="42962"/>
    <cellStyle name="输出 2 9 3 4" xfId="42963"/>
    <cellStyle name="输出 2 9 3 4 2" xfId="42964"/>
    <cellStyle name="输出 2 9 3 4 2 2" xfId="42965"/>
    <cellStyle name="输出 2 9 3 4 3" xfId="42966"/>
    <cellStyle name="输出 2 9 3 4 3 2" xfId="42967"/>
    <cellStyle name="输出 2 9 3 4 4" xfId="42968"/>
    <cellStyle name="输出 2 9 3 4 4 2" xfId="42969"/>
    <cellStyle name="输出 2 9 3 4 5 2" xfId="42970"/>
    <cellStyle name="输出 2 9 3 5" xfId="42971"/>
    <cellStyle name="输出 2 9 3 5 2" xfId="42972"/>
    <cellStyle name="输出 2 9 3 5 2 2" xfId="42973"/>
    <cellStyle name="输出 2 9 3 5 3" xfId="42974"/>
    <cellStyle name="输出 2 9 3 5 3 2" xfId="42975"/>
    <cellStyle name="输出 2 9 3 5 4" xfId="42976"/>
    <cellStyle name="输出 2 9 3 5 4 2" xfId="42977"/>
    <cellStyle name="输出 2 9 3 5 5 2" xfId="42978"/>
    <cellStyle name="输出 2 9 3 5 6" xfId="42979"/>
    <cellStyle name="输出 2 9 3 6" xfId="42980"/>
    <cellStyle name="输出 2 9 3 6 2" xfId="42981"/>
    <cellStyle name="注释 2 3 5 2 9" xfId="42982"/>
    <cellStyle name="输出 2 9 3 6 2 2" xfId="42983"/>
    <cellStyle name="输出 2 9 3 6 3" xfId="42984"/>
    <cellStyle name="输出 2 9 3 6 3 2" xfId="42985"/>
    <cellStyle name="输出 2 9 3 6 4 2" xfId="42986"/>
    <cellStyle name="输出 2 9 3 6 5 2" xfId="42987"/>
    <cellStyle name="输出 2 9 3 6 6" xfId="42988"/>
    <cellStyle name="输出 2 9 3 7" xfId="42989"/>
    <cellStyle name="输出 2 9 3 7 2 2" xfId="42990"/>
    <cellStyle name="输出 2 9 3 7 3 2" xfId="42991"/>
    <cellStyle name="输出 2 9 3 7 4 2" xfId="42992"/>
    <cellStyle name="输出 2 9 3 7 5 2" xfId="42993"/>
    <cellStyle name="注释 2 9 10 2 5" xfId="42994"/>
    <cellStyle name="输出 2 9 3 7 6" xfId="42995"/>
    <cellStyle name="输出 2 9 3 8" xfId="42996"/>
    <cellStyle name="输出 2 9 3 8 2" xfId="42997"/>
    <cellStyle name="输出 2 9 3 8 2 2" xfId="42998"/>
    <cellStyle name="输出 2 9 3 8 3 2" xfId="42999"/>
    <cellStyle name="输出 2 9 3 8 4 2" xfId="43000"/>
    <cellStyle name="输出 2 9 3 9" xfId="43001"/>
    <cellStyle name="输出 2 9 3 9 2" xfId="43002"/>
    <cellStyle name="输出 2 9 4 10 2" xfId="43003"/>
    <cellStyle name="输入 2 3 5 5 4" xfId="43004"/>
    <cellStyle name="注释 2 4 5 3 5 2" xfId="43005"/>
    <cellStyle name="输出 2 9 4 11" xfId="43006"/>
    <cellStyle name="注释 2 4 5 3 6" xfId="43007"/>
    <cellStyle name="输出 2 9 4 11 2" xfId="43008"/>
    <cellStyle name="输入 2 3 5 6 4" xfId="43009"/>
    <cellStyle name="输出 2 9 4 12" xfId="43010"/>
    <cellStyle name="输出 2 9 4 12 2" xfId="43011"/>
    <cellStyle name="输入 2 3 5 7 4" xfId="43012"/>
    <cellStyle name="输出 2 9 4 13" xfId="43013"/>
    <cellStyle name="输出 2 9 4 14" xfId="43014"/>
    <cellStyle name="输出 2 9 4 15" xfId="43015"/>
    <cellStyle name="输出 2 9 4 16" xfId="43016"/>
    <cellStyle name="输出 2 9 4 2" xfId="43017"/>
    <cellStyle name="注释 2 4 17 6" xfId="43018"/>
    <cellStyle name="输出 2 9 4 2 2 2" xfId="43019"/>
    <cellStyle name="输出 2 9 4 2 3 2" xfId="43020"/>
    <cellStyle name="输出 2 9 4 2 4 2" xfId="43021"/>
    <cellStyle name="输出 2 9 4 2 5" xfId="43022"/>
    <cellStyle name="输出 2 9 4 2 5 2" xfId="43023"/>
    <cellStyle name="输出 2 9 4 2 7" xfId="43024"/>
    <cellStyle name="输出 2 9 4 2 8" xfId="43025"/>
    <cellStyle name="输出 2 9 4 2 9" xfId="43026"/>
    <cellStyle name="输出 2 9 4 3" xfId="43027"/>
    <cellStyle name="输出 2 9 4 3 2" xfId="43028"/>
    <cellStyle name="输出 2 9 4 3 2 2" xfId="43029"/>
    <cellStyle name="输出 2 9 4 3 3" xfId="43030"/>
    <cellStyle name="输出 2 9 4 3 4" xfId="43031"/>
    <cellStyle name="输出 2 9 4 4" xfId="43032"/>
    <cellStyle name="输出 2 9 4 4 2" xfId="43033"/>
    <cellStyle name="输出 2 9 4 4 2 2" xfId="43034"/>
    <cellStyle name="输出 2 9 4 4 3" xfId="43035"/>
    <cellStyle name="输出 2 9 4 4 4" xfId="43036"/>
    <cellStyle name="输出 2 9 4 4 6" xfId="43037"/>
    <cellStyle name="输出 2 9 4 5" xfId="43038"/>
    <cellStyle name="输出 2 9 4 5 2" xfId="43039"/>
    <cellStyle name="输出 2 9 4 5 2 2" xfId="43040"/>
    <cellStyle name="输出 2 9 4 5 3" xfId="43041"/>
    <cellStyle name="输出 2 9 4 5 4" xfId="43042"/>
    <cellStyle name="输出 2 9 4 5 6" xfId="43043"/>
    <cellStyle name="输出 2 9 4 6" xfId="43044"/>
    <cellStyle name="注释 2 4 5 10" xfId="43045"/>
    <cellStyle name="输出 2 9 4 6 2" xfId="43046"/>
    <cellStyle name="注释 2 3 6 2 9" xfId="43047"/>
    <cellStyle name="注释 2 4 5 10 2" xfId="43048"/>
    <cellStyle name="输出 2 9 4 6 2 2" xfId="43049"/>
    <cellStyle name="输出 2 9 4 6 4" xfId="43050"/>
    <cellStyle name="输出 2 9 4 6 6" xfId="43051"/>
    <cellStyle name="输出 2 9 4 7" xfId="43052"/>
    <cellStyle name="注释 2 4 5 11" xfId="43053"/>
    <cellStyle name="输出 2 9 4 7 2 2" xfId="43054"/>
    <cellStyle name="输出 2 9 4 7 5" xfId="43055"/>
    <cellStyle name="输出 2 9 4 7 6" xfId="43056"/>
    <cellStyle name="输出 2 9 4 8" xfId="43057"/>
    <cellStyle name="注释 2 4 5 12" xfId="43058"/>
    <cellStyle name="输出 2 9 4 8 2" xfId="43059"/>
    <cellStyle name="注释 2 4 5 12 2" xfId="43060"/>
    <cellStyle name="输出 2 9 4 8 2 2" xfId="43061"/>
    <cellStyle name="输出 2 9 4 8 4" xfId="43062"/>
    <cellStyle name="输出 2 9 4 8 5" xfId="43063"/>
    <cellStyle name="输出 2 9 4 9" xfId="43064"/>
    <cellStyle name="注释 2 4 5 13" xfId="43065"/>
    <cellStyle name="输出 2 9 4 9 2" xfId="43066"/>
    <cellStyle name="输出 2 9 5" xfId="43067"/>
    <cellStyle name="输出 2 9 5 10" xfId="43068"/>
    <cellStyle name="注释 2 4 5 8 5" xfId="43069"/>
    <cellStyle name="输出 2 9 5 10 2" xfId="43070"/>
    <cellStyle name="输出 2 9 5 11" xfId="43071"/>
    <cellStyle name="输出 2 9 5 11 2" xfId="43072"/>
    <cellStyle name="输出 2 9 5 12" xfId="43073"/>
    <cellStyle name="输出 2 9 5 12 2" xfId="43074"/>
    <cellStyle name="输出 2 9 5 13" xfId="43075"/>
    <cellStyle name="输出 2 9 5 15" xfId="43076"/>
    <cellStyle name="输出 2 9 5 16" xfId="43077"/>
    <cellStyle name="输出 2 9 5 2" xfId="43078"/>
    <cellStyle name="注释 2 4 18 6" xfId="43079"/>
    <cellStyle name="输出 2 9 5 2 2" xfId="43080"/>
    <cellStyle name="输出 2 9 5 2 2 2" xfId="43081"/>
    <cellStyle name="输出 2 9 5 2 3" xfId="43082"/>
    <cellStyle name="输出 2 9 5 2 3 2" xfId="43083"/>
    <cellStyle name="输出 2 9 5 2 4" xfId="43084"/>
    <cellStyle name="输出 2 9 5 2 5" xfId="43085"/>
    <cellStyle name="输出 2 9 5 2 6" xfId="43086"/>
    <cellStyle name="输出 2 9 5 2 7" xfId="43087"/>
    <cellStyle name="输出 2 9 5 2 8" xfId="43088"/>
    <cellStyle name="输出 2 9 5 2 9" xfId="43089"/>
    <cellStyle name="输出 2 9 5 3" xfId="43090"/>
    <cellStyle name="输出 2 9 5 3 2" xfId="43091"/>
    <cellStyle name="输出 2 9 5 3 3" xfId="43092"/>
    <cellStyle name="输出 2 9 5 3 3 2" xfId="43093"/>
    <cellStyle name="输出 2 9 5 3 4" xfId="43094"/>
    <cellStyle name="输出 2 9 5 3 6" xfId="43095"/>
    <cellStyle name="输出 2 9 5 4" xfId="43096"/>
    <cellStyle name="输出 2 9 5 4 3 2" xfId="43097"/>
    <cellStyle name="输出 2 9 5 4 4 2" xfId="43098"/>
    <cellStyle name="输出 2 9 5 4 5 2" xfId="43099"/>
    <cellStyle name="输出 2 9 5 5" xfId="43100"/>
    <cellStyle name="输出 2 9 5 5 3 2" xfId="43101"/>
    <cellStyle name="输出 2 9 5 5 4" xfId="43102"/>
    <cellStyle name="输出 2 9 5 5 4 2" xfId="43103"/>
    <cellStyle name="输出 2 9 5 5 5 2" xfId="43104"/>
    <cellStyle name="输出 2 9 5 5 6" xfId="43105"/>
    <cellStyle name="输出 2 9 5 6" xfId="43106"/>
    <cellStyle name="输出 2 9 5 6 4" xfId="43107"/>
    <cellStyle name="输入 2 11 2 10" xfId="43108"/>
    <cellStyle name="输出 2 9 5 6 6" xfId="43109"/>
    <cellStyle name="输入 2 11 2 12" xfId="43110"/>
    <cellStyle name="输出 2 9 5 7" xfId="43111"/>
    <cellStyle name="输出 2 9 5 7 4" xfId="43112"/>
    <cellStyle name="输出 2 9 5 7 6" xfId="43113"/>
    <cellStyle name="输出 2 9 5 8" xfId="43114"/>
    <cellStyle name="输出 2 9 5 8 3 2" xfId="43115"/>
    <cellStyle name="输出 2 9 5 8 4" xfId="43116"/>
    <cellStyle name="输出 2 9 5 8 4 2" xfId="43117"/>
    <cellStyle name="输出 2 9 5 9" xfId="43118"/>
    <cellStyle name="输出 2 9 6" xfId="43119"/>
    <cellStyle name="输出 2 9 6 10" xfId="43120"/>
    <cellStyle name="输出 2 9 6 10 2" xfId="43121"/>
    <cellStyle name="输出 2 9 6 11" xfId="43122"/>
    <cellStyle name="输出 2 9 6 11 2" xfId="43123"/>
    <cellStyle name="输出 2 9 6 12" xfId="43124"/>
    <cellStyle name="输出 2 9 6 12 2" xfId="43125"/>
    <cellStyle name="输出 2 9 6 13" xfId="43126"/>
    <cellStyle name="输入 2 5 5 3 5 2" xfId="43127"/>
    <cellStyle name="输出 2 9 6 14" xfId="43128"/>
    <cellStyle name="输入 2 9 16 3 2" xfId="43129"/>
    <cellStyle name="输出 2 9 6 15" xfId="43130"/>
    <cellStyle name="输出 2 9 6 16" xfId="43131"/>
    <cellStyle name="输出 2 9 6 2" xfId="43132"/>
    <cellStyle name="输出 2 9 6 2 2" xfId="43133"/>
    <cellStyle name="输出 2 9 6 2 2 2" xfId="43134"/>
    <cellStyle name="注释 2 2 11 6 6" xfId="43135"/>
    <cellStyle name="输出 2 9 6 2 3" xfId="43136"/>
    <cellStyle name="输出 2 9 6 2 4" xfId="43137"/>
    <cellStyle name="输出 2 9 6 2 5" xfId="43138"/>
    <cellStyle name="输出 2 9 6 2 6" xfId="43139"/>
    <cellStyle name="输出 2 9 6 2 7" xfId="43140"/>
    <cellStyle name="输出 2 9 6 2 8" xfId="43141"/>
    <cellStyle name="输出 2 9 6 2 9" xfId="43142"/>
    <cellStyle name="输入 2 12 8 2 4 2" xfId="43143"/>
    <cellStyle name="输出 2 9 6 3" xfId="43144"/>
    <cellStyle name="输出 2 9 6 3 2" xfId="43145"/>
    <cellStyle name="输出 2 9 6 3 3" xfId="43146"/>
    <cellStyle name="输出 2 9 6 3 4" xfId="43147"/>
    <cellStyle name="输出 2 9 6 3 6" xfId="43148"/>
    <cellStyle name="输出 2 9 6 4" xfId="43149"/>
    <cellStyle name="输出 2 9 6 5" xfId="43150"/>
    <cellStyle name="输入 2 7 3 3 2 2" xfId="43151"/>
    <cellStyle name="输出 2 9 6 5 4" xfId="43152"/>
    <cellStyle name="输出 2 9 6 5 6" xfId="43153"/>
    <cellStyle name="输出 2 9 6 6" xfId="43154"/>
    <cellStyle name="输出 2 9 6 6 4" xfId="43155"/>
    <cellStyle name="输入 2 11 7 10" xfId="43156"/>
    <cellStyle name="输出 2 9 6 7 4" xfId="43157"/>
    <cellStyle name="输出 2 9 6 7 5" xfId="43158"/>
    <cellStyle name="输出 2 9 6 8" xfId="43159"/>
    <cellStyle name="输出 2 9 6 8 4" xfId="43160"/>
    <cellStyle name="输出 2 9 6 8 5" xfId="43161"/>
    <cellStyle name="输出 2 9 6 9" xfId="43162"/>
    <cellStyle name="输出 2 9 7" xfId="43163"/>
    <cellStyle name="输入 2 10 6 8 2" xfId="43164"/>
    <cellStyle name="输出 2 9 7 10" xfId="43165"/>
    <cellStyle name="输出 2 9 7 10 2" xfId="43166"/>
    <cellStyle name="注释 2 3 5 5 5" xfId="43167"/>
    <cellStyle name="输出 2 9 7 11" xfId="43168"/>
    <cellStyle name="输出 2 9 7 11 2" xfId="43169"/>
    <cellStyle name="注释 2 3 5 6 5" xfId="43170"/>
    <cellStyle name="输出 2 9 7 12" xfId="43171"/>
    <cellStyle name="注释 2 7 7 6 4 2" xfId="43172"/>
    <cellStyle name="输出 2 9 7 12 2" xfId="43173"/>
    <cellStyle name="注释 2 3 5 7 5" xfId="43174"/>
    <cellStyle name="输出 2 9 7 13" xfId="43175"/>
    <cellStyle name="输出 2 9 7 14" xfId="43176"/>
    <cellStyle name="输出 2 9 7 15" xfId="43177"/>
    <cellStyle name="输出 2 9 7 16" xfId="43178"/>
    <cellStyle name="输出 2 9 7 2" xfId="43179"/>
    <cellStyle name="输入 2 10 6 8 2 2" xfId="43180"/>
    <cellStyle name="输出 2 9 7 2 2" xfId="43181"/>
    <cellStyle name="输出 2 9 7 2 2 2" xfId="43182"/>
    <cellStyle name="输出 2 9 7 2 3" xfId="43183"/>
    <cellStyle name="输出 2 9 7 2 3 2" xfId="43184"/>
    <cellStyle name="输出 2 9 7 2 4" xfId="43185"/>
    <cellStyle name="输出 2 9 7 2 4 2" xfId="43186"/>
    <cellStyle name="输出 2 9 7 2 5" xfId="43187"/>
    <cellStyle name="输出 2 9 7 2 5 2" xfId="43188"/>
    <cellStyle name="输出 2 9 7 2 6" xfId="43189"/>
    <cellStyle name="输出 2 9 7 2 7" xfId="43190"/>
    <cellStyle name="输出 2 9 7 2 8" xfId="43191"/>
    <cellStyle name="输出 2 9 7 2 9" xfId="43192"/>
    <cellStyle name="输入 2 12 8 3 4 2" xfId="43193"/>
    <cellStyle name="输出 2 9 7 3" xfId="43194"/>
    <cellStyle name="输出 2 9 7 3 2" xfId="43195"/>
    <cellStyle name="输出 2 9 7 3 2 2" xfId="43196"/>
    <cellStyle name="输出 2 9 7 3 3" xfId="43197"/>
    <cellStyle name="输出 2 9 7 3 3 2" xfId="43198"/>
    <cellStyle name="输出 2 9 7 3 4" xfId="43199"/>
    <cellStyle name="输出 2 9 7 3 4 2" xfId="43200"/>
    <cellStyle name="输出 2 9 7 3 5 2" xfId="43201"/>
    <cellStyle name="输出 2 9 7 3 6" xfId="43202"/>
    <cellStyle name="注释 2 10 8 10 2" xfId="43203"/>
    <cellStyle name="输出 2 9 7 4" xfId="43204"/>
    <cellStyle name="输出 2 9 7 4 3 2" xfId="43205"/>
    <cellStyle name="输出 2 9 7 4 4 2" xfId="43206"/>
    <cellStyle name="输出 2 9 7 4 5 2" xfId="43207"/>
    <cellStyle name="输出 2 9 7 5" xfId="43208"/>
    <cellStyle name="输入 2 7 3 3 3 2" xfId="43209"/>
    <cellStyle name="输出 2 9 7 5 3 2" xfId="43210"/>
    <cellStyle name="输出 2 9 7 5 4" xfId="43211"/>
    <cellStyle name="输出 2 9 7 5 4 2" xfId="43212"/>
    <cellStyle name="输出 2 9 7 5 5 2" xfId="43213"/>
    <cellStyle name="输出 2 9 7 5 6" xfId="43214"/>
    <cellStyle name="注释 2 10 8 12 2" xfId="43215"/>
    <cellStyle name="输出 2 9 7 6" xfId="43216"/>
    <cellStyle name="输出 2 9 7 6 3 2" xfId="43217"/>
    <cellStyle name="输出 2 9 7 6 4" xfId="43218"/>
    <cellStyle name="输出 2 9 7 6 4 2" xfId="43219"/>
    <cellStyle name="输出 2 9 7 6 5 2" xfId="43220"/>
    <cellStyle name="输出 2 9 7 7 3 2" xfId="43221"/>
    <cellStyle name="输出 2 9 7 7 4" xfId="43222"/>
    <cellStyle name="输出 2 9 7 7 4 2" xfId="43223"/>
    <cellStyle name="输出 2 9 7 7 5" xfId="43224"/>
    <cellStyle name="输出 2 9 7 7 5 2" xfId="43225"/>
    <cellStyle name="输出 2 9 7 8" xfId="43226"/>
    <cellStyle name="输出 2 9 7 8 3 2" xfId="43227"/>
    <cellStyle name="输出 2 9 7 8 4" xfId="43228"/>
    <cellStyle name="输出 2 9 7 8 4 2" xfId="43229"/>
    <cellStyle name="输出 2 9 7 8 5" xfId="43230"/>
    <cellStyle name="输出 2 9 7 9" xfId="43231"/>
    <cellStyle name="输出 2 9 8" xfId="43232"/>
    <cellStyle name="输入 2 10 6 8 3" xfId="43233"/>
    <cellStyle name="输出 2 9 8 10" xfId="43234"/>
    <cellStyle name="输出 2 9 8 10 2" xfId="43235"/>
    <cellStyle name="输出 2 9 8 11" xfId="43236"/>
    <cellStyle name="输出 2 9 8 11 2" xfId="43237"/>
    <cellStyle name="输出 2 9 8 12" xfId="43238"/>
    <cellStyle name="输出 2 9 8 12 2" xfId="43239"/>
    <cellStyle name="输出 2 9 8 13" xfId="43240"/>
    <cellStyle name="输出 2 9 8 14" xfId="43241"/>
    <cellStyle name="输出 2 9 8 15" xfId="43242"/>
    <cellStyle name="输出 2 9 8 16" xfId="43243"/>
    <cellStyle name="输出 2 9 8 2" xfId="43244"/>
    <cellStyle name="输入 2 10 6 8 3 2" xfId="43245"/>
    <cellStyle name="输出 2 9 8 2 2 2" xfId="43246"/>
    <cellStyle name="输出 2 9 8 2 3 2" xfId="43247"/>
    <cellStyle name="输出 2 9 8 3" xfId="43248"/>
    <cellStyle name="输出 2 9 8 3 2" xfId="43249"/>
    <cellStyle name="输出 2 9 8 3 2 2" xfId="43250"/>
    <cellStyle name="输出 2 9 8 3 3" xfId="43251"/>
    <cellStyle name="输出 2 9 8 3 3 2" xfId="43252"/>
    <cellStyle name="输出 2 9 8 4" xfId="43253"/>
    <cellStyle name="输出 2 9 8 4 3 2" xfId="43254"/>
    <cellStyle name="输出 2 9 8 4 4 2" xfId="43255"/>
    <cellStyle name="输出 2 9 8 5" xfId="43256"/>
    <cellStyle name="输入 2 7 3 3 4 2" xfId="43257"/>
    <cellStyle name="输出 2 9 8 5 3 2" xfId="43258"/>
    <cellStyle name="输出 2 9 8 5 4 2" xfId="43259"/>
    <cellStyle name="输出 2 9 8 6" xfId="43260"/>
    <cellStyle name="输出 2 9 8 6 3 2" xfId="43261"/>
    <cellStyle name="输出 2 9 8 6 4" xfId="43262"/>
    <cellStyle name="输出 2 9 8 6 4 2" xfId="43263"/>
    <cellStyle name="输出 2 9 8 6 5 2" xfId="43264"/>
    <cellStyle name="输出 2 9 8 7 3 2" xfId="43265"/>
    <cellStyle name="输出 2 9 8 7 5" xfId="43266"/>
    <cellStyle name="输出 2 9 8 7 5 2" xfId="43267"/>
    <cellStyle name="输出 2 9 8 8" xfId="43268"/>
    <cellStyle name="输出 2 9 8 8 3 2" xfId="43269"/>
    <cellStyle name="输出 2 9 8 8 4" xfId="43270"/>
    <cellStyle name="输出 2 9 8 8 5" xfId="43271"/>
    <cellStyle name="输出 2 9 8 9" xfId="43272"/>
    <cellStyle name="输出 2 9 9" xfId="43273"/>
    <cellStyle name="输入 2 10 6 8 4" xfId="43274"/>
    <cellStyle name="输出 2 9 9 10 2" xfId="43275"/>
    <cellStyle name="输入 2 4 5 5 4" xfId="43276"/>
    <cellStyle name="注释 2 4 6 3 5 2" xfId="43277"/>
    <cellStyle name="输出 2 9 9 11" xfId="43278"/>
    <cellStyle name="注释 2 4 6 3 6" xfId="43279"/>
    <cellStyle name="输出 2 9 9 11 2" xfId="43280"/>
    <cellStyle name="输入 2 4 5 6 4" xfId="43281"/>
    <cellStyle name="输出 2 9 9 12" xfId="43282"/>
    <cellStyle name="输入 2 10 10 2 2" xfId="43283"/>
    <cellStyle name="输出 2 9 9 12 2" xfId="43284"/>
    <cellStyle name="输入 2 10 10 2 2 2" xfId="43285"/>
    <cellStyle name="输入 2 4 5 7 4" xfId="43286"/>
    <cellStyle name="输出 2 9 9 13" xfId="43287"/>
    <cellStyle name="输入 2 10 10 2 3" xfId="43288"/>
    <cellStyle name="输出 2 9 9 14" xfId="43289"/>
    <cellStyle name="输入 2 10 10 2 4" xfId="43290"/>
    <cellStyle name="输出 2 9 9 16" xfId="43291"/>
    <cellStyle name="输入 2 10 10 2 6" xfId="43292"/>
    <cellStyle name="输出 2 9 9 2" xfId="43293"/>
    <cellStyle name="输入 2 10 6 8 4 2" xfId="43294"/>
    <cellStyle name="注释 2 6 2 2 9" xfId="43295"/>
    <cellStyle name="输出 2 9 9 2 2 2" xfId="43296"/>
    <cellStyle name="输出 2 9 9 2 3 2" xfId="43297"/>
    <cellStyle name="输出 2 9 9 2 4 2" xfId="43298"/>
    <cellStyle name="输出 2 9 9 3" xfId="43299"/>
    <cellStyle name="输出 2 9 9 3 2" xfId="43300"/>
    <cellStyle name="输出 2 9 9 3 2 2" xfId="43301"/>
    <cellStyle name="输出 2 9 9 3 3" xfId="43302"/>
    <cellStyle name="输出 2 9 9 3 3 2" xfId="43303"/>
    <cellStyle name="输出 2 9 9 3 4 2" xfId="43304"/>
    <cellStyle name="输出 2 9 9 4" xfId="43305"/>
    <cellStyle name="输出 2 9 9 4 3 2" xfId="43306"/>
    <cellStyle name="输出 2 9 9 4 4 2" xfId="43307"/>
    <cellStyle name="输出 2 9 9 5 3 2" xfId="43308"/>
    <cellStyle name="输出 2 9 9 5 4 2" xfId="43309"/>
    <cellStyle name="输出 2 9 9 6" xfId="43310"/>
    <cellStyle name="注释 2 4 6 10" xfId="43311"/>
    <cellStyle name="输出 2 9 9 6 4" xfId="43312"/>
    <cellStyle name="输出 2 9 9 7" xfId="43313"/>
    <cellStyle name="注释 2 4 6 11" xfId="43314"/>
    <cellStyle name="输出 2 9 9 7 5" xfId="43315"/>
    <cellStyle name="输出 2 9 9 8" xfId="43316"/>
    <cellStyle name="注释 2 4 6 12" xfId="43317"/>
    <cellStyle name="输出 2 9 9 8 4" xfId="43318"/>
    <cellStyle name="输出 2 9 9 8 5" xfId="43319"/>
    <cellStyle name="输出 2 9 9 9" xfId="43320"/>
    <cellStyle name="注释 2 4 6 13" xfId="43321"/>
    <cellStyle name="输出 3" xfId="43322"/>
    <cellStyle name="注释 2 9 11 2 3" xfId="43323"/>
    <cellStyle name="输入 2" xfId="43324"/>
    <cellStyle name="输入 2 10" xfId="43325"/>
    <cellStyle name="输入 2 10 10 10 2" xfId="43326"/>
    <cellStyle name="输入 2 10 10 11" xfId="43327"/>
    <cellStyle name="输入 2 10 10 11 2" xfId="43328"/>
    <cellStyle name="输入 2 10 10 12" xfId="43329"/>
    <cellStyle name="输入 2 10 10 13" xfId="43330"/>
    <cellStyle name="输入 2 10 10 14" xfId="43331"/>
    <cellStyle name="输入 2 10 10 2" xfId="43332"/>
    <cellStyle name="输入 2 10 10 2 4 2" xfId="43333"/>
    <cellStyle name="输入 2 10 10 2 7" xfId="43334"/>
    <cellStyle name="输入 2 10 10 2 8" xfId="43335"/>
    <cellStyle name="输入 2 10 10 2 9" xfId="43336"/>
    <cellStyle name="输入 2 10 10 3" xfId="43337"/>
    <cellStyle name="输入 2 10 10 3 2" xfId="43338"/>
    <cellStyle name="输入 2 10 10 3 2 2" xfId="43339"/>
    <cellStyle name="输入 2 4 6 7 4" xfId="43340"/>
    <cellStyle name="输入 2 10 10 3 3" xfId="43341"/>
    <cellStyle name="输入 2 10 10 3 3 2" xfId="43342"/>
    <cellStyle name="输入 2 4 6 8 4" xfId="43343"/>
    <cellStyle name="输入 2 10 10 3 4" xfId="43344"/>
    <cellStyle name="输入 2 10 10 3 4 2" xfId="43345"/>
    <cellStyle name="输入 2 10 10 3 6" xfId="43346"/>
    <cellStyle name="输入 2 10 10 4" xfId="43347"/>
    <cellStyle name="输入 2 10 10 4 2" xfId="43348"/>
    <cellStyle name="输入 2 10 10 4 2 2" xfId="43349"/>
    <cellStyle name="输入 2 4 7 7 4" xfId="43350"/>
    <cellStyle name="输入 2 10 10 4 3" xfId="43351"/>
    <cellStyle name="输入 2 10 10 4 3 2" xfId="43352"/>
    <cellStyle name="输入 2 4 7 8 4" xfId="43353"/>
    <cellStyle name="输入 2 10 10 4 4" xfId="43354"/>
    <cellStyle name="输入 2 10 10 4 6" xfId="43355"/>
    <cellStyle name="输入 2 10 10 5 2" xfId="43356"/>
    <cellStyle name="输入 2 10 10 5 2 2" xfId="43357"/>
    <cellStyle name="输入 2 4 8 7 4" xfId="43358"/>
    <cellStyle name="输入 2 10 10 5 3" xfId="43359"/>
    <cellStyle name="输入 2 10 10 5 3 2" xfId="43360"/>
    <cellStyle name="输入 2 4 8 8 4" xfId="43361"/>
    <cellStyle name="输入 2 10 10 5 4" xfId="43362"/>
    <cellStyle name="输入 2 10 10 5 4 2" xfId="43363"/>
    <cellStyle name="输入 2 10 10 5 5" xfId="43364"/>
    <cellStyle name="输入 2 10 10 5 5 2" xfId="43365"/>
    <cellStyle name="输入 2 10 10 5 6" xfId="43366"/>
    <cellStyle name="输入 2 10 10 6" xfId="43367"/>
    <cellStyle name="输入 2 10 10 6 2" xfId="43368"/>
    <cellStyle name="输入 2 10 10 6 2 2" xfId="43369"/>
    <cellStyle name="输入 2 4 9 7 4" xfId="43370"/>
    <cellStyle name="输入 2 10 10 6 3" xfId="43371"/>
    <cellStyle name="输入 2 10 10 6 3 2" xfId="43372"/>
    <cellStyle name="输入 2 4 9 8 4" xfId="43373"/>
    <cellStyle name="输入 2 10 10 6 4 2" xfId="43374"/>
    <cellStyle name="输入 2 10 10 6 5" xfId="43375"/>
    <cellStyle name="输入 2 10 10 6 5 2" xfId="43376"/>
    <cellStyle name="输入 2 10 10 6 6" xfId="43377"/>
    <cellStyle name="输入 2 10 10 7" xfId="43378"/>
    <cellStyle name="输入 2 10 10 7 2" xfId="43379"/>
    <cellStyle name="输入 2 10 10 7 2 2" xfId="43380"/>
    <cellStyle name="输入 2 10 10 7 3" xfId="43381"/>
    <cellStyle name="输入 2 10 10 7 4 2" xfId="43382"/>
    <cellStyle name="输入 2 10 10 7 5" xfId="43383"/>
    <cellStyle name="输入 2 10 10 7 5 2" xfId="43384"/>
    <cellStyle name="输入 2 10 10 7 6" xfId="43385"/>
    <cellStyle name="输入 2 10 10 8 2" xfId="43386"/>
    <cellStyle name="输入 2 10 10 8 2 2" xfId="43387"/>
    <cellStyle name="输入 2 10 10 8 3" xfId="43388"/>
    <cellStyle name="输入 2 10 10 8 3 2" xfId="43389"/>
    <cellStyle name="输入 2 10 10 8 4 2" xfId="43390"/>
    <cellStyle name="输入 2 10 10 8 5" xfId="43391"/>
    <cellStyle name="输入 2 10 10 9" xfId="43392"/>
    <cellStyle name="输入 2 10 10 9 2" xfId="43393"/>
    <cellStyle name="输入 2 10 11" xfId="43394"/>
    <cellStyle name="输入 2 10 11 10" xfId="43395"/>
    <cellStyle name="注释 2 4 7 16" xfId="43396"/>
    <cellStyle name="输入 2 10 11 10 2" xfId="43397"/>
    <cellStyle name="输入 2 10 11 11" xfId="43398"/>
    <cellStyle name="输入 2 10 11 11 2" xfId="43399"/>
    <cellStyle name="输入 2 10 11 12" xfId="43400"/>
    <cellStyle name="输入 2 10 11 2" xfId="43401"/>
    <cellStyle name="输入 2 10 11 2 5 2" xfId="43402"/>
    <cellStyle name="输入 2 10 11 2 6" xfId="43403"/>
    <cellStyle name="输入 2 10 11 3" xfId="43404"/>
    <cellStyle name="输入 2 10 11 3 5 2" xfId="43405"/>
    <cellStyle name="输入 2 10 11 3 6" xfId="43406"/>
    <cellStyle name="输入 2 10 11 4" xfId="43407"/>
    <cellStyle name="输入 2 10 11 4 5 2" xfId="43408"/>
    <cellStyle name="输入 2 10 11 4 6" xfId="43409"/>
    <cellStyle name="输入 2 10 11 5 5 2" xfId="43410"/>
    <cellStyle name="输入 2 10 11 5 6" xfId="43411"/>
    <cellStyle name="输入 2 10 11 6" xfId="43412"/>
    <cellStyle name="输入 2 10 11 6 2" xfId="43413"/>
    <cellStyle name="输入 2 10 11 6 2 2" xfId="43414"/>
    <cellStyle name="输入 2 5 9 7 4" xfId="43415"/>
    <cellStyle name="输入 2 10 11 6 3" xfId="43416"/>
    <cellStyle name="输入 2 10 11 6 5 2" xfId="43417"/>
    <cellStyle name="输入 2 10 11 6 6" xfId="43418"/>
    <cellStyle name="输入 2 10 11 7" xfId="43419"/>
    <cellStyle name="输入 2 10 11 7 2" xfId="43420"/>
    <cellStyle name="输入 2 10 11 7 2 2" xfId="43421"/>
    <cellStyle name="输入 2 10 11 7 3" xfId="43422"/>
    <cellStyle name="输入 2 10 11 7 3 2" xfId="43423"/>
    <cellStyle name="输入 2 10 11 7 4 2" xfId="43424"/>
    <cellStyle name="输入 2 10 11 7 5 2" xfId="43425"/>
    <cellStyle name="输入 2 10 11 7 6" xfId="43426"/>
    <cellStyle name="输入 2 10 11 8" xfId="43427"/>
    <cellStyle name="注释 2 11 8 5 4 2" xfId="43428"/>
    <cellStyle name="输入 2 10 11 8 2" xfId="43429"/>
    <cellStyle name="输入 2 10 11 8 2 2" xfId="43430"/>
    <cellStyle name="输入 2 10 11 8 3" xfId="43431"/>
    <cellStyle name="输入 2 10 11 8 3 2" xfId="43432"/>
    <cellStyle name="输入 2 10 11 8 4 2" xfId="43433"/>
    <cellStyle name="输入 2 10 11 8 5" xfId="43434"/>
    <cellStyle name="输入 2 10 11 9" xfId="43435"/>
    <cellStyle name="输入 2 10 11 9 2" xfId="43436"/>
    <cellStyle name="输入 2 10 12 2" xfId="43437"/>
    <cellStyle name="输入 2 10 12 3" xfId="43438"/>
    <cellStyle name="输入 2 10 12 4" xfId="43439"/>
    <cellStyle name="输入 2 10 12 6" xfId="43440"/>
    <cellStyle name="输入 2 10 12 7" xfId="43441"/>
    <cellStyle name="输入 2 10 12 8" xfId="43442"/>
    <cellStyle name="注释 2 11 8 5 5 2" xfId="43443"/>
    <cellStyle name="输入 2 10 12 9" xfId="43444"/>
    <cellStyle name="输入 2 10 13" xfId="43445"/>
    <cellStyle name="输入 2 10 13 2" xfId="43446"/>
    <cellStyle name="输入 2 10 13 3" xfId="43447"/>
    <cellStyle name="输入 2 10 13 4" xfId="43448"/>
    <cellStyle name="输入 2 10 13 5" xfId="43449"/>
    <cellStyle name="输入 2 10 13 6" xfId="43450"/>
    <cellStyle name="输入 2 10 14" xfId="43451"/>
    <cellStyle name="注释 2 5 8 2 3 2" xfId="43452"/>
    <cellStyle name="输入 2 10 14 2" xfId="43453"/>
    <cellStyle name="输入 2 10 14 3" xfId="43454"/>
    <cellStyle name="输入 2 10 14 4" xfId="43455"/>
    <cellStyle name="输入 2 10 14 5" xfId="43456"/>
    <cellStyle name="输入 2 10 14 6" xfId="43457"/>
    <cellStyle name="输入 2 10 15" xfId="43458"/>
    <cellStyle name="输入 2 10 20" xfId="43459"/>
    <cellStyle name="注释 2 12 2 7 3 2" xfId="43460"/>
    <cellStyle name="输入 2 10 15 2" xfId="43461"/>
    <cellStyle name="输入 2 10 20 2" xfId="43462"/>
    <cellStyle name="输入 2 10 15 3" xfId="43463"/>
    <cellStyle name="输入 2 10 15 4" xfId="43464"/>
    <cellStyle name="输入 2 10 15 5" xfId="43465"/>
    <cellStyle name="输入 2 10 15 6" xfId="43466"/>
    <cellStyle name="输入 2 10 16" xfId="43467"/>
    <cellStyle name="输入 2 10 21" xfId="43468"/>
    <cellStyle name="输入 2 4 10 4 5 2" xfId="43469"/>
    <cellStyle name="输入 2 10 16 2" xfId="43470"/>
    <cellStyle name="输入 2 10 21 2" xfId="43471"/>
    <cellStyle name="输入 2 11 9 2 5" xfId="43472"/>
    <cellStyle name="输入 2 10 16 3" xfId="43473"/>
    <cellStyle name="输入 2 11 9 2 6" xfId="43474"/>
    <cellStyle name="输入 2 10 16 4" xfId="43475"/>
    <cellStyle name="输入 2 11 9 2 7" xfId="43476"/>
    <cellStyle name="输入 2 10 16 5" xfId="43477"/>
    <cellStyle name="输入 2 11 9 2 8" xfId="43478"/>
    <cellStyle name="输入 2 10 16 6" xfId="43479"/>
    <cellStyle name="输入 2 11 9 2 9" xfId="43480"/>
    <cellStyle name="注释 2 7 6 3 2 2" xfId="43481"/>
    <cellStyle name="输入 2 10 17" xfId="43482"/>
    <cellStyle name="输入 2 10 22" xfId="43483"/>
    <cellStyle name="输入 2 10 17 2" xfId="43484"/>
    <cellStyle name="输入 2 10 22 2" xfId="43485"/>
    <cellStyle name="输入 2 11 9 3 5" xfId="43486"/>
    <cellStyle name="输入 2 10 17 3" xfId="43487"/>
    <cellStyle name="输入 2 11 9 3 6" xfId="43488"/>
    <cellStyle name="输入 2 10 17 4" xfId="43489"/>
    <cellStyle name="输入 2 10 17 5" xfId="43490"/>
    <cellStyle name="输入 2 10 17 6" xfId="43491"/>
    <cellStyle name="注释 2 7 6 3 3 2" xfId="43492"/>
    <cellStyle name="输入 2 10 18" xfId="43493"/>
    <cellStyle name="输入 2 10 23" xfId="43494"/>
    <cellStyle name="输入 2 10 18 4" xfId="43495"/>
    <cellStyle name="输入 2 10 18 5" xfId="43496"/>
    <cellStyle name="输入 2 10 18 6" xfId="43497"/>
    <cellStyle name="注释 2 7 6 3 4 2" xfId="43498"/>
    <cellStyle name="输入 2 10 19" xfId="43499"/>
    <cellStyle name="输入 2 10 24" xfId="43500"/>
    <cellStyle name="输入 2 10 19 4" xfId="43501"/>
    <cellStyle name="输入 2 10 19 4 2" xfId="43502"/>
    <cellStyle name="输入 2 5 5 5 6" xfId="43503"/>
    <cellStyle name="输入 2 10 19 5" xfId="43504"/>
    <cellStyle name="输入 2 10 2" xfId="43505"/>
    <cellStyle name="输入 2 10 2 12" xfId="43506"/>
    <cellStyle name="输入 2 10 2 13" xfId="43507"/>
    <cellStyle name="输入 2 10 2 14" xfId="43508"/>
    <cellStyle name="输入 2 10 2 15" xfId="43509"/>
    <cellStyle name="输入 2 10 2 16" xfId="43510"/>
    <cellStyle name="输入 2 10 2 2" xfId="43511"/>
    <cellStyle name="输入 2 10 2 2 2" xfId="43512"/>
    <cellStyle name="注释 2 11 7 8" xfId="43513"/>
    <cellStyle name="输入 2 10 2 2 2 2" xfId="43514"/>
    <cellStyle name="注释 2 11 7 8 2" xfId="43515"/>
    <cellStyle name="输入 2 10 2 2 3" xfId="43516"/>
    <cellStyle name="注释 2 11 7 9" xfId="43517"/>
    <cellStyle name="注释 2 2 8 5 5 2" xfId="43518"/>
    <cellStyle name="输入 2 10 2 2 4" xfId="43519"/>
    <cellStyle name="输入 2 10 2 2 5" xfId="43520"/>
    <cellStyle name="输入 2 10 2 2 6" xfId="43521"/>
    <cellStyle name="输入 2 10 2 2 7" xfId="43522"/>
    <cellStyle name="注释 2 8 9 5 2 2" xfId="43523"/>
    <cellStyle name="输入 2 10 2 2 9" xfId="43524"/>
    <cellStyle name="输入 2 10 2 3 4" xfId="43525"/>
    <cellStyle name="输入 2 10 2 3 5" xfId="43526"/>
    <cellStyle name="输入 2 10 2 3 6" xfId="43527"/>
    <cellStyle name="输入 2 10 2 4 4" xfId="43528"/>
    <cellStyle name="输入 2 10 2 4 5" xfId="43529"/>
    <cellStyle name="输入 2 10 2 4 6" xfId="43530"/>
    <cellStyle name="输入 2 10 2 5 3 2" xfId="43531"/>
    <cellStyle name="输入 2 10 2 5 4" xfId="43532"/>
    <cellStyle name="输入 2 10 2 5 4 2" xfId="43533"/>
    <cellStyle name="输入 2 10 2 5 5 2" xfId="43534"/>
    <cellStyle name="输入 2 10 2 5 6" xfId="43535"/>
    <cellStyle name="输入 2 10 2 6 3 2" xfId="43536"/>
    <cellStyle name="输入 2 10 2 6 4" xfId="43537"/>
    <cellStyle name="输入 2 10 2 6 4 2" xfId="43538"/>
    <cellStyle name="输入 2 10 2 6 5 2" xfId="43539"/>
    <cellStyle name="输入 2 10 2 7 2" xfId="43540"/>
    <cellStyle name="输入 2 10 2 7 2 2" xfId="43541"/>
    <cellStyle name="输入 2 10 2 7 3" xfId="43542"/>
    <cellStyle name="输入 2 10 2 7 3 2" xfId="43543"/>
    <cellStyle name="输入 2 10 2 7 4" xfId="43544"/>
    <cellStyle name="输入 2 10 2 7 4 2" xfId="43545"/>
    <cellStyle name="输入 2 10 2 7 5 2" xfId="43546"/>
    <cellStyle name="输入 2 10 2 8" xfId="43547"/>
    <cellStyle name="输入 2 10 2 8 2" xfId="43548"/>
    <cellStyle name="输入 2 10 2 8 2 2" xfId="43549"/>
    <cellStyle name="输入 2 10 2 8 3" xfId="43550"/>
    <cellStyle name="输入 2 10 2 8 3 2" xfId="43551"/>
    <cellStyle name="输入 2 10 2 8 4" xfId="43552"/>
    <cellStyle name="输入 2 10 2 8 4 2" xfId="43553"/>
    <cellStyle name="注释 2 2 2 2 9" xfId="43554"/>
    <cellStyle name="输入 2 10 2 8 5" xfId="43555"/>
    <cellStyle name="输入 2 10 2 9" xfId="43556"/>
    <cellStyle name="输入 2 10 2 9 2" xfId="43557"/>
    <cellStyle name="输入 2 10 3" xfId="43558"/>
    <cellStyle name="输入 2 4 11 2 2 2" xfId="43559"/>
    <cellStyle name="输入 2 10 3 10" xfId="43560"/>
    <cellStyle name="注释 2 9 2 6 4 2" xfId="43561"/>
    <cellStyle name="输入 2 10 3 10 2" xfId="43562"/>
    <cellStyle name="输入 2 10 3 11" xfId="43563"/>
    <cellStyle name="输入 2 10 3 11 2" xfId="43564"/>
    <cellStyle name="输入 2 10 3 12 2" xfId="43565"/>
    <cellStyle name="输入 2 10 3 13" xfId="43566"/>
    <cellStyle name="输入 2 10 3 14" xfId="43567"/>
    <cellStyle name="输入 2 10 3 15" xfId="43568"/>
    <cellStyle name="注释 2 7 7 4 2" xfId="43569"/>
    <cellStyle name="输入 2 10 3 2" xfId="43570"/>
    <cellStyle name="输入 2 10 3 2 2" xfId="43571"/>
    <cellStyle name="注释 2 12 7 8" xfId="43572"/>
    <cellStyle name="输入 2 10 3 2 2 2" xfId="43573"/>
    <cellStyle name="注释 2 12 7 8 2" xfId="43574"/>
    <cellStyle name="输入 2 10 3 2 3" xfId="43575"/>
    <cellStyle name="注释 2 12 7 9" xfId="43576"/>
    <cellStyle name="注释 2 2 8 6 5 2" xfId="43577"/>
    <cellStyle name="输入 2 10 3 2 4" xfId="43578"/>
    <cellStyle name="注释 2 4 3 10" xfId="43579"/>
    <cellStyle name="输入 2 10 3 2 5" xfId="43580"/>
    <cellStyle name="注释 2 4 3 11" xfId="43581"/>
    <cellStyle name="输入 2 10 3 2 6" xfId="43582"/>
    <cellStyle name="注释 2 4 3 12" xfId="43583"/>
    <cellStyle name="输入 2 10 3 2 7" xfId="43584"/>
    <cellStyle name="注释 2 4 3 13" xfId="43585"/>
    <cellStyle name="注释 2 8 9 6 2 2" xfId="43586"/>
    <cellStyle name="输入 2 10 3 2 9" xfId="43587"/>
    <cellStyle name="注释 2 4 3 15" xfId="43588"/>
    <cellStyle name="输入 2 10 3 3 2 2" xfId="43589"/>
    <cellStyle name="注释 2 12 8 8 2" xfId="43590"/>
    <cellStyle name="输入 2 10 3 3 4" xfId="43591"/>
    <cellStyle name="输入 2 10 3 3 5" xfId="43592"/>
    <cellStyle name="输入 2 10 3 3 6" xfId="43593"/>
    <cellStyle name="输入 2 10 3 4 2 2" xfId="43594"/>
    <cellStyle name="注释 2 12 9 8 2" xfId="43595"/>
    <cellStyle name="输入 2 10 3 4 4" xfId="43596"/>
    <cellStyle name="输入 2 10 3 4 5" xfId="43597"/>
    <cellStyle name="输入 2 10 3 4 6" xfId="43598"/>
    <cellStyle name="输入 2 10 3 5 2 2" xfId="43599"/>
    <cellStyle name="注释 2 4 10 8 2" xfId="43600"/>
    <cellStyle name="输入 2 10 3 5 3 2" xfId="43601"/>
    <cellStyle name="注释 2 4 10 9 2" xfId="43602"/>
    <cellStyle name="输入 2 10 3 5 4" xfId="43603"/>
    <cellStyle name="输入 2 10 3 5 4 2" xfId="43604"/>
    <cellStyle name="输入 2 10 3 5 5" xfId="43605"/>
    <cellStyle name="输入 2 10 3 5 5 2" xfId="43606"/>
    <cellStyle name="输入 2 10 3 5 6" xfId="43607"/>
    <cellStyle name="输入 2 10 3 6 2" xfId="43608"/>
    <cellStyle name="注释 2 4 11 8" xfId="43609"/>
    <cellStyle name="输入 2 10 3 6 2 2" xfId="43610"/>
    <cellStyle name="注释 2 4 11 8 2" xfId="43611"/>
    <cellStyle name="输入 2 10 3 6 3" xfId="43612"/>
    <cellStyle name="注释 2 4 11 9" xfId="43613"/>
    <cellStyle name="输入 2 10 3 6 3 2" xfId="43614"/>
    <cellStyle name="注释 2 4 11 9 2" xfId="43615"/>
    <cellStyle name="输入 2 10 3 6 4" xfId="43616"/>
    <cellStyle name="输入 2 10 3 6 5" xfId="43617"/>
    <cellStyle name="输入 2 10 3 7" xfId="43618"/>
    <cellStyle name="输入 2 10 3 7 2" xfId="43619"/>
    <cellStyle name="注释 2 4 12 8" xfId="43620"/>
    <cellStyle name="输入 2 10 3 7 2 2" xfId="43621"/>
    <cellStyle name="输入 2 10 3 7 3" xfId="43622"/>
    <cellStyle name="注释 2 4 12 9" xfId="43623"/>
    <cellStyle name="输入 2 10 3 7 3 2" xfId="43624"/>
    <cellStyle name="输入 2 10 3 7 4" xfId="43625"/>
    <cellStyle name="注释 2 4 4 10" xfId="43626"/>
    <cellStyle name="输入 2 10 3 7 5" xfId="43627"/>
    <cellStyle name="注释 2 4 4 11" xfId="43628"/>
    <cellStyle name="输入 2 10 3 8" xfId="43629"/>
    <cellStyle name="输入 2 10 3 8 2" xfId="43630"/>
    <cellStyle name="输入 2 10 3 8 2 2" xfId="43631"/>
    <cellStyle name="输入 2 10 3 8 3" xfId="43632"/>
    <cellStyle name="输入 2 10 3 8 3 2" xfId="43633"/>
    <cellStyle name="输入 2 10 3 8 4" xfId="43634"/>
    <cellStyle name="输入 2 10 3 8 4 2" xfId="43635"/>
    <cellStyle name="注释 2 3 2 2 9" xfId="43636"/>
    <cellStyle name="输入 2 10 3 8 5" xfId="43637"/>
    <cellStyle name="输入 2 10 3 9" xfId="43638"/>
    <cellStyle name="输入 2 10 4" xfId="43639"/>
    <cellStyle name="输入 2 10 4 10" xfId="43640"/>
    <cellStyle name="输入 2 10 4 10 2" xfId="43641"/>
    <cellStyle name="输入 2 10 4 11" xfId="43642"/>
    <cellStyle name="注释 2 10" xfId="43643"/>
    <cellStyle name="注释 2 2 5 7 5 2" xfId="43644"/>
    <cellStyle name="输入 2 10 4 11 2" xfId="43645"/>
    <cellStyle name="注释 2 10 2" xfId="43646"/>
    <cellStyle name="输入 2 10 4 12" xfId="43647"/>
    <cellStyle name="注释 2 11" xfId="43648"/>
    <cellStyle name="输入 2 10 4 12 2" xfId="43649"/>
    <cellStyle name="注释 2 11 2" xfId="43650"/>
    <cellStyle name="输入 2 10 4 13" xfId="43651"/>
    <cellStyle name="注释 2 12" xfId="43652"/>
    <cellStyle name="输入 2 10 4 14" xfId="43653"/>
    <cellStyle name="注释 2 13" xfId="43654"/>
    <cellStyle name="输入 2 10 4 15" xfId="43655"/>
    <cellStyle name="注释 2 14" xfId="43656"/>
    <cellStyle name="注释 2 7 7 9 2" xfId="43657"/>
    <cellStyle name="注释 2 8 6 7 2 2" xfId="43658"/>
    <cellStyle name="输入 2 10 4 2" xfId="43659"/>
    <cellStyle name="输入 2 10 4 2 2" xfId="43660"/>
    <cellStyle name="输入 2 10 4 2 2 2" xfId="43661"/>
    <cellStyle name="输入 2 10 4 2 3" xfId="43662"/>
    <cellStyle name="注释 2 2 8 7 5 2" xfId="43663"/>
    <cellStyle name="输入 2 10 4 2 4" xfId="43664"/>
    <cellStyle name="注释 2 4 8 10" xfId="43665"/>
    <cellStyle name="输入 2 10 4 2 5" xfId="43666"/>
    <cellStyle name="注释 2 4 8 11" xfId="43667"/>
    <cellStyle name="输入 2 10 4 2 7" xfId="43668"/>
    <cellStyle name="注释 2 2 2" xfId="43669"/>
    <cellStyle name="注释 2 4 8 13" xfId="43670"/>
    <cellStyle name="注释 2 8 9 7 2 2" xfId="43671"/>
    <cellStyle name="输入 2 10 4 2 8" xfId="43672"/>
    <cellStyle name="注释 2 2 3" xfId="43673"/>
    <cellStyle name="注释 2 4 8 14" xfId="43674"/>
    <cellStyle name="输入 2 10 4 2 9" xfId="43675"/>
    <cellStyle name="注释 2 2 4" xfId="43676"/>
    <cellStyle name="注释 2 4 8 15" xfId="43677"/>
    <cellStyle name="输入 2 10 4 3 2" xfId="43678"/>
    <cellStyle name="输入 2 9 3 15" xfId="43679"/>
    <cellStyle name="输入 2 10 4 3 2 2" xfId="43680"/>
    <cellStyle name="输入 2 10 4 3 3" xfId="43681"/>
    <cellStyle name="输入 2 9 3 16" xfId="43682"/>
    <cellStyle name="输入 2 10 4 3 4" xfId="43683"/>
    <cellStyle name="输入 2 10 4 3 5" xfId="43684"/>
    <cellStyle name="输入 2 10 4 3 6" xfId="43685"/>
    <cellStyle name="输入 2 10 4 4" xfId="43686"/>
    <cellStyle name="输入 2 10 4 4 2" xfId="43687"/>
    <cellStyle name="输入 2 10 4 4 2 2" xfId="43688"/>
    <cellStyle name="输入 2 10 4 4 3" xfId="43689"/>
    <cellStyle name="输入 2 10 4 4 4" xfId="43690"/>
    <cellStyle name="输入 2 10 4 4 5" xfId="43691"/>
    <cellStyle name="输入 2 10 4 4 6" xfId="43692"/>
    <cellStyle name="输入 2 10 4 5" xfId="43693"/>
    <cellStyle name="输入 2 10 4 5 2" xfId="43694"/>
    <cellStyle name="输入 2 10 4 5 2 2" xfId="43695"/>
    <cellStyle name="输入 2 10 4 5 3" xfId="43696"/>
    <cellStyle name="输入 2 10 4 5 3 2" xfId="43697"/>
    <cellStyle name="输入 2 10 4 5 4" xfId="43698"/>
    <cellStyle name="输入 2 10 4 5 4 2" xfId="43699"/>
    <cellStyle name="输入 2 10 4 5 5" xfId="43700"/>
    <cellStyle name="输入 2 10 4 5 5 2" xfId="43701"/>
    <cellStyle name="输入 2 10 4 5 6" xfId="43702"/>
    <cellStyle name="输入 2 10 4 6" xfId="43703"/>
    <cellStyle name="输入 2 10 4 6 2" xfId="43704"/>
    <cellStyle name="输入 2 10 4 6 2 2" xfId="43705"/>
    <cellStyle name="输入 2 10 4 6 3" xfId="43706"/>
    <cellStyle name="输入 2 10 4 6 3 2" xfId="43707"/>
    <cellStyle name="输入 2 10 4 6 4" xfId="43708"/>
    <cellStyle name="输入 2 10 4 6 4 2" xfId="43709"/>
    <cellStyle name="输入 2 10 4 6 6" xfId="43710"/>
    <cellStyle name="输入 2 10 4 7" xfId="43711"/>
    <cellStyle name="输入 2 10 4 7 2" xfId="43712"/>
    <cellStyle name="输入 2 10 4 7 2 2" xfId="43713"/>
    <cellStyle name="输入 2 10 4 7 3" xfId="43714"/>
    <cellStyle name="输入 2 10 4 7 3 2" xfId="43715"/>
    <cellStyle name="输入 2 10 4 7 4" xfId="43716"/>
    <cellStyle name="注释 2 4 9 10" xfId="43717"/>
    <cellStyle name="输入 2 10 4 7 4 2" xfId="43718"/>
    <cellStyle name="注释 2 4 9 10 2" xfId="43719"/>
    <cellStyle name="输入 2 10 4 7 6" xfId="43720"/>
    <cellStyle name="注释 2 4 9 12" xfId="43721"/>
    <cellStyle name="输入 2 10 4 8" xfId="43722"/>
    <cellStyle name="输入 2 10 4 8 2" xfId="43723"/>
    <cellStyle name="输入 2 9 4 15" xfId="43724"/>
    <cellStyle name="输入 2 10 4 8 2 2" xfId="43725"/>
    <cellStyle name="输入 2 10 4 8 3" xfId="43726"/>
    <cellStyle name="输入 2 9 4 16" xfId="43727"/>
    <cellStyle name="输入 2 10 4 8 3 2" xfId="43728"/>
    <cellStyle name="输入 2 10 4 8 4" xfId="43729"/>
    <cellStyle name="输入 2 10 4 8 4 2" xfId="43730"/>
    <cellStyle name="注释 2 4 2 2 9" xfId="43731"/>
    <cellStyle name="输入 2 10 4 9" xfId="43732"/>
    <cellStyle name="输入 2 10 5 10" xfId="43733"/>
    <cellStyle name="输入 2 10 5 10 2" xfId="43734"/>
    <cellStyle name="输入 2 10 5 11" xfId="43735"/>
    <cellStyle name="输入 2 10 5 11 2" xfId="43736"/>
    <cellStyle name="输入 2 10 5 12" xfId="43737"/>
    <cellStyle name="输入 2 10 5 12 2" xfId="43738"/>
    <cellStyle name="输入 2 10 5 13" xfId="43739"/>
    <cellStyle name="输入 2 10 5 14" xfId="43740"/>
    <cellStyle name="输入 2 10 5 15" xfId="43741"/>
    <cellStyle name="输入 2 10 5 16" xfId="43742"/>
    <cellStyle name="输入 2 10 5 2" xfId="43743"/>
    <cellStyle name="输入 2 10 5 2 2" xfId="43744"/>
    <cellStyle name="输入 2 10 5 2 3" xfId="43745"/>
    <cellStyle name="输入 2 10 5 2 4" xfId="43746"/>
    <cellStyle name="输入 2 10 5 2 6" xfId="43747"/>
    <cellStyle name="输入 2 10 5 2 7" xfId="43748"/>
    <cellStyle name="注释 2 8 9 8 2 2" xfId="43749"/>
    <cellStyle name="输入 2 10 5 2 8" xfId="43750"/>
    <cellStyle name="输入 2 10 5 2 9" xfId="43751"/>
    <cellStyle name="输入 2 10 5 3" xfId="43752"/>
    <cellStyle name="输入 2 10 5 3 2" xfId="43753"/>
    <cellStyle name="输入 2 9 8 15" xfId="43754"/>
    <cellStyle name="输入 2 10 5 3 2 2" xfId="43755"/>
    <cellStyle name="输入 2 10 5 3 3" xfId="43756"/>
    <cellStyle name="输入 2 9 8 16" xfId="43757"/>
    <cellStyle name="输入 2 10 5 3 4" xfId="43758"/>
    <cellStyle name="输入 2 10 5 3 5" xfId="43759"/>
    <cellStyle name="输入 2 10 5 3 6" xfId="43760"/>
    <cellStyle name="输入 2 10 5 4" xfId="43761"/>
    <cellStyle name="输入 2 10 5 4 2" xfId="43762"/>
    <cellStyle name="输入 2 10 5 4 2 2" xfId="43763"/>
    <cellStyle name="输入 2 10 5 4 3" xfId="43764"/>
    <cellStyle name="输入 2 10 5 4 4" xfId="43765"/>
    <cellStyle name="输入 2 10 5 4 5" xfId="43766"/>
    <cellStyle name="输入 2 10 5 4 6" xfId="43767"/>
    <cellStyle name="输入 2 10 5 5" xfId="43768"/>
    <cellStyle name="输入 2 10 5 5 2" xfId="43769"/>
    <cellStyle name="输入 2 10 5 5 2 2" xfId="43770"/>
    <cellStyle name="输入 2 10 5 5 3" xfId="43771"/>
    <cellStyle name="输入 2 10 5 5 3 2" xfId="43772"/>
    <cellStyle name="输入 2 10 5 5 4" xfId="43773"/>
    <cellStyle name="输入 2 10 5 5 4 2" xfId="43774"/>
    <cellStyle name="输入 2 10 5 5 5" xfId="43775"/>
    <cellStyle name="输入 2 10 5 5 5 2" xfId="43776"/>
    <cellStyle name="输入 2 10 5 5 6" xfId="43777"/>
    <cellStyle name="输入 2 10 5 6" xfId="43778"/>
    <cellStyle name="输入 2 10 5 7" xfId="43779"/>
    <cellStyle name="输入 2 10 5 7 2" xfId="43780"/>
    <cellStyle name="注释 2 6 10 11" xfId="43781"/>
    <cellStyle name="输入 2 10 5 7 2 2" xfId="43782"/>
    <cellStyle name="注释 2 6 10 11 2" xfId="43783"/>
    <cellStyle name="输入 2 10 5 7 3" xfId="43784"/>
    <cellStyle name="注释 2 6 10 12" xfId="43785"/>
    <cellStyle name="输入 2 10 5 7 3 2" xfId="43786"/>
    <cellStyle name="注释 2 6 10 12 2" xfId="43787"/>
    <cellStyle name="输入 2 10 5 7 4" xfId="43788"/>
    <cellStyle name="注释 2 6 10 13" xfId="43789"/>
    <cellStyle name="输入 2 10 5 7 4 2" xfId="43790"/>
    <cellStyle name="输入 2 10 5 7 5 2" xfId="43791"/>
    <cellStyle name="输入 2 10 5 7 6" xfId="43792"/>
    <cellStyle name="注释 2 6 10 15" xfId="43793"/>
    <cellStyle name="输入 2 10 5 8" xfId="43794"/>
    <cellStyle name="注释 2 9 10 6 2 2" xfId="43795"/>
    <cellStyle name="输入 2 10 5 8 2" xfId="43796"/>
    <cellStyle name="输入 2 9 9 15" xfId="43797"/>
    <cellStyle name="输入 2 10 5 8 2 2" xfId="43798"/>
    <cellStyle name="输入 2 10 5 8 3" xfId="43799"/>
    <cellStyle name="输入 2 9 9 16" xfId="43800"/>
    <cellStyle name="输入 2 10 5 8 3 2" xfId="43801"/>
    <cellStyle name="输入 2 10 5 8 4" xfId="43802"/>
    <cellStyle name="输入 2 10 5 8 4 2" xfId="43803"/>
    <cellStyle name="注释 2 5 2 2 9" xfId="43804"/>
    <cellStyle name="输入 2 10 5 9" xfId="43805"/>
    <cellStyle name="输入 2 10 6 15" xfId="43806"/>
    <cellStyle name="输入 2 10 6 16" xfId="43807"/>
    <cellStyle name="输入 2 10 6 2" xfId="43808"/>
    <cellStyle name="输入 2 10 6 2 5" xfId="43809"/>
    <cellStyle name="输入 2 10 6 2 6" xfId="43810"/>
    <cellStyle name="注释 2 8 10 6 2" xfId="43811"/>
    <cellStyle name="输入 2 10 6 2 7" xfId="43812"/>
    <cellStyle name="注释 2 8 10 6 3" xfId="43813"/>
    <cellStyle name="输入 2 10 6 2 8" xfId="43814"/>
    <cellStyle name="注释 2 8 10 6 4" xfId="43815"/>
    <cellStyle name="输入 2 10 6 2 9" xfId="43816"/>
    <cellStyle name="注释 2 8 10 6 5" xfId="43817"/>
    <cellStyle name="输入 2 10 6 3" xfId="43818"/>
    <cellStyle name="输入 2 10 6 3 5" xfId="43819"/>
    <cellStyle name="输入 2 10 6 3 5 2" xfId="43820"/>
    <cellStyle name="输入 2 10 6 3 6" xfId="43821"/>
    <cellStyle name="注释 2 8 10 7 2" xfId="43822"/>
    <cellStyle name="输入 2 10 6 4" xfId="43823"/>
    <cellStyle name="输入 2 10 6 4 5" xfId="43824"/>
    <cellStyle name="输入 2 10 6 4 5 2" xfId="43825"/>
    <cellStyle name="输入 2 8 6 13" xfId="43826"/>
    <cellStyle name="输入 2 10 6 4 6" xfId="43827"/>
    <cellStyle name="注释 2 8 10 8 2" xfId="43828"/>
    <cellStyle name="输入 2 10 6 5" xfId="43829"/>
    <cellStyle name="输入 2 10 6 5 5" xfId="43830"/>
    <cellStyle name="输入 2 10 6 5 5 2" xfId="43831"/>
    <cellStyle name="输入 2 10 6 5 6" xfId="43832"/>
    <cellStyle name="注释 2 8 10 9 2" xfId="43833"/>
    <cellStyle name="输入 2 10 6 6" xfId="43834"/>
    <cellStyle name="输入 2 10 6 7" xfId="43835"/>
    <cellStyle name="输入 2 10 6 7 5 2" xfId="43836"/>
    <cellStyle name="输入 2 10 6 7 6" xfId="43837"/>
    <cellStyle name="输入 2 10 6 8" xfId="43838"/>
    <cellStyle name="注释 2 9 10 6 3 2" xfId="43839"/>
    <cellStyle name="输入 2 10 6 9" xfId="43840"/>
    <cellStyle name="输入 2 10 7" xfId="43841"/>
    <cellStyle name="输入 2 10 7 10 2" xfId="43842"/>
    <cellStyle name="输入 2 10 7 11 2" xfId="43843"/>
    <cellStyle name="输入 2 10 7 12" xfId="43844"/>
    <cellStyle name="输入 2 10 7 12 2" xfId="43845"/>
    <cellStyle name="输入 2 3 8 11" xfId="43846"/>
    <cellStyle name="输入 2 10 7 13" xfId="43847"/>
    <cellStyle name="输入 2 10 7 14" xfId="43848"/>
    <cellStyle name="输入 2 3 10 12 2" xfId="43849"/>
    <cellStyle name="输入 2 10 7 15" xfId="43850"/>
    <cellStyle name="输入 2 10 7 16" xfId="43851"/>
    <cellStyle name="输入 2 10 7 2" xfId="43852"/>
    <cellStyle name="输入 2 10 7 2 2" xfId="43853"/>
    <cellStyle name="输入 2 10 7 2 3" xfId="43854"/>
    <cellStyle name="输入 2 10 7 2 4" xfId="43855"/>
    <cellStyle name="输入 2 10 7 2 5" xfId="43856"/>
    <cellStyle name="输入 2 10 7 2 6" xfId="43857"/>
    <cellStyle name="注释 2 8 11 6 2" xfId="43858"/>
    <cellStyle name="输入 2 10 7 2 7" xfId="43859"/>
    <cellStyle name="注释 2 8 11 6 3" xfId="43860"/>
    <cellStyle name="输入 2 10 7 2 8" xfId="43861"/>
    <cellStyle name="注释 2 8 11 6 4" xfId="43862"/>
    <cellStyle name="输入 2 10 7 2 9" xfId="43863"/>
    <cellStyle name="注释 2 8 11 6 5" xfId="43864"/>
    <cellStyle name="输入 2 10 7 3" xfId="43865"/>
    <cellStyle name="输入 2 10 7 3 2" xfId="43866"/>
    <cellStyle name="输入 2 10 7 3 3" xfId="43867"/>
    <cellStyle name="输入 2 10 7 3 4" xfId="43868"/>
    <cellStyle name="输入 2 10 7 3 5" xfId="43869"/>
    <cellStyle name="输入 2 10 7 3 6" xfId="43870"/>
    <cellStyle name="注释 2 8 11 7 2" xfId="43871"/>
    <cellStyle name="输入 2 10 7 4 2" xfId="43872"/>
    <cellStyle name="输入 2 10 7 4 3" xfId="43873"/>
    <cellStyle name="输入 2 10 7 4 4" xfId="43874"/>
    <cellStyle name="输入 2 10 7 4 5" xfId="43875"/>
    <cellStyle name="输入 2 10 7 4 6" xfId="43876"/>
    <cellStyle name="注释 2 8 11 8 2" xfId="43877"/>
    <cellStyle name="输入 2 10 7 5 2" xfId="43878"/>
    <cellStyle name="输入 2 10 7 5 2 2" xfId="43879"/>
    <cellStyle name="输入 2 10 7 5 3" xfId="43880"/>
    <cellStyle name="输入 2 10 7 5 3 2" xfId="43881"/>
    <cellStyle name="输入 2 10 7 5 4" xfId="43882"/>
    <cellStyle name="输入 2 10 7 5 4 2" xfId="43883"/>
    <cellStyle name="输入 2 10 7 5 5" xfId="43884"/>
    <cellStyle name="输入 2 10 7 5 5 2" xfId="43885"/>
    <cellStyle name="输入 2 10 7 5 6" xfId="43886"/>
    <cellStyle name="注释 2 8 11 9 2" xfId="43887"/>
    <cellStyle name="输入 2 10 7 6" xfId="43888"/>
    <cellStyle name="输入 2 10 7 6 2" xfId="43889"/>
    <cellStyle name="输入 2 10 7 6 3" xfId="43890"/>
    <cellStyle name="输入 2 10 7 6 4" xfId="43891"/>
    <cellStyle name="输入 2 10 7 6 6" xfId="43892"/>
    <cellStyle name="输入 2 10 7 7" xfId="43893"/>
    <cellStyle name="输入 2 10 7 7 2" xfId="43894"/>
    <cellStyle name="输入 2 10 7 7 2 2" xfId="43895"/>
    <cellStyle name="输入 2 10 7 7 3" xfId="43896"/>
    <cellStyle name="输入 2 10 7 7 3 2" xfId="43897"/>
    <cellStyle name="输入 2 10 7 7 4" xfId="43898"/>
    <cellStyle name="输入 2 10 7 7 4 2" xfId="43899"/>
    <cellStyle name="输入 2 10 7 7 6" xfId="43900"/>
    <cellStyle name="输入 2 10 7 8" xfId="43901"/>
    <cellStyle name="注释 2 9 10 6 4 2" xfId="43902"/>
    <cellStyle name="输入 2 10 7 8 2" xfId="43903"/>
    <cellStyle name="输入 2 10 7 8 2 2" xfId="43904"/>
    <cellStyle name="输入 2 10 7 8 3" xfId="43905"/>
    <cellStyle name="输入 2 10 7 8 3 2" xfId="43906"/>
    <cellStyle name="输入 2 10 7 8 4" xfId="43907"/>
    <cellStyle name="输入 2 10 7 8 4 2" xfId="43908"/>
    <cellStyle name="注释 2 7 2 2 9" xfId="43909"/>
    <cellStyle name="输入 2 10 7 9" xfId="43910"/>
    <cellStyle name="输入 2 10 8" xfId="43911"/>
    <cellStyle name="输入 2 10 8 10" xfId="43912"/>
    <cellStyle name="注释 2 9 2 7 4 2" xfId="43913"/>
    <cellStyle name="输入 2 10 8 10 2" xfId="43914"/>
    <cellStyle name="输入 2 10 8 11" xfId="43915"/>
    <cellStyle name="输入 2 10 8 11 2" xfId="43916"/>
    <cellStyle name="输入 2 10 8 12 2" xfId="43917"/>
    <cellStyle name="输入 2 4 8 11" xfId="43918"/>
    <cellStyle name="输入 2 10 8 13" xfId="43919"/>
    <cellStyle name="输入 2 10 8 2" xfId="43920"/>
    <cellStyle name="输入 2 10 8 2 2" xfId="43921"/>
    <cellStyle name="输入 2 10 8 2 2 2" xfId="43922"/>
    <cellStyle name="输入 2 10 8 2 3" xfId="43923"/>
    <cellStyle name="输入 2 10 8 2 3 2" xfId="43924"/>
    <cellStyle name="输入 2 10 8 2 4" xfId="43925"/>
    <cellStyle name="注释 2 5 3 10" xfId="43926"/>
    <cellStyle name="输入 2 10 8 2 4 2" xfId="43927"/>
    <cellStyle name="注释 2 5 3 10 2" xfId="43928"/>
    <cellStyle name="输入 2 10 8 2 5" xfId="43929"/>
    <cellStyle name="注释 2 5 3 11" xfId="43930"/>
    <cellStyle name="输入 2 10 8 2 5 2" xfId="43931"/>
    <cellStyle name="注释 2 5 3 11 2" xfId="43932"/>
    <cellStyle name="输入 2 10 8 2 6" xfId="43933"/>
    <cellStyle name="注释 2 5 3 12" xfId="43934"/>
    <cellStyle name="输入 2 10 8 2 7" xfId="43935"/>
    <cellStyle name="注释 2 5 3 13" xfId="43936"/>
    <cellStyle name="输入 2 10 8 2 8" xfId="43937"/>
    <cellStyle name="注释 2 5 3 14" xfId="43938"/>
    <cellStyle name="输入 2 10 8 2 9" xfId="43939"/>
    <cellStyle name="注释 2 5 3 15" xfId="43940"/>
    <cellStyle name="注释 2 7 5 2 2 2" xfId="43941"/>
    <cellStyle name="输入 2 10 8 3" xfId="43942"/>
    <cellStyle name="输入 2 10 8 3 2" xfId="43943"/>
    <cellStyle name="输入 2 10 8 3 2 2" xfId="43944"/>
    <cellStyle name="输入 2 10 8 3 3" xfId="43945"/>
    <cellStyle name="输入 2 10 8 3 3 2" xfId="43946"/>
    <cellStyle name="输入 2 10 8 3 4" xfId="43947"/>
    <cellStyle name="输入 2 10 8 3 4 2" xfId="43948"/>
    <cellStyle name="输入 2 10 8 3 5" xfId="43949"/>
    <cellStyle name="输入 2 10 8 3 5 2" xfId="43950"/>
    <cellStyle name="输入 2 10 8 3 6" xfId="43951"/>
    <cellStyle name="输入 2 10 8 4 2" xfId="43952"/>
    <cellStyle name="输入 2 10 8 4 2 2" xfId="43953"/>
    <cellStyle name="输入 2 10 8 4 3" xfId="43954"/>
    <cellStyle name="输入 2 10 8 4 3 2" xfId="43955"/>
    <cellStyle name="输入 2 10 8 4 4" xfId="43956"/>
    <cellStyle name="输入 2 10 8 4 4 2" xfId="43957"/>
    <cellStyle name="输入 2 10 8 4 5" xfId="43958"/>
    <cellStyle name="输入 2 10 8 4 5 2" xfId="43959"/>
    <cellStyle name="输入 2 10 8 4 6" xfId="43960"/>
    <cellStyle name="输入 2 10 8 5 2" xfId="43961"/>
    <cellStyle name="注释 2 5 10 8" xfId="43962"/>
    <cellStyle name="输入 2 10 8 5 2 2" xfId="43963"/>
    <cellStyle name="注释 2 5 10 8 2" xfId="43964"/>
    <cellStyle name="输入 2 10 8 5 3" xfId="43965"/>
    <cellStyle name="注释 2 5 10 9" xfId="43966"/>
    <cellStyle name="输入 2 10 8 5 3 2" xfId="43967"/>
    <cellStyle name="注释 2 5 10 9 2" xfId="43968"/>
    <cellStyle name="输入 2 10 8 5 4" xfId="43969"/>
    <cellStyle name="输入 2 10 8 5 4 2" xfId="43970"/>
    <cellStyle name="输入 2 10 8 5 5" xfId="43971"/>
    <cellStyle name="输入 2 10 8 5 5 2" xfId="43972"/>
    <cellStyle name="输入 2 10 8 5 6" xfId="43973"/>
    <cellStyle name="输入 2 10 8 6" xfId="43974"/>
    <cellStyle name="输入 2 10 8 6 2" xfId="43975"/>
    <cellStyle name="注释 2 5 11 8" xfId="43976"/>
    <cellStyle name="输入 2 10 8 6 3" xfId="43977"/>
    <cellStyle name="注释 2 5 11 9" xfId="43978"/>
    <cellStyle name="输入 2 10 8 6 4" xfId="43979"/>
    <cellStyle name="输入 2 10 8 6 6" xfId="43980"/>
    <cellStyle name="注释 2 8 4 10 2" xfId="43981"/>
    <cellStyle name="输入 2 10 8 7" xfId="43982"/>
    <cellStyle name="输入 2 10 8 7 2" xfId="43983"/>
    <cellStyle name="注释 2 5 12 8" xfId="43984"/>
    <cellStyle name="输入 2 10 8 7 2 2" xfId="43985"/>
    <cellStyle name="输入 2 10 8 7 3" xfId="43986"/>
    <cellStyle name="注释 2 5 12 9" xfId="43987"/>
    <cellStyle name="输入 2 10 8 7 3 2" xfId="43988"/>
    <cellStyle name="输入 2 10 8 7 4" xfId="43989"/>
    <cellStyle name="注释 2 5 4 10" xfId="43990"/>
    <cellStyle name="输入 2 10 8 7 6" xfId="43991"/>
    <cellStyle name="注释 2 5 4 12" xfId="43992"/>
    <cellStyle name="注释 2 8 4 11 2" xfId="43993"/>
    <cellStyle name="输入 2 10 8 8" xfId="43994"/>
    <cellStyle name="注释 2 9 10 6 5 2" xfId="43995"/>
    <cellStyle name="输入 2 10 8 8 2" xfId="43996"/>
    <cellStyle name="输入 2 10 8 8 2 2" xfId="43997"/>
    <cellStyle name="输入 2 10 8 8 3" xfId="43998"/>
    <cellStyle name="输入 2 10 8 8 3 2" xfId="43999"/>
    <cellStyle name="输入 2 10 8 8 4" xfId="44000"/>
    <cellStyle name="输入 2 10 8 8 4 2" xfId="44001"/>
    <cellStyle name="注释 2 8 2 2 9" xfId="44002"/>
    <cellStyle name="输入 2 10 8 9" xfId="44003"/>
    <cellStyle name="输入 2 10 9" xfId="44004"/>
    <cellStyle name="输入 2 10 9 10" xfId="44005"/>
    <cellStyle name="输入 2 10 9 10 2" xfId="44006"/>
    <cellStyle name="输入 2 2 4 7" xfId="44007"/>
    <cellStyle name="输入 2 10 9 11" xfId="44008"/>
    <cellStyle name="输入 2 10 9 11 2" xfId="44009"/>
    <cellStyle name="输入 2 2 5 7" xfId="44010"/>
    <cellStyle name="输入 2 10 9 12" xfId="44011"/>
    <cellStyle name="输入 2 10 9 12 2" xfId="44012"/>
    <cellStyle name="输入 2 2 6 7" xfId="44013"/>
    <cellStyle name="输入 2 5 8 11" xfId="44014"/>
    <cellStyle name="输入 2 10 9 13" xfId="44015"/>
    <cellStyle name="输入 2 10 9 2" xfId="44016"/>
    <cellStyle name="输入 2 10 9 2 2" xfId="44017"/>
    <cellStyle name="输入 2 10 9 2 2 2" xfId="44018"/>
    <cellStyle name="输入 2 10 9 2 3" xfId="44019"/>
    <cellStyle name="输入 2 10 9 2 3 2" xfId="44020"/>
    <cellStyle name="输入 2 10 9 2 4 2" xfId="44021"/>
    <cellStyle name="注释 2 5 8 10 2" xfId="44022"/>
    <cellStyle name="输入 2 10 9 2 5" xfId="44023"/>
    <cellStyle name="注释 2 5 8 11" xfId="44024"/>
    <cellStyle name="输入 2 10 9 2 5 2" xfId="44025"/>
    <cellStyle name="注释 2 5 8 11 2" xfId="44026"/>
    <cellStyle name="输入 2 10 9 2 7" xfId="44027"/>
    <cellStyle name="注释 2 5 8 13" xfId="44028"/>
    <cellStyle name="输入 2 10 9 2 8" xfId="44029"/>
    <cellStyle name="注释 2 5 8 14" xfId="44030"/>
    <cellStyle name="输入 2 10 9 2 9" xfId="44031"/>
    <cellStyle name="注释 2 5 8 15" xfId="44032"/>
    <cellStyle name="注释 2 7 5 3 2 2" xfId="44033"/>
    <cellStyle name="输入 2 10 9 3" xfId="44034"/>
    <cellStyle name="输入 2 10 9 3 2" xfId="44035"/>
    <cellStyle name="输入 2 10 9 3 2 2" xfId="44036"/>
    <cellStyle name="输入 2 10 9 3 3" xfId="44037"/>
    <cellStyle name="输入 2 10 9 3 3 2" xfId="44038"/>
    <cellStyle name="输入 2 10 9 3 4" xfId="44039"/>
    <cellStyle name="输入 2 10 9 3 4 2" xfId="44040"/>
    <cellStyle name="输入 2 10 9 3 5" xfId="44041"/>
    <cellStyle name="输入 2 10 9 3 5 2" xfId="44042"/>
    <cellStyle name="输入 2 10 9 3 6" xfId="44043"/>
    <cellStyle name="输入 2 10 9 4 2" xfId="44044"/>
    <cellStyle name="输入 2 10 9 4 2 2" xfId="44045"/>
    <cellStyle name="输入 2 10 9 4 3" xfId="44046"/>
    <cellStyle name="输入 2 10 9 4 3 2" xfId="44047"/>
    <cellStyle name="输入 2 10 9 4 4" xfId="44048"/>
    <cellStyle name="输入 2 10 9 4 4 2" xfId="44049"/>
    <cellStyle name="输入 2 10 9 4 5" xfId="44050"/>
    <cellStyle name="输入 2 10 9 4 6" xfId="44051"/>
    <cellStyle name="输入 2 10 9 5 2" xfId="44052"/>
    <cellStyle name="输入 2 10 9 5 2 2" xfId="44053"/>
    <cellStyle name="输入 2 10 9 5 3" xfId="44054"/>
    <cellStyle name="输入 2 10 9 5 3 2" xfId="44055"/>
    <cellStyle name="输入 2 10 9 5 4" xfId="44056"/>
    <cellStyle name="输入 2 10 9 5 4 2" xfId="44057"/>
    <cellStyle name="输入 2 10 9 5 5" xfId="44058"/>
    <cellStyle name="输入 2 10 9 5 5 2" xfId="44059"/>
    <cellStyle name="输入 2 10 9 5 6" xfId="44060"/>
    <cellStyle name="输入 2 10 9 6" xfId="44061"/>
    <cellStyle name="输入 2 10 9 6 2" xfId="44062"/>
    <cellStyle name="输入 2 10 9 6 2 2" xfId="44063"/>
    <cellStyle name="输入 2 10 9 6 3" xfId="44064"/>
    <cellStyle name="输入 2 10 9 6 3 2" xfId="44065"/>
    <cellStyle name="输入 2 10 9 6 4" xfId="44066"/>
    <cellStyle name="输入 2 10 9 6 4 2" xfId="44067"/>
    <cellStyle name="输入 2 10 9 6 5 2" xfId="44068"/>
    <cellStyle name="输入 2 10 9 6 6" xfId="44069"/>
    <cellStyle name="输入 2 10 9 7" xfId="44070"/>
    <cellStyle name="输入 2 10 9 7 2" xfId="44071"/>
    <cellStyle name="输入 2 10 9 7 3" xfId="44072"/>
    <cellStyle name="输入 2 10 9 7 4" xfId="44073"/>
    <cellStyle name="注释 2 5 9 10" xfId="44074"/>
    <cellStyle name="输入 2 10 9 7 5 2" xfId="44075"/>
    <cellStyle name="注释 2 5 9 11 2" xfId="44076"/>
    <cellStyle name="输入 2 10 9 7 6" xfId="44077"/>
    <cellStyle name="注释 2 5 9 12" xfId="44078"/>
    <cellStyle name="输入 2 10 9 8" xfId="44079"/>
    <cellStyle name="输入 2 10 9 8 2" xfId="44080"/>
    <cellStyle name="输入 2 10 9 8 3" xfId="44081"/>
    <cellStyle name="输入 2 10 9 8 4" xfId="44082"/>
    <cellStyle name="输入 2 10 9 9" xfId="44083"/>
    <cellStyle name="输入 2 11 10 10 2" xfId="44084"/>
    <cellStyle name="输入 2 11 10 11" xfId="44085"/>
    <cellStyle name="输入 2 11 10 11 2" xfId="44086"/>
    <cellStyle name="输入 2 8 2 2 3" xfId="44087"/>
    <cellStyle name="输入 2 11 10 12" xfId="44088"/>
    <cellStyle name="输入 2 11 10 12 2" xfId="44089"/>
    <cellStyle name="输入 2 8 2 3 3" xfId="44090"/>
    <cellStyle name="输入 2 11 10 14" xfId="44091"/>
    <cellStyle name="输入 2 11 10 2" xfId="44092"/>
    <cellStyle name="输入 2 11 10 2 2" xfId="44093"/>
    <cellStyle name="输入 2 11 10 2 2 2" xfId="44094"/>
    <cellStyle name="输入 2 11 10 2 3" xfId="44095"/>
    <cellStyle name="输入 2 11 10 2 4" xfId="44096"/>
    <cellStyle name="输入 2 11 10 2 4 2" xfId="44097"/>
    <cellStyle name="注释 2 9 10 2 9" xfId="44098"/>
    <cellStyle name="输入 2 11 10 3" xfId="44099"/>
    <cellStyle name="输入 2 11 10 3 2" xfId="44100"/>
    <cellStyle name="输入 2 11 10 3 2 2" xfId="44101"/>
    <cellStyle name="输入 2 11 10 3 3" xfId="44102"/>
    <cellStyle name="输入 2 11 10 3 3 2" xfId="44103"/>
    <cellStyle name="输入 2 11 10 3 4" xfId="44104"/>
    <cellStyle name="输入 2 11 2 2" xfId="44105"/>
    <cellStyle name="输入 2 11 10 3 4 2" xfId="44106"/>
    <cellStyle name="输入 2 11 2 2 2" xfId="44107"/>
    <cellStyle name="输入 2 11 10 4" xfId="44108"/>
    <cellStyle name="输入 2 11 10 4 2" xfId="44109"/>
    <cellStyle name="输入 2 11 10 4 2 2" xfId="44110"/>
    <cellStyle name="输入 2 11 10 4 3" xfId="44111"/>
    <cellStyle name="输入 2 11 10 4 3 2" xfId="44112"/>
    <cellStyle name="输入 2 11 10 4 4" xfId="44113"/>
    <cellStyle name="输入 2 11 3 2" xfId="44114"/>
    <cellStyle name="输入 2 11 10 4 4 2" xfId="44115"/>
    <cellStyle name="输入 2 11 3 2 2" xfId="44116"/>
    <cellStyle name="输入 2 11 10 5 2" xfId="44117"/>
    <cellStyle name="输入 2 11 10 5 2 2" xfId="44118"/>
    <cellStyle name="输入 2 11 10 5 3 2" xfId="44119"/>
    <cellStyle name="输入 2 11 10 5 4" xfId="44120"/>
    <cellStyle name="输入 2 11 4 2" xfId="44121"/>
    <cellStyle name="输入 2 11 10 5 4 2" xfId="44122"/>
    <cellStyle name="输入 2 11 4 2 2" xfId="44123"/>
    <cellStyle name="输入 2 11 10 5 5 2" xfId="44124"/>
    <cellStyle name="输入 2 11 4 3 2" xfId="44125"/>
    <cellStyle name="输入 2 11 10 5 6" xfId="44126"/>
    <cellStyle name="输入 2 11 4 4" xfId="44127"/>
    <cellStyle name="输入 2 11 10 6" xfId="44128"/>
    <cellStyle name="输入 2 11 10 6 2" xfId="44129"/>
    <cellStyle name="输入 2 11 10 6 2 2" xfId="44130"/>
    <cellStyle name="输入 2 11 10 6 4" xfId="44131"/>
    <cellStyle name="输入 2 11 5 2" xfId="44132"/>
    <cellStyle name="输入 2 11 10 6 4 2" xfId="44133"/>
    <cellStyle name="输入 2 11 5 2 2" xfId="44134"/>
    <cellStyle name="输入 2 11 10 6 5" xfId="44135"/>
    <cellStyle name="输入 2 11 5 3" xfId="44136"/>
    <cellStyle name="输入 2 11 10 6 5 2" xfId="44137"/>
    <cellStyle name="输入 2 11 5 3 2" xfId="44138"/>
    <cellStyle name="输入 2 11 10 6 6" xfId="44139"/>
    <cellStyle name="输入 2 11 5 4" xfId="44140"/>
    <cellStyle name="输入 2 11 10 7" xfId="44141"/>
    <cellStyle name="输入 2 5 4 5 2 2" xfId="44142"/>
    <cellStyle name="输入 2 11 10 7 2" xfId="44143"/>
    <cellStyle name="输入 2 11 10 7 2 2" xfId="44144"/>
    <cellStyle name="输入 2 11 10 7 4" xfId="44145"/>
    <cellStyle name="输入 2 11 6 2" xfId="44146"/>
    <cellStyle name="输入 2 11 10 7 4 2" xfId="44147"/>
    <cellStyle name="输入 2 11 6 2 2" xfId="44148"/>
    <cellStyle name="输入 2 11 10 7 5" xfId="44149"/>
    <cellStyle name="输入 2 11 6 3" xfId="44150"/>
    <cellStyle name="输入 2 11 10 7 5 2" xfId="44151"/>
    <cellStyle name="输入 2 11 6 3 2" xfId="44152"/>
    <cellStyle name="输入 2 11 10 7 6" xfId="44153"/>
    <cellStyle name="输入 2 11 6 4" xfId="44154"/>
    <cellStyle name="输入 2 11 10 8 2" xfId="44155"/>
    <cellStyle name="输入 2 11 10 8 2 2" xfId="44156"/>
    <cellStyle name="输入 2 11 10 8 3 2" xfId="44157"/>
    <cellStyle name="输入 2 11 10 8 4" xfId="44158"/>
    <cellStyle name="输入 2 11 7 2" xfId="44159"/>
    <cellStyle name="输入 2 11 10 8 4 2" xfId="44160"/>
    <cellStyle name="输入 2 11 7 2 2" xfId="44161"/>
    <cellStyle name="输入 2 11 10 8 5" xfId="44162"/>
    <cellStyle name="输入 2 11 7 3" xfId="44163"/>
    <cellStyle name="输入 2 11 10 9" xfId="44164"/>
    <cellStyle name="输入 2 11 10 9 2" xfId="44165"/>
    <cellStyle name="输入 2 11 11" xfId="44166"/>
    <cellStyle name="输入 2 11 11 10" xfId="44167"/>
    <cellStyle name="注释 2 9 7 16" xfId="44168"/>
    <cellStyle name="输入 2 11 11 10 2" xfId="44169"/>
    <cellStyle name="输入 2 11 11 11" xfId="44170"/>
    <cellStyle name="输入 2 11 11 11 2" xfId="44171"/>
    <cellStyle name="输入 2 8 7 2 3" xfId="44172"/>
    <cellStyle name="输入 2 11 11 12" xfId="44173"/>
    <cellStyle name="输入 2 11 11 12 2" xfId="44174"/>
    <cellStyle name="输入 2 8 7 3 3" xfId="44175"/>
    <cellStyle name="输入 2 11 11 2" xfId="44176"/>
    <cellStyle name="输入 2 11 11 2 2 2" xfId="44177"/>
    <cellStyle name="输入 2 11 11 2 3 2" xfId="44178"/>
    <cellStyle name="输入 2 11 11 2 4 2" xfId="44179"/>
    <cellStyle name="输入 2 11 11 3" xfId="44180"/>
    <cellStyle name="输入 2 11 11 3 2 2" xfId="44181"/>
    <cellStyle name="输入 2 11 11 3 3" xfId="44182"/>
    <cellStyle name="输入 2 11 11 3 3 2" xfId="44183"/>
    <cellStyle name="输入 2 11 11 3 4" xfId="44184"/>
    <cellStyle name="输入 2 12 2 2" xfId="44185"/>
    <cellStyle name="注释 2 2 3 2 4 2" xfId="44186"/>
    <cellStyle name="输入 2 11 11 3 4 2" xfId="44187"/>
    <cellStyle name="输入 2 12 2 2 2" xfId="44188"/>
    <cellStyle name="输入 2 11 11 4" xfId="44189"/>
    <cellStyle name="输入 2 11 11 4 2 2" xfId="44190"/>
    <cellStyle name="输入 2 11 11 4 3" xfId="44191"/>
    <cellStyle name="输入 2 11 11 4 3 2" xfId="44192"/>
    <cellStyle name="输入 2 11 11 4 4" xfId="44193"/>
    <cellStyle name="输入 2 12 3 2" xfId="44194"/>
    <cellStyle name="注释 2 2 3 2 5 2" xfId="44195"/>
    <cellStyle name="输入 2 11 11 4 4 2" xfId="44196"/>
    <cellStyle name="输入 2 12 3 2 2" xfId="44197"/>
    <cellStyle name="输入 2 11 11 5 2 2" xfId="44198"/>
    <cellStyle name="输入 2 11 11 5 3 2" xfId="44199"/>
    <cellStyle name="输入 2 11 11 5 4" xfId="44200"/>
    <cellStyle name="输入 2 12 4 2" xfId="44201"/>
    <cellStyle name="输入 2 11 11 5 4 2" xfId="44202"/>
    <cellStyle name="输入 2 12 4 2 2" xfId="44203"/>
    <cellStyle name="输入 2 11 11 5 5 2" xfId="44204"/>
    <cellStyle name="输入 2 12 4 3 2" xfId="44205"/>
    <cellStyle name="输入 2 11 11 5 6" xfId="44206"/>
    <cellStyle name="输入 2 12 4 4" xfId="44207"/>
    <cellStyle name="输入 2 11 11 6" xfId="44208"/>
    <cellStyle name="输入 2 11 11 6 2 2" xfId="44209"/>
    <cellStyle name="输入 2 11 11 6 3 2" xfId="44210"/>
    <cellStyle name="输入 2 11 11 6 4" xfId="44211"/>
    <cellStyle name="输入 2 12 5 2" xfId="44212"/>
    <cellStyle name="输入 2 11 11 6 4 2" xfId="44213"/>
    <cellStyle name="输入 2 12 5 2 2" xfId="44214"/>
    <cellStyle name="输入 2 11 11 6 5 2" xfId="44215"/>
    <cellStyle name="输入 2 12 5 3 2" xfId="44216"/>
    <cellStyle name="输入 2 11 11 6 6" xfId="44217"/>
    <cellStyle name="输入 2 12 5 4" xfId="44218"/>
    <cellStyle name="输入 2 11 11 7" xfId="44219"/>
    <cellStyle name="输入 2 5 4 5 3 2" xfId="44220"/>
    <cellStyle name="输入 2 11 11 7 2 2" xfId="44221"/>
    <cellStyle name="输入 2 11 11 7 3 2" xfId="44222"/>
    <cellStyle name="输入 2 11 11 7 4" xfId="44223"/>
    <cellStyle name="输入 2 12 6 2" xfId="44224"/>
    <cellStyle name="输入 2 11 11 7 4 2" xfId="44225"/>
    <cellStyle name="输入 2 12 6 2 2" xfId="44226"/>
    <cellStyle name="输入 2 11 11 7 5 2" xfId="44227"/>
    <cellStyle name="输入 2 12 6 3 2" xfId="44228"/>
    <cellStyle name="输入 2 11 11 8 2 2" xfId="44229"/>
    <cellStyle name="输入 2 11 11 8 3 2" xfId="44230"/>
    <cellStyle name="输入 2 11 11 8 4" xfId="44231"/>
    <cellStyle name="输入 2 12 7 2" xfId="44232"/>
    <cellStyle name="输入 2 11 11 8 4 2" xfId="44233"/>
    <cellStyle name="输入 2 12 7 2 2" xfId="44234"/>
    <cellStyle name="输入 2 11 11 8 5" xfId="44235"/>
    <cellStyle name="输入 2 12 7 3" xfId="44236"/>
    <cellStyle name="输入 2 11 11 9" xfId="44237"/>
    <cellStyle name="输入 2 11 11 9 2" xfId="44238"/>
    <cellStyle name="输入 2 11 12" xfId="44239"/>
    <cellStyle name="输入 2 11 12 2" xfId="44240"/>
    <cellStyle name="输入 2 11 12 3" xfId="44241"/>
    <cellStyle name="输入 2 11 12 4" xfId="44242"/>
    <cellStyle name="输入 2 11 12 6" xfId="44243"/>
    <cellStyle name="输入 2 11 12 7" xfId="44244"/>
    <cellStyle name="输入 2 5 4 5 4 2" xfId="44245"/>
    <cellStyle name="输入 2 11 12 8" xfId="44246"/>
    <cellStyle name="输入 2 11 12 9" xfId="44247"/>
    <cellStyle name="输入 2 11 13 2" xfId="44248"/>
    <cellStyle name="输入 2 11 13 2 2" xfId="44249"/>
    <cellStyle name="输入 2 11 13 3" xfId="44250"/>
    <cellStyle name="输入 2 11 13 3 2" xfId="44251"/>
    <cellStyle name="输入 2 11 13 4" xfId="44252"/>
    <cellStyle name="输入 2 11 13 4 2" xfId="44253"/>
    <cellStyle name="输入 2 11 13 5" xfId="44254"/>
    <cellStyle name="输入 2 11 13 5 2" xfId="44255"/>
    <cellStyle name="输入 2 11 13 6" xfId="44256"/>
    <cellStyle name="输入 2 11 14 2" xfId="44257"/>
    <cellStyle name="输入 2 11 14 2 2" xfId="44258"/>
    <cellStyle name="输入 2 11 14 3 2" xfId="44259"/>
    <cellStyle name="输入 2 11 14 4" xfId="44260"/>
    <cellStyle name="输入 2 11 14 4 2" xfId="44261"/>
    <cellStyle name="输入 2 11 14 5" xfId="44262"/>
    <cellStyle name="输入 2 11 14 5 2" xfId="44263"/>
    <cellStyle name="输入 2 11 14 6" xfId="44264"/>
    <cellStyle name="输入 2 11 15" xfId="44265"/>
    <cellStyle name="输入 2 11 20" xfId="44266"/>
    <cellStyle name="输入 2 11 15 2" xfId="44267"/>
    <cellStyle name="输入 2 11 20 2" xfId="44268"/>
    <cellStyle name="输入 2 11 15 2 2" xfId="44269"/>
    <cellStyle name="输入 2 11 15 3 2" xfId="44270"/>
    <cellStyle name="输入 2 11 15 4" xfId="44271"/>
    <cellStyle name="输入 2 11 15 4 2" xfId="44272"/>
    <cellStyle name="输入 2 11 15 5" xfId="44273"/>
    <cellStyle name="输入 2 11 15 5 2" xfId="44274"/>
    <cellStyle name="输入 2 11 15 6" xfId="44275"/>
    <cellStyle name="输入 2 11 16" xfId="44276"/>
    <cellStyle name="输入 2 11 21" xfId="44277"/>
    <cellStyle name="输入 2 11 16 2" xfId="44278"/>
    <cellStyle name="输入 2 11 21 2" xfId="44279"/>
    <cellStyle name="输入 2 11 16 4" xfId="44280"/>
    <cellStyle name="输入 2 11 16 5" xfId="44281"/>
    <cellStyle name="输入 2 11 16 6" xfId="44282"/>
    <cellStyle name="注释 2 7 6 8 2 2" xfId="44283"/>
    <cellStyle name="输入 2 11 17" xfId="44284"/>
    <cellStyle name="输入 2 11 22" xfId="44285"/>
    <cellStyle name="输入 2 11 17 4" xfId="44286"/>
    <cellStyle name="输入 2 11 17 5" xfId="44287"/>
    <cellStyle name="输入 2 11 17 6" xfId="44288"/>
    <cellStyle name="注释 2 7 6 8 3 2" xfId="44289"/>
    <cellStyle name="输入 2 11 18" xfId="44290"/>
    <cellStyle name="输入 2 11 23" xfId="44291"/>
    <cellStyle name="输入 2 11 18 2 2" xfId="44292"/>
    <cellStyle name="输入 2 11 18 3 2" xfId="44293"/>
    <cellStyle name="输入 2 11 18 4" xfId="44294"/>
    <cellStyle name="输入 2 11 18 4 2" xfId="44295"/>
    <cellStyle name="输入 2 11 18 5" xfId="44296"/>
    <cellStyle name="输入 2 11 18 5 2" xfId="44297"/>
    <cellStyle name="输入 2 11 18 6" xfId="44298"/>
    <cellStyle name="注释 2 7 6 8 4 2" xfId="44299"/>
    <cellStyle name="输入 2 11 19" xfId="44300"/>
    <cellStyle name="输入 2 11 24" xfId="44301"/>
    <cellStyle name="输入 2 11 19 2" xfId="44302"/>
    <cellStyle name="输入 2 11 19 2 2" xfId="44303"/>
    <cellStyle name="输入 2 11 19 3" xfId="44304"/>
    <cellStyle name="输入 2 11 19 3 2" xfId="44305"/>
    <cellStyle name="输入 2 11 19 4" xfId="44306"/>
    <cellStyle name="输入 2 11 19 4 2" xfId="44307"/>
    <cellStyle name="输入 2 11 19 5" xfId="44308"/>
    <cellStyle name="输入 2 11 2" xfId="44309"/>
    <cellStyle name="输入 2 11 2 13" xfId="44310"/>
    <cellStyle name="输入 2 11 2 14" xfId="44311"/>
    <cellStyle name="输入 2 11 2 15" xfId="44312"/>
    <cellStyle name="输入 2 11 2 16" xfId="44313"/>
    <cellStyle name="输入 2 11 2 2 2 2" xfId="44314"/>
    <cellStyle name="输入 2 11 2 2 3 2" xfId="44315"/>
    <cellStyle name="输入 2 11 2 2 4" xfId="44316"/>
    <cellStyle name="输入 2 11 2 2 4 2" xfId="44317"/>
    <cellStyle name="输入 2 11 2 2 5" xfId="44318"/>
    <cellStyle name="输入 2 11 2 2 5 2" xfId="44319"/>
    <cellStyle name="输入 2 11 2 2 6" xfId="44320"/>
    <cellStyle name="输入 2 11 2 2 7" xfId="44321"/>
    <cellStyle name="输入 2 11 2 2 9" xfId="44322"/>
    <cellStyle name="输入 2 11 2 3 4" xfId="44323"/>
    <cellStyle name="输入 2 11 2 3 5" xfId="44324"/>
    <cellStyle name="输入 2 11 2 3 6" xfId="44325"/>
    <cellStyle name="输入 2 11 2 4 4" xfId="44326"/>
    <cellStyle name="输入 2 11 2 4 5" xfId="44327"/>
    <cellStyle name="输入 2 11 2 4 6" xfId="44328"/>
    <cellStyle name="输入 2 11 2 5 2 2" xfId="44329"/>
    <cellStyle name="输入 2 11 2 5 3 2" xfId="44330"/>
    <cellStyle name="输入 2 11 2 5 4" xfId="44331"/>
    <cellStyle name="输入 2 11 2 5 5" xfId="44332"/>
    <cellStyle name="输入 2 11 2 5 5 2" xfId="44333"/>
    <cellStyle name="输入 2 11 2 5 6" xfId="44334"/>
    <cellStyle name="输入 2 11 2 6 2 2" xfId="44335"/>
    <cellStyle name="输入 2 11 2 6 3 2" xfId="44336"/>
    <cellStyle name="输入 2 11 2 6 4" xfId="44337"/>
    <cellStyle name="输入 2 11 2 6 4 2" xfId="44338"/>
    <cellStyle name="输入 2 11 2 6 5" xfId="44339"/>
    <cellStyle name="输入 2 11 2 6 5 2" xfId="44340"/>
    <cellStyle name="输入 2 11 2 7 2" xfId="44341"/>
    <cellStyle name="输入 2 11 2 7 2 2" xfId="44342"/>
    <cellStyle name="输入 2 11 2 7 3 2" xfId="44343"/>
    <cellStyle name="输入 2 11 2 7 4" xfId="44344"/>
    <cellStyle name="输入 2 11 2 7 4 2" xfId="44345"/>
    <cellStyle name="输入 2 11 2 7 5" xfId="44346"/>
    <cellStyle name="输入 2 11 2 7 5 2" xfId="44347"/>
    <cellStyle name="输入 2 11 2 8" xfId="44348"/>
    <cellStyle name="输入 2 11 2 8 2" xfId="44349"/>
    <cellStyle name="输入 2 11 2 8 2 2" xfId="44350"/>
    <cellStyle name="输入 2 9 12 8" xfId="44351"/>
    <cellStyle name="输入 2 11 2 8 3 2" xfId="44352"/>
    <cellStyle name="输入 2 11 2 8 4" xfId="44353"/>
    <cellStyle name="输入 2 11 2 8 4 2" xfId="44354"/>
    <cellStyle name="输入 2 11 2 8 5" xfId="44355"/>
    <cellStyle name="输入 2 11 2 9" xfId="44356"/>
    <cellStyle name="输入 2 11 2 9 2" xfId="44357"/>
    <cellStyle name="输入 2 11 25" xfId="44358"/>
    <cellStyle name="输入 2 11 26" xfId="44359"/>
    <cellStyle name="输入 2 11 27" xfId="44360"/>
    <cellStyle name="输入 2 11 3" xfId="44361"/>
    <cellStyle name="输入 2 4 11 2 3 2" xfId="44362"/>
    <cellStyle name="输入 2 11 3 10" xfId="44363"/>
    <cellStyle name="输入 2 11 3 11" xfId="44364"/>
    <cellStyle name="输入 2 11 3 12" xfId="44365"/>
    <cellStyle name="输入 2 11 3 13" xfId="44366"/>
    <cellStyle name="输入 2 11 3 15" xfId="44367"/>
    <cellStyle name="输入 2 11 3 2 2 2" xfId="44368"/>
    <cellStyle name="输入 2 11 3 2 3" xfId="44369"/>
    <cellStyle name="注释 2 2 9 6 5 2" xfId="44370"/>
    <cellStyle name="输入 2 11 3 2 3 2" xfId="44371"/>
    <cellStyle name="输入 2 11 3 2 4" xfId="44372"/>
    <cellStyle name="注释 2 9 3 10" xfId="44373"/>
    <cellStyle name="输入 2 11 3 2 4 2" xfId="44374"/>
    <cellStyle name="注释 2 9 3 10 2" xfId="44375"/>
    <cellStyle name="输入 2 11 3 2 5" xfId="44376"/>
    <cellStyle name="注释 2 9 3 11" xfId="44377"/>
    <cellStyle name="输入 2 11 3 2 5 2" xfId="44378"/>
    <cellStyle name="注释 2 9 3 11 2" xfId="44379"/>
    <cellStyle name="输入 2 11 3 2 6" xfId="44380"/>
    <cellStyle name="注释 2 9 3 12" xfId="44381"/>
    <cellStyle name="输入 2 11 3 2 7" xfId="44382"/>
    <cellStyle name="注释 2 9 3 13" xfId="44383"/>
    <cellStyle name="输入 2 11 3 2 9" xfId="44384"/>
    <cellStyle name="注释 2 9 3 15" xfId="44385"/>
    <cellStyle name="输入 2 11 3 3 2 2" xfId="44386"/>
    <cellStyle name="输入 2 11 3 3 3 2" xfId="44387"/>
    <cellStyle name="输入 2 11 3 3 4" xfId="44388"/>
    <cellStyle name="输入 2 11 3 3 4 2" xfId="44389"/>
    <cellStyle name="输入 2 11 3 3 5" xfId="44390"/>
    <cellStyle name="输入 2 11 3 3 5 2" xfId="44391"/>
    <cellStyle name="输入 2 11 3 3 6" xfId="44392"/>
    <cellStyle name="输入 2 11 3 4 4" xfId="44393"/>
    <cellStyle name="输入 2 11 3 4 5" xfId="44394"/>
    <cellStyle name="输入 2 11 3 4 6" xfId="44395"/>
    <cellStyle name="输入 2 11 3 5 2 2" xfId="44396"/>
    <cellStyle name="注释 2 9 10 8 2" xfId="44397"/>
    <cellStyle name="输入 2 11 3 5 3 2" xfId="44398"/>
    <cellStyle name="注释 2 9 10 9 2" xfId="44399"/>
    <cellStyle name="输入 2 11 3 5 4" xfId="44400"/>
    <cellStyle name="输入 2 11 3 5 4 2" xfId="44401"/>
    <cellStyle name="输入 2 11 3 5 5" xfId="44402"/>
    <cellStyle name="输入 2 11 3 5 5 2" xfId="44403"/>
    <cellStyle name="输入 2 11 3 5 6" xfId="44404"/>
    <cellStyle name="输入 2 11 3 6 2" xfId="44405"/>
    <cellStyle name="注释 2 9 11 8" xfId="44406"/>
    <cellStyle name="输入 2 11 3 6 2 2" xfId="44407"/>
    <cellStyle name="注释 2 9 11 8 2" xfId="44408"/>
    <cellStyle name="输入 2 11 3 6 3 2" xfId="44409"/>
    <cellStyle name="注释 2 9 11 9 2" xfId="44410"/>
    <cellStyle name="输入 2 11 3 6 4" xfId="44411"/>
    <cellStyle name="输入 2 11 3 6 4 2" xfId="44412"/>
    <cellStyle name="输入 2 11 3 6 5" xfId="44413"/>
    <cellStyle name="输入 2 11 3 6 5 2" xfId="44414"/>
    <cellStyle name="输入 2 11 3 7" xfId="44415"/>
    <cellStyle name="输入 2 11 3 7 2" xfId="44416"/>
    <cellStyle name="注释 2 9 12 8" xfId="44417"/>
    <cellStyle name="输入 2 11 3 7 2 2" xfId="44418"/>
    <cellStyle name="输入 2 11 3 7 3 2" xfId="44419"/>
    <cellStyle name="输入 2 11 3 7 4" xfId="44420"/>
    <cellStyle name="注释 2 9 4 10" xfId="44421"/>
    <cellStyle name="输入 2 11 3 7 4 2" xfId="44422"/>
    <cellStyle name="注释 2 9 4 10 2" xfId="44423"/>
    <cellStyle name="输入 2 11 3 7 5" xfId="44424"/>
    <cellStyle name="注释 2 9 4 11" xfId="44425"/>
    <cellStyle name="输入 2 11 3 7 5 2" xfId="44426"/>
    <cellStyle name="注释 2 9 4 11 2" xfId="44427"/>
    <cellStyle name="输入 2 11 3 8" xfId="44428"/>
    <cellStyle name="输入 2 11 3 8 2" xfId="44429"/>
    <cellStyle name="输入 2 11 3 8 2 2" xfId="44430"/>
    <cellStyle name="输入 2 11 3 8 3 2" xfId="44431"/>
    <cellStyle name="输入 2 11 3 8 4" xfId="44432"/>
    <cellStyle name="输入 2 11 3 8 4 2" xfId="44433"/>
    <cellStyle name="输入 2 11 3 8 5" xfId="44434"/>
    <cellStyle name="输入 2 11 3 9" xfId="44435"/>
    <cellStyle name="输入 2 11 4" xfId="44436"/>
    <cellStyle name="输入 2 11 4 10" xfId="44437"/>
    <cellStyle name="输入 2 11 4 11" xfId="44438"/>
    <cellStyle name="输入 2 11 4 12" xfId="44439"/>
    <cellStyle name="输入 2 11 4 13" xfId="44440"/>
    <cellStyle name="输入 2 11 4 15" xfId="44441"/>
    <cellStyle name="输入 2 11 4 16" xfId="44442"/>
    <cellStyle name="输入 2 8 2 9 2" xfId="44443"/>
    <cellStyle name="输入 2 11 4 2 3" xfId="44444"/>
    <cellStyle name="注释 2 2 9 7 5 2" xfId="44445"/>
    <cellStyle name="输入 2 11 4 2 4" xfId="44446"/>
    <cellStyle name="注释 2 9 8 10" xfId="44447"/>
    <cellStyle name="输入 2 11 4 2 5" xfId="44448"/>
    <cellStyle name="注释 2 9 8 11" xfId="44449"/>
    <cellStyle name="输入 2 11 4 2 6" xfId="44450"/>
    <cellStyle name="注释 2 9 8 12" xfId="44451"/>
    <cellStyle name="输入 2 11 4 2 7" xfId="44452"/>
    <cellStyle name="注释 2 9 8 13" xfId="44453"/>
    <cellStyle name="输入 2 11 4 2 8" xfId="44454"/>
    <cellStyle name="注释 2 9 8 14" xfId="44455"/>
    <cellStyle name="输入 2 11 4 2 9" xfId="44456"/>
    <cellStyle name="注释 2 9 8 15" xfId="44457"/>
    <cellStyle name="输入 2 11 4 3 3" xfId="44458"/>
    <cellStyle name="输入 2 7 10 4 2 2" xfId="44459"/>
    <cellStyle name="输入 2 11 4 3 4" xfId="44460"/>
    <cellStyle name="输入 2 11 4 3 5" xfId="44461"/>
    <cellStyle name="输入 2 11 4 3 6" xfId="44462"/>
    <cellStyle name="输入 2 11 4 4 2" xfId="44463"/>
    <cellStyle name="输入 2 11 4 4 3" xfId="44464"/>
    <cellStyle name="输入 2 7 10 4 3 2" xfId="44465"/>
    <cellStyle name="输入 2 11 4 4 4" xfId="44466"/>
    <cellStyle name="输入 2 11 4 4 5" xfId="44467"/>
    <cellStyle name="输入 2 11 4 4 6" xfId="44468"/>
    <cellStyle name="输入 2 11 4 5" xfId="44469"/>
    <cellStyle name="输入 2 11 4 5 2" xfId="44470"/>
    <cellStyle name="输入 2 11 4 5 2 2" xfId="44471"/>
    <cellStyle name="输入 2 11 4 5 3 2" xfId="44472"/>
    <cellStyle name="输入 2 11 4 5 4" xfId="44473"/>
    <cellStyle name="输入 2 11 4 5 4 2" xfId="44474"/>
    <cellStyle name="输入 2 11 4 5 5" xfId="44475"/>
    <cellStyle name="输入 2 11 4 5 5 2" xfId="44476"/>
    <cellStyle name="输入 2 11 4 5 6" xfId="44477"/>
    <cellStyle name="输入 2 11 4 6" xfId="44478"/>
    <cellStyle name="输入 2 11 4 6 2" xfId="44479"/>
    <cellStyle name="输入 2 11 4 6 2 2" xfId="44480"/>
    <cellStyle name="输入 2 11 4 6 4" xfId="44481"/>
    <cellStyle name="输入 2 11 4 6 4 2" xfId="44482"/>
    <cellStyle name="输入 2 11 4 6 5 2" xfId="44483"/>
    <cellStyle name="输入 2 11 4 6 6" xfId="44484"/>
    <cellStyle name="输入 2 11 4 7" xfId="44485"/>
    <cellStyle name="输入 2 11 4 7 2" xfId="44486"/>
    <cellStyle name="输入 2 11 4 7 2 2" xfId="44487"/>
    <cellStyle name="输入 2 11 4 7 3 2" xfId="44488"/>
    <cellStyle name="输入 2 11 4 7 4" xfId="44489"/>
    <cellStyle name="注释 2 9 9 10" xfId="44490"/>
    <cellStyle name="输入 2 11 4 7 4 2" xfId="44491"/>
    <cellStyle name="注释 2 9 9 10 2" xfId="44492"/>
    <cellStyle name="输入 2 11 4 7 5 2" xfId="44493"/>
    <cellStyle name="注释 2 9 9 11 2" xfId="44494"/>
    <cellStyle name="输入 2 11 4 7 6" xfId="44495"/>
    <cellStyle name="注释 2 9 9 12" xfId="44496"/>
    <cellStyle name="输入 2 11 4 8" xfId="44497"/>
    <cellStyle name="输入 2 11 4 8 2" xfId="44498"/>
    <cellStyle name="输入 2 11 4 8 2 2" xfId="44499"/>
    <cellStyle name="输入 2 11 4 8 3 2" xfId="44500"/>
    <cellStyle name="输入 2 11 4 8 4" xfId="44501"/>
    <cellStyle name="输入 2 11 4 8 4 2" xfId="44502"/>
    <cellStyle name="输入 2 11 4 9" xfId="44503"/>
    <cellStyle name="输入 2 11 5" xfId="44504"/>
    <cellStyle name="输入 2 11 5 10" xfId="44505"/>
    <cellStyle name="输入 2 11 5 11" xfId="44506"/>
    <cellStyle name="输入 2 11 5 12" xfId="44507"/>
    <cellStyle name="输入 2 4 8 6 2 2" xfId="44508"/>
    <cellStyle name="输入 2 11 5 13" xfId="44509"/>
    <cellStyle name="输入 2 11 5 14" xfId="44510"/>
    <cellStyle name="输入 2 11 5 15" xfId="44511"/>
    <cellStyle name="输入 2 11 5 16" xfId="44512"/>
    <cellStyle name="输入 2 11 5 2 3" xfId="44513"/>
    <cellStyle name="输入 2 11 5 2 4" xfId="44514"/>
    <cellStyle name="输入 2 11 5 2 5" xfId="44515"/>
    <cellStyle name="输入 2 11 5 2 6" xfId="44516"/>
    <cellStyle name="输入 2 11 5 2 7" xfId="44517"/>
    <cellStyle name="输入 2 11 5 2 8" xfId="44518"/>
    <cellStyle name="输入 2 11 5 2 9" xfId="44519"/>
    <cellStyle name="输入 2 11 5 3 3" xfId="44520"/>
    <cellStyle name="输入 2 7 10 5 2 2" xfId="44521"/>
    <cellStyle name="输入 2 11 5 3 4" xfId="44522"/>
    <cellStyle name="输入 2 11 5 3 5" xfId="44523"/>
    <cellStyle name="输入 2 11 5 3 6" xfId="44524"/>
    <cellStyle name="输入 2 11 5 4 2" xfId="44525"/>
    <cellStyle name="输入 2 11 5 4 3" xfId="44526"/>
    <cellStyle name="输入 2 7 10 5 3 2" xfId="44527"/>
    <cellStyle name="输入 2 11 5 4 4" xfId="44528"/>
    <cellStyle name="输入 2 11 5 4 5" xfId="44529"/>
    <cellStyle name="输入 2 11 5 4 6" xfId="44530"/>
    <cellStyle name="输入 2 11 5 5" xfId="44531"/>
    <cellStyle name="输入 2 11 5 5 2" xfId="44532"/>
    <cellStyle name="输入 2 11 5 5 2 2" xfId="44533"/>
    <cellStyle name="输入 2 11 5 5 3 2" xfId="44534"/>
    <cellStyle name="输入 2 11 5 5 4" xfId="44535"/>
    <cellStyle name="输入 2 11 5 5 4 2" xfId="44536"/>
    <cellStyle name="输入 2 11 5 5 5" xfId="44537"/>
    <cellStyle name="输入 2 11 5 5 5 2" xfId="44538"/>
    <cellStyle name="输入 2 11 5 5 6" xfId="44539"/>
    <cellStyle name="输入 2 11 5 6" xfId="44540"/>
    <cellStyle name="输入 2 11 5 6 5 2" xfId="44541"/>
    <cellStyle name="输入 2 11 5 7" xfId="44542"/>
    <cellStyle name="输入 2 11 5 7 2" xfId="44543"/>
    <cellStyle name="注释 2 7 10 11" xfId="44544"/>
    <cellStyle name="输入 2 11 5 7 2 2" xfId="44545"/>
    <cellStyle name="注释 2 7 10 11 2" xfId="44546"/>
    <cellStyle name="输入 2 11 5 7 3 2" xfId="44547"/>
    <cellStyle name="注释 2 7 10 12 2" xfId="44548"/>
    <cellStyle name="输入 2 11 5 7 4" xfId="44549"/>
    <cellStyle name="注释 2 7 10 13" xfId="44550"/>
    <cellStyle name="输入 2 11 5 7 4 2" xfId="44551"/>
    <cellStyle name="输入 2 11 5 7 5 2" xfId="44552"/>
    <cellStyle name="输入 2 11 5 7 6" xfId="44553"/>
    <cellStyle name="注释 2 7 10 15" xfId="44554"/>
    <cellStyle name="输入 2 11 5 8" xfId="44555"/>
    <cellStyle name="注释 2 9 10 7 2 2" xfId="44556"/>
    <cellStyle name="输入 2 11 5 8 2" xfId="44557"/>
    <cellStyle name="输入 2 11 5 8 2 2" xfId="44558"/>
    <cellStyle name="输入 2 11 5 8 3" xfId="44559"/>
    <cellStyle name="输入 2 11 5 8 3 2" xfId="44560"/>
    <cellStyle name="输入 2 11 5 8 4" xfId="44561"/>
    <cellStyle name="输入 2 11 5 8 4 2" xfId="44562"/>
    <cellStyle name="输入 2 11 5 9" xfId="44563"/>
    <cellStyle name="输入 2 11 6 10" xfId="44564"/>
    <cellStyle name="输入 2 11 6 11" xfId="44565"/>
    <cellStyle name="输入 2 11 6 12" xfId="44566"/>
    <cellStyle name="输入 2 11 6 12 2" xfId="44567"/>
    <cellStyle name="输入 2 11 6 13" xfId="44568"/>
    <cellStyle name="输入 2 11 6 15" xfId="44569"/>
    <cellStyle name="输入 2 12 8 2 3 2" xfId="44570"/>
    <cellStyle name="输入 2 11 6 16" xfId="44571"/>
    <cellStyle name="注释 2 2 11 3 4 2" xfId="44572"/>
    <cellStyle name="输入 2 11 6 2 3" xfId="44573"/>
    <cellStyle name="输入 2 11 6 2 4" xfId="44574"/>
    <cellStyle name="输入 2 11 6 2 5" xfId="44575"/>
    <cellStyle name="输入 2 11 6 2 6" xfId="44576"/>
    <cellStyle name="输入 2 11 6 2 7" xfId="44577"/>
    <cellStyle name="输入 2 11 6 2 8" xfId="44578"/>
    <cellStyle name="输入 2 11 6 2 9" xfId="44579"/>
    <cellStyle name="输入 2 11 6 3 3" xfId="44580"/>
    <cellStyle name="输入 2 7 10 6 2 2" xfId="44581"/>
    <cellStyle name="输入 2 11 6 3 4" xfId="44582"/>
    <cellStyle name="输入 2 11 6 3 5" xfId="44583"/>
    <cellStyle name="输入 2 11 6 3 6" xfId="44584"/>
    <cellStyle name="输入 2 11 6 4 2" xfId="44585"/>
    <cellStyle name="输入 2 11 6 4 3" xfId="44586"/>
    <cellStyle name="输入 2 7 10 6 3 2" xfId="44587"/>
    <cellStyle name="输入 2 11 6 4 4" xfId="44588"/>
    <cellStyle name="输入 2 11 6 4 5" xfId="44589"/>
    <cellStyle name="输入 2 11 6 4 6" xfId="44590"/>
    <cellStyle name="输入 2 11 6 5" xfId="44591"/>
    <cellStyle name="输入 2 11 6 5 2" xfId="44592"/>
    <cellStyle name="输入 2 11 6 5 2 2" xfId="44593"/>
    <cellStyle name="输入 2 11 6 5 3" xfId="44594"/>
    <cellStyle name="输入 2 7 10 6 4 2" xfId="44595"/>
    <cellStyle name="输入 2 11 6 5 3 2" xfId="44596"/>
    <cellStyle name="输入 2 11 6 5 4" xfId="44597"/>
    <cellStyle name="输入 2 11 6 5 4 2" xfId="44598"/>
    <cellStyle name="输入 2 2 5 2 6" xfId="44599"/>
    <cellStyle name="输入 2 11 6 5 5" xfId="44600"/>
    <cellStyle name="输入 2 11 6 5 5 2" xfId="44601"/>
    <cellStyle name="输入 2 2 5 3 6" xfId="44602"/>
    <cellStyle name="输入 2 11 6 5 6" xfId="44603"/>
    <cellStyle name="输入 2 11 6 6" xfId="44604"/>
    <cellStyle name="输入 2 11 6 6 5 2" xfId="44605"/>
    <cellStyle name="输入 2 2 6 3 6" xfId="44606"/>
    <cellStyle name="输入 2 11 6 7" xfId="44607"/>
    <cellStyle name="输入 2 11 6 7 2" xfId="44608"/>
    <cellStyle name="输入 2 11 6 7 2 2" xfId="44609"/>
    <cellStyle name="输入 2 11 6 7 3" xfId="44610"/>
    <cellStyle name="输入 2 11 6 7 3 2" xfId="44611"/>
    <cellStyle name="注释 2 3 5 15" xfId="44612"/>
    <cellStyle name="输入 2 11 6 7 4" xfId="44613"/>
    <cellStyle name="输入 2 11 6 7 4 2" xfId="44614"/>
    <cellStyle name="输入 2 2 7 2 6" xfId="44615"/>
    <cellStyle name="输入 2 11 6 7 5 2" xfId="44616"/>
    <cellStyle name="输入 2 2 7 3 6" xfId="44617"/>
    <cellStyle name="输入 2 11 6 7 6" xfId="44618"/>
    <cellStyle name="输入 2 11 6 8" xfId="44619"/>
    <cellStyle name="注释 2 9 10 7 3 2" xfId="44620"/>
    <cellStyle name="输入 2 11 6 8 2" xfId="44621"/>
    <cellStyle name="输入 2 11 6 8 2 2" xfId="44622"/>
    <cellStyle name="输入 2 11 6 8 3" xfId="44623"/>
    <cellStyle name="输入 2 11 6 8 3 2" xfId="44624"/>
    <cellStyle name="输入 2 11 6 8 4" xfId="44625"/>
    <cellStyle name="输入 2 11 6 8 4 2" xfId="44626"/>
    <cellStyle name="输入 2 2 8 2 6" xfId="44627"/>
    <cellStyle name="输入 2 11 6 9" xfId="44628"/>
    <cellStyle name="输入 2 11 7" xfId="44629"/>
    <cellStyle name="输入 2 11 7 13" xfId="44630"/>
    <cellStyle name="输入 2 11 7 14" xfId="44631"/>
    <cellStyle name="输入 2 3 11 12 2" xfId="44632"/>
    <cellStyle name="输入 2 11 7 15" xfId="44633"/>
    <cellStyle name="输入 2 11 7 16" xfId="44634"/>
    <cellStyle name="输入 2 11 7 2 4" xfId="44635"/>
    <cellStyle name="输入 2 11 7 2 5" xfId="44636"/>
    <cellStyle name="输入 2 11 7 2 6" xfId="44637"/>
    <cellStyle name="输入 2 11 7 2 7" xfId="44638"/>
    <cellStyle name="输入 2 11 7 2 8" xfId="44639"/>
    <cellStyle name="输入 2 11 7 2 9" xfId="44640"/>
    <cellStyle name="输入 2 11 7 3 2" xfId="44641"/>
    <cellStyle name="输入 2 11 7 3 3" xfId="44642"/>
    <cellStyle name="输入 2 7 10 7 2 2" xfId="44643"/>
    <cellStyle name="输入 2 11 7 3 4" xfId="44644"/>
    <cellStyle name="输入 2 11 7 3 5" xfId="44645"/>
    <cellStyle name="输入 2 11 7 3 6" xfId="44646"/>
    <cellStyle name="输入 2 11 7 4 2" xfId="44647"/>
    <cellStyle name="输入 2 11 7 4 3" xfId="44648"/>
    <cellStyle name="输入 2 7 10 7 3 2" xfId="44649"/>
    <cellStyle name="输入 2 11 7 4 4" xfId="44650"/>
    <cellStyle name="输入 2 11 7 4 5" xfId="44651"/>
    <cellStyle name="输入 2 11 7 4 6" xfId="44652"/>
    <cellStyle name="输入 2 11 7 5 2" xfId="44653"/>
    <cellStyle name="输入 2 11 7 5 2 2" xfId="44654"/>
    <cellStyle name="输入 2 11 7 5 3" xfId="44655"/>
    <cellStyle name="输入 2 7 10 7 4 2" xfId="44656"/>
    <cellStyle name="输入 2 11 7 5 3 2" xfId="44657"/>
    <cellStyle name="输入 2 11 7 5 4" xfId="44658"/>
    <cellStyle name="输入 2 11 7 5 4 2" xfId="44659"/>
    <cellStyle name="输入 2 3 5 2 6" xfId="44660"/>
    <cellStyle name="输入 2 11 7 5 5" xfId="44661"/>
    <cellStyle name="输入 2 11 7 5 5 2" xfId="44662"/>
    <cellStyle name="输入 2 3 5 3 6" xfId="44663"/>
    <cellStyle name="输入 2 11 7 5 6" xfId="44664"/>
    <cellStyle name="输入 2 11 7 6" xfId="44665"/>
    <cellStyle name="输入 2 11 7 6 2" xfId="44666"/>
    <cellStyle name="输入 2 11 7 6 2 2" xfId="44667"/>
    <cellStyle name="输入 2 11 7 6 3" xfId="44668"/>
    <cellStyle name="输入 2 7 10 7 5 2" xfId="44669"/>
    <cellStyle name="输入 2 11 7 6 3 2" xfId="44670"/>
    <cellStyle name="输入 2 11 7 6 4" xfId="44671"/>
    <cellStyle name="输入 2 11 7 6 4 2" xfId="44672"/>
    <cellStyle name="输入 2 3 6 2 6" xfId="44673"/>
    <cellStyle name="输入 2 11 7 6 5 2" xfId="44674"/>
    <cellStyle name="输入 2 3 6 3 6" xfId="44675"/>
    <cellStyle name="输入 2 11 7 6 6" xfId="44676"/>
    <cellStyle name="输入 2 11 7 7" xfId="44677"/>
    <cellStyle name="输入 2 11 7 7 2" xfId="44678"/>
    <cellStyle name="输入 2 11 7 7 2 2" xfId="44679"/>
    <cellStyle name="输入 2 11 7 7 3" xfId="44680"/>
    <cellStyle name="输入 2 11 7 7 3 2" xfId="44681"/>
    <cellStyle name="注释 2 8 5 15" xfId="44682"/>
    <cellStyle name="输入 2 11 7 7 4" xfId="44683"/>
    <cellStyle name="输入 2 11 7 7 4 2" xfId="44684"/>
    <cellStyle name="输入 2 3 7 2 6" xfId="44685"/>
    <cellStyle name="输入 2 11 7 7 5 2" xfId="44686"/>
    <cellStyle name="输入 2 3 7 3 6" xfId="44687"/>
    <cellStyle name="输入 2 11 7 7 6" xfId="44688"/>
    <cellStyle name="输入 2 11 7 8" xfId="44689"/>
    <cellStyle name="注释 2 9 10 7 4 2" xfId="44690"/>
    <cellStyle name="输入 2 11 7 8 2" xfId="44691"/>
    <cellStyle name="输入 2 11 7 8 2 2" xfId="44692"/>
    <cellStyle name="输入 2 11 7 8 3" xfId="44693"/>
    <cellStyle name="输入 2 11 7 8 3 2" xfId="44694"/>
    <cellStyle name="输入 2 11 7 8 4" xfId="44695"/>
    <cellStyle name="输入 2 11 7 8 4 2" xfId="44696"/>
    <cellStyle name="输入 2 3 8 2 6" xfId="44697"/>
    <cellStyle name="输入 2 11 7 9" xfId="44698"/>
    <cellStyle name="输入 2 11 8" xfId="44699"/>
    <cellStyle name="输入 2 11 8 10" xfId="44700"/>
    <cellStyle name="输入 2 11 8 11" xfId="44701"/>
    <cellStyle name="输入 2 11 8 12" xfId="44702"/>
    <cellStyle name="输入 2 11 8 12 2" xfId="44703"/>
    <cellStyle name="注释 2 11 5 3 3" xfId="44704"/>
    <cellStyle name="输入 2 11 8 13" xfId="44705"/>
    <cellStyle name="输入 2 11 8 15" xfId="44706"/>
    <cellStyle name="输入 2 11 8 16" xfId="44707"/>
    <cellStyle name="输入 2 8 3 4 2" xfId="44708"/>
    <cellStyle name="输入 2 11 8 2" xfId="44709"/>
    <cellStyle name="输入 2 11 8 2 2" xfId="44710"/>
    <cellStyle name="输入 2 11 8 2 3" xfId="44711"/>
    <cellStyle name="输入 2 11 8 2 4" xfId="44712"/>
    <cellStyle name="输入 2 11 8 2 5" xfId="44713"/>
    <cellStyle name="输入 2 11 8 2 6" xfId="44714"/>
    <cellStyle name="输入 2 11 8 2 7" xfId="44715"/>
    <cellStyle name="输入 2 11 8 2 8" xfId="44716"/>
    <cellStyle name="输入 2 11 8 2 9" xfId="44717"/>
    <cellStyle name="注释 2 7 6 2 2 2" xfId="44718"/>
    <cellStyle name="输入 2 11 8 3" xfId="44719"/>
    <cellStyle name="输入 2 11 8 3 2" xfId="44720"/>
    <cellStyle name="输入 2 11 8 3 3" xfId="44721"/>
    <cellStyle name="输入 2 7 10 8 2 2" xfId="44722"/>
    <cellStyle name="输入 2 11 8 3 4" xfId="44723"/>
    <cellStyle name="输入 2 11 8 3 5" xfId="44724"/>
    <cellStyle name="输入 2 11 8 3 6" xfId="44725"/>
    <cellStyle name="输入 2 11 8 4 2" xfId="44726"/>
    <cellStyle name="输入 2 11 8 4 3" xfId="44727"/>
    <cellStyle name="输入 2 7 10 8 3 2" xfId="44728"/>
    <cellStyle name="输入 2 11 8 4 4" xfId="44729"/>
    <cellStyle name="输入 2 11 8 4 5" xfId="44730"/>
    <cellStyle name="输入 2 11 8 4 6" xfId="44731"/>
    <cellStyle name="输入 2 11 8 5 2" xfId="44732"/>
    <cellStyle name="输入 2 11 8 5 2 2" xfId="44733"/>
    <cellStyle name="输入 2 11 8 5 3" xfId="44734"/>
    <cellStyle name="输入 2 7 10 8 4 2" xfId="44735"/>
    <cellStyle name="输入 2 11 8 5 3 2" xfId="44736"/>
    <cellStyle name="输入 2 11 8 5 4" xfId="44737"/>
    <cellStyle name="输入 2 11 8 5 4 2" xfId="44738"/>
    <cellStyle name="输入 2 4 5 2 6" xfId="44739"/>
    <cellStyle name="输入 2 11 8 5 5" xfId="44740"/>
    <cellStyle name="输入 2 11 8 5 6" xfId="44741"/>
    <cellStyle name="输入 2 11 8 6" xfId="44742"/>
    <cellStyle name="输入 2 11 8 6 2" xfId="44743"/>
    <cellStyle name="输入 2 11 8 6 2 2" xfId="44744"/>
    <cellStyle name="输入 2 11 8 6 3" xfId="44745"/>
    <cellStyle name="输入 2 11 8 6 3 2" xfId="44746"/>
    <cellStyle name="输入 2 11 8 6 4" xfId="44747"/>
    <cellStyle name="输入 2 11 8 6 4 2" xfId="44748"/>
    <cellStyle name="输入 2 4 6 2 6" xfId="44749"/>
    <cellStyle name="输入 2 11 8 6 6" xfId="44750"/>
    <cellStyle name="注释 2 8 9 10 2" xfId="44751"/>
    <cellStyle name="输入 2 11 8 7" xfId="44752"/>
    <cellStyle name="输入 2 11 8 7 2" xfId="44753"/>
    <cellStyle name="输入 2 11 8 7 2 2" xfId="44754"/>
    <cellStyle name="输入 2 11 8 7 3" xfId="44755"/>
    <cellStyle name="输入 2 11 8 7 3 2" xfId="44756"/>
    <cellStyle name="输入 2 11 8 7 4" xfId="44757"/>
    <cellStyle name="输入 2 11 8 7 4 2" xfId="44758"/>
    <cellStyle name="输入 2 4 7 2 6" xfId="44759"/>
    <cellStyle name="输入 2 11 8 7 5 2" xfId="44760"/>
    <cellStyle name="输入 2 4 7 3 6" xfId="44761"/>
    <cellStyle name="输入 2 11 8 7 6" xfId="44762"/>
    <cellStyle name="注释 2 8 9 11 2" xfId="44763"/>
    <cellStyle name="输入 2 11 8 8" xfId="44764"/>
    <cellStyle name="注释 2 9 10 7 5 2" xfId="44765"/>
    <cellStyle name="输入 2 11 8 8 2" xfId="44766"/>
    <cellStyle name="输入 2 11 8 8 2 2" xfId="44767"/>
    <cellStyle name="输入 2 11 8 8 3" xfId="44768"/>
    <cellStyle name="输入 2 11 8 8 3 2" xfId="44769"/>
    <cellStyle name="输入 2 11 8 8 4" xfId="44770"/>
    <cellStyle name="输入 2 11 8 8 4 2" xfId="44771"/>
    <cellStyle name="输入 2 4 8 2 6" xfId="44772"/>
    <cellStyle name="输入 2 11 8 9" xfId="44773"/>
    <cellStyle name="输入 2 11 9" xfId="44774"/>
    <cellStyle name="输入 2 11 9 10" xfId="44775"/>
    <cellStyle name="输入 2 3 10 2 2" xfId="44776"/>
    <cellStyle name="注释 2 10 4 2 5 2" xfId="44777"/>
    <cellStyle name="输入 2 11 9 10 2" xfId="44778"/>
    <cellStyle name="输入 2 3 10 2 2 2" xfId="44779"/>
    <cellStyle name="输入 2 11 9 11" xfId="44780"/>
    <cellStyle name="输入 2 3 10 2 3" xfId="44781"/>
    <cellStyle name="输入 2 11 9 11 2" xfId="44782"/>
    <cellStyle name="输入 2 3 10 2 3 2" xfId="44783"/>
    <cellStyle name="输入 2 11 9 12" xfId="44784"/>
    <cellStyle name="输入 2 3 10 2 4" xfId="44785"/>
    <cellStyle name="输入 2 11 9 12 2" xfId="44786"/>
    <cellStyle name="输入 2 3 10 2 4 2" xfId="44787"/>
    <cellStyle name="输入 2 11 9 13" xfId="44788"/>
    <cellStyle name="输入 2 3 10 2 5" xfId="44789"/>
    <cellStyle name="输入 2 11 9 15" xfId="44790"/>
    <cellStyle name="输入 2 3 10 2 7" xfId="44791"/>
    <cellStyle name="输入 2 11 9 16" xfId="44792"/>
    <cellStyle name="输入 2 3 10 2 8" xfId="44793"/>
    <cellStyle name="输入 2 8 3 9 2" xfId="44794"/>
    <cellStyle name="输入 2 11 9 2" xfId="44795"/>
    <cellStyle name="输入 2 11 9 2 2" xfId="44796"/>
    <cellStyle name="输入 2 11 9 2 3" xfId="44797"/>
    <cellStyle name="输入 2 11 9 2 4" xfId="44798"/>
    <cellStyle name="输入 2 11 9 3" xfId="44799"/>
    <cellStyle name="输入 2 11 9 3 2" xfId="44800"/>
    <cellStyle name="输入 2 11 9 3 3" xfId="44801"/>
    <cellStyle name="输入 2 11 9 3 4" xfId="44802"/>
    <cellStyle name="输入 2 11 9 6" xfId="44803"/>
    <cellStyle name="输入 2 11 9 7" xfId="44804"/>
    <cellStyle name="输入 2 11 9 8" xfId="44805"/>
    <cellStyle name="输入 2 11 9 9" xfId="44806"/>
    <cellStyle name="输入 2 12" xfId="44807"/>
    <cellStyle name="注释 2 12 3 5 2" xfId="44808"/>
    <cellStyle name="输入 2 12 10" xfId="44809"/>
    <cellStyle name="输入 2 12 10 5 2" xfId="44810"/>
    <cellStyle name="输入 2 12 11" xfId="44811"/>
    <cellStyle name="注释 2 10 6 4 2 2" xfId="44812"/>
    <cellStyle name="输入 2 12 11 5 2" xfId="44813"/>
    <cellStyle name="输入 2 8 3 14" xfId="44814"/>
    <cellStyle name="输入 2 12 11 6" xfId="44815"/>
    <cellStyle name="输入 2 12 12" xfId="44816"/>
    <cellStyle name="输入 2 12 12 5 2" xfId="44817"/>
    <cellStyle name="输入 2 8 8 14" xfId="44818"/>
    <cellStyle name="输入 2 12 12 6" xfId="44819"/>
    <cellStyle name="输入 2 12 13 5 2" xfId="44820"/>
    <cellStyle name="注释 2 10 8 7" xfId="44821"/>
    <cellStyle name="输入 2 12 13 6" xfId="44822"/>
    <cellStyle name="输入 2 12 14" xfId="44823"/>
    <cellStyle name="输入 2 12 14 5 2" xfId="44824"/>
    <cellStyle name="注释 2 11 8 7" xfId="44825"/>
    <cellStyle name="输入 2 12 14 6" xfId="44826"/>
    <cellStyle name="输入 2 12 15 5 2" xfId="44827"/>
    <cellStyle name="注释 2 12 8 7" xfId="44828"/>
    <cellStyle name="输入 2 12 15 6" xfId="44829"/>
    <cellStyle name="输入 2 12 16" xfId="44830"/>
    <cellStyle name="输入 2 12 21" xfId="44831"/>
    <cellStyle name="输入 2 12 16 4 2" xfId="44832"/>
    <cellStyle name="输入 2 12 16 5 2" xfId="44833"/>
    <cellStyle name="输入 2 9 3 14" xfId="44834"/>
    <cellStyle name="输入 2 12 16 6" xfId="44835"/>
    <cellStyle name="输入 2 12 17" xfId="44836"/>
    <cellStyle name="输入 2 12 22" xfId="44837"/>
    <cellStyle name="输入 2 12 17 2" xfId="44838"/>
    <cellStyle name="输入 2 12 17 2 2" xfId="44839"/>
    <cellStyle name="输入 2 12 17 3" xfId="44840"/>
    <cellStyle name="输入 2 12 17 3 2" xfId="44841"/>
    <cellStyle name="输入 2 12 17 4" xfId="44842"/>
    <cellStyle name="输入 2 12 17 4 2" xfId="44843"/>
    <cellStyle name="输入 2 12 17 5" xfId="44844"/>
    <cellStyle name="输入 2 12 18" xfId="44845"/>
    <cellStyle name="输入 2 12 23" xfId="44846"/>
    <cellStyle name="输入 2 12 19 2" xfId="44847"/>
    <cellStyle name="输入 2 12 2" xfId="44848"/>
    <cellStyle name="注释 2 12 3 5 2 2" xfId="44849"/>
    <cellStyle name="注释 2 2 3 2 4" xfId="44850"/>
    <cellStyle name="输入 2 12 2 10" xfId="44851"/>
    <cellStyle name="输入 2 12 2 11" xfId="44852"/>
    <cellStyle name="输入 2 12 2 13" xfId="44853"/>
    <cellStyle name="输入 2 12 2 14" xfId="44854"/>
    <cellStyle name="输入 2 12 2 15" xfId="44855"/>
    <cellStyle name="输入 2 12 2 2 2 2" xfId="44856"/>
    <cellStyle name="输入 2 12 2 2 3 2" xfId="44857"/>
    <cellStyle name="输入 2 12 2 2 4" xfId="44858"/>
    <cellStyle name="输入 2 12 2 2 5" xfId="44859"/>
    <cellStyle name="输入 2 12 2 2 5 2" xfId="44860"/>
    <cellStyle name="注释 2 2 9 10" xfId="44861"/>
    <cellStyle name="输入 2 12 2 2 6" xfId="44862"/>
    <cellStyle name="输入 2 12 2 2 7" xfId="44863"/>
    <cellStyle name="输入 2 12 2 2 9" xfId="44864"/>
    <cellStyle name="输入 2 12 2 3 2 2" xfId="44865"/>
    <cellStyle name="输入 2 12 2 3 3 2" xfId="44866"/>
    <cellStyle name="输入 2 12 2 3 4" xfId="44867"/>
    <cellStyle name="输入 2 12 2 3 5" xfId="44868"/>
    <cellStyle name="输入 2 12 2 3 5 2" xfId="44869"/>
    <cellStyle name="输入 2 12 2 3 6" xfId="44870"/>
    <cellStyle name="输入 2 12 2 4 2 2" xfId="44871"/>
    <cellStyle name="输入 2 12 2 4 3 2" xfId="44872"/>
    <cellStyle name="输入 2 12 2 4 4" xfId="44873"/>
    <cellStyle name="输入 2 12 2 4 5" xfId="44874"/>
    <cellStyle name="输入 2 12 2 4 5 2" xfId="44875"/>
    <cellStyle name="输入 2 12 2 5 2 2" xfId="44876"/>
    <cellStyle name="输入 2 12 2 5 3 2" xfId="44877"/>
    <cellStyle name="输入 2 12 2 5 4" xfId="44878"/>
    <cellStyle name="输入 2 12 2 5 5" xfId="44879"/>
    <cellStyle name="输入 2 12 2 5 5 2" xfId="44880"/>
    <cellStyle name="输入 2 12 2 6 2 2" xfId="44881"/>
    <cellStyle name="输入 2 12 2 6 3 2" xfId="44882"/>
    <cellStyle name="输入 2 12 2 6 4" xfId="44883"/>
    <cellStyle name="输入 2 12 2 6 4 2" xfId="44884"/>
    <cellStyle name="输入 2 12 2 6 5" xfId="44885"/>
    <cellStyle name="输入 2 12 2 6 5 2" xfId="44886"/>
    <cellStyle name="注释 2 3 4 10" xfId="44887"/>
    <cellStyle name="输入 2 12 2 7 2" xfId="44888"/>
    <cellStyle name="注释 2 5 2 8 3 2" xfId="44889"/>
    <cellStyle name="输入 2 12 2 7 2 2" xfId="44890"/>
    <cellStyle name="输入 2 12 2 7 3 2" xfId="44891"/>
    <cellStyle name="输入 2 12 2 7 4" xfId="44892"/>
    <cellStyle name="输入 2 12 2 7 4 2" xfId="44893"/>
    <cellStyle name="输入 2 12 2 7 5" xfId="44894"/>
    <cellStyle name="输入 2 12 2 7 5 2" xfId="44895"/>
    <cellStyle name="注释 2 3 9 10" xfId="44896"/>
    <cellStyle name="输入 2 12 2 7 6" xfId="44897"/>
    <cellStyle name="输入 2 12 2 8" xfId="44898"/>
    <cellStyle name="注释 2 5 2 8 4" xfId="44899"/>
    <cellStyle name="输入 2 12 2 8 2" xfId="44900"/>
    <cellStyle name="注释 2 5 2 8 4 2" xfId="44901"/>
    <cellStyle name="输入 2 12 2 8 2 2" xfId="44902"/>
    <cellStyle name="输入 2 12 2 8 3 2" xfId="44903"/>
    <cellStyle name="输入 2 12 2 8 4" xfId="44904"/>
    <cellStyle name="输入 2 12 2 8 5" xfId="44905"/>
    <cellStyle name="输入 2 12 2 9" xfId="44906"/>
    <cellStyle name="注释 2 5 2 8 5" xfId="44907"/>
    <cellStyle name="输入 2 12 25" xfId="44908"/>
    <cellStyle name="输入 2 12 3" xfId="44909"/>
    <cellStyle name="输入 2 4 11 2 4 2" xfId="44910"/>
    <cellStyle name="注释 2 2 3 2 5" xfId="44911"/>
    <cellStyle name="输入 2 12 3 15" xfId="44912"/>
    <cellStyle name="输入 2 12 3 16" xfId="44913"/>
    <cellStyle name="输入 2 8 7 4 2" xfId="44914"/>
    <cellStyle name="输入 2 12 3 2 2 2" xfId="44915"/>
    <cellStyle name="输入 2 12 3 2 3" xfId="44916"/>
    <cellStyle name="输入 2 12 3 2 3 2" xfId="44917"/>
    <cellStyle name="输入 2 12 3 2 4" xfId="44918"/>
    <cellStyle name="输入 2 12 3 2 5" xfId="44919"/>
    <cellStyle name="输入 2 12 3 2 5 2" xfId="44920"/>
    <cellStyle name="注释 2 7 9 10" xfId="44921"/>
    <cellStyle name="输入 2 12 3 2 6" xfId="44922"/>
    <cellStyle name="输入 2 12 3 2 7" xfId="44923"/>
    <cellStyle name="输入 2 12 3 2 9" xfId="44924"/>
    <cellStyle name="输入 2 12 3 3 2 2" xfId="44925"/>
    <cellStyle name="输入 2 12 3 3 3 2" xfId="44926"/>
    <cellStyle name="输入 2 12 3 3 4" xfId="44927"/>
    <cellStyle name="输入 2 12 3 3 5" xfId="44928"/>
    <cellStyle name="输入 2 12 3 3 5 2" xfId="44929"/>
    <cellStyle name="输入 2 12 3 3 6" xfId="44930"/>
    <cellStyle name="输入 2 12 3 4 2 2" xfId="44931"/>
    <cellStyle name="输入 2 12 3 4 3 2" xfId="44932"/>
    <cellStyle name="输入 2 12 3 4 4" xfId="44933"/>
    <cellStyle name="输入 2 12 3 4 5" xfId="44934"/>
    <cellStyle name="输入 2 12 3 4 5 2" xfId="44935"/>
    <cellStyle name="输入 2 12 3 4 6" xfId="44936"/>
    <cellStyle name="输入 2 12 3 5 2 2" xfId="44937"/>
    <cellStyle name="输入 2 12 3 5 3 2" xfId="44938"/>
    <cellStyle name="输入 2 12 3 5 4" xfId="44939"/>
    <cellStyle name="输入 2 12 3 5 5" xfId="44940"/>
    <cellStyle name="输入 2 12 3 5 5 2" xfId="44941"/>
    <cellStyle name="输入 2 12 3 5 6" xfId="44942"/>
    <cellStyle name="输入 2 12 3 6 2" xfId="44943"/>
    <cellStyle name="输入 2 12 3 6 2 2" xfId="44944"/>
    <cellStyle name="输入 2 12 3 6 3 2" xfId="44945"/>
    <cellStyle name="输入 2 12 3 6 4" xfId="44946"/>
    <cellStyle name="输入 2 12 3 6 4 2" xfId="44947"/>
    <cellStyle name="输入 2 12 3 6 5" xfId="44948"/>
    <cellStyle name="输入 2 12 3 6 5 2" xfId="44949"/>
    <cellStyle name="注释 2 8 4 10" xfId="44950"/>
    <cellStyle name="输入 2 12 3 6 6" xfId="44951"/>
    <cellStyle name="输入 2 12 3 7" xfId="44952"/>
    <cellStyle name="输入 2 12 3 7 2" xfId="44953"/>
    <cellStyle name="输入 2 12 3 7 2 2" xfId="44954"/>
    <cellStyle name="输入 2 12 3 7 3 2" xfId="44955"/>
    <cellStyle name="输入 2 12 3 7 4" xfId="44956"/>
    <cellStyle name="输入 2 12 3 7 4 2" xfId="44957"/>
    <cellStyle name="输入 2 12 3 7 5" xfId="44958"/>
    <cellStyle name="输入 2 12 3 7 5 2" xfId="44959"/>
    <cellStyle name="注释 2 8 9 10" xfId="44960"/>
    <cellStyle name="输入 2 12 3 7 6" xfId="44961"/>
    <cellStyle name="输入 2 12 3 8" xfId="44962"/>
    <cellStyle name="输入 2 12 3 8 2" xfId="44963"/>
    <cellStyle name="输入 2 12 3 8 2 2" xfId="44964"/>
    <cellStyle name="输入 2 12 3 8 3 2" xfId="44965"/>
    <cellStyle name="输入 2 12 3 8 4" xfId="44966"/>
    <cellStyle name="输入 2 12 3 8 5" xfId="44967"/>
    <cellStyle name="输入 2 12 3 9" xfId="44968"/>
    <cellStyle name="输入 2 12 4" xfId="44969"/>
    <cellStyle name="注释 2 2 3 2 6" xfId="44970"/>
    <cellStyle name="输入 2 12 4 10" xfId="44971"/>
    <cellStyle name="输入 2 3 14 2 2" xfId="44972"/>
    <cellStyle name="注释 2 10 4 6 5 2" xfId="44973"/>
    <cellStyle name="输入 2 12 4 10 2" xfId="44974"/>
    <cellStyle name="输入 2 8 9 14" xfId="44975"/>
    <cellStyle name="输入 2 12 4 11" xfId="44976"/>
    <cellStyle name="输入 2 12 4 11 2" xfId="44977"/>
    <cellStyle name="输入 2 12 4 12" xfId="44978"/>
    <cellStyle name="输入 2 12 4 13" xfId="44979"/>
    <cellStyle name="输入 2 12 4 15" xfId="44980"/>
    <cellStyle name="输入 2 12 4 16" xfId="44981"/>
    <cellStyle name="输入 2 8 7 9 2" xfId="44982"/>
    <cellStyle name="输入 2 12 4 2 3" xfId="44983"/>
    <cellStyle name="输入 2 12 4 2 3 2" xfId="44984"/>
    <cellStyle name="输入 2 12 4 2 4" xfId="44985"/>
    <cellStyle name="注释 2 11 16 2" xfId="44986"/>
    <cellStyle name="注释 2 11 21 2" xfId="44987"/>
    <cellStyle name="输入 2 12 4 2 5" xfId="44988"/>
    <cellStyle name="注释 2 11 16 3" xfId="44989"/>
    <cellStyle name="输入 2 12 4 2 6" xfId="44990"/>
    <cellStyle name="注释 2 11 16 4" xfId="44991"/>
    <cellStyle name="输入 2 12 4 2 7" xfId="44992"/>
    <cellStyle name="注释 2 11 16 5" xfId="44993"/>
    <cellStyle name="输入 2 12 4 2 8" xfId="44994"/>
    <cellStyle name="注释 2 11 16 6" xfId="44995"/>
    <cellStyle name="输入 2 12 4 2 9" xfId="44996"/>
    <cellStyle name="输入 2 12 4 3 2 2" xfId="44997"/>
    <cellStyle name="输入 2 12 4 3 3" xfId="44998"/>
    <cellStyle name="输入 2 7 11 4 2 2" xfId="44999"/>
    <cellStyle name="输入 2 12 4 3 3 2" xfId="45000"/>
    <cellStyle name="输入 2 12 4 3 4" xfId="45001"/>
    <cellStyle name="注释 2 11 17 2" xfId="45002"/>
    <cellStyle name="注释 2 11 22 2" xfId="45003"/>
    <cellStyle name="输入 2 12 4 3 5" xfId="45004"/>
    <cellStyle name="注释 2 11 17 3" xfId="45005"/>
    <cellStyle name="输入 2 12 4 3 6" xfId="45006"/>
    <cellStyle name="注释 2 11 17 4" xfId="45007"/>
    <cellStyle name="输入 2 12 4 4 2" xfId="45008"/>
    <cellStyle name="输入 2 12 4 4 2 2" xfId="45009"/>
    <cellStyle name="输入 2 12 4 4 3" xfId="45010"/>
    <cellStyle name="输入 2 7 11 4 3 2" xfId="45011"/>
    <cellStyle name="输入 2 12 4 4 3 2" xfId="45012"/>
    <cellStyle name="输入 2 12 4 4 4" xfId="45013"/>
    <cellStyle name="注释 2 11 18 2" xfId="45014"/>
    <cellStyle name="注释 2 11 23 2" xfId="45015"/>
    <cellStyle name="输入 2 12 4 4 5" xfId="45016"/>
    <cellStyle name="注释 2 11 18 3" xfId="45017"/>
    <cellStyle name="输入 2 12 4 4 6" xfId="45018"/>
    <cellStyle name="注释 2 11 18 4" xfId="45019"/>
    <cellStyle name="输入 2 12 4 5" xfId="45020"/>
    <cellStyle name="输入 2 12 4 5 2" xfId="45021"/>
    <cellStyle name="输入 2 12 4 5 2 2" xfId="45022"/>
    <cellStyle name="输入 2 12 4 5 3 2" xfId="45023"/>
    <cellStyle name="输入 2 12 4 5 4" xfId="45024"/>
    <cellStyle name="注释 2 11 19 2" xfId="45025"/>
    <cellStyle name="输入 2 12 4 5 5" xfId="45026"/>
    <cellStyle name="注释 2 11 19 3" xfId="45027"/>
    <cellStyle name="输入 2 12 4 5 6" xfId="45028"/>
    <cellStyle name="注释 2 11 19 4" xfId="45029"/>
    <cellStyle name="输入 2 12 4 6" xfId="45030"/>
    <cellStyle name="注释 2 17 10 2" xfId="45031"/>
    <cellStyle name="注释 2 8 4 2 3 2" xfId="45032"/>
    <cellStyle name="输入 2 12 4 6 2" xfId="45033"/>
    <cellStyle name="输入 2 12 4 6 2 2" xfId="45034"/>
    <cellStyle name="输入 2 12 4 6 3 2" xfId="45035"/>
    <cellStyle name="输入 2 12 4 6 4" xfId="45036"/>
    <cellStyle name="输入 2 12 4 6 4 2" xfId="45037"/>
    <cellStyle name="输入 2 12 4 6 6" xfId="45038"/>
    <cellStyle name="输入 2 12 4 7" xfId="45039"/>
    <cellStyle name="输入 2 12 4 7 2" xfId="45040"/>
    <cellStyle name="注释 2 10 18" xfId="45041"/>
    <cellStyle name="注释 2 10 23" xfId="45042"/>
    <cellStyle name="输入 2 12 4 7 2 2" xfId="45043"/>
    <cellStyle name="注释 2 10 18 2" xfId="45044"/>
    <cellStyle name="注释 2 10 23 2" xfId="45045"/>
    <cellStyle name="输入 2 12 4 7 4" xfId="45046"/>
    <cellStyle name="注释 2 10 25" xfId="45047"/>
    <cellStyle name="输入 2 12 4 7 4 2" xfId="45048"/>
    <cellStyle name="输入 2 12 4 7 5 2" xfId="45049"/>
    <cellStyle name="输入 2 12 4 7 6" xfId="45050"/>
    <cellStyle name="注释 2 10 27" xfId="45051"/>
    <cellStyle name="输入 2 12 4 8" xfId="45052"/>
    <cellStyle name="输入 2 12 4 8 2" xfId="45053"/>
    <cellStyle name="输入 2 12 4 8 2 2" xfId="45054"/>
    <cellStyle name="输入 2 12 4 8 3 2" xfId="45055"/>
    <cellStyle name="输入 2 12 4 8 4" xfId="45056"/>
    <cellStyle name="输入 2 12 4 8 4 2" xfId="45057"/>
    <cellStyle name="输入 2 12 4 9" xfId="45058"/>
    <cellStyle name="输入 2 12 5" xfId="45059"/>
    <cellStyle name="注释 2 2 3 2 7" xfId="45060"/>
    <cellStyle name="输入 2 12 5 10" xfId="45061"/>
    <cellStyle name="输入 2 12 5 10 2" xfId="45062"/>
    <cellStyle name="输入 2 9 9 14" xfId="45063"/>
    <cellStyle name="输入 2 12 5 11" xfId="45064"/>
    <cellStyle name="输入 2 12 5 12 2" xfId="45065"/>
    <cellStyle name="输入 2 12 5 13" xfId="45066"/>
    <cellStyle name="输入 2 12 5 14" xfId="45067"/>
    <cellStyle name="输入 2 3 4 2 2 2" xfId="45068"/>
    <cellStyle name="输入 2 12 5 15" xfId="45069"/>
    <cellStyle name="输入 2 12 5 16" xfId="45070"/>
    <cellStyle name="输入 2 12 5 2 2 2" xfId="45071"/>
    <cellStyle name="输入 2 12 5 2 3" xfId="45072"/>
    <cellStyle name="输入 2 12 5 2 3 2" xfId="45073"/>
    <cellStyle name="输入 2 12 5 2 4" xfId="45074"/>
    <cellStyle name="输入 2 12 5 2 5" xfId="45075"/>
    <cellStyle name="输入 2 12 5 3 3" xfId="45076"/>
    <cellStyle name="输入 2 7 11 5 2 2" xfId="45077"/>
    <cellStyle name="输入 2 12 5 3 3 2" xfId="45078"/>
    <cellStyle name="输入 2 12 5 3 4" xfId="45079"/>
    <cellStyle name="输入 2 12 5 3 5" xfId="45080"/>
    <cellStyle name="输入 2 12 5 4 2" xfId="45081"/>
    <cellStyle name="输入 2 12 5 4 2 2" xfId="45082"/>
    <cellStyle name="输入 2 12 5 4 3" xfId="45083"/>
    <cellStyle name="输入 2 7 11 5 3 2" xfId="45084"/>
    <cellStyle name="输入 2 12 5 4 3 2" xfId="45085"/>
    <cellStyle name="输入 2 12 5 5" xfId="45086"/>
    <cellStyle name="输入 2 12 5 5 2" xfId="45087"/>
    <cellStyle name="输入 2 12 5 5 2 2" xfId="45088"/>
    <cellStyle name="输入 2 12 5 5 3 2" xfId="45089"/>
    <cellStyle name="输入 2 12 5 5 4" xfId="45090"/>
    <cellStyle name="输入 2 12 5 5 5" xfId="45091"/>
    <cellStyle name="输入 2 12 5 5 6" xfId="45092"/>
    <cellStyle name="输入 2 12 5 6" xfId="45093"/>
    <cellStyle name="注释 2 17 11 2" xfId="45094"/>
    <cellStyle name="注释 2 8 4 2 4 2" xfId="45095"/>
    <cellStyle name="输入 2 12 5 6 2" xfId="45096"/>
    <cellStyle name="输入 2 12 5 6 2 2" xfId="45097"/>
    <cellStyle name="输入 2 12 5 6 3 2" xfId="45098"/>
    <cellStyle name="输入 2 12 5 6 4" xfId="45099"/>
    <cellStyle name="输入 2 12 5 6 4 2" xfId="45100"/>
    <cellStyle name="输入 2 12 5 6 6" xfId="45101"/>
    <cellStyle name="输入 2 12 5 7" xfId="45102"/>
    <cellStyle name="输入 2 12 5 7 2" xfId="45103"/>
    <cellStyle name="注释 2 8 10 11" xfId="45104"/>
    <cellStyle name="输入 2 12 5 7 2 2" xfId="45105"/>
    <cellStyle name="输入 2 2 12 6" xfId="45106"/>
    <cellStyle name="注释 2 8 10 11 2" xfId="45107"/>
    <cellStyle name="输入 2 12 5 7 3 2" xfId="45108"/>
    <cellStyle name="输入 2 2 13 6" xfId="45109"/>
    <cellStyle name="注释 2 8 10 12 2" xfId="45110"/>
    <cellStyle name="输入 2 12 5 7 4" xfId="45111"/>
    <cellStyle name="注释 2 8 10 13" xfId="45112"/>
    <cellStyle name="输入 2 12 5 7 4 2" xfId="45113"/>
    <cellStyle name="输入 2 2 14 6" xfId="45114"/>
    <cellStyle name="输入 2 12 5 7 5 2" xfId="45115"/>
    <cellStyle name="输入 2 2 15 6" xfId="45116"/>
    <cellStyle name="输入 2 12 5 7 6" xfId="45117"/>
    <cellStyle name="注释 2 8 10 15" xfId="45118"/>
    <cellStyle name="输入 2 12 5 8" xfId="45119"/>
    <cellStyle name="注释 2 9 10 8 2 2" xfId="45120"/>
    <cellStyle name="输入 2 12 5 8 2" xfId="45121"/>
    <cellStyle name="输入 2 12 5 8 3" xfId="45122"/>
    <cellStyle name="输入 2 12 5 8 3 2" xfId="45123"/>
    <cellStyle name="输入 2 12 5 8 4" xfId="45124"/>
    <cellStyle name="输入 2 12 5 8 4 2" xfId="45125"/>
    <cellStyle name="输入 2 12 5 9" xfId="45126"/>
    <cellStyle name="输入 2 12 6 10" xfId="45127"/>
    <cellStyle name="输入 2 12 6 10 2" xfId="45128"/>
    <cellStyle name="输入 2 12 6 11 2" xfId="45129"/>
    <cellStyle name="输入 2 8 27" xfId="45130"/>
    <cellStyle name="输入 2 12 6 12" xfId="45131"/>
    <cellStyle name="输入 2 12 6 12 2" xfId="45132"/>
    <cellStyle name="输入 2 12 6 13" xfId="45133"/>
    <cellStyle name="输入 2 12 6 15" xfId="45134"/>
    <cellStyle name="输入 2 12 8 7 3 2" xfId="45135"/>
    <cellStyle name="输入 2 12 6 2 2 2" xfId="45136"/>
    <cellStyle name="输入 2 6 12 6" xfId="45137"/>
    <cellStyle name="输入 2 12 6 2 3" xfId="45138"/>
    <cellStyle name="输入 2 12 6 2 3 2" xfId="45139"/>
    <cellStyle name="输入 2 6 13 6" xfId="45140"/>
    <cellStyle name="输入 2 12 6 2 4" xfId="45141"/>
    <cellStyle name="输入 2 12 6 2 5" xfId="45142"/>
    <cellStyle name="输入 2 12 6 3 2 2" xfId="45143"/>
    <cellStyle name="输入 2 12 6 3 3" xfId="45144"/>
    <cellStyle name="输入 2 7 11 6 2 2" xfId="45145"/>
    <cellStyle name="输入 2 12 6 3 3 2" xfId="45146"/>
    <cellStyle name="输入 2 12 6 3 4" xfId="45147"/>
    <cellStyle name="输入 2 12 6 3 5" xfId="45148"/>
    <cellStyle name="输入 2 12 6 4 2 2" xfId="45149"/>
    <cellStyle name="输入 2 12 6 4 3" xfId="45150"/>
    <cellStyle name="输入 2 7 11 6 3 2" xfId="45151"/>
    <cellStyle name="输入 2 12 6 4 3 2" xfId="45152"/>
    <cellStyle name="输入 2 12 6 4 4" xfId="45153"/>
    <cellStyle name="输入 2 12 6 4 5" xfId="45154"/>
    <cellStyle name="输入 2 12 6 4 6" xfId="45155"/>
    <cellStyle name="输入 2 12 6 5 2 2" xfId="45156"/>
    <cellStyle name="输入 2 12 6 5 3" xfId="45157"/>
    <cellStyle name="输入 2 7 11 6 4 2" xfId="45158"/>
    <cellStyle name="输入 2 12 6 5 3 2" xfId="45159"/>
    <cellStyle name="输入 2 12 6 5 4" xfId="45160"/>
    <cellStyle name="输入 2 12 6 5 5" xfId="45161"/>
    <cellStyle name="输入 2 12 6 5 6" xfId="45162"/>
    <cellStyle name="输入 2 12 6 6 2 2" xfId="45163"/>
    <cellStyle name="输入 2 12 6 6 3" xfId="45164"/>
    <cellStyle name="输入 2 7 11 6 5 2" xfId="45165"/>
    <cellStyle name="输入 2 12 6 6 4" xfId="45166"/>
    <cellStyle name="输入 2 12 6 6 4 2" xfId="45167"/>
    <cellStyle name="输入 2 12 6 6 6" xfId="45168"/>
    <cellStyle name="输入 2 12 6 7 2" xfId="45169"/>
    <cellStyle name="输入 2 12 6 7 2 2" xfId="45170"/>
    <cellStyle name="输入 2 7 12 6" xfId="45171"/>
    <cellStyle name="输入 2 12 6 7 3" xfId="45172"/>
    <cellStyle name="输入 2 12 6 7 3 2" xfId="45173"/>
    <cellStyle name="输入 2 7 13 6" xfId="45174"/>
    <cellStyle name="输入 2 12 6 7 4" xfId="45175"/>
    <cellStyle name="输入 2 12 6 7 4 2" xfId="45176"/>
    <cellStyle name="输入 2 7 14 6" xfId="45177"/>
    <cellStyle name="输入 2 12 6 7 6" xfId="45178"/>
    <cellStyle name="输入 2 12 6 8 2" xfId="45179"/>
    <cellStyle name="输入 2 12 6 8 2 2" xfId="45180"/>
    <cellStyle name="输入 2 12 6 8 3" xfId="45181"/>
    <cellStyle name="输入 2 12 6 8 3 2" xfId="45182"/>
    <cellStyle name="输入 2 2 11 15" xfId="45183"/>
    <cellStyle name="输入 2 12 6 8 4" xfId="45184"/>
    <cellStyle name="输入 2 12 6 8 4 2" xfId="45185"/>
    <cellStyle name="输入 2 12 7" xfId="45186"/>
    <cellStyle name="注释 2 2 3 2 9" xfId="45187"/>
    <cellStyle name="输入 2 12 7 10" xfId="45188"/>
    <cellStyle name="输入 2 12 7 11" xfId="45189"/>
    <cellStyle name="输入 2 12 7 13" xfId="45190"/>
    <cellStyle name="输入 2 12 7 14" xfId="45191"/>
    <cellStyle name="输入 2 12 7 15" xfId="45192"/>
    <cellStyle name="输入 2 12 7 2 2 2" xfId="45193"/>
    <cellStyle name="输入 2 12 7 2 3 2" xfId="45194"/>
    <cellStyle name="输入 2 12 7 2 4" xfId="45195"/>
    <cellStyle name="输入 2 12 7 2 5" xfId="45196"/>
    <cellStyle name="输入 2 12 7 2 5 2" xfId="45197"/>
    <cellStyle name="输入 2 12 7 2 6" xfId="45198"/>
    <cellStyle name="输入 2 12 7 2 7" xfId="45199"/>
    <cellStyle name="输入 2 12 7 2 8" xfId="45200"/>
    <cellStyle name="输入 2 12 7 2 9" xfId="45201"/>
    <cellStyle name="输入 2 12 7 3 2" xfId="45202"/>
    <cellStyle name="输入 2 12 7 3 2 2" xfId="45203"/>
    <cellStyle name="输入 2 12 7 3 3" xfId="45204"/>
    <cellStyle name="输入 2 7 11 7 2 2" xfId="45205"/>
    <cellStyle name="输入 2 12 7 3 3 2" xfId="45206"/>
    <cellStyle name="输入 2 12 7 3 4" xfId="45207"/>
    <cellStyle name="输入 2 12 7 3 5" xfId="45208"/>
    <cellStyle name="输入 2 12 7 3 5 2" xfId="45209"/>
    <cellStyle name="输入 2 12 7 3 6" xfId="45210"/>
    <cellStyle name="输入 2 12 7 4 2" xfId="45211"/>
    <cellStyle name="输入 2 12 7 4 2 2" xfId="45212"/>
    <cellStyle name="输入 2 12 7 4 3" xfId="45213"/>
    <cellStyle name="输入 2 7 11 7 3 2" xfId="45214"/>
    <cellStyle name="输入 2 12 7 4 3 2" xfId="45215"/>
    <cellStyle name="输入 2 12 7 4 4" xfId="45216"/>
    <cellStyle name="输入 2 12 7 4 5" xfId="45217"/>
    <cellStyle name="输入 2 12 7 4 5 2" xfId="45218"/>
    <cellStyle name="输入 2 12 7 5 2" xfId="45219"/>
    <cellStyle name="输入 2 12 7 5 3" xfId="45220"/>
    <cellStyle name="输入 2 7 11 7 4 2" xfId="45221"/>
    <cellStyle name="输入 2 12 7 5 4" xfId="45222"/>
    <cellStyle name="输入 2 12 7 5 5" xfId="45223"/>
    <cellStyle name="输入 2 12 7 5 5 2" xfId="45224"/>
    <cellStyle name="输入 2 12 7 6" xfId="45225"/>
    <cellStyle name="输入 2 12 7 6 2" xfId="45226"/>
    <cellStyle name="输入 2 12 7 6 2 2" xfId="45227"/>
    <cellStyle name="注释 2 10 10 7 5" xfId="45228"/>
    <cellStyle name="输入 2 12 7 6 3" xfId="45229"/>
    <cellStyle name="输入 2 7 11 7 5 2" xfId="45230"/>
    <cellStyle name="输入 2 12 7 6 3 2" xfId="45231"/>
    <cellStyle name="注释 2 10 10 8 5" xfId="45232"/>
    <cellStyle name="输入 2 12 7 6 4" xfId="45233"/>
    <cellStyle name="输入 2 12 7 6 4 2" xfId="45234"/>
    <cellStyle name="输入 2 12 7 6 5 2" xfId="45235"/>
    <cellStyle name="输入 2 12 7 7" xfId="45236"/>
    <cellStyle name="输入 2 12 7 7 2" xfId="45237"/>
    <cellStyle name="输入 2 12 7 7 2 2" xfId="45238"/>
    <cellStyle name="注释 2 10 11 7 5" xfId="45239"/>
    <cellStyle name="输入 2 12 7 7 3" xfId="45240"/>
    <cellStyle name="输入 2 12 7 7 3 2" xfId="45241"/>
    <cellStyle name="注释 2 10 11 8 5" xfId="45242"/>
    <cellStyle name="输入 2 12 7 7 4" xfId="45243"/>
    <cellStyle name="输入 2 12 7 7 4 2" xfId="45244"/>
    <cellStyle name="输入 2 12 7 7 5 2" xfId="45245"/>
    <cellStyle name="输入 2 12 7 7 6" xfId="45246"/>
    <cellStyle name="输入 2 12 7 8" xfId="45247"/>
    <cellStyle name="注释 2 9 10 8 4 2" xfId="45248"/>
    <cellStyle name="输入 2 12 7 8 2" xfId="45249"/>
    <cellStyle name="输入 2 12 7 8 2 2" xfId="45250"/>
    <cellStyle name="输入 2 12 7 8 3" xfId="45251"/>
    <cellStyle name="输入 2 12 7 8 3 2" xfId="45252"/>
    <cellStyle name="输入 2 3 11 15" xfId="45253"/>
    <cellStyle name="输入 2 12 7 8 4" xfId="45254"/>
    <cellStyle name="输入 2 12 7 8 4 2" xfId="45255"/>
    <cellStyle name="输入 2 12 7 9" xfId="45256"/>
    <cellStyle name="输入 2 12 8" xfId="45257"/>
    <cellStyle name="输入 2 12 8 14" xfId="45258"/>
    <cellStyle name="输入 2 12 8 15" xfId="45259"/>
    <cellStyle name="输入 2 12 8 16" xfId="45260"/>
    <cellStyle name="输入 2 8 8 4 2" xfId="45261"/>
    <cellStyle name="输入 2 12 8 2" xfId="45262"/>
    <cellStyle name="输入 2 12 8 2 2" xfId="45263"/>
    <cellStyle name="输入 2 12 8 2 2 2" xfId="45264"/>
    <cellStyle name="输入 2 12 8 2 4" xfId="45265"/>
    <cellStyle name="输入 2 12 8 2 5" xfId="45266"/>
    <cellStyle name="输入 2 12 8 2 5 2" xfId="45267"/>
    <cellStyle name="输入 2 12 8 2 6" xfId="45268"/>
    <cellStyle name="输入 2 12 8 2 7" xfId="45269"/>
    <cellStyle name="输入 2 12 8 2 8" xfId="45270"/>
    <cellStyle name="输入 2 12 8 2 9" xfId="45271"/>
    <cellStyle name="注释 2 7 7 2 2 2" xfId="45272"/>
    <cellStyle name="输入 2 12 8 3" xfId="45273"/>
    <cellStyle name="输入 2 12 8 3 2" xfId="45274"/>
    <cellStyle name="输入 2 12 8 3 2 2" xfId="45275"/>
    <cellStyle name="输入 2 12 8 3 3" xfId="45276"/>
    <cellStyle name="输入 2 7 11 8 2 2" xfId="45277"/>
    <cellStyle name="输入 2 12 8 3 3 2" xfId="45278"/>
    <cellStyle name="输入 2 12 8 3 4" xfId="45279"/>
    <cellStyle name="输入 2 12 8 3 5" xfId="45280"/>
    <cellStyle name="输入 2 12 8 3 5 2" xfId="45281"/>
    <cellStyle name="输入 2 12 8 3 6" xfId="45282"/>
    <cellStyle name="输入 2 12 8 4 2" xfId="45283"/>
    <cellStyle name="输入 2 12 8 4 3" xfId="45284"/>
    <cellStyle name="输入 2 7 11 8 3 2" xfId="45285"/>
    <cellStyle name="输入 2 12 8 4 4" xfId="45286"/>
    <cellStyle name="输入 2 12 8 4 5" xfId="45287"/>
    <cellStyle name="输入 2 12 8 4 6" xfId="45288"/>
    <cellStyle name="输入 2 12 8 5 2" xfId="45289"/>
    <cellStyle name="输入 2 12 8 5 3" xfId="45290"/>
    <cellStyle name="输入 2 7 11 8 4 2" xfId="45291"/>
    <cellStyle name="输入 2 12 8 5 4" xfId="45292"/>
    <cellStyle name="输入 2 12 8 5 5" xfId="45293"/>
    <cellStyle name="输入 2 12 8 5 6" xfId="45294"/>
    <cellStyle name="输入 2 12 8 6" xfId="45295"/>
    <cellStyle name="输入 2 12 8 6 2" xfId="45296"/>
    <cellStyle name="输入 2 12 8 6 2 2" xfId="45297"/>
    <cellStyle name="输入 2 12 8 6 3" xfId="45298"/>
    <cellStyle name="输入 2 12 8 6 3 2" xfId="45299"/>
    <cellStyle name="输入 2 12 8 6 4" xfId="45300"/>
    <cellStyle name="输入 2 12 8 6 4 2" xfId="45301"/>
    <cellStyle name="输入 2 12 8 6 5 2" xfId="45302"/>
    <cellStyle name="输入 2 12 8 6 6" xfId="45303"/>
    <cellStyle name="输入 2 12 8 7" xfId="45304"/>
    <cellStyle name="输入 2 12 8 7 2" xfId="45305"/>
    <cellStyle name="输入 2 12 8 7 2 2" xfId="45306"/>
    <cellStyle name="输入 2 12 8 7 3" xfId="45307"/>
    <cellStyle name="输入 2 12 8 7 4" xfId="45308"/>
    <cellStyle name="输入 2 12 8 7 4 2" xfId="45309"/>
    <cellStyle name="输入 2 12 8 7 5 2" xfId="45310"/>
    <cellStyle name="输入 2 12 8 7 6" xfId="45311"/>
    <cellStyle name="输入 2 12 8 8" xfId="45312"/>
    <cellStyle name="输入 2 12 8 8 2" xfId="45313"/>
    <cellStyle name="输入 2 12 8 8 2 2" xfId="45314"/>
    <cellStyle name="输入 2 12 8 8 3" xfId="45315"/>
    <cellStyle name="输入 2 12 8 8 3 2" xfId="45316"/>
    <cellStyle name="输入 2 4 11 15" xfId="45317"/>
    <cellStyle name="输入 2 12 8 8 4" xfId="45318"/>
    <cellStyle name="输入 2 12 8 8 4 2" xfId="45319"/>
    <cellStyle name="输入 2 12 8 9" xfId="45320"/>
    <cellStyle name="输入 2 12 9 10" xfId="45321"/>
    <cellStyle name="输入 2 3 15 2 2" xfId="45322"/>
    <cellStyle name="注释 2 10 4 7 5 2" xfId="45323"/>
    <cellStyle name="输入 2 12 9 10 2" xfId="45324"/>
    <cellStyle name="输入 2 12 9 11" xfId="45325"/>
    <cellStyle name="输入 2 12 9 11 2" xfId="45326"/>
    <cellStyle name="输入 2 12 9 12" xfId="45327"/>
    <cellStyle name="输入 2 12 9 12 2" xfId="45328"/>
    <cellStyle name="输入 2 12 9 13" xfId="45329"/>
    <cellStyle name="输入 2 12 9 15" xfId="45330"/>
    <cellStyle name="输入 2 12 9 16" xfId="45331"/>
    <cellStyle name="输入 2 8 8 9 2" xfId="45332"/>
    <cellStyle name="输入 2 12 9 2" xfId="45333"/>
    <cellStyle name="输入 2 12 9 2 2" xfId="45334"/>
    <cellStyle name="输入 2 12 9 2 2 2" xfId="45335"/>
    <cellStyle name="输入 2 12 9 2 3 2" xfId="45336"/>
    <cellStyle name="输入 2 12 9 2 4" xfId="45337"/>
    <cellStyle name="注释 2 12 16 2" xfId="45338"/>
    <cellStyle name="注释 2 12 21 2" xfId="45339"/>
    <cellStyle name="输入 2 12 9 2 4 2" xfId="45340"/>
    <cellStyle name="注释 2 12 16 2 2" xfId="45341"/>
    <cellStyle name="输入 2 12 9 2 5" xfId="45342"/>
    <cellStyle name="注释 2 12 16 3" xfId="45343"/>
    <cellStyle name="输入 2 12 9 2 5 2" xfId="45344"/>
    <cellStyle name="注释 2 12 16 3 2" xfId="45345"/>
    <cellStyle name="输入 2 12 9 2 6" xfId="45346"/>
    <cellStyle name="注释 2 12 16 4" xfId="45347"/>
    <cellStyle name="输入 2 12 9 3" xfId="45348"/>
    <cellStyle name="输入 2 12 9 3 2" xfId="45349"/>
    <cellStyle name="输入 2 12 9 3 2 2" xfId="45350"/>
    <cellStyle name="输入 2 12 9 3 3" xfId="45351"/>
    <cellStyle name="输入 2 12 9 3 3 2" xfId="45352"/>
    <cellStyle name="输入 2 12 9 3 4" xfId="45353"/>
    <cellStyle name="注释 2 12 17 2" xfId="45354"/>
    <cellStyle name="输入 2 12 9 3 4 2" xfId="45355"/>
    <cellStyle name="注释 2 12 17 2 2" xfId="45356"/>
    <cellStyle name="输入 2 12 9 3 5" xfId="45357"/>
    <cellStyle name="注释 2 12 17 3" xfId="45358"/>
    <cellStyle name="输入 2 12 9 3 5 2" xfId="45359"/>
    <cellStyle name="注释 2 12 17 3 2" xfId="45360"/>
    <cellStyle name="注释 2 6 11" xfId="45361"/>
    <cellStyle name="输入 2 12 9 3 6" xfId="45362"/>
    <cellStyle name="注释 2 12 17 4" xfId="45363"/>
    <cellStyle name="输入 2 12 9 4 2" xfId="45364"/>
    <cellStyle name="输入 2 12 9 4 2 2" xfId="45365"/>
    <cellStyle name="输入 2 12 9 4 3" xfId="45366"/>
    <cellStyle name="输入 2 12 9 4 3 2" xfId="45367"/>
    <cellStyle name="输入 2 12 9 4 4" xfId="45368"/>
    <cellStyle name="注释 2 12 18 2" xfId="45369"/>
    <cellStyle name="输入 2 12 9 4 4 2" xfId="45370"/>
    <cellStyle name="输入 2 12 9 4 5" xfId="45371"/>
    <cellStyle name="输入 2 12 9 4 5 2" xfId="45372"/>
    <cellStyle name="输入 2 12 9 4 6" xfId="45373"/>
    <cellStyle name="输入 2 12 9 5 2" xfId="45374"/>
    <cellStyle name="输入 2 12 9 5 3" xfId="45375"/>
    <cellStyle name="输入 2 12 9 5 3 2" xfId="45376"/>
    <cellStyle name="输入 2 12 9 5 4" xfId="45377"/>
    <cellStyle name="注释 2 12 19 2" xfId="45378"/>
    <cellStyle name="输入 2 12 9 5 4 2" xfId="45379"/>
    <cellStyle name="输入 2 12 9 5 5" xfId="45380"/>
    <cellStyle name="输入 2 12 9 5 5 2" xfId="45381"/>
    <cellStyle name="输入 2 12 9 5 6" xfId="45382"/>
    <cellStyle name="输入 2 12 9 6" xfId="45383"/>
    <cellStyle name="输入 2 12 9 6 2" xfId="45384"/>
    <cellStyle name="输入 2 12 9 6 3" xfId="45385"/>
    <cellStyle name="输入 2 12 9 6 3 2" xfId="45386"/>
    <cellStyle name="输入 2 12 9 6 4" xfId="45387"/>
    <cellStyle name="输入 2 12 9 6 4 2" xfId="45388"/>
    <cellStyle name="输入 2 12 9 6 5 2" xfId="45389"/>
    <cellStyle name="输入 2 12 9 6 6" xfId="45390"/>
    <cellStyle name="输入 2 12 9 7" xfId="45391"/>
    <cellStyle name="输入 2 12 9 7 2" xfId="45392"/>
    <cellStyle name="输入 2 12 9 7 2 2" xfId="45393"/>
    <cellStyle name="输入 2 12 9 7 3" xfId="45394"/>
    <cellStyle name="输入 2 12 9 7 3 2" xfId="45395"/>
    <cellStyle name="输入 2 12 9 7 4" xfId="45396"/>
    <cellStyle name="输入 2 12 9 7 4 2" xfId="45397"/>
    <cellStyle name="输入 2 12 9 7 5 2" xfId="45398"/>
    <cellStyle name="输入 2 12 9 7 6" xfId="45399"/>
    <cellStyle name="输入 2 12 9 8" xfId="45400"/>
    <cellStyle name="输入 2 12 9 8 2" xfId="45401"/>
    <cellStyle name="输入 2 12 9 8 2 2" xfId="45402"/>
    <cellStyle name="输入 2 12 9 8 3" xfId="45403"/>
    <cellStyle name="输入 2 12 9 8 3 2" xfId="45404"/>
    <cellStyle name="输入 2 5 11 15" xfId="45405"/>
    <cellStyle name="输入 2 12 9 8 4" xfId="45406"/>
    <cellStyle name="输入 2 12 9 8 4 2" xfId="45407"/>
    <cellStyle name="输入 2 12 9 9" xfId="45408"/>
    <cellStyle name="输入 2 13" xfId="45409"/>
    <cellStyle name="注释 2 12 3 5 3" xfId="45410"/>
    <cellStyle name="输入 2 13 10" xfId="45411"/>
    <cellStyle name="输入 2 13 11" xfId="45412"/>
    <cellStyle name="输入 2 13 12" xfId="45413"/>
    <cellStyle name="输入 2 13 14" xfId="45414"/>
    <cellStyle name="输入 2 13 15" xfId="45415"/>
    <cellStyle name="输入 2 13 16" xfId="45416"/>
    <cellStyle name="输入 2 13 2" xfId="45417"/>
    <cellStyle name="注释 2 12 3 5 3 2" xfId="45418"/>
    <cellStyle name="注释 2 2 3 3 4" xfId="45419"/>
    <cellStyle name="输入 2 13 3" xfId="45420"/>
    <cellStyle name="输入 2 4 11 2 5 2" xfId="45421"/>
    <cellStyle name="注释 2 2 3 3 5" xfId="45422"/>
    <cellStyle name="输入 2 13 3 3 2" xfId="45423"/>
    <cellStyle name="输入 2 13 3 4 2" xfId="45424"/>
    <cellStyle name="输入 2 13 3 5 2" xfId="45425"/>
    <cellStyle name="输入 2 13 4" xfId="45426"/>
    <cellStyle name="注释 2 2 3 3 6" xfId="45427"/>
    <cellStyle name="输入 2 13 4 3 2" xfId="45428"/>
    <cellStyle name="输入 2 3 11 4" xfId="45429"/>
    <cellStyle name="输入 2 13 4 4" xfId="45430"/>
    <cellStyle name="输入 2 13 4 4 2" xfId="45431"/>
    <cellStyle name="输入 2 3 12 4" xfId="45432"/>
    <cellStyle name="输入 2 13 4 5" xfId="45433"/>
    <cellStyle name="输入 2 13 4 5 2" xfId="45434"/>
    <cellStyle name="输入 2 3 13 4" xfId="45435"/>
    <cellStyle name="输入 2 13 4 6" xfId="45436"/>
    <cellStyle name="注释 2 8 4 3 3 2" xfId="45437"/>
    <cellStyle name="输入 2 13 5" xfId="45438"/>
    <cellStyle name="输入 2 13 5 3 2" xfId="45439"/>
    <cellStyle name="输入 2 13 5 4" xfId="45440"/>
    <cellStyle name="输入 2 13 5 4 2" xfId="45441"/>
    <cellStyle name="输入 2 13 5 5" xfId="45442"/>
    <cellStyle name="输入 2 13 5 5 2" xfId="45443"/>
    <cellStyle name="输入 2 13 5 6" xfId="45444"/>
    <cellStyle name="注释 2 8 4 3 4 2" xfId="45445"/>
    <cellStyle name="输入 2 13 6 3 2" xfId="45446"/>
    <cellStyle name="输入 2 13 6 4 2" xfId="45447"/>
    <cellStyle name="输入 2 13 6 5" xfId="45448"/>
    <cellStyle name="输入 2 13 6 5 2" xfId="45449"/>
    <cellStyle name="输入 2 13 6 6" xfId="45450"/>
    <cellStyle name="注释 2 8 4 3 5 2" xfId="45451"/>
    <cellStyle name="输入 2 13 7" xfId="45452"/>
    <cellStyle name="输入 2 13 7 3 2" xfId="45453"/>
    <cellStyle name="输入 2 13 7 4 2" xfId="45454"/>
    <cellStyle name="输入 2 13 7 5 2" xfId="45455"/>
    <cellStyle name="输入 2 13 8" xfId="45456"/>
    <cellStyle name="输入 2 13 8 3 2" xfId="45457"/>
    <cellStyle name="输入 2 13 8 4 2" xfId="45458"/>
    <cellStyle name="输入 2 14" xfId="45459"/>
    <cellStyle name="注释 2 12 3 5 4" xfId="45460"/>
    <cellStyle name="输入 2 14 2" xfId="45461"/>
    <cellStyle name="注释 2 12 3 5 4 2" xfId="45462"/>
    <cellStyle name="注释 2 2 3 4 4" xfId="45463"/>
    <cellStyle name="输入 2 14 2 2" xfId="45464"/>
    <cellStyle name="注释 2 2 3 4 4 2" xfId="45465"/>
    <cellStyle name="输入 2 14 3" xfId="45466"/>
    <cellStyle name="注释 2 2 3 4 5" xfId="45467"/>
    <cellStyle name="输入 2 14 3 2" xfId="45468"/>
    <cellStyle name="注释 2 2 3 4 5 2" xfId="45469"/>
    <cellStyle name="输入 2 14 4" xfId="45470"/>
    <cellStyle name="注释 2 2 3 4 6" xfId="45471"/>
    <cellStyle name="输入 2 14 4 2" xfId="45472"/>
    <cellStyle name="输入 2 14 5" xfId="45473"/>
    <cellStyle name="输入 2 15" xfId="45474"/>
    <cellStyle name="输入 2 20" xfId="45475"/>
    <cellStyle name="注释 2 12 3 5 5" xfId="45476"/>
    <cellStyle name="输入 2 15 2" xfId="45477"/>
    <cellStyle name="注释 2 12 3 5 5 2" xfId="45478"/>
    <cellStyle name="注释 2 2 3 5 4" xfId="45479"/>
    <cellStyle name="输入 2 16" xfId="45480"/>
    <cellStyle name="输入 2 21" xfId="45481"/>
    <cellStyle name="注释 2 12 3 5 6" xfId="45482"/>
    <cellStyle name="输入 2 16 2" xfId="45483"/>
    <cellStyle name="注释 2 2 3 6 4" xfId="45484"/>
    <cellStyle name="输入 2 17" xfId="45485"/>
    <cellStyle name="输入 2 19" xfId="45486"/>
    <cellStyle name="输入 2 2" xfId="45487"/>
    <cellStyle name="注释 2 12 3 15" xfId="45488"/>
    <cellStyle name="注释 2 8 4 8" xfId="45489"/>
    <cellStyle name="输入 2 2 10" xfId="45490"/>
    <cellStyle name="输入 2 2 10 14" xfId="45491"/>
    <cellStyle name="输入 2 3 2 3 2 2" xfId="45492"/>
    <cellStyle name="输入 2 2 10 15" xfId="45493"/>
    <cellStyle name="输入 2 2 10 2" xfId="45494"/>
    <cellStyle name="输入 2 2 10 2 2" xfId="45495"/>
    <cellStyle name="输入 2 2 10 2 3" xfId="45496"/>
    <cellStyle name="注释 2 8 11 3 3 2" xfId="45497"/>
    <cellStyle name="输入 2 2 10 2 4" xfId="45498"/>
    <cellStyle name="输入 2 2 10 2 5" xfId="45499"/>
    <cellStyle name="输入 2 2 10 2 7" xfId="45500"/>
    <cellStyle name="输入 2 2 10 2 8" xfId="45501"/>
    <cellStyle name="输入 2 3 3 9 2" xfId="45502"/>
    <cellStyle name="输入 2 2 10 3 2" xfId="45503"/>
    <cellStyle name="输入 2 2 10 3 3" xfId="45504"/>
    <cellStyle name="注释 2 8 11 3 4 2" xfId="45505"/>
    <cellStyle name="输入 2 2 10 3 4" xfId="45506"/>
    <cellStyle name="输入 2 2 10 4" xfId="45507"/>
    <cellStyle name="输入 2 2 10 4 2" xfId="45508"/>
    <cellStyle name="输入 2 2 10 4 3" xfId="45509"/>
    <cellStyle name="注释 2 8 11 3 5 2" xfId="45510"/>
    <cellStyle name="输入 2 2 10 4 4" xfId="45511"/>
    <cellStyle name="输入 2 2 10 4 5" xfId="45512"/>
    <cellStyle name="输入 2 2 10 4 6" xfId="45513"/>
    <cellStyle name="输入 2 2 10 5" xfId="45514"/>
    <cellStyle name="输入 2 2 10 5 2" xfId="45515"/>
    <cellStyle name="输入 2 2 10 5 3" xfId="45516"/>
    <cellStyle name="输入 2 2 10 5 4" xfId="45517"/>
    <cellStyle name="输入 2 2 10 5 6" xfId="45518"/>
    <cellStyle name="输入 2 2 10 6" xfId="45519"/>
    <cellStyle name="输入 2 2 10 6 2" xfId="45520"/>
    <cellStyle name="输入 2 2 10 6 3" xfId="45521"/>
    <cellStyle name="输入 2 2 10 6 4" xfId="45522"/>
    <cellStyle name="输入 2 2 10 6 6" xfId="45523"/>
    <cellStyle name="输入 2 2 10 7" xfId="45524"/>
    <cellStyle name="输入 2 2 10 7 2" xfId="45525"/>
    <cellStyle name="输入 2 2 10 7 2 2" xfId="45526"/>
    <cellStyle name="输入 2 2 10 7 3" xfId="45527"/>
    <cellStyle name="输入 2 2 10 7 3 2" xfId="45528"/>
    <cellStyle name="输入 2 2 10 7 4" xfId="45529"/>
    <cellStyle name="输入 2 4 3 7 2 2" xfId="45530"/>
    <cellStyle name="输入 2 2 10 7 4 2" xfId="45531"/>
    <cellStyle name="输入 2 2 10 7 5 2" xfId="45532"/>
    <cellStyle name="输入 2 2 10 7 6" xfId="45533"/>
    <cellStyle name="输入 2 2 10 8" xfId="45534"/>
    <cellStyle name="输入 2 2 10 8 2" xfId="45535"/>
    <cellStyle name="输入 2 2 10 8 2 2" xfId="45536"/>
    <cellStyle name="输入 2 2 10 8 3" xfId="45537"/>
    <cellStyle name="输入 2 2 10 8 3 2" xfId="45538"/>
    <cellStyle name="输入 2 2 10 8 4" xfId="45539"/>
    <cellStyle name="输入 2 4 3 7 3 2" xfId="45540"/>
    <cellStyle name="输入 2 2 10 8 4 2" xfId="45541"/>
    <cellStyle name="输入 2 2 10 9" xfId="45542"/>
    <cellStyle name="输入 2 2 10 9 2" xfId="45543"/>
    <cellStyle name="输入 2 2 11" xfId="45544"/>
    <cellStyle name="输入 2 2 11 2" xfId="45545"/>
    <cellStyle name="输入 2 2 11 2 2" xfId="45546"/>
    <cellStyle name="输入 2 2 11 2 3" xfId="45547"/>
    <cellStyle name="注释 2 8 11 4 3 2" xfId="45548"/>
    <cellStyle name="输入 2 2 11 2 4" xfId="45549"/>
    <cellStyle name="输入 2 2 11 2 5" xfId="45550"/>
    <cellStyle name="输入 2 2 11 3" xfId="45551"/>
    <cellStyle name="输入 2 2 11 3 2" xfId="45552"/>
    <cellStyle name="输入 2 2 11 3 3" xfId="45553"/>
    <cellStyle name="注释 2 8 11 4 4 2" xfId="45554"/>
    <cellStyle name="输入 2 2 11 3 4" xfId="45555"/>
    <cellStyle name="输入 2 2 11 4" xfId="45556"/>
    <cellStyle name="输入 2 2 11 4 2" xfId="45557"/>
    <cellStyle name="输入 2 2 11 4 3" xfId="45558"/>
    <cellStyle name="注释 2 8 11 4 5 2" xfId="45559"/>
    <cellStyle name="输入 2 2 11 4 4" xfId="45560"/>
    <cellStyle name="输入 2 2 11 4 5" xfId="45561"/>
    <cellStyle name="输入 2 2 11 4 6" xfId="45562"/>
    <cellStyle name="输入 2 2 11 5 2" xfId="45563"/>
    <cellStyle name="输入 2 2 11 5 3" xfId="45564"/>
    <cellStyle name="输入 2 2 11 5 4" xfId="45565"/>
    <cellStyle name="输入 2 2 11 5 5" xfId="45566"/>
    <cellStyle name="输入 2 2 11 5 6" xfId="45567"/>
    <cellStyle name="输入 2 2 11 6" xfId="45568"/>
    <cellStyle name="注释 2 8 10 10 2" xfId="45569"/>
    <cellStyle name="输入 2 2 11 6 2" xfId="45570"/>
    <cellStyle name="输入 2 2 11 6 3" xfId="45571"/>
    <cellStyle name="输入 2 2 11 6 4" xfId="45572"/>
    <cellStyle name="输入 2 2 11 6 5" xfId="45573"/>
    <cellStyle name="输入 2 2 11 6 6" xfId="45574"/>
    <cellStyle name="输入 2 2 11 7" xfId="45575"/>
    <cellStyle name="输入 2 2 11 7 2" xfId="45576"/>
    <cellStyle name="输入 2 2 11 7 3" xfId="45577"/>
    <cellStyle name="输入 2 2 11 7 4" xfId="45578"/>
    <cellStyle name="输入 2 4 3 8 2 2" xfId="45579"/>
    <cellStyle name="输入 2 2 11 7 5" xfId="45580"/>
    <cellStyle name="输入 2 2 11 7 6" xfId="45581"/>
    <cellStyle name="输入 2 2 11 8" xfId="45582"/>
    <cellStyle name="输入 2 2 11 8 2" xfId="45583"/>
    <cellStyle name="输入 2 2 11 8 3" xfId="45584"/>
    <cellStyle name="输入 2 2 11 8 4" xfId="45585"/>
    <cellStyle name="输入 2 4 3 8 3 2" xfId="45586"/>
    <cellStyle name="输入 2 2 11 9" xfId="45587"/>
    <cellStyle name="输入 2 9 2 2 2 2" xfId="45588"/>
    <cellStyle name="输入 2 2 11 9 2" xfId="45589"/>
    <cellStyle name="输入 2 2 12" xfId="45590"/>
    <cellStyle name="输入 2 2 12 2" xfId="45591"/>
    <cellStyle name="输入 2 2 12 2 2" xfId="45592"/>
    <cellStyle name="输入 2 2 12 3" xfId="45593"/>
    <cellStyle name="输入 2 2 12 3 2" xfId="45594"/>
    <cellStyle name="输入 2 2 12 4" xfId="45595"/>
    <cellStyle name="输入 2 2 12 4 2" xfId="45596"/>
    <cellStyle name="输入 2 2 12 7" xfId="45597"/>
    <cellStyle name="输入 2 2 12 8" xfId="45598"/>
    <cellStyle name="输入 2 2 12 9" xfId="45599"/>
    <cellStyle name="输入 2 9 2 2 3 2" xfId="45600"/>
    <cellStyle name="输入 2 2 13" xfId="45601"/>
    <cellStyle name="输入 2 2 13 2" xfId="45602"/>
    <cellStyle name="输入 2 2 13 2 2" xfId="45603"/>
    <cellStyle name="输入 2 2 13 3" xfId="45604"/>
    <cellStyle name="输入 2 2 13 3 2" xfId="45605"/>
    <cellStyle name="输入 2 2 13 4" xfId="45606"/>
    <cellStyle name="输入 2 2 13 4 2" xfId="45607"/>
    <cellStyle name="输入 2 2 14" xfId="45608"/>
    <cellStyle name="输入 2 2 14 2" xfId="45609"/>
    <cellStyle name="输入 2 2 14 2 2" xfId="45610"/>
    <cellStyle name="输入 2 2 14 3" xfId="45611"/>
    <cellStyle name="输入 2 2 14 3 2" xfId="45612"/>
    <cellStyle name="输入 2 2 14 4" xfId="45613"/>
    <cellStyle name="注释 2 5 3 5 2 2" xfId="45614"/>
    <cellStyle name="输入 2 2 14 4 2" xfId="45615"/>
    <cellStyle name="输入 2 2 14 5 2" xfId="45616"/>
    <cellStyle name="输入 2 2 15" xfId="45617"/>
    <cellStyle name="输入 2 2 20" xfId="45618"/>
    <cellStyle name="输入 2 2 15 2" xfId="45619"/>
    <cellStyle name="输入 2 2 20 2" xfId="45620"/>
    <cellStyle name="输入 2 2 15 2 2" xfId="45621"/>
    <cellStyle name="输入 2 2 15 3" xfId="45622"/>
    <cellStyle name="输入 2 2 15 3 2" xfId="45623"/>
    <cellStyle name="输入 2 2 15 4" xfId="45624"/>
    <cellStyle name="注释 2 5 3 5 3 2" xfId="45625"/>
    <cellStyle name="输入 2 2 15 4 2" xfId="45626"/>
    <cellStyle name="输入 2 2 15 5 2" xfId="45627"/>
    <cellStyle name="输入 2 2 16" xfId="45628"/>
    <cellStyle name="输入 2 2 21" xfId="45629"/>
    <cellStyle name="输入 2 2 16 2 2" xfId="45630"/>
    <cellStyle name="输入 2 2 16 3 2" xfId="45631"/>
    <cellStyle name="输入 2 2 16 4" xfId="45632"/>
    <cellStyle name="注释 2 5 3 5 4 2" xfId="45633"/>
    <cellStyle name="输入 2 2 16 4 2" xfId="45634"/>
    <cellStyle name="输入 2 2 16 5 2" xfId="45635"/>
    <cellStyle name="输入 2 2 16 6" xfId="45636"/>
    <cellStyle name="输入 2 2 17 4 2" xfId="45637"/>
    <cellStyle name="输入 2 2 17 5 2" xfId="45638"/>
    <cellStyle name="输入 2 2 18" xfId="45639"/>
    <cellStyle name="输入 2 2 23" xfId="45640"/>
    <cellStyle name="输入 2 2 18 2" xfId="45641"/>
    <cellStyle name="输入 2 2 23 2" xfId="45642"/>
    <cellStyle name="输入 2 2 18 2 2" xfId="45643"/>
    <cellStyle name="输入 2 2 18 3 2" xfId="45644"/>
    <cellStyle name="输入 2 2 18 4" xfId="45645"/>
    <cellStyle name="输入 2 2 18 4 2" xfId="45646"/>
    <cellStyle name="输入 2 2 18 5" xfId="45647"/>
    <cellStyle name="输入 2 2 18 5 2" xfId="45648"/>
    <cellStyle name="输入 2 2 19" xfId="45649"/>
    <cellStyle name="输入 2 2 24" xfId="45650"/>
    <cellStyle name="输入 2 2 19 2" xfId="45651"/>
    <cellStyle name="输入 2 2 19 2 2" xfId="45652"/>
    <cellStyle name="输入 2 2 19 3 2" xfId="45653"/>
    <cellStyle name="输入 2 2 19 4" xfId="45654"/>
    <cellStyle name="输入 2 2 19 4 2" xfId="45655"/>
    <cellStyle name="输入 2 2 19 5" xfId="45656"/>
    <cellStyle name="输入 2 2 2" xfId="45657"/>
    <cellStyle name="注释 2 5 8 9" xfId="45658"/>
    <cellStyle name="注释 2 8 4 8 2" xfId="45659"/>
    <cellStyle name="输入 2 2 2 10" xfId="45660"/>
    <cellStyle name="输入 2 5 7 8 5" xfId="45661"/>
    <cellStyle name="输入 2 2 2 11" xfId="45662"/>
    <cellStyle name="输入 2 2 2 11 2" xfId="45663"/>
    <cellStyle name="输入 2 2 2 13" xfId="45664"/>
    <cellStyle name="输入 2 2 2 14" xfId="45665"/>
    <cellStyle name="输入 2 2 2 16" xfId="45666"/>
    <cellStyle name="输入 2 2 2 2 2" xfId="45667"/>
    <cellStyle name="输入 2 2 2 2 2 2" xfId="45668"/>
    <cellStyle name="注释 2 3 4 14" xfId="45669"/>
    <cellStyle name="输入 2 2 2 2 3" xfId="45670"/>
    <cellStyle name="输入 2 2 2 2 3 2" xfId="45671"/>
    <cellStyle name="输入 2 2 2 2 4" xfId="45672"/>
    <cellStyle name="输入 2 2 2 2 4 2" xfId="45673"/>
    <cellStyle name="输入 2 2 2 3 2 2" xfId="45674"/>
    <cellStyle name="注释 2 3 9 14" xfId="45675"/>
    <cellStyle name="输入 2 2 2 3 3" xfId="45676"/>
    <cellStyle name="输入 2 2 2 3 3 2" xfId="45677"/>
    <cellStyle name="输入 2 2 2 3 4" xfId="45678"/>
    <cellStyle name="输入 2 2 2 3 4 2" xfId="45679"/>
    <cellStyle name="输入 2 2 2 4 2 2" xfId="45680"/>
    <cellStyle name="输入 2 2 2 4 3" xfId="45681"/>
    <cellStyle name="输入 2 2 2 4 3 2" xfId="45682"/>
    <cellStyle name="输入 2 2 2 4 4" xfId="45683"/>
    <cellStyle name="输入 2 2 2 4 4 2" xfId="45684"/>
    <cellStyle name="输入 2 2 2 5 2 2" xfId="45685"/>
    <cellStyle name="输入 2 2 2 5 3" xfId="45686"/>
    <cellStyle name="输入 2 2 2 5 3 2" xfId="45687"/>
    <cellStyle name="输入 2 2 2 5 4" xfId="45688"/>
    <cellStyle name="输入 2 2 2 5 4 2" xfId="45689"/>
    <cellStyle name="输入 2 2 2 6 2" xfId="45690"/>
    <cellStyle name="注释 2 2 6 11" xfId="45691"/>
    <cellStyle name="输入 2 2 2 6 2 2" xfId="45692"/>
    <cellStyle name="注释 2 2 6 11 2" xfId="45693"/>
    <cellStyle name="输入 2 2 2 6 3 2" xfId="45694"/>
    <cellStyle name="注释 2 2 6 12 2" xfId="45695"/>
    <cellStyle name="输入 2 2 2 6 4" xfId="45696"/>
    <cellStyle name="注释 2 2 6 13" xfId="45697"/>
    <cellStyle name="输入 2 2 2 6 4 2" xfId="45698"/>
    <cellStyle name="输入 2 2 2 7 2" xfId="45699"/>
    <cellStyle name="输入 2 2 2 7 2 2" xfId="45700"/>
    <cellStyle name="注释 2 4 4 14" xfId="45701"/>
    <cellStyle name="输入 2 2 2 7 3 2" xfId="45702"/>
    <cellStyle name="输入 2 2 2 7 4" xfId="45703"/>
    <cellStyle name="输入 2 2 2 7 4 2" xfId="45704"/>
    <cellStyle name="输入 2 2 2 7 5 2" xfId="45705"/>
    <cellStyle name="输入 2 2 2 7 6" xfId="45706"/>
    <cellStyle name="输入 2 2 2 8 2" xfId="45707"/>
    <cellStyle name="输入 2 2 2 8 2 2" xfId="45708"/>
    <cellStyle name="注释 2 4 9 14" xfId="45709"/>
    <cellStyle name="注释 2 7 3" xfId="45710"/>
    <cellStyle name="输入 2 2 2 8 3 2" xfId="45711"/>
    <cellStyle name="注释 2 8 3" xfId="45712"/>
    <cellStyle name="输入 2 2 2 8 4" xfId="45713"/>
    <cellStyle name="输入 2 2 2 8 4 2" xfId="45714"/>
    <cellStyle name="注释 2 9 3" xfId="45715"/>
    <cellStyle name="输入 2 2 2 9 2" xfId="45716"/>
    <cellStyle name="输入 2 2 25" xfId="45717"/>
    <cellStyle name="输入 2 2 26" xfId="45718"/>
    <cellStyle name="输入 2 2 27" xfId="45719"/>
    <cellStyle name="输入 2 2 3 10" xfId="45720"/>
    <cellStyle name="输入 2 6 11 3 5 2" xfId="45721"/>
    <cellStyle name="输入 2 2 3 11" xfId="45722"/>
    <cellStyle name="输入 2 2 3 11 2" xfId="45723"/>
    <cellStyle name="输入 2 2 3 12" xfId="45724"/>
    <cellStyle name="输入 2 2 3 12 2" xfId="45725"/>
    <cellStyle name="输入 2 2 3 15" xfId="45726"/>
    <cellStyle name="输入 2 2 3 16" xfId="45727"/>
    <cellStyle name="输入 2 2 3 2" xfId="45728"/>
    <cellStyle name="注释 2 8 4 8 3 2" xfId="45729"/>
    <cellStyle name="输入 2 2 3 2 2" xfId="45730"/>
    <cellStyle name="输入 2 2 3 2 2 2" xfId="45731"/>
    <cellStyle name="注释 2 8 4 14" xfId="45732"/>
    <cellStyle name="输入 2 2 3 2 3" xfId="45733"/>
    <cellStyle name="输入 2 2 3 2 3 2" xfId="45734"/>
    <cellStyle name="输入 2 2 3 2 4" xfId="45735"/>
    <cellStyle name="输入 2 2 3 2 4 2" xfId="45736"/>
    <cellStyle name="输入 2 2 3 3" xfId="45737"/>
    <cellStyle name="输入 2 2 3 3 2" xfId="45738"/>
    <cellStyle name="输入 2 2 3 3 2 2" xfId="45739"/>
    <cellStyle name="注释 2 8 9 14" xfId="45740"/>
    <cellStyle name="输入 2 2 3 3 3" xfId="45741"/>
    <cellStyle name="输入 2 2 3 3 3 2" xfId="45742"/>
    <cellStyle name="输入 2 2 3 3 4" xfId="45743"/>
    <cellStyle name="输入 2 2 3 3 4 2" xfId="45744"/>
    <cellStyle name="输入 2 2 3 4" xfId="45745"/>
    <cellStyle name="输入 2 2 3 4 2" xfId="45746"/>
    <cellStyle name="输入 2 2 3 4 2 2" xfId="45747"/>
    <cellStyle name="输入 2 2 3 4 3" xfId="45748"/>
    <cellStyle name="输入 2 2 3 4 3 2" xfId="45749"/>
    <cellStyle name="输入 2 2 3 4 4" xfId="45750"/>
    <cellStyle name="输入 2 2 3 4 4 2" xfId="45751"/>
    <cellStyle name="输入 2 2 3 5" xfId="45752"/>
    <cellStyle name="输入 2 2 3 5 2" xfId="45753"/>
    <cellStyle name="输入 2 2 3 5 2 2" xfId="45754"/>
    <cellStyle name="输入 2 2 3 5 3" xfId="45755"/>
    <cellStyle name="输入 2 2 3 5 3 2" xfId="45756"/>
    <cellStyle name="输入 2 2 3 5 4" xfId="45757"/>
    <cellStyle name="输入 2 2 3 6" xfId="45758"/>
    <cellStyle name="输入 2 2 3 6 2" xfId="45759"/>
    <cellStyle name="输入 2 2 3 6 2 2" xfId="45760"/>
    <cellStyle name="输入 2 2 3 6 3 2" xfId="45761"/>
    <cellStyle name="输入 2 2 3 6 4" xfId="45762"/>
    <cellStyle name="输入 2 2 3 7" xfId="45763"/>
    <cellStyle name="输入 2 2 3 7 2" xfId="45764"/>
    <cellStyle name="输入 2 2 3 7 2 2" xfId="45765"/>
    <cellStyle name="注释 2 9 4 14" xfId="45766"/>
    <cellStyle name="输入 2 2 3 7 3 2" xfId="45767"/>
    <cellStyle name="输入 2 2 3 7 4" xfId="45768"/>
    <cellStyle name="输入 2 2 3 7 4 2" xfId="45769"/>
    <cellStyle name="输入 2 2 3 7 5 2" xfId="45770"/>
    <cellStyle name="输入 2 2 3 7 6" xfId="45771"/>
    <cellStyle name="输入 2 2 3 8" xfId="45772"/>
    <cellStyle name="输入 2 5 6 6 2 2" xfId="45773"/>
    <cellStyle name="输入 2 2 3 8 2" xfId="45774"/>
    <cellStyle name="输入 2 2 3 8 2 2" xfId="45775"/>
    <cellStyle name="注释 2 9 9 14" xfId="45776"/>
    <cellStyle name="输入 2 2 3 8 3 2" xfId="45777"/>
    <cellStyle name="输入 2 2 3 8 4" xfId="45778"/>
    <cellStyle name="输入 2 2 3 8 4 2" xfId="45779"/>
    <cellStyle name="输入 2 2 3 8 5" xfId="45780"/>
    <cellStyle name="输入 2 2 3 9" xfId="45781"/>
    <cellStyle name="输入 2 2 3 9 2" xfId="45782"/>
    <cellStyle name="输入 2 2 4" xfId="45783"/>
    <cellStyle name="注释 2 8 4 8 4" xfId="45784"/>
    <cellStyle name="输入 2 2 4 15" xfId="45785"/>
    <cellStyle name="输入 2 2 4 16" xfId="45786"/>
    <cellStyle name="输入 2 2 4 2" xfId="45787"/>
    <cellStyle name="注释 2 8 4 8 4 2" xfId="45788"/>
    <cellStyle name="输入 2 2 4 2 2" xfId="45789"/>
    <cellStyle name="输入 2 2 4 2 2 2" xfId="45790"/>
    <cellStyle name="输入 2 2 4 2 3" xfId="45791"/>
    <cellStyle name="输入 2 2 4 2 3 2" xfId="45792"/>
    <cellStyle name="输入 2 2 4 2 4" xfId="45793"/>
    <cellStyle name="注释 2 4 4 2 2 2" xfId="45794"/>
    <cellStyle name="输入 2 2 4 2 4 2" xfId="45795"/>
    <cellStyle name="输入 2 2 4 3" xfId="45796"/>
    <cellStyle name="输入 2 2 4 3 2" xfId="45797"/>
    <cellStyle name="输入 2 2 4 3 2 2" xfId="45798"/>
    <cellStyle name="输入 2 2 4 3 3" xfId="45799"/>
    <cellStyle name="输入 2 2 4 3 3 2" xfId="45800"/>
    <cellStyle name="输入 2 2 4 3 4" xfId="45801"/>
    <cellStyle name="注释 2 4 4 2 3 2" xfId="45802"/>
    <cellStyle name="输入 2 2 4 3 4 2" xfId="45803"/>
    <cellStyle name="输入 2 2 4 4" xfId="45804"/>
    <cellStyle name="输入 2 2 4 4 2" xfId="45805"/>
    <cellStyle name="输入 2 2 4 4 2 2" xfId="45806"/>
    <cellStyle name="输入 2 2 4 4 3" xfId="45807"/>
    <cellStyle name="输入 2 2 4 4 3 2" xfId="45808"/>
    <cellStyle name="输入 2 2 4 4 4" xfId="45809"/>
    <cellStyle name="注释 2 4 4 2 4 2" xfId="45810"/>
    <cellStyle name="输入 2 2 4 4 4 2" xfId="45811"/>
    <cellStyle name="输入 2 2 4 5" xfId="45812"/>
    <cellStyle name="输入 2 2 4 5 2" xfId="45813"/>
    <cellStyle name="输入 2 2 4 5 3" xfId="45814"/>
    <cellStyle name="输入 2 2 4 5 4" xfId="45815"/>
    <cellStyle name="注释 2 4 4 2 5 2" xfId="45816"/>
    <cellStyle name="输入 2 2 4 6" xfId="45817"/>
    <cellStyle name="输入 2 2 4 6 2" xfId="45818"/>
    <cellStyle name="输入 2 2 4 6 4" xfId="45819"/>
    <cellStyle name="输入 2 2 4 7 2" xfId="45820"/>
    <cellStyle name="输入 2 2 4 7 4" xfId="45821"/>
    <cellStyle name="输入 2 2 4 7 4 2" xfId="45822"/>
    <cellStyle name="输入 2 2 4 7 5 2" xfId="45823"/>
    <cellStyle name="输入 2 2 4 8" xfId="45824"/>
    <cellStyle name="输入 2 5 6 6 3 2" xfId="45825"/>
    <cellStyle name="输入 2 2 4 8 2" xfId="45826"/>
    <cellStyle name="输入 2 2 4 8 4" xfId="45827"/>
    <cellStyle name="输入 2 2 4 8 4 2" xfId="45828"/>
    <cellStyle name="输入 2 2 4 9" xfId="45829"/>
    <cellStyle name="输入 2 2 4 9 2" xfId="45830"/>
    <cellStyle name="输入 2 2 5" xfId="45831"/>
    <cellStyle name="注释 2 8 4 8 5" xfId="45832"/>
    <cellStyle name="输入 2 2 5 10 2" xfId="45833"/>
    <cellStyle name="注释 2 9 11 3 6" xfId="45834"/>
    <cellStyle name="输入 2 2 5 16" xfId="45835"/>
    <cellStyle name="输入 2 2 5 2" xfId="45836"/>
    <cellStyle name="输入 2 2 5 2 5 2" xfId="45837"/>
    <cellStyle name="输入 2 2 5 2 7" xfId="45838"/>
    <cellStyle name="输入 2 2 5 2 8" xfId="45839"/>
    <cellStyle name="输入 2 2 5 2 9" xfId="45840"/>
    <cellStyle name="输入 2 2 5 3" xfId="45841"/>
    <cellStyle name="输入 2 2 5 4" xfId="45842"/>
    <cellStyle name="输入 2 2 5 4 6" xfId="45843"/>
    <cellStyle name="输入 2 2 5 5" xfId="45844"/>
    <cellStyle name="输入 2 2 5 5 5 2" xfId="45845"/>
    <cellStyle name="输入 2 2 5 5 6" xfId="45846"/>
    <cellStyle name="输入 2 2 5 6" xfId="45847"/>
    <cellStyle name="输入 2 2 5 6 5 2" xfId="45848"/>
    <cellStyle name="输入 2 2 5 6 6" xfId="45849"/>
    <cellStyle name="输入 2 2 5 7 2" xfId="45850"/>
    <cellStyle name="输入 2 2 5 7 2 2" xfId="45851"/>
    <cellStyle name="输入 2 2 5 7 3 2" xfId="45852"/>
    <cellStyle name="输入 2 2 5 7 4" xfId="45853"/>
    <cellStyle name="输入 2 2 5 7 4 2" xfId="45854"/>
    <cellStyle name="输入 2 2 5 7 5 2" xfId="45855"/>
    <cellStyle name="输入 2 2 5 7 6" xfId="45856"/>
    <cellStyle name="输入 2 2 5 8" xfId="45857"/>
    <cellStyle name="输入 2 5 6 6 4 2" xfId="45858"/>
    <cellStyle name="输入 2 2 5 8 2" xfId="45859"/>
    <cellStyle name="输入 2 2 5 8 2 2" xfId="45860"/>
    <cellStyle name="输入 2 2 5 8 3 2" xfId="45861"/>
    <cellStyle name="输入 2 2 5 8 4" xfId="45862"/>
    <cellStyle name="输入 2 2 5 8 4 2" xfId="45863"/>
    <cellStyle name="输入 2 3 5 10" xfId="45864"/>
    <cellStyle name="输入 2 2 5 9 2" xfId="45865"/>
    <cellStyle name="输入 2 2 6" xfId="45866"/>
    <cellStyle name="输入 2 2 6 10" xfId="45867"/>
    <cellStyle name="输入 2 5 8 3 5" xfId="45868"/>
    <cellStyle name="输入 2 2 6 10 2" xfId="45869"/>
    <cellStyle name="输入 2 5 8 3 5 2" xfId="45870"/>
    <cellStyle name="输入 2 2 6 2 7" xfId="45871"/>
    <cellStyle name="输入 2 2 6 2 8" xfId="45872"/>
    <cellStyle name="输入 2 2 6 2 9" xfId="45873"/>
    <cellStyle name="输入 2 2 6 3 5" xfId="45874"/>
    <cellStyle name="输入 2 2 6 4 5" xfId="45875"/>
    <cellStyle name="输入 2 2 6 4 6" xfId="45876"/>
    <cellStyle name="输入 2 2 6 5 5 2" xfId="45877"/>
    <cellStyle name="输入 2 6 11 3 5" xfId="45878"/>
    <cellStyle name="输入 2 2 6 5 6" xfId="45879"/>
    <cellStyle name="输入 2 2 6 6" xfId="45880"/>
    <cellStyle name="输入 2 5 8 10" xfId="45881"/>
    <cellStyle name="输入 2 2 6 6 5 2" xfId="45882"/>
    <cellStyle name="输入 2 2 6 6 6" xfId="45883"/>
    <cellStyle name="输入 2 2 6 7 2" xfId="45884"/>
    <cellStyle name="输入 2 5 8 11 2" xfId="45885"/>
    <cellStyle name="输入 2 2 6 7 2 2" xfId="45886"/>
    <cellStyle name="注释 2 3 16 3" xfId="45887"/>
    <cellStyle name="输入 2 2 6 7 3 2" xfId="45888"/>
    <cellStyle name="注释 2 3 17 3" xfId="45889"/>
    <cellStyle name="输入 2 2 6 7 4" xfId="45890"/>
    <cellStyle name="输入 2 2 6 7 4 2" xfId="45891"/>
    <cellStyle name="注释 2 3 18 3" xfId="45892"/>
    <cellStyle name="输入 2 2 6 7 5 2" xfId="45893"/>
    <cellStyle name="注释 2 3 19 3" xfId="45894"/>
    <cellStyle name="输入 2 2 6 7 6" xfId="45895"/>
    <cellStyle name="输入 2 2 6 8" xfId="45896"/>
    <cellStyle name="输入 2 5 6 6 5 2" xfId="45897"/>
    <cellStyle name="输入 2 5 8 12" xfId="45898"/>
    <cellStyle name="输入 2 2 6 8 2" xfId="45899"/>
    <cellStyle name="输入 2 5 8 12 2" xfId="45900"/>
    <cellStyle name="输入 2 2 6 8 3 2" xfId="45901"/>
    <cellStyle name="输入 2 2 6 8 4" xfId="45902"/>
    <cellStyle name="输入 2 2 6 8 4 2" xfId="45903"/>
    <cellStyle name="输入 2 8 5 10" xfId="45904"/>
    <cellStyle name="输入 2 2 6 9 2" xfId="45905"/>
    <cellStyle name="输入 2 2 7" xfId="45906"/>
    <cellStyle name="输入 2 2 7 10" xfId="45907"/>
    <cellStyle name="输入 2 5 8 8 5" xfId="45908"/>
    <cellStyle name="输入 2 2 7 10 2" xfId="45909"/>
    <cellStyle name="输入 2 2 7 2" xfId="45910"/>
    <cellStyle name="输入 2 2 7 2 5 2" xfId="45911"/>
    <cellStyle name="注释 2 7 19 3" xfId="45912"/>
    <cellStyle name="输入 2 2 7 3 5" xfId="45913"/>
    <cellStyle name="输入 2 2 7 3 5 2" xfId="45914"/>
    <cellStyle name="输入 2 2 7 5 5 2" xfId="45915"/>
    <cellStyle name="输入 2 2 7 5 6" xfId="45916"/>
    <cellStyle name="输入 2 2 7 6 5 2" xfId="45917"/>
    <cellStyle name="输入 2 2 7 6 6" xfId="45918"/>
    <cellStyle name="注释 2 3 6 15" xfId="45919"/>
    <cellStyle name="输入 2 2 7 7 2" xfId="45920"/>
    <cellStyle name="输入 2 2 7 7 2 2" xfId="45921"/>
    <cellStyle name="注释 2 8 16 3" xfId="45922"/>
    <cellStyle name="输入 2 2 7 7 3 2" xfId="45923"/>
    <cellStyle name="注释 2 8 17 3" xfId="45924"/>
    <cellStyle name="输入 2 2 7 7 4" xfId="45925"/>
    <cellStyle name="输入 2 2 7 7 4 2" xfId="45926"/>
    <cellStyle name="注释 2 8 18 3" xfId="45927"/>
    <cellStyle name="输入 2 2 7 7 5 2" xfId="45928"/>
    <cellStyle name="注释 2 8 19 3" xfId="45929"/>
    <cellStyle name="输入 2 2 7 7 6" xfId="45930"/>
    <cellStyle name="输入 2 2 7 8 2" xfId="45931"/>
    <cellStyle name="输入 2 2 7 8 3 2" xfId="45932"/>
    <cellStyle name="输入 2 2 7 8 4" xfId="45933"/>
    <cellStyle name="输入 2 2 7 8 4 2" xfId="45934"/>
    <cellStyle name="输入 2 2 7 9 2" xfId="45935"/>
    <cellStyle name="输入 2 2 8" xfId="45936"/>
    <cellStyle name="输入 2 2 8 10" xfId="45937"/>
    <cellStyle name="输入 2 6 11 4 5 2" xfId="45938"/>
    <cellStyle name="输入 2 2 8 10 2" xfId="45939"/>
    <cellStyle name="输入 2 2 8 2" xfId="45940"/>
    <cellStyle name="输入 2 2 8 3" xfId="45941"/>
    <cellStyle name="输入 2 2 8 3 5" xfId="45942"/>
    <cellStyle name="输入 2 2 8 3 6" xfId="45943"/>
    <cellStyle name="输入 2 2 8 4 5" xfId="45944"/>
    <cellStyle name="输入 2 2 8 4 6" xfId="45945"/>
    <cellStyle name="输入 2 2 8 5" xfId="45946"/>
    <cellStyle name="输入 2 2 8 5 6" xfId="45947"/>
    <cellStyle name="输入 2 2 8 6" xfId="45948"/>
    <cellStyle name="输入 2 2 8 7 2" xfId="45949"/>
    <cellStyle name="输入 2 2 8 7 4" xfId="45950"/>
    <cellStyle name="输入 2 2 8 7 6" xfId="45951"/>
    <cellStyle name="输入 2 2 8 8" xfId="45952"/>
    <cellStyle name="输入 2 2 8 8 2" xfId="45953"/>
    <cellStyle name="输入 2 2 8 8 4" xfId="45954"/>
    <cellStyle name="输入 2 2 8 9 2" xfId="45955"/>
    <cellStyle name="输入 2 2 9" xfId="45956"/>
    <cellStyle name="输入 2 2 9 15" xfId="45957"/>
    <cellStyle name="输入 2 2 9 2" xfId="45958"/>
    <cellStyle name="输入 2 2 9 2 6" xfId="45959"/>
    <cellStyle name="输入 2 2 9 3" xfId="45960"/>
    <cellStyle name="输入 2 2 9 3 5" xfId="45961"/>
    <cellStyle name="输入 2 2 9 3 6" xfId="45962"/>
    <cellStyle name="输入 2 2 9 4 5" xfId="45963"/>
    <cellStyle name="输入 2 2 9 4 6" xfId="45964"/>
    <cellStyle name="输入 2 2 9 5" xfId="45965"/>
    <cellStyle name="输入 2 2 9 6" xfId="45966"/>
    <cellStyle name="输入 2 2 9 7 2" xfId="45967"/>
    <cellStyle name="输入 2 2 9 7 4" xfId="45968"/>
    <cellStyle name="输入 2 2 9 8" xfId="45969"/>
    <cellStyle name="输入 2 2 9 8 2" xfId="45970"/>
    <cellStyle name="输入 2 2 9 8 3" xfId="45971"/>
    <cellStyle name="输入 2 2 9 8 4" xfId="45972"/>
    <cellStyle name="输入 2 2 9 9" xfId="45973"/>
    <cellStyle name="输入 2 2 9 9 2" xfId="45974"/>
    <cellStyle name="输入 2 3" xfId="45975"/>
    <cellStyle name="注释 2 12 3 16" xfId="45976"/>
    <cellStyle name="注释 2 8 4 9" xfId="45977"/>
    <cellStyle name="注释 2 8 7 4 2" xfId="45978"/>
    <cellStyle name="输入 2 3 10" xfId="45979"/>
    <cellStyle name="输入 2 3 10 10" xfId="45980"/>
    <cellStyle name="输入 2 3 10 10 2" xfId="45981"/>
    <cellStyle name="输入 2 3 10 11" xfId="45982"/>
    <cellStyle name="输入 2 3 10 11 2" xfId="45983"/>
    <cellStyle name="输入 2 3 10 13" xfId="45984"/>
    <cellStyle name="输入 2 3 10 14" xfId="45985"/>
    <cellStyle name="输入 2 3 3 3 2 2" xfId="45986"/>
    <cellStyle name="输入 2 3 10 15" xfId="45987"/>
    <cellStyle name="输入 2 3 10 2" xfId="45988"/>
    <cellStyle name="注释 2 10 4 2 5" xfId="45989"/>
    <cellStyle name="输入 2 3 10 2 5 2" xfId="45990"/>
    <cellStyle name="输入 2 3 10 3" xfId="45991"/>
    <cellStyle name="注释 2 10 4 2 6" xfId="45992"/>
    <cellStyle name="输入 2 3 10 3 2" xfId="45993"/>
    <cellStyle name="输入 2 3 10 3 2 2" xfId="45994"/>
    <cellStyle name="输入 2 3 10 3 3" xfId="45995"/>
    <cellStyle name="输入 2 3 10 3 3 2" xfId="45996"/>
    <cellStyle name="输入 2 3 10 3 4" xfId="45997"/>
    <cellStyle name="输入 2 3 10 3 4 2" xfId="45998"/>
    <cellStyle name="输入 2 3 10 3 5" xfId="45999"/>
    <cellStyle name="输入 2 3 10 3 5 2" xfId="46000"/>
    <cellStyle name="输入 2 3 10 3 6" xfId="46001"/>
    <cellStyle name="输入 2 3 10 4 2" xfId="46002"/>
    <cellStyle name="输入 2 3 10 4 2 2" xfId="46003"/>
    <cellStyle name="输入 2 3 10 4 3" xfId="46004"/>
    <cellStyle name="输入 2 3 10 4 3 2" xfId="46005"/>
    <cellStyle name="输入 2 3 10 4 4" xfId="46006"/>
    <cellStyle name="输入 2 3 10 4 4 2" xfId="46007"/>
    <cellStyle name="输入 2 3 10 4 5" xfId="46008"/>
    <cellStyle name="输入 2 3 10 4 5 2" xfId="46009"/>
    <cellStyle name="输入 2 3 10 4 6" xfId="46010"/>
    <cellStyle name="输入 2 3 10 5" xfId="46011"/>
    <cellStyle name="注释 2 10 4 2 8" xfId="46012"/>
    <cellStyle name="输入 2 3 10 5 2" xfId="46013"/>
    <cellStyle name="输入 2 3 10 5 2 2" xfId="46014"/>
    <cellStyle name="输入 2 3 10 5 3" xfId="46015"/>
    <cellStyle name="输入 2 3 10 5 3 2" xfId="46016"/>
    <cellStyle name="输入 2 3 10 5 4" xfId="46017"/>
    <cellStyle name="输入 2 3 10 5 4 2" xfId="46018"/>
    <cellStyle name="输入 2 3 10 6" xfId="46019"/>
    <cellStyle name="注释 2 10 4 2 9" xfId="46020"/>
    <cellStyle name="输入 2 3 10 6 2" xfId="46021"/>
    <cellStyle name="输入 2 3 10 6 2 2" xfId="46022"/>
    <cellStyle name="输入 2 3 10 6 3" xfId="46023"/>
    <cellStyle name="输入 2 3 10 6 3 2" xfId="46024"/>
    <cellStyle name="输入 2 3 10 6 4" xfId="46025"/>
    <cellStyle name="输入 2 3 10 6 4 2" xfId="46026"/>
    <cellStyle name="输入 2 3 10 6 5" xfId="46027"/>
    <cellStyle name="输入 2 3 10 6 5 2" xfId="46028"/>
    <cellStyle name="输入 2 3 10 6 6" xfId="46029"/>
    <cellStyle name="输入 2 3 10 7" xfId="46030"/>
    <cellStyle name="输入 2 3 10 7 2" xfId="46031"/>
    <cellStyle name="输入 2 3 10 7 2 2" xfId="46032"/>
    <cellStyle name="输入 2 3 10 7 3" xfId="46033"/>
    <cellStyle name="输入 2 3 10 7 3 2" xfId="46034"/>
    <cellStyle name="输入 2 3 10 7 4" xfId="46035"/>
    <cellStyle name="输入 2 4 8 7 2 2" xfId="46036"/>
    <cellStyle name="输入 2 3 10 7 4 2" xfId="46037"/>
    <cellStyle name="输入 2 3 10 7 5" xfId="46038"/>
    <cellStyle name="输入 2 3 10 7 5 2" xfId="46039"/>
    <cellStyle name="输入 2 3 10 7 6" xfId="46040"/>
    <cellStyle name="输入 2 3 10 8" xfId="46041"/>
    <cellStyle name="输入 2 3 10 8 2" xfId="46042"/>
    <cellStyle name="输入 2 3 10 8 2 2" xfId="46043"/>
    <cellStyle name="输入 2 3 10 8 3" xfId="46044"/>
    <cellStyle name="输入 2 3 10 8 3 2" xfId="46045"/>
    <cellStyle name="输入 2 3 10 8 4" xfId="46046"/>
    <cellStyle name="输入 2 4 8 7 3 2" xfId="46047"/>
    <cellStyle name="输入 2 3 10 8 4 2" xfId="46048"/>
    <cellStyle name="输入 2 3 10 8 5" xfId="46049"/>
    <cellStyle name="输入 2 3 10 9" xfId="46050"/>
    <cellStyle name="输入 2 3 10 9 2" xfId="46051"/>
    <cellStyle name="输入 2 3 11 10" xfId="46052"/>
    <cellStyle name="输入 2 3 11 10 2" xfId="46053"/>
    <cellStyle name="输入 2 3 11 11" xfId="46054"/>
    <cellStyle name="输入 2 3 11 11 2" xfId="46055"/>
    <cellStyle name="输入 2 3 11 12" xfId="46056"/>
    <cellStyle name="输入 2 3 11 13" xfId="46057"/>
    <cellStyle name="输入 2 3 11 2" xfId="46058"/>
    <cellStyle name="注释 2 10 4 3 5" xfId="46059"/>
    <cellStyle name="输入 2 3 11 2 2" xfId="46060"/>
    <cellStyle name="注释 2 10 4 3 5 2" xfId="46061"/>
    <cellStyle name="输入 2 3 11 2 2 2" xfId="46062"/>
    <cellStyle name="输入 2 3 11 2 3" xfId="46063"/>
    <cellStyle name="输入 2 3 11 2 3 2" xfId="46064"/>
    <cellStyle name="注释 2 4 10 2 3" xfId="46065"/>
    <cellStyle name="输入 2 3 11 2 4" xfId="46066"/>
    <cellStyle name="输入 2 3 11 2 4 2" xfId="46067"/>
    <cellStyle name="注释 2 4 10 3 3" xfId="46068"/>
    <cellStyle name="输入 2 3 11 2 5" xfId="46069"/>
    <cellStyle name="输入 2 3 11 2 5 2" xfId="46070"/>
    <cellStyle name="注释 2 4 10 4 3" xfId="46071"/>
    <cellStyle name="输入 2 3 11 3" xfId="46072"/>
    <cellStyle name="注释 2 10 4 3 6" xfId="46073"/>
    <cellStyle name="输入 2 3 11 3 2" xfId="46074"/>
    <cellStyle name="输入 2 3 11 3 3" xfId="46075"/>
    <cellStyle name="输入 2 3 11 3 3 2" xfId="46076"/>
    <cellStyle name="注释 2 4 11 2 3" xfId="46077"/>
    <cellStyle name="输入 2 3 11 3 4" xfId="46078"/>
    <cellStyle name="输入 2 3 11 3 4 2" xfId="46079"/>
    <cellStyle name="注释 2 4 11 3 3" xfId="46080"/>
    <cellStyle name="输入 2 3 11 3 5" xfId="46081"/>
    <cellStyle name="输入 2 3 11 3 5 2" xfId="46082"/>
    <cellStyle name="注释 2 4 11 4 3" xfId="46083"/>
    <cellStyle name="输入 2 3 11 3 6" xfId="46084"/>
    <cellStyle name="输入 2 3 11 4 2" xfId="46085"/>
    <cellStyle name="输入 2 3 11 4 3" xfId="46086"/>
    <cellStyle name="输入 2 3 11 4 3 2" xfId="46087"/>
    <cellStyle name="输入 2 3 11 4 4" xfId="46088"/>
    <cellStyle name="输入 2 3 11 4 4 2" xfId="46089"/>
    <cellStyle name="输入 2 3 11 4 5" xfId="46090"/>
    <cellStyle name="输入 2 3 11 4 5 2" xfId="46091"/>
    <cellStyle name="输入 2 3 11 4 6" xfId="46092"/>
    <cellStyle name="输入 2 3 11 5" xfId="46093"/>
    <cellStyle name="输入 2 3 11 5 2" xfId="46094"/>
    <cellStyle name="输入 2 3 11 5 2 2" xfId="46095"/>
    <cellStyle name="输入 2 3 11 5 3" xfId="46096"/>
    <cellStyle name="输入 2 3 11 5 3 2" xfId="46097"/>
    <cellStyle name="输入 2 3 11 5 4" xfId="46098"/>
    <cellStyle name="输入 2 3 11 5 4 2" xfId="46099"/>
    <cellStyle name="输入 2 3 11 5 5" xfId="46100"/>
    <cellStyle name="输入 2 3 11 5 5 2" xfId="46101"/>
    <cellStyle name="输入 2 3 11 5 6" xfId="46102"/>
    <cellStyle name="输入 2 3 11 6" xfId="46103"/>
    <cellStyle name="注释 2 8 11 10 2" xfId="46104"/>
    <cellStyle name="输入 2 3 11 6 2" xfId="46105"/>
    <cellStyle name="输入 2 3 11 6 2 2" xfId="46106"/>
    <cellStyle name="输入 2 3 11 6 3" xfId="46107"/>
    <cellStyle name="输入 2 3 11 6 3 2" xfId="46108"/>
    <cellStyle name="输入 2 3 11 6 4" xfId="46109"/>
    <cellStyle name="输入 2 3 11 6 4 2" xfId="46110"/>
    <cellStyle name="输入 2 3 11 6 5" xfId="46111"/>
    <cellStyle name="输入 2 3 11 6 5 2" xfId="46112"/>
    <cellStyle name="输入 2 3 11 6 6" xfId="46113"/>
    <cellStyle name="输入 2 3 11 7" xfId="46114"/>
    <cellStyle name="输入 2 3 11 7 2" xfId="46115"/>
    <cellStyle name="输入 2 3 11 7 2 2" xfId="46116"/>
    <cellStyle name="输入 2 3 11 7 3" xfId="46117"/>
    <cellStyle name="输入 2 3 11 7 3 2" xfId="46118"/>
    <cellStyle name="输入 2 3 11 7 4" xfId="46119"/>
    <cellStyle name="输入 2 4 8 8 2 2" xfId="46120"/>
    <cellStyle name="输入 2 3 11 7 4 2" xfId="46121"/>
    <cellStyle name="输入 2 3 11 7 5" xfId="46122"/>
    <cellStyle name="输入 2 3 11 7 5 2" xfId="46123"/>
    <cellStyle name="输入 2 3 11 7 6" xfId="46124"/>
    <cellStyle name="输入 2 3 11 8" xfId="46125"/>
    <cellStyle name="输入 2 3 11 8 3" xfId="46126"/>
    <cellStyle name="输入 2 3 11 8 3 2" xfId="46127"/>
    <cellStyle name="输入 2 3 11 8 4" xfId="46128"/>
    <cellStyle name="输入 2 4 8 8 3 2" xfId="46129"/>
    <cellStyle name="输入 2 3 11 8 4 2" xfId="46130"/>
    <cellStyle name="输入 2 3 11 8 5" xfId="46131"/>
    <cellStyle name="输入 2 3 11 9" xfId="46132"/>
    <cellStyle name="输入 2 9 2 7 2 2" xfId="46133"/>
    <cellStyle name="输入 2 3 11 9 2" xfId="46134"/>
    <cellStyle name="输入 2 3 12" xfId="46135"/>
    <cellStyle name="输入 2 3 12 2" xfId="46136"/>
    <cellStyle name="注释 2 10 4 4 5" xfId="46137"/>
    <cellStyle name="输入 2 3 12 2 2" xfId="46138"/>
    <cellStyle name="注释 2 10 4 4 5 2" xfId="46139"/>
    <cellStyle name="输入 2 3 12 3" xfId="46140"/>
    <cellStyle name="注释 2 10 4 4 6" xfId="46141"/>
    <cellStyle name="输入 2 3 12 4 2" xfId="46142"/>
    <cellStyle name="输入 2 3 12 5" xfId="46143"/>
    <cellStyle name="输入 2 3 12 5 2" xfId="46144"/>
    <cellStyle name="输入 2 3 12 6" xfId="46145"/>
    <cellStyle name="注释 2 8 11 11 2" xfId="46146"/>
    <cellStyle name="输入 2 3 12 7" xfId="46147"/>
    <cellStyle name="输入 2 3 12 8" xfId="46148"/>
    <cellStyle name="输入 2 3 12 9" xfId="46149"/>
    <cellStyle name="输入 2 9 2 7 3 2" xfId="46150"/>
    <cellStyle name="输入 2 3 13" xfId="46151"/>
    <cellStyle name="输入 2 3 13 2" xfId="46152"/>
    <cellStyle name="注释 2 10 4 5 5" xfId="46153"/>
    <cellStyle name="输入 2 3 13 2 2" xfId="46154"/>
    <cellStyle name="注释 2 10 4 5 5 2" xfId="46155"/>
    <cellStyle name="输入 2 3 13 3" xfId="46156"/>
    <cellStyle name="注释 2 10 4 5 6" xfId="46157"/>
    <cellStyle name="输入 2 3 13 3 2" xfId="46158"/>
    <cellStyle name="输入 2 3 13 4 2" xfId="46159"/>
    <cellStyle name="输入 2 3 13 5" xfId="46160"/>
    <cellStyle name="输入 2 3 13 5 2" xfId="46161"/>
    <cellStyle name="输入 2 3 13 6" xfId="46162"/>
    <cellStyle name="注释 2 8 11 12 2" xfId="46163"/>
    <cellStyle name="输入 2 3 14" xfId="46164"/>
    <cellStyle name="输入 2 3 14 2" xfId="46165"/>
    <cellStyle name="注释 2 10 4 6 5" xfId="46166"/>
    <cellStyle name="输入 2 3 14 3" xfId="46167"/>
    <cellStyle name="注释 2 10 4 6 6" xfId="46168"/>
    <cellStyle name="输入 2 3 14 3 2" xfId="46169"/>
    <cellStyle name="输入 2 3 14 4" xfId="46170"/>
    <cellStyle name="输入 2 3 14 4 2" xfId="46171"/>
    <cellStyle name="输入 2 3 14 5" xfId="46172"/>
    <cellStyle name="输入 2 3 14 5 2" xfId="46173"/>
    <cellStyle name="输入 2 3 14 6" xfId="46174"/>
    <cellStyle name="输入 2 3 15" xfId="46175"/>
    <cellStyle name="输入 2 3 20" xfId="46176"/>
    <cellStyle name="输入 2 3 15 2" xfId="46177"/>
    <cellStyle name="输入 2 3 20 2" xfId="46178"/>
    <cellStyle name="注释 2 10 4 7 5" xfId="46179"/>
    <cellStyle name="输入 2 3 15 3" xfId="46180"/>
    <cellStyle name="注释 2 10 4 7 6" xfId="46181"/>
    <cellStyle name="输入 2 3 15 3 2" xfId="46182"/>
    <cellStyle name="输入 2 3 15 4" xfId="46183"/>
    <cellStyle name="输入 2 3 15 4 2" xfId="46184"/>
    <cellStyle name="输入 2 3 15 5" xfId="46185"/>
    <cellStyle name="输入 2 3 15 5 2" xfId="46186"/>
    <cellStyle name="输入 2 3 15 6" xfId="46187"/>
    <cellStyle name="输入 2 3 16" xfId="46188"/>
    <cellStyle name="输入 2 3 21" xfId="46189"/>
    <cellStyle name="输入 2 3 16 2" xfId="46190"/>
    <cellStyle name="输入 2 3 21 2" xfId="46191"/>
    <cellStyle name="注释 2 10 4 8 5" xfId="46192"/>
    <cellStyle name="输入 2 3 16 2 2" xfId="46193"/>
    <cellStyle name="输入 2 3 16 3" xfId="46194"/>
    <cellStyle name="输入 2 3 16 3 2" xfId="46195"/>
    <cellStyle name="输入 2 3 16 4" xfId="46196"/>
    <cellStyle name="输入 2 3 16 4 2" xfId="46197"/>
    <cellStyle name="输入 2 3 16 5" xfId="46198"/>
    <cellStyle name="输入 2 3 16 5 2" xfId="46199"/>
    <cellStyle name="输入 2 3 16 6" xfId="46200"/>
    <cellStyle name="输入 2 3 17 2 2" xfId="46201"/>
    <cellStyle name="输入 2 3 17 4 2" xfId="46202"/>
    <cellStyle name="输入 2 3 17 5 2" xfId="46203"/>
    <cellStyle name="输入 2 3 17 6" xfId="46204"/>
    <cellStyle name="输入 2 3 2" xfId="46205"/>
    <cellStyle name="输入 2 9 10 2 9" xfId="46206"/>
    <cellStyle name="注释 2 5 9 9" xfId="46207"/>
    <cellStyle name="注释 2 8 4 9 2" xfId="46208"/>
    <cellStyle name="注释 2 8 7 4 2 2" xfId="46209"/>
    <cellStyle name="输入 2 3 2 10 2" xfId="46210"/>
    <cellStyle name="输入 2 3 2 11" xfId="46211"/>
    <cellStyle name="输入 2 3 2 11 2" xfId="46212"/>
    <cellStyle name="输入 2 3 2 12 2" xfId="46213"/>
    <cellStyle name="输入 2 3 2 13" xfId="46214"/>
    <cellStyle name="输入 2 3 2 14" xfId="46215"/>
    <cellStyle name="输入 2 3 2 15" xfId="46216"/>
    <cellStyle name="输入 2 3 2 16" xfId="46217"/>
    <cellStyle name="输入 2 3 2 2" xfId="46218"/>
    <cellStyle name="注释 2 5 9 9 2" xfId="46219"/>
    <cellStyle name="注释 2 7 10 6 3" xfId="46220"/>
    <cellStyle name="输入 2 3 2 2 2" xfId="46221"/>
    <cellStyle name="注释 2 7 10 6 3 2" xfId="46222"/>
    <cellStyle name="输入 2 3 2 2 3 2" xfId="46223"/>
    <cellStyle name="输入 2 3 2 2 4 2" xfId="46224"/>
    <cellStyle name="输入 2 7 10 5" xfId="46225"/>
    <cellStyle name="输入 2 3 2 3 3 2" xfId="46226"/>
    <cellStyle name="输入 2 3 2 3 4 2" xfId="46227"/>
    <cellStyle name="输入 2 3 2 4 2 2" xfId="46228"/>
    <cellStyle name="输入 2 3 2 4 3 2" xfId="46229"/>
    <cellStyle name="输入 2 3 2 4 4 2" xfId="46230"/>
    <cellStyle name="输入 2 3 2 5 2 2" xfId="46231"/>
    <cellStyle name="输入 2 3 2 5 3 2" xfId="46232"/>
    <cellStyle name="输入 2 3 2 5 4 2" xfId="46233"/>
    <cellStyle name="注释 2 11 2 2 8" xfId="46234"/>
    <cellStyle name="输入 2 3 2 6 2" xfId="46235"/>
    <cellStyle name="注释 2 7 6 11" xfId="46236"/>
    <cellStyle name="输入 2 3 2 6 2 2" xfId="46237"/>
    <cellStyle name="注释 2 7 6 11 2" xfId="46238"/>
    <cellStyle name="输入 2 3 2 6 3 2" xfId="46239"/>
    <cellStyle name="注释 2 7 6 12 2" xfId="46240"/>
    <cellStyle name="输入 2 3 2 7 2" xfId="46241"/>
    <cellStyle name="输入 2 3 2 7 2 2" xfId="46242"/>
    <cellStyle name="输入 2 3 2 7 3 2" xfId="46243"/>
    <cellStyle name="输入 2 3 2 7 4 2" xfId="46244"/>
    <cellStyle name="输入 2 8 10 5" xfId="46245"/>
    <cellStyle name="注释 2 11 4 2 8" xfId="46246"/>
    <cellStyle name="输入 2 3 2 7 5 2" xfId="46247"/>
    <cellStyle name="输入 2 8 11 5" xfId="46248"/>
    <cellStyle name="输入 2 3 2 7 6" xfId="46249"/>
    <cellStyle name="输入 2 3 2 8 2" xfId="46250"/>
    <cellStyle name="输入 2 3 2 8 2 2" xfId="46251"/>
    <cellStyle name="输入 2 3 2 8 3 2" xfId="46252"/>
    <cellStyle name="输入 2 3 2 8 4" xfId="46253"/>
    <cellStyle name="输入 2 3 2 8 4 2" xfId="46254"/>
    <cellStyle name="注释 2 11 5 2 8" xfId="46255"/>
    <cellStyle name="输入 2 3 2 8 5" xfId="46256"/>
    <cellStyle name="输入 2 7 13 5 2" xfId="46257"/>
    <cellStyle name="输入 2 3 2 9 2" xfId="46258"/>
    <cellStyle name="输入 2 3 3 10" xfId="46259"/>
    <cellStyle name="输入 2 3 3 10 2" xfId="46260"/>
    <cellStyle name="输入 2 3 3 11" xfId="46261"/>
    <cellStyle name="输入 2 3 3 11 2" xfId="46262"/>
    <cellStyle name="输入 2 3 3 12 2" xfId="46263"/>
    <cellStyle name="输入 2 3 3 13" xfId="46264"/>
    <cellStyle name="输入 2 3 3 2" xfId="46265"/>
    <cellStyle name="注释 2 7 10 7 3" xfId="46266"/>
    <cellStyle name="输入 2 3 3 2 2" xfId="46267"/>
    <cellStyle name="注释 2 7 10 7 3 2" xfId="46268"/>
    <cellStyle name="输入 2 3 3 2 2 2" xfId="46269"/>
    <cellStyle name="注释 2 10 11 3 4" xfId="46270"/>
    <cellStyle name="输入 2 3 3 2 3" xfId="46271"/>
    <cellStyle name="输入 2 3 3 2 3 2" xfId="46272"/>
    <cellStyle name="注释 2 10 11 4 4" xfId="46273"/>
    <cellStyle name="输入 2 3 3 3" xfId="46274"/>
    <cellStyle name="注释 2 7 10 7 4" xfId="46275"/>
    <cellStyle name="输入 2 3 3 3 2" xfId="46276"/>
    <cellStyle name="注释 2 7 10 7 4 2" xfId="46277"/>
    <cellStyle name="输入 2 3 3 3 3" xfId="46278"/>
    <cellStyle name="输入 2 3 3 3 3 2" xfId="46279"/>
    <cellStyle name="输入 2 3 3 4" xfId="46280"/>
    <cellStyle name="注释 2 7 10 7 5" xfId="46281"/>
    <cellStyle name="输入 2 3 3 4 2" xfId="46282"/>
    <cellStyle name="注释 2 7 10 7 5 2" xfId="46283"/>
    <cellStyle name="输入 2 3 3 4 2 2" xfId="46284"/>
    <cellStyle name="输入 2 3 3 4 3" xfId="46285"/>
    <cellStyle name="输入 2 3 3 4 3 2" xfId="46286"/>
    <cellStyle name="输入 2 3 3 4 4 2" xfId="46287"/>
    <cellStyle name="输入 2 3 3 5" xfId="46288"/>
    <cellStyle name="注释 2 7 10 7 6" xfId="46289"/>
    <cellStyle name="输入 2 3 3 5 2" xfId="46290"/>
    <cellStyle name="输入 2 3 3 5 3" xfId="46291"/>
    <cellStyle name="输入 2 3 3 5 4" xfId="46292"/>
    <cellStyle name="输入 2 3 3 6" xfId="46293"/>
    <cellStyle name="输入 2 3 3 6 2" xfId="46294"/>
    <cellStyle name="输入 2 3 3 6 2 2" xfId="46295"/>
    <cellStyle name="输入 2 3 3 6 3 2" xfId="46296"/>
    <cellStyle name="输入 2 3 3 6 4" xfId="46297"/>
    <cellStyle name="输入 2 3 3 6 4 2" xfId="46298"/>
    <cellStyle name="注释 2 12 3 2 8" xfId="46299"/>
    <cellStyle name="输入 2 3 3 7" xfId="46300"/>
    <cellStyle name="输入 2 3 3 7 2" xfId="46301"/>
    <cellStyle name="输入 2 3 3 7 2 2" xfId="46302"/>
    <cellStyle name="输入 2 3 3 7 3 2" xfId="46303"/>
    <cellStyle name="输入 2 3 3 7 4" xfId="46304"/>
    <cellStyle name="输入 2 3 3 7 4 2" xfId="46305"/>
    <cellStyle name="注释 2 12 4 2 8" xfId="46306"/>
    <cellStyle name="输入 2 3 3 7 5 2" xfId="46307"/>
    <cellStyle name="输入 2 3 3 7 6" xfId="46308"/>
    <cellStyle name="输入 2 3 3 8" xfId="46309"/>
    <cellStyle name="输入 2 5 6 7 2 2" xfId="46310"/>
    <cellStyle name="输入 2 3 3 8 2" xfId="46311"/>
    <cellStyle name="输入 2 3 3 8 2 2" xfId="46312"/>
    <cellStyle name="输入 2 3 3 8 3 2" xfId="46313"/>
    <cellStyle name="输入 2 3 3 8 4" xfId="46314"/>
    <cellStyle name="输入 2 3 3 8 4 2" xfId="46315"/>
    <cellStyle name="注释 2 12 5 2 8" xfId="46316"/>
    <cellStyle name="输入 2 3 3 8 5" xfId="46317"/>
    <cellStyle name="输入 2 7 14 5 2" xfId="46318"/>
    <cellStyle name="输入 2 3 3 9" xfId="46319"/>
    <cellStyle name="输入 2 3 4" xfId="46320"/>
    <cellStyle name="输入 2 3 4 10" xfId="46321"/>
    <cellStyle name="输入 2 3 4 10 2" xfId="46322"/>
    <cellStyle name="输入 2 3 4 11" xfId="46323"/>
    <cellStyle name="输入 2 3 4 11 2" xfId="46324"/>
    <cellStyle name="输入 2 3 4 12" xfId="46325"/>
    <cellStyle name="输入 2 3 4 12 2" xfId="46326"/>
    <cellStyle name="输入 2 3 4 2" xfId="46327"/>
    <cellStyle name="注释 2 7 10 8 3" xfId="46328"/>
    <cellStyle name="输入 2 3 4 2 2" xfId="46329"/>
    <cellStyle name="注释 2 7 10 8 3 2" xfId="46330"/>
    <cellStyle name="输入 2 3 4 2 3" xfId="46331"/>
    <cellStyle name="输入 2 3 4 2 3 2" xfId="46332"/>
    <cellStyle name="输入 2 3 4 3" xfId="46333"/>
    <cellStyle name="注释 2 7 10 8 4" xfId="46334"/>
    <cellStyle name="输入 2 3 4 3 2" xfId="46335"/>
    <cellStyle name="注释 2 7 10 8 4 2" xfId="46336"/>
    <cellStyle name="输入 2 3 4 3 2 2" xfId="46337"/>
    <cellStyle name="输入 2 4 10 14" xfId="46338"/>
    <cellStyle name="输入 2 3 4 3 3" xfId="46339"/>
    <cellStyle name="输入 2 3 4 3 3 2" xfId="46340"/>
    <cellStyle name="输入 2 3 4 4" xfId="46341"/>
    <cellStyle name="注释 2 7 10 8 5" xfId="46342"/>
    <cellStyle name="输入 2 3 4 4 2" xfId="46343"/>
    <cellStyle name="输入 2 3 4 4 2 2" xfId="46344"/>
    <cellStyle name="输入 2 3 4 4 3" xfId="46345"/>
    <cellStyle name="输入 2 3 4 4 3 2" xfId="46346"/>
    <cellStyle name="输入 2 3 4 4 4 2" xfId="46347"/>
    <cellStyle name="输入 2 3 4 5" xfId="46348"/>
    <cellStyle name="输入 2 3 4 5 2 2" xfId="46349"/>
    <cellStyle name="输入 2 3 4 5 3 2" xfId="46350"/>
    <cellStyle name="输入 2 3 4 5 4 2" xfId="46351"/>
    <cellStyle name="输入 2 3 4 6" xfId="46352"/>
    <cellStyle name="输入 2 3 4 6 2" xfId="46353"/>
    <cellStyle name="输入 2 3 4 6 2 2" xfId="46354"/>
    <cellStyle name="输入 2 3 4 6 3 2" xfId="46355"/>
    <cellStyle name="输入 2 3 4 6 4" xfId="46356"/>
    <cellStyle name="输入 2 3 4 6 4 2" xfId="46357"/>
    <cellStyle name="输入 2 3 4 7" xfId="46358"/>
    <cellStyle name="输入 2 3 4 7 2" xfId="46359"/>
    <cellStyle name="输入 2 3 4 7 2 2" xfId="46360"/>
    <cellStyle name="注释 2 10 5 15" xfId="46361"/>
    <cellStyle name="输入 2 3 4 7 3 2" xfId="46362"/>
    <cellStyle name="输入 2 3 4 7 4" xfId="46363"/>
    <cellStyle name="输入 2 3 4 7 4 2" xfId="46364"/>
    <cellStyle name="输入 2 3 4 7 5 2" xfId="46365"/>
    <cellStyle name="输入 2 3 4 8" xfId="46366"/>
    <cellStyle name="输入 2 5 6 7 3 2" xfId="46367"/>
    <cellStyle name="输入 2 3 4 8 2" xfId="46368"/>
    <cellStyle name="输入 2 3 4 8 2 2" xfId="46369"/>
    <cellStyle name="输入 2 3 4 8 3 2" xfId="46370"/>
    <cellStyle name="输入 2 3 4 8 4" xfId="46371"/>
    <cellStyle name="输入 2 3 4 8 4 2" xfId="46372"/>
    <cellStyle name="输入 2 3 4 9" xfId="46373"/>
    <cellStyle name="输入 2 3 4 9 2" xfId="46374"/>
    <cellStyle name="输入 2 3 5" xfId="46375"/>
    <cellStyle name="输入 2 3 5 10 2" xfId="46376"/>
    <cellStyle name="输入 2 3 5 11" xfId="46377"/>
    <cellStyle name="输入 2 3 5 11 2" xfId="46378"/>
    <cellStyle name="输入 2 3 5 12" xfId="46379"/>
    <cellStyle name="输入 2 3 5 12 2" xfId="46380"/>
    <cellStyle name="输入 2 3 5 2" xfId="46381"/>
    <cellStyle name="输入 2 3 5 2 2" xfId="46382"/>
    <cellStyle name="输入 2 3 5 2 3" xfId="46383"/>
    <cellStyle name="输入 2 3 5 2 5 2" xfId="46384"/>
    <cellStyle name="输入 2 3 5 2 8" xfId="46385"/>
    <cellStyle name="输入 2 3 5 2 9" xfId="46386"/>
    <cellStyle name="输入 2 3 5 3" xfId="46387"/>
    <cellStyle name="输入 2 3 5 3 2" xfId="46388"/>
    <cellStyle name="输入 2 3 5 3 3" xfId="46389"/>
    <cellStyle name="输入 2 3 5 3 5" xfId="46390"/>
    <cellStyle name="输入 2 3 5 3 5 2" xfId="46391"/>
    <cellStyle name="输入 2 3 5 4" xfId="46392"/>
    <cellStyle name="输入 2 3 5 4 2" xfId="46393"/>
    <cellStyle name="输入 2 3 5 4 2 2" xfId="46394"/>
    <cellStyle name="输入 2 3 5 4 3 2" xfId="46395"/>
    <cellStyle name="输入 2 3 5 4 4 2" xfId="46396"/>
    <cellStyle name="输入 2 3 5 4 5" xfId="46397"/>
    <cellStyle name="输入 2 3 5 4 5 2" xfId="46398"/>
    <cellStyle name="输入 2 3 5 4 6" xfId="46399"/>
    <cellStyle name="输入 2 3 5 5" xfId="46400"/>
    <cellStyle name="输入 2 3 5 5 2" xfId="46401"/>
    <cellStyle name="输入 2 3 5 5 3 2" xfId="46402"/>
    <cellStyle name="输入 2 3 5 5 4 2" xfId="46403"/>
    <cellStyle name="输入 2 3 5 5 5 2" xfId="46404"/>
    <cellStyle name="输入 2 3 5 5 6" xfId="46405"/>
    <cellStyle name="输入 2 3 5 6" xfId="46406"/>
    <cellStyle name="输入 2 3 5 6 2" xfId="46407"/>
    <cellStyle name="输入 2 3 5 6 2 2" xfId="46408"/>
    <cellStyle name="输入 2 3 5 6 3 2" xfId="46409"/>
    <cellStyle name="输入 2 3 5 6 4 2" xfId="46410"/>
    <cellStyle name="输入 2 3 5 6 5 2" xfId="46411"/>
    <cellStyle name="输入 2 3 5 6 6" xfId="46412"/>
    <cellStyle name="输入 2 3 5 7" xfId="46413"/>
    <cellStyle name="输入 2 3 5 7 2" xfId="46414"/>
    <cellStyle name="输入 2 3 5 7 2 2" xfId="46415"/>
    <cellStyle name="输入 2 3 5 7 3 2" xfId="46416"/>
    <cellStyle name="输入 2 3 5 7 4 2" xfId="46417"/>
    <cellStyle name="输入 2 3 5 7 5 2" xfId="46418"/>
    <cellStyle name="输入 2 3 5 7 6" xfId="46419"/>
    <cellStyle name="输入 2 3 5 8" xfId="46420"/>
    <cellStyle name="输入 2 5 6 7 4 2" xfId="46421"/>
    <cellStyle name="输入 2 3 5 8 2" xfId="46422"/>
    <cellStyle name="输入 2 3 5 8 3 2" xfId="46423"/>
    <cellStyle name="输入 2 3 5 8 4" xfId="46424"/>
    <cellStyle name="输入 2 3 5 8 4 2" xfId="46425"/>
    <cellStyle name="输入 2 3 5 9 2" xfId="46426"/>
    <cellStyle name="输入 2 3 6" xfId="46427"/>
    <cellStyle name="输入 2 3 6 10 2" xfId="46428"/>
    <cellStyle name="输入 2 3 6 11" xfId="46429"/>
    <cellStyle name="注释 2 3 3 2 3 2" xfId="46430"/>
    <cellStyle name="输入 2 3 6 11 2" xfId="46431"/>
    <cellStyle name="输入 2 3 6 2" xfId="46432"/>
    <cellStyle name="输入 2 3 6 2 2" xfId="46433"/>
    <cellStyle name="输入 2 3 6 2 2 2" xfId="46434"/>
    <cellStyle name="输入 2 3 6 2 3" xfId="46435"/>
    <cellStyle name="输入 2 3 6 2 3 2" xfId="46436"/>
    <cellStyle name="输入 2 3 6 2 4 2" xfId="46437"/>
    <cellStyle name="输入 2 3 6 2 8" xfId="46438"/>
    <cellStyle name="注释 2 4 2 10 2" xfId="46439"/>
    <cellStyle name="输入 2 3 6 2 9" xfId="46440"/>
    <cellStyle name="输入 2 3 6 3" xfId="46441"/>
    <cellStyle name="输入 2 3 6 3 2" xfId="46442"/>
    <cellStyle name="输入 2 3 6 3 2 2" xfId="46443"/>
    <cellStyle name="输入 2 6 10 14" xfId="46444"/>
    <cellStyle name="输入 2 3 6 3 3" xfId="46445"/>
    <cellStyle name="输入 2 3 6 3 3 2" xfId="46446"/>
    <cellStyle name="输入 2 3 6 3 4 2" xfId="46447"/>
    <cellStyle name="输入 2 3 6 3 5" xfId="46448"/>
    <cellStyle name="输入 2 3 6 4" xfId="46449"/>
    <cellStyle name="输入 2 3 6 4 2" xfId="46450"/>
    <cellStyle name="输入 2 3 6 4 5" xfId="46451"/>
    <cellStyle name="输入 2 3 6 4 6" xfId="46452"/>
    <cellStyle name="输入 2 3 6 5" xfId="46453"/>
    <cellStyle name="输入 2 3 6 5 2" xfId="46454"/>
    <cellStyle name="输入 2 3 6 5 4" xfId="46455"/>
    <cellStyle name="注释 2 4 5 4 5 2" xfId="46456"/>
    <cellStyle name="输入 2 3 6 5 6" xfId="46457"/>
    <cellStyle name="输入 2 3 6 6 2" xfId="46458"/>
    <cellStyle name="输入 2 3 6 6 2 2" xfId="46459"/>
    <cellStyle name="注释 2 2 4 12" xfId="46460"/>
    <cellStyle name="输入 2 3 6 6 3 2" xfId="46461"/>
    <cellStyle name="输入 2 3 6 6 4" xfId="46462"/>
    <cellStyle name="输入 2 3 6 6 4 2" xfId="46463"/>
    <cellStyle name="输入 2 3 6 6 5 2" xfId="46464"/>
    <cellStyle name="输入 2 3 6 6 6" xfId="46465"/>
    <cellStyle name="输入 2 3 6 7" xfId="46466"/>
    <cellStyle name="输入 2 3 6 7 2" xfId="46467"/>
    <cellStyle name="输入 2 3 6 7 2 2" xfId="46468"/>
    <cellStyle name="注释 2 2 9 12" xfId="46469"/>
    <cellStyle name="输入 2 3 6 7 3 2" xfId="46470"/>
    <cellStyle name="输入 2 3 6 7 4" xfId="46471"/>
    <cellStyle name="输入 2 3 6 7 4 2" xfId="46472"/>
    <cellStyle name="输入 2 3 6 7 5 2" xfId="46473"/>
    <cellStyle name="输入 2 3 6 7 6" xfId="46474"/>
    <cellStyle name="输入 2 3 6 8" xfId="46475"/>
    <cellStyle name="输入 2 5 6 7 5 2" xfId="46476"/>
    <cellStyle name="输入 2 3 6 8 2" xfId="46477"/>
    <cellStyle name="输入 2 3 6 8 2 2" xfId="46478"/>
    <cellStyle name="输入 2 3 6 8 3 2" xfId="46479"/>
    <cellStyle name="输入 2 3 6 8 4" xfId="46480"/>
    <cellStyle name="输入 2 3 6 8 4 2" xfId="46481"/>
    <cellStyle name="输入 2 3 6 9 2" xfId="46482"/>
    <cellStyle name="输入 2 3 7" xfId="46483"/>
    <cellStyle name="输入 2 3 7 10 2" xfId="46484"/>
    <cellStyle name="输入 2 3 7 11" xfId="46485"/>
    <cellStyle name="输入 2 3 7 11 2" xfId="46486"/>
    <cellStyle name="输入 2 3 7 12 2" xfId="46487"/>
    <cellStyle name="输入 2 3 7 13" xfId="46488"/>
    <cellStyle name="输入 2 3 7 14" xfId="46489"/>
    <cellStyle name="输入 2 3 7 15" xfId="46490"/>
    <cellStyle name="注释 2 9 4 2 5 2" xfId="46491"/>
    <cellStyle name="输入 2 3 7 16" xfId="46492"/>
    <cellStyle name="输入 2 3 7 2" xfId="46493"/>
    <cellStyle name="输入 2 3 7 2 2" xfId="46494"/>
    <cellStyle name="输入 2 3 7 2 2 2" xfId="46495"/>
    <cellStyle name="注释 2 6 9 12" xfId="46496"/>
    <cellStyle name="输入 2 3 7 2 3" xfId="46497"/>
    <cellStyle name="输入 2 3 7 2 3 2" xfId="46498"/>
    <cellStyle name="输入 2 3 7 2 4 2" xfId="46499"/>
    <cellStyle name="输入 2 3 7 2 5 2" xfId="46500"/>
    <cellStyle name="输入 2 3 7 3" xfId="46501"/>
    <cellStyle name="输入 2 3 7 3 2" xfId="46502"/>
    <cellStyle name="输入 2 3 7 3 2 2" xfId="46503"/>
    <cellStyle name="输入 2 7 10 14" xfId="46504"/>
    <cellStyle name="输入 2 3 7 3 3" xfId="46505"/>
    <cellStyle name="输入 2 3 7 3 3 2" xfId="46506"/>
    <cellStyle name="输入 2 3 7 3 4 2" xfId="46507"/>
    <cellStyle name="输入 2 3 7 3 5" xfId="46508"/>
    <cellStyle name="输入 2 3 7 3 5 2" xfId="46509"/>
    <cellStyle name="输入 2 3 7 4" xfId="46510"/>
    <cellStyle name="输入 2 3 7 4 2" xfId="46511"/>
    <cellStyle name="输入 2 3 7 4 2 2" xfId="46512"/>
    <cellStyle name="输入 2 3 7 4 3 2" xfId="46513"/>
    <cellStyle name="输入 2 3 7 4 4" xfId="46514"/>
    <cellStyle name="注释 2 4 5 5 4 2" xfId="46515"/>
    <cellStyle name="输入 2 3 7 4 4 2" xfId="46516"/>
    <cellStyle name="输入 2 3 7 4 5" xfId="46517"/>
    <cellStyle name="输入 2 3 7 4 5 2" xfId="46518"/>
    <cellStyle name="输入 2 3 7 4 6" xfId="46519"/>
    <cellStyle name="输入 2 3 7 5" xfId="46520"/>
    <cellStyle name="输入 2 3 7 5 2" xfId="46521"/>
    <cellStyle name="输入 2 3 7 5 2 2" xfId="46522"/>
    <cellStyle name="输入 2 3 7 5 3 2" xfId="46523"/>
    <cellStyle name="输入 2 3 7 5 4" xfId="46524"/>
    <cellStyle name="注释 2 4 5 5 5 2" xfId="46525"/>
    <cellStyle name="输入 2 3 7 5 5 2" xfId="46526"/>
    <cellStyle name="输入 2 3 7 5 6" xfId="46527"/>
    <cellStyle name="输入 2 3 7 6 2" xfId="46528"/>
    <cellStyle name="注释 2 8 6 11" xfId="46529"/>
    <cellStyle name="输入 2 3 7 6 2 2" xfId="46530"/>
    <cellStyle name="注释 2 7 4 12" xfId="46531"/>
    <cellStyle name="注释 2 8 6 11 2" xfId="46532"/>
    <cellStyle name="输入 2 3 7 6 3 2" xfId="46533"/>
    <cellStyle name="注释 2 8 6 12 2" xfId="46534"/>
    <cellStyle name="输入 2 3 7 6 4" xfId="46535"/>
    <cellStyle name="注释 2 8 6 13" xfId="46536"/>
    <cellStyle name="输入 2 3 7 6 4 2" xfId="46537"/>
    <cellStyle name="输入 2 3 7 6 5 2" xfId="46538"/>
    <cellStyle name="输入 2 3 7 6 6" xfId="46539"/>
    <cellStyle name="注释 2 8 6 15" xfId="46540"/>
    <cellStyle name="输入 2 3 7 7" xfId="46541"/>
    <cellStyle name="输入 2 3 7 7 2" xfId="46542"/>
    <cellStyle name="输入 2 3 7 7 2 2" xfId="46543"/>
    <cellStyle name="注释 2 7 9 12" xfId="46544"/>
    <cellStyle name="输入 2 3 7 7 3 2" xfId="46545"/>
    <cellStyle name="输入 2 3 7 7 4" xfId="46546"/>
    <cellStyle name="输入 2 3 7 7 4 2" xfId="46547"/>
    <cellStyle name="输入 2 3 7 7 5 2" xfId="46548"/>
    <cellStyle name="输入 2 3 7 7 6" xfId="46549"/>
    <cellStyle name="输入 2 3 7 8" xfId="46550"/>
    <cellStyle name="输入 2 3 7 8 2" xfId="46551"/>
    <cellStyle name="输入 2 3 7 8 2 2" xfId="46552"/>
    <cellStyle name="输入 2 3 7 8 3 2" xfId="46553"/>
    <cellStyle name="输入 2 3 7 8 4" xfId="46554"/>
    <cellStyle name="输入 2 3 7 8 4 2" xfId="46555"/>
    <cellStyle name="输入 2 3 7 9 2" xfId="46556"/>
    <cellStyle name="输入 2 3 8" xfId="46557"/>
    <cellStyle name="输入 2 3 8 10" xfId="46558"/>
    <cellStyle name="输入 2 3 8 10 2" xfId="46559"/>
    <cellStyle name="输入 2 3 8 11 2" xfId="46560"/>
    <cellStyle name="输入 2 3 8 12 2" xfId="46561"/>
    <cellStyle name="输入 2 3 8 13" xfId="46562"/>
    <cellStyle name="输入 2 3 8 14" xfId="46563"/>
    <cellStyle name="输入 2 3 8 2" xfId="46564"/>
    <cellStyle name="输入 2 3 8 2 2" xfId="46565"/>
    <cellStyle name="输入 2 3 8 2 2 2" xfId="46566"/>
    <cellStyle name="注释 2 11 11 3 4" xfId="46567"/>
    <cellStyle name="输入 2 3 8 2 3" xfId="46568"/>
    <cellStyle name="输入 2 3 8 2 3 2" xfId="46569"/>
    <cellStyle name="注释 2 11 11 4 4" xfId="46570"/>
    <cellStyle name="输入 2 3 8 2 4" xfId="46571"/>
    <cellStyle name="注释 2 4 5 6 2 2" xfId="46572"/>
    <cellStyle name="输入 2 3 8 2 4 2" xfId="46573"/>
    <cellStyle name="注释 2 11 11 5 4" xfId="46574"/>
    <cellStyle name="输入 2 3 8 2 5 2" xfId="46575"/>
    <cellStyle name="注释 2 11 11 6 4" xfId="46576"/>
    <cellStyle name="输入 2 3 8 3" xfId="46577"/>
    <cellStyle name="输入 2 3 8 3 2" xfId="46578"/>
    <cellStyle name="输入 2 3 8 3 2 2" xfId="46579"/>
    <cellStyle name="输入 2 8 10 14" xfId="46580"/>
    <cellStyle name="输入 2 3 8 3 3" xfId="46581"/>
    <cellStyle name="输入 2 3 8 3 3 2" xfId="46582"/>
    <cellStyle name="输入 2 3 8 3 4" xfId="46583"/>
    <cellStyle name="注释 2 4 5 6 3 2" xfId="46584"/>
    <cellStyle name="输入 2 3 8 3 4 2" xfId="46585"/>
    <cellStyle name="输入 2 3 8 3 5" xfId="46586"/>
    <cellStyle name="输入 2 3 8 3 5 2" xfId="46587"/>
    <cellStyle name="输入 2 3 8 3 6" xfId="46588"/>
    <cellStyle name="输入 2 3 8 4 2" xfId="46589"/>
    <cellStyle name="输入 2 3 8 4 3 2" xfId="46590"/>
    <cellStyle name="输入 2 3 8 4 4" xfId="46591"/>
    <cellStyle name="注释 2 4 5 6 4 2" xfId="46592"/>
    <cellStyle name="输入 2 3 8 4 4 2" xfId="46593"/>
    <cellStyle name="输入 2 3 8 4 5" xfId="46594"/>
    <cellStyle name="输入 2 3 8 4 5 2" xfId="46595"/>
    <cellStyle name="输入 2 3 8 4 6" xfId="46596"/>
    <cellStyle name="输入 2 3 8 5" xfId="46597"/>
    <cellStyle name="输入 2 3 8 5 2" xfId="46598"/>
    <cellStyle name="输入 2 3 8 5 3 2" xfId="46599"/>
    <cellStyle name="输入 2 3 8 5 4" xfId="46600"/>
    <cellStyle name="注释 2 4 5 6 5 2" xfId="46601"/>
    <cellStyle name="输入 2 3 8 5 4 2" xfId="46602"/>
    <cellStyle name="输入 2 3 8 5 5 2" xfId="46603"/>
    <cellStyle name="输入 2 3 8 5 6" xfId="46604"/>
    <cellStyle name="输入 2 3 8 6 2" xfId="46605"/>
    <cellStyle name="输入 2 3 8 6 3 2" xfId="46606"/>
    <cellStyle name="输入 2 3 8 6 4" xfId="46607"/>
    <cellStyle name="输入 2 3 8 6 5 2" xfId="46608"/>
    <cellStyle name="输入 2 3 8 6 6" xfId="46609"/>
    <cellStyle name="输入 2 3 8 7" xfId="46610"/>
    <cellStyle name="输入 2 3 8 7 2" xfId="46611"/>
    <cellStyle name="输入 2 3 8 7 3 2" xfId="46612"/>
    <cellStyle name="输入 2 3 8 7 4" xfId="46613"/>
    <cellStyle name="输入 2 3 8 7 4 2" xfId="46614"/>
    <cellStyle name="输入 2 3 8 7 5 2" xfId="46615"/>
    <cellStyle name="输入 2 3 8 7 6" xfId="46616"/>
    <cellStyle name="输入 2 3 8 8" xfId="46617"/>
    <cellStyle name="输入 2 3 8 8 2" xfId="46618"/>
    <cellStyle name="输入 2 3 8 8 3 2" xfId="46619"/>
    <cellStyle name="输入 2 3 8 8 4" xfId="46620"/>
    <cellStyle name="输入 2 3 8 8 4 2" xfId="46621"/>
    <cellStyle name="输入 2 3 8 9 2" xfId="46622"/>
    <cellStyle name="输入 2 3 9" xfId="46623"/>
    <cellStyle name="输入 2 3 9 10" xfId="46624"/>
    <cellStyle name="输入 2 3 9 10 2" xfId="46625"/>
    <cellStyle name="输入 2 3 9 11" xfId="46626"/>
    <cellStyle name="输入 2 3 9 11 2" xfId="46627"/>
    <cellStyle name="输入 2 3 9 12" xfId="46628"/>
    <cellStyle name="输入 2 3 9 12 2" xfId="46629"/>
    <cellStyle name="输入 2 3 9 2" xfId="46630"/>
    <cellStyle name="输入 2 3 9 2 2" xfId="46631"/>
    <cellStyle name="输入 2 3 9 2 2 2" xfId="46632"/>
    <cellStyle name="输入 2 3 9 2 3" xfId="46633"/>
    <cellStyle name="输入 2 3 9 2 3 2" xfId="46634"/>
    <cellStyle name="输入 2 3 9 2 4" xfId="46635"/>
    <cellStyle name="注释 2 4 5 7 2 2" xfId="46636"/>
    <cellStyle name="输入 2 3 9 2 4 2" xfId="46637"/>
    <cellStyle name="输入 2 3 9 2 5 2" xfId="46638"/>
    <cellStyle name="输入 2 3 9 2 6" xfId="46639"/>
    <cellStyle name="输入 2 3 9 3" xfId="46640"/>
    <cellStyle name="输入 2 3 9 3 2" xfId="46641"/>
    <cellStyle name="输入 2 3 9 3 2 2" xfId="46642"/>
    <cellStyle name="输入 2 9 10 14" xfId="46643"/>
    <cellStyle name="输入 2 3 9 3 3" xfId="46644"/>
    <cellStyle name="输入 2 3 9 3 3 2" xfId="46645"/>
    <cellStyle name="输入 2 3 9 3 4" xfId="46646"/>
    <cellStyle name="注释 2 4 5 7 3 2" xfId="46647"/>
    <cellStyle name="输入 2 3 9 3 5" xfId="46648"/>
    <cellStyle name="输入 2 3 9 3 5 2" xfId="46649"/>
    <cellStyle name="输入 2 3 9 3 6" xfId="46650"/>
    <cellStyle name="输入 2 3 9 4 2" xfId="46651"/>
    <cellStyle name="输入 2 3 9 4 3 2" xfId="46652"/>
    <cellStyle name="输入 2 3 9 4 4" xfId="46653"/>
    <cellStyle name="注释 2 4 5 7 4 2" xfId="46654"/>
    <cellStyle name="输入 2 3 9 4 4 2" xfId="46655"/>
    <cellStyle name="输入 2 3 9 4 5" xfId="46656"/>
    <cellStyle name="输入 2 3 9 4 5 2" xfId="46657"/>
    <cellStyle name="输入 2 3 9 4 6" xfId="46658"/>
    <cellStyle name="输入 2 3 9 5" xfId="46659"/>
    <cellStyle name="输入 2 3 9 5 3 2" xfId="46660"/>
    <cellStyle name="输入 2 3 9 5 4 2" xfId="46661"/>
    <cellStyle name="输入 2 3 9 6 2" xfId="46662"/>
    <cellStyle name="输入 2 3 9 6 3 2" xfId="46663"/>
    <cellStyle name="输入 2 3 9 6 4" xfId="46664"/>
    <cellStyle name="输入 2 3 9 6 4 2" xfId="46665"/>
    <cellStyle name="输入 2 3 9 6 5 2" xfId="46666"/>
    <cellStyle name="输入 2 3 9 7" xfId="46667"/>
    <cellStyle name="输入 2 3 9 7 2" xfId="46668"/>
    <cellStyle name="输入 2 3 9 7 3 2" xfId="46669"/>
    <cellStyle name="输入 2 3 9 7 4" xfId="46670"/>
    <cellStyle name="输入 2 3 9 7 4 2" xfId="46671"/>
    <cellStyle name="输入 2 3 9 8" xfId="46672"/>
    <cellStyle name="输入 2 3 9 8 2" xfId="46673"/>
    <cellStyle name="输入 2 3 9 8 3" xfId="46674"/>
    <cellStyle name="输入 2 3 9 8 3 2" xfId="46675"/>
    <cellStyle name="输入 2 3 9 8 4" xfId="46676"/>
    <cellStyle name="输入 2 3 9 9" xfId="46677"/>
    <cellStyle name="输入 2 3 9 9 2" xfId="46678"/>
    <cellStyle name="输入 2 4" xfId="46679"/>
    <cellStyle name="输入 2 6 5 4 3 2" xfId="46680"/>
    <cellStyle name="注释 2 8 7 4 3" xfId="46681"/>
    <cellStyle name="输入 2 4 10 10" xfId="46682"/>
    <cellStyle name="输入 2 4 10 10 2" xfId="46683"/>
    <cellStyle name="输入 2 4 10 11" xfId="46684"/>
    <cellStyle name="输入 2 4 10 12 2" xfId="46685"/>
    <cellStyle name="输入 2 4 10 13" xfId="46686"/>
    <cellStyle name="输入 2 4 10 15" xfId="46687"/>
    <cellStyle name="输入 2 4 10 16" xfId="46688"/>
    <cellStyle name="输入 2 4 10 2" xfId="46689"/>
    <cellStyle name="注释 2 10 9 2 5" xfId="46690"/>
    <cellStyle name="输入 2 4 10 2 2" xfId="46691"/>
    <cellStyle name="注释 2 10 9 2 5 2" xfId="46692"/>
    <cellStyle name="输入 2 4 10 2 2 2" xfId="46693"/>
    <cellStyle name="输入 2 4 10 2 3 2" xfId="46694"/>
    <cellStyle name="输入 2 4 10 2 4" xfId="46695"/>
    <cellStyle name="输入 2 4 10 2 4 2" xfId="46696"/>
    <cellStyle name="输入 2 4 10 2 5" xfId="46697"/>
    <cellStyle name="输入 2 4 10 2 5 2" xfId="46698"/>
    <cellStyle name="输入 2 4 10 2 6" xfId="46699"/>
    <cellStyle name="输入 2 4 10 2 7" xfId="46700"/>
    <cellStyle name="输入 2 4 10 2 8" xfId="46701"/>
    <cellStyle name="输入 2 4 10 2 9" xfId="46702"/>
    <cellStyle name="注释 2 7 7 4 2 2" xfId="46703"/>
    <cellStyle name="输入 2 4 10 3" xfId="46704"/>
    <cellStyle name="注释 2 10 9 2 6" xfId="46705"/>
    <cellStyle name="输入 2 4 10 3 2" xfId="46706"/>
    <cellStyle name="输入 2 4 10 3 2 2" xfId="46707"/>
    <cellStyle name="输入 2 4 10 3 3" xfId="46708"/>
    <cellStyle name="输入 2 4 10 3 3 2" xfId="46709"/>
    <cellStyle name="输入 2 4 10 3 4" xfId="46710"/>
    <cellStyle name="输入 2 4 10 3 4 2" xfId="46711"/>
    <cellStyle name="输入 2 4 10 3 5" xfId="46712"/>
    <cellStyle name="输入 2 4 10 3 5 2" xfId="46713"/>
    <cellStyle name="输入 2 4 10 3 6" xfId="46714"/>
    <cellStyle name="输入 2 4 10 4 2" xfId="46715"/>
    <cellStyle name="输入 2 4 10 4 2 2" xfId="46716"/>
    <cellStyle name="输入 2 4 10 4 3" xfId="46717"/>
    <cellStyle name="输入 2 4 10 4 3 2" xfId="46718"/>
    <cellStyle name="输入 2 4 10 4 4 2" xfId="46719"/>
    <cellStyle name="输入 2 4 10 5 2" xfId="46720"/>
    <cellStyle name="输入 2 4 10 5 2 2" xfId="46721"/>
    <cellStyle name="输入 2 4 10 5 3" xfId="46722"/>
    <cellStyle name="输入 2 4 10 5 3 2" xfId="46723"/>
    <cellStyle name="输入 2 4 10 5 4" xfId="46724"/>
    <cellStyle name="输入 2 4 10 5 4 2" xfId="46725"/>
    <cellStyle name="输入 2 4 10 5 5" xfId="46726"/>
    <cellStyle name="输入 2 4 10 5 5 2" xfId="46727"/>
    <cellStyle name="输入 2 4 10 5 6" xfId="46728"/>
    <cellStyle name="输入 2 4 10 6" xfId="46729"/>
    <cellStyle name="注释 2 10 9 2 9" xfId="46730"/>
    <cellStyle name="输入 2 4 10 6 2" xfId="46731"/>
    <cellStyle name="输入 2 4 10 6 2 2" xfId="46732"/>
    <cellStyle name="输入 2 4 10 6 3" xfId="46733"/>
    <cellStyle name="输入 2 4 10 6 3 2" xfId="46734"/>
    <cellStyle name="输入 2 4 10 6 4" xfId="46735"/>
    <cellStyle name="输入 2 4 10 6 4 2" xfId="46736"/>
    <cellStyle name="输入 2 4 10 6 5 2" xfId="46737"/>
    <cellStyle name="输入 2 4 10 6 6" xfId="46738"/>
    <cellStyle name="输入 2 4 10 7" xfId="46739"/>
    <cellStyle name="输入 2 4 10 7 2" xfId="46740"/>
    <cellStyle name="输入 2 4 10 7 2 2" xfId="46741"/>
    <cellStyle name="输入 2 4 10 7 3" xfId="46742"/>
    <cellStyle name="输入 2 4 10 7 3 2" xfId="46743"/>
    <cellStyle name="输入 2 4 10 7 4" xfId="46744"/>
    <cellStyle name="输入 2 4 10 7 4 2" xfId="46745"/>
    <cellStyle name="输入 2 4 10 7 5 2" xfId="46746"/>
    <cellStyle name="输入 2 4 10 7 6" xfId="46747"/>
    <cellStyle name="输入 2 4 10 8" xfId="46748"/>
    <cellStyle name="输入 2 4 10 8 2" xfId="46749"/>
    <cellStyle name="输入 2 4 10 8 2 2" xfId="46750"/>
    <cellStyle name="输入 2 4 10 8 3" xfId="46751"/>
    <cellStyle name="输入 2 4 10 8 3 2" xfId="46752"/>
    <cellStyle name="输入 2 6 11 15" xfId="46753"/>
    <cellStyle name="输入 2 4 10 8 4" xfId="46754"/>
    <cellStyle name="输入 2 4 10 8 4 2" xfId="46755"/>
    <cellStyle name="输入 2 4 10 9" xfId="46756"/>
    <cellStyle name="输入 2 4 10 9 2" xfId="46757"/>
    <cellStyle name="输入 2 4 11" xfId="46758"/>
    <cellStyle name="输入 2 4 11 10" xfId="46759"/>
    <cellStyle name="输入 2 4 11 12" xfId="46760"/>
    <cellStyle name="输入 2 4 11 13" xfId="46761"/>
    <cellStyle name="输入 2 4 11 2" xfId="46762"/>
    <cellStyle name="注释 2 10 9 3 5" xfId="46763"/>
    <cellStyle name="输入 2 4 11 2 2" xfId="46764"/>
    <cellStyle name="注释 2 10 9 3 5 2" xfId="46765"/>
    <cellStyle name="输入 2 4 11 2 4" xfId="46766"/>
    <cellStyle name="输入 2 4 11 2 5" xfId="46767"/>
    <cellStyle name="输入 2 4 11 2 6" xfId="46768"/>
    <cellStyle name="输入 2 4 11 3" xfId="46769"/>
    <cellStyle name="注释 2 10 9 3 6" xfId="46770"/>
    <cellStyle name="输入 2 4 11 3 2" xfId="46771"/>
    <cellStyle name="输入 2 4 11 3 3" xfId="46772"/>
    <cellStyle name="输入 2 4 11 3 3 2" xfId="46773"/>
    <cellStyle name="输入 2 4 11 3 4" xfId="46774"/>
    <cellStyle name="输入 2 4 11 3 4 2" xfId="46775"/>
    <cellStyle name="注释 2 2 4 2 5" xfId="46776"/>
    <cellStyle name="输入 2 4 11 3 5" xfId="46777"/>
    <cellStyle name="输入 2 4 11 3 5 2" xfId="46778"/>
    <cellStyle name="注释 2 2 4 3 5" xfId="46779"/>
    <cellStyle name="输入 2 4 11 3 6" xfId="46780"/>
    <cellStyle name="输入 2 4 11 4 3" xfId="46781"/>
    <cellStyle name="输入 2 4 11 4 3 2" xfId="46782"/>
    <cellStyle name="输入 2 4 11 4 4" xfId="46783"/>
    <cellStyle name="输入 2 4 11 4 4 2" xfId="46784"/>
    <cellStyle name="注释 2 2 5 2 5" xfId="46785"/>
    <cellStyle name="输入 2 4 11 4 5" xfId="46786"/>
    <cellStyle name="输入 2 4 11 4 5 2" xfId="46787"/>
    <cellStyle name="注释 2 2 5 3 5" xfId="46788"/>
    <cellStyle name="输入 2 4 11 4 6" xfId="46789"/>
    <cellStyle name="输入 2 4 11 5 2 2" xfId="46790"/>
    <cellStyle name="输入 2 4 11 5 3" xfId="46791"/>
    <cellStyle name="输入 2 4 11 5 3 2" xfId="46792"/>
    <cellStyle name="输入 2 4 11 5 4" xfId="46793"/>
    <cellStyle name="输入 2 4 11 5 4 2" xfId="46794"/>
    <cellStyle name="注释 2 2 6 2 5" xfId="46795"/>
    <cellStyle name="输入 2 4 11 5 5" xfId="46796"/>
    <cellStyle name="输入 2 4 11 5 5 2" xfId="46797"/>
    <cellStyle name="注释 2 2 6 3 5" xfId="46798"/>
    <cellStyle name="输入 2 4 11 5 6" xfId="46799"/>
    <cellStyle name="输入 2 4 11 6 2 2" xfId="46800"/>
    <cellStyle name="输入 2 4 11 6 3" xfId="46801"/>
    <cellStyle name="输入 2 4 11 6 3 2" xfId="46802"/>
    <cellStyle name="注释 2 6 5 13" xfId="46803"/>
    <cellStyle name="输入 2 4 11 6 4" xfId="46804"/>
    <cellStyle name="输入 2 4 11 6 4 2" xfId="46805"/>
    <cellStyle name="注释 2 2 7 2 5" xfId="46806"/>
    <cellStyle name="输入 2 4 11 6 5" xfId="46807"/>
    <cellStyle name="输入 2 4 11 6 5 2" xfId="46808"/>
    <cellStyle name="注释 2 2 7 3 5" xfId="46809"/>
    <cellStyle name="输入 2 4 11 6 6" xfId="46810"/>
    <cellStyle name="输入 2 4 11 7 2" xfId="46811"/>
    <cellStyle name="输入 2 4 11 7 2 2" xfId="46812"/>
    <cellStyle name="输入 2 4 11 7 3" xfId="46813"/>
    <cellStyle name="输入 2 4 11 7 3 2" xfId="46814"/>
    <cellStyle name="输入 2 4 11 7 4" xfId="46815"/>
    <cellStyle name="输入 2 4 11 7 4 2" xfId="46816"/>
    <cellStyle name="注释 2 2 8 2 5" xfId="46817"/>
    <cellStyle name="输入 2 4 11 7 5" xfId="46818"/>
    <cellStyle name="输入 2 4 11 7 6" xfId="46819"/>
    <cellStyle name="输入 2 4 11 8 2" xfId="46820"/>
    <cellStyle name="输入 2 4 11 8 3" xfId="46821"/>
    <cellStyle name="输入 2 4 11 8 3 2" xfId="46822"/>
    <cellStyle name="输入 2 7 11 15" xfId="46823"/>
    <cellStyle name="输入 2 4 11 8 4" xfId="46824"/>
    <cellStyle name="输入 2 4 11 8 4 2" xfId="46825"/>
    <cellStyle name="注释 2 2 9 2 5" xfId="46826"/>
    <cellStyle name="输入 2 4 11 8 5" xfId="46827"/>
    <cellStyle name="输入 2 4 11 9 2" xfId="46828"/>
    <cellStyle name="输入 2 4 12" xfId="46829"/>
    <cellStyle name="输入 2 4 12 2" xfId="46830"/>
    <cellStyle name="注释 2 10 9 4 5" xfId="46831"/>
    <cellStyle name="输入 2 4 12 2 2" xfId="46832"/>
    <cellStyle name="注释 2 10 9 4 5 2" xfId="46833"/>
    <cellStyle name="输入 2 4 12 3" xfId="46834"/>
    <cellStyle name="注释 2 10 9 4 6" xfId="46835"/>
    <cellStyle name="输入 2 4 12 3 2" xfId="46836"/>
    <cellStyle name="输入 2 4 12 4" xfId="46837"/>
    <cellStyle name="输入 2 4 12 4 2" xfId="46838"/>
    <cellStyle name="输入 2 4 12 5" xfId="46839"/>
    <cellStyle name="输入 2 4 12 5 2" xfId="46840"/>
    <cellStyle name="输入 2 4 12 6" xfId="46841"/>
    <cellStyle name="输入 2 4 12 8" xfId="46842"/>
    <cellStyle name="输入 2 4 12 9" xfId="46843"/>
    <cellStyle name="输入 2 4 13" xfId="46844"/>
    <cellStyle name="注释 2 10 11 3 2 2" xfId="46845"/>
    <cellStyle name="输入 2 4 13 2" xfId="46846"/>
    <cellStyle name="注释 2 10 9 5 5" xfId="46847"/>
    <cellStyle name="输入 2 4 13 2 2" xfId="46848"/>
    <cellStyle name="注释 2 10 9 5 5 2" xfId="46849"/>
    <cellStyle name="输入 2 4 13 3" xfId="46850"/>
    <cellStyle name="注释 2 10 9 5 6" xfId="46851"/>
    <cellStyle name="输入 2 4 13 3 2" xfId="46852"/>
    <cellStyle name="输入 2 4 13 4" xfId="46853"/>
    <cellStyle name="输入 2 4 13 4 2" xfId="46854"/>
    <cellStyle name="输入 2 4 13 5" xfId="46855"/>
    <cellStyle name="输入 2 4 13 5 2" xfId="46856"/>
    <cellStyle name="输入 2 4 13 6" xfId="46857"/>
    <cellStyle name="输入 2 4 14" xfId="46858"/>
    <cellStyle name="输入 2 4 14 2" xfId="46859"/>
    <cellStyle name="注释 2 10 9 6 5" xfId="46860"/>
    <cellStyle name="输入 2 4 14 2 2" xfId="46861"/>
    <cellStyle name="注释 2 10 9 6 5 2" xfId="46862"/>
    <cellStyle name="输入 2 4 14 3" xfId="46863"/>
    <cellStyle name="注释 2 10 9 6 6" xfId="46864"/>
    <cellStyle name="输入 2 4 14 3 2" xfId="46865"/>
    <cellStyle name="输入 2 4 14 4" xfId="46866"/>
    <cellStyle name="输入 2 4 14 4 2" xfId="46867"/>
    <cellStyle name="输入 2 4 14 5" xfId="46868"/>
    <cellStyle name="输入 2 4 14 5 2" xfId="46869"/>
    <cellStyle name="输入 2 4 14 6" xfId="46870"/>
    <cellStyle name="输入 2 4 15" xfId="46871"/>
    <cellStyle name="输入 2 4 20" xfId="46872"/>
    <cellStyle name="输入 2 4 15 2" xfId="46873"/>
    <cellStyle name="输入 2 4 20 2" xfId="46874"/>
    <cellStyle name="注释 2 10 9 7 5" xfId="46875"/>
    <cellStyle name="输入 2 4 15 3" xfId="46876"/>
    <cellStyle name="注释 2 10 9 7 6" xfId="46877"/>
    <cellStyle name="输入 2 4 15 4" xfId="46878"/>
    <cellStyle name="输入 2 4 15 5" xfId="46879"/>
    <cellStyle name="输入 2 4 15 6" xfId="46880"/>
    <cellStyle name="输入 2 4 16" xfId="46881"/>
    <cellStyle name="输入 2 4 21" xfId="46882"/>
    <cellStyle name="输入 2 4 16 2" xfId="46883"/>
    <cellStyle name="输入 2 4 21 2" xfId="46884"/>
    <cellStyle name="注释 2 10 9 8 5" xfId="46885"/>
    <cellStyle name="输入 2 4 16 3" xfId="46886"/>
    <cellStyle name="输入 2 4 17" xfId="46887"/>
    <cellStyle name="输入 2 4 22" xfId="46888"/>
    <cellStyle name="输入 2 4 17 6" xfId="46889"/>
    <cellStyle name="输入 2 4 18" xfId="46890"/>
    <cellStyle name="输入 2 4 23" xfId="46891"/>
    <cellStyle name="输入 2 4 18 3" xfId="46892"/>
    <cellStyle name="输入 2 4 18 4" xfId="46893"/>
    <cellStyle name="输入 2 4 18 5" xfId="46894"/>
    <cellStyle name="输入 2 4 18 6" xfId="46895"/>
    <cellStyle name="输入 2 4 19 3" xfId="46896"/>
    <cellStyle name="输入 2 4 19 4" xfId="46897"/>
    <cellStyle name="输入 2 4 19 5" xfId="46898"/>
    <cellStyle name="输入 2 4 2" xfId="46899"/>
    <cellStyle name="注释 2 8 7 4 3 2" xfId="46900"/>
    <cellStyle name="输入 2 4 2 10 2" xfId="46901"/>
    <cellStyle name="输入 2 4 2 11" xfId="46902"/>
    <cellStyle name="输入 2 4 2 11 2" xfId="46903"/>
    <cellStyle name="输入 2 4 2 12 2" xfId="46904"/>
    <cellStyle name="输入 2 4 2 13" xfId="46905"/>
    <cellStyle name="输入 2 4 2 14" xfId="46906"/>
    <cellStyle name="输入 2 4 2 15" xfId="46907"/>
    <cellStyle name="注释 2 9 4 6 5 2" xfId="46908"/>
    <cellStyle name="输入 2 4 2 16" xfId="46909"/>
    <cellStyle name="输入 2 4 2 2" xfId="46910"/>
    <cellStyle name="注释 2 7 11 6 3" xfId="46911"/>
    <cellStyle name="输入 2 4 2 2 2" xfId="46912"/>
    <cellStyle name="注释 2 7 11 6 3 2" xfId="46913"/>
    <cellStyle name="输入 2 4 2 2 3" xfId="46914"/>
    <cellStyle name="输入 2 4 2 2 4 2" xfId="46915"/>
    <cellStyle name="输入 2 4 2 3" xfId="46916"/>
    <cellStyle name="注释 2 7 11 6 4" xfId="46917"/>
    <cellStyle name="输入 2 4 2 3 2 2" xfId="46918"/>
    <cellStyle name="输入 2 4 2 3 3 2" xfId="46919"/>
    <cellStyle name="输入 2 4 2 3 4 2" xfId="46920"/>
    <cellStyle name="输入 2 4 2 4" xfId="46921"/>
    <cellStyle name="注释 2 7 11 6 5" xfId="46922"/>
    <cellStyle name="输入 2 4 2 4 2" xfId="46923"/>
    <cellStyle name="注释 2 7 11 6 5 2" xfId="46924"/>
    <cellStyle name="输入 2 4 2 4 2 2" xfId="46925"/>
    <cellStyle name="输入 2 4 2 4 3" xfId="46926"/>
    <cellStyle name="输入 2 4 2 4 3 2" xfId="46927"/>
    <cellStyle name="输入 2 4 2 4 4 2" xfId="46928"/>
    <cellStyle name="输入 2 4 2 5" xfId="46929"/>
    <cellStyle name="注释 2 7 11 6 6" xfId="46930"/>
    <cellStyle name="输入 2 4 2 5 2" xfId="46931"/>
    <cellStyle name="输入 2 4 2 5 2 2" xfId="46932"/>
    <cellStyle name="输入 2 4 2 5 3" xfId="46933"/>
    <cellStyle name="输入 2 4 2 5 3 2" xfId="46934"/>
    <cellStyle name="输入 2 4 2 5 4" xfId="46935"/>
    <cellStyle name="输入 2 4 2 5 4 2" xfId="46936"/>
    <cellStyle name="输入 2 4 2 6" xfId="46937"/>
    <cellStyle name="输入 2 4 2 6 2" xfId="46938"/>
    <cellStyle name="输入 2 4 2 6 2 2" xfId="46939"/>
    <cellStyle name="输入 2 4 2 6 3 2" xfId="46940"/>
    <cellStyle name="输入 2 4 2 6 4" xfId="46941"/>
    <cellStyle name="输入 2 4 2 6 4 2" xfId="46942"/>
    <cellStyle name="输入 2 4 2 7" xfId="46943"/>
    <cellStyle name="输入 2 4 2 7 2" xfId="46944"/>
    <cellStyle name="输入 2 4 2 7 2 2" xfId="46945"/>
    <cellStyle name="输入 2 4 2 7 3 2" xfId="46946"/>
    <cellStyle name="输入 2 4 2 7 4" xfId="46947"/>
    <cellStyle name="输入 2 4 2 7 4 2" xfId="46948"/>
    <cellStyle name="输入 2 4 2 7 5 2" xfId="46949"/>
    <cellStyle name="输入 2 7 8 14" xfId="46950"/>
    <cellStyle name="输入 2 4 2 7 6" xfId="46951"/>
    <cellStyle name="输入 2 4 2 8" xfId="46952"/>
    <cellStyle name="输入 2 4 2 8 2 2" xfId="46953"/>
    <cellStyle name="输入 2 4 2 8 3 2" xfId="46954"/>
    <cellStyle name="输入 2 4 2 8 4 2" xfId="46955"/>
    <cellStyle name="输入 2 4 2 8 5" xfId="46956"/>
    <cellStyle name="输入 2 4 2 9" xfId="46957"/>
    <cellStyle name="输入 2 4 2 9 2" xfId="46958"/>
    <cellStyle name="输入 2 4 25" xfId="46959"/>
    <cellStyle name="输入 2 4 26" xfId="46960"/>
    <cellStyle name="输入 2 4 3 10" xfId="46961"/>
    <cellStyle name="输入 2 4 3 10 2" xfId="46962"/>
    <cellStyle name="输入 2 4 3 11" xfId="46963"/>
    <cellStyle name="输入 2 4 3 11 2" xfId="46964"/>
    <cellStyle name="输入 2 4 3 12" xfId="46965"/>
    <cellStyle name="输入 2 4 3 12 2" xfId="46966"/>
    <cellStyle name="输入 2 4 3 13" xfId="46967"/>
    <cellStyle name="输入 2 4 3 15" xfId="46968"/>
    <cellStyle name="输入 2 4 3 16" xfId="46969"/>
    <cellStyle name="输入 2 4 3 2" xfId="46970"/>
    <cellStyle name="注释 2 7 11 7 3" xfId="46971"/>
    <cellStyle name="输入 2 4 3 2 2" xfId="46972"/>
    <cellStyle name="注释 2 7 11 7 3 2" xfId="46973"/>
    <cellStyle name="输入 2 4 3 2 2 2" xfId="46974"/>
    <cellStyle name="输入 2 4 3 2 3" xfId="46975"/>
    <cellStyle name="输入 2 4 3 2 3 2" xfId="46976"/>
    <cellStyle name="输入 2 4 3 2 4 2" xfId="46977"/>
    <cellStyle name="输入 2 4 3 3 2 2" xfId="46978"/>
    <cellStyle name="输入 2 4 3 3 3" xfId="46979"/>
    <cellStyle name="输入 2 4 3 3 3 2" xfId="46980"/>
    <cellStyle name="输入 2 4 3 3 4 2" xfId="46981"/>
    <cellStyle name="输入 2 4 3 4 2 2" xfId="46982"/>
    <cellStyle name="输入 2 4 3 4 3" xfId="46983"/>
    <cellStyle name="输入 2 4 3 4 3 2" xfId="46984"/>
    <cellStyle name="输入 2 4 3 4 4 2" xfId="46985"/>
    <cellStyle name="输入 2 4 3 5 2 2" xfId="46986"/>
    <cellStyle name="输入 2 4 3 5 3" xfId="46987"/>
    <cellStyle name="输入 2 4 3 5 3 2" xfId="46988"/>
    <cellStyle name="输入 2 4 3 5 4" xfId="46989"/>
    <cellStyle name="输入 2 4 3 5 4 2" xfId="46990"/>
    <cellStyle name="输入 2 4 3 6 2" xfId="46991"/>
    <cellStyle name="输入 2 4 3 6 2 2" xfId="46992"/>
    <cellStyle name="输入 2 4 3 6 3 2" xfId="46993"/>
    <cellStyle name="输入 2 4 3 6 4" xfId="46994"/>
    <cellStyle name="输入 2 4 3 6 4 2" xfId="46995"/>
    <cellStyle name="输入 2 4 3 7 2" xfId="46996"/>
    <cellStyle name="输入 2 4 3 7 4" xfId="46997"/>
    <cellStyle name="输入 2 4 3 7 4 2" xfId="46998"/>
    <cellStyle name="输入 2 4 3 7 5 2" xfId="46999"/>
    <cellStyle name="输入 2 4 3 7 6" xfId="47000"/>
    <cellStyle name="输入 2 4 3 8 2" xfId="47001"/>
    <cellStyle name="输入 2 4 3 8 4" xfId="47002"/>
    <cellStyle name="输入 2 4 3 8 4 2" xfId="47003"/>
    <cellStyle name="输入 2 4 3 8 5" xfId="47004"/>
    <cellStyle name="输入 2 4 3 9 2" xfId="47005"/>
    <cellStyle name="输入 2 4 4" xfId="47006"/>
    <cellStyle name="输入 2 4 4 10" xfId="47007"/>
    <cellStyle name="输入 2 4 4 10 2" xfId="47008"/>
    <cellStyle name="输入 2 4 4 11 2" xfId="47009"/>
    <cellStyle name="输入 2 4 4 12" xfId="47010"/>
    <cellStyle name="输入 2 4 4 12 2" xfId="47011"/>
    <cellStyle name="输入 2 4 4 14" xfId="47012"/>
    <cellStyle name="输入 2 4 4 15" xfId="47013"/>
    <cellStyle name="输入 2 4 4 16" xfId="47014"/>
    <cellStyle name="输入 2 4 4 2" xfId="47015"/>
    <cellStyle name="注释 2 7 11 8 3" xfId="47016"/>
    <cellStyle name="输入 2 4 4 2 2" xfId="47017"/>
    <cellStyle name="注释 2 7 11 8 3 2" xfId="47018"/>
    <cellStyle name="输入 2 4 4 2 2 2" xfId="47019"/>
    <cellStyle name="输入 2 4 4 2 3" xfId="47020"/>
    <cellStyle name="输入 2 4 4 2 3 2" xfId="47021"/>
    <cellStyle name="输入 2 4 4 2 4 2" xfId="47022"/>
    <cellStyle name="输入 2 4 4 3" xfId="47023"/>
    <cellStyle name="注释 2 7 11 8 4" xfId="47024"/>
    <cellStyle name="输入 2 4 4 3 2" xfId="47025"/>
    <cellStyle name="注释 2 7 11 8 4 2" xfId="47026"/>
    <cellStyle name="输入 2 4 4 3 2 2" xfId="47027"/>
    <cellStyle name="输入 2 4 4 3 3" xfId="47028"/>
    <cellStyle name="输入 2 4 4 3 3 2" xfId="47029"/>
    <cellStyle name="输入 2 4 4 3 4 2" xfId="47030"/>
    <cellStyle name="输入 2 4 4 4" xfId="47031"/>
    <cellStyle name="注释 2 7 11 8 5" xfId="47032"/>
    <cellStyle name="输入 2 4 4 4 2" xfId="47033"/>
    <cellStyle name="输入 2 4 4 4 2 2" xfId="47034"/>
    <cellStyle name="输入 2 4 4 4 3" xfId="47035"/>
    <cellStyle name="输入 2 4 4 4 3 2" xfId="47036"/>
    <cellStyle name="输入 2 4 4 4 4 2" xfId="47037"/>
    <cellStyle name="输入 2 4 4 5" xfId="47038"/>
    <cellStyle name="输入 2 4 4 5 2" xfId="47039"/>
    <cellStyle name="输入 2 4 4 5 2 2" xfId="47040"/>
    <cellStyle name="输入 2 4 4 5 3" xfId="47041"/>
    <cellStyle name="输入 2 4 4 5 3 2" xfId="47042"/>
    <cellStyle name="输入 2 4 4 5 4" xfId="47043"/>
    <cellStyle name="注释 2 4 6 2 5 2" xfId="47044"/>
    <cellStyle name="输入 2 4 4 5 4 2" xfId="47045"/>
    <cellStyle name="输入 2 4 4 6" xfId="47046"/>
    <cellStyle name="输入 2 4 4 6 2" xfId="47047"/>
    <cellStyle name="输入 2 4 4 6 2 2" xfId="47048"/>
    <cellStyle name="输入 2 4 4 6 3 2" xfId="47049"/>
    <cellStyle name="输入 2 4 4 6 4" xfId="47050"/>
    <cellStyle name="输入 2 4 4 6 4 2" xfId="47051"/>
    <cellStyle name="输入 2 4 4 7" xfId="47052"/>
    <cellStyle name="输入 2 4 4 7 2" xfId="47053"/>
    <cellStyle name="输入 2 4 4 7 2 2" xfId="47054"/>
    <cellStyle name="输入 2 4 4 7 3 2" xfId="47055"/>
    <cellStyle name="输入 2 4 4 7 4" xfId="47056"/>
    <cellStyle name="输入 2 4 4 7 4 2" xfId="47057"/>
    <cellStyle name="输入 2 4 4 7 5 2" xfId="47058"/>
    <cellStyle name="输入 2 4 4 7 6" xfId="47059"/>
    <cellStyle name="输入 2 4 4 8" xfId="47060"/>
    <cellStyle name="输入 2 5 6 8 3 2" xfId="47061"/>
    <cellStyle name="输入 2 4 4 8 2" xfId="47062"/>
    <cellStyle name="输入 2 4 4 8 2 2" xfId="47063"/>
    <cellStyle name="输入 2 4 4 8 3 2" xfId="47064"/>
    <cellStyle name="输入 2 4 4 8 4" xfId="47065"/>
    <cellStyle name="输入 2 4 4 8 4 2" xfId="47066"/>
    <cellStyle name="输入 2 4 4 9" xfId="47067"/>
    <cellStyle name="输入 2 4 4 9 2" xfId="47068"/>
    <cellStyle name="输入 2 4 5" xfId="47069"/>
    <cellStyle name="输入 2 4 5 11" xfId="47070"/>
    <cellStyle name="输入 2 4 5 12" xfId="47071"/>
    <cellStyle name="输入 2 4 5 13" xfId="47072"/>
    <cellStyle name="输入 2 4 5 14" xfId="47073"/>
    <cellStyle name="输入 2 4 5 15" xfId="47074"/>
    <cellStyle name="输入 2 4 5 16" xfId="47075"/>
    <cellStyle name="输入 2 4 5 2" xfId="47076"/>
    <cellStyle name="输入 2 4 5 2 7" xfId="47077"/>
    <cellStyle name="输入 2 4 5 2 8" xfId="47078"/>
    <cellStyle name="输入 2 4 5 2 9" xfId="47079"/>
    <cellStyle name="输入 2 4 5 3" xfId="47080"/>
    <cellStyle name="输入 2 4 5 3 2 2" xfId="47081"/>
    <cellStyle name="输入 2 4 5 4" xfId="47082"/>
    <cellStyle name="输入 2 4 5 4 2" xfId="47083"/>
    <cellStyle name="输入 2 4 5 4 2 2" xfId="47084"/>
    <cellStyle name="输入 2 4 5 4 5" xfId="47085"/>
    <cellStyle name="输入 2 4 5 4 6" xfId="47086"/>
    <cellStyle name="输入 2 4 5 5" xfId="47087"/>
    <cellStyle name="输入 2 4 5 5 2" xfId="47088"/>
    <cellStyle name="输入 2 4 5 5 2 2" xfId="47089"/>
    <cellStyle name="输入 2 4 5 5 6" xfId="47090"/>
    <cellStyle name="输入 2 4 5 6" xfId="47091"/>
    <cellStyle name="输入 2 4 5 6 2" xfId="47092"/>
    <cellStyle name="输入 2 4 5 6 2 2" xfId="47093"/>
    <cellStyle name="输入 2 4 5 6 6" xfId="47094"/>
    <cellStyle name="输入 2 4 5 7" xfId="47095"/>
    <cellStyle name="输入 2 4 5 7 2" xfId="47096"/>
    <cellStyle name="输入 2 4 5 7 6" xfId="47097"/>
    <cellStyle name="输入 2 4 5 8" xfId="47098"/>
    <cellStyle name="输入 2 5 6 8 4 2" xfId="47099"/>
    <cellStyle name="输入 2 4 5 8 2" xfId="47100"/>
    <cellStyle name="输入 2 4 5 8 2 2" xfId="47101"/>
    <cellStyle name="输入 2 4 5 9 2" xfId="47102"/>
    <cellStyle name="输入 2 4 6" xfId="47103"/>
    <cellStyle name="输入 2 4 6 10" xfId="47104"/>
    <cellStyle name="注释 2 5 3 3 6" xfId="47105"/>
    <cellStyle name="输入 2 4 6 11" xfId="47106"/>
    <cellStyle name="注释 2 3 3 7 3 2" xfId="47107"/>
    <cellStyle name="输入 2 4 6 13" xfId="47108"/>
    <cellStyle name="输入 2 4 6 14" xfId="47109"/>
    <cellStyle name="输入 2 4 6 15" xfId="47110"/>
    <cellStyle name="输入 2 4 6 2" xfId="47111"/>
    <cellStyle name="输入 2 4 6 2 2" xfId="47112"/>
    <cellStyle name="输入 2 4 6 2 3" xfId="47113"/>
    <cellStyle name="输入 2 4 6 2 4 2" xfId="47114"/>
    <cellStyle name="输入 2 4 6 2 5 2" xfId="47115"/>
    <cellStyle name="输入 2 4 6 2 7" xfId="47116"/>
    <cellStyle name="输入 2 4 6 2 8" xfId="47117"/>
    <cellStyle name="注释 2 4 7 10 2" xfId="47118"/>
    <cellStyle name="输入 2 4 6 2 9" xfId="47119"/>
    <cellStyle name="输入 2 4 6 3" xfId="47120"/>
    <cellStyle name="输入 2 4 6 3 2" xfId="47121"/>
    <cellStyle name="输入 2 4 6 3 2 2" xfId="47122"/>
    <cellStyle name="输入 2 4 6 3 3" xfId="47123"/>
    <cellStyle name="输入 2 4 6 3 3 2" xfId="47124"/>
    <cellStyle name="输入 2 4 6 4" xfId="47125"/>
    <cellStyle name="输入 2 4 6 4 2" xfId="47126"/>
    <cellStyle name="输入 2 4 6 4 2 2" xfId="47127"/>
    <cellStyle name="输入 2 4 6 4 3 2" xfId="47128"/>
    <cellStyle name="输入 2 4 6 4 4 2" xfId="47129"/>
    <cellStyle name="输入 2 4 6 4 5" xfId="47130"/>
    <cellStyle name="输入 2 4 6 4 5 2" xfId="47131"/>
    <cellStyle name="输入 2 4 6 4 6" xfId="47132"/>
    <cellStyle name="输入 2 4 6 5" xfId="47133"/>
    <cellStyle name="输入 2 4 6 5 2" xfId="47134"/>
    <cellStyle name="输入 2 4 6 5 2 2" xfId="47135"/>
    <cellStyle name="输入 2 4 6 5 3 2" xfId="47136"/>
    <cellStyle name="输入 2 4 6 5 4" xfId="47137"/>
    <cellStyle name="注释 2 4 6 4 5 2" xfId="47138"/>
    <cellStyle name="输入 2 4 6 5 4 2" xfId="47139"/>
    <cellStyle name="输入 2 4 6 5 5 2" xfId="47140"/>
    <cellStyle name="输入 2 4 6 5 6" xfId="47141"/>
    <cellStyle name="输入 2 4 6 6 2" xfId="47142"/>
    <cellStyle name="输入 2 4 6 6 2 2" xfId="47143"/>
    <cellStyle name="输入 2 4 6 6 3 2" xfId="47144"/>
    <cellStyle name="输入 2 4 6 6 4" xfId="47145"/>
    <cellStyle name="输入 2 4 6 6 4 2" xfId="47146"/>
    <cellStyle name="输入 2 6 10 3" xfId="47147"/>
    <cellStyle name="输入 2 4 6 6 5 2" xfId="47148"/>
    <cellStyle name="输入 2 6 11 3" xfId="47149"/>
    <cellStyle name="输入 2 4 6 6 6" xfId="47150"/>
    <cellStyle name="输入 2 4 6 7" xfId="47151"/>
    <cellStyle name="输入 2 4 6 7 2" xfId="47152"/>
    <cellStyle name="输入 2 4 6 7 5 2" xfId="47153"/>
    <cellStyle name="输入 2 4 6 7 6" xfId="47154"/>
    <cellStyle name="输入 2 4 6 8" xfId="47155"/>
    <cellStyle name="输入 2 4 6 8 2" xfId="47156"/>
    <cellStyle name="输入 2 4 6 9 2" xfId="47157"/>
    <cellStyle name="输入 2 4 7" xfId="47158"/>
    <cellStyle name="输入 2 4 7 10" xfId="47159"/>
    <cellStyle name="输入 2 4 7 11" xfId="47160"/>
    <cellStyle name="输入 2 4 7 13" xfId="47161"/>
    <cellStyle name="输入 2 4 7 14" xfId="47162"/>
    <cellStyle name="输入 2 4 7 15" xfId="47163"/>
    <cellStyle name="注释 2 9 4 7 5 2" xfId="47164"/>
    <cellStyle name="输入 2 4 7 16" xfId="47165"/>
    <cellStyle name="输入 2 4 7 2" xfId="47166"/>
    <cellStyle name="输入 2 4 7 2 2" xfId="47167"/>
    <cellStyle name="输入 2 4 7 2 2 2" xfId="47168"/>
    <cellStyle name="输入 2 7 11" xfId="47169"/>
    <cellStyle name="注释 2 2 10 13" xfId="47170"/>
    <cellStyle name="输入 2 4 7 2 3" xfId="47171"/>
    <cellStyle name="输入 2 4 7 2 3 2" xfId="47172"/>
    <cellStyle name="输入 2 4 7 2 4 2" xfId="47173"/>
    <cellStyle name="输入 2 4 7 2 5 2" xfId="47174"/>
    <cellStyle name="输入 2 4 7 3" xfId="47175"/>
    <cellStyle name="输入 2 4 7 3 2" xfId="47176"/>
    <cellStyle name="输入 2 4 7 3 2 2" xfId="47177"/>
    <cellStyle name="输入 2 4 7 3 3" xfId="47178"/>
    <cellStyle name="输入 2 4 7 3 3 2" xfId="47179"/>
    <cellStyle name="输入 2 4 7 3 4 2" xfId="47180"/>
    <cellStyle name="输入 2 4 7 3 5" xfId="47181"/>
    <cellStyle name="输入 2 4 7 3 5 2" xfId="47182"/>
    <cellStyle name="输入 2 4 7 4" xfId="47183"/>
    <cellStyle name="输入 2 4 7 5" xfId="47184"/>
    <cellStyle name="输入 2 4 7 5 2" xfId="47185"/>
    <cellStyle name="输入 2 4 7 5 2 2" xfId="47186"/>
    <cellStyle name="输入 2 4 7 5 3 2" xfId="47187"/>
    <cellStyle name="输入 2 4 7 5 4" xfId="47188"/>
    <cellStyle name="注释 2 4 6 5 5 2" xfId="47189"/>
    <cellStyle name="输入 2 4 7 5 4 2" xfId="47190"/>
    <cellStyle name="输入 2 4 7 5 5 2" xfId="47191"/>
    <cellStyle name="输入 2 4 7 5 6" xfId="47192"/>
    <cellStyle name="输入 2 4 7 6 2" xfId="47193"/>
    <cellStyle name="输入 2 4 7 6 2 2" xfId="47194"/>
    <cellStyle name="输入 2 4 7 6 3 2" xfId="47195"/>
    <cellStyle name="输入 2 4 7 6 4" xfId="47196"/>
    <cellStyle name="输入 2 4 7 6 4 2" xfId="47197"/>
    <cellStyle name="输入 2 4 7 6 5 2" xfId="47198"/>
    <cellStyle name="输入 2 4 7 6 6" xfId="47199"/>
    <cellStyle name="输入 2 4 7 7" xfId="47200"/>
    <cellStyle name="输入 2 4 7 7 2" xfId="47201"/>
    <cellStyle name="输入 2 4 7 7 2 2" xfId="47202"/>
    <cellStyle name="输入 2 4 7 7 3 2" xfId="47203"/>
    <cellStyle name="输入 2 4 7 7 4 2" xfId="47204"/>
    <cellStyle name="输入 2 4 7 7 5 2" xfId="47205"/>
    <cellStyle name="输入 2 4 7 7 6" xfId="47206"/>
    <cellStyle name="输入 2 4 7 8" xfId="47207"/>
    <cellStyle name="输入 2 4 7 8 2" xfId="47208"/>
    <cellStyle name="输入 2 4 7 8 2 2" xfId="47209"/>
    <cellStyle name="输入 2 4 7 8 3 2" xfId="47210"/>
    <cellStyle name="输入 2 4 7 8 4 2" xfId="47211"/>
    <cellStyle name="输入 2 4 8" xfId="47212"/>
    <cellStyle name="输入 2 5 9 2 2 2" xfId="47213"/>
    <cellStyle name="输入 2 4 8 10" xfId="47214"/>
    <cellStyle name="输入 2 4 8 10 2" xfId="47215"/>
    <cellStyle name="输入 2 4 8 11 2" xfId="47216"/>
    <cellStyle name="输入 2 4 8 12" xfId="47217"/>
    <cellStyle name="输入 2 4 8 12 2" xfId="47218"/>
    <cellStyle name="输入 2 4 8 13" xfId="47219"/>
    <cellStyle name="输入 2 4 8 14" xfId="47220"/>
    <cellStyle name="输入 2 4 8 15" xfId="47221"/>
    <cellStyle name="输入 2 4 8 16" xfId="47222"/>
    <cellStyle name="输入 2 4 8 2" xfId="47223"/>
    <cellStyle name="输入 2 4 8 2 2" xfId="47224"/>
    <cellStyle name="输入 2 4 8 2 2 2" xfId="47225"/>
    <cellStyle name="注释 2 3 10 13" xfId="47226"/>
    <cellStyle name="输入 2 4 8 2 3" xfId="47227"/>
    <cellStyle name="输入 2 4 8 2 3 2" xfId="47228"/>
    <cellStyle name="输入 2 4 8 2 4" xfId="47229"/>
    <cellStyle name="注释 2 4 6 6 2 2" xfId="47230"/>
    <cellStyle name="输入 2 4 8 2 4 2" xfId="47231"/>
    <cellStyle name="输入 2 4 8 2 5 2" xfId="47232"/>
    <cellStyle name="输入 2 4 8 3 2 2" xfId="47233"/>
    <cellStyle name="输入 2 4 8 3 3" xfId="47234"/>
    <cellStyle name="输入 2 4 8 3 3 2" xfId="47235"/>
    <cellStyle name="输入 2 4 8 3 4" xfId="47236"/>
    <cellStyle name="注释 2 4 6 6 3 2" xfId="47237"/>
    <cellStyle name="输入 2 4 8 3 4 2" xfId="47238"/>
    <cellStyle name="输入 2 4 8 3 5" xfId="47239"/>
    <cellStyle name="输入 2 4 8 3 5 2" xfId="47240"/>
    <cellStyle name="输入 2 4 8 3 6" xfId="47241"/>
    <cellStyle name="输入 2 4 8 4 2 2" xfId="47242"/>
    <cellStyle name="输入 2 4 8 4 3 2" xfId="47243"/>
    <cellStyle name="输入 2 4 8 4 4" xfId="47244"/>
    <cellStyle name="注释 2 4 6 6 4 2" xfId="47245"/>
    <cellStyle name="输入 2 4 8 4 4 2" xfId="47246"/>
    <cellStyle name="输入 2 4 8 4 5" xfId="47247"/>
    <cellStyle name="输入 2 4 8 4 5 2" xfId="47248"/>
    <cellStyle name="输入 2 4 8 4 6" xfId="47249"/>
    <cellStyle name="输入 2 4 8 5 2 2" xfId="47250"/>
    <cellStyle name="输入 2 4 8 5 3 2" xfId="47251"/>
    <cellStyle name="输入 2 4 8 5 4" xfId="47252"/>
    <cellStyle name="注释 2 4 6 6 5 2" xfId="47253"/>
    <cellStyle name="输入 2 4 8 5 4 2" xfId="47254"/>
    <cellStyle name="输入 2 4 8 5 5 2" xfId="47255"/>
    <cellStyle name="输入 2 4 8 5 6" xfId="47256"/>
    <cellStyle name="输入 2 4 8 6 2" xfId="47257"/>
    <cellStyle name="输入 2 4 8 6 3 2" xfId="47258"/>
    <cellStyle name="输入 2 4 8 6 4" xfId="47259"/>
    <cellStyle name="输入 2 4 8 6 4 2" xfId="47260"/>
    <cellStyle name="输入 2 4 8 6 5 2" xfId="47261"/>
    <cellStyle name="输入 2 4 8 6 6" xfId="47262"/>
    <cellStyle name="输入 2 4 8 7 2" xfId="47263"/>
    <cellStyle name="输入 2 4 8 7 4 2" xfId="47264"/>
    <cellStyle name="输入 2 4 8 7 5 2" xfId="47265"/>
    <cellStyle name="输入 2 4 8 7 6" xfId="47266"/>
    <cellStyle name="输入 2 4 8 8 2" xfId="47267"/>
    <cellStyle name="输入 2 4 8 8 4 2" xfId="47268"/>
    <cellStyle name="输入 2 4 8 9 2" xfId="47269"/>
    <cellStyle name="输入 2 4 9" xfId="47270"/>
    <cellStyle name="输入 2 4 9 10" xfId="47271"/>
    <cellStyle name="输入 2 4 9 10 2" xfId="47272"/>
    <cellStyle name="输入 2 4 9 11 2" xfId="47273"/>
    <cellStyle name="输入 2 4 9 12" xfId="47274"/>
    <cellStyle name="输入 2 4 9 12 2" xfId="47275"/>
    <cellStyle name="输入 2 4 9 14" xfId="47276"/>
    <cellStyle name="输入 2 4 9 15" xfId="47277"/>
    <cellStyle name="输入 2 4 9 16" xfId="47278"/>
    <cellStyle name="输入 2 4 9 2" xfId="47279"/>
    <cellStyle name="输入 2 4 9 2 2" xfId="47280"/>
    <cellStyle name="输入 2 4 9 2 2 2" xfId="47281"/>
    <cellStyle name="注释 2 4 10 13" xfId="47282"/>
    <cellStyle name="输入 2 4 9 2 3" xfId="47283"/>
    <cellStyle name="输入 2 4 9 2 3 2" xfId="47284"/>
    <cellStyle name="输入 2 4 9 2 4" xfId="47285"/>
    <cellStyle name="注释 2 4 6 7 2 2" xfId="47286"/>
    <cellStyle name="输入 2 4 9 2 4 2" xfId="47287"/>
    <cellStyle name="输入 2 4 9 2 5 2" xfId="47288"/>
    <cellStyle name="输入 2 4 9 2 6" xfId="47289"/>
    <cellStyle name="输入 2 4 9 3" xfId="47290"/>
    <cellStyle name="输入 2 4 9 3 2" xfId="47291"/>
    <cellStyle name="输入 2 4 9 3 2 2" xfId="47292"/>
    <cellStyle name="输入 2 4 9 3 3" xfId="47293"/>
    <cellStyle name="输入 2 4 9 3 3 2" xfId="47294"/>
    <cellStyle name="输入 2 4 9 3 4" xfId="47295"/>
    <cellStyle name="注释 2 4 6 7 3 2" xfId="47296"/>
    <cellStyle name="输入 2 4 9 3 4 2" xfId="47297"/>
    <cellStyle name="输入 2 4 9 3 5" xfId="47298"/>
    <cellStyle name="输入 2 4 9 3 5 2" xfId="47299"/>
    <cellStyle name="输入 2 4 9 3 6" xfId="47300"/>
    <cellStyle name="输入 2 4 9 4 2" xfId="47301"/>
    <cellStyle name="输入 2 4 9 4 2 2" xfId="47302"/>
    <cellStyle name="输入 2 4 9 4 3 2" xfId="47303"/>
    <cellStyle name="输入 2 4 9 4 4" xfId="47304"/>
    <cellStyle name="注释 2 4 6 7 4 2" xfId="47305"/>
    <cellStyle name="输入 2 4 9 4 4 2" xfId="47306"/>
    <cellStyle name="输入 2 4 9 4 5" xfId="47307"/>
    <cellStyle name="输入 2 4 9 4 5 2" xfId="47308"/>
    <cellStyle name="输入 2 4 9 4 6" xfId="47309"/>
    <cellStyle name="输入 2 4 9 5" xfId="47310"/>
    <cellStyle name="输入 2 4 9 5 2" xfId="47311"/>
    <cellStyle name="输入 2 4 9 5 2 2" xfId="47312"/>
    <cellStyle name="输入 2 4 9 5 3 2" xfId="47313"/>
    <cellStyle name="输入 2 4 9 5 4" xfId="47314"/>
    <cellStyle name="注释 2 4 6 7 5 2" xfId="47315"/>
    <cellStyle name="输入 2 4 9 5 4 2" xfId="47316"/>
    <cellStyle name="输入 2 4 9 5 5 2" xfId="47317"/>
    <cellStyle name="输入 2 4 9 5 6" xfId="47318"/>
    <cellStyle name="输入 2 4 9 6 2" xfId="47319"/>
    <cellStyle name="输入 2 4 9 6 2 2" xfId="47320"/>
    <cellStyle name="输入 2 4 9 6 3 2" xfId="47321"/>
    <cellStyle name="输入 2 4 9 6 4" xfId="47322"/>
    <cellStyle name="输入 2 4 9 6 4 2" xfId="47323"/>
    <cellStyle name="输入 2 4 9 6 5 2" xfId="47324"/>
    <cellStyle name="输入 2 4 9 6 6" xfId="47325"/>
    <cellStyle name="输入 2 4 9 7" xfId="47326"/>
    <cellStyle name="输入 2 4 9 7 2" xfId="47327"/>
    <cellStyle name="输入 2 4 9 7 2 2" xfId="47328"/>
    <cellStyle name="注释 2 15 8" xfId="47329"/>
    <cellStyle name="输入 2 4 9 7 3 2" xfId="47330"/>
    <cellStyle name="注释 2 16 8" xfId="47331"/>
    <cellStyle name="输入 2 4 9 7 4 2" xfId="47332"/>
    <cellStyle name="注释 2 17 8" xfId="47333"/>
    <cellStyle name="输入 2 4 9 7 5 2" xfId="47334"/>
    <cellStyle name="注释 2 18 8" xfId="47335"/>
    <cellStyle name="输入 2 4 9 7 6" xfId="47336"/>
    <cellStyle name="输入 2 4 9 8" xfId="47337"/>
    <cellStyle name="输入 2 4 9 8 2" xfId="47338"/>
    <cellStyle name="输入 2 4 9 8 2 2" xfId="47339"/>
    <cellStyle name="输入 2 4 9 8 3" xfId="47340"/>
    <cellStyle name="输入 2 4 9 8 3 2" xfId="47341"/>
    <cellStyle name="输入 2 4 9 8 4 2" xfId="47342"/>
    <cellStyle name="输入 2 4 9 9" xfId="47343"/>
    <cellStyle name="注释 2 6 4 2 2 2" xfId="47344"/>
    <cellStyle name="输入 2 4 9 9 2" xfId="47345"/>
    <cellStyle name="输入 2 5 10" xfId="47346"/>
    <cellStyle name="输入 2 5 10 10" xfId="47347"/>
    <cellStyle name="输入 2 5 10 11" xfId="47348"/>
    <cellStyle name="输入 2 5 10 11 2" xfId="47349"/>
    <cellStyle name="输入 2 5 10 12" xfId="47350"/>
    <cellStyle name="输入 2 5 10 12 2" xfId="47351"/>
    <cellStyle name="输入 2 5 10 2" xfId="47352"/>
    <cellStyle name="输入 2 5 10 2 2" xfId="47353"/>
    <cellStyle name="输入 2 5 10 2 2 2" xfId="47354"/>
    <cellStyle name="输入 2 5 10 2 3 2" xfId="47355"/>
    <cellStyle name="输入 2 5 10 2 4" xfId="47356"/>
    <cellStyle name="输入 2 5 10 2 4 2" xfId="47357"/>
    <cellStyle name="输入 2 5 10 2 5" xfId="47358"/>
    <cellStyle name="输入 2 5 10 2 5 2" xfId="47359"/>
    <cellStyle name="输入 2 5 10 2 6" xfId="47360"/>
    <cellStyle name="输入 2 5 10 2 8" xfId="47361"/>
    <cellStyle name="注释 2 10 5 6 2" xfId="47362"/>
    <cellStyle name="输入 2 5 10 2 9" xfId="47363"/>
    <cellStyle name="注释 2 10 5 6 3" xfId="47364"/>
    <cellStyle name="输入 2 5 10 3" xfId="47365"/>
    <cellStyle name="输入 2 5 10 3 2" xfId="47366"/>
    <cellStyle name="输入 2 5 10 3 2 2" xfId="47367"/>
    <cellStyle name="输入 2 5 10 3 3" xfId="47368"/>
    <cellStyle name="输入 2 5 10 3 3 2" xfId="47369"/>
    <cellStyle name="输入 2 5 10 3 4" xfId="47370"/>
    <cellStyle name="输入 2 5 10 3 4 2" xfId="47371"/>
    <cellStyle name="输入 2 5 10 3 5 2" xfId="47372"/>
    <cellStyle name="输入 2 5 10 3 6" xfId="47373"/>
    <cellStyle name="输入 2 5 10 4" xfId="47374"/>
    <cellStyle name="输入 2 5 10 4 2" xfId="47375"/>
    <cellStyle name="输入 2 5 10 4 2 2" xfId="47376"/>
    <cellStyle name="输入 2 5 10 4 3" xfId="47377"/>
    <cellStyle name="输入 2 5 10 4 3 2" xfId="47378"/>
    <cellStyle name="输入 2 5 10 4 4" xfId="47379"/>
    <cellStyle name="输入 2 5 10 4 4 2" xfId="47380"/>
    <cellStyle name="输入 2 5 10 4 5 2" xfId="47381"/>
    <cellStyle name="输入 2 5 10 4 6" xfId="47382"/>
    <cellStyle name="输入 2 5 10 5" xfId="47383"/>
    <cellStyle name="输入 2 5 10 5 2" xfId="47384"/>
    <cellStyle name="输入 2 5 10 5 2 2" xfId="47385"/>
    <cellStyle name="输入 2 5 10 5 3" xfId="47386"/>
    <cellStyle name="输入 2 5 10 5 3 2" xfId="47387"/>
    <cellStyle name="输入 2 5 10 5 4" xfId="47388"/>
    <cellStyle name="输入 2 5 10 5 4 2" xfId="47389"/>
    <cellStyle name="输入 2 5 10 5 5 2" xfId="47390"/>
    <cellStyle name="输入 2 5 10 5 6" xfId="47391"/>
    <cellStyle name="输入 2 5 10 6" xfId="47392"/>
    <cellStyle name="输入 2 5 10 6 2" xfId="47393"/>
    <cellStyle name="输入 2 5 10 6 2 2" xfId="47394"/>
    <cellStyle name="输入 2 5 10 6 3" xfId="47395"/>
    <cellStyle name="输入 2 5 10 6 3 2" xfId="47396"/>
    <cellStyle name="输入 2 5 10 6 4" xfId="47397"/>
    <cellStyle name="注释 2 4 3 7 2 2" xfId="47398"/>
    <cellStyle name="输入 2 5 10 6 4 2" xfId="47399"/>
    <cellStyle name="输入 2 5 10 6 5 2" xfId="47400"/>
    <cellStyle name="输入 2 5 10 6 6" xfId="47401"/>
    <cellStyle name="输入 2 5 10 7" xfId="47402"/>
    <cellStyle name="输入 2 5 10 7 2" xfId="47403"/>
    <cellStyle name="输入 2 5 10 7 3" xfId="47404"/>
    <cellStyle name="输入 2 5 10 7 4" xfId="47405"/>
    <cellStyle name="注释 2 4 3 7 3 2" xfId="47406"/>
    <cellStyle name="输入 2 5 10 7 4 2" xfId="47407"/>
    <cellStyle name="输入 2 5 10 7 5 2" xfId="47408"/>
    <cellStyle name="输入 2 5 10 7 6" xfId="47409"/>
    <cellStyle name="输入 2 5 10 8 3" xfId="47410"/>
    <cellStyle name="输入 2 5 10 8 4" xfId="47411"/>
    <cellStyle name="注释 2 4 3 7 4 2" xfId="47412"/>
    <cellStyle name="输入 2 5 11 11 2" xfId="47413"/>
    <cellStyle name="输入 2 5 11 12 2" xfId="47414"/>
    <cellStyle name="输入 2 5 11 14" xfId="47415"/>
    <cellStyle name="输入 2 5 11 2" xfId="47416"/>
    <cellStyle name="输入 2 5 11 2 2" xfId="47417"/>
    <cellStyle name="输入 2 5 11 2 2 2" xfId="47418"/>
    <cellStyle name="输入 2 5 11 2 3 2" xfId="47419"/>
    <cellStyle name="输入 2 5 11 2 4" xfId="47420"/>
    <cellStyle name="输入 2 5 11 2 4 2" xfId="47421"/>
    <cellStyle name="输入 2 5 11 2 5" xfId="47422"/>
    <cellStyle name="输入 2 5 11 2 5 2" xfId="47423"/>
    <cellStyle name="输入 2 5 11 2 6" xfId="47424"/>
    <cellStyle name="输入 2 5 11 3" xfId="47425"/>
    <cellStyle name="输入 2 5 11 3 2" xfId="47426"/>
    <cellStyle name="输入 2 5 11 3 3" xfId="47427"/>
    <cellStyle name="输入 2 5 11 3 4" xfId="47428"/>
    <cellStyle name="输入 2 5 11 3 6" xfId="47429"/>
    <cellStyle name="输入 2 5 11 4 2 2" xfId="47430"/>
    <cellStyle name="输入 2 5 11 4 3" xfId="47431"/>
    <cellStyle name="输入 2 5 11 4 3 2" xfId="47432"/>
    <cellStyle name="输入 2 5 11 4 4" xfId="47433"/>
    <cellStyle name="输入 2 5 11 4 4 2" xfId="47434"/>
    <cellStyle name="输入 2 5 11 4 5 2" xfId="47435"/>
    <cellStyle name="输入 2 5 11 4 6" xfId="47436"/>
    <cellStyle name="输入 2 5 11 5 2 2" xfId="47437"/>
    <cellStyle name="输入 2 5 11 5 3" xfId="47438"/>
    <cellStyle name="输入 2 5 11 5 3 2" xfId="47439"/>
    <cellStyle name="输入 2 5 11 5 4" xfId="47440"/>
    <cellStyle name="输入 2 5 11 5 4 2" xfId="47441"/>
    <cellStyle name="输入 2 5 11 5 5 2" xfId="47442"/>
    <cellStyle name="输入 2 5 11 5 6" xfId="47443"/>
    <cellStyle name="输入 2 5 11 6 2 2" xfId="47444"/>
    <cellStyle name="输入 2 5 11 6 3" xfId="47445"/>
    <cellStyle name="输入 2 5 11 6 4" xfId="47446"/>
    <cellStyle name="注释 2 4 3 8 2 2" xfId="47447"/>
    <cellStyle name="输入 2 5 11 6 4 2" xfId="47448"/>
    <cellStyle name="输入 2 5 11 6 5 2" xfId="47449"/>
    <cellStyle name="输入 2 5 11 6 6" xfId="47450"/>
    <cellStyle name="输入 2 5 11 7 2" xfId="47451"/>
    <cellStyle name="输入 2 5 11 7 2 2" xfId="47452"/>
    <cellStyle name="输入 2 5 11 7 3" xfId="47453"/>
    <cellStyle name="输入 2 5 11 7 3 2" xfId="47454"/>
    <cellStyle name="输入 2 5 11 7 4" xfId="47455"/>
    <cellStyle name="注释 2 4 3 8 3 2" xfId="47456"/>
    <cellStyle name="输入 2 5 11 7 4 2" xfId="47457"/>
    <cellStyle name="输入 2 5 11 7 5" xfId="47458"/>
    <cellStyle name="输入 2 5 11 7 5 2" xfId="47459"/>
    <cellStyle name="输入 2 5 11 7 6" xfId="47460"/>
    <cellStyle name="输入 2 5 11 8 2 2" xfId="47461"/>
    <cellStyle name="输入 2 7 6 15" xfId="47462"/>
    <cellStyle name="输入 2 5 11 8 3" xfId="47463"/>
    <cellStyle name="输入 2 5 11 8 3 2" xfId="47464"/>
    <cellStyle name="输入 2 5 11 8 4" xfId="47465"/>
    <cellStyle name="注释 2 4 3 8 4 2" xfId="47466"/>
    <cellStyle name="输入 2 5 11 8 4 2" xfId="47467"/>
    <cellStyle name="输入 2 5 11 8 5" xfId="47468"/>
    <cellStyle name="输入 2 5 12" xfId="47469"/>
    <cellStyle name="输入 2 5 12 2" xfId="47470"/>
    <cellStyle name="输入 2 5 12 2 2" xfId="47471"/>
    <cellStyle name="输入 2 5 12 3" xfId="47472"/>
    <cellStyle name="输入 2 5 12 3 2" xfId="47473"/>
    <cellStyle name="输入 2 5 12 4" xfId="47474"/>
    <cellStyle name="输入 2 5 12 4 2" xfId="47475"/>
    <cellStyle name="输入 2 5 12 5" xfId="47476"/>
    <cellStyle name="输入 2 5 12 5 2" xfId="47477"/>
    <cellStyle name="输入 2 5 12 6" xfId="47478"/>
    <cellStyle name="输入 2 5 13" xfId="47479"/>
    <cellStyle name="输入 2 5 13 2" xfId="47480"/>
    <cellStyle name="输入 2 5 13 2 2" xfId="47481"/>
    <cellStyle name="输入 2 5 13 3" xfId="47482"/>
    <cellStyle name="输入 2 5 13 3 2" xfId="47483"/>
    <cellStyle name="输入 2 5 13 4" xfId="47484"/>
    <cellStyle name="输入 2 5 13 4 2" xfId="47485"/>
    <cellStyle name="输入 2 5 13 5" xfId="47486"/>
    <cellStyle name="输入 2 5 13 5 2" xfId="47487"/>
    <cellStyle name="输入 2 5 13 6" xfId="47488"/>
    <cellStyle name="输入 2 5 14 2" xfId="47489"/>
    <cellStyle name="注释 2 6 8 4 2 2" xfId="47490"/>
    <cellStyle name="输入 2 5 14 2 2" xfId="47491"/>
    <cellStyle name="输入 2 5 14 3" xfId="47492"/>
    <cellStyle name="输入 2 5 14 3 2" xfId="47493"/>
    <cellStyle name="输入 2 5 14 4" xfId="47494"/>
    <cellStyle name="输入 2 5 14 4 2" xfId="47495"/>
    <cellStyle name="输入 2 5 14 5" xfId="47496"/>
    <cellStyle name="输入 2 5 14 5 2" xfId="47497"/>
    <cellStyle name="输入 2 5 14 6" xfId="47498"/>
    <cellStyle name="输入 2 5 15" xfId="47499"/>
    <cellStyle name="输入 2 5 20" xfId="47500"/>
    <cellStyle name="输入 2 6 3 5 3 2" xfId="47501"/>
    <cellStyle name="注释 2 6 8 4 3" xfId="47502"/>
    <cellStyle name="输入 2 5 15 2" xfId="47503"/>
    <cellStyle name="输入 2 5 20 2" xfId="47504"/>
    <cellStyle name="注释 2 6 8 4 3 2" xfId="47505"/>
    <cellStyle name="输入 2 5 15 2 2" xfId="47506"/>
    <cellStyle name="输入 2 5 15 3" xfId="47507"/>
    <cellStyle name="输入 2 5 15 3 2" xfId="47508"/>
    <cellStyle name="输入 2 5 15 4" xfId="47509"/>
    <cellStyle name="输入 2 5 15 4 2" xfId="47510"/>
    <cellStyle name="输入 2 5 15 5" xfId="47511"/>
    <cellStyle name="输入 2 5 15 5 2" xfId="47512"/>
    <cellStyle name="注释 2 5 11 14" xfId="47513"/>
    <cellStyle name="输入 2 5 15 6" xfId="47514"/>
    <cellStyle name="输入 2 5 16 2" xfId="47515"/>
    <cellStyle name="输入 2 5 21 2" xfId="47516"/>
    <cellStyle name="注释 2 6 8 4 4 2" xfId="47517"/>
    <cellStyle name="输入 2 5 16 2 2" xfId="47518"/>
    <cellStyle name="输入 2 5 16 3" xfId="47519"/>
    <cellStyle name="输入 2 5 16 3 2" xfId="47520"/>
    <cellStyle name="输入 2 5 17" xfId="47521"/>
    <cellStyle name="输入 2 5 22" xfId="47522"/>
    <cellStyle name="注释 2 6 8 4 5" xfId="47523"/>
    <cellStyle name="输入 2 5 17 2" xfId="47524"/>
    <cellStyle name="输入 2 5 22 2" xfId="47525"/>
    <cellStyle name="注释 2 6 8 4 5 2" xfId="47526"/>
    <cellStyle name="输入 2 5 17 2 2" xfId="47527"/>
    <cellStyle name="输入 2 5 17 3" xfId="47528"/>
    <cellStyle name="输入 2 5 17 3 2" xfId="47529"/>
    <cellStyle name="输入 2 5 17 4" xfId="47530"/>
    <cellStyle name="输入 2 5 17 4 2" xfId="47531"/>
    <cellStyle name="输入 2 5 17 5" xfId="47532"/>
    <cellStyle name="输入 2 5 17 5 2" xfId="47533"/>
    <cellStyle name="输入 2 5 18 2 2" xfId="47534"/>
    <cellStyle name="输入 2 5 18 3" xfId="47535"/>
    <cellStyle name="输入 2 5 18 3 2" xfId="47536"/>
    <cellStyle name="输入 2 5 18 4" xfId="47537"/>
    <cellStyle name="输入 2 5 18 4 2" xfId="47538"/>
    <cellStyle name="输入 2 5 18 5" xfId="47539"/>
    <cellStyle name="注释 2 10 10 3 2 2" xfId="47540"/>
    <cellStyle name="输入 2 5 18 5 2" xfId="47541"/>
    <cellStyle name="输入 2 5 19 2 2" xfId="47542"/>
    <cellStyle name="输入 2 5 19 3" xfId="47543"/>
    <cellStyle name="输入 2 5 19 4" xfId="47544"/>
    <cellStyle name="输入 2 5 19 4 2" xfId="47545"/>
    <cellStyle name="输入 2 5 19 5" xfId="47546"/>
    <cellStyle name="注释 2 10 10 3 3 2" xfId="47547"/>
    <cellStyle name="输入 2 5 2" xfId="47548"/>
    <cellStyle name="注释 2 8 7 4 4 2" xfId="47549"/>
    <cellStyle name="输入 2 5 2 10" xfId="47550"/>
    <cellStyle name="输入 2 5 2 10 2" xfId="47551"/>
    <cellStyle name="输入 2 5 2 11" xfId="47552"/>
    <cellStyle name="输入 2 5 2 11 2" xfId="47553"/>
    <cellStyle name="输入 2 5 2 12" xfId="47554"/>
    <cellStyle name="输入 2 5 2 12 2" xfId="47555"/>
    <cellStyle name="输入 2 5 2 13" xfId="47556"/>
    <cellStyle name="输入 2 5 2 15" xfId="47557"/>
    <cellStyle name="输入 2 5 2 16" xfId="47558"/>
    <cellStyle name="输入 2 5 2 2" xfId="47559"/>
    <cellStyle name="输入 2 5 2 2 2" xfId="47560"/>
    <cellStyle name="输入 2 5 2 2 2 2" xfId="47561"/>
    <cellStyle name="输入 2 5 2 2 3" xfId="47562"/>
    <cellStyle name="输入 2 5 2 2 3 2" xfId="47563"/>
    <cellStyle name="输入 2 5 2 2 4" xfId="47564"/>
    <cellStyle name="输入 2 5 2 2 4 2" xfId="47565"/>
    <cellStyle name="输入 2 5 2 3" xfId="47566"/>
    <cellStyle name="输入 2 5 2 3 2" xfId="47567"/>
    <cellStyle name="输入 2 5 2 3 2 2" xfId="47568"/>
    <cellStyle name="输入 2 5 2 3 3" xfId="47569"/>
    <cellStyle name="输入 2 5 2 3 3 2" xfId="47570"/>
    <cellStyle name="输入 2 5 2 3 4" xfId="47571"/>
    <cellStyle name="输入 2 5 2 3 4 2" xfId="47572"/>
    <cellStyle name="输入 2 5 2 4" xfId="47573"/>
    <cellStyle name="输入 2 5 2 4 2" xfId="47574"/>
    <cellStyle name="输入 2 5 2 4 2 2" xfId="47575"/>
    <cellStyle name="输入 2 5 2 4 3" xfId="47576"/>
    <cellStyle name="输入 2 5 2 4 3 2" xfId="47577"/>
    <cellStyle name="输入 2 5 2 4 4" xfId="47578"/>
    <cellStyle name="输入 2 5 2 4 4 2" xfId="47579"/>
    <cellStyle name="输入 2 5 2 5" xfId="47580"/>
    <cellStyle name="输入 2 5 2 5 2" xfId="47581"/>
    <cellStyle name="输入 2 5 2 5 3" xfId="47582"/>
    <cellStyle name="输入 2 5 2 5 4" xfId="47583"/>
    <cellStyle name="输入 2 5 2 6" xfId="47584"/>
    <cellStyle name="输入 2 5 2 6 2" xfId="47585"/>
    <cellStyle name="输入 2 5 2 6 2 2" xfId="47586"/>
    <cellStyle name="输入 2 5 2 6 3 2" xfId="47587"/>
    <cellStyle name="输入 2 5 2 6 4 2" xfId="47588"/>
    <cellStyle name="注释 2 2 10 2 4" xfId="47589"/>
    <cellStyle name="输入 2 5 2 7" xfId="47590"/>
    <cellStyle name="输入 2 5 2 7 2" xfId="47591"/>
    <cellStyle name="输入 2 5 2 7 2 2" xfId="47592"/>
    <cellStyle name="输入 2 5 2 7 3 2" xfId="47593"/>
    <cellStyle name="输入 2 5 2 7 4 2" xfId="47594"/>
    <cellStyle name="注释 2 2 11 2 4" xfId="47595"/>
    <cellStyle name="输入 2 5 2 7 5 2" xfId="47596"/>
    <cellStyle name="注释 2 2 11 3 4" xfId="47597"/>
    <cellStyle name="输入 2 5 2 7 6" xfId="47598"/>
    <cellStyle name="输入 2 5 2 8" xfId="47599"/>
    <cellStyle name="输入 2 5 2 8 2" xfId="47600"/>
    <cellStyle name="输入 2 5 2 8 3 2" xfId="47601"/>
    <cellStyle name="输入 2 5 2 8 4 2" xfId="47602"/>
    <cellStyle name="输入 2 5 2 8 5" xfId="47603"/>
    <cellStyle name="输入 2 5 2 9" xfId="47604"/>
    <cellStyle name="输入 2 5 2 9 2" xfId="47605"/>
    <cellStyle name="输入 2 5 3" xfId="47606"/>
    <cellStyle name="输入 2 5 3 10" xfId="47607"/>
    <cellStyle name="输入 2 5 3 10 2" xfId="47608"/>
    <cellStyle name="输入 2 5 3 11" xfId="47609"/>
    <cellStyle name="输入 2 5 3 11 2" xfId="47610"/>
    <cellStyle name="输入 2 5 3 12" xfId="47611"/>
    <cellStyle name="输入 2 5 6 5 5 2" xfId="47612"/>
    <cellStyle name="输入 2 5 3 12 2" xfId="47613"/>
    <cellStyle name="输入 2 5 3 14" xfId="47614"/>
    <cellStyle name="输入 2 5 3 15" xfId="47615"/>
    <cellStyle name="输入 2 5 3 16" xfId="47616"/>
    <cellStyle name="输入 2 5 3 2" xfId="47617"/>
    <cellStyle name="输入 2 5 3 2 2" xfId="47618"/>
    <cellStyle name="输入 2 5 3 2 3" xfId="47619"/>
    <cellStyle name="输入 2 5 3 2 3 2" xfId="47620"/>
    <cellStyle name="输入 2 5 3 2 4" xfId="47621"/>
    <cellStyle name="输入 2 5 3 2 4 2" xfId="47622"/>
    <cellStyle name="输入 2 5 3 3" xfId="47623"/>
    <cellStyle name="输入 2 5 3 3 2" xfId="47624"/>
    <cellStyle name="输入 2 5 3 3 2 2" xfId="47625"/>
    <cellStyle name="输入 2 5 3 3 3" xfId="47626"/>
    <cellStyle name="输入 2 5 3 3 3 2" xfId="47627"/>
    <cellStyle name="输入 2 5 3 3 4" xfId="47628"/>
    <cellStyle name="输入 2 5 3 3 4 2" xfId="47629"/>
    <cellStyle name="输入 2 5 3 4" xfId="47630"/>
    <cellStyle name="输入 2 5 3 5" xfId="47631"/>
    <cellStyle name="输入 2 5 3 5 2" xfId="47632"/>
    <cellStyle name="输入 2 5 3 5 2 2" xfId="47633"/>
    <cellStyle name="输入 2 5 3 5 3" xfId="47634"/>
    <cellStyle name="输入 2 5 3 5 3 2" xfId="47635"/>
    <cellStyle name="注释 2 6 7 16" xfId="47636"/>
    <cellStyle name="输入 2 5 3 5 4" xfId="47637"/>
    <cellStyle name="输入 2 5 3 5 4 2" xfId="47638"/>
    <cellStyle name="输入 2 5 3 6" xfId="47639"/>
    <cellStyle name="输入 2 5 3 6 2" xfId="47640"/>
    <cellStyle name="输入 2 5 3 6 2 2" xfId="47641"/>
    <cellStyle name="输入 2 5 3 6 3 2" xfId="47642"/>
    <cellStyle name="输入 2 5 3 6 4 2" xfId="47643"/>
    <cellStyle name="输入 2 5 3 7" xfId="47644"/>
    <cellStyle name="输入 2 5 3 7 2" xfId="47645"/>
    <cellStyle name="输入 2 5 3 7 3 2" xfId="47646"/>
    <cellStyle name="输入 2 7 10 8 4" xfId="47647"/>
    <cellStyle name="输入 2 5 3 7 4 2" xfId="47648"/>
    <cellStyle name="输入 2 5 3 7 5 2" xfId="47649"/>
    <cellStyle name="输入 2 5 3 7 6" xfId="47650"/>
    <cellStyle name="输入 2 5 3 8" xfId="47651"/>
    <cellStyle name="输入 2 5 3 8 3 2" xfId="47652"/>
    <cellStyle name="输入 2 7 11 8 4" xfId="47653"/>
    <cellStyle name="输入 2 5 3 8 4 2" xfId="47654"/>
    <cellStyle name="输入 2 5 3 8 5" xfId="47655"/>
    <cellStyle name="输入 2 5 3 9" xfId="47656"/>
    <cellStyle name="输入 2 5 4" xfId="47657"/>
    <cellStyle name="输入 2 5 4 12 2" xfId="47658"/>
    <cellStyle name="输入 2 5 4 13" xfId="47659"/>
    <cellStyle name="输入 2 5 4 14" xfId="47660"/>
    <cellStyle name="输入 2 5 4 15" xfId="47661"/>
    <cellStyle name="输入 2 5 4 16" xfId="47662"/>
    <cellStyle name="输入 2 5 4 2" xfId="47663"/>
    <cellStyle name="输入 2 5 4 2 2" xfId="47664"/>
    <cellStyle name="输入 2 5 4 2 2 2" xfId="47665"/>
    <cellStyle name="输入 2 5 4 2 3" xfId="47666"/>
    <cellStyle name="输入 2 5 4 2 3 2" xfId="47667"/>
    <cellStyle name="输入 2 5 4 2 4" xfId="47668"/>
    <cellStyle name="注释 2 4 7 2 2 2" xfId="47669"/>
    <cellStyle name="输入 2 5 4 2 4 2" xfId="47670"/>
    <cellStyle name="输入 2 5 4 3" xfId="47671"/>
    <cellStyle name="输入 2 5 4 3 2 2" xfId="47672"/>
    <cellStyle name="输入 2 5 4 3 3 2" xfId="47673"/>
    <cellStyle name="输入 2 5 4 3 4 2" xfId="47674"/>
    <cellStyle name="输入 2 5 4 4" xfId="47675"/>
    <cellStyle name="输入 2 5 4 5" xfId="47676"/>
    <cellStyle name="输入 2 5 4 5 2" xfId="47677"/>
    <cellStyle name="输入 2 5 4 5 3" xfId="47678"/>
    <cellStyle name="输入 2 5 4 5 4" xfId="47679"/>
    <cellStyle name="注释 2 4 7 2 5 2" xfId="47680"/>
    <cellStyle name="输入 2 5 4 6" xfId="47681"/>
    <cellStyle name="输入 2 5 4 6 2" xfId="47682"/>
    <cellStyle name="输入 2 5 4 6 2 2" xfId="47683"/>
    <cellStyle name="输入 2 5 4 6 3 2" xfId="47684"/>
    <cellStyle name="输入 2 5 4 6 4 2" xfId="47685"/>
    <cellStyle name="输入 2 5 4 7" xfId="47686"/>
    <cellStyle name="输入 2 5 4 7 2" xfId="47687"/>
    <cellStyle name="输入 2 5 4 7 2 2" xfId="47688"/>
    <cellStyle name="输入 2 5 4 7 3 2" xfId="47689"/>
    <cellStyle name="输入 2 5 4 7 4 2" xfId="47690"/>
    <cellStyle name="输入 2 5 4 7 5 2" xfId="47691"/>
    <cellStyle name="输入 2 5 4 7 6" xfId="47692"/>
    <cellStyle name="输入 2 5 4 8" xfId="47693"/>
    <cellStyle name="输入 2 5 4 8 3 2" xfId="47694"/>
    <cellStyle name="输入 2 5 4 8 4 2" xfId="47695"/>
    <cellStyle name="输入 2 5 4 8 5" xfId="47696"/>
    <cellStyle name="输入 2 5 4 9" xfId="47697"/>
    <cellStyle name="输入 2 5 5" xfId="47698"/>
    <cellStyle name="输入 2 5 5 10" xfId="47699"/>
    <cellStyle name="输入 2 5 5 10 2" xfId="47700"/>
    <cellStyle name="输入 2 5 5 11" xfId="47701"/>
    <cellStyle name="输入 2 5 5 11 2" xfId="47702"/>
    <cellStyle name="输入 2 5 5 12" xfId="47703"/>
    <cellStyle name="输入 2 5 5 12 2" xfId="47704"/>
    <cellStyle name="输入 2 5 5 2" xfId="47705"/>
    <cellStyle name="输入 2 5 5 2 2" xfId="47706"/>
    <cellStyle name="输入 2 5 5 2 2 2" xfId="47707"/>
    <cellStyle name="输入 2 5 5 2 3" xfId="47708"/>
    <cellStyle name="输入 2 5 5 2 3 2" xfId="47709"/>
    <cellStyle name="输入 2 5 5 2 4" xfId="47710"/>
    <cellStyle name="注释 2 4 7 3 2 2" xfId="47711"/>
    <cellStyle name="输入 2 5 5 2 4 2" xfId="47712"/>
    <cellStyle name="输入 2 5 5 2 5" xfId="47713"/>
    <cellStyle name="输入 2 5 5 2 5 2" xfId="47714"/>
    <cellStyle name="输入 2 5 5 3" xfId="47715"/>
    <cellStyle name="输入 2 5 5 3 2" xfId="47716"/>
    <cellStyle name="输入 2 5 5 3 2 2" xfId="47717"/>
    <cellStyle name="输入 2 5 5 3 3" xfId="47718"/>
    <cellStyle name="输入 2 5 5 3 3 2" xfId="47719"/>
    <cellStyle name="输入 2 5 5 3 4" xfId="47720"/>
    <cellStyle name="注释 2 4 7 3 3 2" xfId="47721"/>
    <cellStyle name="输入 2 5 5 3 4 2" xfId="47722"/>
    <cellStyle name="输入 2 5 5 3 5" xfId="47723"/>
    <cellStyle name="输入 2 5 5 4" xfId="47724"/>
    <cellStyle name="输入 2 5 5 4 2" xfId="47725"/>
    <cellStyle name="输入 2 5 5 4 2 2" xfId="47726"/>
    <cellStyle name="输入 2 5 5 4 3 2" xfId="47727"/>
    <cellStyle name="输入 2 5 5 4 4" xfId="47728"/>
    <cellStyle name="注释 2 4 7 3 4 2" xfId="47729"/>
    <cellStyle name="输入 2 5 5 4 4 2" xfId="47730"/>
    <cellStyle name="输入 2 5 5 4 5" xfId="47731"/>
    <cellStyle name="输入 2 5 5 4 5 2" xfId="47732"/>
    <cellStyle name="输入 2 5 5 5" xfId="47733"/>
    <cellStyle name="输入 2 5 5 5 2" xfId="47734"/>
    <cellStyle name="输入 2 5 5 5 2 2" xfId="47735"/>
    <cellStyle name="输入 2 5 5 5 3 2" xfId="47736"/>
    <cellStyle name="输入 2 5 5 5 4" xfId="47737"/>
    <cellStyle name="注释 2 4 7 3 5 2" xfId="47738"/>
    <cellStyle name="输入 2 5 5 5 4 2" xfId="47739"/>
    <cellStyle name="输入 2 5 5 5 5" xfId="47740"/>
    <cellStyle name="输入 2 5 5 5 5 2" xfId="47741"/>
    <cellStyle name="输入 2 5 5 6" xfId="47742"/>
    <cellStyle name="输入 2 5 5 6 2" xfId="47743"/>
    <cellStyle name="输入 2 5 5 6 2 2" xfId="47744"/>
    <cellStyle name="输入 2 5 5 6 3 2" xfId="47745"/>
    <cellStyle name="输入 2 5 5 6 4 2" xfId="47746"/>
    <cellStyle name="注释 2 10 3" xfId="47747"/>
    <cellStyle name="输入 2 5 5 6 5" xfId="47748"/>
    <cellStyle name="输入 2 5 5 6 5 2" xfId="47749"/>
    <cellStyle name="注释 2 11 3" xfId="47750"/>
    <cellStyle name="输入 2 5 5 6 6" xfId="47751"/>
    <cellStyle name="输入 2 5 5 7" xfId="47752"/>
    <cellStyle name="输入 2 5 5 7 2" xfId="47753"/>
    <cellStyle name="输入 2 5 5 7 2 2" xfId="47754"/>
    <cellStyle name="输入 2 5 5 7 3 2" xfId="47755"/>
    <cellStyle name="输入 2 5 5 7 4 2" xfId="47756"/>
    <cellStyle name="输入 2 5 5 7 5" xfId="47757"/>
    <cellStyle name="输入 2 5 5 7 5 2" xfId="47758"/>
    <cellStyle name="输入 2 5 5 7 6" xfId="47759"/>
    <cellStyle name="输入 2 5 5 8" xfId="47760"/>
    <cellStyle name="输入 2 5 5 8 2" xfId="47761"/>
    <cellStyle name="输入 2 5 5 8 3 2" xfId="47762"/>
    <cellStyle name="输入 2 5 5 8 4 2" xfId="47763"/>
    <cellStyle name="输入 2 5 5 8 5" xfId="47764"/>
    <cellStyle name="输入 2 5 5 9 2" xfId="47765"/>
    <cellStyle name="输入 2 5 6" xfId="47766"/>
    <cellStyle name="输入 2 5 6 15" xfId="47767"/>
    <cellStyle name="输入 2 5 6 16" xfId="47768"/>
    <cellStyle name="输入 2 5 6 2" xfId="47769"/>
    <cellStyle name="输入 2 5 6 2 2" xfId="47770"/>
    <cellStyle name="输入 2 5 6 2 2 2" xfId="47771"/>
    <cellStyle name="输入 2 5 6 2 3" xfId="47772"/>
    <cellStyle name="输入 2 5 6 2 3 2" xfId="47773"/>
    <cellStyle name="输入 2 5 6 2 4" xfId="47774"/>
    <cellStyle name="注释 2 4 7 4 2 2" xfId="47775"/>
    <cellStyle name="输入 2 5 6 2 4 2" xfId="47776"/>
    <cellStyle name="输入 2 5 6 2 5" xfId="47777"/>
    <cellStyle name="输入 2 5 6 2 5 2" xfId="47778"/>
    <cellStyle name="输入 2 5 6 3" xfId="47779"/>
    <cellStyle name="输入 2 5 6 3 2" xfId="47780"/>
    <cellStyle name="输入 2 5 6 3 2 2" xfId="47781"/>
    <cellStyle name="输入 2 5 6 3 3" xfId="47782"/>
    <cellStyle name="输入 2 5 6 3 3 2" xfId="47783"/>
    <cellStyle name="输入 2 5 6 3 4" xfId="47784"/>
    <cellStyle name="注释 2 4 7 4 3 2" xfId="47785"/>
    <cellStyle name="输入 2 5 6 3 4 2" xfId="47786"/>
    <cellStyle name="输入 2 5 6 3 5" xfId="47787"/>
    <cellStyle name="输入 2 5 6 3 5 2" xfId="47788"/>
    <cellStyle name="输入 2 5 6 4" xfId="47789"/>
    <cellStyle name="输入 2 5 6 4 2" xfId="47790"/>
    <cellStyle name="输入 2 5 6 4 2 2" xfId="47791"/>
    <cellStyle name="输入 2 5 6 4 3 2" xfId="47792"/>
    <cellStyle name="输入 2 5 6 4 4" xfId="47793"/>
    <cellStyle name="注释 2 4 7 4 4 2" xfId="47794"/>
    <cellStyle name="输入 2 5 6 4 4 2" xfId="47795"/>
    <cellStyle name="输入 2 5 6 4 5" xfId="47796"/>
    <cellStyle name="输入 2 5 6 4 5 2" xfId="47797"/>
    <cellStyle name="输入 2 5 6 5" xfId="47798"/>
    <cellStyle name="输入 2 5 6 5 2" xfId="47799"/>
    <cellStyle name="输入 2 5 6 5 2 2" xfId="47800"/>
    <cellStyle name="输入 2 5 6 5 3 2" xfId="47801"/>
    <cellStyle name="输入 2 5 6 5 4" xfId="47802"/>
    <cellStyle name="注释 2 4 7 4 5 2" xfId="47803"/>
    <cellStyle name="输入 2 5 6 5 4 2" xfId="47804"/>
    <cellStyle name="输入 2 5 6 5 5" xfId="47805"/>
    <cellStyle name="输入 2 5 6 5 6" xfId="47806"/>
    <cellStyle name="输入 2 5 6 6 2" xfId="47807"/>
    <cellStyle name="输入 2 5 6 6 5" xfId="47808"/>
    <cellStyle name="输入 2 5 6 6 6" xfId="47809"/>
    <cellStyle name="输入 2 5 6 7" xfId="47810"/>
    <cellStyle name="输入 2 5 6 7 2" xfId="47811"/>
    <cellStyle name="输入 2 5 6 7 5" xfId="47812"/>
    <cellStyle name="输入 2 5 6 7 6" xfId="47813"/>
    <cellStyle name="输入 2 5 6 8" xfId="47814"/>
    <cellStyle name="输入 2 5 6 8 2" xfId="47815"/>
    <cellStyle name="输入 2 5 6 8 5" xfId="47816"/>
    <cellStyle name="输入 2 5 6 9 2" xfId="47817"/>
    <cellStyle name="输入 2 5 7" xfId="47818"/>
    <cellStyle name="输入 2 5 7 10" xfId="47819"/>
    <cellStyle name="输入 2 5 7 10 2" xfId="47820"/>
    <cellStyle name="输入 2 5 7 11" xfId="47821"/>
    <cellStyle name="输入 2 5 7 11 2" xfId="47822"/>
    <cellStyle name="输入 2 5 7 12" xfId="47823"/>
    <cellStyle name="输入 2 5 7 12 2" xfId="47824"/>
    <cellStyle name="输入 2 5 7 13" xfId="47825"/>
    <cellStyle name="输入 2 5 7 15" xfId="47826"/>
    <cellStyle name="输入 2 5 7 16" xfId="47827"/>
    <cellStyle name="输入 2 5 7 2" xfId="47828"/>
    <cellStyle name="输入 2 5 7 2 2" xfId="47829"/>
    <cellStyle name="输入 2 5 7 2 2 2" xfId="47830"/>
    <cellStyle name="注释 2 15 5 5" xfId="47831"/>
    <cellStyle name="输入 2 5 7 2 3" xfId="47832"/>
    <cellStyle name="输入 2 5 7 3" xfId="47833"/>
    <cellStyle name="输入 2 5 7 3 2" xfId="47834"/>
    <cellStyle name="输入 2 5 7 3 2 2" xfId="47835"/>
    <cellStyle name="注释 2 16 5 5" xfId="47836"/>
    <cellStyle name="输入 2 5 7 3 3" xfId="47837"/>
    <cellStyle name="输入 2 5 7 3 3 2" xfId="47838"/>
    <cellStyle name="注释 2 16 6 5" xfId="47839"/>
    <cellStyle name="输入 2 5 7 3 4" xfId="47840"/>
    <cellStyle name="注释 2 4 7 5 3 2" xfId="47841"/>
    <cellStyle name="输入 2 5 7 3 4 2" xfId="47842"/>
    <cellStyle name="注释 2 16 7 5" xfId="47843"/>
    <cellStyle name="输入 2 5 7 3 5" xfId="47844"/>
    <cellStyle name="输入 2 5 7 3 5 2" xfId="47845"/>
    <cellStyle name="注释 2 16 8 5" xfId="47846"/>
    <cellStyle name="输入 2 5 7 4" xfId="47847"/>
    <cellStyle name="输入 2 5 7 4 2" xfId="47848"/>
    <cellStyle name="输入 2 5 7 4 4" xfId="47849"/>
    <cellStyle name="注释 2 4 7 5 4 2" xfId="47850"/>
    <cellStyle name="输入 2 5 7 4 5" xfId="47851"/>
    <cellStyle name="输入 2 5 7 5" xfId="47852"/>
    <cellStyle name="输入 2 5 7 5 2" xfId="47853"/>
    <cellStyle name="输入 2 5 7 5 4" xfId="47854"/>
    <cellStyle name="注释 2 4 7 5 5 2" xfId="47855"/>
    <cellStyle name="输入 2 5 7 5 5" xfId="47856"/>
    <cellStyle name="输入 2 5 7 5 6" xfId="47857"/>
    <cellStyle name="输入 2 5 7 6 2" xfId="47858"/>
    <cellStyle name="输入 2 5 7 6 5" xfId="47859"/>
    <cellStyle name="输入 2 5 7 6 6" xfId="47860"/>
    <cellStyle name="输入 2 5 7 7" xfId="47861"/>
    <cellStyle name="输入 2 5 7 7 2" xfId="47862"/>
    <cellStyle name="输入 2 5 7 7 2 2" xfId="47863"/>
    <cellStyle name="输入 2 5 7 7 3 2" xfId="47864"/>
    <cellStyle name="输入 2 5 7 7 4 2" xfId="47865"/>
    <cellStyle name="注释 2 3 11 2 4" xfId="47866"/>
    <cellStyle name="输入 2 5 7 7 5" xfId="47867"/>
    <cellStyle name="输入 2 5 7 7 5 2" xfId="47868"/>
    <cellStyle name="注释 2 3 11 3 4" xfId="47869"/>
    <cellStyle name="输入 2 5 7 7 6" xfId="47870"/>
    <cellStyle name="输入 2 5 7 8" xfId="47871"/>
    <cellStyle name="输入 2 5 7 8 2" xfId="47872"/>
    <cellStyle name="输入 2 5 7 8 3 2" xfId="47873"/>
    <cellStyle name="输入 2 5 7 8 4 2" xfId="47874"/>
    <cellStyle name="输入 2 5 7 9 2" xfId="47875"/>
    <cellStyle name="输入 2 5 8" xfId="47876"/>
    <cellStyle name="输入 2 5 9 2 3 2" xfId="47877"/>
    <cellStyle name="输入 2 5 8 14" xfId="47878"/>
    <cellStyle name="输入 2 5 8 15" xfId="47879"/>
    <cellStyle name="输入 2 5 8 16" xfId="47880"/>
    <cellStyle name="输入 2 5 8 2" xfId="47881"/>
    <cellStyle name="输入 2 5 8 2 2" xfId="47882"/>
    <cellStyle name="输入 2 5 8 2 3" xfId="47883"/>
    <cellStyle name="输入 2 5 8 2 4" xfId="47884"/>
    <cellStyle name="注释 2 4 7 6 2 2" xfId="47885"/>
    <cellStyle name="输入 2 5 8 2 5" xfId="47886"/>
    <cellStyle name="输入 2 5 8 3" xfId="47887"/>
    <cellStyle name="输入 2 5 8 3 2" xfId="47888"/>
    <cellStyle name="输入 2 5 8 3 2 2" xfId="47889"/>
    <cellStyle name="输入 2 5 8 3 3" xfId="47890"/>
    <cellStyle name="输入 2 5 8 3 3 2" xfId="47891"/>
    <cellStyle name="输入 2 5 8 3 4" xfId="47892"/>
    <cellStyle name="注释 2 4 7 6 3 2" xfId="47893"/>
    <cellStyle name="输入 2 5 8 3 4 2" xfId="47894"/>
    <cellStyle name="输入 2 5 8 4 5 2" xfId="47895"/>
    <cellStyle name="输入 2 5 8 5" xfId="47896"/>
    <cellStyle name="输入 2 5 8 5 2" xfId="47897"/>
    <cellStyle name="输入 2 5 8 5 2 2" xfId="47898"/>
    <cellStyle name="输入 2 5 8 5 3 2" xfId="47899"/>
    <cellStyle name="输入 2 5 8 5 4" xfId="47900"/>
    <cellStyle name="注释 2 4 7 6 5 2" xfId="47901"/>
    <cellStyle name="输入 2 5 8 5 4 2" xfId="47902"/>
    <cellStyle name="输入 2 5 8 5 5" xfId="47903"/>
    <cellStyle name="输入 2 5 8 5 5 2" xfId="47904"/>
    <cellStyle name="输入 2 5 8 6 2" xfId="47905"/>
    <cellStyle name="输入 2 5 8 6 2 2" xfId="47906"/>
    <cellStyle name="输入 2 5 8 6 3 2" xfId="47907"/>
    <cellStyle name="输入 2 5 8 6 4 2" xfId="47908"/>
    <cellStyle name="输入 2 5 8 6 5" xfId="47909"/>
    <cellStyle name="输入 2 5 8 6 5 2" xfId="47910"/>
    <cellStyle name="输入 2 5 8 7" xfId="47911"/>
    <cellStyle name="输入 2 5 8 7 2" xfId="47912"/>
    <cellStyle name="输入 2 5 8 7 2 2" xfId="47913"/>
    <cellStyle name="输入 2 8 10 7 4" xfId="47914"/>
    <cellStyle name="输入 2 5 8 7 3 2" xfId="47915"/>
    <cellStyle name="输入 2 8 10 8 4" xfId="47916"/>
    <cellStyle name="输入 2 5 8 7 4 2" xfId="47917"/>
    <cellStyle name="输入 2 5 8 7 5" xfId="47918"/>
    <cellStyle name="输入 2 5 8 7 5 2" xfId="47919"/>
    <cellStyle name="输入 2 5 8 8" xfId="47920"/>
    <cellStyle name="输入 2 5 8 8 3 2" xfId="47921"/>
    <cellStyle name="输入 2 8 11 8 4" xfId="47922"/>
    <cellStyle name="输入 2 5 8 8 4 2" xfId="47923"/>
    <cellStyle name="输入 2 5 9" xfId="47924"/>
    <cellStyle name="输入 2 5 9 10" xfId="47925"/>
    <cellStyle name="输入 2 5 9 11" xfId="47926"/>
    <cellStyle name="输入 2 5 9 11 2" xfId="47927"/>
    <cellStyle name="输入 2 5 9 12" xfId="47928"/>
    <cellStyle name="输入 2 5 9 12 2" xfId="47929"/>
    <cellStyle name="输入 2 5 9 13" xfId="47930"/>
    <cellStyle name="输入 2 5 9 14" xfId="47931"/>
    <cellStyle name="输入 2 5 9 15" xfId="47932"/>
    <cellStyle name="输入 2 5 9 16" xfId="47933"/>
    <cellStyle name="输入 2 5 9 2" xfId="47934"/>
    <cellStyle name="输入 2 5 9 2 2" xfId="47935"/>
    <cellStyle name="输入 2 5 9 2 3" xfId="47936"/>
    <cellStyle name="输入 2 5 9 2 4" xfId="47937"/>
    <cellStyle name="注释 2 4 7 7 2 2" xfId="47938"/>
    <cellStyle name="输入 2 5 9 2 4 2" xfId="47939"/>
    <cellStyle name="输入 2 6 8" xfId="47940"/>
    <cellStyle name="输入 2 5 9 2 5" xfId="47941"/>
    <cellStyle name="输入 2 5 9 2 5 2" xfId="47942"/>
    <cellStyle name="输入 2 7 8" xfId="47943"/>
    <cellStyle name="输入 2 5 9 3" xfId="47944"/>
    <cellStyle name="输入 2 5 9 3 2 2" xfId="47945"/>
    <cellStyle name="输入 2 5 9 3 3 2" xfId="47946"/>
    <cellStyle name="输入 2 5 9 3 4 2" xfId="47947"/>
    <cellStyle name="输入 2 5 9 3 5" xfId="47948"/>
    <cellStyle name="输入 2 5 9 3 5 2" xfId="47949"/>
    <cellStyle name="输入 2 5 9 4 5 2" xfId="47950"/>
    <cellStyle name="输入 2 5 9 5" xfId="47951"/>
    <cellStyle name="输入 2 5 9 5 2" xfId="47952"/>
    <cellStyle name="输入 2 5 9 5 4" xfId="47953"/>
    <cellStyle name="注释 2 4 7 7 5 2" xfId="47954"/>
    <cellStyle name="输入 2 5 9 5 5" xfId="47955"/>
    <cellStyle name="输入 2 5 9 5 6" xfId="47956"/>
    <cellStyle name="输入 2 5 9 6 2" xfId="47957"/>
    <cellStyle name="输入 2 5 9 6 4" xfId="47958"/>
    <cellStyle name="输入 2 5 9 6 5" xfId="47959"/>
    <cellStyle name="输入 2 5 9 6 6" xfId="47960"/>
    <cellStyle name="输入 2 5 9 7" xfId="47961"/>
    <cellStyle name="输入 2 5 9 7 2" xfId="47962"/>
    <cellStyle name="输入 2 5 9 7 2 2" xfId="47963"/>
    <cellStyle name="输入 2 5 9 7 3 2" xfId="47964"/>
    <cellStyle name="输入 2 5 9 7 4 2" xfId="47965"/>
    <cellStyle name="输入 2 5 9 7 5" xfId="47966"/>
    <cellStyle name="输入 2 5 9 7 5 2" xfId="47967"/>
    <cellStyle name="输入 2 5 9 7 6" xfId="47968"/>
    <cellStyle name="输入 2 5 9 8" xfId="47969"/>
    <cellStyle name="输入 2 5 9 8 2 2" xfId="47970"/>
    <cellStyle name="输入 2 5 9 8 3 2" xfId="47971"/>
    <cellStyle name="输入 2 5 9 8 4 2" xfId="47972"/>
    <cellStyle name="输入 2 5 9 8 5" xfId="47973"/>
    <cellStyle name="输入 2 5 9 9" xfId="47974"/>
    <cellStyle name="注释 2 6 4 3 2 2" xfId="47975"/>
    <cellStyle name="输入 2 6" xfId="47976"/>
    <cellStyle name="注释 2 8 7 4 5" xfId="47977"/>
    <cellStyle name="输入 2 6 10" xfId="47978"/>
    <cellStyle name="输入 2 6 10 15" xfId="47979"/>
    <cellStyle name="输入 2 6 10 16" xfId="47980"/>
    <cellStyle name="输入 2 6 10 2" xfId="47981"/>
    <cellStyle name="输入 2 6 10 2 2" xfId="47982"/>
    <cellStyle name="输入 2 6 10 2 4" xfId="47983"/>
    <cellStyle name="输入 2 6 10 4" xfId="47984"/>
    <cellStyle name="输入 2 6 10 4 2" xfId="47985"/>
    <cellStyle name="输入 2 6 10 4 2 2" xfId="47986"/>
    <cellStyle name="输入 2 6 10 4 3 2" xfId="47987"/>
    <cellStyle name="输入 2 6 10 4 4" xfId="47988"/>
    <cellStyle name="输入 2 6 10 4 4 2" xfId="47989"/>
    <cellStyle name="输入 2 6 10 4 5" xfId="47990"/>
    <cellStyle name="输入 2 6 10 4 5 2" xfId="47991"/>
    <cellStyle name="输入 2 6 10 5" xfId="47992"/>
    <cellStyle name="输入 2 6 10 5 2" xfId="47993"/>
    <cellStyle name="输入 2 6 10 5 2 2" xfId="47994"/>
    <cellStyle name="输入 2 6 10 5 3" xfId="47995"/>
    <cellStyle name="输入 2 6 10 5 3 2" xfId="47996"/>
    <cellStyle name="输入 2 6 10 5 4" xfId="47997"/>
    <cellStyle name="输入 2 6 10 5 4 2" xfId="47998"/>
    <cellStyle name="输入 2 6 10 5 5" xfId="47999"/>
    <cellStyle name="输入 2 6 10 5 5 2" xfId="48000"/>
    <cellStyle name="输入 2 6 10 6" xfId="48001"/>
    <cellStyle name="输入 2 6 9 2" xfId="48002"/>
    <cellStyle name="输入 2 6 10 6 2" xfId="48003"/>
    <cellStyle name="输入 2 6 9 2 2" xfId="48004"/>
    <cellStyle name="输入 2 6 10 6 2 2" xfId="48005"/>
    <cellStyle name="输入 2 6 9 2 2 2" xfId="48006"/>
    <cellStyle name="输入 2 6 10 6 3" xfId="48007"/>
    <cellStyle name="输入 2 6 9 2 3" xfId="48008"/>
    <cellStyle name="输入 2 6 10 6 3 2" xfId="48009"/>
    <cellStyle name="输入 2 6 9 2 3 2" xfId="48010"/>
    <cellStyle name="输入 2 6 10 6 4" xfId="48011"/>
    <cellStyle name="输入 2 6 9 2 4" xfId="48012"/>
    <cellStyle name="注释 2 4 8 7 2 2" xfId="48013"/>
    <cellStyle name="输入 2 6 10 6 4 2" xfId="48014"/>
    <cellStyle name="输入 2 6 9 2 4 2" xfId="48015"/>
    <cellStyle name="输入 2 6 10 6 5" xfId="48016"/>
    <cellStyle name="输入 2 6 9 2 5" xfId="48017"/>
    <cellStyle name="输入 2 6 10 7" xfId="48018"/>
    <cellStyle name="输入 2 6 9 3" xfId="48019"/>
    <cellStyle name="输入 2 6 10 7 2" xfId="48020"/>
    <cellStyle name="输入 2 6 9 3 2" xfId="48021"/>
    <cellStyle name="输入 2 6 10 7 2 2" xfId="48022"/>
    <cellStyle name="输入 2 6 9 3 2 2" xfId="48023"/>
    <cellStyle name="输入 2 6 10 7 3" xfId="48024"/>
    <cellStyle name="输入 2 6 9 3 3" xfId="48025"/>
    <cellStyle name="输入 2 6 10 7 3 2" xfId="48026"/>
    <cellStyle name="输入 2 6 9 3 3 2" xfId="48027"/>
    <cellStyle name="输入 2 6 10 7 4" xfId="48028"/>
    <cellStyle name="输入 2 6 9 3 4" xfId="48029"/>
    <cellStyle name="注释 2 4 8 7 3 2" xfId="48030"/>
    <cellStyle name="输入 2 6 10 7 4 2" xfId="48031"/>
    <cellStyle name="输入 2 6 9 3 4 2" xfId="48032"/>
    <cellStyle name="输入 2 6 10 7 5" xfId="48033"/>
    <cellStyle name="输入 2 6 9 3 5" xfId="48034"/>
    <cellStyle name="输入 2 6 10 7 5 2" xfId="48035"/>
    <cellStyle name="输入 2 6 9 3 5 2" xfId="48036"/>
    <cellStyle name="输入 2 6 10 9" xfId="48037"/>
    <cellStyle name="输入 2 6 9 5" xfId="48038"/>
    <cellStyle name="输入 2 6 10 9 2" xfId="48039"/>
    <cellStyle name="输入 2 6 9 5 2" xfId="48040"/>
    <cellStyle name="输入 2 6 11 10 2" xfId="48041"/>
    <cellStyle name="输入 2 6 11 11 2" xfId="48042"/>
    <cellStyle name="输入 2 6 11 12 2" xfId="48043"/>
    <cellStyle name="输入 2 6 11 14" xfId="48044"/>
    <cellStyle name="输入 2 6 11 2" xfId="48045"/>
    <cellStyle name="输入 2 6 11 2 2" xfId="48046"/>
    <cellStyle name="输入 2 6 11 2 2 2" xfId="48047"/>
    <cellStyle name="输入 2 6 11 2 3" xfId="48048"/>
    <cellStyle name="输入 2 6 11 2 3 2" xfId="48049"/>
    <cellStyle name="输入 2 6 11 2 4" xfId="48050"/>
    <cellStyle name="输入 2 6 11 2 4 2" xfId="48051"/>
    <cellStyle name="输入 2 6 11 2 5 2" xfId="48052"/>
    <cellStyle name="输入 2 6 11 3 2" xfId="48053"/>
    <cellStyle name="输入 2 6 11 3 2 2" xfId="48054"/>
    <cellStyle name="输入 2 6 11 3 3" xfId="48055"/>
    <cellStyle name="输入 2 6 11 3 3 2" xfId="48056"/>
    <cellStyle name="输入 2 6 11 3 4 2" xfId="48057"/>
    <cellStyle name="输入 2 6 11 4 2 2" xfId="48058"/>
    <cellStyle name="输入 2 6 11 4 3" xfId="48059"/>
    <cellStyle name="输入 2 6 11 4 3 2" xfId="48060"/>
    <cellStyle name="输入 2 6 11 4 4 2" xfId="48061"/>
    <cellStyle name="输入 2 6 11 4 5" xfId="48062"/>
    <cellStyle name="输入 2 6 11 5 2 2" xfId="48063"/>
    <cellStyle name="输入 2 6 11 5 3" xfId="48064"/>
    <cellStyle name="输入 2 6 11 5 3 2" xfId="48065"/>
    <cellStyle name="输入 2 6 11 5 4 2" xfId="48066"/>
    <cellStyle name="输入 2 6 11 5 5" xfId="48067"/>
    <cellStyle name="输入 2 6 11 6 2 2" xfId="48068"/>
    <cellStyle name="输入 2 6 11 6 3" xfId="48069"/>
    <cellStyle name="输入 2 6 11 6 3 2" xfId="48070"/>
    <cellStyle name="输入 2 6 11 6 4 2" xfId="48071"/>
    <cellStyle name="输入 2 6 11 6 5" xfId="48072"/>
    <cellStyle name="输入 2 6 11 6 5 2" xfId="48073"/>
    <cellStyle name="输入 2 6 11 7 2 2" xfId="48074"/>
    <cellStyle name="输入 2 6 11 7 3 2" xfId="48075"/>
    <cellStyle name="输入 2 6 11 7 4 2" xfId="48076"/>
    <cellStyle name="输入 2 6 11 7 5 2" xfId="48077"/>
    <cellStyle name="输入 2 6 11 8 2 2" xfId="48078"/>
    <cellStyle name="输入 2 6 11 8 3 2" xfId="48079"/>
    <cellStyle name="注释 2 10 11 13" xfId="48080"/>
    <cellStyle name="输入 2 6 11 8 4" xfId="48081"/>
    <cellStyle name="注释 2 4 8 8 4 2" xfId="48082"/>
    <cellStyle name="输入 2 6 11 8 4 2" xfId="48083"/>
    <cellStyle name="输入 2 6 11 8 5" xfId="48084"/>
    <cellStyle name="输入 2 6 12" xfId="48085"/>
    <cellStyle name="输入 2 6 12 2" xfId="48086"/>
    <cellStyle name="输入 2 6 12 2 2" xfId="48087"/>
    <cellStyle name="输入 2 6 12 3" xfId="48088"/>
    <cellStyle name="输入 2 6 12 3 2" xfId="48089"/>
    <cellStyle name="输入 2 6 12 4" xfId="48090"/>
    <cellStyle name="输入 2 6 12 4 2" xfId="48091"/>
    <cellStyle name="输入 2 6 12 5" xfId="48092"/>
    <cellStyle name="输入 2 6 12 5 2" xfId="48093"/>
    <cellStyle name="输入 2 6 12 9" xfId="48094"/>
    <cellStyle name="输入 2 6 13" xfId="48095"/>
    <cellStyle name="输入 2 6 13 2" xfId="48096"/>
    <cellStyle name="输入 2 6 13 2 2" xfId="48097"/>
    <cellStyle name="输入 2 6 13 3" xfId="48098"/>
    <cellStyle name="输入 2 6 13 3 2" xfId="48099"/>
    <cellStyle name="输入 2 6 13 4" xfId="48100"/>
    <cellStyle name="输入 2 6 13 4 2" xfId="48101"/>
    <cellStyle name="输入 2 6 13 5" xfId="48102"/>
    <cellStyle name="输入 2 6 13 5 2" xfId="48103"/>
    <cellStyle name="输入 2 6 14" xfId="48104"/>
    <cellStyle name="注释 2 6 8 9 2" xfId="48105"/>
    <cellStyle name="注释 2 8 5 8 2 2" xfId="48106"/>
    <cellStyle name="输入 2 6 14 4 2" xfId="48107"/>
    <cellStyle name="输入 2 6 14 5 2" xfId="48108"/>
    <cellStyle name="输入 2 6 2" xfId="48109"/>
    <cellStyle name="注释 2 8 7 4 5 2" xfId="48110"/>
    <cellStyle name="输入 2 6 2 10" xfId="48111"/>
    <cellStyle name="输入 2 6 2 8 5" xfId="48112"/>
    <cellStyle name="输入 2 6 2 10 2" xfId="48113"/>
    <cellStyle name="输入 2 6 2 11" xfId="48114"/>
    <cellStyle name="输入 2 6 2 11 2" xfId="48115"/>
    <cellStyle name="输入 2 6 2 12" xfId="48116"/>
    <cellStyle name="输入 2 6 2 12 2" xfId="48117"/>
    <cellStyle name="输入 2 6 2 13" xfId="48118"/>
    <cellStyle name="输入 2 6 2 15" xfId="48119"/>
    <cellStyle name="输入 2 6 2 16" xfId="48120"/>
    <cellStyle name="输入 2 6 2 2" xfId="48121"/>
    <cellStyle name="输入 2 6 2 2 2 2" xfId="48122"/>
    <cellStyle name="注释 2 5 5 3 3" xfId="48123"/>
    <cellStyle name="输入 2 6 2 2 3 2" xfId="48124"/>
    <cellStyle name="注释 2 5 5 4 3" xfId="48125"/>
    <cellStyle name="输入 2 6 2 2 4 2" xfId="48126"/>
    <cellStyle name="注释 2 5 5 5 3" xfId="48127"/>
    <cellStyle name="输入 2 6 2 3" xfId="48128"/>
    <cellStyle name="输入 2 6 2 9 2" xfId="48129"/>
    <cellStyle name="输入 2 6 2 3 2" xfId="48130"/>
    <cellStyle name="输入 2 6 2 3 2 2" xfId="48131"/>
    <cellStyle name="注释 2 5 6 3 3" xfId="48132"/>
    <cellStyle name="输入 2 6 2 3 3" xfId="48133"/>
    <cellStyle name="输入 2 6 2 3 3 2" xfId="48134"/>
    <cellStyle name="注释 2 5 6 4 3" xfId="48135"/>
    <cellStyle name="输入 2 6 2 3 4" xfId="48136"/>
    <cellStyle name="输入 2 6 2 3 4 2" xfId="48137"/>
    <cellStyle name="注释 2 5 6 5 3" xfId="48138"/>
    <cellStyle name="输入 2 6 2 4 2" xfId="48139"/>
    <cellStyle name="输入 2 6 2 4 2 2" xfId="48140"/>
    <cellStyle name="注释 2 5 7 3 3" xfId="48141"/>
    <cellStyle name="输入 2 6 2 4 3" xfId="48142"/>
    <cellStyle name="输入 2 6 2 4 3 2" xfId="48143"/>
    <cellStyle name="注释 2 5 7 4 3" xfId="48144"/>
    <cellStyle name="输入 2 6 2 4 4" xfId="48145"/>
    <cellStyle name="输入 2 6 2 4 4 2" xfId="48146"/>
    <cellStyle name="注释 2 5 7 5 3" xfId="48147"/>
    <cellStyle name="输入 2 6 2 5 2" xfId="48148"/>
    <cellStyle name="输入 2 6 2 5 2 2" xfId="48149"/>
    <cellStyle name="注释 2 5 8 3 3" xfId="48150"/>
    <cellStyle name="输入 2 6 2 5 3" xfId="48151"/>
    <cellStyle name="输入 2 6 2 5 4" xfId="48152"/>
    <cellStyle name="输入 2 6 2 5 4 2" xfId="48153"/>
    <cellStyle name="注释 2 5 8 5 3" xfId="48154"/>
    <cellStyle name="输入 2 6 2 6" xfId="48155"/>
    <cellStyle name="输入 2 6 2 6 2" xfId="48156"/>
    <cellStyle name="输入 2 6 2 6 4 2" xfId="48157"/>
    <cellStyle name="注释 2 5 9 5 3" xfId="48158"/>
    <cellStyle name="注释 2 7 10 2 4" xfId="48159"/>
    <cellStyle name="输入 2 6 2 7" xfId="48160"/>
    <cellStyle name="输入 2 6 2 7 2 2" xfId="48161"/>
    <cellStyle name="输入 2 6 2 7 3 2" xfId="48162"/>
    <cellStyle name="输入 2 6 2 7 4 2" xfId="48163"/>
    <cellStyle name="注释 2 7 11 2 4" xfId="48164"/>
    <cellStyle name="输入 2 6 2 7 5 2" xfId="48165"/>
    <cellStyle name="注释 2 7 11 3 4" xfId="48166"/>
    <cellStyle name="输入 2 6 2 7 6" xfId="48167"/>
    <cellStyle name="输入 2 6 2 8" xfId="48168"/>
    <cellStyle name="输入 2 6 2 8 2" xfId="48169"/>
    <cellStyle name="输入 2 6 2 8 2 2" xfId="48170"/>
    <cellStyle name="输入 2 6 2 8 3 2" xfId="48171"/>
    <cellStyle name="输入 2 6 2 8 4 2" xfId="48172"/>
    <cellStyle name="输入 2 6 2 9" xfId="48173"/>
    <cellStyle name="输入 2 6 3" xfId="48174"/>
    <cellStyle name="输入 2 6 3 10 2" xfId="48175"/>
    <cellStyle name="输入 2 6 6 6 2" xfId="48176"/>
    <cellStyle name="输入 2 6 3 11" xfId="48177"/>
    <cellStyle name="输入 2 6 6 7" xfId="48178"/>
    <cellStyle name="输入 2 6 3 11 2" xfId="48179"/>
    <cellStyle name="输入 2 6 6 7 2" xfId="48180"/>
    <cellStyle name="输入 2 6 3 12" xfId="48181"/>
    <cellStyle name="输入 2 6 6 8" xfId="48182"/>
    <cellStyle name="输入 2 6 3 12 2" xfId="48183"/>
    <cellStyle name="输入 2 6 6 8 2" xfId="48184"/>
    <cellStyle name="输入 2 6 3 15" xfId="48185"/>
    <cellStyle name="输入 2 6 3 16" xfId="48186"/>
    <cellStyle name="输入 2 6 3 2" xfId="48187"/>
    <cellStyle name="输入 2 6 3 2 2 2" xfId="48188"/>
    <cellStyle name="注释 2 6 5 3 3" xfId="48189"/>
    <cellStyle name="输入 2 6 3 2 3 2" xfId="48190"/>
    <cellStyle name="注释 2 6 5 4 3" xfId="48191"/>
    <cellStyle name="输入 2 6 3 2 4 2" xfId="48192"/>
    <cellStyle name="注释 2 6 5 5 3" xfId="48193"/>
    <cellStyle name="输入 2 6 3 3" xfId="48194"/>
    <cellStyle name="输入 2 6 3 3 2" xfId="48195"/>
    <cellStyle name="输入 2 6 3 3 2 2" xfId="48196"/>
    <cellStyle name="注释 2 6 6 3 3" xfId="48197"/>
    <cellStyle name="输入 2 6 3 3 3" xfId="48198"/>
    <cellStyle name="输入 2 6 3 3 3 2" xfId="48199"/>
    <cellStyle name="注释 2 6 6 4 3" xfId="48200"/>
    <cellStyle name="输入 2 6 3 3 4" xfId="48201"/>
    <cellStyle name="输入 2 6 3 3 4 2" xfId="48202"/>
    <cellStyle name="注释 2 6 6 5 3" xfId="48203"/>
    <cellStyle name="输入 2 6 3 4" xfId="48204"/>
    <cellStyle name="输入 2 6 3 5" xfId="48205"/>
    <cellStyle name="输入 2 6 3 5 2" xfId="48206"/>
    <cellStyle name="输入 2 6 3 5 2 2" xfId="48207"/>
    <cellStyle name="注释 2 6 8 3 3" xfId="48208"/>
    <cellStyle name="输入 2 6 3 5 3" xfId="48209"/>
    <cellStyle name="输入 2 6 3 5 4" xfId="48210"/>
    <cellStyle name="输入 2 6 3 5 4 2" xfId="48211"/>
    <cellStyle name="注释 2 6 8 5 3" xfId="48212"/>
    <cellStyle name="输入 2 6 3 6" xfId="48213"/>
    <cellStyle name="输入 2 6 3 6 2" xfId="48214"/>
    <cellStyle name="输入 2 6 3 6 2 2" xfId="48215"/>
    <cellStyle name="注释 2 6 9 3 3" xfId="48216"/>
    <cellStyle name="输入 2 6 3 6 3 2" xfId="48217"/>
    <cellStyle name="注释 2 6 9 4 3" xfId="48218"/>
    <cellStyle name="输入 2 6 3 6 4 2" xfId="48219"/>
    <cellStyle name="注释 2 6 9 5 3" xfId="48220"/>
    <cellStyle name="输入 2 6 3 7" xfId="48221"/>
    <cellStyle name="输入 2 6 3 7 2 2" xfId="48222"/>
    <cellStyle name="输入 2 6 3 7 3 2" xfId="48223"/>
    <cellStyle name="输入 2 6 3 7 4 2" xfId="48224"/>
    <cellStyle name="输入 2 6 3 8" xfId="48225"/>
    <cellStyle name="输入 2 6 3 8 2" xfId="48226"/>
    <cellStyle name="输入 2 6 3 8 2 2" xfId="48227"/>
    <cellStyle name="输入 2 6 3 8 3 2" xfId="48228"/>
    <cellStyle name="输入 2 6 3 8 4 2" xfId="48229"/>
    <cellStyle name="输入 2 6 3 9" xfId="48230"/>
    <cellStyle name="输入 2 6 4 10" xfId="48231"/>
    <cellStyle name="输入 2 6 4 11" xfId="48232"/>
    <cellStyle name="输入 2 6 4 12" xfId="48233"/>
    <cellStyle name="输入 2 6 4 13" xfId="48234"/>
    <cellStyle name="注释 2 6 4 4 4 2" xfId="48235"/>
    <cellStyle name="输入 2 6 4 14" xfId="48236"/>
    <cellStyle name="输入 2 6 4 15" xfId="48237"/>
    <cellStyle name="输入 2 6 4 16" xfId="48238"/>
    <cellStyle name="输入 2 6 4 2" xfId="48239"/>
    <cellStyle name="输入 2 6 4 2 2" xfId="48240"/>
    <cellStyle name="输入 2 6 4 2 2 2" xfId="48241"/>
    <cellStyle name="注释 2 7 5 3 3" xfId="48242"/>
    <cellStyle name="输入 2 6 4 2 3" xfId="48243"/>
    <cellStyle name="输入 2 6 4 2 3 2" xfId="48244"/>
    <cellStyle name="注释 2 7 5 4 3" xfId="48245"/>
    <cellStyle name="输入 2 6 4 2 4" xfId="48246"/>
    <cellStyle name="注释 2 4 8 2 2 2" xfId="48247"/>
    <cellStyle name="输入 2 6 4 2 4 2" xfId="48248"/>
    <cellStyle name="注释 2 7 5 5 3" xfId="48249"/>
    <cellStyle name="输入 2 6 4 3" xfId="48250"/>
    <cellStyle name="输入 2 6 4 3 2" xfId="48251"/>
    <cellStyle name="输入 2 6 4 3 2 2" xfId="48252"/>
    <cellStyle name="注释 2 7 6 3 3" xfId="48253"/>
    <cellStyle name="输入 2 6 4 3 3" xfId="48254"/>
    <cellStyle name="输入 2 6 4 3 3 2" xfId="48255"/>
    <cellStyle name="注释 2 7 6 4 3" xfId="48256"/>
    <cellStyle name="输入 2 6 4 3 4" xfId="48257"/>
    <cellStyle name="注释 2 4 8 2 3 2" xfId="48258"/>
    <cellStyle name="输入 2 6 4 3 4 2" xfId="48259"/>
    <cellStyle name="注释 2 7 6 5 3" xfId="48260"/>
    <cellStyle name="输入 2 6 4 4" xfId="48261"/>
    <cellStyle name="输入 2 6 4 5" xfId="48262"/>
    <cellStyle name="输入 2 6 4 5 2" xfId="48263"/>
    <cellStyle name="输入 2 6 4 5 3" xfId="48264"/>
    <cellStyle name="输入 2 6 4 5 4" xfId="48265"/>
    <cellStyle name="注释 2 4 8 2 5 2" xfId="48266"/>
    <cellStyle name="输入 2 6 4 6" xfId="48267"/>
    <cellStyle name="输入 2 6 4 6 2" xfId="48268"/>
    <cellStyle name="输入 2 6 4 7" xfId="48269"/>
    <cellStyle name="输入 2 6 4 7 2" xfId="48270"/>
    <cellStyle name="输入 2 6 4 7 2 2" xfId="48271"/>
    <cellStyle name="输入 2 6 4 7 3 2" xfId="48272"/>
    <cellStyle name="输入 2 6 4 7 4 2" xfId="48273"/>
    <cellStyle name="输入 2 6 4 7 5 2" xfId="48274"/>
    <cellStyle name="输入 2 6 4 7 6" xfId="48275"/>
    <cellStyle name="输入 2 6 4 8" xfId="48276"/>
    <cellStyle name="输入 2 6 4 8 2" xfId="48277"/>
    <cellStyle name="输入 2 6 4 8 2 2" xfId="48278"/>
    <cellStyle name="输入 2 6 4 8 3 2" xfId="48279"/>
    <cellStyle name="输入 2 6 4 8 4 2" xfId="48280"/>
    <cellStyle name="输入 2 6 4 8 5" xfId="48281"/>
    <cellStyle name="输入 2 6 4 9" xfId="48282"/>
    <cellStyle name="输入 2 6 5" xfId="48283"/>
    <cellStyle name="输入 2 6 5 10" xfId="48284"/>
    <cellStyle name="输入 2 6 5 11" xfId="48285"/>
    <cellStyle name="输入 2 6 5 2 2 2" xfId="48286"/>
    <cellStyle name="注释 2 8 5 3 3" xfId="48287"/>
    <cellStyle name="输入 2 6 5 2 3" xfId="48288"/>
    <cellStyle name="输入 2 6 5 2 3 2" xfId="48289"/>
    <cellStyle name="注释 2 8 5 4 3" xfId="48290"/>
    <cellStyle name="输入 2 6 5 2 4" xfId="48291"/>
    <cellStyle name="注释 2 4 8 3 2 2" xfId="48292"/>
    <cellStyle name="输入 2 6 5 2 4 2" xfId="48293"/>
    <cellStyle name="注释 2 8 5 5 3" xfId="48294"/>
    <cellStyle name="输入 2 6 5 2 5" xfId="48295"/>
    <cellStyle name="注释 2 11 2 8 2 2" xfId="48296"/>
    <cellStyle name="输入 2 6 5 2 5 2" xfId="48297"/>
    <cellStyle name="注释 2 8 5 6 3" xfId="48298"/>
    <cellStyle name="输入 2 6 5 3 2" xfId="48299"/>
    <cellStyle name="输入 2 6 5 3 2 2" xfId="48300"/>
    <cellStyle name="注释 2 8 6 3 3" xfId="48301"/>
    <cellStyle name="输入 2 6 5 3 3" xfId="48302"/>
    <cellStyle name="输入 2 6 5 3 3 2" xfId="48303"/>
    <cellStyle name="注释 2 8 6 4 3" xfId="48304"/>
    <cellStyle name="输入 2 6 5 3 4" xfId="48305"/>
    <cellStyle name="注释 2 4 8 3 3 2" xfId="48306"/>
    <cellStyle name="输入 2 6 5 3 4 2" xfId="48307"/>
    <cellStyle name="注释 2 8 6 5 3" xfId="48308"/>
    <cellStyle name="输入 2 6 5 3 5" xfId="48309"/>
    <cellStyle name="注释 2 11 2 8 3 2" xfId="48310"/>
    <cellStyle name="输入 2 6 5 3 5 2" xfId="48311"/>
    <cellStyle name="注释 2 8 6 6 3" xfId="48312"/>
    <cellStyle name="输入 2 6 5 4 2" xfId="48313"/>
    <cellStyle name="输入 2 6 5 4 2 2" xfId="48314"/>
    <cellStyle name="注释 2 8 7 3 3" xfId="48315"/>
    <cellStyle name="输入 2 6 5 4 4" xfId="48316"/>
    <cellStyle name="注释 2 4 8 3 4 2" xfId="48317"/>
    <cellStyle name="输入 2 6 5 4 4 2" xfId="48318"/>
    <cellStyle name="注释 2 8 7 5 3" xfId="48319"/>
    <cellStyle name="输入 2 6 5 4 5" xfId="48320"/>
    <cellStyle name="注释 2 11 2 8 4 2" xfId="48321"/>
    <cellStyle name="输入 2 6 5 4 5 2" xfId="48322"/>
    <cellStyle name="注释 2 8 7 6 3" xfId="48323"/>
    <cellStyle name="输入 2 6 5 5 2" xfId="48324"/>
    <cellStyle name="输入 2 6 5 5 2 2" xfId="48325"/>
    <cellStyle name="注释 2 8 8 3 3" xfId="48326"/>
    <cellStyle name="输入 2 6 5 5 3 2" xfId="48327"/>
    <cellStyle name="注释 2 8 8 4 3" xfId="48328"/>
    <cellStyle name="输入 2 6 5 5 4" xfId="48329"/>
    <cellStyle name="注释 2 4 8 3 5 2" xfId="48330"/>
    <cellStyle name="输入 2 6 5 5 4 2" xfId="48331"/>
    <cellStyle name="注释 2 8 8 5 3" xfId="48332"/>
    <cellStyle name="输入 2 6 5 5 5" xfId="48333"/>
    <cellStyle name="输入 2 6 5 5 5 2" xfId="48334"/>
    <cellStyle name="注释 2 8 8 6 3" xfId="48335"/>
    <cellStyle name="输入 2 6 5 5 6" xfId="48336"/>
    <cellStyle name="输入 2 6 5 6 2" xfId="48337"/>
    <cellStyle name="输入 2 6 5 6 2 2" xfId="48338"/>
    <cellStyle name="注释 2 8 9 3 3" xfId="48339"/>
    <cellStyle name="输入 2 6 5 6 3 2" xfId="48340"/>
    <cellStyle name="注释 2 8 9 4 3" xfId="48341"/>
    <cellStyle name="输入 2 6 5 6 4 2" xfId="48342"/>
    <cellStyle name="注释 2 8 9 5 3" xfId="48343"/>
    <cellStyle name="输入 2 6 5 6 5" xfId="48344"/>
    <cellStyle name="输入 2 6 5 6 5 2" xfId="48345"/>
    <cellStyle name="注释 2 8 9 6 3" xfId="48346"/>
    <cellStyle name="输入 2 6 5 6 6" xfId="48347"/>
    <cellStyle name="输入 2 6 5 7" xfId="48348"/>
    <cellStyle name="输入 2 6 5 7 2" xfId="48349"/>
    <cellStyle name="输入 2 6 5 7 2 2" xfId="48350"/>
    <cellStyle name="输入 2 6 5 7 3 2" xfId="48351"/>
    <cellStyle name="输入 2 6 5 7 4 2" xfId="48352"/>
    <cellStyle name="输入 2 6 5 7 5" xfId="48353"/>
    <cellStyle name="输入 2 6 5 7 5 2" xfId="48354"/>
    <cellStyle name="输入 2 6 5 7 6" xfId="48355"/>
    <cellStyle name="输入 2 6 5 8" xfId="48356"/>
    <cellStyle name="输入 2 6 5 8 2" xfId="48357"/>
    <cellStyle name="输入 2 6 5 8 2 2" xfId="48358"/>
    <cellStyle name="输入 2 6 5 8 3 2" xfId="48359"/>
    <cellStyle name="输入 2 6 5 8 4 2" xfId="48360"/>
    <cellStyle name="输入 2 6 5 8 5" xfId="48361"/>
    <cellStyle name="输入 2 6 5 9 2" xfId="48362"/>
    <cellStyle name="输入 2 9 2 3" xfId="48363"/>
    <cellStyle name="输入 2 6 6" xfId="48364"/>
    <cellStyle name="输入 2 6 6 2" xfId="48365"/>
    <cellStyle name="输入 2 6 6 2 2" xfId="48366"/>
    <cellStyle name="输入 2 6 6 2 2 2" xfId="48367"/>
    <cellStyle name="注释 2 9 5 3 3" xfId="48368"/>
    <cellStyle name="输入 2 6 6 2 3" xfId="48369"/>
    <cellStyle name="输入 2 6 6 2 3 2" xfId="48370"/>
    <cellStyle name="注释 2 9 5 4 3" xfId="48371"/>
    <cellStyle name="输入 2 6 6 2 4" xfId="48372"/>
    <cellStyle name="注释 2 4 8 4 2 2" xfId="48373"/>
    <cellStyle name="输入 2 6 6 2 4 2" xfId="48374"/>
    <cellStyle name="注释 2 9 5 5 3" xfId="48375"/>
    <cellStyle name="输入 2 6 6 2 5" xfId="48376"/>
    <cellStyle name="输入 2 6 6 2 5 2" xfId="48377"/>
    <cellStyle name="注释 2 9 5 6 3" xfId="48378"/>
    <cellStyle name="输入 2 6 6 3" xfId="48379"/>
    <cellStyle name="输入 2 6 6 3 2" xfId="48380"/>
    <cellStyle name="输入 2 6 6 3 2 2" xfId="48381"/>
    <cellStyle name="注释 2 9 6 3 3" xfId="48382"/>
    <cellStyle name="输入 2 6 6 3 3" xfId="48383"/>
    <cellStyle name="输入 2 6 6 3 3 2" xfId="48384"/>
    <cellStyle name="注释 2 9 6 4 3" xfId="48385"/>
    <cellStyle name="输入 2 6 6 3 4" xfId="48386"/>
    <cellStyle name="注释 2 4 8 4 3 2" xfId="48387"/>
    <cellStyle name="输入 2 6 6 3 4 2" xfId="48388"/>
    <cellStyle name="注释 2 9 6 5 3" xfId="48389"/>
    <cellStyle name="输入 2 6 6 3 5" xfId="48390"/>
    <cellStyle name="输入 2 6 6 3 5 2" xfId="48391"/>
    <cellStyle name="注释 2 9 6 6 3" xfId="48392"/>
    <cellStyle name="输入 2 6 6 4" xfId="48393"/>
    <cellStyle name="输入 2 6 6 5" xfId="48394"/>
    <cellStyle name="输入 2 6 6 5 2" xfId="48395"/>
    <cellStyle name="输入 2 6 6 5 2 2" xfId="48396"/>
    <cellStyle name="注释 2 9 8 3 3" xfId="48397"/>
    <cellStyle name="输入 2 6 6 5 3 2" xfId="48398"/>
    <cellStyle name="注释 2 9 8 4 3" xfId="48399"/>
    <cellStyle name="输入 2 6 6 5 4" xfId="48400"/>
    <cellStyle name="注释 2 4 8 4 5 2" xfId="48401"/>
    <cellStyle name="输入 2 6 6 5 4 2" xfId="48402"/>
    <cellStyle name="注释 2 9 8 5 3" xfId="48403"/>
    <cellStyle name="输入 2 6 6 5 5" xfId="48404"/>
    <cellStyle name="输入 2 6 6 5 5 2" xfId="48405"/>
    <cellStyle name="注释 2 9 8 6 3" xfId="48406"/>
    <cellStyle name="输入 2 6 6 5 6" xfId="48407"/>
    <cellStyle name="输入 2 6 6 6 2 2" xfId="48408"/>
    <cellStyle name="注释 2 9 9 3 3" xfId="48409"/>
    <cellStyle name="输入 2 6 6 6 3 2" xfId="48410"/>
    <cellStyle name="注释 2 9 9 4 3" xfId="48411"/>
    <cellStyle name="输入 2 6 6 6 4 2" xfId="48412"/>
    <cellStyle name="注释 2 9 9 5 3" xfId="48413"/>
    <cellStyle name="输入 2 6 6 6 5" xfId="48414"/>
    <cellStyle name="输入 2 6 6 6 5 2" xfId="48415"/>
    <cellStyle name="注释 2 9 9 6 3" xfId="48416"/>
    <cellStyle name="输入 2 6 6 6 6" xfId="48417"/>
    <cellStyle name="输入 2 6 6 7 2 2" xfId="48418"/>
    <cellStyle name="输入 2 6 6 7 3 2" xfId="48419"/>
    <cellStyle name="输入 2 6 6 7 4 2" xfId="48420"/>
    <cellStyle name="输入 2 6 6 7 5" xfId="48421"/>
    <cellStyle name="输入 2 6 6 7 5 2" xfId="48422"/>
    <cellStyle name="输入 2 6 6 7 6" xfId="48423"/>
    <cellStyle name="输入 2 6 6 8 2 2" xfId="48424"/>
    <cellStyle name="输入 2 6 6 8 3 2" xfId="48425"/>
    <cellStyle name="输入 2 6 6 8 4 2" xfId="48426"/>
    <cellStyle name="输入 2 6 6 8 5" xfId="48427"/>
    <cellStyle name="输入 2 6 7" xfId="48428"/>
    <cellStyle name="输入 2 6 7 2" xfId="48429"/>
    <cellStyle name="输入 2 6 7 2 2" xfId="48430"/>
    <cellStyle name="输入 2 6 7 2 2 2" xfId="48431"/>
    <cellStyle name="输入 2 6 7 2 3" xfId="48432"/>
    <cellStyle name="输入 2 6 7 2 3 2" xfId="48433"/>
    <cellStyle name="输入 2 6 7 2 4" xfId="48434"/>
    <cellStyle name="注释 2 4 8 5 2 2" xfId="48435"/>
    <cellStyle name="输入 2 6 7 2 4 2" xfId="48436"/>
    <cellStyle name="输入 2 6 7 2 5" xfId="48437"/>
    <cellStyle name="输入 2 6 7 2 5 2" xfId="48438"/>
    <cellStyle name="输入 2 6 7 3" xfId="48439"/>
    <cellStyle name="输入 2 6 7 3 2" xfId="48440"/>
    <cellStyle name="输入 2 6 7 3 2 2" xfId="48441"/>
    <cellStyle name="输入 2 6 7 3 3" xfId="48442"/>
    <cellStyle name="输入 2 6 7 3 3 2" xfId="48443"/>
    <cellStyle name="注释 2 4 2 14" xfId="48444"/>
    <cellStyle name="输入 2 6 7 3 4" xfId="48445"/>
    <cellStyle name="注释 2 4 8 5 3 2" xfId="48446"/>
    <cellStyle name="输入 2 6 7 3 4 2" xfId="48447"/>
    <cellStyle name="输入 2 6 7 3 5" xfId="48448"/>
    <cellStyle name="输入 2 6 7 3 5 2" xfId="48449"/>
    <cellStyle name="输入 2 6 7 4" xfId="48450"/>
    <cellStyle name="输入 2 6 7 4 3 2" xfId="48451"/>
    <cellStyle name="注释 2 4 7 14" xfId="48452"/>
    <cellStyle name="输入 2 6 7 4 4 2" xfId="48453"/>
    <cellStyle name="输入 2 6 7 4 5 2" xfId="48454"/>
    <cellStyle name="输入 2 6 7 5" xfId="48455"/>
    <cellStyle name="输入 2 6 7 5 2" xfId="48456"/>
    <cellStyle name="输入 2 6 7 5 3 2" xfId="48457"/>
    <cellStyle name="输入 2 6 7 5 4" xfId="48458"/>
    <cellStyle name="注释 2 4 8 5 5 2" xfId="48459"/>
    <cellStyle name="输入 2 6 7 5 4 2" xfId="48460"/>
    <cellStyle name="输入 2 6 7 5 5" xfId="48461"/>
    <cellStyle name="输入 2 6 7 5 5 2" xfId="48462"/>
    <cellStyle name="输入 2 6 7 5 6" xfId="48463"/>
    <cellStyle name="输入 2 6 7 6 2" xfId="48464"/>
    <cellStyle name="输入 2 6 7 6 3 2" xfId="48465"/>
    <cellStyle name="输入 2 6 7 6 4 2" xfId="48466"/>
    <cellStyle name="注释 2 8 10 2 4" xfId="48467"/>
    <cellStyle name="输入 2 6 7 6 5" xfId="48468"/>
    <cellStyle name="输入 2 6 7 6 5 2" xfId="48469"/>
    <cellStyle name="注释 2 8 10 3 4" xfId="48470"/>
    <cellStyle name="输入 2 6 7 6 6" xfId="48471"/>
    <cellStyle name="输入 2 6 7 7" xfId="48472"/>
    <cellStyle name="输入 2 6 7 7 2" xfId="48473"/>
    <cellStyle name="输入 2 6 7 7 2 2" xfId="48474"/>
    <cellStyle name="输入 2 6 7 7 3 2" xfId="48475"/>
    <cellStyle name="输入 2 6 7 7 4 2" xfId="48476"/>
    <cellStyle name="注释 2 8 11 2 4" xfId="48477"/>
    <cellStyle name="输入 2 6 7 7 5" xfId="48478"/>
    <cellStyle name="输入 2 6 7 7 5 2" xfId="48479"/>
    <cellStyle name="注释 2 8 11 3 4" xfId="48480"/>
    <cellStyle name="输入 2 6 7 7 6" xfId="48481"/>
    <cellStyle name="输入 2 6 7 8" xfId="48482"/>
    <cellStyle name="输入 2 6 7 8 2" xfId="48483"/>
    <cellStyle name="输入 2 6 7 8 2 2" xfId="48484"/>
    <cellStyle name="输入 2 6 7 8 3 2" xfId="48485"/>
    <cellStyle name="注释 2 5 2 14" xfId="48486"/>
    <cellStyle name="输入 2 6 7 8 4 2" xfId="48487"/>
    <cellStyle name="输入 2 6 7 8 5" xfId="48488"/>
    <cellStyle name="输入 2 7 2 10" xfId="48489"/>
    <cellStyle name="输入 2 6 8 10 2" xfId="48490"/>
    <cellStyle name="输入 2 7 6 6 2" xfId="48491"/>
    <cellStyle name="输入 2 6 8 11" xfId="48492"/>
    <cellStyle name="输入 2 7 6 7" xfId="48493"/>
    <cellStyle name="输入 2 6 8 11 2" xfId="48494"/>
    <cellStyle name="输入 2 7 6 7 2" xfId="48495"/>
    <cellStyle name="输入 2 6 8 12" xfId="48496"/>
    <cellStyle name="输入 2 7 6 8" xfId="48497"/>
    <cellStyle name="输入 2 6 8 12 2" xfId="48498"/>
    <cellStyle name="输入 2 7 6 8 2" xfId="48499"/>
    <cellStyle name="输入 2 6 8 15" xfId="48500"/>
    <cellStyle name="输入 2 6 8 16" xfId="48501"/>
    <cellStyle name="输入 2 6 8 2" xfId="48502"/>
    <cellStyle name="输入 2 6 8 2 2" xfId="48503"/>
    <cellStyle name="输入 2 6 8 2 2 2" xfId="48504"/>
    <cellStyle name="输入 2 6 8 2 3" xfId="48505"/>
    <cellStyle name="输入 2 6 8 2 3 2" xfId="48506"/>
    <cellStyle name="输入 2 6 8 2 4" xfId="48507"/>
    <cellStyle name="注释 2 4 8 6 2 2" xfId="48508"/>
    <cellStyle name="输入 2 6 8 2 4 2" xfId="48509"/>
    <cellStyle name="输入 2 6 8 2 5" xfId="48510"/>
    <cellStyle name="输入 2 6 8 3" xfId="48511"/>
    <cellStyle name="输入 2 6 8 3 2" xfId="48512"/>
    <cellStyle name="输入 2 6 8 3 2 2" xfId="48513"/>
    <cellStyle name="输入 2 6 8 3 3" xfId="48514"/>
    <cellStyle name="输入 2 6 8 3 3 2" xfId="48515"/>
    <cellStyle name="注释 2 9 2 14" xfId="48516"/>
    <cellStyle name="输入 2 6 8 3 4" xfId="48517"/>
    <cellStyle name="注释 2 4 8 6 3 2" xfId="48518"/>
    <cellStyle name="输入 2 6 8 3 4 2" xfId="48519"/>
    <cellStyle name="输入 2 6 8 3 5" xfId="48520"/>
    <cellStyle name="输入 2 7 6 10" xfId="48521"/>
    <cellStyle name="输入 2 6 8 3 5 2" xfId="48522"/>
    <cellStyle name="输入 2 7 6 10 2" xfId="48523"/>
    <cellStyle name="输入 2 6 8 4 5 2" xfId="48524"/>
    <cellStyle name="输入 2 6 8 5" xfId="48525"/>
    <cellStyle name="输入 2 6 8 5 2" xfId="48526"/>
    <cellStyle name="输入 2 6 8 5 3 2" xfId="48527"/>
    <cellStyle name="输入 2 6 8 5 4" xfId="48528"/>
    <cellStyle name="注释 2 4 8 6 5 2" xfId="48529"/>
    <cellStyle name="输入 2 6 8 5 4 2" xfId="48530"/>
    <cellStyle name="输入 2 6 8 5 5" xfId="48531"/>
    <cellStyle name="输入 2 6 8 5 5 2" xfId="48532"/>
    <cellStyle name="输入 2 6 8 5 6" xfId="48533"/>
    <cellStyle name="输入 2 6 8 6 2" xfId="48534"/>
    <cellStyle name="输入 2 6 8 6 3 2" xfId="48535"/>
    <cellStyle name="输入 2 6 8 6 4 2" xfId="48536"/>
    <cellStyle name="输入 2 6 8 6 5" xfId="48537"/>
    <cellStyle name="输入 2 6 8 6 5 2" xfId="48538"/>
    <cellStyle name="输入 2 6 8 6 6" xfId="48539"/>
    <cellStyle name="输入 2 6 8 7" xfId="48540"/>
    <cellStyle name="输入 2 6 8 7 2" xfId="48541"/>
    <cellStyle name="输入 2 6 8 7 2 2" xfId="48542"/>
    <cellStyle name="输入 2 6 8 7 3 2" xfId="48543"/>
    <cellStyle name="输入 2 6 8 7 4 2" xfId="48544"/>
    <cellStyle name="输入 2 6 8 7 5" xfId="48545"/>
    <cellStyle name="输入 2 6 8 7 6" xfId="48546"/>
    <cellStyle name="输入 2 6 8 8" xfId="48547"/>
    <cellStyle name="输入 2 6 8 8 2" xfId="48548"/>
    <cellStyle name="输入 2 6 8 8 2 2" xfId="48549"/>
    <cellStyle name="输入 2 6 8 8 3 2" xfId="48550"/>
    <cellStyle name="输入 2 6 8 8 4 2" xfId="48551"/>
    <cellStyle name="输入 2 6 8 8 5" xfId="48552"/>
    <cellStyle name="输入 2 7 7 10" xfId="48553"/>
    <cellStyle name="输入 2 6 9" xfId="48554"/>
    <cellStyle name="输入 2 6 9 16" xfId="48555"/>
    <cellStyle name="输入 2 6 9 4 5 2" xfId="48556"/>
    <cellStyle name="注释 2 11 13 6" xfId="48557"/>
    <cellStyle name="输入 2 6 9 5 4" xfId="48558"/>
    <cellStyle name="注释 2 4 8 7 5 2" xfId="48559"/>
    <cellStyle name="输入 2 6 9 5 5" xfId="48560"/>
    <cellStyle name="输入 2 6 9 5 6" xfId="48561"/>
    <cellStyle name="输入 2 6 9 6 2" xfId="48562"/>
    <cellStyle name="输入 2 6 9 6 4" xfId="48563"/>
    <cellStyle name="输入 2 6 9 6 5" xfId="48564"/>
    <cellStyle name="输入 2 6 9 6 6" xfId="48565"/>
    <cellStyle name="输入 2 6 9 7" xfId="48566"/>
    <cellStyle name="输入 2 6 9 7 2" xfId="48567"/>
    <cellStyle name="输入 2 6 9 7 2 2" xfId="48568"/>
    <cellStyle name="输入 2 6 9 7 3 2" xfId="48569"/>
    <cellStyle name="输入 2 6 9 7 4" xfId="48570"/>
    <cellStyle name="输入 2 6 9 7 4 2" xfId="48571"/>
    <cellStyle name="输入 2 6 9 7 5" xfId="48572"/>
    <cellStyle name="输入 2 6 9 7 6" xfId="48573"/>
    <cellStyle name="输入 2 6 9 8" xfId="48574"/>
    <cellStyle name="输入 2 6 9 8 2" xfId="48575"/>
    <cellStyle name="输入 2 6 9 8 2 2" xfId="48576"/>
    <cellStyle name="输入 2 6 9 8 3" xfId="48577"/>
    <cellStyle name="输入 2 6 9 8 3 2" xfId="48578"/>
    <cellStyle name="输入 2 6 9 8 4" xfId="48579"/>
    <cellStyle name="输入 2 6 9 8 4 2" xfId="48580"/>
    <cellStyle name="输入 2 6 9 8 5" xfId="48581"/>
    <cellStyle name="输入 2 6 9 9" xfId="48582"/>
    <cellStyle name="注释 2 6 4 4 2 2" xfId="48583"/>
    <cellStyle name="输入 2 7 10" xfId="48584"/>
    <cellStyle name="注释 2 2 10 12" xfId="48585"/>
    <cellStyle name="输入 2 7 10 10" xfId="48586"/>
    <cellStyle name="输入 2 7 10 10 2" xfId="48587"/>
    <cellStyle name="输入 2 7 10 11" xfId="48588"/>
    <cellStyle name="输入 2 7 10 12" xfId="48589"/>
    <cellStyle name="输入 2 7 10 12 2" xfId="48590"/>
    <cellStyle name="输入 2 7 10 13" xfId="48591"/>
    <cellStyle name="输入 2 7 10 15" xfId="48592"/>
    <cellStyle name="输入 2 7 10 16" xfId="48593"/>
    <cellStyle name="输入 2 7 10 5 2" xfId="48594"/>
    <cellStyle name="输入 2 7 10 5 3" xfId="48595"/>
    <cellStyle name="输入 2 7 10 6" xfId="48596"/>
    <cellStyle name="输入 2 7 10 6 2" xfId="48597"/>
    <cellStyle name="输入 2 7 10 6 3" xfId="48598"/>
    <cellStyle name="输入 2 7 10 6 6" xfId="48599"/>
    <cellStyle name="输入 2 7 10 7" xfId="48600"/>
    <cellStyle name="输入 2 7 10 7 6" xfId="48601"/>
    <cellStyle name="输入 2 7 10 8" xfId="48602"/>
    <cellStyle name="输入 2 7 10 8 2" xfId="48603"/>
    <cellStyle name="输入 2 7 10 8 3" xfId="48604"/>
    <cellStyle name="输入 2 7 10 8 5" xfId="48605"/>
    <cellStyle name="输入 2 7 10 9" xfId="48606"/>
    <cellStyle name="输入 2 7 10 9 2" xfId="48607"/>
    <cellStyle name="输入 2 7 11 10 2" xfId="48608"/>
    <cellStyle name="输入 2 7 11 12 2" xfId="48609"/>
    <cellStyle name="输入 2 7 11 4 3" xfId="48610"/>
    <cellStyle name="输入 2 7 11 5 2" xfId="48611"/>
    <cellStyle name="输入 2 7 11 5 3" xfId="48612"/>
    <cellStyle name="输入 2 7 11 6" xfId="48613"/>
    <cellStyle name="输入 2 7 11 6 2" xfId="48614"/>
    <cellStyle name="输入 2 7 11 6 3" xfId="48615"/>
    <cellStyle name="输入 2 7 11 6 5" xfId="48616"/>
    <cellStyle name="输入 2 7 11 6 6" xfId="48617"/>
    <cellStyle name="输入 2 7 11 7" xfId="48618"/>
    <cellStyle name="输入 2 7 11 7 6" xfId="48619"/>
    <cellStyle name="输入 2 7 11 8" xfId="48620"/>
    <cellStyle name="输入 2 7 11 8 3" xfId="48621"/>
    <cellStyle name="输入 2 7 11 8 5" xfId="48622"/>
    <cellStyle name="输入 2 7 11 9" xfId="48623"/>
    <cellStyle name="输入 2 9 3 2 2 2" xfId="48624"/>
    <cellStyle name="输入 2 7 12" xfId="48625"/>
    <cellStyle name="注释 2 2 10 14" xfId="48626"/>
    <cellStyle name="输入 2 7 12 5 2" xfId="48627"/>
    <cellStyle name="输入 2 7 12 7" xfId="48628"/>
    <cellStyle name="输入 2 7 12 8" xfId="48629"/>
    <cellStyle name="输入 2 7 12 9" xfId="48630"/>
    <cellStyle name="输入 2 9 3 2 3 2" xfId="48631"/>
    <cellStyle name="输入 2 7 13" xfId="48632"/>
    <cellStyle name="注释 2 2 10 15" xfId="48633"/>
    <cellStyle name="输入 2 7 14" xfId="48634"/>
    <cellStyle name="注释 2 2 10 16" xfId="48635"/>
    <cellStyle name="输入 2 7 2" xfId="48636"/>
    <cellStyle name="输入 2 7 2 10 2" xfId="48637"/>
    <cellStyle name="输入 2 7 2 11" xfId="48638"/>
    <cellStyle name="输入 2 7 2 11 2" xfId="48639"/>
    <cellStyle name="输入 2 7 2 12" xfId="48640"/>
    <cellStyle name="输入 2 7 2 12 2" xfId="48641"/>
    <cellStyle name="输入 2 7 2 13" xfId="48642"/>
    <cellStyle name="输入 2 7 2 14" xfId="48643"/>
    <cellStyle name="输入 2 7 2 16" xfId="48644"/>
    <cellStyle name="输入 2 7 2 2 2" xfId="48645"/>
    <cellStyle name="输入 2 7 2 2 2 2" xfId="48646"/>
    <cellStyle name="输入 2 7 2 2 3" xfId="48647"/>
    <cellStyle name="输入 2 7 2 2 3 2" xfId="48648"/>
    <cellStyle name="输入 2 7 2 2 4 2" xfId="48649"/>
    <cellStyle name="输入 2 7 2 3 2 2" xfId="48650"/>
    <cellStyle name="输入 2 7 2 3 3" xfId="48651"/>
    <cellStyle name="输入 2 7 2 3 3 2" xfId="48652"/>
    <cellStyle name="输入 2 7 2 3 4" xfId="48653"/>
    <cellStyle name="输入 2 7 2 3 4 2" xfId="48654"/>
    <cellStyle name="输入 2 7 2 4 2 2" xfId="48655"/>
    <cellStyle name="输入 2 7 2 4 3" xfId="48656"/>
    <cellStyle name="输入 2 7 2 4 3 2" xfId="48657"/>
    <cellStyle name="输入 2 7 2 4 4" xfId="48658"/>
    <cellStyle name="输入 2 7 2 4 4 2" xfId="48659"/>
    <cellStyle name="输入 2 7 2 5 2 2" xfId="48660"/>
    <cellStyle name="输入 2 7 2 5 3" xfId="48661"/>
    <cellStyle name="输入 2 7 2 5 3 2" xfId="48662"/>
    <cellStyle name="输入 2 7 2 5 4" xfId="48663"/>
    <cellStyle name="输入 2 7 2 5 4 2" xfId="48664"/>
    <cellStyle name="输入 2 7 3" xfId="48665"/>
    <cellStyle name="输入 2 7 3 10" xfId="48666"/>
    <cellStyle name="输入 2 7 3 10 2" xfId="48667"/>
    <cellStyle name="输入 2 7 3 11" xfId="48668"/>
    <cellStyle name="输入 2 7 3 11 2" xfId="48669"/>
    <cellStyle name="输入 2 7 3 12" xfId="48670"/>
    <cellStyle name="输入 2 7 3 12 2" xfId="48671"/>
    <cellStyle name="输入 2 7 3 13" xfId="48672"/>
    <cellStyle name="输入 2 7 3 15" xfId="48673"/>
    <cellStyle name="输入 2 7 3 16" xfId="48674"/>
    <cellStyle name="输入 2 7 3 2" xfId="48675"/>
    <cellStyle name="输入 2 7 3 2 2" xfId="48676"/>
    <cellStyle name="输入 2 7 3 2 3" xfId="48677"/>
    <cellStyle name="输入 2 7 3 2 4" xfId="48678"/>
    <cellStyle name="输入 2 9 11 12 2" xfId="48679"/>
    <cellStyle name="输入 2 7 3 3" xfId="48680"/>
    <cellStyle name="输入 2 7 3 3 2" xfId="48681"/>
    <cellStyle name="输入 2 7 3 3 3" xfId="48682"/>
    <cellStyle name="输入 2 7 3 3 4" xfId="48683"/>
    <cellStyle name="输入 2 7 3 4" xfId="48684"/>
    <cellStyle name="输入 2 7 3 4 2" xfId="48685"/>
    <cellStyle name="输入 2 7 3 4 2 2" xfId="48686"/>
    <cellStyle name="输入 2 7 3 4 3" xfId="48687"/>
    <cellStyle name="输入 2 7 3 4 3 2" xfId="48688"/>
    <cellStyle name="输入 2 7 3 4 4" xfId="48689"/>
    <cellStyle name="输入 2 7 3 4 4 2" xfId="48690"/>
    <cellStyle name="输入 2 7 3 5" xfId="48691"/>
    <cellStyle name="输入 2 7 3 5 2" xfId="48692"/>
    <cellStyle name="输入 2 7 3 5 3" xfId="48693"/>
    <cellStyle name="输入 2 7 3 5 4" xfId="48694"/>
    <cellStyle name="输入 2 7 4 15" xfId="48695"/>
    <cellStyle name="输入 2 7 4 16" xfId="48696"/>
    <cellStyle name="输入 2 7 4 2" xfId="48697"/>
    <cellStyle name="输入 2 7 4 2 2" xfId="48698"/>
    <cellStyle name="输入 2 7 4 2 3" xfId="48699"/>
    <cellStyle name="输入 2 7 4 2 3 2" xfId="48700"/>
    <cellStyle name="输入 2 7 4 2 4" xfId="48701"/>
    <cellStyle name="注释 2 4 9 2 2 2" xfId="48702"/>
    <cellStyle name="输入 2 7 4 2 4 2" xfId="48703"/>
    <cellStyle name="输入 2 7 4 3" xfId="48704"/>
    <cellStyle name="输入 2 7 4 3 2" xfId="48705"/>
    <cellStyle name="输入 2 7 4 3 2 2" xfId="48706"/>
    <cellStyle name="输入 2 7 4 3 3" xfId="48707"/>
    <cellStyle name="输入 2 7 4 3 3 2" xfId="48708"/>
    <cellStyle name="输入 2 7 4 3 4" xfId="48709"/>
    <cellStyle name="注释 2 4 9 2 3 2" xfId="48710"/>
    <cellStyle name="输入 2 7 4 3 4 2" xfId="48711"/>
    <cellStyle name="输入 2 7 4 4" xfId="48712"/>
    <cellStyle name="输入 2 7 4 4 2" xfId="48713"/>
    <cellStyle name="输入 2 7 4 4 2 2" xfId="48714"/>
    <cellStyle name="输入 2 7 4 4 3" xfId="48715"/>
    <cellStyle name="输入 2 7 4 4 3 2" xfId="48716"/>
    <cellStyle name="输入 2 7 4 4 4" xfId="48717"/>
    <cellStyle name="注释 2 4 9 2 4 2" xfId="48718"/>
    <cellStyle name="输入 2 7 4 4 4 2" xfId="48719"/>
    <cellStyle name="输入 2 7 4 5" xfId="48720"/>
    <cellStyle name="输入 2 7 4 5 2" xfId="48721"/>
    <cellStyle name="输入 2 7 4 5 2 2" xfId="48722"/>
    <cellStyle name="输入 2 7 4 5 3" xfId="48723"/>
    <cellStyle name="输入 2 7 4 5 3 2" xfId="48724"/>
    <cellStyle name="输入 2 7 4 5 4" xfId="48725"/>
    <cellStyle name="注释 2 4 9 2 5 2" xfId="48726"/>
    <cellStyle name="输入 2 7 4 7 2 2" xfId="48727"/>
    <cellStyle name="输入 2 7 4 7 3 2" xfId="48728"/>
    <cellStyle name="输入 2 7 4 7 4 2" xfId="48729"/>
    <cellStyle name="输入 2 7 4 7 5 2" xfId="48730"/>
    <cellStyle name="输入 2 7 4 8 2 2" xfId="48731"/>
    <cellStyle name="输入 2 7 4 8 3 2" xfId="48732"/>
    <cellStyle name="输入 2 7 4 8 4 2" xfId="48733"/>
    <cellStyle name="输入 2 7 4 9 2" xfId="48734"/>
    <cellStyle name="输入 2 7 5" xfId="48735"/>
    <cellStyle name="输入 2 7 5 16" xfId="48736"/>
    <cellStyle name="输入 2 7 5 2 2 2" xfId="48737"/>
    <cellStyle name="输入 2 7 5 2 3" xfId="48738"/>
    <cellStyle name="输入 2 7 5 2 3 2" xfId="48739"/>
    <cellStyle name="输入 2 7 5 2 4" xfId="48740"/>
    <cellStyle name="注释 2 4 9 3 2 2" xfId="48741"/>
    <cellStyle name="输入 2 7 5 2 4 2" xfId="48742"/>
    <cellStyle name="输入 2 7 5 2 5" xfId="48743"/>
    <cellStyle name="注释 2 11 3 8 2 2" xfId="48744"/>
    <cellStyle name="输入 2 7 5 2 5 2" xfId="48745"/>
    <cellStyle name="输入 2 7 5 3 2" xfId="48746"/>
    <cellStyle name="输入 2 7 5 3 2 2" xfId="48747"/>
    <cellStyle name="输入 2 7 5 3 3" xfId="48748"/>
    <cellStyle name="输入 2 7 5 3 3 2" xfId="48749"/>
    <cellStyle name="输入 2 7 5 3 4" xfId="48750"/>
    <cellStyle name="注释 2 4 9 3 3 2" xfId="48751"/>
    <cellStyle name="输入 2 7 5 3 4 2" xfId="48752"/>
    <cellStyle name="输入 2 7 5 3 5" xfId="48753"/>
    <cellStyle name="注释 2 11 3 8 3 2" xfId="48754"/>
    <cellStyle name="输入 2 7 5 3 5 2" xfId="48755"/>
    <cellStyle name="输入 2 7 5 4 2" xfId="48756"/>
    <cellStyle name="输入 2 7 5 4 2 2" xfId="48757"/>
    <cellStyle name="输入 2 7 5 4 3 2" xfId="48758"/>
    <cellStyle name="输入 2 7 5 4 4" xfId="48759"/>
    <cellStyle name="注释 2 4 9 3 4 2" xfId="48760"/>
    <cellStyle name="输入 2 7 5 4 4 2" xfId="48761"/>
    <cellStyle name="输入 2 7 5 4 5" xfId="48762"/>
    <cellStyle name="注释 2 11 3 8 4 2" xfId="48763"/>
    <cellStyle name="输入 2 7 5 4 5 2" xfId="48764"/>
    <cellStyle name="注释 2 12 19" xfId="48765"/>
    <cellStyle name="注释 2 12 24" xfId="48766"/>
    <cellStyle name="输入 2 7 5 5 2" xfId="48767"/>
    <cellStyle name="输入 2 7 5 5 2 2" xfId="48768"/>
    <cellStyle name="输入 2 7 5 5 3 2" xfId="48769"/>
    <cellStyle name="输入 2 7 5 5 4" xfId="48770"/>
    <cellStyle name="注释 2 4 9 3 5 2" xfId="48771"/>
    <cellStyle name="输入 2 7 5 5 4 2" xfId="48772"/>
    <cellStyle name="输入 2 7 5 5 5" xfId="48773"/>
    <cellStyle name="输入 2 7 5 5 5 2" xfId="48774"/>
    <cellStyle name="输入 2 7 5 5 6" xfId="48775"/>
    <cellStyle name="输入 2 7 5 6 2" xfId="48776"/>
    <cellStyle name="输入 2 7 5 6 5" xfId="48777"/>
    <cellStyle name="输入 2 7 5 6 6" xfId="48778"/>
    <cellStyle name="输入 2 7 5 7" xfId="48779"/>
    <cellStyle name="注释 2 3 10 12 2" xfId="48780"/>
    <cellStyle name="输入 2 7 5 7 2" xfId="48781"/>
    <cellStyle name="输入 2 7 5 7 2 2" xfId="48782"/>
    <cellStyle name="输入 2 7 5 7 3 2" xfId="48783"/>
    <cellStyle name="输入 2 7 5 7 4 2" xfId="48784"/>
    <cellStyle name="输入 2 7 5 7 5" xfId="48785"/>
    <cellStyle name="输入 2 7 5 7 5 2" xfId="48786"/>
    <cellStyle name="输入 2 7 5 7 6" xfId="48787"/>
    <cellStyle name="输入 2 7 5 8" xfId="48788"/>
    <cellStyle name="输入 2 7 5 8 2" xfId="48789"/>
    <cellStyle name="输入 2 7 5 8 2 2" xfId="48790"/>
    <cellStyle name="输入 2 7 5 8 3 2" xfId="48791"/>
    <cellStyle name="输入 2 7 5 8 4 2" xfId="48792"/>
    <cellStyle name="输入 2 7 5 8 5" xfId="48793"/>
    <cellStyle name="输入 2 7 5 9 2" xfId="48794"/>
    <cellStyle name="输入 2 7 6" xfId="48795"/>
    <cellStyle name="输入 2 7 6 16" xfId="48796"/>
    <cellStyle name="输入 2 7 6 2" xfId="48797"/>
    <cellStyle name="输入 2 7 6 2 2" xfId="48798"/>
    <cellStyle name="输入 2 7 6 2 3" xfId="48799"/>
    <cellStyle name="输入 2 7 6 2 4" xfId="48800"/>
    <cellStyle name="注释 2 4 9 4 2 2" xfId="48801"/>
    <cellStyle name="输入 2 7 6 3" xfId="48802"/>
    <cellStyle name="输入 2 7 6 3 2" xfId="48803"/>
    <cellStyle name="输入 2 7 6 3 3" xfId="48804"/>
    <cellStyle name="输入 2 7 6 3 4" xfId="48805"/>
    <cellStyle name="注释 2 4 9 4 3 2" xfId="48806"/>
    <cellStyle name="输入 2 7 6 4" xfId="48807"/>
    <cellStyle name="输入 2 7 6 4 2" xfId="48808"/>
    <cellStyle name="输入 2 7 6 4 4" xfId="48809"/>
    <cellStyle name="注释 2 4 9 4 4 2" xfId="48810"/>
    <cellStyle name="输入 2 7 6 5" xfId="48811"/>
    <cellStyle name="输入 2 7 6 5 2" xfId="48812"/>
    <cellStyle name="输入 2 7 6 5 4" xfId="48813"/>
    <cellStyle name="注释 2 4 9 4 5 2" xfId="48814"/>
    <cellStyle name="输入 2 7 6 5 5" xfId="48815"/>
    <cellStyle name="输入 2 7 6 5 6" xfId="48816"/>
    <cellStyle name="输入 2 7 6 6 5" xfId="48817"/>
    <cellStyle name="输入 2 7 6 6 6" xfId="48818"/>
    <cellStyle name="输入 2 7 6 7 5" xfId="48819"/>
    <cellStyle name="输入 2 7 6 7 6" xfId="48820"/>
    <cellStyle name="输入 2 7 6 8 5" xfId="48821"/>
    <cellStyle name="输入 2 7 6 9 2" xfId="48822"/>
    <cellStyle name="输入 2 7 7" xfId="48823"/>
    <cellStyle name="输入 2 7 7 10 2" xfId="48824"/>
    <cellStyle name="输入 2 7 7 11" xfId="48825"/>
    <cellStyle name="输入 2 7 7 11 2" xfId="48826"/>
    <cellStyle name="输入 2 7 7 12" xfId="48827"/>
    <cellStyle name="输入 2 7 7 12 2" xfId="48828"/>
    <cellStyle name="输入 2 7 7 13" xfId="48829"/>
    <cellStyle name="输入 2 7 7 14" xfId="48830"/>
    <cellStyle name="输入 2 7 7 16" xfId="48831"/>
    <cellStyle name="输入 2 7 7 2" xfId="48832"/>
    <cellStyle name="输入 2 7 7 2 2" xfId="48833"/>
    <cellStyle name="输入 2 7 7 2 3" xfId="48834"/>
    <cellStyle name="输入 2 7 7 2 4" xfId="48835"/>
    <cellStyle name="注释 2 4 9 5 2 2" xfId="48836"/>
    <cellStyle name="输入 2 7 7 3 3" xfId="48837"/>
    <cellStyle name="输入 2 7 7 3 4" xfId="48838"/>
    <cellStyle name="注释 2 4 9 5 3 2" xfId="48839"/>
    <cellStyle name="输入 2 7 7 4 4" xfId="48840"/>
    <cellStyle name="注释 2 4 9 5 4 2" xfId="48841"/>
    <cellStyle name="输入 2 7 7 5 4" xfId="48842"/>
    <cellStyle name="注释 2 4 9 5 5 2" xfId="48843"/>
    <cellStyle name="输入 2 7 7 5 5" xfId="48844"/>
    <cellStyle name="输入 2 7 7 5 6" xfId="48845"/>
    <cellStyle name="输入 2 7 7 6 2" xfId="48846"/>
    <cellStyle name="输入 2 7 7 6 5" xfId="48847"/>
    <cellStyle name="输入 2 7 7 6 6" xfId="48848"/>
    <cellStyle name="输入 2 7 7 7 2" xfId="48849"/>
    <cellStyle name="输入 2 7 7 7 5" xfId="48850"/>
    <cellStyle name="输入 2 7 7 7 6" xfId="48851"/>
    <cellStyle name="输入 2 7 7 8 2" xfId="48852"/>
    <cellStyle name="输入 2 7 7 8 5" xfId="48853"/>
    <cellStyle name="输入 2 7 7 9 2" xfId="48854"/>
    <cellStyle name="输入 2 7 8 10" xfId="48855"/>
    <cellStyle name="输入 2 7 8 10 2" xfId="48856"/>
    <cellStyle name="输入 2 7 8 11" xfId="48857"/>
    <cellStyle name="输入 2 7 8 11 2" xfId="48858"/>
    <cellStyle name="输入 2 7 8 12 2" xfId="48859"/>
    <cellStyle name="输入 2 7 8 13" xfId="48860"/>
    <cellStyle name="输入 2 7 8 15" xfId="48861"/>
    <cellStyle name="输入 2 7 8 16" xfId="48862"/>
    <cellStyle name="输入 2 7 8 2" xfId="48863"/>
    <cellStyle name="输入 2 7 8 2 2" xfId="48864"/>
    <cellStyle name="输入 2 7 8 2 3" xfId="48865"/>
    <cellStyle name="输入 2 7 8 2 4" xfId="48866"/>
    <cellStyle name="注释 2 4 9 6 2 2" xfId="48867"/>
    <cellStyle name="输入 2 7 8 3" xfId="48868"/>
    <cellStyle name="输入 2 7 8 3 2" xfId="48869"/>
    <cellStyle name="输入 2 7 8 3 3" xfId="48870"/>
    <cellStyle name="输入 2 7 8 3 4" xfId="48871"/>
    <cellStyle name="注释 2 4 9 6 3 2" xfId="48872"/>
    <cellStyle name="输入 2 7 8 4 2" xfId="48873"/>
    <cellStyle name="输入 2 7 8 4 4" xfId="48874"/>
    <cellStyle name="注释 2 4 9 6 4 2" xfId="48875"/>
    <cellStyle name="输入 2 7 8 5" xfId="48876"/>
    <cellStyle name="输入 2 7 8 5 2" xfId="48877"/>
    <cellStyle name="输入 2 7 8 5 4" xfId="48878"/>
    <cellStyle name="注释 2 4 9 6 5 2" xfId="48879"/>
    <cellStyle name="输入 2 7 8 5 5" xfId="48880"/>
    <cellStyle name="输入 2 7 8 5 6" xfId="48881"/>
    <cellStyle name="输入 2 7 8 6 2" xfId="48882"/>
    <cellStyle name="输入 2 7 8 6 5" xfId="48883"/>
    <cellStyle name="输入 2 7 8 6 6" xfId="48884"/>
    <cellStyle name="输入 2 7 8 7" xfId="48885"/>
    <cellStyle name="输入 2 7 8 7 2" xfId="48886"/>
    <cellStyle name="输入 2 7 8 7 5" xfId="48887"/>
    <cellStyle name="输入 2 7 8 7 6" xfId="48888"/>
    <cellStyle name="输入 2 7 8 8" xfId="48889"/>
    <cellStyle name="输入 2 7 8 8 2" xfId="48890"/>
    <cellStyle name="输入 2 7 8 8 5" xfId="48891"/>
    <cellStyle name="输入 2 7 8 9" xfId="48892"/>
    <cellStyle name="输入 2 7 8 9 2" xfId="48893"/>
    <cellStyle name="输入 2 7 9" xfId="48894"/>
    <cellStyle name="输入 2 7 9 15" xfId="48895"/>
    <cellStyle name="输入 2 7 9 2" xfId="48896"/>
    <cellStyle name="输入 2 7 9 2 2" xfId="48897"/>
    <cellStyle name="输入 2 7 9 2 3" xfId="48898"/>
    <cellStyle name="输入 2 7 9 2 4" xfId="48899"/>
    <cellStyle name="注释 2 4 9 7 2 2" xfId="48900"/>
    <cellStyle name="输入 2 7 9 3" xfId="48901"/>
    <cellStyle name="输入 2 7 9 3 2" xfId="48902"/>
    <cellStyle name="输入 2 7 9 3 3" xfId="48903"/>
    <cellStyle name="输入 2 7 9 3 4" xfId="48904"/>
    <cellStyle name="注释 2 4 9 7 3 2" xfId="48905"/>
    <cellStyle name="输入 2 7 9 4 2" xfId="48906"/>
    <cellStyle name="输入 2 7 9 4 4" xfId="48907"/>
    <cellStyle name="注释 2 4 9 7 4 2" xfId="48908"/>
    <cellStyle name="输入 2 7 9 4 5" xfId="48909"/>
    <cellStyle name="输入 2 7 9 5" xfId="48910"/>
    <cellStyle name="输入 2 7 9 5 2" xfId="48911"/>
    <cellStyle name="输入 2 7 9 5 4" xfId="48912"/>
    <cellStyle name="注释 2 4 9 7 5 2" xfId="48913"/>
    <cellStyle name="输入 2 7 9 5 5" xfId="48914"/>
    <cellStyle name="输入 2 7 9 6 4" xfId="48915"/>
    <cellStyle name="输入 2 7 9 6 5" xfId="48916"/>
    <cellStyle name="输入 2 7 9 7 4" xfId="48917"/>
    <cellStyle name="输入 2 7 9 7 5" xfId="48918"/>
    <cellStyle name="输入 2 7 9 8 3" xfId="48919"/>
    <cellStyle name="输入 2 7 9 8 4" xfId="48920"/>
    <cellStyle name="输入 2 7 9 8 5" xfId="48921"/>
    <cellStyle name="输入 2 8" xfId="48922"/>
    <cellStyle name="输入 2 8 10" xfId="48923"/>
    <cellStyle name="注释 2 2 11 12" xfId="48924"/>
    <cellStyle name="输入 2 8 10 11 2" xfId="48925"/>
    <cellStyle name="输入 2 8 10 12" xfId="48926"/>
    <cellStyle name="注释 2 11 12 3 2" xfId="48927"/>
    <cellStyle name="输入 2 8 10 12 2" xfId="48928"/>
    <cellStyle name="输入 2 8 10 13" xfId="48929"/>
    <cellStyle name="输入 2 8 10 15" xfId="48930"/>
    <cellStyle name="输入 2 8 10 16" xfId="48931"/>
    <cellStyle name="输入 2 8 10 2 2" xfId="48932"/>
    <cellStyle name="注释 2 11 4 2 5 2" xfId="48933"/>
    <cellStyle name="注释 2 7 9 5 6" xfId="48934"/>
    <cellStyle name="输入 2 8 10 3" xfId="48935"/>
    <cellStyle name="注释 2 11 4 2 6" xfId="48936"/>
    <cellStyle name="输入 2 8 10 3 2" xfId="48937"/>
    <cellStyle name="注释 2 7 9 6 6" xfId="48938"/>
    <cellStyle name="输入 2 8 10 4" xfId="48939"/>
    <cellStyle name="注释 2 11 4 2 7" xfId="48940"/>
    <cellStyle name="输入 2 8 10 4 2" xfId="48941"/>
    <cellStyle name="注释 2 7 9 7 6" xfId="48942"/>
    <cellStyle name="输入 2 8 10 5 2" xfId="48943"/>
    <cellStyle name="输入 2 8 10 5 3" xfId="48944"/>
    <cellStyle name="输入 2 8 10 6 3" xfId="48945"/>
    <cellStyle name="输入 2 8 10 6 5" xfId="48946"/>
    <cellStyle name="输入 2 8 10 6 5 2" xfId="48947"/>
    <cellStyle name="输入 2 8 10 6 6" xfId="48948"/>
    <cellStyle name="输入 2 8 10 7 3" xfId="48949"/>
    <cellStyle name="输入 2 8 10 7 5" xfId="48950"/>
    <cellStyle name="输入 2 8 10 7 6" xfId="48951"/>
    <cellStyle name="输入 2 8 10 8 3" xfId="48952"/>
    <cellStyle name="输入 2 8 10 8 5" xfId="48953"/>
    <cellStyle name="输入 2 8 11 10" xfId="48954"/>
    <cellStyle name="输入 2 8 11 10 2" xfId="48955"/>
    <cellStyle name="输入 2 8 11 11" xfId="48956"/>
    <cellStyle name="输入 2 8 11 11 2" xfId="48957"/>
    <cellStyle name="输入 2 8 11 12" xfId="48958"/>
    <cellStyle name="输入 2 8 11 12 2" xfId="48959"/>
    <cellStyle name="输入 2 8 11 13" xfId="48960"/>
    <cellStyle name="注释 2 7 11 3 2 2" xfId="48961"/>
    <cellStyle name="输入 2 8 11 15" xfId="48962"/>
    <cellStyle name="输入 2 8 11 2" xfId="48963"/>
    <cellStyle name="注释 2 11 4 3 5" xfId="48964"/>
    <cellStyle name="输入 2 8 11 2 2" xfId="48965"/>
    <cellStyle name="注释 2 11 4 3 5 2" xfId="48966"/>
    <cellStyle name="输入 2 8 11 2 3" xfId="48967"/>
    <cellStyle name="输入 2 8 11 3" xfId="48968"/>
    <cellStyle name="注释 2 11 4 3 6" xfId="48969"/>
    <cellStyle name="输入 2 8 11 3 2" xfId="48970"/>
    <cellStyle name="输入 2 8 11 3 3" xfId="48971"/>
    <cellStyle name="输入 2 8 11 4" xfId="48972"/>
    <cellStyle name="输入 2 8 11 4 2" xfId="48973"/>
    <cellStyle name="输入 2 8 11 4 3" xfId="48974"/>
    <cellStyle name="输入 2 8 11 5 2" xfId="48975"/>
    <cellStyle name="输入 2 8 11 5 3" xfId="48976"/>
    <cellStyle name="输入 2 8 11 6 3" xfId="48977"/>
    <cellStyle name="输入 2 8 11 6 5" xfId="48978"/>
    <cellStyle name="输入 2 8 11 6 5 2" xfId="48979"/>
    <cellStyle name="输入 2 8 11 6 6" xfId="48980"/>
    <cellStyle name="输入 2 8 11 7 2 2" xfId="48981"/>
    <cellStyle name="输入 2 8 11 7 3 2" xfId="48982"/>
    <cellStyle name="输入 2 8 11 7 4 2" xfId="48983"/>
    <cellStyle name="输入 2 8 11 7 5 2" xfId="48984"/>
    <cellStyle name="输入 2 8 11 7 6" xfId="48985"/>
    <cellStyle name="输入 2 8 11 8 2 2" xfId="48986"/>
    <cellStyle name="输入 2 8 11 8 3" xfId="48987"/>
    <cellStyle name="输入 2 8 11 8 3 2" xfId="48988"/>
    <cellStyle name="输入 2 8 11 8 4 2" xfId="48989"/>
    <cellStyle name="输入 2 8 11 8 5" xfId="48990"/>
    <cellStyle name="输入 2 8 12" xfId="48991"/>
    <cellStyle name="注释 2 2 11 14" xfId="48992"/>
    <cellStyle name="输入 2 8 12 2" xfId="48993"/>
    <cellStyle name="注释 2 11 4 4 5" xfId="48994"/>
    <cellStyle name="输入 2 8 12 2 2" xfId="48995"/>
    <cellStyle name="注释 2 11 4 4 5 2" xfId="48996"/>
    <cellStyle name="输入 2 8 12 3" xfId="48997"/>
    <cellStyle name="注释 2 11 4 4 6" xfId="48998"/>
    <cellStyle name="输入 2 8 12 3 2" xfId="48999"/>
    <cellStyle name="输入 2 8 12 4" xfId="49000"/>
    <cellStyle name="输入 2 8 12 4 2" xfId="49001"/>
    <cellStyle name="输入 2 8 12 5" xfId="49002"/>
    <cellStyle name="输入 2 8 12 5 2" xfId="49003"/>
    <cellStyle name="输入 2 8 13" xfId="49004"/>
    <cellStyle name="注释 2 2 11 15" xfId="49005"/>
    <cellStyle name="输入 2 8 13 2" xfId="49006"/>
    <cellStyle name="注释 2 11 4 5 5" xfId="49007"/>
    <cellStyle name="输入 2 8 13 2 2" xfId="49008"/>
    <cellStyle name="输入 2 8 2 5 5" xfId="49009"/>
    <cellStyle name="注释 2 11 4 5 5 2" xfId="49010"/>
    <cellStyle name="输入 2 8 13 3" xfId="49011"/>
    <cellStyle name="注释 2 11 4 5 6" xfId="49012"/>
    <cellStyle name="输入 2 8 13 3 2" xfId="49013"/>
    <cellStyle name="输入 2 8 2 6 5" xfId="49014"/>
    <cellStyle name="输入 2 8 13 4" xfId="49015"/>
    <cellStyle name="输入 2 8 13 4 2" xfId="49016"/>
    <cellStyle name="输入 2 8 2 7 5" xfId="49017"/>
    <cellStyle name="输入 2 8 13 5" xfId="49018"/>
    <cellStyle name="输入 2 8 13 5 2" xfId="49019"/>
    <cellStyle name="输入 2 8 2 8 5" xfId="49020"/>
    <cellStyle name="输入 2 8 14" xfId="49021"/>
    <cellStyle name="注释 2 2 11 16" xfId="49022"/>
    <cellStyle name="输入 2 8 14 2" xfId="49023"/>
    <cellStyle name="注释 2 11 4 6 5" xfId="49024"/>
    <cellStyle name="输入 2 8 14 2 2" xfId="49025"/>
    <cellStyle name="输入 2 8 3 5 5" xfId="49026"/>
    <cellStyle name="注释 2 11 4 6 5 2" xfId="49027"/>
    <cellStyle name="输入 2 8 14 3" xfId="49028"/>
    <cellStyle name="注释 2 11 4 6 6" xfId="49029"/>
    <cellStyle name="输入 2 8 14 3 2" xfId="49030"/>
    <cellStyle name="输入 2 8 3 6 5" xfId="49031"/>
    <cellStyle name="输入 2 8 14 4" xfId="49032"/>
    <cellStyle name="输入 2 8 14 4 2" xfId="49033"/>
    <cellStyle name="输入 2 8 3 7 5" xfId="49034"/>
    <cellStyle name="输入 2 8 14 5" xfId="49035"/>
    <cellStyle name="输入 2 8 14 5 2" xfId="49036"/>
    <cellStyle name="输入 2 8 3 8 5" xfId="49037"/>
    <cellStyle name="输入 2 8 15 2 2" xfId="49038"/>
    <cellStyle name="输入 2 8 4 5 5" xfId="49039"/>
    <cellStyle name="注释 2 11 4 7 5 2" xfId="49040"/>
    <cellStyle name="输入 2 8 15 3" xfId="49041"/>
    <cellStyle name="注释 2 11 4 7 6" xfId="49042"/>
    <cellStyle name="输入 2 8 15 3 2" xfId="49043"/>
    <cellStyle name="输入 2 8 4 6 5" xfId="49044"/>
    <cellStyle name="输入 2 8 15 4" xfId="49045"/>
    <cellStyle name="输入 2 8 15 4 2" xfId="49046"/>
    <cellStyle name="输入 2 8 4 7 5" xfId="49047"/>
    <cellStyle name="输入 2 8 15 5" xfId="49048"/>
    <cellStyle name="输入 2 8 15 5 2" xfId="49049"/>
    <cellStyle name="输入 2 8 4 8 5" xfId="49050"/>
    <cellStyle name="输入 2 8 16 2 2" xfId="49051"/>
    <cellStyle name="输入 2 8 5 5 5" xfId="49052"/>
    <cellStyle name="输入 2 8 16 3" xfId="49053"/>
    <cellStyle name="输入 2 8 16 3 2" xfId="49054"/>
    <cellStyle name="输入 2 8 5 6 5" xfId="49055"/>
    <cellStyle name="输入 2 8 16 4" xfId="49056"/>
    <cellStyle name="输入 2 8 16 4 2" xfId="49057"/>
    <cellStyle name="输入 2 8 5 7 5" xfId="49058"/>
    <cellStyle name="输入 2 8 16 5" xfId="49059"/>
    <cellStyle name="输入 2 8 16 5 2" xfId="49060"/>
    <cellStyle name="输入 2 8 5 8 5" xfId="49061"/>
    <cellStyle name="输入 2 8 17 2 2" xfId="49062"/>
    <cellStyle name="输入 2 8 6 5 5" xfId="49063"/>
    <cellStyle name="输入 2 8 17 3 2" xfId="49064"/>
    <cellStyle name="输入 2 8 6 6 5" xfId="49065"/>
    <cellStyle name="输入 2 8 17 4 2" xfId="49066"/>
    <cellStyle name="输入 2 8 6 7 5" xfId="49067"/>
    <cellStyle name="输入 2 8 17 5 2" xfId="49068"/>
    <cellStyle name="输入 2 8 6 8 5" xfId="49069"/>
    <cellStyle name="输入 2 8 17 6" xfId="49070"/>
    <cellStyle name="输入 2 8 18 2 2" xfId="49071"/>
    <cellStyle name="输入 2 8 7 5 5" xfId="49072"/>
    <cellStyle name="输入 2 8 18 3" xfId="49073"/>
    <cellStyle name="输入 2 8 18 3 2" xfId="49074"/>
    <cellStyle name="输入 2 8 7 6 5" xfId="49075"/>
    <cellStyle name="输入 2 8 18 4" xfId="49076"/>
    <cellStyle name="输入 2 8 18 4 2" xfId="49077"/>
    <cellStyle name="输入 2 8 7 7 5" xfId="49078"/>
    <cellStyle name="输入 2 8 18 5" xfId="49079"/>
    <cellStyle name="输入 2 8 18 5 2" xfId="49080"/>
    <cellStyle name="输入 2 8 7 8 5" xfId="49081"/>
    <cellStyle name="输入 2 8 18 6" xfId="49082"/>
    <cellStyle name="输入 2 8 19 2 2" xfId="49083"/>
    <cellStyle name="输入 2 8 8 5 5" xfId="49084"/>
    <cellStyle name="输入 2 8 19 3" xfId="49085"/>
    <cellStyle name="输入 2 8 19 3 2" xfId="49086"/>
    <cellStyle name="输入 2 8 8 6 5" xfId="49087"/>
    <cellStyle name="输入 2 8 19 4" xfId="49088"/>
    <cellStyle name="输入 2 8 19 4 2" xfId="49089"/>
    <cellStyle name="输入 2 8 8 7 5" xfId="49090"/>
    <cellStyle name="输入 2 8 19 5" xfId="49091"/>
    <cellStyle name="输入 2 8 2" xfId="49092"/>
    <cellStyle name="输入 2 8 2 10 2" xfId="49093"/>
    <cellStyle name="输入 2 8 2 11" xfId="49094"/>
    <cellStyle name="输入 2 8 2 11 2" xfId="49095"/>
    <cellStyle name="输入 2 8 2 12" xfId="49096"/>
    <cellStyle name="输入 2 8 2 12 2" xfId="49097"/>
    <cellStyle name="注释 2 9 10 3" xfId="49098"/>
    <cellStyle name="输入 2 8 2 13" xfId="49099"/>
    <cellStyle name="输入 2 8 2 14" xfId="49100"/>
    <cellStyle name="输入 2 8 2 15" xfId="49101"/>
    <cellStyle name="输入 2 8 2 16" xfId="49102"/>
    <cellStyle name="输入 2 8 2 2" xfId="49103"/>
    <cellStyle name="输入 2 8 2 2 2" xfId="49104"/>
    <cellStyle name="输入 2 8 2 2 2 2" xfId="49105"/>
    <cellStyle name="注释 2 10 3 7 3" xfId="49106"/>
    <cellStyle name="输入 2 8 2 2 3 2" xfId="49107"/>
    <cellStyle name="注释 2 10 3 8 3" xfId="49108"/>
    <cellStyle name="输入 2 8 2 2 4" xfId="49109"/>
    <cellStyle name="输入 2 8 2 2 5" xfId="49110"/>
    <cellStyle name="注释 2 11 4 5 2 2" xfId="49111"/>
    <cellStyle name="输入 2 8 2 2 6" xfId="49112"/>
    <cellStyle name="输入 2 8 2 2 8" xfId="49113"/>
    <cellStyle name="输入 2 8 2 3 2 2" xfId="49114"/>
    <cellStyle name="注释 2 10 4 7 3" xfId="49115"/>
    <cellStyle name="输入 2 8 2 3 3 2" xfId="49116"/>
    <cellStyle name="注释 2 10 4 8 3" xfId="49117"/>
    <cellStyle name="输入 2 8 2 3 4" xfId="49118"/>
    <cellStyle name="输入 2 8 2 3 5" xfId="49119"/>
    <cellStyle name="注释 2 11 4 5 3 2" xfId="49120"/>
    <cellStyle name="输入 2 8 2 3 6" xfId="49121"/>
    <cellStyle name="输入 2 8 2 4 2 2" xfId="49122"/>
    <cellStyle name="注释 2 10 5 7 3" xfId="49123"/>
    <cellStyle name="输入 2 8 2 4 3" xfId="49124"/>
    <cellStyle name="输入 2 8 2 4 3 2" xfId="49125"/>
    <cellStyle name="注释 2 10 5 8 3" xfId="49126"/>
    <cellStyle name="输入 2 8 2 4 4" xfId="49127"/>
    <cellStyle name="输入 2 8 2 4 5" xfId="49128"/>
    <cellStyle name="注释 2 11 4 5 4 2" xfId="49129"/>
    <cellStyle name="输入 2 8 2 4 6" xfId="49130"/>
    <cellStyle name="输入 2 8 2 5 2 2" xfId="49131"/>
    <cellStyle name="注释 2 10 6 7 3" xfId="49132"/>
    <cellStyle name="输入 2 8 2 5 3" xfId="49133"/>
    <cellStyle name="输入 2 8 2 5 3 2" xfId="49134"/>
    <cellStyle name="注释 2 10 6 8 3" xfId="49135"/>
    <cellStyle name="输入 2 8 2 5 4" xfId="49136"/>
    <cellStyle name="输入 2 8 2 5 6" xfId="49137"/>
    <cellStyle name="输入 2 8 2 6 2" xfId="49138"/>
    <cellStyle name="输入 2 8 2 6 2 2" xfId="49139"/>
    <cellStyle name="注释 2 10 7 7 3" xfId="49140"/>
    <cellStyle name="输入 2 8 2 6 3 2" xfId="49141"/>
    <cellStyle name="注释 2 10 7 8 3" xfId="49142"/>
    <cellStyle name="输入 2 8 2 6 6" xfId="49143"/>
    <cellStyle name="输入 2 8 2 7 2" xfId="49144"/>
    <cellStyle name="输入 2 8 2 7 2 2" xfId="49145"/>
    <cellStyle name="注释 2 10 8 7 3" xfId="49146"/>
    <cellStyle name="输入 2 8 2 7 3 2" xfId="49147"/>
    <cellStyle name="注释 2 10 8 8 3" xfId="49148"/>
    <cellStyle name="输入 2 8 2 7 6" xfId="49149"/>
    <cellStyle name="输入 2 8 2 8 2" xfId="49150"/>
    <cellStyle name="输入 2 8 2 8 2 2" xfId="49151"/>
    <cellStyle name="注释 2 10 9 7 3" xfId="49152"/>
    <cellStyle name="输入 2 8 2 8 3 2" xfId="49153"/>
    <cellStyle name="注释 2 10 9 8 3" xfId="49154"/>
    <cellStyle name="输入 2 8 25" xfId="49155"/>
    <cellStyle name="输入 2 8 26" xfId="49156"/>
    <cellStyle name="输入 2 8 3" xfId="49157"/>
    <cellStyle name="输入 2 8 3 10" xfId="49158"/>
    <cellStyle name="输入 2 8 3 10 2" xfId="49159"/>
    <cellStyle name="输入 2 8 3 11" xfId="49160"/>
    <cellStyle name="输入 2 8 3 11 2" xfId="49161"/>
    <cellStyle name="输入 2 8 3 12 2" xfId="49162"/>
    <cellStyle name="输入 2 8 3 13" xfId="49163"/>
    <cellStyle name="输入 2 8 3 2" xfId="49164"/>
    <cellStyle name="输入 2 8 3 2 2" xfId="49165"/>
    <cellStyle name="输入 2 8 3 2 3" xfId="49166"/>
    <cellStyle name="输入 2 8 3 2 3 2" xfId="49167"/>
    <cellStyle name="注释 2 11 3 8 3" xfId="49168"/>
    <cellStyle name="输入 2 8 3 2 4" xfId="49169"/>
    <cellStyle name="输入 2 8 3 2 5" xfId="49170"/>
    <cellStyle name="注释 2 11 4 6 2 2" xfId="49171"/>
    <cellStyle name="输入 2 8 3 2 6" xfId="49172"/>
    <cellStyle name="输入 2 8 3 2 8" xfId="49173"/>
    <cellStyle name="输入 2 8 3 3" xfId="49174"/>
    <cellStyle name="输入 2 8 3 3 2" xfId="49175"/>
    <cellStyle name="输入 2 8 3 3 3" xfId="49176"/>
    <cellStyle name="输入 2 8 3 3 3 2" xfId="49177"/>
    <cellStyle name="注释 2 11 4 8 3" xfId="49178"/>
    <cellStyle name="输入 2 8 3 3 4" xfId="49179"/>
    <cellStyle name="输入 2 8 3 3 5" xfId="49180"/>
    <cellStyle name="注释 2 11 4 6 3 2" xfId="49181"/>
    <cellStyle name="输入 2 8 3 3 6" xfId="49182"/>
    <cellStyle name="输入 2 8 3 4" xfId="49183"/>
    <cellStyle name="输入 2 8 3 4 2 2" xfId="49184"/>
    <cellStyle name="注释 2 11 5 7 3" xfId="49185"/>
    <cellStyle name="输入 2 8 3 4 3" xfId="49186"/>
    <cellStyle name="输入 2 8 3 4 3 2" xfId="49187"/>
    <cellStyle name="注释 2 11 5 8 3" xfId="49188"/>
    <cellStyle name="输入 2 8 3 4 4" xfId="49189"/>
    <cellStyle name="输入 2 8 3 4 5" xfId="49190"/>
    <cellStyle name="注释 2 11 4 6 4 2" xfId="49191"/>
    <cellStyle name="输入 2 8 3 4 6" xfId="49192"/>
    <cellStyle name="输入 2 8 3 5" xfId="49193"/>
    <cellStyle name="输入 2 8 3 5 2" xfId="49194"/>
    <cellStyle name="输入 2 8 3 5 2 2" xfId="49195"/>
    <cellStyle name="注释 2 11 6 7 3" xfId="49196"/>
    <cellStyle name="输入 2 8 3 5 3" xfId="49197"/>
    <cellStyle name="输入 2 8 3 5 3 2" xfId="49198"/>
    <cellStyle name="注释 2 11 6 8 3" xfId="49199"/>
    <cellStyle name="输入 2 8 3 5 4" xfId="49200"/>
    <cellStyle name="输入 2 8 3 5 6" xfId="49201"/>
    <cellStyle name="输入 2 8 3 6" xfId="49202"/>
    <cellStyle name="输入 2 8 3 6 2" xfId="49203"/>
    <cellStyle name="输入 2 8 3 6 2 2" xfId="49204"/>
    <cellStyle name="注释 2 11 7 7 3" xfId="49205"/>
    <cellStyle name="输入 2 8 3 6 3 2" xfId="49206"/>
    <cellStyle name="注释 2 11 7 8 3" xfId="49207"/>
    <cellStyle name="输入 2 8 3 6 6" xfId="49208"/>
    <cellStyle name="输入 2 8 3 7" xfId="49209"/>
    <cellStyle name="输入 2 8 3 7 2" xfId="49210"/>
    <cellStyle name="输入 2 8 3 7 6" xfId="49211"/>
    <cellStyle name="输入 2 8 3 8" xfId="49212"/>
    <cellStyle name="输入 2 8 3 8 2" xfId="49213"/>
    <cellStyle name="输入 2 8 3 9" xfId="49214"/>
    <cellStyle name="输入 2 8 4 10 2" xfId="49215"/>
    <cellStyle name="输入 2 8 4 11 2" xfId="49216"/>
    <cellStyle name="输入 2 8 4 12" xfId="49217"/>
    <cellStyle name="输入 2 8 4 12 2" xfId="49218"/>
    <cellStyle name="输入 2 8 4 13" xfId="49219"/>
    <cellStyle name="输入 2 8 4 14" xfId="49220"/>
    <cellStyle name="输入 2 8 4 15" xfId="49221"/>
    <cellStyle name="输入 2 8 4 2" xfId="49222"/>
    <cellStyle name="输入 2 8 4 2 2" xfId="49223"/>
    <cellStyle name="输入 2 8 4 2 2 2" xfId="49224"/>
    <cellStyle name="注释 2 12 3 7 3" xfId="49225"/>
    <cellStyle name="输入 2 8 4 2 3" xfId="49226"/>
    <cellStyle name="输入 2 8 4 2 3 2" xfId="49227"/>
    <cellStyle name="注释 2 12 3 8 3" xfId="49228"/>
    <cellStyle name="输入 2 8 4 2 4" xfId="49229"/>
    <cellStyle name="输入 2 8 4 2 5" xfId="49230"/>
    <cellStyle name="注释 2 11 4 7 2 2" xfId="49231"/>
    <cellStyle name="输入 2 8 4 2 6" xfId="49232"/>
    <cellStyle name="输入 2 8 4 2 8" xfId="49233"/>
    <cellStyle name="输入 2 8 4 2 9" xfId="49234"/>
    <cellStyle name="输入 2 8 4 3" xfId="49235"/>
    <cellStyle name="输入 2 8 4 3 2" xfId="49236"/>
    <cellStyle name="输入 2 8 4 3 2 2" xfId="49237"/>
    <cellStyle name="注释 2 12 4 7 3" xfId="49238"/>
    <cellStyle name="输入 2 8 4 3 3" xfId="49239"/>
    <cellStyle name="输入 2 8 4 3 3 2" xfId="49240"/>
    <cellStyle name="注释 2 12 4 8 3" xfId="49241"/>
    <cellStyle name="输入 2 8 4 3 4" xfId="49242"/>
    <cellStyle name="输入 2 8 4 3 5" xfId="49243"/>
    <cellStyle name="注释 2 11 4 7 3 2" xfId="49244"/>
    <cellStyle name="输入 2 8 4 3 6" xfId="49245"/>
    <cellStyle name="输入 2 8 4 4" xfId="49246"/>
    <cellStyle name="输入 2 8 4 4 2" xfId="49247"/>
    <cellStyle name="输入 2 8 4 4 2 2" xfId="49248"/>
    <cellStyle name="注释 2 12 5 7 3" xfId="49249"/>
    <cellStyle name="输入 2 8 4 4 3" xfId="49250"/>
    <cellStyle name="输入 2 8 4 4 3 2" xfId="49251"/>
    <cellStyle name="注释 2 12 5 8 3" xfId="49252"/>
    <cellStyle name="输入 2 8 4 4 4" xfId="49253"/>
    <cellStyle name="输入 2 8 4 4 5" xfId="49254"/>
    <cellStyle name="注释 2 11 4 7 4 2" xfId="49255"/>
    <cellStyle name="输入 2 8 4 4 6" xfId="49256"/>
    <cellStyle name="输入 2 8 4 5" xfId="49257"/>
    <cellStyle name="输入 2 8 4 5 2" xfId="49258"/>
    <cellStyle name="输入 2 8 4 5 2 2" xfId="49259"/>
    <cellStyle name="注释 2 12 6 7 3" xfId="49260"/>
    <cellStyle name="输入 2 8 4 5 3" xfId="49261"/>
    <cellStyle name="输入 2 8 4 5 3 2" xfId="49262"/>
    <cellStyle name="注释 2 12 6 8 3" xfId="49263"/>
    <cellStyle name="输入 2 8 4 5 4" xfId="49264"/>
    <cellStyle name="输入 2 8 4 6" xfId="49265"/>
    <cellStyle name="输入 2 8 4 6 2" xfId="49266"/>
    <cellStyle name="输入 2 8 4 6 2 2" xfId="49267"/>
    <cellStyle name="注释 2 12 7 7 3" xfId="49268"/>
    <cellStyle name="输入 2 8 4 6 3 2" xfId="49269"/>
    <cellStyle name="注释 2 12 7 8 3" xfId="49270"/>
    <cellStyle name="输入 2 8 4 7" xfId="49271"/>
    <cellStyle name="输入 2 8 4 7 2" xfId="49272"/>
    <cellStyle name="输入 2 8 4 7 2 2" xfId="49273"/>
    <cellStyle name="注释 2 12 8 7 3" xfId="49274"/>
    <cellStyle name="输入 2 8 4 7 3 2" xfId="49275"/>
    <cellStyle name="注释 2 12 8 8 3" xfId="49276"/>
    <cellStyle name="输入 2 8 4 8" xfId="49277"/>
    <cellStyle name="输入 2 8 4 8 2" xfId="49278"/>
    <cellStyle name="输入 2 8 4 8 2 2" xfId="49279"/>
    <cellStyle name="注释 2 12 9 7 3" xfId="49280"/>
    <cellStyle name="输入 2 8 4 8 3 2" xfId="49281"/>
    <cellStyle name="注释 2 12 9 8 3" xfId="49282"/>
    <cellStyle name="输入 2 8 4 9" xfId="49283"/>
    <cellStyle name="输入 2 8 4 9 2" xfId="49284"/>
    <cellStyle name="输入 2 8 5" xfId="49285"/>
    <cellStyle name="输入 2 8 5 10 2" xfId="49286"/>
    <cellStyle name="输入 2 8 5 11" xfId="49287"/>
    <cellStyle name="输入 2 8 5 11 2" xfId="49288"/>
    <cellStyle name="输入 2 8 5 12" xfId="49289"/>
    <cellStyle name="输入 2 8 5 12 2" xfId="49290"/>
    <cellStyle name="输入 2 8 5 2" xfId="49291"/>
    <cellStyle name="输入 2 8 5 2 2" xfId="49292"/>
    <cellStyle name="输入 2 8 5 2 2 2" xfId="49293"/>
    <cellStyle name="输入 2 8 5 2 3" xfId="49294"/>
    <cellStyle name="输入 2 8 5 2 3 2" xfId="49295"/>
    <cellStyle name="输入 2 8 5 2 4" xfId="49296"/>
    <cellStyle name="输入 2 8 5 2 5" xfId="49297"/>
    <cellStyle name="注释 2 11 4 8 2 2" xfId="49298"/>
    <cellStyle name="输入 2 8 5 2 6" xfId="49299"/>
    <cellStyle name="输入 2 8 5 3" xfId="49300"/>
    <cellStyle name="输入 2 8 5 3 2" xfId="49301"/>
    <cellStyle name="输入 2 8 5 3 2 2" xfId="49302"/>
    <cellStyle name="输入 2 8 5 3 3" xfId="49303"/>
    <cellStyle name="输入 2 8 5 3 3 2" xfId="49304"/>
    <cellStyle name="输入 2 8 5 3 4" xfId="49305"/>
    <cellStyle name="输入 2 8 5 3 5" xfId="49306"/>
    <cellStyle name="注释 2 11 4 8 3 2" xfId="49307"/>
    <cellStyle name="输入 2 8 5 3 6" xfId="49308"/>
    <cellStyle name="输入 2 8 5 4" xfId="49309"/>
    <cellStyle name="输入 2 8 5 4 2" xfId="49310"/>
    <cellStyle name="输入 2 8 5 4 2 2" xfId="49311"/>
    <cellStyle name="输入 2 8 5 4 3 2" xfId="49312"/>
    <cellStyle name="输入 2 8 5 4 4" xfId="49313"/>
    <cellStyle name="输入 2 8 5 4 5" xfId="49314"/>
    <cellStyle name="注释 2 11 4 8 4 2" xfId="49315"/>
    <cellStyle name="输入 2 8 5 4 6" xfId="49316"/>
    <cellStyle name="输入 2 8 5 5" xfId="49317"/>
    <cellStyle name="输入 2 8 5 5 2" xfId="49318"/>
    <cellStyle name="输入 2 8 5 5 2 2" xfId="49319"/>
    <cellStyle name="输入 2 8 5 5 3 2" xfId="49320"/>
    <cellStyle name="输入 2 8 5 5 4" xfId="49321"/>
    <cellStyle name="输入 2 8 5 5 6" xfId="49322"/>
    <cellStyle name="输入 2 8 5 6" xfId="49323"/>
    <cellStyle name="输入 2 8 5 6 2" xfId="49324"/>
    <cellStyle name="输入 2 8 5 6 2 2" xfId="49325"/>
    <cellStyle name="输入 2 8 5 6 3 2" xfId="49326"/>
    <cellStyle name="输入 2 8 5 6 6" xfId="49327"/>
    <cellStyle name="输入 2 8 5 7" xfId="49328"/>
    <cellStyle name="输入 2 8 5 7 2" xfId="49329"/>
    <cellStyle name="输入 2 8 5 7 2 2" xfId="49330"/>
    <cellStyle name="输入 2 8 5 7 3 2" xfId="49331"/>
    <cellStyle name="输入 2 8 5 7 6" xfId="49332"/>
    <cellStyle name="输入 2 8 5 8" xfId="49333"/>
    <cellStyle name="输入 2 8 5 8 2" xfId="49334"/>
    <cellStyle name="输入 2 8 5 8 2 2" xfId="49335"/>
    <cellStyle name="输入 2 8 5 8 3 2" xfId="49336"/>
    <cellStyle name="输入 2 8 5 9" xfId="49337"/>
    <cellStyle name="输入 2 8 5 9 2" xfId="49338"/>
    <cellStyle name="输入 2 8 6" xfId="49339"/>
    <cellStyle name="输入 2 8 6 11" xfId="49340"/>
    <cellStyle name="注释 2 3 4 2 3 2" xfId="49341"/>
    <cellStyle name="输入 2 8 6 12" xfId="49342"/>
    <cellStyle name="输入 2 8 6 14" xfId="49343"/>
    <cellStyle name="输入 2 8 6 15" xfId="49344"/>
    <cellStyle name="输入 2 8 6 16" xfId="49345"/>
    <cellStyle name="输入 2 8 6 2" xfId="49346"/>
    <cellStyle name="输入 2 8 6 2 2" xfId="49347"/>
    <cellStyle name="输入 2 8 6 2 3" xfId="49348"/>
    <cellStyle name="输入 2 8 6 2 4" xfId="49349"/>
    <cellStyle name="输入 2 8 6 2 6" xfId="49350"/>
    <cellStyle name="输入 2 8 6 2 8" xfId="49351"/>
    <cellStyle name="注释 2 5 2 10 2" xfId="49352"/>
    <cellStyle name="输入 2 8 6 2 9" xfId="49353"/>
    <cellStyle name="输入 2 8 6 3" xfId="49354"/>
    <cellStyle name="输入 2 8 6 3 2" xfId="49355"/>
    <cellStyle name="输入 2 8 6 3 3" xfId="49356"/>
    <cellStyle name="输入 2 8 6 3 4" xfId="49357"/>
    <cellStyle name="输入 2 8 6 3 6" xfId="49358"/>
    <cellStyle name="输入 2 8 6 4" xfId="49359"/>
    <cellStyle name="输入 2 8 6 4 2" xfId="49360"/>
    <cellStyle name="输入 2 8 6 4 4" xfId="49361"/>
    <cellStyle name="输入 2 8 6 4 6" xfId="49362"/>
    <cellStyle name="输入 2 8 6 5" xfId="49363"/>
    <cellStyle name="输入 2 8 6 5 2" xfId="49364"/>
    <cellStyle name="输入 2 8 6 5 4" xfId="49365"/>
    <cellStyle name="输入 2 8 6 5 6" xfId="49366"/>
    <cellStyle name="输入 2 8 6 6 2" xfId="49367"/>
    <cellStyle name="输入 2 8 6 6 6" xfId="49368"/>
    <cellStyle name="输入 2 8 6 7" xfId="49369"/>
    <cellStyle name="输入 2 8 6 7 2" xfId="49370"/>
    <cellStyle name="输入 2 8 6 7 2 2" xfId="49371"/>
    <cellStyle name="输入 2 8 6 7 3 2" xfId="49372"/>
    <cellStyle name="输入 2 8 6 7 6" xfId="49373"/>
    <cellStyle name="输入 2 8 6 8" xfId="49374"/>
    <cellStyle name="输入 2 8 6 8 2" xfId="49375"/>
    <cellStyle name="输入 2 8 6 8 2 2" xfId="49376"/>
    <cellStyle name="输入 2 8 6 8 3 2" xfId="49377"/>
    <cellStyle name="输入 2 8 6 9" xfId="49378"/>
    <cellStyle name="输入 2 8 6 9 2" xfId="49379"/>
    <cellStyle name="输入 2 8 7" xfId="49380"/>
    <cellStyle name="输入 2 8 7 11" xfId="49381"/>
    <cellStyle name="输入 2 8 7 13" xfId="49382"/>
    <cellStyle name="输入 2 8 7 14" xfId="49383"/>
    <cellStyle name="输入 2 8 7 15" xfId="49384"/>
    <cellStyle name="注释 2 9 5 2 5 2" xfId="49385"/>
    <cellStyle name="输入 2 8 7 2" xfId="49386"/>
    <cellStyle name="输入 2 8 7 2 2" xfId="49387"/>
    <cellStyle name="输入 2 8 7 2 9" xfId="49388"/>
    <cellStyle name="输入 2 8 9 2 5 2" xfId="49389"/>
    <cellStyle name="输入 2 8 7 3" xfId="49390"/>
    <cellStyle name="输入 2 8 7 3 2" xfId="49391"/>
    <cellStyle name="输入 2 8 7 4" xfId="49392"/>
    <cellStyle name="输入 2 8 7 4 6" xfId="49393"/>
    <cellStyle name="输入 2 8 7 5" xfId="49394"/>
    <cellStyle name="输入 2 8 7 5 2" xfId="49395"/>
    <cellStyle name="输入 2 8 7 5 6" xfId="49396"/>
    <cellStyle name="输入 2 8 7 6 2" xfId="49397"/>
    <cellStyle name="输入 2 8 7 6 6" xfId="49398"/>
    <cellStyle name="输入 2 8 7 7" xfId="49399"/>
    <cellStyle name="输入 2 8 7 7 2" xfId="49400"/>
    <cellStyle name="输入 2 8 7 7 6" xfId="49401"/>
    <cellStyle name="输入 2 8 7 8" xfId="49402"/>
    <cellStyle name="输入 2 8 7 8 2" xfId="49403"/>
    <cellStyle name="输入 2 8 7 9" xfId="49404"/>
    <cellStyle name="输入 2 8 8 10" xfId="49405"/>
    <cellStyle name="输入 2 8 8 10 2" xfId="49406"/>
    <cellStyle name="输入 2 8 8 11" xfId="49407"/>
    <cellStyle name="输入 2 8 8 11 2" xfId="49408"/>
    <cellStyle name="输入 2 8 8 12 2" xfId="49409"/>
    <cellStyle name="输入 2 8 8 13" xfId="49410"/>
    <cellStyle name="输入 2 8 8 2" xfId="49411"/>
    <cellStyle name="输入 2 8 8 2 2" xfId="49412"/>
    <cellStyle name="输入 2 8 8 2 3" xfId="49413"/>
    <cellStyle name="输入 2 8 8 2 4" xfId="49414"/>
    <cellStyle name="输入 2 8 8 2 6" xfId="49415"/>
    <cellStyle name="输入 2 8 8 2 8" xfId="49416"/>
    <cellStyle name="输入 2 8 8 2 9" xfId="49417"/>
    <cellStyle name="输入 2 8 9 3 5 2" xfId="49418"/>
    <cellStyle name="输入 2 8 8 3" xfId="49419"/>
    <cellStyle name="输入 2 8 8 3 2" xfId="49420"/>
    <cellStyle name="输入 2 8 8 3 3" xfId="49421"/>
    <cellStyle name="输入 2 8 8 3 4" xfId="49422"/>
    <cellStyle name="输入 2 8 8 3 6" xfId="49423"/>
    <cellStyle name="输入 2 8 8 4 4" xfId="49424"/>
    <cellStyle name="输入 2 8 8 4 6" xfId="49425"/>
    <cellStyle name="输入 2 8 8 5" xfId="49426"/>
    <cellStyle name="输入 2 8 8 5 2" xfId="49427"/>
    <cellStyle name="输入 2 8 8 5 4" xfId="49428"/>
    <cellStyle name="输入 2 8 8 5 6" xfId="49429"/>
    <cellStyle name="输入 2 8 8 6 2" xfId="49430"/>
    <cellStyle name="输入 2 8 8 6 6" xfId="49431"/>
    <cellStyle name="输入 2 8 8 7" xfId="49432"/>
    <cellStyle name="输入 2 8 8 7 2" xfId="49433"/>
    <cellStyle name="输入 2 8 8 7 6" xfId="49434"/>
    <cellStyle name="输入 2 8 8 8" xfId="49435"/>
    <cellStyle name="输入 2 8 8 8 2" xfId="49436"/>
    <cellStyle name="输入 2 8 8 8 5" xfId="49437"/>
    <cellStyle name="输入 2 8 8 9" xfId="49438"/>
    <cellStyle name="输入 2 8 9" xfId="49439"/>
    <cellStyle name="输入 2 8 9 11 2" xfId="49440"/>
    <cellStyle name="输入 2 8 9 12" xfId="49441"/>
    <cellStyle name="输入 2 8 9 12 2" xfId="49442"/>
    <cellStyle name="输入 2 8 9 13" xfId="49443"/>
    <cellStyle name="输入 2 8 9 15" xfId="49444"/>
    <cellStyle name="输入 2 8 9 2" xfId="49445"/>
    <cellStyle name="输入 2 8 9 2 2" xfId="49446"/>
    <cellStyle name="输入 2 8 9 2 2 2" xfId="49447"/>
    <cellStyle name="输入 2 8 9 2 3" xfId="49448"/>
    <cellStyle name="输入 2 8 9 2 3 2" xfId="49449"/>
    <cellStyle name="输入 2 8 9 2 4" xfId="49450"/>
    <cellStyle name="输入 2 8 9 2 4 2" xfId="49451"/>
    <cellStyle name="输入 2 8 9 2 6" xfId="49452"/>
    <cellStyle name="输入 2 8 9 2 8" xfId="49453"/>
    <cellStyle name="输入 2 8 9 2 9" xfId="49454"/>
    <cellStyle name="输入 2 8 9 4 5 2" xfId="49455"/>
    <cellStyle name="输入 2 8 9 3" xfId="49456"/>
    <cellStyle name="输入 2 8 9 3 2" xfId="49457"/>
    <cellStyle name="输入 2 8 9 3 2 2" xfId="49458"/>
    <cellStyle name="输入 2 8 9 3 3" xfId="49459"/>
    <cellStyle name="输入 2 8 9 3 3 2" xfId="49460"/>
    <cellStyle name="输入 2 8 9 3 4" xfId="49461"/>
    <cellStyle name="输入 2 8 9 3 4 2" xfId="49462"/>
    <cellStyle name="输入 2 8 9 3 6" xfId="49463"/>
    <cellStyle name="输入 2 8 9 4 2" xfId="49464"/>
    <cellStyle name="输入 2 8 9 4 2 2" xfId="49465"/>
    <cellStyle name="输入 2 8 9 4 3 2" xfId="49466"/>
    <cellStyle name="输入 2 8 9 4 4" xfId="49467"/>
    <cellStyle name="输入 2 8 9 4 4 2" xfId="49468"/>
    <cellStyle name="输入 2 8 9 4 5" xfId="49469"/>
    <cellStyle name="输入 2 8 9 4 6" xfId="49470"/>
    <cellStyle name="输入 2 8 9 5" xfId="49471"/>
    <cellStyle name="输入 2 8 9 5 2" xfId="49472"/>
    <cellStyle name="输入 2 8 9 5 4" xfId="49473"/>
    <cellStyle name="输入 2 8 9 5 5" xfId="49474"/>
    <cellStyle name="输入 2 8 9 6 2 2" xfId="49475"/>
    <cellStyle name="输入 2 8 9 6 3 2" xfId="49476"/>
    <cellStyle name="输入 2 8 9 6 4" xfId="49477"/>
    <cellStyle name="输入 2 8 9 6 4 2" xfId="49478"/>
    <cellStyle name="输入 2 8 9 6 5" xfId="49479"/>
    <cellStyle name="输入 2 8 9 6 5 2" xfId="49480"/>
    <cellStyle name="输入 2 8 9 7 2 2" xfId="49481"/>
    <cellStyle name="输入 2 8 9 7 3 2" xfId="49482"/>
    <cellStyle name="输入 2 8 9 7 4" xfId="49483"/>
    <cellStyle name="输入 2 8 9 7 4 2" xfId="49484"/>
    <cellStyle name="输入 2 8 9 7 5" xfId="49485"/>
    <cellStyle name="输入 2 8 9 7 5 2" xfId="49486"/>
    <cellStyle name="输入 2 8 9 8 2 2" xfId="49487"/>
    <cellStyle name="输入 2 8 9 8 3" xfId="49488"/>
    <cellStyle name="输入 2 8 9 8 3 2" xfId="49489"/>
    <cellStyle name="输入 2 8 9 8 4" xfId="49490"/>
    <cellStyle name="输入 2 8 9 8 4 2" xfId="49491"/>
    <cellStyle name="输入 2 8 9 8 5" xfId="49492"/>
    <cellStyle name="输入 2 9" xfId="49493"/>
    <cellStyle name="输入 2 9 10 10 2" xfId="49494"/>
    <cellStyle name="输入 2 9 10 11" xfId="49495"/>
    <cellStyle name="输入 2 9 10 11 2" xfId="49496"/>
    <cellStyle name="输入 2 9 10 12" xfId="49497"/>
    <cellStyle name="输入 2 9 10 12 2" xfId="49498"/>
    <cellStyle name="注释 2 6 8 2 5" xfId="49499"/>
    <cellStyle name="输入 2 9 10 13" xfId="49500"/>
    <cellStyle name="输入 2 9 10 15" xfId="49501"/>
    <cellStyle name="输入 2 9 10 16" xfId="49502"/>
    <cellStyle name="输入 2 9 10 2 2" xfId="49503"/>
    <cellStyle name="注释 2 11 9 2 5 2" xfId="49504"/>
    <cellStyle name="注释 2 5 9 2" xfId="49505"/>
    <cellStyle name="输入 2 9 10 2 2 2" xfId="49506"/>
    <cellStyle name="注释 2 5 9 2 2" xfId="49507"/>
    <cellStyle name="输入 2 9 10 3" xfId="49508"/>
    <cellStyle name="注释 2 11 9 2 6" xfId="49509"/>
    <cellStyle name="输入 2 9 10 3 2" xfId="49510"/>
    <cellStyle name="输入 2 9 10 3 2 2" xfId="49511"/>
    <cellStyle name="输入 2 9 10 3 3 2" xfId="49512"/>
    <cellStyle name="输入 2 9 10 4" xfId="49513"/>
    <cellStyle name="注释 2 11 9 2 7" xfId="49514"/>
    <cellStyle name="输入 2 9 10 4 2" xfId="49515"/>
    <cellStyle name="输入 2 9 10 4 2 2" xfId="49516"/>
    <cellStyle name="输入 2 9 10 4 3 2" xfId="49517"/>
    <cellStyle name="输入 2 9 10 5 2" xfId="49518"/>
    <cellStyle name="输入 2 9 10 5 3" xfId="49519"/>
    <cellStyle name="输入 2 9 10 5 3 2" xfId="49520"/>
    <cellStyle name="输入 2 9 10 6 2" xfId="49521"/>
    <cellStyle name="输入 2 9 10 6 3" xfId="49522"/>
    <cellStyle name="输入 2 9 10 6 3 2" xfId="49523"/>
    <cellStyle name="输入 2 9 10 6 4 2" xfId="49524"/>
    <cellStyle name="输入 2 9 10 6 5 2" xfId="49525"/>
    <cellStyle name="输入 2 9 10 6 6" xfId="49526"/>
    <cellStyle name="输入 2 9 10 7" xfId="49527"/>
    <cellStyle name="输入 2 9 10 7 2" xfId="49528"/>
    <cellStyle name="输入 2 9 10 7 2 2" xfId="49529"/>
    <cellStyle name="输入 2 9 10 7 3" xfId="49530"/>
    <cellStyle name="输入 2 9 10 7 3 2" xfId="49531"/>
    <cellStyle name="输入 2 9 10 7 4" xfId="49532"/>
    <cellStyle name="输入 2 9 10 7 4 2" xfId="49533"/>
    <cellStyle name="输入 2 9 10 7 5 2" xfId="49534"/>
    <cellStyle name="输入 2 9 10 7 6" xfId="49535"/>
    <cellStyle name="输入 2 9 10 8" xfId="49536"/>
    <cellStyle name="输入 2 9 10 8 2 2" xfId="49537"/>
    <cellStyle name="输入 2 9 10 8 3 2" xfId="49538"/>
    <cellStyle name="输入 2 9 10 8 4 2" xfId="49539"/>
    <cellStyle name="输入 2 9 11 10" xfId="49540"/>
    <cellStyle name="输入 2 9 11 10 2" xfId="49541"/>
    <cellStyle name="输入 2 9 11 11 2" xfId="49542"/>
    <cellStyle name="输入 2 9 11 12" xfId="49543"/>
    <cellStyle name="输入 2 9 11 13" xfId="49544"/>
    <cellStyle name="输入 2 9 11 15" xfId="49545"/>
    <cellStyle name="输入 2 9 11 2" xfId="49546"/>
    <cellStyle name="注释 2 11 9 3 5" xfId="49547"/>
    <cellStyle name="注释 2 6 9" xfId="49548"/>
    <cellStyle name="输入 2 9 11 2 2" xfId="49549"/>
    <cellStyle name="注释 2 11 9 3 5 2" xfId="49550"/>
    <cellStyle name="注释 2 6 9 2" xfId="49551"/>
    <cellStyle name="输入 2 9 11 2 2 2" xfId="49552"/>
    <cellStyle name="注释 2 6 9 2 2" xfId="49553"/>
    <cellStyle name="输入 2 9 11 2 3 2" xfId="49554"/>
    <cellStyle name="注释 2 6 9 3 2" xfId="49555"/>
    <cellStyle name="输入 2 9 11 3" xfId="49556"/>
    <cellStyle name="注释 2 11 9 3 6" xfId="49557"/>
    <cellStyle name="输入 2 9 11 3 2 2" xfId="49558"/>
    <cellStyle name="输入 2 9 11 3 3 2" xfId="49559"/>
    <cellStyle name="输入 2 9 11 4" xfId="49560"/>
    <cellStyle name="输入 2 9 11 4 2" xfId="49561"/>
    <cellStyle name="输入 2 9 11 4 2 2" xfId="49562"/>
    <cellStyle name="输入 2 9 11 4 3" xfId="49563"/>
    <cellStyle name="输入 2 9 11 4 3 2" xfId="49564"/>
    <cellStyle name="输入 2 9 11 5" xfId="49565"/>
    <cellStyle name="输入 2 9 11 5 2" xfId="49566"/>
    <cellStyle name="输入 2 9 11 5 2 2" xfId="49567"/>
    <cellStyle name="输入 2 9 11 5 3" xfId="49568"/>
    <cellStyle name="输入 2 9 11 5 3 2" xfId="49569"/>
    <cellStyle name="输入 2 9 11 6 2" xfId="49570"/>
    <cellStyle name="输入 2 9 11 6 2 2" xfId="49571"/>
    <cellStyle name="输入 2 9 11 6 3" xfId="49572"/>
    <cellStyle name="输入 2 9 11 6 3 2" xfId="49573"/>
    <cellStyle name="输入 2 9 11 6 4 2" xfId="49574"/>
    <cellStyle name="输入 2 9 11 6 5" xfId="49575"/>
    <cellStyle name="输入 2 9 11 6 5 2" xfId="49576"/>
    <cellStyle name="输入 2 9 11 6 6" xfId="49577"/>
    <cellStyle name="输入 2 9 11 7 2" xfId="49578"/>
    <cellStyle name="输入 2 9 11 7 2 2" xfId="49579"/>
    <cellStyle name="输入 2 9 11 7 3" xfId="49580"/>
    <cellStyle name="输入 2 9 11 7 3 2" xfId="49581"/>
    <cellStyle name="输入 2 9 11 7 4" xfId="49582"/>
    <cellStyle name="输入 2 9 11 7 4 2" xfId="49583"/>
    <cellStyle name="输入 2 9 11 7 5" xfId="49584"/>
    <cellStyle name="输入 2 9 11 7 5 2" xfId="49585"/>
    <cellStyle name="输入 2 9 11 7 6" xfId="49586"/>
    <cellStyle name="输入 2 9 11 8" xfId="49587"/>
    <cellStyle name="输入 2 9 11 8 2 2" xfId="49588"/>
    <cellStyle name="输入 2 9 11 8 3 2" xfId="49589"/>
    <cellStyle name="输入 2 9 11 8 4 2" xfId="49590"/>
    <cellStyle name="输入 2 9 11 8 5" xfId="49591"/>
    <cellStyle name="输入 2 9 11 9" xfId="49592"/>
    <cellStyle name="输入 2 9 11 9 2" xfId="49593"/>
    <cellStyle name="输入 2 9 12" xfId="49594"/>
    <cellStyle name="输入 2 9 12 2" xfId="49595"/>
    <cellStyle name="注释 2 11 9 4 5" xfId="49596"/>
    <cellStyle name="注释 2 7 9" xfId="49597"/>
    <cellStyle name="输入 2 9 12 2 2" xfId="49598"/>
    <cellStyle name="注释 2 11 9 4 5 2" xfId="49599"/>
    <cellStyle name="注释 2 7 9 2" xfId="49600"/>
    <cellStyle name="输入 2 9 12 3" xfId="49601"/>
    <cellStyle name="注释 2 11 9 4 6" xfId="49602"/>
    <cellStyle name="输入 2 9 12 3 2" xfId="49603"/>
    <cellStyle name="输入 2 9 12 4" xfId="49604"/>
    <cellStyle name="输入 2 9 12 4 2" xfId="49605"/>
    <cellStyle name="输入 2 9 12 5" xfId="49606"/>
    <cellStyle name="输入 2 9 12 5 2" xfId="49607"/>
    <cellStyle name="输入 2 9 12 9" xfId="49608"/>
    <cellStyle name="输入 2 9 13" xfId="49609"/>
    <cellStyle name="注释 2 10 11 4 2 2" xfId="49610"/>
    <cellStyle name="输入 2 9 13 2" xfId="49611"/>
    <cellStyle name="注释 2 11 9 5 5" xfId="49612"/>
    <cellStyle name="注释 2 8 9" xfId="49613"/>
    <cellStyle name="输入 2 9 13 2 2" xfId="49614"/>
    <cellStyle name="注释 2 11 9 5 5 2" xfId="49615"/>
    <cellStyle name="注释 2 8 9 2" xfId="49616"/>
    <cellStyle name="输入 2 9 13 3" xfId="49617"/>
    <cellStyle name="注释 2 11 9 5 6" xfId="49618"/>
    <cellStyle name="输入 2 9 13 3 2" xfId="49619"/>
    <cellStyle name="输入 2 9 13 4" xfId="49620"/>
    <cellStyle name="输入 2 9 13 4 2" xfId="49621"/>
    <cellStyle name="输入 2 9 13 5" xfId="49622"/>
    <cellStyle name="输入 2 9 13 5 2" xfId="49623"/>
    <cellStyle name="输入 2 9 13 6" xfId="49624"/>
    <cellStyle name="输入 2 9 14" xfId="49625"/>
    <cellStyle name="输入 2 9 14 2" xfId="49626"/>
    <cellStyle name="注释 2 11 9 6 5" xfId="49627"/>
    <cellStyle name="注释 2 9 9" xfId="49628"/>
    <cellStyle name="输入 2 9 14 2 2" xfId="49629"/>
    <cellStyle name="注释 2 11 9 6 5 2" xfId="49630"/>
    <cellStyle name="注释 2 9 9 2" xfId="49631"/>
    <cellStyle name="输入 2 9 14 3" xfId="49632"/>
    <cellStyle name="注释 2 11 9 6 6" xfId="49633"/>
    <cellStyle name="输入 2 9 14 3 2" xfId="49634"/>
    <cellStyle name="输入 2 9 14 4" xfId="49635"/>
    <cellStyle name="输入 2 9 14 4 2" xfId="49636"/>
    <cellStyle name="输入 2 9 14 5" xfId="49637"/>
    <cellStyle name="输入 2 9 14 5 2" xfId="49638"/>
    <cellStyle name="输入 2 9 14 6" xfId="49639"/>
    <cellStyle name="输入 2 9 15" xfId="49640"/>
    <cellStyle name="输入 2 9 20" xfId="49641"/>
    <cellStyle name="输入 2 9 15 2" xfId="49642"/>
    <cellStyle name="输入 2 9 20 2" xfId="49643"/>
    <cellStyle name="注释 2 11 9 7 5" xfId="49644"/>
    <cellStyle name="输入 2 9 15 2 2" xfId="49645"/>
    <cellStyle name="注释 2 11 9 7 5 2" xfId="49646"/>
    <cellStyle name="输入 2 9 15 3" xfId="49647"/>
    <cellStyle name="注释 2 11 9 7 6" xfId="49648"/>
    <cellStyle name="输入 2 9 15 3 2" xfId="49649"/>
    <cellStyle name="输入 2 9 15 4" xfId="49650"/>
    <cellStyle name="输入 2 9 15 4 2" xfId="49651"/>
    <cellStyle name="输入 2 9 15 5" xfId="49652"/>
    <cellStyle name="输入 2 9 15 5 2" xfId="49653"/>
    <cellStyle name="输入 2 9 15 6" xfId="49654"/>
    <cellStyle name="输入 2 9 16 2" xfId="49655"/>
    <cellStyle name="输入 2 9 21 2" xfId="49656"/>
    <cellStyle name="注释 2 11 9 8 5" xfId="49657"/>
    <cellStyle name="输入 2 9 16 2 2" xfId="49658"/>
    <cellStyle name="输入 2 9 16 3" xfId="49659"/>
    <cellStyle name="输入 2 9 16 4" xfId="49660"/>
    <cellStyle name="输入 2 9 16 4 2" xfId="49661"/>
    <cellStyle name="输入 2 9 16 5" xfId="49662"/>
    <cellStyle name="输入 2 9 16 5 2" xfId="49663"/>
    <cellStyle name="输入 2 9 16 6" xfId="49664"/>
    <cellStyle name="输入 2 9 17" xfId="49665"/>
    <cellStyle name="输入 2 9 22" xfId="49666"/>
    <cellStyle name="输入 2 9 17 2 2" xfId="49667"/>
    <cellStyle name="输入 2 9 17 3 2" xfId="49668"/>
    <cellStyle name="输入 2 9 17 4 2" xfId="49669"/>
    <cellStyle name="输入 2 9 17 5 2" xfId="49670"/>
    <cellStyle name="输入 2 9 17 6" xfId="49671"/>
    <cellStyle name="输入 2 9 2" xfId="49672"/>
    <cellStyle name="输入 2 9 2 10 2" xfId="49673"/>
    <cellStyle name="注释 2 13 3 3 2" xfId="49674"/>
    <cellStyle name="输入 2 9 2 11" xfId="49675"/>
    <cellStyle name="注释 2 13 3 4" xfId="49676"/>
    <cellStyle name="输入 2 9 2 11 2" xfId="49677"/>
    <cellStyle name="注释 2 13 3 4 2" xfId="49678"/>
    <cellStyle name="输入 2 9 2 12 2" xfId="49679"/>
    <cellStyle name="注释 2 13 3 5 2" xfId="49680"/>
    <cellStyle name="输入 2 9 2 13" xfId="49681"/>
    <cellStyle name="注释 2 13 3 6" xfId="49682"/>
    <cellStyle name="输入 2 9 2 14" xfId="49683"/>
    <cellStyle name="输入 2 9 2 15" xfId="49684"/>
    <cellStyle name="注释 2 9 5 6 5 2" xfId="49685"/>
    <cellStyle name="输入 2 9 2 2" xfId="49686"/>
    <cellStyle name="输入 2 9 2 2 2" xfId="49687"/>
    <cellStyle name="输入 2 9 2 2 3" xfId="49688"/>
    <cellStyle name="输入 2 9 2 2 4" xfId="49689"/>
    <cellStyle name="输入 2 9 2 2 4 2" xfId="49690"/>
    <cellStyle name="输入 2 9 2 2 5" xfId="49691"/>
    <cellStyle name="注释 2 11 5 5 2 2" xfId="49692"/>
    <cellStyle name="输入 2 9 2 2 5 2" xfId="49693"/>
    <cellStyle name="输入 2 9 2 2 6" xfId="49694"/>
    <cellStyle name="输入 2 9 2 2 7" xfId="49695"/>
    <cellStyle name="输入 2 9 2 2 8" xfId="49696"/>
    <cellStyle name="注释 2 2 2 7 2 2" xfId="49697"/>
    <cellStyle name="输入 2 9 2 3 2" xfId="49698"/>
    <cellStyle name="输入 2 9 2 3 2 2" xfId="49699"/>
    <cellStyle name="输入 2 9 2 3 3" xfId="49700"/>
    <cellStyle name="输入 2 9 2 3 4" xfId="49701"/>
    <cellStyle name="输入 2 9 2 3 5" xfId="49702"/>
    <cellStyle name="注释 2 11 5 5 3 2" xfId="49703"/>
    <cellStyle name="输入 2 9 2 3 5 2" xfId="49704"/>
    <cellStyle name="输入 2 9 2 3 6" xfId="49705"/>
    <cellStyle name="输入 2 9 2 4 2" xfId="49706"/>
    <cellStyle name="输入 2 9 2 4 2 2" xfId="49707"/>
    <cellStyle name="输入 2 9 2 4 3" xfId="49708"/>
    <cellStyle name="输入 2 9 2 4 3 2" xfId="49709"/>
    <cellStyle name="输入 2 9 2 4 4 2" xfId="49710"/>
    <cellStyle name="输入 2 9 2 4 5" xfId="49711"/>
    <cellStyle name="注释 2 11 5 5 4 2" xfId="49712"/>
    <cellStyle name="输入 2 9 2 4 5 2" xfId="49713"/>
    <cellStyle name="输入 2 9 2 4 6" xfId="49714"/>
    <cellStyle name="输入 2 9 2 5 2" xfId="49715"/>
    <cellStyle name="输入 2 9 2 5 2 2" xfId="49716"/>
    <cellStyle name="输入 2 9 2 5 3" xfId="49717"/>
    <cellStyle name="输入 2 9 2 5 3 2" xfId="49718"/>
    <cellStyle name="输入 2 9 2 5 4 2" xfId="49719"/>
    <cellStyle name="输入 2 9 2 5 5" xfId="49720"/>
    <cellStyle name="注释 2 11 5 5 5 2" xfId="49721"/>
    <cellStyle name="输入 2 9 2 5 5 2" xfId="49722"/>
    <cellStyle name="输入 2 9 2 5 6" xfId="49723"/>
    <cellStyle name="输入 2 9 2 6" xfId="49724"/>
    <cellStyle name="输入 2 9 2 6 2" xfId="49725"/>
    <cellStyle name="输入 2 9 2 6 2 2" xfId="49726"/>
    <cellStyle name="输入 2 9 2 6 3" xfId="49727"/>
    <cellStyle name="输入 2 9 2 6 3 2" xfId="49728"/>
    <cellStyle name="输入 2 9 2 6 4 2" xfId="49729"/>
    <cellStyle name="输入 2 9 2 6 5" xfId="49730"/>
    <cellStyle name="输入 2 9 2 6 5 2" xfId="49731"/>
    <cellStyle name="输入 2 9 2 6 6" xfId="49732"/>
    <cellStyle name="输入 2 9 2 7" xfId="49733"/>
    <cellStyle name="输入 2 9 2 7 2" xfId="49734"/>
    <cellStyle name="输入 2 9 2 7 3" xfId="49735"/>
    <cellStyle name="输入 2 9 2 7 4 2" xfId="49736"/>
    <cellStyle name="输入 2 9 2 7 5" xfId="49737"/>
    <cellStyle name="输入 2 9 2 7 5 2" xfId="49738"/>
    <cellStyle name="输入 2 9 2 7 6" xfId="49739"/>
    <cellStyle name="输入 2 9 2 8" xfId="49740"/>
    <cellStyle name="输入 2 9 2 8 2" xfId="49741"/>
    <cellStyle name="输入 2 9 2 8 2 2" xfId="49742"/>
    <cellStyle name="输入 2 9 2 8 3" xfId="49743"/>
    <cellStyle name="输入 2 9 2 8 5" xfId="49744"/>
    <cellStyle name="输入 2 9 2 9" xfId="49745"/>
    <cellStyle name="输入 2 9 2 9 2" xfId="49746"/>
    <cellStyle name="输入 2 9 3" xfId="49747"/>
    <cellStyle name="输入 2 9 3 10" xfId="49748"/>
    <cellStyle name="注释 2 13 8 3" xfId="49749"/>
    <cellStyle name="输入 2 9 3 11" xfId="49750"/>
    <cellStyle name="注释 2 13 8 4" xfId="49751"/>
    <cellStyle name="输入 2 9 3 12" xfId="49752"/>
    <cellStyle name="注释 2 13 8 5" xfId="49753"/>
    <cellStyle name="输入 2 9 3 12 2" xfId="49754"/>
    <cellStyle name="输入 2 9 3 13" xfId="49755"/>
    <cellStyle name="输入 2 9 3 2" xfId="49756"/>
    <cellStyle name="输入 2 9 3 2 2" xfId="49757"/>
    <cellStyle name="输入 2 9 3 2 3" xfId="49758"/>
    <cellStyle name="输入 2 9 3 2 4" xfId="49759"/>
    <cellStyle name="输入 2 9 3 2 4 2" xfId="49760"/>
    <cellStyle name="输入 2 9 3 2 5" xfId="49761"/>
    <cellStyle name="注释 2 11 5 6 2 2" xfId="49762"/>
    <cellStyle name="输入 2 9 3 2 5 2" xfId="49763"/>
    <cellStyle name="输入 2 9 3 2 6" xfId="49764"/>
    <cellStyle name="输入 2 9 3 2 7" xfId="49765"/>
    <cellStyle name="输入 2 9 3 2 8" xfId="49766"/>
    <cellStyle name="注释 2 2 2 8 2 2" xfId="49767"/>
    <cellStyle name="输入 2 9 3 3" xfId="49768"/>
    <cellStyle name="输入 2 9 3 3 2" xfId="49769"/>
    <cellStyle name="输入 2 9 3 3 2 2" xfId="49770"/>
    <cellStyle name="输入 2 9 3 3 3" xfId="49771"/>
    <cellStyle name="输入 2 9 3 3 3 2" xfId="49772"/>
    <cellStyle name="输入 2 9 3 3 4" xfId="49773"/>
    <cellStyle name="输入 2 9 3 3 5" xfId="49774"/>
    <cellStyle name="注释 2 11 5 6 3 2" xfId="49775"/>
    <cellStyle name="输入 2 9 3 3 5 2" xfId="49776"/>
    <cellStyle name="输入 2 9 3 3 6" xfId="49777"/>
    <cellStyle name="输入 2 9 3 4" xfId="49778"/>
    <cellStyle name="输入 2 9 3 4 2" xfId="49779"/>
    <cellStyle name="输入 2 9 3 4 2 2" xfId="49780"/>
    <cellStyle name="输入 2 9 3 4 3" xfId="49781"/>
    <cellStyle name="输入 2 9 3 4 3 2" xfId="49782"/>
    <cellStyle name="输入 2 9 3 4 4 2" xfId="49783"/>
    <cellStyle name="输入 2 9 3 4 5" xfId="49784"/>
    <cellStyle name="注释 2 11 5 6 4 2" xfId="49785"/>
    <cellStyle name="输入 2 9 3 4 5 2" xfId="49786"/>
    <cellStyle name="输入 2 9 3 4 6" xfId="49787"/>
    <cellStyle name="输入 2 9 3 5" xfId="49788"/>
    <cellStyle name="输入 2 9 3 5 2" xfId="49789"/>
    <cellStyle name="输入 2 9 3 5 2 2" xfId="49790"/>
    <cellStyle name="输入 2 9 3 5 3" xfId="49791"/>
    <cellStyle name="输入 2 9 3 5 3 2" xfId="49792"/>
    <cellStyle name="输入 2 9 3 5 4 2" xfId="49793"/>
    <cellStyle name="输入 2 9 3 5 5" xfId="49794"/>
    <cellStyle name="注释 2 11 5 6 5 2" xfId="49795"/>
    <cellStyle name="输入 2 9 3 5 6" xfId="49796"/>
    <cellStyle name="输入 2 9 3 6" xfId="49797"/>
    <cellStyle name="输入 2 9 3 6 2" xfId="49798"/>
    <cellStyle name="注释 2 3 12" xfId="49799"/>
    <cellStyle name="输入 2 9 3 6 2 2" xfId="49800"/>
    <cellStyle name="注释 2 3 12 2" xfId="49801"/>
    <cellStyle name="输入 2 9 3 6 3" xfId="49802"/>
    <cellStyle name="注释 2 3 13" xfId="49803"/>
    <cellStyle name="输入 2 9 3 6 3 2" xfId="49804"/>
    <cellStyle name="注释 2 3 13 2" xfId="49805"/>
    <cellStyle name="输入 2 9 3 6 4 2" xfId="49806"/>
    <cellStyle name="注释 2 3 14 2" xfId="49807"/>
    <cellStyle name="输入 2 9 3 6 5" xfId="49808"/>
    <cellStyle name="注释 2 3 15" xfId="49809"/>
    <cellStyle name="注释 2 3 20" xfId="49810"/>
    <cellStyle name="输入 2 9 3 6 5 2" xfId="49811"/>
    <cellStyle name="注释 2 3 15 2" xfId="49812"/>
    <cellStyle name="注释 2 3 20 2" xfId="49813"/>
    <cellStyle name="输入 2 9 3 6 6" xfId="49814"/>
    <cellStyle name="注释 2 3 16" xfId="49815"/>
    <cellStyle name="注释 2 3 21" xfId="49816"/>
    <cellStyle name="输入 2 9 3 7" xfId="49817"/>
    <cellStyle name="输入 2 9 3 7 2" xfId="49818"/>
    <cellStyle name="输入 2 9 3 7 3" xfId="49819"/>
    <cellStyle name="输入 2 9 3 7 5" xfId="49820"/>
    <cellStyle name="输入 2 9 3 7 6" xfId="49821"/>
    <cellStyle name="输入 2 9 3 8" xfId="49822"/>
    <cellStyle name="输入 2 9 3 8 2" xfId="49823"/>
    <cellStyle name="输入 2 9 3 8 3" xfId="49824"/>
    <cellStyle name="输入 2 9 3 8 5" xfId="49825"/>
    <cellStyle name="输入 2 9 3 9" xfId="49826"/>
    <cellStyle name="输入 2 9 3 9 2" xfId="49827"/>
    <cellStyle name="输入 2 9 4 10" xfId="49828"/>
    <cellStyle name="输入 2 9 4 10 2" xfId="49829"/>
    <cellStyle name="输入 2 9 4 11 2" xfId="49830"/>
    <cellStyle name="输入 2 9 4 12" xfId="49831"/>
    <cellStyle name="输入 2 9 4 12 2" xfId="49832"/>
    <cellStyle name="输入 2 9 4 13" xfId="49833"/>
    <cellStyle name="输入 2 9 4 14" xfId="49834"/>
    <cellStyle name="输入 2 9 4 2" xfId="49835"/>
    <cellStyle name="输入 2 9 4 2 2" xfId="49836"/>
    <cellStyle name="输入 2 9 4 2 2 2" xfId="49837"/>
    <cellStyle name="输入 2 9 4 2 3" xfId="49838"/>
    <cellStyle name="输入 2 9 4 2 3 2" xfId="49839"/>
    <cellStyle name="输入 2 9 4 2 4" xfId="49840"/>
    <cellStyle name="输入 2 9 4 2 4 2" xfId="49841"/>
    <cellStyle name="输入 2 9 4 2 5" xfId="49842"/>
    <cellStyle name="注释 2 11 5 7 2 2" xfId="49843"/>
    <cellStyle name="输入 2 9 4 2 5 2" xfId="49844"/>
    <cellStyle name="输入 2 9 4 2 6" xfId="49845"/>
    <cellStyle name="输入 2 9 4 2 7" xfId="49846"/>
    <cellStyle name="输入 2 9 4 2 8" xfId="49847"/>
    <cellStyle name="输入 2 9 4 2 9" xfId="49848"/>
    <cellStyle name="输入 2 9 4 3" xfId="49849"/>
    <cellStyle name="输入 2 9 4 3 2" xfId="49850"/>
    <cellStyle name="输入 2 9 4 3 3" xfId="49851"/>
    <cellStyle name="输入 2 9 4 3 4" xfId="49852"/>
    <cellStyle name="输入 2 9 4 3 5" xfId="49853"/>
    <cellStyle name="注释 2 11 5 7 3 2" xfId="49854"/>
    <cellStyle name="输入 2 9 4 3 6" xfId="49855"/>
    <cellStyle name="输入 2 9 4 4" xfId="49856"/>
    <cellStyle name="输入 2 9 4 4 2" xfId="49857"/>
    <cellStyle name="输入 2 9 4 4 2 2" xfId="49858"/>
    <cellStyle name="输入 2 9 4 4 3" xfId="49859"/>
    <cellStyle name="输入 2 9 4 4 3 2" xfId="49860"/>
    <cellStyle name="输入 2 9 4 4 4" xfId="49861"/>
    <cellStyle name="输入 2 9 4 4 4 2" xfId="49862"/>
    <cellStyle name="输入 2 9 4 4 5" xfId="49863"/>
    <cellStyle name="注释 2 11 5 7 4 2" xfId="49864"/>
    <cellStyle name="输入 2 9 4 4 5 2" xfId="49865"/>
    <cellStyle name="输入 2 9 4 4 6" xfId="49866"/>
    <cellStyle name="输入 2 9 4 5" xfId="49867"/>
    <cellStyle name="输入 2 9 4 5 2" xfId="49868"/>
    <cellStyle name="输入 2 9 4 5 2 2" xfId="49869"/>
    <cellStyle name="输入 2 9 4 5 3" xfId="49870"/>
    <cellStyle name="输入 2 9 4 5 3 2" xfId="49871"/>
    <cellStyle name="输入 2 9 4 5 4" xfId="49872"/>
    <cellStyle name="输入 2 9 4 5 4 2" xfId="49873"/>
    <cellStyle name="输入 2 9 4 5 5" xfId="49874"/>
    <cellStyle name="注释 2 11 5 7 5 2" xfId="49875"/>
    <cellStyle name="输入 2 9 4 5 5 2" xfId="49876"/>
    <cellStyle name="输入 2 9 4 5 6" xfId="49877"/>
    <cellStyle name="输入 2 9 4 6" xfId="49878"/>
    <cellStyle name="输入 2 9 4 6 2" xfId="49879"/>
    <cellStyle name="注释 2 8 12" xfId="49880"/>
    <cellStyle name="输入 2 9 4 6 2 2" xfId="49881"/>
    <cellStyle name="注释 2 8 12 2" xfId="49882"/>
    <cellStyle name="输入 2 9 4 6 3" xfId="49883"/>
    <cellStyle name="注释 2 8 13" xfId="49884"/>
    <cellStyle name="输入 2 9 4 6 3 2" xfId="49885"/>
    <cellStyle name="注释 2 8 13 2" xfId="49886"/>
    <cellStyle name="输入 2 9 4 6 4 2" xfId="49887"/>
    <cellStyle name="注释 2 8 14 2" xfId="49888"/>
    <cellStyle name="输入 2 9 4 6 5" xfId="49889"/>
    <cellStyle name="注释 2 8 15" xfId="49890"/>
    <cellStyle name="注释 2 8 20" xfId="49891"/>
    <cellStyle name="输入 2 9 4 6 5 2" xfId="49892"/>
    <cellStyle name="注释 2 8 15 2" xfId="49893"/>
    <cellStyle name="注释 2 8 20 2" xfId="49894"/>
    <cellStyle name="输入 2 9 4 6 6" xfId="49895"/>
    <cellStyle name="注释 2 8 16" xfId="49896"/>
    <cellStyle name="注释 2 8 21" xfId="49897"/>
    <cellStyle name="输入 2 9 4 7" xfId="49898"/>
    <cellStyle name="输入 2 9 4 7 2" xfId="49899"/>
    <cellStyle name="输入 2 9 4 7 2 2" xfId="49900"/>
    <cellStyle name="输入 2 9 4 7 3" xfId="49901"/>
    <cellStyle name="输入 2 9 4 7 3 2" xfId="49902"/>
    <cellStyle name="输入 2 9 4 7 4 2" xfId="49903"/>
    <cellStyle name="输入 2 9 4 7 5" xfId="49904"/>
    <cellStyle name="输入 2 9 4 7 5 2" xfId="49905"/>
    <cellStyle name="输入 2 9 4 7 6" xfId="49906"/>
    <cellStyle name="输入 2 9 4 8" xfId="49907"/>
    <cellStyle name="输入 2 9 4 8 2" xfId="49908"/>
    <cellStyle name="输入 2 9 4 8 3" xfId="49909"/>
    <cellStyle name="输入 2 9 4 8 5" xfId="49910"/>
    <cellStyle name="输入 2 9 4 9" xfId="49911"/>
    <cellStyle name="输入 2 9 4 9 2" xfId="49912"/>
    <cellStyle name="输入 2 9 5" xfId="49913"/>
    <cellStyle name="输入 2 9 5 10 2" xfId="49914"/>
    <cellStyle name="输入 2 9 5 11 2" xfId="49915"/>
    <cellStyle name="输入 2 9 5 12" xfId="49916"/>
    <cellStyle name="输入 2 9 5 12 2" xfId="49917"/>
    <cellStyle name="输入 2 9 5 13" xfId="49918"/>
    <cellStyle name="输入 2 9 5 14" xfId="49919"/>
    <cellStyle name="输入 2 9 5 15" xfId="49920"/>
    <cellStyle name="输入 2 9 5 16" xfId="49921"/>
    <cellStyle name="输入 2 9 5 2" xfId="49922"/>
    <cellStyle name="输入 2 9 5 2 2" xfId="49923"/>
    <cellStyle name="输入 2 9 5 2 2 2" xfId="49924"/>
    <cellStyle name="输入 2 9 5 2 3" xfId="49925"/>
    <cellStyle name="输入 2 9 5 2 4" xfId="49926"/>
    <cellStyle name="输入 2 9 5 2 5" xfId="49927"/>
    <cellStyle name="注释 2 11 5 8 2 2" xfId="49928"/>
    <cellStyle name="输入 2 9 5 2 6" xfId="49929"/>
    <cellStyle name="输入 2 9 5 2 7" xfId="49930"/>
    <cellStyle name="输入 2 9 5 2 8" xfId="49931"/>
    <cellStyle name="输入 2 9 5 2 9" xfId="49932"/>
    <cellStyle name="输入 2 9 5 3" xfId="49933"/>
    <cellStyle name="输入 2 9 5 3 2" xfId="49934"/>
    <cellStyle name="输入 2 9 5 3 2 2" xfId="49935"/>
    <cellStyle name="输入 2 9 5 3 3" xfId="49936"/>
    <cellStyle name="输入 2 9 5 3 4" xfId="49937"/>
    <cellStyle name="输入 2 9 5 3 5" xfId="49938"/>
    <cellStyle name="注释 2 11 5 8 3 2" xfId="49939"/>
    <cellStyle name="输入 2 9 5 3 6" xfId="49940"/>
    <cellStyle name="输入 2 9 5 4" xfId="49941"/>
    <cellStyle name="输入 2 9 5 4 2" xfId="49942"/>
    <cellStyle name="输入 2 9 5 4 2 2" xfId="49943"/>
    <cellStyle name="输入 2 9 5 4 4" xfId="49944"/>
    <cellStyle name="输入 2 9 5 4 5" xfId="49945"/>
    <cellStyle name="注释 2 11 5 8 4 2" xfId="49946"/>
    <cellStyle name="输入 2 9 5 4 6" xfId="49947"/>
    <cellStyle name="输入 2 9 5 5" xfId="49948"/>
    <cellStyle name="输入 2 9 5 5 2" xfId="49949"/>
    <cellStyle name="输入 2 9 5 5 4" xfId="49950"/>
    <cellStyle name="输入 2 9 5 5 5" xfId="49951"/>
    <cellStyle name="输入 2 9 5 5 6" xfId="49952"/>
    <cellStyle name="输入 2 9 5 6" xfId="49953"/>
    <cellStyle name="输入 2 9 5 6 2" xfId="49954"/>
    <cellStyle name="输入 2 9 5 6 5" xfId="49955"/>
    <cellStyle name="输入 2 9 5 6 6" xfId="49956"/>
    <cellStyle name="输入 2 9 5 7" xfId="49957"/>
    <cellStyle name="输入 2 9 5 7 2" xfId="49958"/>
    <cellStyle name="输入 2 9 5 7 5" xfId="49959"/>
    <cellStyle name="输入 2 9 5 7 6" xfId="49960"/>
    <cellStyle name="输入 2 9 5 8" xfId="49961"/>
    <cellStyle name="输入 2 9 5 8 2" xfId="49962"/>
    <cellStyle name="输入 2 9 5 8 3" xfId="49963"/>
    <cellStyle name="输入 2 9 5 8 5" xfId="49964"/>
    <cellStyle name="输入 2 9 5 9" xfId="49965"/>
    <cellStyle name="输入 2 9 5 9 2" xfId="49966"/>
    <cellStyle name="输入 2 9 6" xfId="49967"/>
    <cellStyle name="输入 2 9 6 10" xfId="49968"/>
    <cellStyle name="注释 2 6 3 3 6" xfId="49969"/>
    <cellStyle name="输入 2 9 6 10 2" xfId="49970"/>
    <cellStyle name="输入 2 9 6 11" xfId="49971"/>
    <cellStyle name="注释 2 3 4 7 3 2" xfId="49972"/>
    <cellStyle name="输入 2 9 6 11 2" xfId="49973"/>
    <cellStyle name="输入 2 9 6 12" xfId="49974"/>
    <cellStyle name="输入 2 9 6 12 2" xfId="49975"/>
    <cellStyle name="输入 2 9 6 13" xfId="49976"/>
    <cellStyle name="输入 2 9 6 14" xfId="49977"/>
    <cellStyle name="输入 2 9 6 15" xfId="49978"/>
    <cellStyle name="输入 2 9 6 2" xfId="49979"/>
    <cellStyle name="输入 2 9 6 2 4" xfId="49980"/>
    <cellStyle name="输入 2 9 6 2 6" xfId="49981"/>
    <cellStyle name="注释 2 11 10 2 2 2" xfId="49982"/>
    <cellStyle name="输入 2 9 6 2 8" xfId="49983"/>
    <cellStyle name="注释 2 5 7 10 2" xfId="49984"/>
    <cellStyle name="输入 2 9 6 2 9" xfId="49985"/>
    <cellStyle name="输入 2 9 6 3" xfId="49986"/>
    <cellStyle name="输入 2 9 6 4" xfId="49987"/>
    <cellStyle name="输入 2 9 6 4 4" xfId="49988"/>
    <cellStyle name="输入 2 9 6 4 6" xfId="49989"/>
    <cellStyle name="注释 2 11 10 2 4 2" xfId="49990"/>
    <cellStyle name="输入 2 9 6 5" xfId="49991"/>
    <cellStyle name="输入 2 9 6 5 4" xfId="49992"/>
    <cellStyle name="输入 2 9 6 5 5" xfId="49993"/>
    <cellStyle name="输入 2 9 6 5 6" xfId="49994"/>
    <cellStyle name="注释 2 11 10 2 5 2" xfId="49995"/>
    <cellStyle name="输入 2 9 6 6 2" xfId="49996"/>
    <cellStyle name="输入 2 9 6 6 2 2" xfId="49997"/>
    <cellStyle name="输入 2 9 6 6 5" xfId="49998"/>
    <cellStyle name="输入 2 9 6 6 6" xfId="49999"/>
    <cellStyle name="输入 2 9 6 7" xfId="50000"/>
    <cellStyle name="输入 2 9 6 7 2" xfId="50001"/>
    <cellStyle name="输入 2 9 6 7 2 2" xfId="50002"/>
    <cellStyle name="输入 2 9 6 7 5" xfId="50003"/>
    <cellStyle name="输入 2 9 6 7 6" xfId="50004"/>
    <cellStyle name="输入 2 9 6 8" xfId="50005"/>
    <cellStyle name="输入 2 9 6 9" xfId="50006"/>
    <cellStyle name="输入 2 9 6 9 2" xfId="50007"/>
    <cellStyle name="输入 2 9 7" xfId="50008"/>
    <cellStyle name="输入 2 9 7 10" xfId="50009"/>
    <cellStyle name="注释 2 14 3 3" xfId="50010"/>
    <cellStyle name="输入 2 9 7 11" xfId="50011"/>
    <cellStyle name="注释 2 14 3 4" xfId="50012"/>
    <cellStyle name="输入 2 9 7 13" xfId="50013"/>
    <cellStyle name="注释 2 14 3 6" xfId="50014"/>
    <cellStyle name="输入 2 9 7 14" xfId="50015"/>
    <cellStyle name="输入 2 9 7 15" xfId="50016"/>
    <cellStyle name="注释 2 9 5 7 5 2" xfId="50017"/>
    <cellStyle name="输入 2 9 7 2" xfId="50018"/>
    <cellStyle name="输入 2 9 7 2 2" xfId="50019"/>
    <cellStyle name="输入 2 9 7 2 3" xfId="50020"/>
    <cellStyle name="输入 2 9 7 2 4" xfId="50021"/>
    <cellStyle name="输入 2 9 7 2 6" xfId="50022"/>
    <cellStyle name="注释 2 11 10 3 2 2" xfId="50023"/>
    <cellStyle name="输入 2 9 7 2 8" xfId="50024"/>
    <cellStyle name="输入 2 9 7 2 9" xfId="50025"/>
    <cellStyle name="输入 2 9 7 3" xfId="50026"/>
    <cellStyle name="输入 2 9 7 3 2" xfId="50027"/>
    <cellStyle name="输入 2 9 7 3 3" xfId="50028"/>
    <cellStyle name="输入 2 9 7 3 4" xfId="50029"/>
    <cellStyle name="输入 2 9 7 3 6" xfId="50030"/>
    <cellStyle name="注释 2 11 10 3 3 2" xfId="50031"/>
    <cellStyle name="输入 2 9 7 4" xfId="50032"/>
    <cellStyle name="输入 2 9 7 4 2" xfId="50033"/>
    <cellStyle name="输入 2 9 7 4 4" xfId="50034"/>
    <cellStyle name="输入 2 9 7 4 6" xfId="50035"/>
    <cellStyle name="注释 2 11 10 3 4 2" xfId="50036"/>
    <cellStyle name="输入 2 9 7 5" xfId="50037"/>
    <cellStyle name="输入 2 9 7 5 2" xfId="50038"/>
    <cellStyle name="输入 2 9 7 5 4" xfId="50039"/>
    <cellStyle name="输入 2 9 7 5 5" xfId="50040"/>
    <cellStyle name="输入 2 9 7 5 6" xfId="50041"/>
    <cellStyle name="注释 2 11 10 3 5 2" xfId="50042"/>
    <cellStyle name="输入 2 9 7 6 2" xfId="50043"/>
    <cellStyle name="输入 2 9 7 6 5" xfId="50044"/>
    <cellStyle name="输入 2 9 7 6 6" xfId="50045"/>
    <cellStyle name="输入 2 9 7 7" xfId="50046"/>
    <cellStyle name="输入 2 9 7 7 2" xfId="50047"/>
    <cellStyle name="输入 2 9 7 7 5" xfId="50048"/>
    <cellStyle name="输入 2 9 7 7 6" xfId="50049"/>
    <cellStyle name="输入 2 9 7 8" xfId="50050"/>
    <cellStyle name="输入 2 9 7 8 2" xfId="50051"/>
    <cellStyle name="输入 2 9 7 8 3" xfId="50052"/>
    <cellStyle name="输入 2 9 7 8 5" xfId="50053"/>
    <cellStyle name="输入 2 9 7 9" xfId="50054"/>
    <cellStyle name="输入 2 9 7 9 2" xfId="50055"/>
    <cellStyle name="输入 2 9 8 10" xfId="50056"/>
    <cellStyle name="注释 2 14 8 3" xfId="50057"/>
    <cellStyle name="输入 2 9 8 10 2" xfId="50058"/>
    <cellStyle name="注释 2 14 8 3 2" xfId="50059"/>
    <cellStyle name="输入 2 9 8 11" xfId="50060"/>
    <cellStyle name="注释 2 14 8 4" xfId="50061"/>
    <cellStyle name="输入 2 9 8 11 2" xfId="50062"/>
    <cellStyle name="注释 2 14 8 4 2" xfId="50063"/>
    <cellStyle name="输入 2 9 8 12" xfId="50064"/>
    <cellStyle name="注释 2 14 8 5" xfId="50065"/>
    <cellStyle name="输入 2 9 8 12 2" xfId="50066"/>
    <cellStyle name="输入 2 9 8 13" xfId="50067"/>
    <cellStyle name="输入 2 9 8 14" xfId="50068"/>
    <cellStyle name="输入 2 9 8 2" xfId="50069"/>
    <cellStyle name="输入 2 9 8 2 2" xfId="50070"/>
    <cellStyle name="输入 2 9 8 2 2 2" xfId="50071"/>
    <cellStyle name="输入 2 9 8 2 3" xfId="50072"/>
    <cellStyle name="输入 2 9 8 2 4" xfId="50073"/>
    <cellStyle name="输入 2 9 8 2 6" xfId="50074"/>
    <cellStyle name="注释 2 11 10 4 2 2" xfId="50075"/>
    <cellStyle name="输入 2 9 8 2 8" xfId="50076"/>
    <cellStyle name="输入 2 9 8 2 9" xfId="50077"/>
    <cellStyle name="输入 2 9 8 3" xfId="50078"/>
    <cellStyle name="输入 2 9 8 3 2" xfId="50079"/>
    <cellStyle name="输入 2 9 8 3 2 2" xfId="50080"/>
    <cellStyle name="输入 2 9 8 3 3" xfId="50081"/>
    <cellStyle name="输入 2 9 8 3 4" xfId="50082"/>
    <cellStyle name="输入 2 9 8 4 2" xfId="50083"/>
    <cellStyle name="输入 2 9 8 4 2 2" xfId="50084"/>
    <cellStyle name="输入 2 9 8 4 4" xfId="50085"/>
    <cellStyle name="输入 2 9 8 5" xfId="50086"/>
    <cellStyle name="输入 2 9 8 5 2" xfId="50087"/>
    <cellStyle name="输入 2 9 8 5 2 2" xfId="50088"/>
    <cellStyle name="输入 2 9 8 5 4" xfId="50089"/>
    <cellStyle name="输入 2 9 8 6 2" xfId="50090"/>
    <cellStyle name="输入 2 9 8 6 2 2" xfId="50091"/>
    <cellStyle name="输入 2 9 8 7" xfId="50092"/>
    <cellStyle name="输入 2 9 8 7 2" xfId="50093"/>
    <cellStyle name="输入 2 9 8 8" xfId="50094"/>
    <cellStyle name="输入 2 9 8 8 2" xfId="50095"/>
    <cellStyle name="输入 2 9 8 8 3" xfId="50096"/>
    <cellStyle name="输入 2 9 8 9" xfId="50097"/>
    <cellStyle name="输入 2 9 8 9 2" xfId="50098"/>
    <cellStyle name="输入 2 9 9" xfId="50099"/>
    <cellStyle name="输入 2 9 9 11 2" xfId="50100"/>
    <cellStyle name="输入 2 9 9 12 2" xfId="50101"/>
    <cellStyle name="输入 2 9 9 13" xfId="50102"/>
    <cellStyle name="输入 2 9 9 2" xfId="50103"/>
    <cellStyle name="输入 2 9 9 2 2" xfId="50104"/>
    <cellStyle name="输入 2 9 9 2 2 2" xfId="50105"/>
    <cellStyle name="输入 2 9 9 2 3" xfId="50106"/>
    <cellStyle name="输入 2 9 9 2 4" xfId="50107"/>
    <cellStyle name="输入 2 9 9 2 6" xfId="50108"/>
    <cellStyle name="注释 2 11 10 5 2 2" xfId="50109"/>
    <cellStyle name="输入 2 9 9 2 8" xfId="50110"/>
    <cellStyle name="输入 2 9 9 2 9" xfId="50111"/>
    <cellStyle name="输入 2 9 9 3" xfId="50112"/>
    <cellStyle name="输入 2 9 9 3 2" xfId="50113"/>
    <cellStyle name="输入 2 9 9 3 2 2" xfId="50114"/>
    <cellStyle name="输入 2 9 9 3 3" xfId="50115"/>
    <cellStyle name="输入 2 9 9 3 4" xfId="50116"/>
    <cellStyle name="输入 2 9 9 3 6" xfId="50117"/>
    <cellStyle name="注释 2 11 10 5 3 2" xfId="50118"/>
    <cellStyle name="输入 2 9 9 4 2" xfId="50119"/>
    <cellStyle name="输入 2 9 9 4 2 2" xfId="50120"/>
    <cellStyle name="输入 2 9 9 4 4" xfId="50121"/>
    <cellStyle name="输入 2 9 9 4 5" xfId="50122"/>
    <cellStyle name="输入 2 9 9 4 6" xfId="50123"/>
    <cellStyle name="注释 2 11 10 5 4 2" xfId="50124"/>
    <cellStyle name="输入 2 9 9 5" xfId="50125"/>
    <cellStyle name="输入 2 9 9 5 2" xfId="50126"/>
    <cellStyle name="输入 2 9 9 5 2 2" xfId="50127"/>
    <cellStyle name="输入 2 9 9 5 4" xfId="50128"/>
    <cellStyle name="输入 2 9 9 5 5" xfId="50129"/>
    <cellStyle name="输入 2 9 9 5 6" xfId="50130"/>
    <cellStyle name="注释 2 11 10 5 5 2" xfId="50131"/>
    <cellStyle name="输入 2 9 9 6 2 2" xfId="50132"/>
    <cellStyle name="输入 2 9 9 6 4" xfId="50133"/>
    <cellStyle name="输入 2 9 9 6 5" xfId="50134"/>
    <cellStyle name="输入 2 9 9 6 6" xfId="50135"/>
    <cellStyle name="输入 2 9 9 7 2 2" xfId="50136"/>
    <cellStyle name="输入 2 9 9 7 4" xfId="50137"/>
    <cellStyle name="输入 2 9 9 7 5" xfId="50138"/>
    <cellStyle name="输入 2 9 9 7 6" xfId="50139"/>
    <cellStyle name="输入 2 9 9 8 2 2" xfId="50140"/>
    <cellStyle name="输入 2 9 9 8 3" xfId="50141"/>
    <cellStyle name="输入 2 9 9 8 4" xfId="50142"/>
    <cellStyle name="输入 2 9 9 8 5" xfId="50143"/>
    <cellStyle name="输入 3" xfId="50144"/>
    <cellStyle name="注释 2" xfId="50145"/>
    <cellStyle name="注释 2 12 4 14" xfId="50146"/>
    <cellStyle name="注释 2 8 9 7" xfId="50147"/>
    <cellStyle name="注释 2 10 10 10 2" xfId="50148"/>
    <cellStyle name="注释 2 10 10 11" xfId="50149"/>
    <cellStyle name="注释 2 10 10 11 2" xfId="50150"/>
    <cellStyle name="注释 2 10 10 12" xfId="50151"/>
    <cellStyle name="注释 2 10 10 12 2" xfId="50152"/>
    <cellStyle name="注释 2 4 10 2 4" xfId="50153"/>
    <cellStyle name="注释 2 10 10 14" xfId="50154"/>
    <cellStyle name="注释 2 10 10 16" xfId="50155"/>
    <cellStyle name="注释 2 10 10 2 2 2" xfId="50156"/>
    <cellStyle name="注释 2 10 10 2 3" xfId="50157"/>
    <cellStyle name="注释 2 10 10 2 3 2" xfId="50158"/>
    <cellStyle name="注释 2 10 10 2 4" xfId="50159"/>
    <cellStyle name="注释 2 10 10 2 4 2" xfId="50160"/>
    <cellStyle name="注释 2 10 10 2 5" xfId="50161"/>
    <cellStyle name="注释 2 10 10 2 6" xfId="50162"/>
    <cellStyle name="注释 2 10 10 2 7" xfId="50163"/>
    <cellStyle name="注释 2 10 10 2 8" xfId="50164"/>
    <cellStyle name="注释 2 10 10 2 9" xfId="50165"/>
    <cellStyle name="注释 2 3 18 3 2" xfId="50166"/>
    <cellStyle name="注释 2 10 10 3 3" xfId="50167"/>
    <cellStyle name="注释 2 10 10 3 4" xfId="50168"/>
    <cellStyle name="注释 2 10 10 3 4 2" xfId="50169"/>
    <cellStyle name="注释 2 10 10 3 5" xfId="50170"/>
    <cellStyle name="注释 2 10 10 3 6" xfId="50171"/>
    <cellStyle name="注释 2 10 10 4 2 2" xfId="50172"/>
    <cellStyle name="注释 2 10 10 4 3" xfId="50173"/>
    <cellStyle name="注释 2 10 10 4 3 2" xfId="50174"/>
    <cellStyle name="注释 2 10 10 4 4" xfId="50175"/>
    <cellStyle name="注释 2 10 10 4 4 2" xfId="50176"/>
    <cellStyle name="注释 2 10 10 4 5" xfId="50177"/>
    <cellStyle name="注释 2 10 10 4 5 2" xfId="50178"/>
    <cellStyle name="注释 2 10 10 4 6" xfId="50179"/>
    <cellStyle name="注释 2 10 10 5 3" xfId="50180"/>
    <cellStyle name="注释 2 10 10 5 5" xfId="50181"/>
    <cellStyle name="注释 2 10 10 5 6" xfId="50182"/>
    <cellStyle name="注释 2 10 10 6 2" xfId="50183"/>
    <cellStyle name="注释 2 10 10 6 3" xfId="50184"/>
    <cellStyle name="注释 2 10 10 6 5" xfId="50185"/>
    <cellStyle name="注释 2 10 10 6 6" xfId="50186"/>
    <cellStyle name="注释 2 2 10 7 2 2" xfId="50187"/>
    <cellStyle name="注释 2 10 10 7 2" xfId="50188"/>
    <cellStyle name="注释 2 10 10 7 3" xfId="50189"/>
    <cellStyle name="注释 2 10 10 7 6" xfId="50190"/>
    <cellStyle name="注释 2 2 10 7 3 2" xfId="50191"/>
    <cellStyle name="注释 2 10 10 8 2" xfId="50192"/>
    <cellStyle name="注释 2 10 10 8 3" xfId="50193"/>
    <cellStyle name="注释 2 10 10 9 2" xfId="50194"/>
    <cellStyle name="注释 2 10 11 10" xfId="50195"/>
    <cellStyle name="注释 2 10 11 10 2" xfId="50196"/>
    <cellStyle name="注释 2 3 10 11" xfId="50197"/>
    <cellStyle name="注释 2 10 11 11" xfId="50198"/>
    <cellStyle name="注释 2 9 10 3 2 2" xfId="50199"/>
    <cellStyle name="注释 2 10 11 11 2" xfId="50200"/>
    <cellStyle name="注释 2 10 11 12" xfId="50201"/>
    <cellStyle name="注释 2 10 11 12 2" xfId="50202"/>
    <cellStyle name="注释 2 10 11 14" xfId="50203"/>
    <cellStyle name="注释 2 10 11 15" xfId="50204"/>
    <cellStyle name="注释 2 10 11 16" xfId="50205"/>
    <cellStyle name="注释 2 10 11 2 2 2" xfId="50206"/>
    <cellStyle name="注释 2 10 11 2 3" xfId="50207"/>
    <cellStyle name="注释 2 10 11 2 3 2" xfId="50208"/>
    <cellStyle name="注释 2 10 11 2 4" xfId="50209"/>
    <cellStyle name="注释 2 10 11 2 4 2" xfId="50210"/>
    <cellStyle name="注释 2 10 11 2 5" xfId="50211"/>
    <cellStyle name="注释 2 10 11 2 5 2" xfId="50212"/>
    <cellStyle name="注释 2 10 11 2 6" xfId="50213"/>
    <cellStyle name="注释 2 10 11 3 3" xfId="50214"/>
    <cellStyle name="注释 2 10 11 3 3 2" xfId="50215"/>
    <cellStyle name="注释 2 10 11 3 4 2" xfId="50216"/>
    <cellStyle name="注释 2 10 11 3 5" xfId="50217"/>
    <cellStyle name="注释 2 10 11 3 5 2" xfId="50218"/>
    <cellStyle name="注释 2 10 11 3 6" xfId="50219"/>
    <cellStyle name="注释 2 10 11 4 3" xfId="50220"/>
    <cellStyle name="注释 2 10 11 4 3 2" xfId="50221"/>
    <cellStyle name="注释 2 10 11 4 4 2" xfId="50222"/>
    <cellStyle name="注释 2 10 11 4 5" xfId="50223"/>
    <cellStyle name="注释 2 10 11 4 5 2" xfId="50224"/>
    <cellStyle name="注释 2 10 11 4 6" xfId="50225"/>
    <cellStyle name="注释 2 10 11 5 2 2" xfId="50226"/>
    <cellStyle name="注释 2 10 11 5 3" xfId="50227"/>
    <cellStyle name="注释 2 10 11 5 3 2" xfId="50228"/>
    <cellStyle name="注释 2 10 11 5 4 2" xfId="50229"/>
    <cellStyle name="注释 2 10 11 5 5" xfId="50230"/>
    <cellStyle name="注释 2 10 11 5 5 2" xfId="50231"/>
    <cellStyle name="注释 2 10 11 5 6" xfId="50232"/>
    <cellStyle name="注释 2 10 11 6 2" xfId="50233"/>
    <cellStyle name="注释 2 10 11 6 2 2" xfId="50234"/>
    <cellStyle name="注释 2 10 11 6 3" xfId="50235"/>
    <cellStyle name="注释 2 10 11 6 3 2" xfId="50236"/>
    <cellStyle name="注释 2 10 11 6 4 2" xfId="50237"/>
    <cellStyle name="注释 2 10 11 6 5" xfId="50238"/>
    <cellStyle name="注释 2 10 11 6 5 2" xfId="50239"/>
    <cellStyle name="注释 2 10 11 6 6" xfId="50240"/>
    <cellStyle name="注释 2 2 10 8 2 2" xfId="50241"/>
    <cellStyle name="注释 2 10 11 7" xfId="50242"/>
    <cellStyle name="注释 2 10 11 7 2" xfId="50243"/>
    <cellStyle name="注释 2 10 11 7 2 2" xfId="50244"/>
    <cellStyle name="注释 2 10 11 7 3" xfId="50245"/>
    <cellStyle name="注释 2 10 11 7 3 2" xfId="50246"/>
    <cellStyle name="注释 2 10 11 7 4 2" xfId="50247"/>
    <cellStyle name="注释 2 10 11 7 5 2" xfId="50248"/>
    <cellStyle name="注释 2 10 11 7 6" xfId="50249"/>
    <cellStyle name="注释 2 2 10 8 3 2" xfId="50250"/>
    <cellStyle name="注释 2 10 11 8" xfId="50251"/>
    <cellStyle name="注释 2 10 11 8 2" xfId="50252"/>
    <cellStyle name="注释 2 10 11 8 2 2" xfId="50253"/>
    <cellStyle name="注释 2 10 11 8 3" xfId="50254"/>
    <cellStyle name="注释 2 10 11 8 3 2" xfId="50255"/>
    <cellStyle name="注释 2 10 11 8 4 2" xfId="50256"/>
    <cellStyle name="注释 2 10 11 9 2" xfId="50257"/>
    <cellStyle name="注释 2 10 12 7" xfId="50258"/>
    <cellStyle name="注释 2 10 12 8" xfId="50259"/>
    <cellStyle name="注释 2 10 16 5 2" xfId="50260"/>
    <cellStyle name="注释 2 12 4 2 6" xfId="50261"/>
    <cellStyle name="注释 2 10 17 2 2" xfId="50262"/>
    <cellStyle name="注释 2 10 17 3" xfId="50263"/>
    <cellStyle name="注释 2 10 17 3 2" xfId="50264"/>
    <cellStyle name="注释 2 10 17 4" xfId="50265"/>
    <cellStyle name="注释 2 10 17 4 2" xfId="50266"/>
    <cellStyle name="注释 2 10 17 5" xfId="50267"/>
    <cellStyle name="注释 2 10 17 5 2" xfId="50268"/>
    <cellStyle name="注释 2 12 5 2 6" xfId="50269"/>
    <cellStyle name="注释 2 10 18 2 2" xfId="50270"/>
    <cellStyle name="注释 2 10 18 3" xfId="50271"/>
    <cellStyle name="注释 2 10 18 3 2" xfId="50272"/>
    <cellStyle name="注释 2 10 18 4" xfId="50273"/>
    <cellStyle name="注释 2 10 18 4 2" xfId="50274"/>
    <cellStyle name="注释 2 10 18 5" xfId="50275"/>
    <cellStyle name="注释 2 10 18 5 2" xfId="50276"/>
    <cellStyle name="注释 2 12 6 2 6" xfId="50277"/>
    <cellStyle name="注释 2 10 18 6" xfId="50278"/>
    <cellStyle name="注释 2 10 19 3 2" xfId="50279"/>
    <cellStyle name="注释 2 10 19 4 2" xfId="50280"/>
    <cellStyle name="注释 2 10 2 14" xfId="50281"/>
    <cellStyle name="注释 2 10 2 15" xfId="50282"/>
    <cellStyle name="注释 2 10 2 16" xfId="50283"/>
    <cellStyle name="注释 2 10 2 2" xfId="50284"/>
    <cellStyle name="注释 2 10 2 2 2" xfId="50285"/>
    <cellStyle name="注释 2 10 2 2 3" xfId="50286"/>
    <cellStyle name="注释 2 10 2 2 4" xfId="50287"/>
    <cellStyle name="注释 2 10 2 2 5" xfId="50288"/>
    <cellStyle name="注释 2 10 2 3 2" xfId="50289"/>
    <cellStyle name="注释 2 10 2 3 3" xfId="50290"/>
    <cellStyle name="注释 2 10 2 3 3 2" xfId="50291"/>
    <cellStyle name="注释 2 10 2 3 4" xfId="50292"/>
    <cellStyle name="注释 2 10 2 3 4 2" xfId="50293"/>
    <cellStyle name="注释 2 10 2 3 5" xfId="50294"/>
    <cellStyle name="注释 2 10 2 3 5 2" xfId="50295"/>
    <cellStyle name="注释 2 10 2 3 6" xfId="50296"/>
    <cellStyle name="注释 2 10 2 4" xfId="50297"/>
    <cellStyle name="注释 2 10 2 4 2" xfId="50298"/>
    <cellStyle name="注释 2 10 2 4 2 2" xfId="50299"/>
    <cellStyle name="注释 2 10 2 4 3" xfId="50300"/>
    <cellStyle name="注释 2 10 2 4 3 2" xfId="50301"/>
    <cellStyle name="注释 2 10 2 4 4 2" xfId="50302"/>
    <cellStyle name="注释 2 10 2 4 5" xfId="50303"/>
    <cellStyle name="注释 2 10 2 4 5 2" xfId="50304"/>
    <cellStyle name="注释 2 10 2 4 6" xfId="50305"/>
    <cellStyle name="注释 2 10 2 5 2" xfId="50306"/>
    <cellStyle name="注释 2 10 2 5 2 2" xfId="50307"/>
    <cellStyle name="注释 2 10 2 5 3" xfId="50308"/>
    <cellStyle name="注释 2 10 2 5 3 2" xfId="50309"/>
    <cellStyle name="注释 2 10 2 5 4 2" xfId="50310"/>
    <cellStyle name="注释 2 10 2 5 5" xfId="50311"/>
    <cellStyle name="注释 2 10 2 5 5 2" xfId="50312"/>
    <cellStyle name="注释 2 10 2 5 6" xfId="50313"/>
    <cellStyle name="注释 2 10 2 6" xfId="50314"/>
    <cellStyle name="注释 2 10 2 6 2" xfId="50315"/>
    <cellStyle name="注释 2 10 2 6 2 2" xfId="50316"/>
    <cellStyle name="注释 2 10 2 6 3" xfId="50317"/>
    <cellStyle name="注释 2 10 2 6 3 2" xfId="50318"/>
    <cellStyle name="注释 2 10 2 6 4 2" xfId="50319"/>
    <cellStyle name="注释 2 10 2 6 5" xfId="50320"/>
    <cellStyle name="注释 2 10 2 6 5 2" xfId="50321"/>
    <cellStyle name="注释 2 10 2 6 6" xfId="50322"/>
    <cellStyle name="注释 2 10 2 7" xfId="50323"/>
    <cellStyle name="注释 2 10 2 7 2" xfId="50324"/>
    <cellStyle name="注释 2 10 2 7 2 2" xfId="50325"/>
    <cellStyle name="注释 2 10 2 7 3" xfId="50326"/>
    <cellStyle name="注释 2 10 2 7 5" xfId="50327"/>
    <cellStyle name="注释 2 10 2 7 6" xfId="50328"/>
    <cellStyle name="注释 2 10 2 8" xfId="50329"/>
    <cellStyle name="注释 2 9 5 3 4 2" xfId="50330"/>
    <cellStyle name="注释 2 10 2 8 2" xfId="50331"/>
    <cellStyle name="注释 2 10 2 8 2 2" xfId="50332"/>
    <cellStyle name="注释 2 10 2 8 3" xfId="50333"/>
    <cellStyle name="注释 2 10 2 8 3 2" xfId="50334"/>
    <cellStyle name="注释 2 10 2 8 4" xfId="50335"/>
    <cellStyle name="注释 2 10 2 8 4 2" xfId="50336"/>
    <cellStyle name="注释 2 10 2 8 5" xfId="50337"/>
    <cellStyle name="注释 2 10 2 9" xfId="50338"/>
    <cellStyle name="注释 2 10 2 9 2" xfId="50339"/>
    <cellStyle name="注释 2 10 3 11" xfId="50340"/>
    <cellStyle name="注释 2 10 3 12" xfId="50341"/>
    <cellStyle name="注释 2 10 3 2" xfId="50342"/>
    <cellStyle name="注释 2 10 3 2 2" xfId="50343"/>
    <cellStyle name="注释 2 10 3 2 2 2" xfId="50344"/>
    <cellStyle name="注释 2 10 3 2 3" xfId="50345"/>
    <cellStyle name="注释 2 10 3 2 3 2" xfId="50346"/>
    <cellStyle name="注释 2 10 3 2 4" xfId="50347"/>
    <cellStyle name="注释 2 10 3 2 4 2" xfId="50348"/>
    <cellStyle name="注释 2 10 3 2 5" xfId="50349"/>
    <cellStyle name="注释 2 10 3 2 5 2" xfId="50350"/>
    <cellStyle name="注释 2 10 3 2 8" xfId="50351"/>
    <cellStyle name="注释 2 10 3 2 9" xfId="50352"/>
    <cellStyle name="注释 2 10 3 3 2" xfId="50353"/>
    <cellStyle name="注释 2 10 3 3 2 2" xfId="50354"/>
    <cellStyle name="注释 2 10 3 3 3" xfId="50355"/>
    <cellStyle name="注释 2 10 3 3 3 2" xfId="50356"/>
    <cellStyle name="注释 2 10 3 3 4" xfId="50357"/>
    <cellStyle name="注释 2 10 3 3 4 2" xfId="50358"/>
    <cellStyle name="注释 2 10 3 3 5" xfId="50359"/>
    <cellStyle name="注释 2 10 3 3 5 2" xfId="50360"/>
    <cellStyle name="注释 2 10 3 3 6" xfId="50361"/>
    <cellStyle name="注释 2 10 3 4" xfId="50362"/>
    <cellStyle name="注释 2 10 3 4 2" xfId="50363"/>
    <cellStyle name="注释 2 10 3 4 2 2" xfId="50364"/>
    <cellStyle name="注释 2 10 3 4 3" xfId="50365"/>
    <cellStyle name="注释 2 10 3 4 3 2" xfId="50366"/>
    <cellStyle name="注释 2 10 3 4 4 2" xfId="50367"/>
    <cellStyle name="注释 2 10 3 4 5" xfId="50368"/>
    <cellStyle name="注释 2 10 3 4 5 2" xfId="50369"/>
    <cellStyle name="注释 2 10 3 4 6" xfId="50370"/>
    <cellStyle name="注释 2 10 3 5 2" xfId="50371"/>
    <cellStyle name="注释 2 10 3 5 2 2" xfId="50372"/>
    <cellStyle name="注释 2 10 3 5 3" xfId="50373"/>
    <cellStyle name="注释 2 10 3 5 3 2" xfId="50374"/>
    <cellStyle name="注释 2 10 3 5 4 2" xfId="50375"/>
    <cellStyle name="注释 2 10 3 5 5" xfId="50376"/>
    <cellStyle name="注释 2 10 3 5 5 2" xfId="50377"/>
    <cellStyle name="注释 2 10 3 5 6" xfId="50378"/>
    <cellStyle name="注释 2 10 3 6" xfId="50379"/>
    <cellStyle name="注释 2 10 3 6 2" xfId="50380"/>
    <cellStyle name="注释 2 10 3 6 2 2" xfId="50381"/>
    <cellStyle name="注释 2 10 3 6 3" xfId="50382"/>
    <cellStyle name="注释 2 10 3 6 3 2" xfId="50383"/>
    <cellStyle name="注释 2 10 3 6 4 2" xfId="50384"/>
    <cellStyle name="注释 2 10 3 6 5" xfId="50385"/>
    <cellStyle name="注释 2 10 3 6 5 2" xfId="50386"/>
    <cellStyle name="注释 2 10 3 6 6" xfId="50387"/>
    <cellStyle name="注释 2 10 3 7" xfId="50388"/>
    <cellStyle name="注释 2 10 3 7 2" xfId="50389"/>
    <cellStyle name="注释 2 10 3 7 2 2" xfId="50390"/>
    <cellStyle name="注释 2 10 3 7 3 2" xfId="50391"/>
    <cellStyle name="注释 2 10 3 7 4 2" xfId="50392"/>
    <cellStyle name="注释 2 10 3 7 5" xfId="50393"/>
    <cellStyle name="注释 2 10 3 7 5 2" xfId="50394"/>
    <cellStyle name="注释 2 10 3 7 6" xfId="50395"/>
    <cellStyle name="注释 2 10 3 8" xfId="50396"/>
    <cellStyle name="注释 2 9 5 3 5 2" xfId="50397"/>
    <cellStyle name="注释 2 10 3 8 2" xfId="50398"/>
    <cellStyle name="注释 2 10 3 8 2 2" xfId="50399"/>
    <cellStyle name="注释 2 10 3 8 3 2" xfId="50400"/>
    <cellStyle name="注释 2 10 3 8 4" xfId="50401"/>
    <cellStyle name="注释 2 10 3 8 4 2" xfId="50402"/>
    <cellStyle name="注释 2 10 3 8 5" xfId="50403"/>
    <cellStyle name="注释 2 10 4 10" xfId="50404"/>
    <cellStyle name="注释 2 10 4 10 2" xfId="50405"/>
    <cellStyle name="注释 2 10 4 2 2 2" xfId="50406"/>
    <cellStyle name="注释 2 10 4 2 3" xfId="50407"/>
    <cellStyle name="注释 2 10 4 2 3 2" xfId="50408"/>
    <cellStyle name="注释 2 10 4 2 4" xfId="50409"/>
    <cellStyle name="注释 2 10 4 2 4 2" xfId="50410"/>
    <cellStyle name="注释 2 10 4 3 2" xfId="50411"/>
    <cellStyle name="注释 2 10 4 3 2 2" xfId="50412"/>
    <cellStyle name="注释 2 10 4 3 3" xfId="50413"/>
    <cellStyle name="注释 2 10 4 3 3 2" xfId="50414"/>
    <cellStyle name="注释 2 10 4 3 4" xfId="50415"/>
    <cellStyle name="注释 2 10 4 3 4 2" xfId="50416"/>
    <cellStyle name="注释 2 10 4 4 2" xfId="50417"/>
    <cellStyle name="注释 2 10 4 4 2 2" xfId="50418"/>
    <cellStyle name="注释 2 10 4 4 3" xfId="50419"/>
    <cellStyle name="注释 2 10 4 4 3 2" xfId="50420"/>
    <cellStyle name="注释 2 10 4 4 4 2" xfId="50421"/>
    <cellStyle name="注释 2 10 4 5 2" xfId="50422"/>
    <cellStyle name="注释 2 10 4 5 2 2" xfId="50423"/>
    <cellStyle name="注释 2 10 4 5 3" xfId="50424"/>
    <cellStyle name="注释 2 10 4 5 3 2" xfId="50425"/>
    <cellStyle name="注释 2 10 4 6 2" xfId="50426"/>
    <cellStyle name="注释 2 10 4 6 3" xfId="50427"/>
    <cellStyle name="注释 2 10 4 6 4 2" xfId="50428"/>
    <cellStyle name="注释 2 10 4 7 2" xfId="50429"/>
    <cellStyle name="注释 2 10 4 7 4 2" xfId="50430"/>
    <cellStyle name="注释 2 10 4 8" xfId="50431"/>
    <cellStyle name="注释 2 10 4 8 2" xfId="50432"/>
    <cellStyle name="注释 2 10 4 8 2 2" xfId="50433"/>
    <cellStyle name="注释 2 10 4 8 3 2" xfId="50434"/>
    <cellStyle name="注释 2 10 4 8 4" xfId="50435"/>
    <cellStyle name="注释 2 10 4 8 4 2" xfId="50436"/>
    <cellStyle name="注释 2 10 5" xfId="50437"/>
    <cellStyle name="注释 2 10 5 10" xfId="50438"/>
    <cellStyle name="注释 2 10 5 10 2" xfId="50439"/>
    <cellStyle name="注释 2 12 5 7 6" xfId="50440"/>
    <cellStyle name="注释 2 10 5 11" xfId="50441"/>
    <cellStyle name="注释 2 10 5 11 2" xfId="50442"/>
    <cellStyle name="注释 2 10 5 12" xfId="50443"/>
    <cellStyle name="注释 2 10 5 13" xfId="50444"/>
    <cellStyle name="注释 2 10 5 14" xfId="50445"/>
    <cellStyle name="注释 2 10 5 2 5 2" xfId="50446"/>
    <cellStyle name="注释 2 10 6" xfId="50447"/>
    <cellStyle name="注释 2 10 5 2 6" xfId="50448"/>
    <cellStyle name="注释 2 10 5 2 8" xfId="50449"/>
    <cellStyle name="注释 2 10 5 2 9" xfId="50450"/>
    <cellStyle name="注释 2 10 5 3 5 2" xfId="50451"/>
    <cellStyle name="注释 2 10 5 3 6" xfId="50452"/>
    <cellStyle name="注释 2 10 5 4 4 2" xfId="50453"/>
    <cellStyle name="注释 2 10 5 4 5" xfId="50454"/>
    <cellStyle name="注释 2 10 5 4 5 2" xfId="50455"/>
    <cellStyle name="注释 2 10 5 4 6" xfId="50456"/>
    <cellStyle name="注释 2 10 5 5 2" xfId="50457"/>
    <cellStyle name="注释 2 10 5 5 2 2" xfId="50458"/>
    <cellStyle name="注释 2 10 5 5 3" xfId="50459"/>
    <cellStyle name="注释 2 10 5 5 3 2" xfId="50460"/>
    <cellStyle name="注释 2 10 5 5 5" xfId="50461"/>
    <cellStyle name="注释 2 10 5 5 5 2" xfId="50462"/>
    <cellStyle name="注释 2 10 5 5 6" xfId="50463"/>
    <cellStyle name="注释 2 10 5 6" xfId="50464"/>
    <cellStyle name="注释 2 10 5 6 2 2" xfId="50465"/>
    <cellStyle name="注释 2 10 5 6 3 2" xfId="50466"/>
    <cellStyle name="注释 2 10 5 6 4 2" xfId="50467"/>
    <cellStyle name="注释 2 10 5 6 5" xfId="50468"/>
    <cellStyle name="注释 2 10 5 6 5 2" xfId="50469"/>
    <cellStyle name="注释 2 10 5 6 6" xfId="50470"/>
    <cellStyle name="注释 2 10 5 7 2" xfId="50471"/>
    <cellStyle name="注释 2 10 5 7 2 2" xfId="50472"/>
    <cellStyle name="注释 2 10 5 7 3 2" xfId="50473"/>
    <cellStyle name="注释 2 10 5 7 4 2" xfId="50474"/>
    <cellStyle name="注释 2 10 5 7 5" xfId="50475"/>
    <cellStyle name="注释 2 10 5 7 5 2" xfId="50476"/>
    <cellStyle name="注释 2 10 5 7 6" xfId="50477"/>
    <cellStyle name="注释 2 9 10 10" xfId="50478"/>
    <cellStyle name="注释 2 10 5 8" xfId="50479"/>
    <cellStyle name="注释 2 10 5 8 2" xfId="50480"/>
    <cellStyle name="注释 2 10 5 8 2 2" xfId="50481"/>
    <cellStyle name="注释 2 10 5 8 3 2" xfId="50482"/>
    <cellStyle name="注释 2 10 5 8 4 2" xfId="50483"/>
    <cellStyle name="注释 2 10 5 8 5" xfId="50484"/>
    <cellStyle name="注释 2 10 6 10" xfId="50485"/>
    <cellStyle name="注释 2 10 6 10 2" xfId="50486"/>
    <cellStyle name="注释 2 4 10 7 6" xfId="50487"/>
    <cellStyle name="注释 2 10 6 11" xfId="50488"/>
    <cellStyle name="注释 2 10 6 11 2" xfId="50489"/>
    <cellStyle name="注释 2 10 6 12 2" xfId="50490"/>
    <cellStyle name="注释 2 10 6 13" xfId="50491"/>
    <cellStyle name="注释 2 10 6 14" xfId="50492"/>
    <cellStyle name="注释 2 10 6 15" xfId="50493"/>
    <cellStyle name="注释 2 10 6 16" xfId="50494"/>
    <cellStyle name="注释 2 10 6 2" xfId="50495"/>
    <cellStyle name="注释 2 10 6 2 2" xfId="50496"/>
    <cellStyle name="注释 2 10 6 2 2 2" xfId="50497"/>
    <cellStyle name="注释 2 10 6 2 3" xfId="50498"/>
    <cellStyle name="注释 2 10 6 2 3 2" xfId="50499"/>
    <cellStyle name="注释 2 10 6 2 4" xfId="50500"/>
    <cellStyle name="注释 2 10 6 2 4 2" xfId="50501"/>
    <cellStyle name="注释 2 10 6 2 5" xfId="50502"/>
    <cellStyle name="注释 2 10 6 2 5 2" xfId="50503"/>
    <cellStyle name="注释 2 10 6 2 8" xfId="50504"/>
    <cellStyle name="注释 2 10 6 2 9" xfId="50505"/>
    <cellStyle name="注释 2 10 6 3" xfId="50506"/>
    <cellStyle name="注释 2 10 6 3 2" xfId="50507"/>
    <cellStyle name="注释 2 10 6 3 2 2" xfId="50508"/>
    <cellStyle name="注释 2 10 6 3 3" xfId="50509"/>
    <cellStyle name="注释 2 10 6 3 3 2" xfId="50510"/>
    <cellStyle name="注释 2 10 6 3 4" xfId="50511"/>
    <cellStyle name="注释 2 10 6 3 4 2" xfId="50512"/>
    <cellStyle name="注释 2 10 6 3 5" xfId="50513"/>
    <cellStyle name="注释 2 10 6 3 5 2" xfId="50514"/>
    <cellStyle name="注释 2 10 6 4 2" xfId="50515"/>
    <cellStyle name="注释 2 10 6 4 3" xfId="50516"/>
    <cellStyle name="注释 2 10 6 4 3 2" xfId="50517"/>
    <cellStyle name="注释 2 10 6 4 4 2" xfId="50518"/>
    <cellStyle name="注释 2 10 6 4 5" xfId="50519"/>
    <cellStyle name="注释 2 10 6 4 5 2" xfId="50520"/>
    <cellStyle name="注释 2 10 6 5" xfId="50521"/>
    <cellStyle name="注释 2 10 6 5 2" xfId="50522"/>
    <cellStyle name="注释 2 10 6 5 2 2" xfId="50523"/>
    <cellStyle name="注释 2 10 6 5 3" xfId="50524"/>
    <cellStyle name="注释 2 10 6 5 3 2" xfId="50525"/>
    <cellStyle name="注释 2 10 6 5 4 2" xfId="50526"/>
    <cellStyle name="注释 2 10 6 5 5" xfId="50527"/>
    <cellStyle name="注释 2 10 6 5 5 2" xfId="50528"/>
    <cellStyle name="注释 2 10 6 5 6" xfId="50529"/>
    <cellStyle name="注释 2 10 6 6" xfId="50530"/>
    <cellStyle name="注释 2 10 6 6 2" xfId="50531"/>
    <cellStyle name="注释 2 10 6 6 2 2" xfId="50532"/>
    <cellStyle name="注释 2 10 6 6 3" xfId="50533"/>
    <cellStyle name="注释 2 10 6 6 3 2" xfId="50534"/>
    <cellStyle name="注释 2 10 6 6 4 2" xfId="50535"/>
    <cellStyle name="注释 2 10 6 6 5" xfId="50536"/>
    <cellStyle name="注释 2 10 6 6 5 2" xfId="50537"/>
    <cellStyle name="注释 2 10 6 6 6" xfId="50538"/>
    <cellStyle name="注释 2 10 6 7 2" xfId="50539"/>
    <cellStyle name="注释 2 10 6 7 5" xfId="50540"/>
    <cellStyle name="注释 2 10 6 7 5 2" xfId="50541"/>
    <cellStyle name="注释 2 10 6 7 6" xfId="50542"/>
    <cellStyle name="注释 2 10 6 8 2 2" xfId="50543"/>
    <cellStyle name="注释 2 10 6 8 3 2" xfId="50544"/>
    <cellStyle name="注释 2 10 6 8 4 2" xfId="50545"/>
    <cellStyle name="注释 2 10 6 8 5" xfId="50546"/>
    <cellStyle name="注释 2 10 7" xfId="50547"/>
    <cellStyle name="注释 2 10 7 13" xfId="50548"/>
    <cellStyle name="注释 2 10 7 14" xfId="50549"/>
    <cellStyle name="注释 2 10 7 15" xfId="50550"/>
    <cellStyle name="注释 2 10 7 16" xfId="50551"/>
    <cellStyle name="注释 2 10 7 2" xfId="50552"/>
    <cellStyle name="注释 2 10 7 2 2" xfId="50553"/>
    <cellStyle name="注释 2 10 7 2 2 2" xfId="50554"/>
    <cellStyle name="注释 2 10 7 2 3" xfId="50555"/>
    <cellStyle name="注释 2 10 7 2 3 2" xfId="50556"/>
    <cellStyle name="注释 2 10 7 2 4" xfId="50557"/>
    <cellStyle name="注释 2 10 7 2 5" xfId="50558"/>
    <cellStyle name="注释 2 10 7 2 5 2" xfId="50559"/>
    <cellStyle name="注释 2 3 10 2 7" xfId="50560"/>
    <cellStyle name="注释 2 10 7 2 6" xfId="50561"/>
    <cellStyle name="注释 2 10 7 2 9" xfId="50562"/>
    <cellStyle name="注释 2 10 7 3" xfId="50563"/>
    <cellStyle name="注释 2 10 7 3 2" xfId="50564"/>
    <cellStyle name="注释 2 10 7 3 2 2" xfId="50565"/>
    <cellStyle name="注释 2 10 7 3 3" xfId="50566"/>
    <cellStyle name="注释 2 10 7 3 3 2" xfId="50567"/>
    <cellStyle name="注释 2 10 7 3 4" xfId="50568"/>
    <cellStyle name="注释 2 10 7 3 5" xfId="50569"/>
    <cellStyle name="注释 2 10 7 3 5 2" xfId="50570"/>
    <cellStyle name="注释 2 10 7 3 6" xfId="50571"/>
    <cellStyle name="注释 2 10 7 4 2" xfId="50572"/>
    <cellStyle name="注释 2 10 7 4 2 2" xfId="50573"/>
    <cellStyle name="注释 2 10 7 4 3" xfId="50574"/>
    <cellStyle name="注释 2 10 7 4 3 2" xfId="50575"/>
    <cellStyle name="注释 2 10 7 4 4 2" xfId="50576"/>
    <cellStyle name="注释 2 10 7 4 5" xfId="50577"/>
    <cellStyle name="注释 2 10 7 4 5 2" xfId="50578"/>
    <cellStyle name="注释 2 10 7 4 6" xfId="50579"/>
    <cellStyle name="注释 2 10 7 5" xfId="50580"/>
    <cellStyle name="注释 2 10 7 5 2" xfId="50581"/>
    <cellStyle name="注释 2 10 7 5 2 2" xfId="50582"/>
    <cellStyle name="注释 2 10 7 5 3" xfId="50583"/>
    <cellStyle name="注释 2 10 7 5 3 2" xfId="50584"/>
    <cellStyle name="注释 2 10 7 5 4 2" xfId="50585"/>
    <cellStyle name="注释 2 10 7 5 5" xfId="50586"/>
    <cellStyle name="注释 2 10 7 5 5 2" xfId="50587"/>
    <cellStyle name="注释 2 10 7 5 6" xfId="50588"/>
    <cellStyle name="注释 2 10 7 6" xfId="50589"/>
    <cellStyle name="注释 2 10 7 6 2" xfId="50590"/>
    <cellStyle name="注释 2 10 7 6 2 2" xfId="50591"/>
    <cellStyle name="注释 2 10 7 6 3" xfId="50592"/>
    <cellStyle name="注释 2 10 7 6 3 2" xfId="50593"/>
    <cellStyle name="注释 2 10 7 6 4 2" xfId="50594"/>
    <cellStyle name="注释 2 10 7 6 5" xfId="50595"/>
    <cellStyle name="注释 2 10 7 6 5 2" xfId="50596"/>
    <cellStyle name="注释 2 10 7 6 6" xfId="50597"/>
    <cellStyle name="注释 2 10 7 7 2" xfId="50598"/>
    <cellStyle name="注释 2 10 7 7 2 2" xfId="50599"/>
    <cellStyle name="注释 2 10 7 7 3 2" xfId="50600"/>
    <cellStyle name="注释 2 10 7 7 5" xfId="50601"/>
    <cellStyle name="注释 2 10 7 7 5 2" xfId="50602"/>
    <cellStyle name="注释 2 10 7 7 6" xfId="50603"/>
    <cellStyle name="注释 2 10 7 8" xfId="50604"/>
    <cellStyle name="注释 2 10 7 8 2" xfId="50605"/>
    <cellStyle name="注释 2 10 7 8 2 2" xfId="50606"/>
    <cellStyle name="注释 2 10 7 8 3 2" xfId="50607"/>
    <cellStyle name="注释 2 10 7 8 5" xfId="50608"/>
    <cellStyle name="注释 2 10 7 9" xfId="50609"/>
    <cellStyle name="注释 2 2 8 4 5 2" xfId="50610"/>
    <cellStyle name="注释 2 10 8" xfId="50611"/>
    <cellStyle name="注释 2 10 8 11" xfId="50612"/>
    <cellStyle name="注释 2 10 8 12" xfId="50613"/>
    <cellStyle name="注释 2 10 8 2" xfId="50614"/>
    <cellStyle name="注释 2 10 8 2 2" xfId="50615"/>
    <cellStyle name="注释 2 10 8 2 2 2" xfId="50616"/>
    <cellStyle name="注释 2 10 8 2 3" xfId="50617"/>
    <cellStyle name="注释 2 10 8 2 3 2" xfId="50618"/>
    <cellStyle name="注释 2 10 8 2 4" xfId="50619"/>
    <cellStyle name="注释 2 10 8 2 5" xfId="50620"/>
    <cellStyle name="注释 2 10 8 2 5 2" xfId="50621"/>
    <cellStyle name="注释 2 10 8 2 6" xfId="50622"/>
    <cellStyle name="注释 2 10 8 2 9" xfId="50623"/>
    <cellStyle name="注释 2 10 8 3" xfId="50624"/>
    <cellStyle name="注释 2 10 8 3 2" xfId="50625"/>
    <cellStyle name="注释 2 10 8 3 2 2" xfId="50626"/>
    <cellStyle name="注释 2 10 8 3 3" xfId="50627"/>
    <cellStyle name="注释 2 10 8 3 3 2" xfId="50628"/>
    <cellStyle name="注释 2 10 8 3 4" xfId="50629"/>
    <cellStyle name="注释 2 10 8 3 5" xfId="50630"/>
    <cellStyle name="注释 2 10 8 3 5 2" xfId="50631"/>
    <cellStyle name="注释 2 10 8 3 6" xfId="50632"/>
    <cellStyle name="注释 2 10 8 4" xfId="50633"/>
    <cellStyle name="注释 2 10 8 4 2" xfId="50634"/>
    <cellStyle name="注释 2 10 8 4 2 2" xfId="50635"/>
    <cellStyle name="注释 2 10 8 4 3" xfId="50636"/>
    <cellStyle name="注释 2 10 8 4 3 2" xfId="50637"/>
    <cellStyle name="注释 2 10 8 4 4" xfId="50638"/>
    <cellStyle name="注释 2 10 8 4 4 2" xfId="50639"/>
    <cellStyle name="注释 2 10 8 4 5" xfId="50640"/>
    <cellStyle name="注释 2 10 8 4 5 2" xfId="50641"/>
    <cellStyle name="注释 2 10 8 4 6" xfId="50642"/>
    <cellStyle name="注释 2 10 8 5 2" xfId="50643"/>
    <cellStyle name="注释 2 10 8 5 2 2" xfId="50644"/>
    <cellStyle name="注释 2 10 8 5 3" xfId="50645"/>
    <cellStyle name="注释 2 10 8 5 3 2" xfId="50646"/>
    <cellStyle name="注释 2 10 8 5 4 2" xfId="50647"/>
    <cellStyle name="注释 2 10 8 5 5" xfId="50648"/>
    <cellStyle name="注释 2 10 8 5 5 2" xfId="50649"/>
    <cellStyle name="注释 2 10 8 5 6" xfId="50650"/>
    <cellStyle name="注释 2 10 8 6" xfId="50651"/>
    <cellStyle name="注释 2 10 8 6 2" xfId="50652"/>
    <cellStyle name="注释 2 10 8 6 2 2" xfId="50653"/>
    <cellStyle name="注释 2 10 8 6 3" xfId="50654"/>
    <cellStyle name="注释 2 10 8 6 3 2" xfId="50655"/>
    <cellStyle name="注释 2 10 8 6 4 2" xfId="50656"/>
    <cellStyle name="注释 2 10 8 6 5" xfId="50657"/>
    <cellStyle name="注释 2 10 8 6 5 2" xfId="50658"/>
    <cellStyle name="注释 2 10 8 6 6" xfId="50659"/>
    <cellStyle name="注释 2 10 8 7 2" xfId="50660"/>
    <cellStyle name="注释 2 10 8 7 2 2" xfId="50661"/>
    <cellStyle name="注释 2 10 8 7 3 2" xfId="50662"/>
    <cellStyle name="注释 2 10 8 7 4 2" xfId="50663"/>
    <cellStyle name="注释 2 10 8 7 5" xfId="50664"/>
    <cellStyle name="注释 2 10 8 7 5 2" xfId="50665"/>
    <cellStyle name="注释 2 10 8 7 6" xfId="50666"/>
    <cellStyle name="注释 2 10 8 8 2" xfId="50667"/>
    <cellStyle name="注释 2 10 8 8 2 2" xfId="50668"/>
    <cellStyle name="注释 2 10 8 8 3 2" xfId="50669"/>
    <cellStyle name="注释 2 10 8 8 4" xfId="50670"/>
    <cellStyle name="注释 2 10 8 8 4 2" xfId="50671"/>
    <cellStyle name="注释 2 10 8 8 5" xfId="50672"/>
    <cellStyle name="注释 2 10 9" xfId="50673"/>
    <cellStyle name="注释 2 10 9 10" xfId="50674"/>
    <cellStyle name="注释 2 10 9 10 2" xfId="50675"/>
    <cellStyle name="注释 2 10 9 2" xfId="50676"/>
    <cellStyle name="注释 2 10 9 2 2" xfId="50677"/>
    <cellStyle name="注释 2 10 9 2 2 2" xfId="50678"/>
    <cellStyle name="注释 2 10 9 2 3" xfId="50679"/>
    <cellStyle name="注释 2 10 9 2 3 2" xfId="50680"/>
    <cellStyle name="注释 2 10 9 2 4" xfId="50681"/>
    <cellStyle name="注释 2 10 9 2 4 2" xfId="50682"/>
    <cellStyle name="注释 2 10 9 3" xfId="50683"/>
    <cellStyle name="注释 2 10 9 3 2" xfId="50684"/>
    <cellStyle name="注释 2 10 9 3 2 2" xfId="50685"/>
    <cellStyle name="注释 2 10 9 3 3" xfId="50686"/>
    <cellStyle name="注释 2 10 9 3 3 2" xfId="50687"/>
    <cellStyle name="注释 2 10 9 3 4" xfId="50688"/>
    <cellStyle name="注释 2 10 9 3 4 2" xfId="50689"/>
    <cellStyle name="注释 2 10 9 4" xfId="50690"/>
    <cellStyle name="注释 2 10 9 4 2" xfId="50691"/>
    <cellStyle name="注释 2 10 9 4 2 2" xfId="50692"/>
    <cellStyle name="注释 2 10 9 4 3" xfId="50693"/>
    <cellStyle name="注释 2 10 9 4 3 2" xfId="50694"/>
    <cellStyle name="注释 2 10 9 4 4" xfId="50695"/>
    <cellStyle name="注释 2 10 9 4 4 2" xfId="50696"/>
    <cellStyle name="注释 2 10 9 5 2" xfId="50697"/>
    <cellStyle name="注释 2 10 9 5 3" xfId="50698"/>
    <cellStyle name="注释 2 10 9 5 3 2" xfId="50699"/>
    <cellStyle name="注释 2 10 9 5 4" xfId="50700"/>
    <cellStyle name="注释 2 10 9 5 4 2" xfId="50701"/>
    <cellStyle name="注释 2 10 9 6" xfId="50702"/>
    <cellStyle name="注释 2 10 9 6 2" xfId="50703"/>
    <cellStyle name="注释 2 10 9 6 3" xfId="50704"/>
    <cellStyle name="注释 2 10 9 6 4" xfId="50705"/>
    <cellStyle name="注释 2 10 9 6 4 2" xfId="50706"/>
    <cellStyle name="注释 2 10 9 7" xfId="50707"/>
    <cellStyle name="注释 2 10 9 7 2" xfId="50708"/>
    <cellStyle name="注释 2 10 9 7 4" xfId="50709"/>
    <cellStyle name="注释 2 10 9 8 2" xfId="50710"/>
    <cellStyle name="注释 2 10 9 8 2 2" xfId="50711"/>
    <cellStyle name="注释 2 10 9 8 3 2" xfId="50712"/>
    <cellStyle name="注释 2 10 9 8 4" xfId="50713"/>
    <cellStyle name="注释 2 11 10 10 2" xfId="50714"/>
    <cellStyle name="注释 2 11 10 11 2" xfId="50715"/>
    <cellStyle name="注释 2 11 10 12" xfId="50716"/>
    <cellStyle name="注释 2 11 10 12 2" xfId="50717"/>
    <cellStyle name="注释 2 9 10 2 4" xfId="50718"/>
    <cellStyle name="注释 2 11 10 14" xfId="50719"/>
    <cellStyle name="注释 2 11 10 15" xfId="50720"/>
    <cellStyle name="注释 2 11 10 16" xfId="50721"/>
    <cellStyle name="注释 2 8 10 7 4 2" xfId="50722"/>
    <cellStyle name="注释 2 11 10 2" xfId="50723"/>
    <cellStyle name="注释 2 11 10 2 2" xfId="50724"/>
    <cellStyle name="注释 2 11 10 2 3" xfId="50725"/>
    <cellStyle name="注释 2 11 10 2 4" xfId="50726"/>
    <cellStyle name="注释 2 11 10 2 5" xfId="50727"/>
    <cellStyle name="注释 2 11 10 2 6" xfId="50728"/>
    <cellStyle name="注释 2 11 10 2 7" xfId="50729"/>
    <cellStyle name="注释 2 11 10 2 8" xfId="50730"/>
    <cellStyle name="注释 2 6 10 5 3 2" xfId="50731"/>
    <cellStyle name="注释 2 11 10 2 9" xfId="50732"/>
    <cellStyle name="注释 2 4 18 3 2" xfId="50733"/>
    <cellStyle name="注释 2 11 10 3" xfId="50734"/>
    <cellStyle name="注释 2 11 10 3 2" xfId="50735"/>
    <cellStyle name="注释 2 11 10 3 3" xfId="50736"/>
    <cellStyle name="注释 2 11 10 3 4" xfId="50737"/>
    <cellStyle name="注释 2 11 10 3 5" xfId="50738"/>
    <cellStyle name="注释 2 11 10 3 6" xfId="50739"/>
    <cellStyle name="注释 2 11 10 4" xfId="50740"/>
    <cellStyle name="注释 2 11 10 4 2" xfId="50741"/>
    <cellStyle name="注释 2 11 10 4 3" xfId="50742"/>
    <cellStyle name="注释 2 11 10 4 4" xfId="50743"/>
    <cellStyle name="注释 2 11 10 4 5" xfId="50744"/>
    <cellStyle name="注释 2 11 10 4 6" xfId="50745"/>
    <cellStyle name="注释 2 11 10 5" xfId="50746"/>
    <cellStyle name="注释 2 11 10 5 2" xfId="50747"/>
    <cellStyle name="注释 2 11 10 5 3" xfId="50748"/>
    <cellStyle name="注释 2 11 10 5 4" xfId="50749"/>
    <cellStyle name="注释 2 11 10 5 5" xfId="50750"/>
    <cellStyle name="注释 2 11 10 5 6" xfId="50751"/>
    <cellStyle name="注释 2 11 10 6 2" xfId="50752"/>
    <cellStyle name="注释 2 11 10 6 2 2" xfId="50753"/>
    <cellStyle name="注释 2 11 10 6 3" xfId="50754"/>
    <cellStyle name="注释 2 11 10 6 3 2" xfId="50755"/>
    <cellStyle name="注释 2 11 10 6 4" xfId="50756"/>
    <cellStyle name="注释 2 11 10 6 4 2" xfId="50757"/>
    <cellStyle name="注释 2 11 10 6 5" xfId="50758"/>
    <cellStyle name="注释 2 11 10 6 5 2" xfId="50759"/>
    <cellStyle name="注释 2 11 10 6 6" xfId="50760"/>
    <cellStyle name="注释 2 11 10 7" xfId="50761"/>
    <cellStyle name="注释 2 11 10 7 2" xfId="50762"/>
    <cellStyle name="注释 2 11 10 7 2 2" xfId="50763"/>
    <cellStyle name="注释 2 11 10 7 3" xfId="50764"/>
    <cellStyle name="注释 2 11 10 7 3 2" xfId="50765"/>
    <cellStyle name="注释 2 11 10 7 4" xfId="50766"/>
    <cellStyle name="注释 2 11 10 7 4 2" xfId="50767"/>
    <cellStyle name="注释 2 11 10 7 5" xfId="50768"/>
    <cellStyle name="注释 2 11 10 7 5 2" xfId="50769"/>
    <cellStyle name="注释 2 11 10 8" xfId="50770"/>
    <cellStyle name="注释 2 11 10 8 2" xfId="50771"/>
    <cellStyle name="注释 2 11 10 8 2 2" xfId="50772"/>
    <cellStyle name="注释 2 11 10 8 3" xfId="50773"/>
    <cellStyle name="注释 2 11 10 8 3 2" xfId="50774"/>
    <cellStyle name="注释 2 11 10 8 4 2" xfId="50775"/>
    <cellStyle name="注释 2 11 10 8 5" xfId="50776"/>
    <cellStyle name="注释 2 11 10 9" xfId="50777"/>
    <cellStyle name="注释 2 3 7 2" xfId="50778"/>
    <cellStyle name="注释 2 11 10 9 2" xfId="50779"/>
    <cellStyle name="注释 2 3 7 2 2" xfId="50780"/>
    <cellStyle name="注释 2 11 11" xfId="50781"/>
    <cellStyle name="注释 2 11 11 10" xfId="50782"/>
    <cellStyle name="注释 2 11 11 11" xfId="50783"/>
    <cellStyle name="注释 2 9 11 3 2 2" xfId="50784"/>
    <cellStyle name="注释 2 11 11 12" xfId="50785"/>
    <cellStyle name="注释 2 11 11 13" xfId="50786"/>
    <cellStyle name="注释 2 11 11 15" xfId="50787"/>
    <cellStyle name="注释 2 11 11 16" xfId="50788"/>
    <cellStyle name="注释 2 11 11 2" xfId="50789"/>
    <cellStyle name="注释 2 11 11 2 2" xfId="50790"/>
    <cellStyle name="注释 2 11 11 2 2 2" xfId="50791"/>
    <cellStyle name="注释 2 11 11 2 3" xfId="50792"/>
    <cellStyle name="注释 2 11 11 2 3 2" xfId="50793"/>
    <cellStyle name="注释 2 11 11 2 4" xfId="50794"/>
    <cellStyle name="注释 2 11 11 2 4 2" xfId="50795"/>
    <cellStyle name="注释 2 11 11 2 5" xfId="50796"/>
    <cellStyle name="注释 2 11 11 2 5 2" xfId="50797"/>
    <cellStyle name="注释 2 11 11 2 6" xfId="50798"/>
    <cellStyle name="注释 2 11 11 3" xfId="50799"/>
    <cellStyle name="注释 2 11 11 3 2" xfId="50800"/>
    <cellStyle name="注释 2 11 11 3 3" xfId="50801"/>
    <cellStyle name="注释 2 11 11 3 5" xfId="50802"/>
    <cellStyle name="注释 2 11 11 3 6" xfId="50803"/>
    <cellStyle name="注释 2 11 11 4" xfId="50804"/>
    <cellStyle name="注释 2 11 11 4 2" xfId="50805"/>
    <cellStyle name="注释 2 11 11 4 3" xfId="50806"/>
    <cellStyle name="注释 2 11 11 4 5" xfId="50807"/>
    <cellStyle name="注释 2 11 11 4 6" xfId="50808"/>
    <cellStyle name="注释 2 11 11 5" xfId="50809"/>
    <cellStyle name="注释 2 11 11 5 2" xfId="50810"/>
    <cellStyle name="注释 2 11 11 5 3" xfId="50811"/>
    <cellStyle name="注释 2 11 11 5 3 2" xfId="50812"/>
    <cellStyle name="注释 2 11 11 5 4 2" xfId="50813"/>
    <cellStyle name="注释 2 11 11 5 5" xfId="50814"/>
    <cellStyle name="注释 2 11 11 5 5 2" xfId="50815"/>
    <cellStyle name="注释 2 2 11 2 6" xfId="50816"/>
    <cellStyle name="注释 2 11 11 5 6" xfId="50817"/>
    <cellStyle name="注释 2 11 11 6 2" xfId="50818"/>
    <cellStyle name="注释 2 11 11 6 2 2" xfId="50819"/>
    <cellStyle name="注释 2 11 11 6 3" xfId="50820"/>
    <cellStyle name="注释 2 11 11 6 3 2" xfId="50821"/>
    <cellStyle name="注释 2 11 11 6 4 2" xfId="50822"/>
    <cellStyle name="注释 2 11 11 6 5" xfId="50823"/>
    <cellStyle name="注释 2 11 11 6 5 2" xfId="50824"/>
    <cellStyle name="注释 2 11 11 6 6" xfId="50825"/>
    <cellStyle name="注释 2 11 11 7" xfId="50826"/>
    <cellStyle name="注释 2 11 11 7 2" xfId="50827"/>
    <cellStyle name="注释 2 11 11 7 2 2" xfId="50828"/>
    <cellStyle name="注释 2 11 11 7 3" xfId="50829"/>
    <cellStyle name="注释 2 11 11 7 3 2" xfId="50830"/>
    <cellStyle name="注释 2 11 11 7 4" xfId="50831"/>
    <cellStyle name="注释 2 11 11 7 4 2" xfId="50832"/>
    <cellStyle name="注释 2 11 11 7 5" xfId="50833"/>
    <cellStyle name="注释 2 11 11 7 5 2" xfId="50834"/>
    <cellStyle name="注释 2 11 11 8" xfId="50835"/>
    <cellStyle name="注释 2 11 11 8 2" xfId="50836"/>
    <cellStyle name="注释 2 11 11 8 2 2" xfId="50837"/>
    <cellStyle name="注释 2 11 11 8 3" xfId="50838"/>
    <cellStyle name="注释 2 7 11 2 2 2" xfId="50839"/>
    <cellStyle name="注释 2 11 11 8 3 2" xfId="50840"/>
    <cellStyle name="注释 2 11 11 8 4 2" xfId="50841"/>
    <cellStyle name="注释 2 11 11 8 5" xfId="50842"/>
    <cellStyle name="注释 2 11 11 9" xfId="50843"/>
    <cellStyle name="注释 2 3 8 2" xfId="50844"/>
    <cellStyle name="注释 2 11 11 9 2" xfId="50845"/>
    <cellStyle name="注释 2 3 8 2 2" xfId="50846"/>
    <cellStyle name="注释 2 11 12 3" xfId="50847"/>
    <cellStyle name="注释 2 11 12 4" xfId="50848"/>
    <cellStyle name="注释 2 11 12 4 2" xfId="50849"/>
    <cellStyle name="注释 2 11 12 5" xfId="50850"/>
    <cellStyle name="注释 2 11 12 5 2" xfId="50851"/>
    <cellStyle name="注释 2 11 12 7" xfId="50852"/>
    <cellStyle name="注释 2 11 12 8" xfId="50853"/>
    <cellStyle name="注释 2 11 12 9" xfId="50854"/>
    <cellStyle name="注释 2 3 9 2" xfId="50855"/>
    <cellStyle name="注释 2 11 13 3" xfId="50856"/>
    <cellStyle name="注释 2 11 13 4" xfId="50857"/>
    <cellStyle name="注释 2 11 13 5" xfId="50858"/>
    <cellStyle name="注释 2 11 14 3" xfId="50859"/>
    <cellStyle name="注释 2 11 14 4" xfId="50860"/>
    <cellStyle name="注释 2 11 14 5" xfId="50861"/>
    <cellStyle name="注释 2 11 14 6" xfId="50862"/>
    <cellStyle name="注释 2 11 15 2" xfId="50863"/>
    <cellStyle name="注释 2 11 20 2" xfId="50864"/>
    <cellStyle name="注释 2 11 15 3" xfId="50865"/>
    <cellStyle name="注释 2 11 15 4" xfId="50866"/>
    <cellStyle name="注释 2 11 15 5" xfId="50867"/>
    <cellStyle name="注释 2 11 15 6" xfId="50868"/>
    <cellStyle name="注释 2 11 17" xfId="50869"/>
    <cellStyle name="注释 2 11 22" xfId="50870"/>
    <cellStyle name="注释 2 11 17 5" xfId="50871"/>
    <cellStyle name="注释 2 11 17 6" xfId="50872"/>
    <cellStyle name="注释 2 11 18" xfId="50873"/>
    <cellStyle name="注释 2 11 23" xfId="50874"/>
    <cellStyle name="注释 2 11 18 5" xfId="50875"/>
    <cellStyle name="注释 2 11 18 6" xfId="50876"/>
    <cellStyle name="注释 2 11 19" xfId="50877"/>
    <cellStyle name="注释 2 11 24" xfId="50878"/>
    <cellStyle name="注释 2 11 2 13" xfId="50879"/>
    <cellStyle name="注释 2 11 2 14" xfId="50880"/>
    <cellStyle name="注释 2 11 2 15" xfId="50881"/>
    <cellStyle name="注释 2 11 2 16" xfId="50882"/>
    <cellStyle name="注释 2 11 2 2" xfId="50883"/>
    <cellStyle name="注释 2 11 2 2 9" xfId="50884"/>
    <cellStyle name="注释 2 11 2 4" xfId="50885"/>
    <cellStyle name="注释 2 11 2 6" xfId="50886"/>
    <cellStyle name="注释 2 11 2 7" xfId="50887"/>
    <cellStyle name="注释 2 11 2 8" xfId="50888"/>
    <cellStyle name="注释 2 9 5 4 4 2" xfId="50889"/>
    <cellStyle name="注释 2 11 2 8 2" xfId="50890"/>
    <cellStyle name="注释 2 11 2 8 3" xfId="50891"/>
    <cellStyle name="注释 2 11 2 8 4" xfId="50892"/>
    <cellStyle name="注释 2 11 2 9" xfId="50893"/>
    <cellStyle name="注释 2 11 2 9 2" xfId="50894"/>
    <cellStyle name="注释 2 11 26" xfId="50895"/>
    <cellStyle name="注释 2 11 27" xfId="50896"/>
    <cellStyle name="注释 2 11 3 10" xfId="50897"/>
    <cellStyle name="注释 2 3 4 3" xfId="50898"/>
    <cellStyle name="注释 2 11 3 10 2" xfId="50899"/>
    <cellStyle name="注释 2 3 4 3 2" xfId="50900"/>
    <cellStyle name="注释 2 11 3 11" xfId="50901"/>
    <cellStyle name="注释 2 3 4 4" xfId="50902"/>
    <cellStyle name="注释 2 11 3 11 2" xfId="50903"/>
    <cellStyle name="注释 2 3 4 4 2" xfId="50904"/>
    <cellStyle name="注释 2 11 3 12" xfId="50905"/>
    <cellStyle name="注释 2 3 4 5" xfId="50906"/>
    <cellStyle name="注释 2 11 3 2" xfId="50907"/>
    <cellStyle name="注释 2 11 3 4" xfId="50908"/>
    <cellStyle name="注释 2 11 3 6" xfId="50909"/>
    <cellStyle name="注释 2 11 3 7" xfId="50910"/>
    <cellStyle name="注释 2 11 3 8" xfId="50911"/>
    <cellStyle name="注释 2 9 5 4 5 2" xfId="50912"/>
    <cellStyle name="注释 2 11 3 8 2" xfId="50913"/>
    <cellStyle name="注释 2 11 3 8 4" xfId="50914"/>
    <cellStyle name="注释 2 11 4 10 2" xfId="50915"/>
    <cellStyle name="注释 2 3 9 3 2" xfId="50916"/>
    <cellStyle name="注释 2 11 4 2" xfId="50917"/>
    <cellStyle name="注释 2 11 4 2 2 2" xfId="50918"/>
    <cellStyle name="注释 2 7 9 2 6" xfId="50919"/>
    <cellStyle name="注释 2 11 4 2 3 2" xfId="50920"/>
    <cellStyle name="注释 2 7 9 3 6" xfId="50921"/>
    <cellStyle name="注释 2 11 4 2 4 2" xfId="50922"/>
    <cellStyle name="注释 2 7 9 4 6" xfId="50923"/>
    <cellStyle name="注释 2 11 4 3 2" xfId="50924"/>
    <cellStyle name="注释 2 11 4 3 2 2" xfId="50925"/>
    <cellStyle name="注释 2 11 4 3 3" xfId="50926"/>
    <cellStyle name="注释 2 11 4 3 3 2" xfId="50927"/>
    <cellStyle name="注释 2 11 4 3 4" xfId="50928"/>
    <cellStyle name="注释 2 11 4 3 4 2" xfId="50929"/>
    <cellStyle name="注释 2 11 4 4 2" xfId="50930"/>
    <cellStyle name="注释 2 11 4 4 2 2" xfId="50931"/>
    <cellStyle name="注释 2 11 4 4 3" xfId="50932"/>
    <cellStyle name="注释 2 11 4 4 3 2" xfId="50933"/>
    <cellStyle name="注释 2 11 4 4 4 2" xfId="50934"/>
    <cellStyle name="注释 2 11 4 5" xfId="50935"/>
    <cellStyle name="注释 2 11 4 5 2" xfId="50936"/>
    <cellStyle name="注释 2 11 4 5 3" xfId="50937"/>
    <cellStyle name="注释 2 11 4 6" xfId="50938"/>
    <cellStyle name="注释 2 11 4 6 2" xfId="50939"/>
    <cellStyle name="注释 2 11 4 6 3" xfId="50940"/>
    <cellStyle name="注释 2 11 4 8" xfId="50941"/>
    <cellStyle name="注释 2 11 4 8 2" xfId="50942"/>
    <cellStyle name="注释 2 11 4 8 4" xfId="50943"/>
    <cellStyle name="注释 2 11 5" xfId="50944"/>
    <cellStyle name="注释 2 11 5 10" xfId="50945"/>
    <cellStyle name="注释 2 11 5 10 2" xfId="50946"/>
    <cellStyle name="注释 2 11 5 11" xfId="50947"/>
    <cellStyle name="注释 2 11 5 11 2" xfId="50948"/>
    <cellStyle name="注释 2 11 5 12 2" xfId="50949"/>
    <cellStyle name="注释 2 11 5 13" xfId="50950"/>
    <cellStyle name="注释 2 11 5 14" xfId="50951"/>
    <cellStyle name="注释 2 11 5 16" xfId="50952"/>
    <cellStyle name="注释 2 11 5 2 5 2" xfId="50953"/>
    <cellStyle name="注释 2 8 9 5 6" xfId="50954"/>
    <cellStyle name="注释 2 11 5 2 6" xfId="50955"/>
    <cellStyle name="注释 2 11 5 2 7" xfId="50956"/>
    <cellStyle name="注释 2 11 5 3 2" xfId="50957"/>
    <cellStyle name="注释 2 11 5 3 2 2" xfId="50958"/>
    <cellStyle name="注释 2 11 5 3 3 2" xfId="50959"/>
    <cellStyle name="注释 2 11 5 3 4" xfId="50960"/>
    <cellStyle name="注释 2 11 5 3 4 2" xfId="50961"/>
    <cellStyle name="注释 2 11 5 3 5" xfId="50962"/>
    <cellStyle name="注释 2 11 5 3 5 2" xfId="50963"/>
    <cellStyle name="注释 2 11 5 3 6" xfId="50964"/>
    <cellStyle name="注释 2 11 5 4 2" xfId="50965"/>
    <cellStyle name="注释 2 11 5 4 2 2" xfId="50966"/>
    <cellStyle name="注释 2 11 5 4 3" xfId="50967"/>
    <cellStyle name="注释 2 11 5 4 3 2" xfId="50968"/>
    <cellStyle name="注释 2 11 5 4 5" xfId="50969"/>
    <cellStyle name="注释 2 11 5 4 6" xfId="50970"/>
    <cellStyle name="注释 2 11 5 5 2" xfId="50971"/>
    <cellStyle name="注释 2 11 5 5 3" xfId="50972"/>
    <cellStyle name="注释 2 11 5 5 5" xfId="50973"/>
    <cellStyle name="注释 2 11 5 5 6" xfId="50974"/>
    <cellStyle name="注释 2 11 5 6" xfId="50975"/>
    <cellStyle name="注释 2 11 5 6 2" xfId="50976"/>
    <cellStyle name="注释 2 11 5 6 3" xfId="50977"/>
    <cellStyle name="注释 2 11 5 6 5" xfId="50978"/>
    <cellStyle name="注释 2 11 5 6 6" xfId="50979"/>
    <cellStyle name="注释 2 11 5 7 2" xfId="50980"/>
    <cellStyle name="注释 2 11 5 7 6" xfId="50981"/>
    <cellStyle name="注释 2 11 5 8" xfId="50982"/>
    <cellStyle name="注释 2 11 5 8 2" xfId="50983"/>
    <cellStyle name="注释 2 11 6" xfId="50984"/>
    <cellStyle name="注释 2 11 6 10" xfId="50985"/>
    <cellStyle name="注释 2 11 6 10 2" xfId="50986"/>
    <cellStyle name="注释 2 5 10 7 6" xfId="50987"/>
    <cellStyle name="注释 2 11 6 11" xfId="50988"/>
    <cellStyle name="注释 2 11 6 11 2" xfId="50989"/>
    <cellStyle name="注释 2 11 6 12" xfId="50990"/>
    <cellStyle name="注释 2 11 6 12 2" xfId="50991"/>
    <cellStyle name="注释 2 11 6 13" xfId="50992"/>
    <cellStyle name="注释 2 11 6 14" xfId="50993"/>
    <cellStyle name="注释 2 11 6 15" xfId="50994"/>
    <cellStyle name="注释 2 11 6 16" xfId="50995"/>
    <cellStyle name="注释 2 11 6 2" xfId="50996"/>
    <cellStyle name="注释 2 11 6 2 2" xfId="50997"/>
    <cellStyle name="注释 2 11 6 2 2 2" xfId="50998"/>
    <cellStyle name="注释 2 9 9 2 6" xfId="50999"/>
    <cellStyle name="注释 2 11 6 2 3" xfId="51000"/>
    <cellStyle name="注释 2 11 6 2 3 2" xfId="51001"/>
    <cellStyle name="注释 2 9 9 3 6" xfId="51002"/>
    <cellStyle name="注释 2 11 6 2 4" xfId="51003"/>
    <cellStyle name="注释 2 11 6 2 4 2" xfId="51004"/>
    <cellStyle name="注释 2 9 9 4 6" xfId="51005"/>
    <cellStyle name="注释 2 11 6 2 5 2" xfId="51006"/>
    <cellStyle name="注释 2 9 9 5 6" xfId="51007"/>
    <cellStyle name="注释 2 11 6 2 6" xfId="51008"/>
    <cellStyle name="注释 2 11 6 2 7" xfId="51009"/>
    <cellStyle name="注释 2 11 6 2 8" xfId="51010"/>
    <cellStyle name="注释 2 11 6 3" xfId="51011"/>
    <cellStyle name="注释 2 11 6 3 2" xfId="51012"/>
    <cellStyle name="注释 2 11 6 3 2 2" xfId="51013"/>
    <cellStyle name="注释 2 11 6 3 3" xfId="51014"/>
    <cellStyle name="注释 2 11 6 3 3 2" xfId="51015"/>
    <cellStyle name="注释 2 11 6 3 4" xfId="51016"/>
    <cellStyle name="注释 2 11 6 3 4 2" xfId="51017"/>
    <cellStyle name="注释 2 11 6 3 5" xfId="51018"/>
    <cellStyle name="注释 2 11 6 3 5 2" xfId="51019"/>
    <cellStyle name="注释 2 11 6 3 6" xfId="51020"/>
    <cellStyle name="注释 2 11 6 4 2" xfId="51021"/>
    <cellStyle name="注释 2 11 6 4 2 2" xfId="51022"/>
    <cellStyle name="注释 2 11 6 4 3" xfId="51023"/>
    <cellStyle name="注释 2 11 6 4 3 2" xfId="51024"/>
    <cellStyle name="注释 2 11 6 4 4 2" xfId="51025"/>
    <cellStyle name="注释 2 11 6 4 5" xfId="51026"/>
    <cellStyle name="注释 2 11 6 4 5 2" xfId="51027"/>
    <cellStyle name="注释 2 11 6 4 6" xfId="51028"/>
    <cellStyle name="注释 2 11 6 5" xfId="51029"/>
    <cellStyle name="注释 2 11 6 5 2" xfId="51030"/>
    <cellStyle name="注释 2 11 6 5 3" xfId="51031"/>
    <cellStyle name="注释 2 11 6 5 5" xfId="51032"/>
    <cellStyle name="注释 2 11 6 5 6" xfId="51033"/>
    <cellStyle name="注释 2 11 6 6" xfId="51034"/>
    <cellStyle name="注释 2 11 6 6 2" xfId="51035"/>
    <cellStyle name="注释 2 11 6 6 2 2" xfId="51036"/>
    <cellStyle name="注释 2 11 6 7 2" xfId="51037"/>
    <cellStyle name="注释 2 11 6 7 2 2" xfId="51038"/>
    <cellStyle name="注释 2 11 6 7 3 2" xfId="51039"/>
    <cellStyle name="注释 2 11 6 7 4 2" xfId="51040"/>
    <cellStyle name="注释 2 11 6 7 5 2" xfId="51041"/>
    <cellStyle name="注释 2 11 6 7 6" xfId="51042"/>
    <cellStyle name="注释 2 11 6 8" xfId="51043"/>
    <cellStyle name="注释 2 11 6 8 2" xfId="51044"/>
    <cellStyle name="注释 2 11 6 8 2 2" xfId="51045"/>
    <cellStyle name="注释 2 11 6 8 3 2" xfId="51046"/>
    <cellStyle name="注释 2 11 6 8 4 2" xfId="51047"/>
    <cellStyle name="注释 2 11 7" xfId="51048"/>
    <cellStyle name="注释 2 11 7 12 2" xfId="51049"/>
    <cellStyle name="注释 2 11 7 13" xfId="51050"/>
    <cellStyle name="注释 2 11 7 15" xfId="51051"/>
    <cellStyle name="注释 2 11 7 16" xfId="51052"/>
    <cellStyle name="注释 2 11 7 2" xfId="51053"/>
    <cellStyle name="注释 2 11 7 2 2" xfId="51054"/>
    <cellStyle name="注释 2 11 7 2 2 2" xfId="51055"/>
    <cellStyle name="注释 2 11 7 2 3" xfId="51056"/>
    <cellStyle name="注释 2 11 7 2 4" xfId="51057"/>
    <cellStyle name="注释 2 11 7 2 4 2" xfId="51058"/>
    <cellStyle name="注释 2 11 7 2 5 2" xfId="51059"/>
    <cellStyle name="注释 2 8 10 2 7" xfId="51060"/>
    <cellStyle name="注释 2 11 7 2 6" xfId="51061"/>
    <cellStyle name="注释 2 11 7 2 7" xfId="51062"/>
    <cellStyle name="注释 2 11 7 3" xfId="51063"/>
    <cellStyle name="注释 2 11 7 3 2" xfId="51064"/>
    <cellStyle name="注释 2 11 7 3 2 2" xfId="51065"/>
    <cellStyle name="注释 2 11 7 3 3" xfId="51066"/>
    <cellStyle name="注释 2 11 7 3 3 2" xfId="51067"/>
    <cellStyle name="注释 2 11 7 3 4" xfId="51068"/>
    <cellStyle name="注释 2 11 7 3 4 2" xfId="51069"/>
    <cellStyle name="注释 2 11 7 3 5" xfId="51070"/>
    <cellStyle name="注释 2 11 7 3 5 2" xfId="51071"/>
    <cellStyle name="注释 2 11 7 3 6" xfId="51072"/>
    <cellStyle name="注释 2 11 7 4" xfId="51073"/>
    <cellStyle name="注释 2 11 7 4 2" xfId="51074"/>
    <cellStyle name="注释 2 11 7 4 2 2" xfId="51075"/>
    <cellStyle name="注释 2 11 7 4 3" xfId="51076"/>
    <cellStyle name="注释 2 11 7 4 3 2" xfId="51077"/>
    <cellStyle name="注释 2 11 7 4 4 2" xfId="51078"/>
    <cellStyle name="注释 2 11 7 4 5" xfId="51079"/>
    <cellStyle name="注释 2 11 7 4 5 2" xfId="51080"/>
    <cellStyle name="注释 2 11 7 4 6" xfId="51081"/>
    <cellStyle name="注释 2 11 7 5" xfId="51082"/>
    <cellStyle name="注释 2 11 7 5 2" xfId="51083"/>
    <cellStyle name="注释 2 11 7 5 2 2" xfId="51084"/>
    <cellStyle name="注释 2 11 7 5 3" xfId="51085"/>
    <cellStyle name="注释 2 11 7 5 3 2" xfId="51086"/>
    <cellStyle name="注释 2 11 7 5 4 2" xfId="51087"/>
    <cellStyle name="注释 2 11 7 5 5" xfId="51088"/>
    <cellStyle name="注释 2 11 7 5 5 2" xfId="51089"/>
    <cellStyle name="注释 2 11 7 5 6" xfId="51090"/>
    <cellStyle name="注释 2 11 7 6" xfId="51091"/>
    <cellStyle name="注释 2 11 7 6 2" xfId="51092"/>
    <cellStyle name="注释 2 11 7 6 2 2" xfId="51093"/>
    <cellStyle name="注释 2 11 7 6 3" xfId="51094"/>
    <cellStyle name="注释 2 11 7 6 3 2" xfId="51095"/>
    <cellStyle name="注释 2 11 7 6 4 2" xfId="51096"/>
    <cellStyle name="注释 2 11 7 6 5" xfId="51097"/>
    <cellStyle name="注释 2 11 7 6 5 2" xfId="51098"/>
    <cellStyle name="注释 2 11 7 6 6" xfId="51099"/>
    <cellStyle name="注释 2 11 7 7 2" xfId="51100"/>
    <cellStyle name="注释 2 11 7 7 2 2" xfId="51101"/>
    <cellStyle name="注释 2 11 7 7 4 2" xfId="51102"/>
    <cellStyle name="注释 2 11 7 7 5 2" xfId="51103"/>
    <cellStyle name="注释 2 11 7 7 6" xfId="51104"/>
    <cellStyle name="注释 2 11 7 8 2 2" xfId="51105"/>
    <cellStyle name="注释 2 11 7 8 3 2" xfId="51106"/>
    <cellStyle name="注释 2 11 7 8 4 2" xfId="51107"/>
    <cellStyle name="注释 2 11 8" xfId="51108"/>
    <cellStyle name="注释 2 11 8 10" xfId="51109"/>
    <cellStyle name="注释 2 4 4 3" xfId="51110"/>
    <cellStyle name="注释 2 11 8 11" xfId="51111"/>
    <cellStyle name="注释 2 4 4 4" xfId="51112"/>
    <cellStyle name="注释 2 9 3 2 4 2" xfId="51113"/>
    <cellStyle name="注释 2 11 8 11 2" xfId="51114"/>
    <cellStyle name="注释 2 4 4 4 2" xfId="51115"/>
    <cellStyle name="注释 2 11 8 12" xfId="51116"/>
    <cellStyle name="注释 2 4 4 5" xfId="51117"/>
    <cellStyle name="注释 2 11 8 12 2" xfId="51118"/>
    <cellStyle name="注释 2 4 4 5 2" xfId="51119"/>
    <cellStyle name="注释 2 11 8 14" xfId="51120"/>
    <cellStyle name="注释 2 4 4 7" xfId="51121"/>
    <cellStyle name="注释 2 11 8 15" xfId="51122"/>
    <cellStyle name="注释 2 4 4 8" xfId="51123"/>
    <cellStyle name="注释 2 11 8 16" xfId="51124"/>
    <cellStyle name="注释 2 4 4 9" xfId="51125"/>
    <cellStyle name="注释 2 8 3 4 2" xfId="51126"/>
    <cellStyle name="注释 2 11 8 2" xfId="51127"/>
    <cellStyle name="注释 2 11 8 2 2" xfId="51128"/>
    <cellStyle name="注释 2 11 8 2 2 2" xfId="51129"/>
    <cellStyle name="注释 2 11 8 2 3" xfId="51130"/>
    <cellStyle name="注释 2 11 8 2 3 2" xfId="51131"/>
    <cellStyle name="注释 2 11 8 2 4" xfId="51132"/>
    <cellStyle name="注释 2 11 8 2 4 2" xfId="51133"/>
    <cellStyle name="注释 2 11 8 2 5 2" xfId="51134"/>
    <cellStyle name="注释 2 11 8 2 6" xfId="51135"/>
    <cellStyle name="注释 2 11 8 2 7" xfId="51136"/>
    <cellStyle name="注释 2 11 8 3" xfId="51137"/>
    <cellStyle name="注释 2 11 8 3 2" xfId="51138"/>
    <cellStyle name="注释 2 11 8 3 2 2" xfId="51139"/>
    <cellStyle name="注释 2 11 8 3 3" xfId="51140"/>
    <cellStyle name="注释 2 11 8 3 3 2" xfId="51141"/>
    <cellStyle name="注释 2 11 8 3 4" xfId="51142"/>
    <cellStyle name="注释 2 11 8 3 4 2" xfId="51143"/>
    <cellStyle name="注释 2 11 8 3 5" xfId="51144"/>
    <cellStyle name="注释 2 11 8 3 5 2" xfId="51145"/>
    <cellStyle name="注释 2 11 8 3 6" xfId="51146"/>
    <cellStyle name="注释 2 11 8 4" xfId="51147"/>
    <cellStyle name="注释 2 11 8 4 2" xfId="51148"/>
    <cellStyle name="注释 2 11 8 4 2 2" xfId="51149"/>
    <cellStyle name="注释 2 11 8 4 3" xfId="51150"/>
    <cellStyle name="注释 2 11 8 4 3 2" xfId="51151"/>
    <cellStyle name="注释 2 11 8 4 4" xfId="51152"/>
    <cellStyle name="注释 2 11 8 4 4 2" xfId="51153"/>
    <cellStyle name="注释 2 11 8 4 5" xfId="51154"/>
    <cellStyle name="注释 2 11 8 4 5 2" xfId="51155"/>
    <cellStyle name="注释 2 11 8 4 6" xfId="51156"/>
    <cellStyle name="注释 2 11 8 5" xfId="51157"/>
    <cellStyle name="注释 2 11 8 6" xfId="51158"/>
    <cellStyle name="注释 2 11 8 6 4 2" xfId="51159"/>
    <cellStyle name="注释 2 11 8 6 5" xfId="51160"/>
    <cellStyle name="注释 2 11 8 6 5 2" xfId="51161"/>
    <cellStyle name="注释 2 11 8 6 6" xfId="51162"/>
    <cellStyle name="注释 2 11 8 7 4 2" xfId="51163"/>
    <cellStyle name="注释 2 11 8 7 5 2" xfId="51164"/>
    <cellStyle name="注释 2 11 8 7 6" xfId="51165"/>
    <cellStyle name="注释 2 11 8 8 4 2" xfId="51166"/>
    <cellStyle name="注释 2 11 9" xfId="51167"/>
    <cellStyle name="注释 2 11 9 16" xfId="51168"/>
    <cellStyle name="注释 2 4 9 9" xfId="51169"/>
    <cellStyle name="注释 2 8 3 9 2" xfId="51170"/>
    <cellStyle name="注释 2 8 7 3 2 2" xfId="51171"/>
    <cellStyle name="注释 2 11 9 2" xfId="51172"/>
    <cellStyle name="注释 2 11 9 2 2" xfId="51173"/>
    <cellStyle name="注释 2 5 6" xfId="51174"/>
    <cellStyle name="注释 2 11 9 2 2 2" xfId="51175"/>
    <cellStyle name="注释 2 5 6 2" xfId="51176"/>
    <cellStyle name="注释 2 11 9 2 3" xfId="51177"/>
    <cellStyle name="注释 2 5 7" xfId="51178"/>
    <cellStyle name="注释 2 11 9 2 3 2" xfId="51179"/>
    <cellStyle name="注释 2 5 7 2" xfId="51180"/>
    <cellStyle name="注释 2 11 9 2 4" xfId="51181"/>
    <cellStyle name="注释 2 5 8" xfId="51182"/>
    <cellStyle name="注释 2 11 9 2 4 2" xfId="51183"/>
    <cellStyle name="注释 2 5 8 2" xfId="51184"/>
    <cellStyle name="注释 2 11 9 3" xfId="51185"/>
    <cellStyle name="注释 2 11 9 3 2" xfId="51186"/>
    <cellStyle name="注释 2 6 6" xfId="51187"/>
    <cellStyle name="注释 2 11 9 3 2 2" xfId="51188"/>
    <cellStyle name="注释 2 6 6 2" xfId="51189"/>
    <cellStyle name="注释 2 11 9 3 3" xfId="51190"/>
    <cellStyle name="注释 2 6 7" xfId="51191"/>
    <cellStyle name="注释 2 11 9 3 3 2" xfId="51192"/>
    <cellStyle name="注释 2 6 7 2" xfId="51193"/>
    <cellStyle name="注释 2 11 9 3 4" xfId="51194"/>
    <cellStyle name="注释 2 6 8" xfId="51195"/>
    <cellStyle name="注释 2 11 9 3 4 2" xfId="51196"/>
    <cellStyle name="注释 2 6 8 2" xfId="51197"/>
    <cellStyle name="注释 2 11 9 4" xfId="51198"/>
    <cellStyle name="注释 2 11 9 4 2" xfId="51199"/>
    <cellStyle name="注释 2 7 6" xfId="51200"/>
    <cellStyle name="注释 2 11 9 4 2 2" xfId="51201"/>
    <cellStyle name="注释 2 7 6 2" xfId="51202"/>
    <cellStyle name="注释 2 11 9 4 3" xfId="51203"/>
    <cellStyle name="注释 2 7 7" xfId="51204"/>
    <cellStyle name="注释 2 11 9 4 3 2" xfId="51205"/>
    <cellStyle name="注释 2 7 7 2" xfId="51206"/>
    <cellStyle name="注释 2 11 9 4 4" xfId="51207"/>
    <cellStyle name="注释 2 7 8" xfId="51208"/>
    <cellStyle name="注释 2 11 9 4 4 2" xfId="51209"/>
    <cellStyle name="注释 2 7 8 2" xfId="51210"/>
    <cellStyle name="注释 2 11 9 5 4 2" xfId="51211"/>
    <cellStyle name="注释 2 8 8 2" xfId="51212"/>
    <cellStyle name="注释 2 11 9 6" xfId="51213"/>
    <cellStyle name="注释 2 11 9 6 4 2" xfId="51214"/>
    <cellStyle name="注释 2 9 8 2" xfId="51215"/>
    <cellStyle name="注释 2 11 9 7" xfId="51216"/>
    <cellStyle name="注释 2 11 9 7 4 2" xfId="51217"/>
    <cellStyle name="注释 2 11 9 8 4 2" xfId="51218"/>
    <cellStyle name="注释 2 12 10" xfId="51219"/>
    <cellStyle name="注释 2 8 3 2 3" xfId="51220"/>
    <cellStyle name="注释 2 12 10 2" xfId="51221"/>
    <cellStyle name="注释 2 8 3 2 3 2" xfId="51222"/>
    <cellStyle name="注释 2 12 10 2 2" xfId="51223"/>
    <cellStyle name="注释 2 12 10 3" xfId="51224"/>
    <cellStyle name="注释 2 12 10 3 2" xfId="51225"/>
    <cellStyle name="注释 2 12 10 4 2" xfId="51226"/>
    <cellStyle name="注释 2 12 10 5" xfId="51227"/>
    <cellStyle name="注释 2 12 10 5 2" xfId="51228"/>
    <cellStyle name="注释 2 12 10 7" xfId="51229"/>
    <cellStyle name="注释 2 12 10 8" xfId="51230"/>
    <cellStyle name="注释 2 12 11" xfId="51231"/>
    <cellStyle name="注释 2 12 9 5 2 2" xfId="51232"/>
    <cellStyle name="注释 2 8 3 2 4" xfId="51233"/>
    <cellStyle name="注释 2 12 11 2" xfId="51234"/>
    <cellStyle name="注释 2 8 3 2 4 2" xfId="51235"/>
    <cellStyle name="注释 2 12 11 2 2" xfId="51236"/>
    <cellStyle name="注释 2 12 11 3" xfId="51237"/>
    <cellStyle name="注释 2 12 11 3 2" xfId="51238"/>
    <cellStyle name="注释 2 12 11 4 2" xfId="51239"/>
    <cellStyle name="注释 2 12 11 5" xfId="51240"/>
    <cellStyle name="注释 2 12 11 5 2" xfId="51241"/>
    <cellStyle name="注释 2 12 12" xfId="51242"/>
    <cellStyle name="注释 2 8 3 2 5" xfId="51243"/>
    <cellStyle name="注释 2 12 12 2" xfId="51244"/>
    <cellStyle name="注释 2 8 3 2 5 2" xfId="51245"/>
    <cellStyle name="注释 2 12 12 2 2" xfId="51246"/>
    <cellStyle name="注释 2 12 12 3" xfId="51247"/>
    <cellStyle name="注释 2 12 12 3 2" xfId="51248"/>
    <cellStyle name="注释 2 12 12 4 2" xfId="51249"/>
    <cellStyle name="注释 2 12 12 5" xfId="51250"/>
    <cellStyle name="注释 2 12 12 5 2" xfId="51251"/>
    <cellStyle name="注释 2 12 13 2" xfId="51252"/>
    <cellStyle name="注释 2 12 13 2 2" xfId="51253"/>
    <cellStyle name="注释 2 12 13 3" xfId="51254"/>
    <cellStyle name="注释 2 12 13 3 2" xfId="51255"/>
    <cellStyle name="注释 2 12 13 4 2" xfId="51256"/>
    <cellStyle name="注释 2 12 13 5" xfId="51257"/>
    <cellStyle name="注释 2 12 13 5 2" xfId="51258"/>
    <cellStyle name="注释 2 12 13 6" xfId="51259"/>
    <cellStyle name="注释 2 12 14" xfId="51260"/>
    <cellStyle name="注释 2 3 6 7 2 2" xfId="51261"/>
    <cellStyle name="注释 2 8 3 2 7" xfId="51262"/>
    <cellStyle name="注释 2 12 14 2 2" xfId="51263"/>
    <cellStyle name="注释 2 12 14 3" xfId="51264"/>
    <cellStyle name="注释 2 12 14 3 2" xfId="51265"/>
    <cellStyle name="注释 2 12 14 4" xfId="51266"/>
    <cellStyle name="注释 2 12 14 4 2" xfId="51267"/>
    <cellStyle name="注释 2 12 14 5" xfId="51268"/>
    <cellStyle name="注释 2 12 14 5 2" xfId="51269"/>
    <cellStyle name="注释 2 12 14 6" xfId="51270"/>
    <cellStyle name="注释 2 12 15 2" xfId="51271"/>
    <cellStyle name="注释 2 12 20 2" xfId="51272"/>
    <cellStyle name="注释 2 12 15 2 2" xfId="51273"/>
    <cellStyle name="注释 2 12 15 3" xfId="51274"/>
    <cellStyle name="注释 2 12 15 3 2" xfId="51275"/>
    <cellStyle name="注释 2 12 15 4" xfId="51276"/>
    <cellStyle name="注释 2 12 15 4 2" xfId="51277"/>
    <cellStyle name="注释 2 12 15 5" xfId="51278"/>
    <cellStyle name="注释 2 12 15 5 2" xfId="51279"/>
    <cellStyle name="注释 2 12 15 6" xfId="51280"/>
    <cellStyle name="注释 2 12 16" xfId="51281"/>
    <cellStyle name="注释 2 12 21" xfId="51282"/>
    <cellStyle name="注释 2 8 3 2 9" xfId="51283"/>
    <cellStyle name="注释 2 12 16 4 2" xfId="51284"/>
    <cellStyle name="注释 2 12 16 5" xfId="51285"/>
    <cellStyle name="注释 2 12 16 5 2" xfId="51286"/>
    <cellStyle name="注释 2 12 16 6" xfId="51287"/>
    <cellStyle name="注释 2 12 17" xfId="51288"/>
    <cellStyle name="注释 2 12 22" xfId="51289"/>
    <cellStyle name="注释 2 12 17 4 2" xfId="51290"/>
    <cellStyle name="注释 2 12 17 5" xfId="51291"/>
    <cellStyle name="注释 2 12 18" xfId="51292"/>
    <cellStyle name="注释 2 12 23" xfId="51293"/>
    <cellStyle name="注释 2 12 2" xfId="51294"/>
    <cellStyle name="注释 2 12 2 10" xfId="51295"/>
    <cellStyle name="注释 2 12 2 11" xfId="51296"/>
    <cellStyle name="注释 2 12 2 13" xfId="51297"/>
    <cellStyle name="注释 2 12 2 15" xfId="51298"/>
    <cellStyle name="注释 2 12 2 16" xfId="51299"/>
    <cellStyle name="注释 2 12 2 2" xfId="51300"/>
    <cellStyle name="注释 2 12 2 2 2" xfId="51301"/>
    <cellStyle name="注释 2 12 2 2 2 2" xfId="51302"/>
    <cellStyle name="注释 2 12 2 2 3" xfId="51303"/>
    <cellStyle name="注释 2 12 2 2 3 2" xfId="51304"/>
    <cellStyle name="注释 2 12 2 2 4" xfId="51305"/>
    <cellStyle name="注释 2 12 2 2 4 2" xfId="51306"/>
    <cellStyle name="注释 2 12 2 2 5" xfId="51307"/>
    <cellStyle name="注释 2 12 2 2 5 2" xfId="51308"/>
    <cellStyle name="注释 2 12 2 3 2" xfId="51309"/>
    <cellStyle name="注释 2 12 2 3 2 2" xfId="51310"/>
    <cellStyle name="注释 2 12 2 3 3" xfId="51311"/>
    <cellStyle name="注释 2 12 2 3 3 2" xfId="51312"/>
    <cellStyle name="注释 2 12 2 3 4" xfId="51313"/>
    <cellStyle name="注释 2 12 2 3 4 2" xfId="51314"/>
    <cellStyle name="注释 2 12 2 3 5" xfId="51315"/>
    <cellStyle name="注释 2 12 2 3 5 2" xfId="51316"/>
    <cellStyle name="注释 2 12 2 4" xfId="51317"/>
    <cellStyle name="注释 2 12 2 4 2" xfId="51318"/>
    <cellStyle name="注释 2 12 2 4 2 2" xfId="51319"/>
    <cellStyle name="注释 2 12 2 4 3" xfId="51320"/>
    <cellStyle name="注释 2 12 2 4 3 2" xfId="51321"/>
    <cellStyle name="注释 2 12 2 4 4 2" xfId="51322"/>
    <cellStyle name="注释 2 12 2 4 5" xfId="51323"/>
    <cellStyle name="注释 2 12 2 4 5 2" xfId="51324"/>
    <cellStyle name="注释 2 12 2 5 2" xfId="51325"/>
    <cellStyle name="注释 2 12 2 5 2 2" xfId="51326"/>
    <cellStyle name="注释 2 12 2 5 3" xfId="51327"/>
    <cellStyle name="注释 2 12 2 5 3 2" xfId="51328"/>
    <cellStyle name="注释 2 12 2 5 4 2" xfId="51329"/>
    <cellStyle name="注释 2 12 2 5 5" xfId="51330"/>
    <cellStyle name="注释 2 12 2 5 5 2" xfId="51331"/>
    <cellStyle name="注释 2 12 2 6" xfId="51332"/>
    <cellStyle name="注释 2 12 2 6 2" xfId="51333"/>
    <cellStyle name="注释 2 12 2 6 2 2" xfId="51334"/>
    <cellStyle name="注释 2 12 2 6 3" xfId="51335"/>
    <cellStyle name="注释 2 12 2 6 3 2" xfId="51336"/>
    <cellStyle name="注释 2 12 2 6 4 2" xfId="51337"/>
    <cellStyle name="注释 2 12 2 6 5" xfId="51338"/>
    <cellStyle name="注释 2 12 2 6 5 2" xfId="51339"/>
    <cellStyle name="注释 2 12 2 7" xfId="51340"/>
    <cellStyle name="注释 2 12 2 7 2" xfId="51341"/>
    <cellStyle name="注释 2 12 2 7 2 2" xfId="51342"/>
    <cellStyle name="注释 2 12 2 7 3" xfId="51343"/>
    <cellStyle name="注释 2 12 2 7 4" xfId="51344"/>
    <cellStyle name="注释 2 12 2 7 4 2" xfId="51345"/>
    <cellStyle name="注释 2 12 2 7 5" xfId="51346"/>
    <cellStyle name="注释 2 12 2 7 5 2" xfId="51347"/>
    <cellStyle name="注释 2 12 2 7 6" xfId="51348"/>
    <cellStyle name="注释 2 12 2 8" xfId="51349"/>
    <cellStyle name="注释 2 9 5 5 4 2" xfId="51350"/>
    <cellStyle name="注释 2 12 2 8 2" xfId="51351"/>
    <cellStyle name="注释 2 12 2 8 2 2" xfId="51352"/>
    <cellStyle name="注释 2 12 2 8 3" xfId="51353"/>
    <cellStyle name="注释 2 12 2 8 3 2" xfId="51354"/>
    <cellStyle name="注释 2 12 2 8 4" xfId="51355"/>
    <cellStyle name="注释 2 12 2 8 4 2" xfId="51356"/>
    <cellStyle name="注释 2 12 2 8 5" xfId="51357"/>
    <cellStyle name="注释 2 12 2 9" xfId="51358"/>
    <cellStyle name="注释 2 12 2 9 2" xfId="51359"/>
    <cellStyle name="注释 2 12 25" xfId="51360"/>
    <cellStyle name="注释 2 12 3" xfId="51361"/>
    <cellStyle name="注释 2 12 3 10" xfId="51362"/>
    <cellStyle name="注释 2 8 4 3" xfId="51363"/>
    <cellStyle name="注释 2 12 3 10 2" xfId="51364"/>
    <cellStyle name="注释 2 5 3 9" xfId="51365"/>
    <cellStyle name="注释 2 8 4 3 2" xfId="51366"/>
    <cellStyle name="注释 2 12 3 11" xfId="51367"/>
    <cellStyle name="注释 2 8 4 4" xfId="51368"/>
    <cellStyle name="注释 2 9 3 6 4 2" xfId="51369"/>
    <cellStyle name="注释 2 12 3 11 2" xfId="51370"/>
    <cellStyle name="注释 2 5 4 9" xfId="51371"/>
    <cellStyle name="注释 2 8 4 4 2" xfId="51372"/>
    <cellStyle name="注释 2 12 3 12" xfId="51373"/>
    <cellStyle name="注释 2 8 4 5" xfId="51374"/>
    <cellStyle name="注释 2 12 3 12 2" xfId="51375"/>
    <cellStyle name="注释 2 5 5 9" xfId="51376"/>
    <cellStyle name="注释 2 8 4 5 2" xfId="51377"/>
    <cellStyle name="注释 2 12 3 14" xfId="51378"/>
    <cellStyle name="注释 2 8 4 7" xfId="51379"/>
    <cellStyle name="注释 2 12 3 2" xfId="51380"/>
    <cellStyle name="注释 2 12 3 2 2" xfId="51381"/>
    <cellStyle name="注释 2 12 3 2 2 2" xfId="51382"/>
    <cellStyle name="注释 2 12 3 2 3" xfId="51383"/>
    <cellStyle name="注释 2 12 3 2 3 2" xfId="51384"/>
    <cellStyle name="注释 2 12 3 2 4" xfId="51385"/>
    <cellStyle name="注释 2 12 3 2 4 2" xfId="51386"/>
    <cellStyle name="注释 2 12 3 2 5" xfId="51387"/>
    <cellStyle name="注释 2 12 3 2 7" xfId="51388"/>
    <cellStyle name="注释 2 12 3 2 9" xfId="51389"/>
    <cellStyle name="注释 2 12 3 3 2" xfId="51390"/>
    <cellStyle name="注释 2 12 3 3 2 2" xfId="51391"/>
    <cellStyle name="注释 2 12 3 3 3" xfId="51392"/>
    <cellStyle name="注释 2 12 3 3 3 2" xfId="51393"/>
    <cellStyle name="注释 2 12 3 3 4" xfId="51394"/>
    <cellStyle name="注释 2 12 3 3 4 2" xfId="51395"/>
    <cellStyle name="注释 2 12 3 3 5" xfId="51396"/>
    <cellStyle name="注释 2 12 3 3 5 2" xfId="51397"/>
    <cellStyle name="注释 2 12 3 3 6" xfId="51398"/>
    <cellStyle name="注释 2 12 3 4" xfId="51399"/>
    <cellStyle name="注释 2 12 3 4 2" xfId="51400"/>
    <cellStyle name="注释 2 12 3 4 2 2" xfId="51401"/>
    <cellStyle name="注释 2 2 2 2 4" xfId="51402"/>
    <cellStyle name="注释 2 12 3 4 3" xfId="51403"/>
    <cellStyle name="注释 2 12 3 4 3 2" xfId="51404"/>
    <cellStyle name="注释 2 2 2 3 4" xfId="51405"/>
    <cellStyle name="注释 2 12 3 4 4" xfId="51406"/>
    <cellStyle name="注释 2 12 3 4 4 2" xfId="51407"/>
    <cellStyle name="注释 2 2 2 4 4" xfId="51408"/>
    <cellStyle name="注释 2 12 3 4 5" xfId="51409"/>
    <cellStyle name="注释 2 12 3 4 5 2" xfId="51410"/>
    <cellStyle name="注释 2 2 2 5 4" xfId="51411"/>
    <cellStyle name="注释 2 12 3 4 6" xfId="51412"/>
    <cellStyle name="注释 2 12 3 6" xfId="51413"/>
    <cellStyle name="注释 2 12 3 6 2" xfId="51414"/>
    <cellStyle name="注释 2 12 3 6 2 2" xfId="51415"/>
    <cellStyle name="注释 2 2 4 2 4" xfId="51416"/>
    <cellStyle name="注释 2 12 3 6 3" xfId="51417"/>
    <cellStyle name="注释 2 12 3 6 3 2" xfId="51418"/>
    <cellStyle name="注释 2 2 4 3 4" xfId="51419"/>
    <cellStyle name="注释 2 12 3 6 4" xfId="51420"/>
    <cellStyle name="注释 2 12 3 6 4 2" xfId="51421"/>
    <cellStyle name="注释 2 2 4 4 4" xfId="51422"/>
    <cellStyle name="注释 2 12 3 6 5" xfId="51423"/>
    <cellStyle name="注释 2 12 3 6 6" xfId="51424"/>
    <cellStyle name="注释 2 12 3 7" xfId="51425"/>
    <cellStyle name="注释 2 12 3 7 2" xfId="51426"/>
    <cellStyle name="注释 2 12 3 7 2 2" xfId="51427"/>
    <cellStyle name="注释 2 2 5 2 4" xfId="51428"/>
    <cellStyle name="注释 2 12 3 7 3 2" xfId="51429"/>
    <cellStyle name="注释 2 2 5 3 4" xfId="51430"/>
    <cellStyle name="注释 2 12 3 7 4" xfId="51431"/>
    <cellStyle name="注释 2 12 3 7 4 2" xfId="51432"/>
    <cellStyle name="注释 2 2 5 4 4" xfId="51433"/>
    <cellStyle name="注释 2 12 3 7 5" xfId="51434"/>
    <cellStyle name="注释 2 12 3 7 6" xfId="51435"/>
    <cellStyle name="注释 2 12 3 8" xfId="51436"/>
    <cellStyle name="注释 2 9 5 5 5 2" xfId="51437"/>
    <cellStyle name="注释 2 12 3 8 2" xfId="51438"/>
    <cellStyle name="注释 2 12 3 8 2 2" xfId="51439"/>
    <cellStyle name="注释 2 2 6 2 4" xfId="51440"/>
    <cellStyle name="注释 2 12 3 8 3 2" xfId="51441"/>
    <cellStyle name="注释 2 2 6 3 4" xfId="51442"/>
    <cellStyle name="注释 2 12 3 8 4" xfId="51443"/>
    <cellStyle name="注释 2 12 3 8 4 2" xfId="51444"/>
    <cellStyle name="注释 2 2 6 4 4" xfId="51445"/>
    <cellStyle name="注释 2 12 3 8 5" xfId="51446"/>
    <cellStyle name="注释 2 12 4 10" xfId="51447"/>
    <cellStyle name="注释 2 8 9 3" xfId="51448"/>
    <cellStyle name="注释 2 12 4 10 2" xfId="51449"/>
    <cellStyle name="注释 2 8 9 3 2" xfId="51450"/>
    <cellStyle name="注释 2 12 4 11 2" xfId="51451"/>
    <cellStyle name="注释 2 8 9 4 2" xfId="51452"/>
    <cellStyle name="注释 2 12 4 12" xfId="51453"/>
    <cellStyle name="注释 2 2 6 7 5 2" xfId="51454"/>
    <cellStyle name="注释 2 8 9 5" xfId="51455"/>
    <cellStyle name="注释 2 12 4 12 2" xfId="51456"/>
    <cellStyle name="注释 2 8 9 5 2" xfId="51457"/>
    <cellStyle name="注释 2 12 4 13" xfId="51458"/>
    <cellStyle name="注释 2 5 10 5 2 2" xfId="51459"/>
    <cellStyle name="注释 2 8 9 6" xfId="51460"/>
    <cellStyle name="注释 2 12 4 15" xfId="51461"/>
    <cellStyle name="注释 2 8 9 8" xfId="51462"/>
    <cellStyle name="注释 3" xfId="51463"/>
    <cellStyle name="注释 2 12 4 16" xfId="51464"/>
    <cellStyle name="注释 2 8 7 7 2 2" xfId="51465"/>
    <cellStyle name="注释 2 8 7 9 2" xfId="51466"/>
    <cellStyle name="注释 2 8 9 9" xfId="51467"/>
    <cellStyle name="注释 4" xfId="51468"/>
    <cellStyle name="注释 2 12 4 2" xfId="51469"/>
    <cellStyle name="注释 2 12 4 2 2" xfId="51470"/>
    <cellStyle name="注释 2 12 4 2 3" xfId="51471"/>
    <cellStyle name="注释 2 12 4 2 4" xfId="51472"/>
    <cellStyle name="注释 2 12 4 2 4 2" xfId="51473"/>
    <cellStyle name="注释 2 12 4 2 5" xfId="51474"/>
    <cellStyle name="注释 2 12 4 2 5 2" xfId="51475"/>
    <cellStyle name="注释 2 12 4 2 7" xfId="51476"/>
    <cellStyle name="注释 2 12 4 2 9" xfId="51477"/>
    <cellStyle name="注释 2 12 4 3 2" xfId="51478"/>
    <cellStyle name="注释 2 12 4 3 2 2" xfId="51479"/>
    <cellStyle name="注释 2 12 4 3 3" xfId="51480"/>
    <cellStyle name="注释 2 12 4 3 3 2" xfId="51481"/>
    <cellStyle name="注释 2 12 4 3 4" xfId="51482"/>
    <cellStyle name="注释 2 12 4 3 4 2" xfId="51483"/>
    <cellStyle name="注释 2 12 4 3 5" xfId="51484"/>
    <cellStyle name="注释 2 12 4 3 5 2" xfId="51485"/>
    <cellStyle name="注释 2 12 4 3 6" xfId="51486"/>
    <cellStyle name="注释 2 12 4 4" xfId="51487"/>
    <cellStyle name="注释 2 12 4 4 2" xfId="51488"/>
    <cellStyle name="注释 2 12 4 4 2 2" xfId="51489"/>
    <cellStyle name="注释 2 3 2 2 4" xfId="51490"/>
    <cellStyle name="注释 2 12 4 4 3" xfId="51491"/>
    <cellStyle name="注释 2 12 4 4 3 2" xfId="51492"/>
    <cellStyle name="注释 2 3 2 3 4" xfId="51493"/>
    <cellStyle name="注释 2 12 4 4 4" xfId="51494"/>
    <cellStyle name="注释 2 12 4 4 4 2" xfId="51495"/>
    <cellStyle name="注释 2 3 2 4 4" xfId="51496"/>
    <cellStyle name="注释 2 12 4 4 5" xfId="51497"/>
    <cellStyle name="注释 2 12 4 4 5 2" xfId="51498"/>
    <cellStyle name="注释 2 3 2 5 4" xfId="51499"/>
    <cellStyle name="注释 2 12 4 4 6" xfId="51500"/>
    <cellStyle name="注释 2 12 4 5" xfId="51501"/>
    <cellStyle name="注释 2 12 4 5 2" xfId="51502"/>
    <cellStyle name="注释 2 12 4 5 2 2" xfId="51503"/>
    <cellStyle name="注释 2 3 3 2 4" xfId="51504"/>
    <cellStyle name="注释 2 12 4 5 3" xfId="51505"/>
    <cellStyle name="注释 2 12 4 5 3 2" xfId="51506"/>
    <cellStyle name="注释 2 3 3 3 4" xfId="51507"/>
    <cellStyle name="注释 2 12 4 5 4" xfId="51508"/>
    <cellStyle name="注释 2 12 4 5 4 2" xfId="51509"/>
    <cellStyle name="注释 2 3 3 4 4" xfId="51510"/>
    <cellStyle name="注释 2 12 4 5 5" xfId="51511"/>
    <cellStyle name="注释 2 12 4 5 5 2" xfId="51512"/>
    <cellStyle name="注释 2 3 3 5 4" xfId="51513"/>
    <cellStyle name="注释 2 12 4 5 6" xfId="51514"/>
    <cellStyle name="注释 2 12 4 6" xfId="51515"/>
    <cellStyle name="注释 2 12 4 6 2" xfId="51516"/>
    <cellStyle name="注释 2 12 4 6 2 2" xfId="51517"/>
    <cellStyle name="注释 2 3 4 2 4" xfId="51518"/>
    <cellStyle name="注释 2 12 4 6 3" xfId="51519"/>
    <cellStyle name="注释 2 12 4 6 3 2" xfId="51520"/>
    <cellStyle name="注释 2 3 4 3 4" xfId="51521"/>
    <cellStyle name="注释 2 12 4 6 4" xfId="51522"/>
    <cellStyle name="注释 2 12 4 6 4 2" xfId="51523"/>
    <cellStyle name="注释 2 3 4 4 4" xfId="51524"/>
    <cellStyle name="注释 2 12 4 6 5" xfId="51525"/>
    <cellStyle name="注释 2 12 4 6 6" xfId="51526"/>
    <cellStyle name="注释 2 12 4 7 2" xfId="51527"/>
    <cellStyle name="注释 2 12 4 7 4" xfId="51528"/>
    <cellStyle name="注释 2 12 4 7 4 2" xfId="51529"/>
    <cellStyle name="注释 2 3 5 4 4" xfId="51530"/>
    <cellStyle name="注释 2 12 4 7 5" xfId="51531"/>
    <cellStyle name="注释 2 12 4 7 5 2" xfId="51532"/>
    <cellStyle name="注释 2 3 5 5 4" xfId="51533"/>
    <cellStyle name="注释 2 12 4 7 6" xfId="51534"/>
    <cellStyle name="注释 2 12 4 8" xfId="51535"/>
    <cellStyle name="注释 2 12 4 8 2" xfId="51536"/>
    <cellStyle name="注释 2 12 4 8 2 2" xfId="51537"/>
    <cellStyle name="注释 2 3 6 2 4" xfId="51538"/>
    <cellStyle name="注释 2 12 4 8 3 2" xfId="51539"/>
    <cellStyle name="注释 2 3 6 3 4" xfId="51540"/>
    <cellStyle name="注释 2 12 4 8 4" xfId="51541"/>
    <cellStyle name="注释 2 12 4 8 4 2" xfId="51542"/>
    <cellStyle name="注释 2 3 6 4 4" xfId="51543"/>
    <cellStyle name="注释 2 12 4 8 5" xfId="51544"/>
    <cellStyle name="注释 2 12 5" xfId="51545"/>
    <cellStyle name="注释 2 12 5 10" xfId="51546"/>
    <cellStyle name="注释 2 12 5 10 2" xfId="51547"/>
    <cellStyle name="注释 2 12 5 11" xfId="51548"/>
    <cellStyle name="注释 2 12 5 11 2" xfId="51549"/>
    <cellStyle name="注释 2 12 5 12" xfId="51550"/>
    <cellStyle name="注释 2 12 5 12 2" xfId="51551"/>
    <cellStyle name="注释 2 12 5 13" xfId="51552"/>
    <cellStyle name="注释 2 12 5 14" xfId="51553"/>
    <cellStyle name="注释 2 12 5 15" xfId="51554"/>
    <cellStyle name="注释 2 12 5 16" xfId="51555"/>
    <cellStyle name="注释 2 12 5 2" xfId="51556"/>
    <cellStyle name="注释 2 12 5 2 2" xfId="51557"/>
    <cellStyle name="注释 2 12 5 2 3" xfId="51558"/>
    <cellStyle name="注释 2 12 5 2 4" xfId="51559"/>
    <cellStyle name="注释 2 12 5 2 4 2" xfId="51560"/>
    <cellStyle name="注释 2 12 5 2 5 2" xfId="51561"/>
    <cellStyle name="注释 2 12 5 2 7" xfId="51562"/>
    <cellStyle name="注释 2 12 5 2 9" xfId="51563"/>
    <cellStyle name="注释 2 12 5 3" xfId="51564"/>
    <cellStyle name="注释 2 12 5 3 2" xfId="51565"/>
    <cellStyle name="注释 2 12 5 3 2 2" xfId="51566"/>
    <cellStyle name="注释 2 12 5 3 3" xfId="51567"/>
    <cellStyle name="注释 2 12 5 3 3 2" xfId="51568"/>
    <cellStyle name="注释 2 12 5 3 4" xfId="51569"/>
    <cellStyle name="注释 2 12 5 3 4 2" xfId="51570"/>
    <cellStyle name="注释 2 12 5 3 5" xfId="51571"/>
    <cellStyle name="注释 2 12 5 3 5 2" xfId="51572"/>
    <cellStyle name="注释 2 12 5 3 6" xfId="51573"/>
    <cellStyle name="注释 2 12 5 4" xfId="51574"/>
    <cellStyle name="注释 2 12 5 4 2" xfId="51575"/>
    <cellStyle name="注释 2 12 5 4 2 2" xfId="51576"/>
    <cellStyle name="注释 2 4 2 2 4" xfId="51577"/>
    <cellStyle name="注释 2 12 5 4 3" xfId="51578"/>
    <cellStyle name="注释 2 12 5 4 3 2" xfId="51579"/>
    <cellStyle name="注释 2 4 2 3 4" xfId="51580"/>
    <cellStyle name="注释 2 12 5 4 4" xfId="51581"/>
    <cellStyle name="注释 2 12 5 4 4 2" xfId="51582"/>
    <cellStyle name="注释 2 4 2 4 4" xfId="51583"/>
    <cellStyle name="注释 2 12 5 4 5" xfId="51584"/>
    <cellStyle name="注释 2 12 5 4 5 2" xfId="51585"/>
    <cellStyle name="注释 2 4 2 5 4" xfId="51586"/>
    <cellStyle name="注释 2 12 5 4 6" xfId="51587"/>
    <cellStyle name="注释 2 12 5 5" xfId="51588"/>
    <cellStyle name="注释 2 12 5 5 2" xfId="51589"/>
    <cellStyle name="注释 2 12 5 5 2 2" xfId="51590"/>
    <cellStyle name="注释 2 4 3 2 4" xfId="51591"/>
    <cellStyle name="注释 2 12 5 5 3" xfId="51592"/>
    <cellStyle name="注释 2 12 5 5 3 2" xfId="51593"/>
    <cellStyle name="注释 2 4 3 3 4" xfId="51594"/>
    <cellStyle name="注释 2 12 5 5 4 2" xfId="51595"/>
    <cellStyle name="注释 2 4 3 4 4" xfId="51596"/>
    <cellStyle name="注释 2 12 5 5 5" xfId="51597"/>
    <cellStyle name="注释 2 12 5 5 5 2" xfId="51598"/>
    <cellStyle name="注释 2 4 3 5 4" xfId="51599"/>
    <cellStyle name="注释 2 12 5 5 6" xfId="51600"/>
    <cellStyle name="注释 2 12 5 6" xfId="51601"/>
    <cellStyle name="注释 2 12 5 6 2" xfId="51602"/>
    <cellStyle name="注释 2 12 5 6 2 2" xfId="51603"/>
    <cellStyle name="注释 2 4 4 2 4" xfId="51604"/>
    <cellStyle name="注释 2 12 5 6 3" xfId="51605"/>
    <cellStyle name="注释 2 12 5 6 4 2" xfId="51606"/>
    <cellStyle name="注释 2 4 4 4 4" xfId="51607"/>
    <cellStyle name="注释 2 12 5 6 5" xfId="51608"/>
    <cellStyle name="注释 2 12 5 6 5 2" xfId="51609"/>
    <cellStyle name="注释 2 4 4 5 4" xfId="51610"/>
    <cellStyle name="注释 2 12 5 6 6" xfId="51611"/>
    <cellStyle name="注释 2 12 5 7 2" xfId="51612"/>
    <cellStyle name="注释 2 12 5 8" xfId="51613"/>
    <cellStyle name="注释 2 12 5 8 2" xfId="51614"/>
    <cellStyle name="注释 2 12 6" xfId="51615"/>
    <cellStyle name="注释 2 12 6 10" xfId="51616"/>
    <cellStyle name="注释 2 12 6 10 2" xfId="51617"/>
    <cellStyle name="注释 2 6 10 7 6" xfId="51618"/>
    <cellStyle name="注释 2 12 6 11" xfId="51619"/>
    <cellStyle name="注释 2 12 6 11 2" xfId="51620"/>
    <cellStyle name="注释 2 12 6 12" xfId="51621"/>
    <cellStyle name="注释 2 12 6 12 2" xfId="51622"/>
    <cellStyle name="注释 2 12 6 14" xfId="51623"/>
    <cellStyle name="注释 2 12 6 15" xfId="51624"/>
    <cellStyle name="注释 2 12 6 16" xfId="51625"/>
    <cellStyle name="注释 2 12 6 2" xfId="51626"/>
    <cellStyle name="注释 2 12 6 2 2" xfId="51627"/>
    <cellStyle name="注释 2 12 6 2 2 2" xfId="51628"/>
    <cellStyle name="注释 2 12 6 2 3" xfId="51629"/>
    <cellStyle name="注释 2 12 6 2 4" xfId="51630"/>
    <cellStyle name="注释 2 12 6 2 4 2" xfId="51631"/>
    <cellStyle name="注释 2 12 6 2 5 2" xfId="51632"/>
    <cellStyle name="注释 2 12 6 2 7" xfId="51633"/>
    <cellStyle name="注释 2 12 6 2 8" xfId="51634"/>
    <cellStyle name="注释 2 12 6 2 9" xfId="51635"/>
    <cellStyle name="注释 2 12 6 3" xfId="51636"/>
    <cellStyle name="注释 2 12 6 3 2" xfId="51637"/>
    <cellStyle name="注释 2 12 6 3 2 2" xfId="51638"/>
    <cellStyle name="注释 2 12 6 3 3" xfId="51639"/>
    <cellStyle name="注释 2 12 6 3 4" xfId="51640"/>
    <cellStyle name="注释 2 12 6 3 4 2" xfId="51641"/>
    <cellStyle name="注释 2 12 6 3 5" xfId="51642"/>
    <cellStyle name="注释 2 12 6 3 5 2" xfId="51643"/>
    <cellStyle name="注释 2 12 6 3 6" xfId="51644"/>
    <cellStyle name="注释 2 12 6 4" xfId="51645"/>
    <cellStyle name="注释 2 12 6 4 2" xfId="51646"/>
    <cellStyle name="注释 2 12 6 4 3" xfId="51647"/>
    <cellStyle name="注释 2 12 6 4 4" xfId="51648"/>
    <cellStyle name="注释 2 12 6 4 4 2" xfId="51649"/>
    <cellStyle name="注释 2 5 2 4 4" xfId="51650"/>
    <cellStyle name="注释 2 12 6 4 5" xfId="51651"/>
    <cellStyle name="注释 2 12 6 4 5 2" xfId="51652"/>
    <cellStyle name="注释 2 5 2 5 4" xfId="51653"/>
    <cellStyle name="注释 2 12 6 4 6" xfId="51654"/>
    <cellStyle name="注释 2 12 6 5" xfId="51655"/>
    <cellStyle name="注释 2 12 6 5 2" xfId="51656"/>
    <cellStyle name="注释 2 12 6 5 3" xfId="51657"/>
    <cellStyle name="注释 2 12 6 5 3 2" xfId="51658"/>
    <cellStyle name="注释 2 5 3 3 4" xfId="51659"/>
    <cellStyle name="注释 2 12 6 5 5" xfId="51660"/>
    <cellStyle name="注释 2 12 6 5 5 2" xfId="51661"/>
    <cellStyle name="注释 2 5 3 5 4" xfId="51662"/>
    <cellStyle name="注释 2 12 6 5 6" xfId="51663"/>
    <cellStyle name="注释 2 12 6 6" xfId="51664"/>
    <cellStyle name="注释 2 12 6 6 2 2" xfId="51665"/>
    <cellStyle name="注释 2 5 4 2 4" xfId="51666"/>
    <cellStyle name="注释 2 12 6 6 5" xfId="51667"/>
    <cellStyle name="注释 2 12 6 6 5 2" xfId="51668"/>
    <cellStyle name="注释 2 5 4 5 4" xfId="51669"/>
    <cellStyle name="注释 2 12 6 6 6" xfId="51670"/>
    <cellStyle name="注释 2 12 6 7 2" xfId="51671"/>
    <cellStyle name="注释 2 12 6 7 2 2" xfId="51672"/>
    <cellStyle name="注释 2 5 5 2 4" xfId="51673"/>
    <cellStyle name="注释 2 12 6 7 3 2" xfId="51674"/>
    <cellStyle name="注释 2 5 5 3 4" xfId="51675"/>
    <cellStyle name="注释 2 12 6 7 4 2" xfId="51676"/>
    <cellStyle name="注释 2 5 5 4 4" xfId="51677"/>
    <cellStyle name="注释 2 12 6 7 5 2" xfId="51678"/>
    <cellStyle name="注释 2 5 5 5 4" xfId="51679"/>
    <cellStyle name="注释 2 12 6 7 6" xfId="51680"/>
    <cellStyle name="注释 2 12 6 8" xfId="51681"/>
    <cellStyle name="注释 2 12 6 8 2" xfId="51682"/>
    <cellStyle name="注释 2 12 6 8 2 2" xfId="51683"/>
    <cellStyle name="注释 2 5 6 2 4" xfId="51684"/>
    <cellStyle name="注释 2 12 6 8 3 2" xfId="51685"/>
    <cellStyle name="注释 2 5 6 3 4" xfId="51686"/>
    <cellStyle name="注释 2 12 6 8 4 2" xfId="51687"/>
    <cellStyle name="注释 2 5 6 4 4" xfId="51688"/>
    <cellStyle name="注释 2 12 7" xfId="51689"/>
    <cellStyle name="注释 2 12 7 10" xfId="51690"/>
    <cellStyle name="注释 2 12 7 11" xfId="51691"/>
    <cellStyle name="注释 2 12 7 13" xfId="51692"/>
    <cellStyle name="注释 2 12 7 15" xfId="51693"/>
    <cellStyle name="注释 2 12 7 16" xfId="51694"/>
    <cellStyle name="注释 2 12 7 2" xfId="51695"/>
    <cellStyle name="注释 2 12 7 2 2" xfId="51696"/>
    <cellStyle name="注释 2 12 7 2 2 2" xfId="51697"/>
    <cellStyle name="注释 2 12 7 2 3" xfId="51698"/>
    <cellStyle name="注释 2 12 7 2 4" xfId="51699"/>
    <cellStyle name="注释 2 12 7 2 4 2" xfId="51700"/>
    <cellStyle name="注释 2 12 7 2 6" xfId="51701"/>
    <cellStyle name="注释 2 12 7 2 7" xfId="51702"/>
    <cellStyle name="注释 2 12 7 2 9" xfId="51703"/>
    <cellStyle name="注释 2 12 7 3" xfId="51704"/>
    <cellStyle name="注释 2 12 7 3 2" xfId="51705"/>
    <cellStyle name="注释 2 12 7 3 2 2" xfId="51706"/>
    <cellStyle name="注释 2 12 7 3 3" xfId="51707"/>
    <cellStyle name="注释 2 12 7 3 4" xfId="51708"/>
    <cellStyle name="注释 2 12 7 3 4 2" xfId="51709"/>
    <cellStyle name="注释 2 12 7 3 5" xfId="51710"/>
    <cellStyle name="注释 2 12 7 3 5 2" xfId="51711"/>
    <cellStyle name="注释 2 12 7 3 6" xfId="51712"/>
    <cellStyle name="注释 2 12 7 4" xfId="51713"/>
    <cellStyle name="注释 2 12 7 4 2" xfId="51714"/>
    <cellStyle name="注释 2 12 7 4 2 2" xfId="51715"/>
    <cellStyle name="注释 2 6 2 2 4" xfId="51716"/>
    <cellStyle name="注释 2 12 7 4 3" xfId="51717"/>
    <cellStyle name="注释 2 12 7 4 4" xfId="51718"/>
    <cellStyle name="注释 2 12 7 4 4 2" xfId="51719"/>
    <cellStyle name="注释 2 6 2 4 4" xfId="51720"/>
    <cellStyle name="注释 2 12 7 4 5" xfId="51721"/>
    <cellStyle name="注释 2 12 7 4 5 2" xfId="51722"/>
    <cellStyle name="注释 2 6 2 5 4" xfId="51723"/>
    <cellStyle name="注释 2 12 7 4 6" xfId="51724"/>
    <cellStyle name="注释 2 12 7 5" xfId="51725"/>
    <cellStyle name="注释 2 12 7 5 2" xfId="51726"/>
    <cellStyle name="注释 2 12 7 5 2 2" xfId="51727"/>
    <cellStyle name="注释 2 6 3 2 4" xfId="51728"/>
    <cellStyle name="注释 2 12 7 5 3" xfId="51729"/>
    <cellStyle name="注释 2 12 7 5 3 2" xfId="51730"/>
    <cellStyle name="注释 2 6 3 3 4" xfId="51731"/>
    <cellStyle name="注释 2 12 7 5 4 2" xfId="51732"/>
    <cellStyle name="注释 2 6 3 4 4" xfId="51733"/>
    <cellStyle name="注释 2 12 7 5 5" xfId="51734"/>
    <cellStyle name="注释 2 12 7 5 5 2" xfId="51735"/>
    <cellStyle name="注释 2 6 3 5 4" xfId="51736"/>
    <cellStyle name="注释 2 12 7 5 6" xfId="51737"/>
    <cellStyle name="注释 2 12 7 6" xfId="51738"/>
    <cellStyle name="注释 2 12 7 6 2 2" xfId="51739"/>
    <cellStyle name="注释 2 6 4 2 4" xfId="51740"/>
    <cellStyle name="注释 2 12 7 6 3 2" xfId="51741"/>
    <cellStyle name="注释 2 6 4 3 4" xfId="51742"/>
    <cellStyle name="注释 2 12 7 6 4 2" xfId="51743"/>
    <cellStyle name="注释 2 6 4 4 4" xfId="51744"/>
    <cellStyle name="注释 2 12 7 6 5" xfId="51745"/>
    <cellStyle name="注释 2 12 7 6 5 2" xfId="51746"/>
    <cellStyle name="注释 2 6 4 5 4" xfId="51747"/>
    <cellStyle name="注释 2 12 7 6 6" xfId="51748"/>
    <cellStyle name="注释 2 12 7 7 2" xfId="51749"/>
    <cellStyle name="注释 2 12 7 7 2 2" xfId="51750"/>
    <cellStyle name="注释 2 6 5 2 4" xfId="51751"/>
    <cellStyle name="注释 2 12 7 7 3 2" xfId="51752"/>
    <cellStyle name="注释 2 6 5 3 4" xfId="51753"/>
    <cellStyle name="注释 2 12 7 7 4 2" xfId="51754"/>
    <cellStyle name="注释 2 6 5 4 4" xfId="51755"/>
    <cellStyle name="注释 2 12 7 7 5 2" xfId="51756"/>
    <cellStyle name="注释 2 6 5 5 4" xfId="51757"/>
    <cellStyle name="注释 2 12 7 7 6" xfId="51758"/>
    <cellStyle name="注释 2 12 7 8 2 2" xfId="51759"/>
    <cellStyle name="注释 2 6 6 2 4" xfId="51760"/>
    <cellStyle name="注释 2 12 7 8 3 2" xfId="51761"/>
    <cellStyle name="注释 2 6 6 3 4" xfId="51762"/>
    <cellStyle name="注释 2 12 7 8 4 2" xfId="51763"/>
    <cellStyle name="注释 2 6 6 4 4" xfId="51764"/>
    <cellStyle name="注释 2 12 8" xfId="51765"/>
    <cellStyle name="注释 2 12 8 10" xfId="51766"/>
    <cellStyle name="注释 2 9 4 3" xfId="51767"/>
    <cellStyle name="注释 2 12 8 10 2" xfId="51768"/>
    <cellStyle name="注释 2 9 4 3 2" xfId="51769"/>
    <cellStyle name="注释 2 12 8 11" xfId="51770"/>
    <cellStyle name="注释 2 9 3 7 4 2" xfId="51771"/>
    <cellStyle name="注释 2 9 4 4" xfId="51772"/>
    <cellStyle name="注释 2 12 8 11 2" xfId="51773"/>
    <cellStyle name="注释 2 9 4 4 2" xfId="51774"/>
    <cellStyle name="注释 2 12 8 12" xfId="51775"/>
    <cellStyle name="注释 2 9 4 5" xfId="51776"/>
    <cellStyle name="注释 2 12 8 12 2" xfId="51777"/>
    <cellStyle name="注释 2 9 4 5 2" xfId="51778"/>
    <cellStyle name="注释 2 12 8 14" xfId="51779"/>
    <cellStyle name="注释 2 9 4 7" xfId="51780"/>
    <cellStyle name="注释 2 12 8 15" xfId="51781"/>
    <cellStyle name="注释 2 9 4 8" xfId="51782"/>
    <cellStyle name="注释 2 12 8 16" xfId="51783"/>
    <cellStyle name="注释 2 8 8 4 2" xfId="51784"/>
    <cellStyle name="注释 2 9 4 9" xfId="51785"/>
    <cellStyle name="注释 2 12 8 2" xfId="51786"/>
    <cellStyle name="注释 2 12 8 2 2" xfId="51787"/>
    <cellStyle name="注释 2 12 8 2 2 2" xfId="51788"/>
    <cellStyle name="注释 2 12 8 2 3" xfId="51789"/>
    <cellStyle name="注释 2 12 8 2 4" xfId="51790"/>
    <cellStyle name="注释 2 12 8 2 4 2" xfId="51791"/>
    <cellStyle name="注释 2 12 8 2 5 2" xfId="51792"/>
    <cellStyle name="注释 2 12 8 2 6" xfId="51793"/>
    <cellStyle name="注释 2 12 8 2 7" xfId="51794"/>
    <cellStyle name="注释 2 12 8 2 9" xfId="51795"/>
    <cellStyle name="注释 2 12 8 3" xfId="51796"/>
    <cellStyle name="注释 2 12 8 3 2" xfId="51797"/>
    <cellStyle name="注释 2 12 8 3 2 2" xfId="51798"/>
    <cellStyle name="注释 2 12 8 3 3" xfId="51799"/>
    <cellStyle name="注释 2 12 8 3 4" xfId="51800"/>
    <cellStyle name="注释 2 12 8 3 4 2" xfId="51801"/>
    <cellStyle name="注释 2 12 8 3 5" xfId="51802"/>
    <cellStyle name="注释 2 12 8 3 5 2" xfId="51803"/>
    <cellStyle name="注释 2 12 8 3 6" xfId="51804"/>
    <cellStyle name="注释 2 12 8 4" xfId="51805"/>
    <cellStyle name="注释 2 12 8 4 2" xfId="51806"/>
    <cellStyle name="注释 2 12 8 4 2 2" xfId="51807"/>
    <cellStyle name="注释 2 7 2 2 4" xfId="51808"/>
    <cellStyle name="注释 2 12 8 4 3" xfId="51809"/>
    <cellStyle name="注释 2 12 8 4 4" xfId="51810"/>
    <cellStyle name="注释 2 12 8 4 4 2" xfId="51811"/>
    <cellStyle name="注释 2 7 2 4 4" xfId="51812"/>
    <cellStyle name="注释 2 12 8 4 5" xfId="51813"/>
    <cellStyle name="注释 2 12 8 4 5 2" xfId="51814"/>
    <cellStyle name="注释 2 7 2 5 4" xfId="51815"/>
    <cellStyle name="注释 2 12 8 4 6" xfId="51816"/>
    <cellStyle name="注释 2 12 8 5" xfId="51817"/>
    <cellStyle name="注释 2 12 8 5 2" xfId="51818"/>
    <cellStyle name="注释 2 12 8 5 2 2" xfId="51819"/>
    <cellStyle name="注释 2 7 3 2 4" xfId="51820"/>
    <cellStyle name="注释 2 12 8 5 3" xfId="51821"/>
    <cellStyle name="注释 2 12 8 5 3 2" xfId="51822"/>
    <cellStyle name="注释 2 7 3 3 4" xfId="51823"/>
    <cellStyle name="注释 2 12 8 5 4 2" xfId="51824"/>
    <cellStyle name="注释 2 7 3 4 4" xfId="51825"/>
    <cellStyle name="注释 2 12 8 5 5" xfId="51826"/>
    <cellStyle name="注释 2 12 8 5 5 2" xfId="51827"/>
    <cellStyle name="注释 2 7 3 5 4" xfId="51828"/>
    <cellStyle name="注释 2 12 8 5 6" xfId="51829"/>
    <cellStyle name="注释 2 12 8 6" xfId="51830"/>
    <cellStyle name="注释 2 12 8 6 2" xfId="51831"/>
    <cellStyle name="注释 2 12 8 6 2 2" xfId="51832"/>
    <cellStyle name="注释 2 7 4 2 4" xfId="51833"/>
    <cellStyle name="注释 2 12 8 6 3" xfId="51834"/>
    <cellStyle name="注释 2 12 8 6 3 2" xfId="51835"/>
    <cellStyle name="注释 2 7 4 3 4" xfId="51836"/>
    <cellStyle name="注释 2 12 8 6 4 2" xfId="51837"/>
    <cellStyle name="注释 2 7 4 4 4" xfId="51838"/>
    <cellStyle name="注释 2 12 8 6 5" xfId="51839"/>
    <cellStyle name="注释 2 12 8 6 5 2" xfId="51840"/>
    <cellStyle name="注释 2 7 4 5 4" xfId="51841"/>
    <cellStyle name="注释 2 12 8 6 6" xfId="51842"/>
    <cellStyle name="注释 2 12 8 7 2" xfId="51843"/>
    <cellStyle name="注释 2 12 8 7 2 2" xfId="51844"/>
    <cellStyle name="注释 2 7 5 2 4" xfId="51845"/>
    <cellStyle name="注释 2 12 8 7 3 2" xfId="51846"/>
    <cellStyle name="注释 2 7 5 3 4" xfId="51847"/>
    <cellStyle name="注释 2 12 8 7 4 2" xfId="51848"/>
    <cellStyle name="注释 2 7 5 4 4" xfId="51849"/>
    <cellStyle name="注释 2 12 8 7 5 2" xfId="51850"/>
    <cellStyle name="注释 2 7 5 5 4" xfId="51851"/>
    <cellStyle name="注释 2 12 8 7 6" xfId="51852"/>
    <cellStyle name="注释 2 12 8 8 2 2" xfId="51853"/>
    <cellStyle name="注释 2 7 6 2 4" xfId="51854"/>
    <cellStyle name="注释 2 12 8 8 3 2" xfId="51855"/>
    <cellStyle name="注释 2 7 6 3 4" xfId="51856"/>
    <cellStyle name="注释 2 12 8 8 4" xfId="51857"/>
    <cellStyle name="注释 2 12 8 8 4 2" xfId="51858"/>
    <cellStyle name="注释 2 7 6 4 4" xfId="51859"/>
    <cellStyle name="注释 2 12 9" xfId="51860"/>
    <cellStyle name="注释 2 12 9 10" xfId="51861"/>
    <cellStyle name="注释 2 9 9 3" xfId="51862"/>
    <cellStyle name="注释 2 12 9 10 2" xfId="51863"/>
    <cellStyle name="注释 2 9 9 3 2" xfId="51864"/>
    <cellStyle name="注释 2 12 9 11 2" xfId="51865"/>
    <cellStyle name="注释 2 9 9 4 2" xfId="51866"/>
    <cellStyle name="注释 2 12 9 12" xfId="51867"/>
    <cellStyle name="注释 2 9 9 5" xfId="51868"/>
    <cellStyle name="注释 2 12 9 12 2" xfId="51869"/>
    <cellStyle name="注释 2 9 9 5 2" xfId="51870"/>
    <cellStyle name="注释 2 12 9 13" xfId="51871"/>
    <cellStyle name="注释 2 5 10 6 2 2" xfId="51872"/>
    <cellStyle name="注释 2 9 9 6" xfId="51873"/>
    <cellStyle name="注释 2 12 9 14" xfId="51874"/>
    <cellStyle name="注释 2 9 9 7" xfId="51875"/>
    <cellStyle name="注释 2 12 9 15" xfId="51876"/>
    <cellStyle name="注释 2 9 9 8" xfId="51877"/>
    <cellStyle name="注释 2 12 9 16" xfId="51878"/>
    <cellStyle name="注释 2 8 7 8 2 2" xfId="51879"/>
    <cellStyle name="注释 2 8 8 9 2" xfId="51880"/>
    <cellStyle name="注释 2 9 9 9" xfId="51881"/>
    <cellStyle name="注释 2 12 9 2" xfId="51882"/>
    <cellStyle name="注释 2 12 9 2 2" xfId="51883"/>
    <cellStyle name="注释 2 12 9 2 2 2" xfId="51884"/>
    <cellStyle name="注释 2 12 9 2 3" xfId="51885"/>
    <cellStyle name="注释 2 12 9 2 4" xfId="51886"/>
    <cellStyle name="注释 2 12 9 2 4 2" xfId="51887"/>
    <cellStyle name="注释 2 12 9 2 5 2" xfId="51888"/>
    <cellStyle name="注释 2 12 9 2 6" xfId="51889"/>
    <cellStyle name="注释 2 12 9 3" xfId="51890"/>
    <cellStyle name="注释 2 12 9 3 2" xfId="51891"/>
    <cellStyle name="注释 2 12 9 3 2 2" xfId="51892"/>
    <cellStyle name="注释 2 12 9 3 3" xfId="51893"/>
    <cellStyle name="注释 2 12 9 3 4" xfId="51894"/>
    <cellStyle name="注释 2 12 9 3 4 2" xfId="51895"/>
    <cellStyle name="注释 2 12 9 3 5" xfId="51896"/>
    <cellStyle name="注释 2 12 9 3 5 2" xfId="51897"/>
    <cellStyle name="注释 2 12 9 3 6" xfId="51898"/>
    <cellStyle name="注释 2 12 9 4" xfId="51899"/>
    <cellStyle name="注释 2 12 9 4 2" xfId="51900"/>
    <cellStyle name="注释 2 12 9 4 2 2" xfId="51901"/>
    <cellStyle name="注释 2 8 2 2 4" xfId="51902"/>
    <cellStyle name="注释 2 12 9 4 3" xfId="51903"/>
    <cellStyle name="注释 2 12 9 4 4" xfId="51904"/>
    <cellStyle name="注释 2 12 9 4 4 2" xfId="51905"/>
    <cellStyle name="注释 2 8 2 4 4" xfId="51906"/>
    <cellStyle name="注释 2 12 9 4 5" xfId="51907"/>
    <cellStyle name="注释 2 12 9 4 5 2" xfId="51908"/>
    <cellStyle name="注释 2 8 2 5 4" xfId="51909"/>
    <cellStyle name="注释 2 12 9 4 6" xfId="51910"/>
    <cellStyle name="注释 2 12 9 5 2" xfId="51911"/>
    <cellStyle name="注释 2 12 9 5 3" xfId="51912"/>
    <cellStyle name="注释 2 12 9 5 3 2" xfId="51913"/>
    <cellStyle name="注释 2 8 3 3 4" xfId="51914"/>
    <cellStyle name="注释 2 12 9 5 4" xfId="51915"/>
    <cellStyle name="注释 2 12 9 5 4 2" xfId="51916"/>
    <cellStyle name="注释 2 8 3 4 4" xfId="51917"/>
    <cellStyle name="注释 2 12 9 5 5" xfId="51918"/>
    <cellStyle name="注释 2 12 9 5 5 2" xfId="51919"/>
    <cellStyle name="注释 2 8 3 5 4" xfId="51920"/>
    <cellStyle name="注释 2 12 9 5 6" xfId="51921"/>
    <cellStyle name="注释 2 12 9 6" xfId="51922"/>
    <cellStyle name="注释 2 12 9 6 2" xfId="51923"/>
    <cellStyle name="注释 2 12 9 6 2 2" xfId="51924"/>
    <cellStyle name="注释 2 17 11" xfId="51925"/>
    <cellStyle name="注释 2 8 4 2 4" xfId="51926"/>
    <cellStyle name="注释 2 12 9 6 3" xfId="51927"/>
    <cellStyle name="注释 2 12 9 6 3 2" xfId="51928"/>
    <cellStyle name="注释 2 8 4 3 4" xfId="51929"/>
    <cellStyle name="注释 2 12 9 6 4" xfId="51930"/>
    <cellStyle name="注释 2 12 9 6 4 2" xfId="51931"/>
    <cellStyle name="注释 2 8 4 4 4" xfId="51932"/>
    <cellStyle name="注释 2 12 9 6 5" xfId="51933"/>
    <cellStyle name="注释 2 12 9 6 5 2" xfId="51934"/>
    <cellStyle name="注释 2 8 4 5 4" xfId="51935"/>
    <cellStyle name="注释 2 12 9 6 6" xfId="51936"/>
    <cellStyle name="注释 2 12 9 7" xfId="51937"/>
    <cellStyle name="注释 2 12 9 7 2" xfId="51938"/>
    <cellStyle name="注释 2 12 9 7 2 2" xfId="51939"/>
    <cellStyle name="注释 2 8 5 2 4" xfId="51940"/>
    <cellStyle name="注释 2 12 9 7 3 2" xfId="51941"/>
    <cellStyle name="注释 2 8 5 3 4" xfId="51942"/>
    <cellStyle name="注释 2 12 9 7 4" xfId="51943"/>
    <cellStyle name="注释 2 12 9 7 4 2" xfId="51944"/>
    <cellStyle name="注释 2 8 5 4 4" xfId="51945"/>
    <cellStyle name="注释 2 12 9 7 5 2" xfId="51946"/>
    <cellStyle name="注释 2 8 5 5 4" xfId="51947"/>
    <cellStyle name="注释 2 12 9 7 6" xfId="51948"/>
    <cellStyle name="注释 2 12 9 8 2 2" xfId="51949"/>
    <cellStyle name="注释 2 8 6 2 4" xfId="51950"/>
    <cellStyle name="注释 2 12 9 8 3 2" xfId="51951"/>
    <cellStyle name="注释 2 8 6 3 4" xfId="51952"/>
    <cellStyle name="注释 2 12 9 8 4" xfId="51953"/>
    <cellStyle name="注释 2 12 9 8 4 2" xfId="51954"/>
    <cellStyle name="注释 2 8 6 4 4" xfId="51955"/>
    <cellStyle name="注释 2 13 11" xfId="51956"/>
    <cellStyle name="注释 2 8 3 7 4" xfId="51957"/>
    <cellStyle name="注释 2 13 12" xfId="51958"/>
    <cellStyle name="注释 2 8 3 7 5" xfId="51959"/>
    <cellStyle name="注释 2 13 14" xfId="51960"/>
    <cellStyle name="注释 2 13 15" xfId="51961"/>
    <cellStyle name="注释 2 13 16" xfId="51962"/>
    <cellStyle name="注释 2 13 2" xfId="51963"/>
    <cellStyle name="注释 2 13 2 2" xfId="51964"/>
    <cellStyle name="注释 2 6 2 7 5" xfId="51965"/>
    <cellStyle name="注释 2 13 2 2 2" xfId="51966"/>
    <cellStyle name="注释 2 6 2 7 5 2" xfId="51967"/>
    <cellStyle name="注释 2 13 2 3 2" xfId="51968"/>
    <cellStyle name="注释 2 13 2 4" xfId="51969"/>
    <cellStyle name="注释 2 13 2 4 2" xfId="51970"/>
    <cellStyle name="注释 2 13 2 5 2" xfId="51971"/>
    <cellStyle name="注释 2 13 2 6" xfId="51972"/>
    <cellStyle name="注释 2 13 2 7" xfId="51973"/>
    <cellStyle name="注释 2 13 2 8" xfId="51974"/>
    <cellStyle name="注释 2 9 5 6 4 2" xfId="51975"/>
    <cellStyle name="注释 2 13 2 9" xfId="51976"/>
    <cellStyle name="注释 2 13 3" xfId="51977"/>
    <cellStyle name="注释 2 13 3 2" xfId="51978"/>
    <cellStyle name="注释 2 6 2 8 5" xfId="51979"/>
    <cellStyle name="注释 2 13 3 2 2" xfId="51980"/>
    <cellStyle name="注释 2 13 4 2" xfId="51981"/>
    <cellStyle name="注释 2 13 4 2 2" xfId="51982"/>
    <cellStyle name="注释 2 13 4 3" xfId="51983"/>
    <cellStyle name="注释 2 13 4 3 2" xfId="51984"/>
    <cellStyle name="注释 2 13 4 4" xfId="51985"/>
    <cellStyle name="注释 2 13 4 4 2" xfId="51986"/>
    <cellStyle name="注释 2 13 4 5" xfId="51987"/>
    <cellStyle name="注释 2 13 4 5 2" xfId="51988"/>
    <cellStyle name="注释 2 13 4 6" xfId="51989"/>
    <cellStyle name="注释 2 13 5" xfId="51990"/>
    <cellStyle name="注释 2 13 5 2" xfId="51991"/>
    <cellStyle name="注释 2 13 5 2 2" xfId="51992"/>
    <cellStyle name="注释 2 13 5 3" xfId="51993"/>
    <cellStyle name="注释 2 13 5 3 2" xfId="51994"/>
    <cellStyle name="注释 2 13 5 4" xfId="51995"/>
    <cellStyle name="注释 2 13 5 4 2" xfId="51996"/>
    <cellStyle name="注释 2 13 5 5" xfId="51997"/>
    <cellStyle name="注释 2 13 5 5 2" xfId="51998"/>
    <cellStyle name="注释 2 13 5 6" xfId="51999"/>
    <cellStyle name="注释 2 13 6" xfId="52000"/>
    <cellStyle name="注释 2 13 6 2" xfId="52001"/>
    <cellStyle name="注释 2 13 6 3" xfId="52002"/>
    <cellStyle name="注释 2 13 6 4" xfId="52003"/>
    <cellStyle name="注释 2 13 6 5" xfId="52004"/>
    <cellStyle name="注释 2 13 6 5 2" xfId="52005"/>
    <cellStyle name="注释 2 13 6 6" xfId="52006"/>
    <cellStyle name="注释 2 13 7" xfId="52007"/>
    <cellStyle name="注释 2 13 7 2" xfId="52008"/>
    <cellStyle name="注释 2 13 7 3" xfId="52009"/>
    <cellStyle name="注释 2 13 7 4" xfId="52010"/>
    <cellStyle name="注释 2 13 7 5" xfId="52011"/>
    <cellStyle name="注释 2 13 7 5 2" xfId="52012"/>
    <cellStyle name="注释 2 13 7 6" xfId="52013"/>
    <cellStyle name="注释 2 13 8" xfId="52014"/>
    <cellStyle name="注释 2 13 8 2" xfId="52015"/>
    <cellStyle name="注释 2 14 10" xfId="52016"/>
    <cellStyle name="注释 2 14 10 2" xfId="52017"/>
    <cellStyle name="注释 2 14 11 2" xfId="52018"/>
    <cellStyle name="注释 2 14 2" xfId="52019"/>
    <cellStyle name="注释 2 14 2 2" xfId="52020"/>
    <cellStyle name="注释 2 6 3 7 5" xfId="52021"/>
    <cellStyle name="注释 2 14 2 4" xfId="52022"/>
    <cellStyle name="注释 2 14 2 6" xfId="52023"/>
    <cellStyle name="注释 2 14 2 7" xfId="52024"/>
    <cellStyle name="注释 2 14 2 8" xfId="52025"/>
    <cellStyle name="注释 2 9 5 7 4 2" xfId="52026"/>
    <cellStyle name="注释 2 14 2 9" xfId="52027"/>
    <cellStyle name="注释 2 14 3" xfId="52028"/>
    <cellStyle name="注释 2 14 3 2" xfId="52029"/>
    <cellStyle name="注释 2 6 3 8 5" xfId="52030"/>
    <cellStyle name="注释 2 14 4" xfId="52031"/>
    <cellStyle name="注释 2 14 4 2" xfId="52032"/>
    <cellStyle name="注释 2 14 4 3" xfId="52033"/>
    <cellStyle name="注释 2 14 4 4" xfId="52034"/>
    <cellStyle name="注释 2 14 4 5" xfId="52035"/>
    <cellStyle name="注释 2 14 4 6" xfId="52036"/>
    <cellStyle name="注释 2 14 5" xfId="52037"/>
    <cellStyle name="注释 2 14 5 2" xfId="52038"/>
    <cellStyle name="注释 2 14 5 3" xfId="52039"/>
    <cellStyle name="注释 2 14 5 4" xfId="52040"/>
    <cellStyle name="注释 2 14 5 5" xfId="52041"/>
    <cellStyle name="注释 2 14 5 6" xfId="52042"/>
    <cellStyle name="注释 2 14 6" xfId="52043"/>
    <cellStyle name="注释 2 14 6 2" xfId="52044"/>
    <cellStyle name="注释 2 14 6 3" xfId="52045"/>
    <cellStyle name="注释 2 14 6 4" xfId="52046"/>
    <cellStyle name="注释 2 14 6 5" xfId="52047"/>
    <cellStyle name="注释 2 14 6 6" xfId="52048"/>
    <cellStyle name="注释 2 14 7" xfId="52049"/>
    <cellStyle name="注释 2 14 7 2" xfId="52050"/>
    <cellStyle name="注释 2 14 7 3" xfId="52051"/>
    <cellStyle name="注释 2 14 7 4" xfId="52052"/>
    <cellStyle name="注释 2 14 7 5" xfId="52053"/>
    <cellStyle name="注释 2 14 7 6" xfId="52054"/>
    <cellStyle name="注释 2 14 8" xfId="52055"/>
    <cellStyle name="注释 2 14 8 2" xfId="52056"/>
    <cellStyle name="注释 2 14 8 2 2" xfId="52057"/>
    <cellStyle name="注释 2 14 9" xfId="52058"/>
    <cellStyle name="注释 2 15 10 2" xfId="52059"/>
    <cellStyle name="注释 2 15 11" xfId="52060"/>
    <cellStyle name="注释 2 15 11 2" xfId="52061"/>
    <cellStyle name="注释 2 15 12 2" xfId="52062"/>
    <cellStyle name="注释 2 15 13" xfId="52063"/>
    <cellStyle name="注释 2 15 14" xfId="52064"/>
    <cellStyle name="注释 2 15 16" xfId="52065"/>
    <cellStyle name="注释 2 15 2" xfId="52066"/>
    <cellStyle name="注释 2 20 2" xfId="52067"/>
    <cellStyle name="注释 2 15 2 2" xfId="52068"/>
    <cellStyle name="注释 2 6 4 7 5" xfId="52069"/>
    <cellStyle name="注释 2 15 2 8" xfId="52070"/>
    <cellStyle name="注释 2 9 5 8 4 2" xfId="52071"/>
    <cellStyle name="注释 2 15 2 9" xfId="52072"/>
    <cellStyle name="注释 2 15 3" xfId="52073"/>
    <cellStyle name="注释 2 15 3 2" xfId="52074"/>
    <cellStyle name="注释 2 6 4 8 5" xfId="52075"/>
    <cellStyle name="注释 2 15 4" xfId="52076"/>
    <cellStyle name="注释 2 15 4 2" xfId="52077"/>
    <cellStyle name="注释 2 15 4 3" xfId="52078"/>
    <cellStyle name="注释 2 15 4 4" xfId="52079"/>
    <cellStyle name="注释 2 15 4 5" xfId="52080"/>
    <cellStyle name="注释 2 15 4 6" xfId="52081"/>
    <cellStyle name="注释 2 15 5" xfId="52082"/>
    <cellStyle name="注释 2 15 5 2" xfId="52083"/>
    <cellStyle name="注释 2 15 5 3" xfId="52084"/>
    <cellStyle name="注释 2 15 5 4" xfId="52085"/>
    <cellStyle name="注释 2 15 5 6" xfId="52086"/>
    <cellStyle name="注释 2 15 6" xfId="52087"/>
    <cellStyle name="注释 2 15 6 2" xfId="52088"/>
    <cellStyle name="注释 2 15 7" xfId="52089"/>
    <cellStyle name="注释 2 15 7 2" xfId="52090"/>
    <cellStyle name="注释 2 15 8 2" xfId="52091"/>
    <cellStyle name="注释 2 15 8 2 2" xfId="52092"/>
    <cellStyle name="注释 2 3 14 6" xfId="52093"/>
    <cellStyle name="注释 2 15 9" xfId="52094"/>
    <cellStyle name="注释 2 15 9 2" xfId="52095"/>
    <cellStyle name="注释 2 16" xfId="52096"/>
    <cellStyle name="注释 2 21" xfId="52097"/>
    <cellStyle name="注释 2 16 10 2" xfId="52098"/>
    <cellStyle name="注释 2 16 11" xfId="52099"/>
    <cellStyle name="注释 2 16 11 2" xfId="52100"/>
    <cellStyle name="注释 2 16 2" xfId="52101"/>
    <cellStyle name="注释 2 16 2 2" xfId="52102"/>
    <cellStyle name="注释 2 6 5 7 5" xfId="52103"/>
    <cellStyle name="注释 2 16 2 3" xfId="52104"/>
    <cellStyle name="注释 2 6 5 7 6" xfId="52105"/>
    <cellStyle name="注释 2 16 2 4" xfId="52106"/>
    <cellStyle name="注释 2 16 2 5" xfId="52107"/>
    <cellStyle name="注释 2 16 2 6" xfId="52108"/>
    <cellStyle name="注释 2 16 2 7" xfId="52109"/>
    <cellStyle name="注释 2 16 2 8" xfId="52110"/>
    <cellStyle name="注释 2 16 3" xfId="52111"/>
    <cellStyle name="注释 2 16 3 2" xfId="52112"/>
    <cellStyle name="注释 2 6 5 8 5" xfId="52113"/>
    <cellStyle name="注释 2 16 3 3" xfId="52114"/>
    <cellStyle name="注释 2 16 3 4" xfId="52115"/>
    <cellStyle name="注释 2 16 3 5" xfId="52116"/>
    <cellStyle name="注释 2 16 3 6" xfId="52117"/>
    <cellStyle name="注释 2 16 4" xfId="52118"/>
    <cellStyle name="注释 2 16 4 2" xfId="52119"/>
    <cellStyle name="注释 2 16 4 3" xfId="52120"/>
    <cellStyle name="注释 2 16 4 4" xfId="52121"/>
    <cellStyle name="注释 2 16 4 5" xfId="52122"/>
    <cellStyle name="注释 2 16 4 6" xfId="52123"/>
    <cellStyle name="注释 2 16 5" xfId="52124"/>
    <cellStyle name="注释 2 16 5 2" xfId="52125"/>
    <cellStyle name="注释 2 16 5 3" xfId="52126"/>
    <cellStyle name="注释 2 16 5 4" xfId="52127"/>
    <cellStyle name="注释 2 16 5 6" xfId="52128"/>
    <cellStyle name="注释 2 16 6" xfId="52129"/>
    <cellStyle name="注释 2 16 6 2" xfId="52130"/>
    <cellStyle name="注释 2 16 6 3" xfId="52131"/>
    <cellStyle name="注释 2 16 6 4" xfId="52132"/>
    <cellStyle name="注释 2 16 6 6" xfId="52133"/>
    <cellStyle name="注释 2 16 7" xfId="52134"/>
    <cellStyle name="注释 2 16 7 2" xfId="52135"/>
    <cellStyle name="注释 2 16 7 3" xfId="52136"/>
    <cellStyle name="注释 2 16 7 4" xfId="52137"/>
    <cellStyle name="注释 2 16 7 6" xfId="52138"/>
    <cellStyle name="注释 2 16 8 2" xfId="52139"/>
    <cellStyle name="注释 2 16 8 2 2" xfId="52140"/>
    <cellStyle name="注释 2 8 14 6" xfId="52141"/>
    <cellStyle name="注释 2 16 8 3" xfId="52142"/>
    <cellStyle name="注释 2 16 8 3 2" xfId="52143"/>
    <cellStyle name="注释 2 8 15 6" xfId="52144"/>
    <cellStyle name="注释 2 16 8 4" xfId="52145"/>
    <cellStyle name="注释 2 16 8 4 2" xfId="52146"/>
    <cellStyle name="注释 2 8 16 6" xfId="52147"/>
    <cellStyle name="注释 2 16 9" xfId="52148"/>
    <cellStyle name="注释 2 16 9 2" xfId="52149"/>
    <cellStyle name="注释 2 17" xfId="52150"/>
    <cellStyle name="注释 2 22" xfId="52151"/>
    <cellStyle name="注释 2 17 10" xfId="52152"/>
    <cellStyle name="注释 2 8 4 2 3" xfId="52153"/>
    <cellStyle name="注释 2 17 12" xfId="52154"/>
    <cellStyle name="注释 2 8 4 2 5" xfId="52155"/>
    <cellStyle name="注释 2 17 14" xfId="52156"/>
    <cellStyle name="注释 2 3 6 8 2 2" xfId="52157"/>
    <cellStyle name="注释 2 8 4 2 7" xfId="52158"/>
    <cellStyle name="注释 2 17 16" xfId="52159"/>
    <cellStyle name="注释 2 8 4 2 9" xfId="52160"/>
    <cellStyle name="注释 2 17 2" xfId="52161"/>
    <cellStyle name="注释 2 17 3" xfId="52162"/>
    <cellStyle name="注释 2 6 11 7 2 2" xfId="52163"/>
    <cellStyle name="注释 2 17 4" xfId="52164"/>
    <cellStyle name="注释 2 17 6" xfId="52165"/>
    <cellStyle name="注释 2 17 7" xfId="52166"/>
    <cellStyle name="注释 2 17 9" xfId="52167"/>
    <cellStyle name="注释 2 17 9 2" xfId="52168"/>
    <cellStyle name="注释 2 18" xfId="52169"/>
    <cellStyle name="注释 2 23" xfId="52170"/>
    <cellStyle name="注释 2 18 2" xfId="52171"/>
    <cellStyle name="注释 2 18 4" xfId="52172"/>
    <cellStyle name="注释 2 18 6" xfId="52173"/>
    <cellStyle name="注释 2 18 7" xfId="52174"/>
    <cellStyle name="注释 2 19" xfId="52175"/>
    <cellStyle name="注释 2 24" xfId="52176"/>
    <cellStyle name="注释 2 19 2" xfId="52177"/>
    <cellStyle name="注释 2 2" xfId="52178"/>
    <cellStyle name="注释 2 8 9 7 2" xfId="52179"/>
    <cellStyle name="注释 2 2 10" xfId="52180"/>
    <cellStyle name="注释 2 2 10 10" xfId="52181"/>
    <cellStyle name="注释 2 2 10 11" xfId="52182"/>
    <cellStyle name="注释 2 2 10 2" xfId="52183"/>
    <cellStyle name="注释 2 2 10 2 2" xfId="52184"/>
    <cellStyle name="注释 2 2 10 2 2 2" xfId="52185"/>
    <cellStyle name="注释 2 2 10 2 3" xfId="52186"/>
    <cellStyle name="注释 2 2 10 2 3 2" xfId="52187"/>
    <cellStyle name="注释 2 2 10 2 4 2" xfId="52188"/>
    <cellStyle name="注释 2 2 10 3 2" xfId="52189"/>
    <cellStyle name="注释 2 2 10 3 2 2" xfId="52190"/>
    <cellStyle name="注释 2 2 10 3 3" xfId="52191"/>
    <cellStyle name="注释 2 2 10 3 3 2" xfId="52192"/>
    <cellStyle name="注释 2 2 10 3 4 2" xfId="52193"/>
    <cellStyle name="注释 2 2 10 4" xfId="52194"/>
    <cellStyle name="注释 2 2 10 5" xfId="52195"/>
    <cellStyle name="注释 2 2 10 5 2" xfId="52196"/>
    <cellStyle name="注释 2 2 10 5 2 2" xfId="52197"/>
    <cellStyle name="注释 2 2 10 5 3" xfId="52198"/>
    <cellStyle name="注释 2 2 10 5 3 2" xfId="52199"/>
    <cellStyle name="注释 2 2 10 5 4 2" xfId="52200"/>
    <cellStyle name="注释 2 2 10 6" xfId="52201"/>
    <cellStyle name="注释 2 2 10 6 2" xfId="52202"/>
    <cellStyle name="注释 2 2 10 6 3" xfId="52203"/>
    <cellStyle name="注释 2 2 10 6 4" xfId="52204"/>
    <cellStyle name="注释 2 2 10 7 2" xfId="52205"/>
    <cellStyle name="注释 2 2 10 7 3" xfId="52206"/>
    <cellStyle name="注释 2 2 10 7 4" xfId="52207"/>
    <cellStyle name="注释 2 2 10 7 4 2" xfId="52208"/>
    <cellStyle name="注释 2 2 10 8" xfId="52209"/>
    <cellStyle name="注释 2 2 10 8 2" xfId="52210"/>
    <cellStyle name="注释 2 2 10 8 3" xfId="52211"/>
    <cellStyle name="注释 2 2 10 8 4" xfId="52212"/>
    <cellStyle name="注释 2 2 10 8 4 2" xfId="52213"/>
    <cellStyle name="注释 2 2 10 9" xfId="52214"/>
    <cellStyle name="注释 2 2 11" xfId="52215"/>
    <cellStyle name="注释 2 2 11 10" xfId="52216"/>
    <cellStyle name="注释 2 2 11 10 2" xfId="52217"/>
    <cellStyle name="注释 2 2 11 11" xfId="52218"/>
    <cellStyle name="注释 2 2 11 11 2" xfId="52219"/>
    <cellStyle name="注释 2 2 11 2" xfId="52220"/>
    <cellStyle name="注释 2 2 11 2 2" xfId="52221"/>
    <cellStyle name="注释 2 2 11 2 2 2" xfId="52222"/>
    <cellStyle name="注释 2 2 11 2 3" xfId="52223"/>
    <cellStyle name="注释 2 2 11 2 3 2" xfId="52224"/>
    <cellStyle name="注释 2 2 11 2 4 2" xfId="52225"/>
    <cellStyle name="注释 2 2 11 2 5" xfId="52226"/>
    <cellStyle name="注释 2 2 11 2 5 2" xfId="52227"/>
    <cellStyle name="注释 2 2 11 3 2 2" xfId="52228"/>
    <cellStyle name="注释 2 2 11 3 3" xfId="52229"/>
    <cellStyle name="注释 2 2 11 3 3 2" xfId="52230"/>
    <cellStyle name="注释 2 2 11 3 5" xfId="52231"/>
    <cellStyle name="注释 2 2 11 3 5 2" xfId="52232"/>
    <cellStyle name="注释 2 2 11 3 6" xfId="52233"/>
    <cellStyle name="注释 2 2 11 4 3" xfId="52234"/>
    <cellStyle name="注释 2 2 11 4 3 2" xfId="52235"/>
    <cellStyle name="注释 2 2 11 4 4" xfId="52236"/>
    <cellStyle name="注释 2 2 11 4 4 2" xfId="52237"/>
    <cellStyle name="注释 2 2 11 4 5" xfId="52238"/>
    <cellStyle name="注释 2 2 11 4 5 2" xfId="52239"/>
    <cellStyle name="注释 2 2 11 4 6" xfId="52240"/>
    <cellStyle name="注释 2 2 11 5 3" xfId="52241"/>
    <cellStyle name="注释 2 2 11 5 3 2" xfId="52242"/>
    <cellStyle name="注释 2 2 11 5 4" xfId="52243"/>
    <cellStyle name="注释 2 2 11 5 4 2" xfId="52244"/>
    <cellStyle name="注释 2 2 11 5 5" xfId="52245"/>
    <cellStyle name="注释 2 2 11 5 5 2" xfId="52246"/>
    <cellStyle name="注释 2 2 11 5 6" xfId="52247"/>
    <cellStyle name="注释 2 2 11 6 2 2" xfId="52248"/>
    <cellStyle name="注释 2 2 11 6 3" xfId="52249"/>
    <cellStyle name="注释 2 2 11 6 3 2" xfId="52250"/>
    <cellStyle name="注释 2 2 11 6 4" xfId="52251"/>
    <cellStyle name="注释 2 2 11 6 4 2" xfId="52252"/>
    <cellStyle name="注释 2 2 11 6 5" xfId="52253"/>
    <cellStyle name="注释 2 2 11 6 5 2" xfId="52254"/>
    <cellStyle name="注释 2 2 11 7 2" xfId="52255"/>
    <cellStyle name="注释 2 2 11 7 2 2" xfId="52256"/>
    <cellStyle name="注释 2 2 11 8 2" xfId="52257"/>
    <cellStyle name="注释 2 2 11 8 2 2" xfId="52258"/>
    <cellStyle name="注释 2 2 11 9 2" xfId="52259"/>
    <cellStyle name="注释 2 2 12" xfId="52260"/>
    <cellStyle name="注释 2 2 12 2" xfId="52261"/>
    <cellStyle name="注释 2 2 12 8" xfId="52262"/>
    <cellStyle name="注释 2 2 12 9" xfId="52263"/>
    <cellStyle name="注释 2 2 13" xfId="52264"/>
    <cellStyle name="注释 2 2 13 2" xfId="52265"/>
    <cellStyle name="注释 2 2 15" xfId="52266"/>
    <cellStyle name="注释 2 2 20" xfId="52267"/>
    <cellStyle name="注释 2 2 15 2" xfId="52268"/>
    <cellStyle name="注释 2 2 20 2" xfId="52269"/>
    <cellStyle name="注释 2 2 16" xfId="52270"/>
    <cellStyle name="注释 2 2 21" xfId="52271"/>
    <cellStyle name="注释 2 2 16 2" xfId="52272"/>
    <cellStyle name="注释 2 2 21 2" xfId="52273"/>
    <cellStyle name="注释 2 2 17" xfId="52274"/>
    <cellStyle name="注释 2 2 22" xfId="52275"/>
    <cellStyle name="注释 2 2 17 2" xfId="52276"/>
    <cellStyle name="注释 2 2 22 2" xfId="52277"/>
    <cellStyle name="注释 2 2 18" xfId="52278"/>
    <cellStyle name="注释 2 2 23" xfId="52279"/>
    <cellStyle name="注释 2 2 18 2" xfId="52280"/>
    <cellStyle name="注释 2 2 23 2" xfId="52281"/>
    <cellStyle name="注释 2 2 2 15" xfId="52282"/>
    <cellStyle name="注释 2 2 2 16" xfId="52283"/>
    <cellStyle name="注释 2 2 2 2" xfId="52284"/>
    <cellStyle name="注释 2 2 2 2 2" xfId="52285"/>
    <cellStyle name="注释 2 2 2 2 2 2" xfId="52286"/>
    <cellStyle name="注释 2 8 7 2 9" xfId="52287"/>
    <cellStyle name="注释 2 2 2 2 3" xfId="52288"/>
    <cellStyle name="注释 2 2 2 2 3 2" xfId="52289"/>
    <cellStyle name="注释 2 2 2 2 4 2" xfId="52290"/>
    <cellStyle name="注释 2 2 2 2 5" xfId="52291"/>
    <cellStyle name="注释 2 2 2 2 5 2" xfId="52292"/>
    <cellStyle name="注释 2 2 2 2 6" xfId="52293"/>
    <cellStyle name="注释 2 2 2 2 7" xfId="52294"/>
    <cellStyle name="注释 2 2 2 3 2" xfId="52295"/>
    <cellStyle name="注释 2 2 2 3 2 2" xfId="52296"/>
    <cellStyle name="注释 2 8 8 2 9" xfId="52297"/>
    <cellStyle name="注释 2 2 2 3 3 2" xfId="52298"/>
    <cellStyle name="注释 2 2 2 3 4 2" xfId="52299"/>
    <cellStyle name="注释 2 2 2 3 5" xfId="52300"/>
    <cellStyle name="注释 2 2 2 3 5 2" xfId="52301"/>
    <cellStyle name="注释 2 2 2 3 6" xfId="52302"/>
    <cellStyle name="注释 2 2 2 4" xfId="52303"/>
    <cellStyle name="注释 2 2 2 4 2 2" xfId="52304"/>
    <cellStyle name="注释 2 8 9 2 9" xfId="52305"/>
    <cellStyle name="注释 2 2 2 4 3 2" xfId="52306"/>
    <cellStyle name="注释 2 2 2 4 4 2" xfId="52307"/>
    <cellStyle name="注释 2 2 2 4 5" xfId="52308"/>
    <cellStyle name="注释 2 2 2 4 5 2" xfId="52309"/>
    <cellStyle name="注释 2 2 2 4 6" xfId="52310"/>
    <cellStyle name="注释 2 2 2 5" xfId="52311"/>
    <cellStyle name="注释 2 2 2 5 2" xfId="52312"/>
    <cellStyle name="注释 2 2 2 5 5" xfId="52313"/>
    <cellStyle name="注释 2 2 2 5 6" xfId="52314"/>
    <cellStyle name="注释 2 2 2 6" xfId="52315"/>
    <cellStyle name="注释 2 2 2 6 2" xfId="52316"/>
    <cellStyle name="注释 2 5 6 10" xfId="52317"/>
    <cellStyle name="注释 2 2 2 6 2 2" xfId="52318"/>
    <cellStyle name="注释 2 5 6 10 2" xfId="52319"/>
    <cellStyle name="注释 2 2 2 6 3" xfId="52320"/>
    <cellStyle name="注释 2 5 6 11" xfId="52321"/>
    <cellStyle name="注释 2 2 2 6 3 2" xfId="52322"/>
    <cellStyle name="注释 2 5 6 11 2" xfId="52323"/>
    <cellStyle name="注释 2 2 2 6 4" xfId="52324"/>
    <cellStyle name="注释 2 5 6 12" xfId="52325"/>
    <cellStyle name="注释 2 2 2 6 5" xfId="52326"/>
    <cellStyle name="注释 2 5 6 13" xfId="52327"/>
    <cellStyle name="注释 2 2 2 6 6" xfId="52328"/>
    <cellStyle name="注释 2 5 6 14" xfId="52329"/>
    <cellStyle name="注释 2 2 2 7" xfId="52330"/>
    <cellStyle name="注释 2 2 2 7 2" xfId="52331"/>
    <cellStyle name="注释 2 2 2 7 3" xfId="52332"/>
    <cellStyle name="注释 2 2 2 7 3 2" xfId="52333"/>
    <cellStyle name="注释 2 2 2 7 4" xfId="52334"/>
    <cellStyle name="注释 2 2 2 7 4 2" xfId="52335"/>
    <cellStyle name="注释 2 2 2 7 5" xfId="52336"/>
    <cellStyle name="注释 2 2 2 7 5 2" xfId="52337"/>
    <cellStyle name="注释 2 2 2 7 6" xfId="52338"/>
    <cellStyle name="注释 2 2 2 8" xfId="52339"/>
    <cellStyle name="注释 2 2 2 8 2" xfId="52340"/>
    <cellStyle name="注释 2 2 2 8 3" xfId="52341"/>
    <cellStyle name="注释 2 2 2 8 3 2" xfId="52342"/>
    <cellStyle name="注释 2 2 2 8 4" xfId="52343"/>
    <cellStyle name="注释 2 2 2 8 4 2" xfId="52344"/>
    <cellStyle name="注释 2 2 2 8 5" xfId="52345"/>
    <cellStyle name="注释 2 2 2 9" xfId="52346"/>
    <cellStyle name="注释 2 2 2 9 2" xfId="52347"/>
    <cellStyle name="注释 2 2 25" xfId="52348"/>
    <cellStyle name="注释 2 2 26" xfId="52349"/>
    <cellStyle name="注释 2 2 3 15" xfId="52350"/>
    <cellStyle name="注释 2 2 3 16" xfId="52351"/>
    <cellStyle name="注释 2 2 3 2" xfId="52352"/>
    <cellStyle name="注释 2 2 3 2 2" xfId="52353"/>
    <cellStyle name="注释 2 2 3 2 3" xfId="52354"/>
    <cellStyle name="注释 2 2 3 3 2" xfId="52355"/>
    <cellStyle name="注释 2 2 3 3 2 2" xfId="52356"/>
    <cellStyle name="注释 2 9 8 2 9" xfId="52357"/>
    <cellStyle name="注释 2 2 3 3 3" xfId="52358"/>
    <cellStyle name="注释 2 2 3 4" xfId="52359"/>
    <cellStyle name="注释 2 2 3 4 2 2" xfId="52360"/>
    <cellStyle name="注释 2 9 9 2 9" xfId="52361"/>
    <cellStyle name="注释 2 2 3 4 3" xfId="52362"/>
    <cellStyle name="注释 2 2 3 4 3 2" xfId="52363"/>
    <cellStyle name="注释 2 2 3 5" xfId="52364"/>
    <cellStyle name="注释 2 2 3 5 2" xfId="52365"/>
    <cellStyle name="注释 2 2 3 5 2 2" xfId="52366"/>
    <cellStyle name="注释 2 2 3 5 3" xfId="52367"/>
    <cellStyle name="注释 2 2 3 5 3 2" xfId="52368"/>
    <cellStyle name="注释 2 2 3 5 4 2" xfId="52369"/>
    <cellStyle name="注释 2 2 3 5 5" xfId="52370"/>
    <cellStyle name="注释 2 2 3 5 5 2" xfId="52371"/>
    <cellStyle name="注释 2 2 3 5 6" xfId="52372"/>
    <cellStyle name="注释 2 2 3 6 2 2" xfId="52373"/>
    <cellStyle name="注释 2 2 3 6 3 2" xfId="52374"/>
    <cellStyle name="注释 2 2 3 6 4 2" xfId="52375"/>
    <cellStyle name="注释 2 2 3 6 5" xfId="52376"/>
    <cellStyle name="注释 2 2 3 6 5 2" xfId="52377"/>
    <cellStyle name="注释 2 2 3 6 6" xfId="52378"/>
    <cellStyle name="注释 2 2 3 7 4" xfId="52379"/>
    <cellStyle name="注释 2 2 3 7 4 2" xfId="52380"/>
    <cellStyle name="注释 2 2 3 7 5" xfId="52381"/>
    <cellStyle name="注释 2 2 3 7 5 2" xfId="52382"/>
    <cellStyle name="注释 2 2 3 7 6" xfId="52383"/>
    <cellStyle name="注释 2 2 3 8 2 2" xfId="52384"/>
    <cellStyle name="注释 2 2 3 8 4" xfId="52385"/>
    <cellStyle name="注释 2 2 3 8 5" xfId="52386"/>
    <cellStyle name="注释 2 2 4 10" xfId="52387"/>
    <cellStyle name="注释 2 2 4 13" xfId="52388"/>
    <cellStyle name="注释 2 2 4 14" xfId="52389"/>
    <cellStyle name="注释 2 2 4 2" xfId="52390"/>
    <cellStyle name="注释 2 2 4 2 2" xfId="52391"/>
    <cellStyle name="注释 2 2 4 2 3" xfId="52392"/>
    <cellStyle name="注释 2 2 4 2 6" xfId="52393"/>
    <cellStyle name="注释 2 2 4 2 7" xfId="52394"/>
    <cellStyle name="注释 2 2 4 3" xfId="52395"/>
    <cellStyle name="注释 2 2 4 3 3" xfId="52396"/>
    <cellStyle name="注释 2 2 4 3 6" xfId="52397"/>
    <cellStyle name="注释 2 2 4 4" xfId="52398"/>
    <cellStyle name="注释 2 2 4 4 3" xfId="52399"/>
    <cellStyle name="注释 2 2 4 4 3 2" xfId="52400"/>
    <cellStyle name="注释 2 2 4 4 4 2" xfId="52401"/>
    <cellStyle name="注释 2 2 4 4 5" xfId="52402"/>
    <cellStyle name="注释 2 2 4 4 5 2" xfId="52403"/>
    <cellStyle name="注释 2 2 4 4 6" xfId="52404"/>
    <cellStyle name="注释 2 2 4 5" xfId="52405"/>
    <cellStyle name="注释 2 2 4 6 2 2" xfId="52406"/>
    <cellStyle name="注释 2 2 4 6 3 2" xfId="52407"/>
    <cellStyle name="注释 2 2 4 6 4" xfId="52408"/>
    <cellStyle name="注释 2 2 4 6 4 2" xfId="52409"/>
    <cellStyle name="注释 2 2 4 6 5" xfId="52410"/>
    <cellStyle name="注释 2 2 4 6 5 2" xfId="52411"/>
    <cellStyle name="注释 2 2 4 6 6" xfId="52412"/>
    <cellStyle name="注释 2 2 4 7 2 2" xfId="52413"/>
    <cellStyle name="注释 2 2 4 7 3 2" xfId="52414"/>
    <cellStyle name="注释 2 2 4 7 4" xfId="52415"/>
    <cellStyle name="注释 2 2 4 7 4 2" xfId="52416"/>
    <cellStyle name="注释 2 2 4 7 5" xfId="52417"/>
    <cellStyle name="注释 2 2 4 7 5 2" xfId="52418"/>
    <cellStyle name="注释 2 2 4 7 6" xfId="52419"/>
    <cellStyle name="注释 2 2 4 8 2 2" xfId="52420"/>
    <cellStyle name="注释 2 2 4 8 3 2" xfId="52421"/>
    <cellStyle name="注释 2 2 4 8 4" xfId="52422"/>
    <cellStyle name="注释 2 2 4 8 4 2" xfId="52423"/>
    <cellStyle name="注释 2 2 4 8 5" xfId="52424"/>
    <cellStyle name="注释 2 2 5" xfId="52425"/>
    <cellStyle name="注释 2 4 8 16" xfId="52426"/>
    <cellStyle name="注释 2 2 5 10 2" xfId="52427"/>
    <cellStyle name="注释 2 2 5 11 2" xfId="52428"/>
    <cellStyle name="注释 2 2 5 12" xfId="52429"/>
    <cellStyle name="注释 2 2 5 12 2" xfId="52430"/>
    <cellStyle name="注释 2 2 5 13" xfId="52431"/>
    <cellStyle name="注释 2 2 5 2" xfId="52432"/>
    <cellStyle name="注释 2 2 5 2 2" xfId="52433"/>
    <cellStyle name="注释 2 2 5 2 3" xfId="52434"/>
    <cellStyle name="注释 2 5 9 2 2 2" xfId="52435"/>
    <cellStyle name="注释 2 2 5 2 6" xfId="52436"/>
    <cellStyle name="注释 2 2 5 2 7" xfId="52437"/>
    <cellStyle name="注释 2 2 5 2 8" xfId="52438"/>
    <cellStyle name="注释 2 2 5 3" xfId="52439"/>
    <cellStyle name="注释 2 2 5 3 2" xfId="52440"/>
    <cellStyle name="注释 2 2 5 3 3" xfId="52441"/>
    <cellStyle name="注释 2 5 9 2 3 2" xfId="52442"/>
    <cellStyle name="注释 2 2 5 3 6" xfId="52443"/>
    <cellStyle name="注释 2 2 5 4" xfId="52444"/>
    <cellStyle name="注释 2 2 5 4 2 2" xfId="52445"/>
    <cellStyle name="注释 2 2 5 4 3" xfId="52446"/>
    <cellStyle name="注释 2 5 9 2 4 2" xfId="52447"/>
    <cellStyle name="注释 2 2 5 4 3 2" xfId="52448"/>
    <cellStyle name="注释 2 2 5 4 4 2" xfId="52449"/>
    <cellStyle name="注释 2 2 5 4 5" xfId="52450"/>
    <cellStyle name="注释 2 2 5 4 5 2" xfId="52451"/>
    <cellStyle name="注释 2 2 5 4 6" xfId="52452"/>
    <cellStyle name="注释 2 2 5 5" xfId="52453"/>
    <cellStyle name="注释 2 2 5 5 2" xfId="52454"/>
    <cellStyle name="注释 2 2 5 5 2 2" xfId="52455"/>
    <cellStyle name="注释 2 2 5 6 2 2" xfId="52456"/>
    <cellStyle name="注释 2 2 5 6 3 2" xfId="52457"/>
    <cellStyle name="注释 2 2 5 6 4" xfId="52458"/>
    <cellStyle name="注释 2 2 5 6 4 2" xfId="52459"/>
    <cellStyle name="注释 2 2 5 6 5 2" xfId="52460"/>
    <cellStyle name="注释 2 2 5 6 6" xfId="52461"/>
    <cellStyle name="注释 2 2 5 7 2 2" xfId="52462"/>
    <cellStyle name="注释 2 2 5 7 3 2" xfId="52463"/>
    <cellStyle name="注释 2 2 5 7 4" xfId="52464"/>
    <cellStyle name="注释 2 2 5 7 4 2" xfId="52465"/>
    <cellStyle name="注释 2 2 5 7 6" xfId="52466"/>
    <cellStyle name="注释 2 2 5 8 2 2" xfId="52467"/>
    <cellStyle name="注释 2 2 5 8 3 2" xfId="52468"/>
    <cellStyle name="注释 2 2 5 8 4" xfId="52469"/>
    <cellStyle name="注释 2 2 5 8 4 2" xfId="52470"/>
    <cellStyle name="注释 2 2 5 8 5" xfId="52471"/>
    <cellStyle name="注释 2 2 6" xfId="52472"/>
    <cellStyle name="注释 2 2 6 10 2" xfId="52473"/>
    <cellStyle name="注释 2 2 6 2" xfId="52474"/>
    <cellStyle name="注释 2 2 6 2 3" xfId="52475"/>
    <cellStyle name="注释 2 5 9 3 2 2" xfId="52476"/>
    <cellStyle name="注释 2 2 6 2 6" xfId="52477"/>
    <cellStyle name="注释 2 2 6 2 7" xfId="52478"/>
    <cellStyle name="注释 2 2 6 2 8" xfId="52479"/>
    <cellStyle name="注释 2 2 6 3 2" xfId="52480"/>
    <cellStyle name="注释 2 2 6 3 3" xfId="52481"/>
    <cellStyle name="注释 2 5 9 3 3 2" xfId="52482"/>
    <cellStyle name="注释 2 2 6 3 6" xfId="52483"/>
    <cellStyle name="注释 2 2 6 4 3" xfId="52484"/>
    <cellStyle name="注释 2 5 9 3 4 2" xfId="52485"/>
    <cellStyle name="注释 2 2 6 4 5" xfId="52486"/>
    <cellStyle name="注释 2 2 6 4 6" xfId="52487"/>
    <cellStyle name="注释 2 2 6 5 3" xfId="52488"/>
    <cellStyle name="注释 2 5 9 3 5 2" xfId="52489"/>
    <cellStyle name="注释 2 2 6 5 4" xfId="52490"/>
    <cellStyle name="注释 2 2 6 5 5" xfId="52491"/>
    <cellStyle name="注释 2 2 6 5 6" xfId="52492"/>
    <cellStyle name="注释 2 2 6 6 2 2" xfId="52493"/>
    <cellStyle name="注释 2 7 6 5" xfId="52494"/>
    <cellStyle name="注释 2 2 6 6 3 2" xfId="52495"/>
    <cellStyle name="注释 2 7 7 5" xfId="52496"/>
    <cellStyle name="注释 2 2 6 6 4" xfId="52497"/>
    <cellStyle name="注释 2 2 6 6 4 2" xfId="52498"/>
    <cellStyle name="注释 2 7 8 5" xfId="52499"/>
    <cellStyle name="注释 2 2 6 6 5" xfId="52500"/>
    <cellStyle name="注释 2 2 6 6 5 2" xfId="52501"/>
    <cellStyle name="注释 2 7 9 5" xfId="52502"/>
    <cellStyle name="注释 2 2 6 6 6" xfId="52503"/>
    <cellStyle name="注释 2 2 6 7 2 2" xfId="52504"/>
    <cellStyle name="注释 2 8 6 5" xfId="52505"/>
    <cellStyle name="注释 2 2 6 7 3 2" xfId="52506"/>
    <cellStyle name="注释 2 8 7 5" xfId="52507"/>
    <cellStyle name="注释 2 2 6 7 4" xfId="52508"/>
    <cellStyle name="注释 2 2 6 7 4 2" xfId="52509"/>
    <cellStyle name="注释 2 8 8 5" xfId="52510"/>
    <cellStyle name="注释 2 2 6 7 5" xfId="52511"/>
    <cellStyle name="注释 2 2 6 7 6" xfId="52512"/>
    <cellStyle name="注释 2 2 6 8 2 2" xfId="52513"/>
    <cellStyle name="注释 2 9 6 5" xfId="52514"/>
    <cellStyle name="注释 2 2 6 8 3 2" xfId="52515"/>
    <cellStyle name="注释 2 9 7 5" xfId="52516"/>
    <cellStyle name="注释 2 2 6 8 4" xfId="52517"/>
    <cellStyle name="注释 2 2 6 8 4 2" xfId="52518"/>
    <cellStyle name="注释 2 9 8 5" xfId="52519"/>
    <cellStyle name="注释 2 2 6 8 5" xfId="52520"/>
    <cellStyle name="注释 2 2 7" xfId="52521"/>
    <cellStyle name="注释 2 2 7 15" xfId="52522"/>
    <cellStyle name="注释 2 2 7 16" xfId="52523"/>
    <cellStyle name="注释 2 2 7 2" xfId="52524"/>
    <cellStyle name="注释 2 2 7 2 2" xfId="52525"/>
    <cellStyle name="注释 2 2 7 2 2 2" xfId="52526"/>
    <cellStyle name="注释 2 2 7 2 3" xfId="52527"/>
    <cellStyle name="注释 2 5 9 4 2 2" xfId="52528"/>
    <cellStyle name="注释 2 2 7 2 3 2" xfId="52529"/>
    <cellStyle name="注释 2 2 7 2 4 2" xfId="52530"/>
    <cellStyle name="注释 2 2 7 2 5 2" xfId="52531"/>
    <cellStyle name="注释 2 2 7 3 2" xfId="52532"/>
    <cellStyle name="注释 2 2 7 3 2 2" xfId="52533"/>
    <cellStyle name="注释 2 2 7 3 3 2" xfId="52534"/>
    <cellStyle name="注释 2 2 7 3 4 2" xfId="52535"/>
    <cellStyle name="注释 2 2 7 3 5 2" xfId="52536"/>
    <cellStyle name="注释 2 2 7 4 2 2" xfId="52537"/>
    <cellStyle name="注释 2 2 7 4 3 2" xfId="52538"/>
    <cellStyle name="注释 2 2 7 4 4 2" xfId="52539"/>
    <cellStyle name="注释 2 2 7 4 5" xfId="52540"/>
    <cellStyle name="注释 2 2 7 4 5 2" xfId="52541"/>
    <cellStyle name="注释 2 2 7 5 2 2" xfId="52542"/>
    <cellStyle name="注释 2 2 7 5 3 2" xfId="52543"/>
    <cellStyle name="注释 2 2 7 5 4" xfId="52544"/>
    <cellStyle name="注释 2 2 7 5 4 2" xfId="52545"/>
    <cellStyle name="注释 2 2 7 5 5" xfId="52546"/>
    <cellStyle name="注释 2 2 7 5 5 2" xfId="52547"/>
    <cellStyle name="注释 2 2 7 6 2 2" xfId="52548"/>
    <cellStyle name="注释 2 6 6 10 2" xfId="52549"/>
    <cellStyle name="注释 2 2 7 6 3 2" xfId="52550"/>
    <cellStyle name="注释 2 6 6 11 2" xfId="52551"/>
    <cellStyle name="注释 2 2 7 6 4" xfId="52552"/>
    <cellStyle name="注释 2 6 6 12" xfId="52553"/>
    <cellStyle name="注释 2 2 7 6 4 2" xfId="52554"/>
    <cellStyle name="注释 2 6 6 12 2" xfId="52555"/>
    <cellStyle name="注释 2 2 7 6 5" xfId="52556"/>
    <cellStyle name="注释 2 6 6 13" xfId="52557"/>
    <cellStyle name="注释 2 2 7 6 5 2" xfId="52558"/>
    <cellStyle name="注释 2 2 7 7 2 2" xfId="52559"/>
    <cellStyle name="注释 2 2 7 7 3 2" xfId="52560"/>
    <cellStyle name="注释 2 2 7 7 4" xfId="52561"/>
    <cellStyle name="注释 2 2 7 7 4 2" xfId="52562"/>
    <cellStyle name="注释 2 2 7 7 5" xfId="52563"/>
    <cellStyle name="注释 2 2 7 7 5 2" xfId="52564"/>
    <cellStyle name="注释 2 2 7 8 2 2" xfId="52565"/>
    <cellStyle name="注释 2 2 7 8 3 2" xfId="52566"/>
    <cellStyle name="注释 2 2 7 8 4" xfId="52567"/>
    <cellStyle name="注释 2 2 7 8 4 2" xfId="52568"/>
    <cellStyle name="注释 2 2 7 8 5" xfId="52569"/>
    <cellStyle name="注释 2 2 8 15" xfId="52570"/>
    <cellStyle name="注释 2 2 8 16" xfId="52571"/>
    <cellStyle name="注释 2 2 8 2" xfId="52572"/>
    <cellStyle name="注释 2 2 8 2 2" xfId="52573"/>
    <cellStyle name="注释 2 2 8 2 2 2" xfId="52574"/>
    <cellStyle name="注释 2 2 8 2 3" xfId="52575"/>
    <cellStyle name="注释 2 5 9 5 2 2" xfId="52576"/>
    <cellStyle name="注释 2 7 10 2 3 2" xfId="52577"/>
    <cellStyle name="注释 2 2 8 2 3 2" xfId="52578"/>
    <cellStyle name="注释 2 2 8 2 4 2" xfId="52579"/>
    <cellStyle name="注释 2 2 8 2 5 2" xfId="52580"/>
    <cellStyle name="注释 2 2 8 3 5 2" xfId="52581"/>
    <cellStyle name="注释 2 2 9 10 2" xfId="52582"/>
    <cellStyle name="注释 2 2 9 11 2" xfId="52583"/>
    <cellStyle name="注释 2 2 9 12 2" xfId="52584"/>
    <cellStyle name="注释 2 2 9 13" xfId="52585"/>
    <cellStyle name="注释 2 2 9 14" xfId="52586"/>
    <cellStyle name="注释 2 2 9 2" xfId="52587"/>
    <cellStyle name="注释 2 2 9 2 2" xfId="52588"/>
    <cellStyle name="注释 2 2 9 2 2 2" xfId="52589"/>
    <cellStyle name="注释 2 2 9 2 3" xfId="52590"/>
    <cellStyle name="注释 2 5 9 6 2 2" xfId="52591"/>
    <cellStyle name="注释 2 7 10 3 3 2" xfId="52592"/>
    <cellStyle name="注释 2 2 9 2 3 2" xfId="52593"/>
    <cellStyle name="注释 2 2 9 2 4 2" xfId="52594"/>
    <cellStyle name="注释 2 2 9 2 5 2" xfId="52595"/>
    <cellStyle name="注释 2 2 9 3 5 2" xfId="52596"/>
    <cellStyle name="注释 2 2 9 4 5 2" xfId="52597"/>
    <cellStyle name="注释 2 25" xfId="52598"/>
    <cellStyle name="注释 2 3" xfId="52599"/>
    <cellStyle name="注释 2 8 9 7 3" xfId="52600"/>
    <cellStyle name="注释 2 3 10 10" xfId="52601"/>
    <cellStyle name="注释 2 3 10 12" xfId="52602"/>
    <cellStyle name="注释 2 3 10 14" xfId="52603"/>
    <cellStyle name="注释 2 3 10 15" xfId="52604"/>
    <cellStyle name="注释 2 3 10 16" xfId="52605"/>
    <cellStyle name="注释 2 3 10 2" xfId="52606"/>
    <cellStyle name="注释 2 3 10 2 8" xfId="52607"/>
    <cellStyle name="注释 2 3 10 4" xfId="52608"/>
    <cellStyle name="注释 2 3 10 6" xfId="52609"/>
    <cellStyle name="注释 2 3 10 6 3 2" xfId="52610"/>
    <cellStyle name="注释 2 3 10 6 4 2" xfId="52611"/>
    <cellStyle name="注释 2 3 10 6 5 2" xfId="52612"/>
    <cellStyle name="注释 2 3 10 7" xfId="52613"/>
    <cellStyle name="注释 2 3 10 7 3 2" xfId="52614"/>
    <cellStyle name="注释 2 3 10 7 4" xfId="52615"/>
    <cellStyle name="注释 2 3 10 7 4 2" xfId="52616"/>
    <cellStyle name="注释 2 3 10 7 5" xfId="52617"/>
    <cellStyle name="注释 2 3 10 7 5 2" xfId="52618"/>
    <cellStyle name="注释 2 3 10 7 6" xfId="52619"/>
    <cellStyle name="注释 2 3 10 8 4" xfId="52620"/>
    <cellStyle name="注释 2 3 10 8 5" xfId="52621"/>
    <cellStyle name="注释 2 3 11" xfId="52622"/>
    <cellStyle name="注释 2 3 11 10" xfId="52623"/>
    <cellStyle name="注释 2 3 11 10 2" xfId="52624"/>
    <cellStyle name="注释 2 3 11 11" xfId="52625"/>
    <cellStyle name="注释 2 3 11 11 2" xfId="52626"/>
    <cellStyle name="注释 2 3 11 12" xfId="52627"/>
    <cellStyle name="注释 2 3 11 12 2" xfId="52628"/>
    <cellStyle name="注释 2 3 11 14" xfId="52629"/>
    <cellStyle name="注释 2 3 11 15" xfId="52630"/>
    <cellStyle name="注释 2 3 11 16" xfId="52631"/>
    <cellStyle name="注释 2 3 11 2" xfId="52632"/>
    <cellStyle name="注释 2 3 11 2 3" xfId="52633"/>
    <cellStyle name="注释 2 3 11 2 5" xfId="52634"/>
    <cellStyle name="注释 2 3 11 2 5 2" xfId="52635"/>
    <cellStyle name="注释 2 3 11 2 6" xfId="52636"/>
    <cellStyle name="注释 2 3 11 3 2" xfId="52637"/>
    <cellStyle name="注释 2 3 11 3 2 2" xfId="52638"/>
    <cellStyle name="注释 2 3 11 3 3" xfId="52639"/>
    <cellStyle name="注释 2 3 11 3 3 2" xfId="52640"/>
    <cellStyle name="注释 2 3 11 3 4 2" xfId="52641"/>
    <cellStyle name="注释 2 3 11 3 5" xfId="52642"/>
    <cellStyle name="注释 2 3 11 3 6" xfId="52643"/>
    <cellStyle name="注释 2 3 11 4" xfId="52644"/>
    <cellStyle name="注释 2 3 11 4 2" xfId="52645"/>
    <cellStyle name="注释 2 3 11 4 2 2" xfId="52646"/>
    <cellStyle name="注释 2 3 11 4 3" xfId="52647"/>
    <cellStyle name="注释 2 3 11 4 3 2" xfId="52648"/>
    <cellStyle name="注释 2 3 11 4 4" xfId="52649"/>
    <cellStyle name="注释 2 3 11 4 4 2" xfId="52650"/>
    <cellStyle name="注释 2 3 11 4 5" xfId="52651"/>
    <cellStyle name="注释 2 3 11 4 5 2" xfId="52652"/>
    <cellStyle name="注释 2 3 11 4 6" xfId="52653"/>
    <cellStyle name="注释 2 3 11 5 2" xfId="52654"/>
    <cellStyle name="注释 2 3 11 5 2 2" xfId="52655"/>
    <cellStyle name="注释 2 3 11 5 3" xfId="52656"/>
    <cellStyle name="注释 2 3 11 5 3 2" xfId="52657"/>
    <cellStyle name="注释 2 3 11 5 4" xfId="52658"/>
    <cellStyle name="注释 2 3 11 5 4 2" xfId="52659"/>
    <cellStyle name="注释 2 3 11 5 5" xfId="52660"/>
    <cellStyle name="注释 2 3 11 5 5 2" xfId="52661"/>
    <cellStyle name="注释 2 3 11 5 6" xfId="52662"/>
    <cellStyle name="注释 2 3 11 6" xfId="52663"/>
    <cellStyle name="注释 2 3 11 6 2" xfId="52664"/>
    <cellStyle name="注释 2 3 11 6 2 2" xfId="52665"/>
    <cellStyle name="注释 2 3 11 6 3" xfId="52666"/>
    <cellStyle name="注释 2 3 11 6 3 2" xfId="52667"/>
    <cellStyle name="注释 2 3 11 6 4" xfId="52668"/>
    <cellStyle name="注释 2 3 11 6 4 2" xfId="52669"/>
    <cellStyle name="注释 2 3 11 6 5" xfId="52670"/>
    <cellStyle name="注释 2 3 11 6 5 2" xfId="52671"/>
    <cellStyle name="注释 2 3 11 6 6" xfId="52672"/>
    <cellStyle name="注释 2 3 11 7" xfId="52673"/>
    <cellStyle name="注释 2 3 11 7 2" xfId="52674"/>
    <cellStyle name="注释 2 3 11 7 2 2" xfId="52675"/>
    <cellStyle name="注释 2 3 11 7 3" xfId="52676"/>
    <cellStyle name="注释 2 3 11 7 3 2" xfId="52677"/>
    <cellStyle name="注释 2 3 11 7 4" xfId="52678"/>
    <cellStyle name="注释 2 3 11 7 4 2" xfId="52679"/>
    <cellStyle name="注释 2 3 11 7 5" xfId="52680"/>
    <cellStyle name="注释 2 3 11 7 5 2" xfId="52681"/>
    <cellStyle name="注释 2 3 11 7 6" xfId="52682"/>
    <cellStyle name="注释 2 3 11 8 2" xfId="52683"/>
    <cellStyle name="注释 2 3 11 8 3" xfId="52684"/>
    <cellStyle name="注释 2 3 11 8 4" xfId="52685"/>
    <cellStyle name="注释 2 3 11 8 4 2" xfId="52686"/>
    <cellStyle name="注释 2 3 11 8 5" xfId="52687"/>
    <cellStyle name="注释 2 3 11 9 2" xfId="52688"/>
    <cellStyle name="注释 2 3 12 3" xfId="52689"/>
    <cellStyle name="注释 2 3 12 4 2" xfId="52690"/>
    <cellStyle name="注释 2 3 12 5" xfId="52691"/>
    <cellStyle name="注释 2 3 12 6" xfId="52692"/>
    <cellStyle name="注释 2 3 12 8" xfId="52693"/>
    <cellStyle name="注释 2 3 13 3" xfId="52694"/>
    <cellStyle name="注释 2 3 13 3 2" xfId="52695"/>
    <cellStyle name="注释 2 3 14 3" xfId="52696"/>
    <cellStyle name="注释 2 3 14 3 2" xfId="52697"/>
    <cellStyle name="注释 2 3 14 4 2" xfId="52698"/>
    <cellStyle name="注释 2 3 14 5" xfId="52699"/>
    <cellStyle name="注释 2 3 14 5 2" xfId="52700"/>
    <cellStyle name="注释 2 3 15 3" xfId="52701"/>
    <cellStyle name="注释 2 3 15 3 2" xfId="52702"/>
    <cellStyle name="注释 2 3 15 5" xfId="52703"/>
    <cellStyle name="注释 2 3 16 2" xfId="52704"/>
    <cellStyle name="注释 2 3 21 2" xfId="52705"/>
    <cellStyle name="注释 2 3 16 2 2" xfId="52706"/>
    <cellStyle name="注释 2 3 16 3 2" xfId="52707"/>
    <cellStyle name="注释 2 3 16 4" xfId="52708"/>
    <cellStyle name="注释 2 3 16 4 2" xfId="52709"/>
    <cellStyle name="注释 2 3 16 5" xfId="52710"/>
    <cellStyle name="注释 2 3 16 5 2" xfId="52711"/>
    <cellStyle name="注释 2 3 17" xfId="52712"/>
    <cellStyle name="注释 2 3 22" xfId="52713"/>
    <cellStyle name="注释 2 3 17 2" xfId="52714"/>
    <cellStyle name="注释 2 3 22 2" xfId="52715"/>
    <cellStyle name="注释 2 3 17 4" xfId="52716"/>
    <cellStyle name="注释 2 3 17 4 2" xfId="52717"/>
    <cellStyle name="注释 2 3 17 5" xfId="52718"/>
    <cellStyle name="注释 2 3 17 5 2" xfId="52719"/>
    <cellStyle name="注释 2 3 18" xfId="52720"/>
    <cellStyle name="注释 2 3 23" xfId="52721"/>
    <cellStyle name="注释 2 3 18 2" xfId="52722"/>
    <cellStyle name="注释 2 3 23 2" xfId="52723"/>
    <cellStyle name="注释 2 3 18 2 2" xfId="52724"/>
    <cellStyle name="注释 2 3 19 2 2" xfId="52725"/>
    <cellStyle name="注释 2 3 19 3 2" xfId="52726"/>
    <cellStyle name="注释 2 3 19 4" xfId="52727"/>
    <cellStyle name="注释 2 3 19 4 2" xfId="52728"/>
    <cellStyle name="注释 2 3 19 5" xfId="52729"/>
    <cellStyle name="注释 2 3 2" xfId="52730"/>
    <cellStyle name="注释 2 8 9 7 3 2" xfId="52731"/>
    <cellStyle name="注释 2 3 2 15" xfId="52732"/>
    <cellStyle name="注释 2 4 11 3 4 2" xfId="52733"/>
    <cellStyle name="注释 2 3 2 16" xfId="52734"/>
    <cellStyle name="注释 2 3 2 2" xfId="52735"/>
    <cellStyle name="注释 2 3 2 2 2" xfId="52736"/>
    <cellStyle name="注释 2 3 2 2 2 2" xfId="52737"/>
    <cellStyle name="注释 2 3 2 2 3" xfId="52738"/>
    <cellStyle name="注释 2 3 2 2 3 2" xfId="52739"/>
    <cellStyle name="注释 2 3 2 2 4 2" xfId="52740"/>
    <cellStyle name="注释 2 3 2 2 5" xfId="52741"/>
    <cellStyle name="注释 2 3 2 2 5 2" xfId="52742"/>
    <cellStyle name="注释 2 3 2 2 7" xfId="52743"/>
    <cellStyle name="注释 2 3 2 3" xfId="52744"/>
    <cellStyle name="注释 2 3 2 3 2" xfId="52745"/>
    <cellStyle name="注释 2 3 2 3 2 2" xfId="52746"/>
    <cellStyle name="注释 2 3 2 3 3" xfId="52747"/>
    <cellStyle name="注释 2 3 2 3 3 2" xfId="52748"/>
    <cellStyle name="注释 2 3 2 3 4 2" xfId="52749"/>
    <cellStyle name="注释 2 3 2 3 5" xfId="52750"/>
    <cellStyle name="注释 2 3 2 3 5 2" xfId="52751"/>
    <cellStyle name="注释 2 3 2 4" xfId="52752"/>
    <cellStyle name="注释 2 3 2 4 2" xfId="52753"/>
    <cellStyle name="注释 2 3 2 4 2 2" xfId="52754"/>
    <cellStyle name="注释 2 3 2 4 3" xfId="52755"/>
    <cellStyle name="注释 2 3 2 4 4 2" xfId="52756"/>
    <cellStyle name="注释 2 3 2 4 5" xfId="52757"/>
    <cellStyle name="注释 2 3 2 4 5 2" xfId="52758"/>
    <cellStyle name="注释 2 3 2 5 2 2" xfId="52759"/>
    <cellStyle name="注释 2 3 2 5 4 2" xfId="52760"/>
    <cellStyle name="注释 2 3 2 5 5" xfId="52761"/>
    <cellStyle name="注释 2 3 2 5 5 2" xfId="52762"/>
    <cellStyle name="注释 2 3 2 6" xfId="52763"/>
    <cellStyle name="注释 2 3 2 6 2" xfId="52764"/>
    <cellStyle name="注释 2 3 2 6 2 2" xfId="52765"/>
    <cellStyle name="注释 2 4 2 2 7" xfId="52766"/>
    <cellStyle name="注释 2 3 2 6 3" xfId="52767"/>
    <cellStyle name="注释 2 3 2 6 3 2" xfId="52768"/>
    <cellStyle name="注释 2 3 2 6 4" xfId="52769"/>
    <cellStyle name="注释 2 3 2 6 4 2" xfId="52770"/>
    <cellStyle name="注释 2 3 2 6 5" xfId="52771"/>
    <cellStyle name="注释 2 3 2 6 5 2" xfId="52772"/>
    <cellStyle name="注释 2 3 2 6 6" xfId="52773"/>
    <cellStyle name="注释 2 3 2 7" xfId="52774"/>
    <cellStyle name="注释 2 3 2 7 2" xfId="52775"/>
    <cellStyle name="注释 2 3 2 7 2 2" xfId="52776"/>
    <cellStyle name="注释 2 4 3 2 7" xfId="52777"/>
    <cellStyle name="注释 2 3 2 7 3" xfId="52778"/>
    <cellStyle name="注释 2 3 2 7 3 2" xfId="52779"/>
    <cellStyle name="注释 2 3 2 7 4" xfId="52780"/>
    <cellStyle name="注释 2 3 2 7 4 2" xfId="52781"/>
    <cellStyle name="注释 2 3 2 7 5" xfId="52782"/>
    <cellStyle name="注释 2 3 2 7 5 2" xfId="52783"/>
    <cellStyle name="注释 2 3 2 7 6" xfId="52784"/>
    <cellStyle name="注释 2 3 2 8" xfId="52785"/>
    <cellStyle name="注释 2 3 2 8 2" xfId="52786"/>
    <cellStyle name="注释 2 3 2 8 2 2" xfId="52787"/>
    <cellStyle name="注释 2 4 4 2 7" xfId="52788"/>
    <cellStyle name="注释 2 3 2 8 3" xfId="52789"/>
    <cellStyle name="注释 2 3 2 8 3 2" xfId="52790"/>
    <cellStyle name="注释 2 3 2 8 4" xfId="52791"/>
    <cellStyle name="注释 2 3 2 8 4 2" xfId="52792"/>
    <cellStyle name="注释 2 3 2 8 5" xfId="52793"/>
    <cellStyle name="注释 2 3 2 9" xfId="52794"/>
    <cellStyle name="注释 2 8 2 2 2" xfId="52795"/>
    <cellStyle name="注释 2 3 2 9 2" xfId="52796"/>
    <cellStyle name="注释 2 8 2 2 2 2" xfId="52797"/>
    <cellStyle name="注释 2 3 3" xfId="52798"/>
    <cellStyle name="注释 2 3 3 15" xfId="52799"/>
    <cellStyle name="注释 2 3 3 16" xfId="52800"/>
    <cellStyle name="注释 2 3 3 2" xfId="52801"/>
    <cellStyle name="注释 2 3 3 2 2" xfId="52802"/>
    <cellStyle name="注释 2 3 3 2 2 2" xfId="52803"/>
    <cellStyle name="注释 2 3 3 2 3" xfId="52804"/>
    <cellStyle name="注释 2 3 3 2 5" xfId="52805"/>
    <cellStyle name="注释 2 3 3 2 5 2" xfId="52806"/>
    <cellStyle name="注释 2 3 3 2 7" xfId="52807"/>
    <cellStyle name="注释 2 3 3 2 9" xfId="52808"/>
    <cellStyle name="注释 2 3 3 3" xfId="52809"/>
    <cellStyle name="注释 2 3 3 3 2" xfId="52810"/>
    <cellStyle name="注释 2 3 3 3 2 2" xfId="52811"/>
    <cellStyle name="注释 2 3 3 3 3" xfId="52812"/>
    <cellStyle name="注释 2 3 3 3 3 2" xfId="52813"/>
    <cellStyle name="注释 2 3 3 3 5" xfId="52814"/>
    <cellStyle name="注释 2 3 3 3 5 2" xfId="52815"/>
    <cellStyle name="注释 2 3 3 4" xfId="52816"/>
    <cellStyle name="注释 2 3 3 4 2" xfId="52817"/>
    <cellStyle name="注释 2 3 3 4 2 2" xfId="52818"/>
    <cellStyle name="注释 2 3 3 4 3" xfId="52819"/>
    <cellStyle name="注释 2 3 3 4 3 2" xfId="52820"/>
    <cellStyle name="注释 2 3 3 4 4 2" xfId="52821"/>
    <cellStyle name="注释 2 3 3 4 5" xfId="52822"/>
    <cellStyle name="注释 2 3 3 4 5 2" xfId="52823"/>
    <cellStyle name="注释 2 3 3 5" xfId="52824"/>
    <cellStyle name="注释 2 3 3 5 2" xfId="52825"/>
    <cellStyle name="注释 2 3 3 5 2 2" xfId="52826"/>
    <cellStyle name="注释 2 3 3 5 3" xfId="52827"/>
    <cellStyle name="注释 2 3 3 5 3 2" xfId="52828"/>
    <cellStyle name="注释 2 3 3 5 4 2" xfId="52829"/>
    <cellStyle name="注释 2 3 3 5 5" xfId="52830"/>
    <cellStyle name="注释 2 3 3 5 5 2" xfId="52831"/>
    <cellStyle name="注释 2 3 3 6 2 2" xfId="52832"/>
    <cellStyle name="注释 2 5 2 2 7" xfId="52833"/>
    <cellStyle name="注释 2 3 3 6 3 2" xfId="52834"/>
    <cellStyle name="注释 2 3 3 6 4" xfId="52835"/>
    <cellStyle name="注释 2 3 3 6 4 2" xfId="52836"/>
    <cellStyle name="注释 2 3 3 6 5" xfId="52837"/>
    <cellStyle name="注释 2 3 3 6 5 2" xfId="52838"/>
    <cellStyle name="注释 2 3 3 6 6" xfId="52839"/>
    <cellStyle name="注释 2 3 3 7 2 2" xfId="52840"/>
    <cellStyle name="注释 2 5 3 2 7" xfId="52841"/>
    <cellStyle name="注释 2 3 3 7 4" xfId="52842"/>
    <cellStyle name="注释 2 3 3 7 5" xfId="52843"/>
    <cellStyle name="注释 2 3 3 7 5 2" xfId="52844"/>
    <cellStyle name="注释 2 3 3 7 6" xfId="52845"/>
    <cellStyle name="注释 2 3 3 8 2 2" xfId="52846"/>
    <cellStyle name="注释 2 5 4 2 7" xfId="52847"/>
    <cellStyle name="注释 2 3 3 8 3 2" xfId="52848"/>
    <cellStyle name="注释 2 3 3 8 4" xfId="52849"/>
    <cellStyle name="注释 2 3 3 8 5" xfId="52850"/>
    <cellStyle name="注释 2 3 4" xfId="52851"/>
    <cellStyle name="注释 2 3 4 13" xfId="52852"/>
    <cellStyle name="注释 2 3 4 2" xfId="52853"/>
    <cellStyle name="注释 2 3 4 2 2" xfId="52854"/>
    <cellStyle name="注释 2 3 4 2 2 2" xfId="52855"/>
    <cellStyle name="注释 2 3 4 2 3" xfId="52856"/>
    <cellStyle name="注释 2 3 4 2 5" xfId="52857"/>
    <cellStyle name="注释 2 3 4 2 5 2" xfId="52858"/>
    <cellStyle name="注释 2 3 4 2 7" xfId="52859"/>
    <cellStyle name="注释 2 3 4 3 2 2" xfId="52860"/>
    <cellStyle name="注释 2 3 4 3 3" xfId="52861"/>
    <cellStyle name="注释 2 3 4 3 3 2" xfId="52862"/>
    <cellStyle name="注释 2 3 4 3 5" xfId="52863"/>
    <cellStyle name="注释 2 3 4 4 2 2" xfId="52864"/>
    <cellStyle name="注释 2 3 4 4 3" xfId="52865"/>
    <cellStyle name="注释 2 3 4 4 3 2" xfId="52866"/>
    <cellStyle name="注释 2 3 4 4 4 2" xfId="52867"/>
    <cellStyle name="注释 2 3 4 4 5" xfId="52868"/>
    <cellStyle name="注释 2 3 4 5 3 2" xfId="52869"/>
    <cellStyle name="注释 2 3 4 5 4 2" xfId="52870"/>
    <cellStyle name="注释 2 3 4 5 5 2" xfId="52871"/>
    <cellStyle name="注释 2 3 4 6 2 2" xfId="52872"/>
    <cellStyle name="注释 2 6 2 2 7" xfId="52873"/>
    <cellStyle name="注释 2 3 4 6 3 2" xfId="52874"/>
    <cellStyle name="注释 2 3 4 6 4 2" xfId="52875"/>
    <cellStyle name="注释 2 3 4 6 5" xfId="52876"/>
    <cellStyle name="注释 2 3 4 6 5 2" xfId="52877"/>
    <cellStyle name="注释 2 3 4 6 6" xfId="52878"/>
    <cellStyle name="注释 2 3 4 7 2 2" xfId="52879"/>
    <cellStyle name="注释 2 6 3 2 7" xfId="52880"/>
    <cellStyle name="注释 2 3 4 7 4" xfId="52881"/>
    <cellStyle name="注释 2 3 4 7 4 2" xfId="52882"/>
    <cellStyle name="注释 2 3 4 7 5" xfId="52883"/>
    <cellStyle name="注释 2 3 4 7 5 2" xfId="52884"/>
    <cellStyle name="注释 2 3 4 7 6" xfId="52885"/>
    <cellStyle name="注释 2 3 4 8 4" xfId="52886"/>
    <cellStyle name="注释 2 3 4 8 5" xfId="52887"/>
    <cellStyle name="注释 2 3 5" xfId="52888"/>
    <cellStyle name="注释 2 3 5 2" xfId="52889"/>
    <cellStyle name="注释 2 3 5 2 5" xfId="52890"/>
    <cellStyle name="注释 2 3 5 2 5 2" xfId="52891"/>
    <cellStyle name="注释 2 3 5 2 7" xfId="52892"/>
    <cellStyle name="注释 2 3 5 2 8" xfId="52893"/>
    <cellStyle name="注释 2 3 5 3" xfId="52894"/>
    <cellStyle name="注释 2 3 5 3 2 2" xfId="52895"/>
    <cellStyle name="注释 2 3 5 3 3 2" xfId="52896"/>
    <cellStyle name="注释 2 3 5 3 4 2" xfId="52897"/>
    <cellStyle name="注释 2 3 5 4" xfId="52898"/>
    <cellStyle name="注释 2 3 5 4 2" xfId="52899"/>
    <cellStyle name="注释 2 3 5 4 2 2" xfId="52900"/>
    <cellStyle name="注释 2 3 5 4 3" xfId="52901"/>
    <cellStyle name="注释 2 3 5 4 3 2" xfId="52902"/>
    <cellStyle name="注释 2 3 5 4 4 2" xfId="52903"/>
    <cellStyle name="注释 2 3 5 4 5" xfId="52904"/>
    <cellStyle name="注释 2 3 5 4 5 2" xfId="52905"/>
    <cellStyle name="注释 2 3 5 5" xfId="52906"/>
    <cellStyle name="注释 2 3 5 5 2" xfId="52907"/>
    <cellStyle name="注释 2 3 5 5 2 2" xfId="52908"/>
    <cellStyle name="注释 2 3 5 5 3" xfId="52909"/>
    <cellStyle name="注释 2 3 5 5 3 2" xfId="52910"/>
    <cellStyle name="注释 2 3 5 5 4 2" xfId="52911"/>
    <cellStyle name="注释 2 3 5 5 5 2" xfId="52912"/>
    <cellStyle name="注释 2 3 5 6 2 2" xfId="52913"/>
    <cellStyle name="注释 2 7 2 2 7" xfId="52914"/>
    <cellStyle name="注释 2 3 5 6 3 2" xfId="52915"/>
    <cellStyle name="注释 2 3 5 6 4" xfId="52916"/>
    <cellStyle name="注释 2 3 5 6 4 2" xfId="52917"/>
    <cellStyle name="注释 2 3 5 6 5 2" xfId="52918"/>
    <cellStyle name="注释 2 3 5 6 6" xfId="52919"/>
    <cellStyle name="注释 2 3 5 7 2 2" xfId="52920"/>
    <cellStyle name="注释 2 7 3 2 7" xfId="52921"/>
    <cellStyle name="注释 2 3 5 7 3 2" xfId="52922"/>
    <cellStyle name="注释 2 3 5 7 4" xfId="52923"/>
    <cellStyle name="注释 2 3 5 7 4 2" xfId="52924"/>
    <cellStyle name="注释 2 3 5 7 5 2" xfId="52925"/>
    <cellStyle name="注释 2 3 5 7 6" xfId="52926"/>
    <cellStyle name="注释 2 3 5 8 2 2" xfId="52927"/>
    <cellStyle name="注释 2 7 4 2 7" xfId="52928"/>
    <cellStyle name="注释 2 3 5 8 3 2" xfId="52929"/>
    <cellStyle name="注释 2 3 5 8 4" xfId="52930"/>
    <cellStyle name="注释 2 3 5 8 4 2" xfId="52931"/>
    <cellStyle name="注释 2 3 6" xfId="52932"/>
    <cellStyle name="注释 2 3 6 2" xfId="52933"/>
    <cellStyle name="注释 2 3 6 2 2" xfId="52934"/>
    <cellStyle name="注释 2 3 6 2 2 2" xfId="52935"/>
    <cellStyle name="注释 2 3 6 2 3" xfId="52936"/>
    <cellStyle name="注释 2 3 6 2 3 2" xfId="52937"/>
    <cellStyle name="注释 2 3 6 2 4 2" xfId="52938"/>
    <cellStyle name="注释 2 3 6 2 5" xfId="52939"/>
    <cellStyle name="注释 2 3 6 2 5 2" xfId="52940"/>
    <cellStyle name="注释 2 3 6 2 7" xfId="52941"/>
    <cellStyle name="注释 2 3 6 2 8" xfId="52942"/>
    <cellStyle name="注释 2 3 6 3 2" xfId="52943"/>
    <cellStyle name="注释 2 3 6 3 2 2" xfId="52944"/>
    <cellStyle name="注释 2 3 6 3 3" xfId="52945"/>
    <cellStyle name="注释 2 3 6 3 3 2" xfId="52946"/>
    <cellStyle name="注释 2 3 6 3 4 2" xfId="52947"/>
    <cellStyle name="注释 2 3 6 4 3" xfId="52948"/>
    <cellStyle name="注释 2 3 6 4 5" xfId="52949"/>
    <cellStyle name="注释 2 3 6 5 3" xfId="52950"/>
    <cellStyle name="注释 2 3 6 5 4" xfId="52951"/>
    <cellStyle name="注释 2 3 6 5 5" xfId="52952"/>
    <cellStyle name="注释 2 3 6 6 2 2" xfId="52953"/>
    <cellStyle name="注释 2 8 2 2 7" xfId="52954"/>
    <cellStyle name="注释 2 3 6 6 3 2" xfId="52955"/>
    <cellStyle name="注释 2 3 6 6 4" xfId="52956"/>
    <cellStyle name="注释 2 3 6 6 4 2" xfId="52957"/>
    <cellStyle name="注释 2 3 6 6 5" xfId="52958"/>
    <cellStyle name="注释 2 3 6 6 5 2" xfId="52959"/>
    <cellStyle name="注释 2 3 6 6 6" xfId="52960"/>
    <cellStyle name="注释 2 3 6 7 3 2" xfId="52961"/>
    <cellStyle name="注释 2 3 6 7 4" xfId="52962"/>
    <cellStyle name="注释 2 3 6 7 4 2" xfId="52963"/>
    <cellStyle name="注释 2 3 6 7 5" xfId="52964"/>
    <cellStyle name="注释 2 3 6 7 5 2" xfId="52965"/>
    <cellStyle name="注释 2 3 6 7 6" xfId="52966"/>
    <cellStyle name="注释 2 3 6 8 3 2" xfId="52967"/>
    <cellStyle name="注释 2 3 6 8 4" xfId="52968"/>
    <cellStyle name="注释 2 3 6 8 4 2" xfId="52969"/>
    <cellStyle name="注释 2 3 6 8 5" xfId="52970"/>
    <cellStyle name="注释 2 3 7" xfId="52971"/>
    <cellStyle name="注释 2 3 7 15" xfId="52972"/>
    <cellStyle name="注释 2 4 11 4 4 2" xfId="52973"/>
    <cellStyle name="注释 2 3 7 16" xfId="52974"/>
    <cellStyle name="注释 2 3 7 2 2 2" xfId="52975"/>
    <cellStyle name="注释 2 3 7 2 3" xfId="52976"/>
    <cellStyle name="注释 2 3 7 2 5" xfId="52977"/>
    <cellStyle name="注释 2 3 7 3 2" xfId="52978"/>
    <cellStyle name="注释 2 3 7 3 2 2" xfId="52979"/>
    <cellStyle name="注释 2 3 7 3 3" xfId="52980"/>
    <cellStyle name="注释 2 3 7 3 3 2" xfId="52981"/>
    <cellStyle name="注释 2 3 7 3 5" xfId="52982"/>
    <cellStyle name="注释 2 3 7 3 5 2" xfId="52983"/>
    <cellStyle name="注释 2 3 7 4 2 2" xfId="52984"/>
    <cellStyle name="注释 2 3 7 4 3" xfId="52985"/>
    <cellStyle name="注释 2 3 7 4 3 2" xfId="52986"/>
    <cellStyle name="注释 2 3 7 4 4 2" xfId="52987"/>
    <cellStyle name="注释 2 3 7 4 5" xfId="52988"/>
    <cellStyle name="注释 2 3 7 4 5 2" xfId="52989"/>
    <cellStyle name="注释 2 3 7 5 3" xfId="52990"/>
    <cellStyle name="注释 2 3 7 5 3 2" xfId="52991"/>
    <cellStyle name="注释 2 3 7 5 4" xfId="52992"/>
    <cellStyle name="注释 2 3 7 5 4 2" xfId="52993"/>
    <cellStyle name="注释 2 3 7 5 5" xfId="52994"/>
    <cellStyle name="注释 2 3 7 5 5 2" xfId="52995"/>
    <cellStyle name="注释 2 3 7 6 3 2" xfId="52996"/>
    <cellStyle name="注释 2 3 7 6 4" xfId="52997"/>
    <cellStyle name="注释 2 3 7 6 4 2" xfId="52998"/>
    <cellStyle name="注释 2 3 7 6 5" xfId="52999"/>
    <cellStyle name="注释 2 3 7 6 5 2" xfId="53000"/>
    <cellStyle name="注释 2 3 7 7 4" xfId="53001"/>
    <cellStyle name="注释 2 3 7 7 5" xfId="53002"/>
    <cellStyle name="注释 2 3 7 8 2 2" xfId="53003"/>
    <cellStyle name="注释 2 9 4 2 7" xfId="53004"/>
    <cellStyle name="注释 2 3 7 8 3 2" xfId="53005"/>
    <cellStyle name="注释 2 3 7 8 4" xfId="53006"/>
    <cellStyle name="注释 2 3 7 8 4 2" xfId="53007"/>
    <cellStyle name="注释 2 3 7 8 5" xfId="53008"/>
    <cellStyle name="注释 2 3 8" xfId="53009"/>
    <cellStyle name="注释 2 3 8 15" xfId="53010"/>
    <cellStyle name="注释 2 3 8 16" xfId="53011"/>
    <cellStyle name="注释 2 3 8 2 2 2" xfId="53012"/>
    <cellStyle name="注释 2 3 8 2 3" xfId="53013"/>
    <cellStyle name="注释 2 7 11 2 3 2" xfId="53014"/>
    <cellStyle name="注释 2 3 8 2 5" xfId="53015"/>
    <cellStyle name="注释 2 3 8 3 2" xfId="53016"/>
    <cellStyle name="注释 2 3 8 3 2 2" xfId="53017"/>
    <cellStyle name="注释 2 3 8 3 3" xfId="53018"/>
    <cellStyle name="注释 2 7 11 2 4 2" xfId="53019"/>
    <cellStyle name="注释 2 3 8 3 3 2" xfId="53020"/>
    <cellStyle name="注释 2 3 8 3 4 2" xfId="53021"/>
    <cellStyle name="注释 2 3 8 3 5" xfId="53022"/>
    <cellStyle name="注释 2 3 8 3 5 2" xfId="53023"/>
    <cellStyle name="注释 2 3 8 4 2 2" xfId="53024"/>
    <cellStyle name="注释 2 3 8 4 3" xfId="53025"/>
    <cellStyle name="注释 2 7 11 2 5 2" xfId="53026"/>
    <cellStyle name="注释 2 3 8 4 3 2" xfId="53027"/>
    <cellStyle name="注释 2 3 8 4 4 2" xfId="53028"/>
    <cellStyle name="注释 2 3 8 4 5" xfId="53029"/>
    <cellStyle name="注释 2 3 8 4 5 2" xfId="53030"/>
    <cellStyle name="注释 2 3 8 5 2 2" xfId="53031"/>
    <cellStyle name="注释 2 3 8 5 3" xfId="53032"/>
    <cellStyle name="注释 2 3 8 5 3 2" xfId="53033"/>
    <cellStyle name="注释 2 3 8 5 4" xfId="53034"/>
    <cellStyle name="注释 2 3 8 5 4 2" xfId="53035"/>
    <cellStyle name="注释 2 3 8 5 5" xfId="53036"/>
    <cellStyle name="注释 2 3 8 5 5 2" xfId="53037"/>
    <cellStyle name="注释 2 3 8 6 3 2" xfId="53038"/>
    <cellStyle name="注释 2 3 8 6 4" xfId="53039"/>
    <cellStyle name="注释 2 3 8 6 4 2" xfId="53040"/>
    <cellStyle name="注释 2 3 8 6 5" xfId="53041"/>
    <cellStyle name="注释 2 3 8 6 5 2" xfId="53042"/>
    <cellStyle name="注释 2 3 8 7 2 2" xfId="53043"/>
    <cellStyle name="注释 2 3 8 7 4" xfId="53044"/>
    <cellStyle name="注释 2 3 8 7 5" xfId="53045"/>
    <cellStyle name="注释 2 3 8 8 2 2" xfId="53046"/>
    <cellStyle name="注释 2 3 8 8 3 2" xfId="53047"/>
    <cellStyle name="注释 2 3 8 8 4" xfId="53048"/>
    <cellStyle name="注释 2 3 8 8 4 2" xfId="53049"/>
    <cellStyle name="注释 2 3 8 8 5" xfId="53050"/>
    <cellStyle name="注释 2 3 9 10 2" xfId="53051"/>
    <cellStyle name="注释 2 3 9 11 2" xfId="53052"/>
    <cellStyle name="注释 2 3 9 12 2" xfId="53053"/>
    <cellStyle name="注释 2 3 9 13" xfId="53054"/>
    <cellStyle name="注释 2 3 9 15" xfId="53055"/>
    <cellStyle name="注释 2 3 9 2 2" xfId="53056"/>
    <cellStyle name="注释 2 3 9 2 2 2" xfId="53057"/>
    <cellStyle name="注释 2 3 9 2 3" xfId="53058"/>
    <cellStyle name="注释 2 7 11 3 3 2" xfId="53059"/>
    <cellStyle name="注释 2 3 9 2 3 2" xfId="53060"/>
    <cellStyle name="注释 2 3 9 2 4 2" xfId="53061"/>
    <cellStyle name="注释 2 3 9 2 5" xfId="53062"/>
    <cellStyle name="注释 2 3 9 2 5 2" xfId="53063"/>
    <cellStyle name="注释 2 3 9 3 2 2" xfId="53064"/>
    <cellStyle name="注释 2 3 9 3 3" xfId="53065"/>
    <cellStyle name="注释 2 7 11 3 4 2" xfId="53066"/>
    <cellStyle name="注释 2 3 9 3 3 2" xfId="53067"/>
    <cellStyle name="注释 2 3 9 3 4 2" xfId="53068"/>
    <cellStyle name="注释 2 3 9 3 5" xfId="53069"/>
    <cellStyle name="注释 2 3 9 3 5 2" xfId="53070"/>
    <cellStyle name="注释 2 3 9 4 2 2" xfId="53071"/>
    <cellStyle name="注释 2 3 9 4 3" xfId="53072"/>
    <cellStyle name="注释 2 7 11 3 5 2" xfId="53073"/>
    <cellStyle name="注释 2 3 9 4 3 2" xfId="53074"/>
    <cellStyle name="注释 2 3 9 4 4 2" xfId="53075"/>
    <cellStyle name="注释 2 3 9 4 5" xfId="53076"/>
    <cellStyle name="注释 2 3 9 4 5 2" xfId="53077"/>
    <cellStyle name="注释 2 3 9 5 2 2" xfId="53078"/>
    <cellStyle name="注释 2 3 9 5 3" xfId="53079"/>
    <cellStyle name="注释 2 3 9 5 3 2" xfId="53080"/>
    <cellStyle name="注释 2 3 9 5 4" xfId="53081"/>
    <cellStyle name="注释 2 3 9 5 4 2" xfId="53082"/>
    <cellStyle name="注释 2 3 9 5 5" xfId="53083"/>
    <cellStyle name="注释 2 3 9 5 5 2" xfId="53084"/>
    <cellStyle name="注释 2 3 9 6 2 2" xfId="53085"/>
    <cellStyle name="注释 2 3 9 6 3 2" xfId="53086"/>
    <cellStyle name="注释 2 3 9 6 4" xfId="53087"/>
    <cellStyle name="注释 2 3 9 6 4 2" xfId="53088"/>
    <cellStyle name="注释 2 3 9 6 5" xfId="53089"/>
    <cellStyle name="注释 2 3 9 6 5 2" xfId="53090"/>
    <cellStyle name="注释 2 3 9 7 2 2" xfId="53091"/>
    <cellStyle name="注释 2 3 9 7 3 2" xfId="53092"/>
    <cellStyle name="注释 2 3 9 7 4" xfId="53093"/>
    <cellStyle name="注释 2 3 9 7 4 2" xfId="53094"/>
    <cellStyle name="注释 2 3 9 7 5" xfId="53095"/>
    <cellStyle name="注释 2 3 9 7 5 2" xfId="53096"/>
    <cellStyle name="注释 2 3 9 8 2 2" xfId="53097"/>
    <cellStyle name="注释 2 3 9 8 3 2" xfId="53098"/>
    <cellStyle name="注释 2 3 9 8 4" xfId="53099"/>
    <cellStyle name="注释 2 3 9 8 4 2" xfId="53100"/>
    <cellStyle name="注释 2 3 9 8 5" xfId="53101"/>
    <cellStyle name="注释 2 3 9 9 2" xfId="53102"/>
    <cellStyle name="注释 2 4" xfId="53103"/>
    <cellStyle name="注释 2 8 9 7 4" xfId="53104"/>
    <cellStyle name="注释 2 4 10" xfId="53105"/>
    <cellStyle name="注释 2 4 10 10" xfId="53106"/>
    <cellStyle name="注释 2 4 10 10 2" xfId="53107"/>
    <cellStyle name="注释 2 4 10 11" xfId="53108"/>
    <cellStyle name="注释 2 4 10 11 2" xfId="53109"/>
    <cellStyle name="注释 2 4 10 12" xfId="53110"/>
    <cellStyle name="注释 2 4 10 12 2" xfId="53111"/>
    <cellStyle name="注释 2 4 10 14" xfId="53112"/>
    <cellStyle name="注释 2 4 10 15" xfId="53113"/>
    <cellStyle name="注释 2 4 10 16" xfId="53114"/>
    <cellStyle name="注释 2 4 10 2" xfId="53115"/>
    <cellStyle name="注释 2 4 10 2 2" xfId="53116"/>
    <cellStyle name="注释 2 4 10 2 2 2" xfId="53117"/>
    <cellStyle name="注释 2 4 10 2 4 2" xfId="53118"/>
    <cellStyle name="注释 2 4 10 2 5 2" xfId="53119"/>
    <cellStyle name="注释 2 4 10 2 6" xfId="53120"/>
    <cellStyle name="注释 2 4 10 2 7" xfId="53121"/>
    <cellStyle name="注释 2 4 10 2 9" xfId="53122"/>
    <cellStyle name="注释 2 4 10 3" xfId="53123"/>
    <cellStyle name="注释 2 4 10 3 2" xfId="53124"/>
    <cellStyle name="注释 2 4 10 3 2 2" xfId="53125"/>
    <cellStyle name="注释 2 4 10 3 4" xfId="53126"/>
    <cellStyle name="注释 2 4 10 3 4 2" xfId="53127"/>
    <cellStyle name="注释 2 4 10 3 5" xfId="53128"/>
    <cellStyle name="注释 2 4 10 3 5 2" xfId="53129"/>
    <cellStyle name="注释 2 4 10 3 6" xfId="53130"/>
    <cellStyle name="注释 2 4 10 4" xfId="53131"/>
    <cellStyle name="注释 2 4 10 4 2" xfId="53132"/>
    <cellStyle name="注释 2 4 10 4 2 2" xfId="53133"/>
    <cellStyle name="注释 2 9 2 2 4" xfId="53134"/>
    <cellStyle name="注释 2 4 10 4 4" xfId="53135"/>
    <cellStyle name="注释 2 4 10 4 4 2" xfId="53136"/>
    <cellStyle name="注释 2 9 2 4 4" xfId="53137"/>
    <cellStyle name="注释 2 4 10 4 5" xfId="53138"/>
    <cellStyle name="注释 2 4 10 4 5 2" xfId="53139"/>
    <cellStyle name="注释 2 9 2 5 4" xfId="53140"/>
    <cellStyle name="注释 2 4 10 4 6" xfId="53141"/>
    <cellStyle name="注释 2 4 10 5 2" xfId="53142"/>
    <cellStyle name="注释 2 4 10 5 2 2" xfId="53143"/>
    <cellStyle name="注释 2 9 3 2 4" xfId="53144"/>
    <cellStyle name="注释 2 4 10 5 3" xfId="53145"/>
    <cellStyle name="注释 2 4 10 5 3 2" xfId="53146"/>
    <cellStyle name="注释 2 9 3 3 4" xfId="53147"/>
    <cellStyle name="注释 2 4 10 5 4" xfId="53148"/>
    <cellStyle name="注释 2 4 10 5 4 2" xfId="53149"/>
    <cellStyle name="注释 2 9 3 4 4" xfId="53150"/>
    <cellStyle name="注释 2 4 10 5 5" xfId="53151"/>
    <cellStyle name="注释 2 4 10 5 5 2" xfId="53152"/>
    <cellStyle name="注释 2 9 3 5 4" xfId="53153"/>
    <cellStyle name="注释 2 4 10 5 6" xfId="53154"/>
    <cellStyle name="注释 2 4 10 6" xfId="53155"/>
    <cellStyle name="注释 2 4 10 6 2" xfId="53156"/>
    <cellStyle name="注释 2 4 10 6 2 2" xfId="53157"/>
    <cellStyle name="注释 2 9 4 2 4" xfId="53158"/>
    <cellStyle name="注释 2 4 10 6 3" xfId="53159"/>
    <cellStyle name="注释 2 4 10 6 3 2" xfId="53160"/>
    <cellStyle name="注释 2 9 4 3 4" xfId="53161"/>
    <cellStyle name="注释 2 4 10 6 4" xfId="53162"/>
    <cellStyle name="注释 2 4 10 6 4 2" xfId="53163"/>
    <cellStyle name="注释 2 9 4 4 4" xfId="53164"/>
    <cellStyle name="注释 2 4 10 6 5" xfId="53165"/>
    <cellStyle name="注释 2 4 10 6 5 2" xfId="53166"/>
    <cellStyle name="注释 2 9 4 5 4" xfId="53167"/>
    <cellStyle name="注释 2 4 10 6 6" xfId="53168"/>
    <cellStyle name="注释 2 4 10 7" xfId="53169"/>
    <cellStyle name="注释 2 4 10 7 2" xfId="53170"/>
    <cellStyle name="注释 2 4 10 7 2 2" xfId="53171"/>
    <cellStyle name="注释 2 9 5 2 4" xfId="53172"/>
    <cellStyle name="注释 2 4 10 7 3" xfId="53173"/>
    <cellStyle name="注释 2 4 10 7 3 2" xfId="53174"/>
    <cellStyle name="注释 2 9 5 3 4" xfId="53175"/>
    <cellStyle name="注释 2 4 10 7 4" xfId="53176"/>
    <cellStyle name="注释 2 4 10 7 4 2" xfId="53177"/>
    <cellStyle name="注释 2 9 5 4 4" xfId="53178"/>
    <cellStyle name="注释 2 4 10 7 5 2" xfId="53179"/>
    <cellStyle name="注释 2 9 5 5 4" xfId="53180"/>
    <cellStyle name="注释 2 4 10 8 2 2" xfId="53181"/>
    <cellStyle name="注释 2 9 6 2 4" xfId="53182"/>
    <cellStyle name="注释 2 4 10 8 3" xfId="53183"/>
    <cellStyle name="注释 2 4 10 8 3 2" xfId="53184"/>
    <cellStyle name="注释 2 9 6 3 4" xfId="53185"/>
    <cellStyle name="注释 2 4 10 8 4" xfId="53186"/>
    <cellStyle name="注释 2 4 10 8 4 2" xfId="53187"/>
    <cellStyle name="注释 2 9 6 4 4" xfId="53188"/>
    <cellStyle name="注释 2 4 11" xfId="53189"/>
    <cellStyle name="注释 2 4 11 10" xfId="53190"/>
    <cellStyle name="注释 2 4 11 10 2" xfId="53191"/>
    <cellStyle name="注释 2 4 11 11" xfId="53192"/>
    <cellStyle name="注释 2 4 11 11 2" xfId="53193"/>
    <cellStyle name="注释 2 4 11 12" xfId="53194"/>
    <cellStyle name="注释 2 4 11 12 2" xfId="53195"/>
    <cellStyle name="注释 2 4 11 14" xfId="53196"/>
    <cellStyle name="注释 2 4 11 15" xfId="53197"/>
    <cellStyle name="注释 2 4 11 16" xfId="53198"/>
    <cellStyle name="注释 2 4 11 2" xfId="53199"/>
    <cellStyle name="注释 2 4 11 2 2" xfId="53200"/>
    <cellStyle name="注释 2 4 11 2 2 2" xfId="53201"/>
    <cellStyle name="注释 2 4 11 2 4" xfId="53202"/>
    <cellStyle name="注释 2 4 11 2 4 2" xfId="53203"/>
    <cellStyle name="注释 2 4 11 2 5" xfId="53204"/>
    <cellStyle name="注释 2 4 11 2 5 2" xfId="53205"/>
    <cellStyle name="注释 2 4 11 2 6" xfId="53206"/>
    <cellStyle name="注释 2 4 11 3" xfId="53207"/>
    <cellStyle name="注释 2 4 11 3 2" xfId="53208"/>
    <cellStyle name="注释 2 4 11 3 2 2" xfId="53209"/>
    <cellStyle name="注释 2 4 11 3 4" xfId="53210"/>
    <cellStyle name="注释 2 4 11 3 5" xfId="53211"/>
    <cellStyle name="注释 2 4 11 3 5 2" xfId="53212"/>
    <cellStyle name="注释 2 4 11 3 6" xfId="53213"/>
    <cellStyle name="注释 2 4 11 4" xfId="53214"/>
    <cellStyle name="注释 2 7 9 2 2 2" xfId="53215"/>
    <cellStyle name="注释 2 4 11 4 2" xfId="53216"/>
    <cellStyle name="注释 2 4 11 4 4" xfId="53217"/>
    <cellStyle name="注释 2 4 11 4 5" xfId="53218"/>
    <cellStyle name="注释 2 4 11 4 5 2" xfId="53219"/>
    <cellStyle name="注释 2 4 11 4 6" xfId="53220"/>
    <cellStyle name="注释 2 4 11 5 2" xfId="53221"/>
    <cellStyle name="注释 2 4 11 5 2 2" xfId="53222"/>
    <cellStyle name="注释 2 4 11 5 3" xfId="53223"/>
    <cellStyle name="注释 2 4 11 5 3 2" xfId="53224"/>
    <cellStyle name="注释 2 4 11 5 4" xfId="53225"/>
    <cellStyle name="注释 2 4 11 5 4 2" xfId="53226"/>
    <cellStyle name="注释 2 4 11 5 5" xfId="53227"/>
    <cellStyle name="注释 2 4 11 5 5 2" xfId="53228"/>
    <cellStyle name="注释 2 4 11 5 6" xfId="53229"/>
    <cellStyle name="注释 2 4 11 6" xfId="53230"/>
    <cellStyle name="注释 2 4 11 6 2 2" xfId="53231"/>
    <cellStyle name="注释 2 4 11 6 3 2" xfId="53232"/>
    <cellStyle name="注释 2 4 11 6 5" xfId="53233"/>
    <cellStyle name="注释 2 4 11 6 6" xfId="53234"/>
    <cellStyle name="注释 2 4 11 7" xfId="53235"/>
    <cellStyle name="注释 2 4 11 7 2" xfId="53236"/>
    <cellStyle name="注释 2 4 11 7 2 2" xfId="53237"/>
    <cellStyle name="注释 2 4 11 7 3" xfId="53238"/>
    <cellStyle name="注释 2 4 11 7 3 2" xfId="53239"/>
    <cellStyle name="注释 2 4 11 7 4" xfId="53240"/>
    <cellStyle name="注释 2 4 11 7 4 2" xfId="53241"/>
    <cellStyle name="注释 2 4 11 7 5 2" xfId="53242"/>
    <cellStyle name="注释 2 4 11 7 6" xfId="53243"/>
    <cellStyle name="注释 2 4 11 8 2 2" xfId="53244"/>
    <cellStyle name="注释 2 4 11 8 3" xfId="53245"/>
    <cellStyle name="注释 2 4 11 8 3 2" xfId="53246"/>
    <cellStyle name="注释 2 4 11 8 4" xfId="53247"/>
    <cellStyle name="注释 2 4 11 8 4 2" xfId="53248"/>
    <cellStyle name="注释 2 4 2 15" xfId="53249"/>
    <cellStyle name="注释 2 4 12" xfId="53250"/>
    <cellStyle name="注释 2 4 12 2" xfId="53251"/>
    <cellStyle name="注释 2 4 12 2 2" xfId="53252"/>
    <cellStyle name="注释 2 4 12 3" xfId="53253"/>
    <cellStyle name="注释 2 4 12 3 2" xfId="53254"/>
    <cellStyle name="注释 2 4 12 4" xfId="53255"/>
    <cellStyle name="注释 2 7 9 2 3 2" xfId="53256"/>
    <cellStyle name="注释 2 4 12 4 2" xfId="53257"/>
    <cellStyle name="注释 2 4 12 5 2" xfId="53258"/>
    <cellStyle name="注释 2 4 12 6" xfId="53259"/>
    <cellStyle name="注释 2 4 12 7" xfId="53260"/>
    <cellStyle name="注释 2 4 13" xfId="53261"/>
    <cellStyle name="注释 2 7 3 4 4 2" xfId="53262"/>
    <cellStyle name="注释 2 4 13 2" xfId="53263"/>
    <cellStyle name="注释 2 4 13 2 2" xfId="53264"/>
    <cellStyle name="注释 2 4 13 3" xfId="53265"/>
    <cellStyle name="注释 2 4 13 3 2" xfId="53266"/>
    <cellStyle name="注释 2 4 13 4" xfId="53267"/>
    <cellStyle name="注释 2 7 9 2 4 2" xfId="53268"/>
    <cellStyle name="注释 2 4 13 4 2" xfId="53269"/>
    <cellStyle name="注释 2 4 13 5" xfId="53270"/>
    <cellStyle name="注释 2 4 13 5 2" xfId="53271"/>
    <cellStyle name="注释 2 4 13 6" xfId="53272"/>
    <cellStyle name="注释 2 4 17 5 2" xfId="53273"/>
    <cellStyle name="注释 2 4 18 2 2" xfId="53274"/>
    <cellStyle name="注释 2 4 18 4 2" xfId="53275"/>
    <cellStyle name="注释 2 4 18 5" xfId="53276"/>
    <cellStyle name="注释 2 4 18 5 2" xfId="53277"/>
    <cellStyle name="注释 2 4 19 2 2" xfId="53278"/>
    <cellStyle name="注释 2 4 19 3" xfId="53279"/>
    <cellStyle name="注释 2 4 19 3 2" xfId="53280"/>
    <cellStyle name="注释 2 4 19 4 2" xfId="53281"/>
    <cellStyle name="注释 2 4 2" xfId="53282"/>
    <cellStyle name="注释 2 8 9 7 4 2" xfId="53283"/>
    <cellStyle name="注释 2 4 2 10" xfId="53284"/>
    <cellStyle name="注释 2 4 2 11" xfId="53285"/>
    <cellStyle name="注释 2 4 2 11 2" xfId="53286"/>
    <cellStyle name="注释 2 4 2 12" xfId="53287"/>
    <cellStyle name="注释 2 4 2 12 2" xfId="53288"/>
    <cellStyle name="注释 2 4 2 13" xfId="53289"/>
    <cellStyle name="注释 2 4 2 16" xfId="53290"/>
    <cellStyle name="注释 2 4 2 2" xfId="53291"/>
    <cellStyle name="注释 2 4 2 2 2" xfId="53292"/>
    <cellStyle name="注释 2 4 2 2 2 2" xfId="53293"/>
    <cellStyle name="注释 2 4 2 2 3" xfId="53294"/>
    <cellStyle name="注释 2 4 2 2 3 2" xfId="53295"/>
    <cellStyle name="注释 2 4 2 2 4 2" xfId="53296"/>
    <cellStyle name="注释 2 4 2 2 5" xfId="53297"/>
    <cellStyle name="注释 2 4 2 2 5 2" xfId="53298"/>
    <cellStyle name="注释 2 4 2 2 6" xfId="53299"/>
    <cellStyle name="注释 2 4 2 3" xfId="53300"/>
    <cellStyle name="注释 2 4 2 3 2" xfId="53301"/>
    <cellStyle name="注释 2 4 2 3 2 2" xfId="53302"/>
    <cellStyle name="注释 2 4 2 3 3" xfId="53303"/>
    <cellStyle name="注释 2 4 2 3 3 2" xfId="53304"/>
    <cellStyle name="注释 2 4 2 3 4 2" xfId="53305"/>
    <cellStyle name="注释 2 4 2 3 5" xfId="53306"/>
    <cellStyle name="注释 2 4 2 3 5 2" xfId="53307"/>
    <cellStyle name="注释 2 4 2 3 6" xfId="53308"/>
    <cellStyle name="注释 2 4 2 4" xfId="53309"/>
    <cellStyle name="注释 2 9 3 2 2 2" xfId="53310"/>
    <cellStyle name="注释 2 4 2 4 2" xfId="53311"/>
    <cellStyle name="注释 2 4 2 4 2 2" xfId="53312"/>
    <cellStyle name="注释 2 4 2 4 3" xfId="53313"/>
    <cellStyle name="注释 2 4 2 4 3 2" xfId="53314"/>
    <cellStyle name="注释 2 4 2 4 4 2" xfId="53315"/>
    <cellStyle name="注释 2 4 2 4 5" xfId="53316"/>
    <cellStyle name="注释 2 4 2 4 5 2" xfId="53317"/>
    <cellStyle name="注释 2 4 2 4 6" xfId="53318"/>
    <cellStyle name="注释 2 4 2 5" xfId="53319"/>
    <cellStyle name="注释 2 4 2 5 2" xfId="53320"/>
    <cellStyle name="注释 2 4 2 5 2 2" xfId="53321"/>
    <cellStyle name="注释 2 4 2 5 3" xfId="53322"/>
    <cellStyle name="注释 2 4 2 5 3 2" xfId="53323"/>
    <cellStyle name="注释 2 4 2 5 4 2" xfId="53324"/>
    <cellStyle name="注释 2 4 2 5 5" xfId="53325"/>
    <cellStyle name="注释 2 4 2 5 5 2" xfId="53326"/>
    <cellStyle name="注释 2 4 2 5 6" xfId="53327"/>
    <cellStyle name="注释 2 4 2 6" xfId="53328"/>
    <cellStyle name="注释 2 4 2 6 2" xfId="53329"/>
    <cellStyle name="注释 2 4 2 6 2 2" xfId="53330"/>
    <cellStyle name="注释 2 4 2 6 3" xfId="53331"/>
    <cellStyle name="注释 2 4 2 6 3 2" xfId="53332"/>
    <cellStyle name="注释 2 4 2 6 4" xfId="53333"/>
    <cellStyle name="注释 2 4 2 6 4 2" xfId="53334"/>
    <cellStyle name="注释 2 4 2 6 5" xfId="53335"/>
    <cellStyle name="注释 2 4 2 6 5 2" xfId="53336"/>
    <cellStyle name="注释 2 4 2 6 6" xfId="53337"/>
    <cellStyle name="注释 2 4 2 7" xfId="53338"/>
    <cellStyle name="注释 2 4 2 7 2" xfId="53339"/>
    <cellStyle name="注释 2 4 2 7 2 2" xfId="53340"/>
    <cellStyle name="注释 2 4 2 7 3" xfId="53341"/>
    <cellStyle name="注释 2 4 2 7 3 2" xfId="53342"/>
    <cellStyle name="注释 2 4 2 7 4" xfId="53343"/>
    <cellStyle name="注释 2 4 2 7 4 2" xfId="53344"/>
    <cellStyle name="注释 2 4 2 7 5" xfId="53345"/>
    <cellStyle name="注释 2 4 2 7 5 2" xfId="53346"/>
    <cellStyle name="注释 2 4 2 7 6" xfId="53347"/>
    <cellStyle name="注释 2 4 2 8" xfId="53348"/>
    <cellStyle name="注释 2 4 2 8 2" xfId="53349"/>
    <cellStyle name="注释 2 4 2 8 2 2" xfId="53350"/>
    <cellStyle name="注释 2 4 2 8 3" xfId="53351"/>
    <cellStyle name="注释 2 4 2 8 3 2" xfId="53352"/>
    <cellStyle name="注释 2 4 2 8 4" xfId="53353"/>
    <cellStyle name="注释 2 4 2 8 4 2" xfId="53354"/>
    <cellStyle name="注释 2 4 2 8 5" xfId="53355"/>
    <cellStyle name="注释 2 4 2 9" xfId="53356"/>
    <cellStyle name="注释 2 8 3 2 2" xfId="53357"/>
    <cellStyle name="注释 2 4 2 9 2" xfId="53358"/>
    <cellStyle name="注释 2 8 3 2 2 2" xfId="53359"/>
    <cellStyle name="注释 2 4 27" xfId="53360"/>
    <cellStyle name="注释 2 4 3" xfId="53361"/>
    <cellStyle name="注释 2 4 3 16" xfId="53362"/>
    <cellStyle name="注释 2 4 3 2" xfId="53363"/>
    <cellStyle name="注释 2 4 3 2 2" xfId="53364"/>
    <cellStyle name="注释 2 4 3 2 2 2" xfId="53365"/>
    <cellStyle name="注释 2 4 3 2 3" xfId="53366"/>
    <cellStyle name="注释 2 4 3 2 3 2" xfId="53367"/>
    <cellStyle name="注释 2 4 3 2 4 2" xfId="53368"/>
    <cellStyle name="注释 2 4 3 2 5" xfId="53369"/>
    <cellStyle name="注释 2 4 3 2 5 2" xfId="53370"/>
    <cellStyle name="注释 2 4 3 2 6" xfId="53371"/>
    <cellStyle name="注释 2 4 3 2 9" xfId="53372"/>
    <cellStyle name="注释 2 4 3 3" xfId="53373"/>
    <cellStyle name="注释 2 4 3 3 2" xfId="53374"/>
    <cellStyle name="注释 2 4 3 3 2 2" xfId="53375"/>
    <cellStyle name="注释 2 4 3 3 3" xfId="53376"/>
    <cellStyle name="注释 2 4 3 3 3 2" xfId="53377"/>
    <cellStyle name="注释 2 4 3 3 4 2" xfId="53378"/>
    <cellStyle name="注释 2 4 3 3 5" xfId="53379"/>
    <cellStyle name="注释 2 4 3 3 5 2" xfId="53380"/>
    <cellStyle name="注释 2 4 3 3 6" xfId="53381"/>
    <cellStyle name="注释 2 4 3 4" xfId="53382"/>
    <cellStyle name="注释 2 9 3 2 3 2" xfId="53383"/>
    <cellStyle name="注释 2 4 3 4 2" xfId="53384"/>
    <cellStyle name="注释 2 4 3 4 2 2" xfId="53385"/>
    <cellStyle name="注释 2 4 3 4 3" xfId="53386"/>
    <cellStyle name="注释 2 4 3 4 3 2" xfId="53387"/>
    <cellStyle name="注释 2 4 3 4 4 2" xfId="53388"/>
    <cellStyle name="注释 2 4 3 4 5" xfId="53389"/>
    <cellStyle name="注释 2 4 3 4 5 2" xfId="53390"/>
    <cellStyle name="注释 2 4 3 4 6" xfId="53391"/>
    <cellStyle name="注释 2 4 3 5" xfId="53392"/>
    <cellStyle name="注释 2 4 3 5 2" xfId="53393"/>
    <cellStyle name="注释 2 4 3 5 2 2" xfId="53394"/>
    <cellStyle name="注释 2 4 3 5 3" xfId="53395"/>
    <cellStyle name="注释 2 4 3 5 3 2" xfId="53396"/>
    <cellStyle name="注释 2 4 3 5 4 2" xfId="53397"/>
    <cellStyle name="注释 2 4 3 5 5" xfId="53398"/>
    <cellStyle name="注释 2 4 3 5 5 2" xfId="53399"/>
    <cellStyle name="注释 2 4 3 5 6" xfId="53400"/>
    <cellStyle name="注释 2 4 3 6 2" xfId="53401"/>
    <cellStyle name="注释 2 4 3 6 2 2" xfId="53402"/>
    <cellStyle name="注释 2 4 3 6 3 2" xfId="53403"/>
    <cellStyle name="注释 2 4 3 6 4" xfId="53404"/>
    <cellStyle name="注释 2 4 3 6 4 2" xfId="53405"/>
    <cellStyle name="注释 2 4 3 6 5" xfId="53406"/>
    <cellStyle name="注释 2 4 3 6 5 2" xfId="53407"/>
    <cellStyle name="注释 2 4 3 6 6" xfId="53408"/>
    <cellStyle name="注释 2 4 3 7" xfId="53409"/>
    <cellStyle name="注释 2 4 3 7 2" xfId="53410"/>
    <cellStyle name="注释 2 4 3 7 4" xfId="53411"/>
    <cellStyle name="注释 2 4 3 7 5" xfId="53412"/>
    <cellStyle name="注释 2 4 3 7 5 2" xfId="53413"/>
    <cellStyle name="注释 2 4 3 7 6" xfId="53414"/>
    <cellStyle name="注释 2 4 3 8" xfId="53415"/>
    <cellStyle name="注释 2 4 3 9" xfId="53416"/>
    <cellStyle name="注释 2 8 3 3 2" xfId="53417"/>
    <cellStyle name="注释 2 4 3 9 2" xfId="53418"/>
    <cellStyle name="注释 2 8 3 3 2 2" xfId="53419"/>
    <cellStyle name="注释 2 4 4" xfId="53420"/>
    <cellStyle name="注释 2 4 4 13" xfId="53421"/>
    <cellStyle name="注释 2 4 4 2" xfId="53422"/>
    <cellStyle name="注释 2 4 4 2 2" xfId="53423"/>
    <cellStyle name="注释 2 4 4 2 3" xfId="53424"/>
    <cellStyle name="注释 2 4 4 2 5" xfId="53425"/>
    <cellStyle name="注释 2 4 4 2 6" xfId="53426"/>
    <cellStyle name="注释 2 4 4 2 9" xfId="53427"/>
    <cellStyle name="注释 2 4 4 3 6" xfId="53428"/>
    <cellStyle name="注释 2 4 4 4 3" xfId="53429"/>
    <cellStyle name="注释 2 4 4 4 5" xfId="53430"/>
    <cellStyle name="注释 2 4 4 4 6" xfId="53431"/>
    <cellStyle name="注释 2 4 4 5 3" xfId="53432"/>
    <cellStyle name="注释 2 4 4 5 5" xfId="53433"/>
    <cellStyle name="注释 2 4 4 5 6" xfId="53434"/>
    <cellStyle name="注释 2 4 4 6 2" xfId="53435"/>
    <cellStyle name="注释 2 4 4 6 4" xfId="53436"/>
    <cellStyle name="注释 2 4 4 6 5" xfId="53437"/>
    <cellStyle name="注释 2 4 4 6 6" xfId="53438"/>
    <cellStyle name="注释 2 4 4 7 2" xfId="53439"/>
    <cellStyle name="注释 2 4 4 7 4" xfId="53440"/>
    <cellStyle name="注释 2 4 4 7 5" xfId="53441"/>
    <cellStyle name="注释 2 4 4 7 6" xfId="53442"/>
    <cellStyle name="注释 2 4 4 9 2" xfId="53443"/>
    <cellStyle name="注释 2 8 3 4 2 2" xfId="53444"/>
    <cellStyle name="注释 2 4 5" xfId="53445"/>
    <cellStyle name="注释 2 4 5 14" xfId="53446"/>
    <cellStyle name="注释 2 4 5 2" xfId="53447"/>
    <cellStyle name="注释 2 4 5 2 6" xfId="53448"/>
    <cellStyle name="注释 2 4 5 2 7" xfId="53449"/>
    <cellStyle name="注释 2 4 5 2 8" xfId="53450"/>
    <cellStyle name="注释 2 4 5 2 9" xfId="53451"/>
    <cellStyle name="注释 2 4 5 3" xfId="53452"/>
    <cellStyle name="注释 2 4 5 4" xfId="53453"/>
    <cellStyle name="注释 2 9 3 2 5 2" xfId="53454"/>
    <cellStyle name="注释 2 4 5 4 6" xfId="53455"/>
    <cellStyle name="注释 2 4 5 5" xfId="53456"/>
    <cellStyle name="注释 2 4 5 5 5" xfId="53457"/>
    <cellStyle name="注释 2 4 5 5 6" xfId="53458"/>
    <cellStyle name="注释 2 4 5 6 2" xfId="53459"/>
    <cellStyle name="注释 2 4 5 6 4" xfId="53460"/>
    <cellStyle name="注释 2 4 5 6 5" xfId="53461"/>
    <cellStyle name="注释 2 4 5 6 6" xfId="53462"/>
    <cellStyle name="注释 2 4 5 7" xfId="53463"/>
    <cellStyle name="注释 2 4 5 7 2" xfId="53464"/>
    <cellStyle name="注释 2 4 5 7 4" xfId="53465"/>
    <cellStyle name="注释 2 4 5 7 5" xfId="53466"/>
    <cellStyle name="注释 2 4 5 7 6" xfId="53467"/>
    <cellStyle name="注释 2 4 5 8" xfId="53468"/>
    <cellStyle name="注释 2 4 5 8 2" xfId="53469"/>
    <cellStyle name="注释 2 4 5 8 2 2" xfId="53470"/>
    <cellStyle name="注释 2 4 5 8 4" xfId="53471"/>
    <cellStyle name="注释 2 4 5 8 4 2" xfId="53472"/>
    <cellStyle name="注释 2 4 5 9" xfId="53473"/>
    <cellStyle name="注释 2 8 3 5 2" xfId="53474"/>
    <cellStyle name="注释 2 4 5 9 2" xfId="53475"/>
    <cellStyle name="注释 2 8 3 5 2 2" xfId="53476"/>
    <cellStyle name="注释 2 4 6" xfId="53477"/>
    <cellStyle name="注释 2 4 6 14" xfId="53478"/>
    <cellStyle name="注释 2 4 6 15" xfId="53479"/>
    <cellStyle name="注释 2 4 6 2" xfId="53480"/>
    <cellStyle name="注释 2 4 6 2 6" xfId="53481"/>
    <cellStyle name="注释 2 4 6 2 7" xfId="53482"/>
    <cellStyle name="注释 2 4 6 2 8" xfId="53483"/>
    <cellStyle name="注释 2 4 6 2 9" xfId="53484"/>
    <cellStyle name="注释 2 4 6 4 6" xfId="53485"/>
    <cellStyle name="注释 2 4 6 5 5" xfId="53486"/>
    <cellStyle name="注释 2 4 6 5 6" xfId="53487"/>
    <cellStyle name="注释 2 4 6 6 4" xfId="53488"/>
    <cellStyle name="注释 2 4 6 6 5" xfId="53489"/>
    <cellStyle name="注释 2 4 6 6 6" xfId="53490"/>
    <cellStyle name="注释 2 4 6 7 4" xfId="53491"/>
    <cellStyle name="注释 2 4 6 7 5" xfId="53492"/>
    <cellStyle name="注释 2 4 6 7 6" xfId="53493"/>
    <cellStyle name="注释 2 4 6 8 2" xfId="53494"/>
    <cellStyle name="注释 2 4 6 8 2 2" xfId="53495"/>
    <cellStyle name="注释 2 4 6 8 4" xfId="53496"/>
    <cellStyle name="注释 2 4 6 8 4 2" xfId="53497"/>
    <cellStyle name="注释 2 4 6 8 5" xfId="53498"/>
    <cellStyle name="注释 2 4 6 9" xfId="53499"/>
    <cellStyle name="注释 2 8 3 6 2" xfId="53500"/>
    <cellStyle name="注释 2 4 6 9 2" xfId="53501"/>
    <cellStyle name="注释 2 8 3 6 2 2" xfId="53502"/>
    <cellStyle name="注释 2 4 7" xfId="53503"/>
    <cellStyle name="注释 2 4 7 10" xfId="53504"/>
    <cellStyle name="注释 2 4 7 11" xfId="53505"/>
    <cellStyle name="注释 2 4 7 12" xfId="53506"/>
    <cellStyle name="注释 2 4 7 12 2" xfId="53507"/>
    <cellStyle name="注释 2 4 7 13" xfId="53508"/>
    <cellStyle name="注释 2 4 7 15" xfId="53509"/>
    <cellStyle name="注释 2 4 7 2 2" xfId="53510"/>
    <cellStyle name="注释 2 4 7 2 3" xfId="53511"/>
    <cellStyle name="注释 2 4 7 2 5" xfId="53512"/>
    <cellStyle name="注释 2 4 7 3 2" xfId="53513"/>
    <cellStyle name="注释 2 4 7 3 3" xfId="53514"/>
    <cellStyle name="注释 2 4 7 3 5" xfId="53515"/>
    <cellStyle name="注释 2 4 7 4 3" xfId="53516"/>
    <cellStyle name="注释 2 4 7 4 5" xfId="53517"/>
    <cellStyle name="注释 2 4 7 6 4" xfId="53518"/>
    <cellStyle name="注释 2 4 7 6 5" xfId="53519"/>
    <cellStyle name="注释 2 4 7 7 4" xfId="53520"/>
    <cellStyle name="注释 2 4 7 7 5" xfId="53521"/>
    <cellStyle name="注释 2 4 7 8 4 2" xfId="53522"/>
    <cellStyle name="注释 2 4 7 9" xfId="53523"/>
    <cellStyle name="注释 2 8 3 7 2" xfId="53524"/>
    <cellStyle name="注释 2 4 8" xfId="53525"/>
    <cellStyle name="注释 2 4 8 2" xfId="53526"/>
    <cellStyle name="注释 2 4 8 2 2" xfId="53527"/>
    <cellStyle name="注释 2 4 8 2 3" xfId="53528"/>
    <cellStyle name="注释 2 4 8 2 5" xfId="53529"/>
    <cellStyle name="注释 2 4 8 3 2" xfId="53530"/>
    <cellStyle name="注释 2 4 8 3 3" xfId="53531"/>
    <cellStyle name="注释 2 4 8 3 5" xfId="53532"/>
    <cellStyle name="注释 2 4 8 4 3" xfId="53533"/>
    <cellStyle name="注释 2 4 8 4 5" xfId="53534"/>
    <cellStyle name="注释 2 4 8 5 3" xfId="53535"/>
    <cellStyle name="注释 2 4 8 5 4" xfId="53536"/>
    <cellStyle name="注释 2 4 8 5 5" xfId="53537"/>
    <cellStyle name="注释 2 4 8 6 4" xfId="53538"/>
    <cellStyle name="注释 2 4 8 6 5" xfId="53539"/>
    <cellStyle name="注释 2 4 8 7 4" xfId="53540"/>
    <cellStyle name="注释 2 4 8 7 5" xfId="53541"/>
    <cellStyle name="注释 2 4 8 9" xfId="53542"/>
    <cellStyle name="注释 2 8 3 8 2" xfId="53543"/>
    <cellStyle name="注释 2 4 9 12 2" xfId="53544"/>
    <cellStyle name="注释 2 4 9 13" xfId="53545"/>
    <cellStyle name="注释 2 7 2" xfId="53546"/>
    <cellStyle name="注释 2 4 9 15" xfId="53547"/>
    <cellStyle name="注释 2 7 4" xfId="53548"/>
    <cellStyle name="注释 2 4 9 16" xfId="53549"/>
    <cellStyle name="注释 2 7 5" xfId="53550"/>
    <cellStyle name="注释 2 4 9 2" xfId="53551"/>
    <cellStyle name="注释 2 4 9 2 2" xfId="53552"/>
    <cellStyle name="注释 2 4 9 2 3" xfId="53553"/>
    <cellStyle name="注释 2 4 9 2 5" xfId="53554"/>
    <cellStyle name="注释 2 4 9 4 3" xfId="53555"/>
    <cellStyle name="注释 2 4 9 4 5" xfId="53556"/>
    <cellStyle name="注释 2 4 9 5 3" xfId="53557"/>
    <cellStyle name="注释 2 4 9 5 4" xfId="53558"/>
    <cellStyle name="注释 2 4 9 5 5" xfId="53559"/>
    <cellStyle name="注释 2 4 9 6 4" xfId="53560"/>
    <cellStyle name="注释 2 4 9 6 5" xfId="53561"/>
    <cellStyle name="注释 2 4 9 7 4" xfId="53562"/>
    <cellStyle name="注释 2 4 9 7 5" xfId="53563"/>
    <cellStyle name="注释 2 4 9 8 2 2" xfId="53564"/>
    <cellStyle name="注释 2 4 9 8 4 2" xfId="53565"/>
    <cellStyle name="注释 2 4 9 9 2" xfId="53566"/>
    <cellStyle name="注释 2 5" xfId="53567"/>
    <cellStyle name="注释 2 8 9 7 5" xfId="53568"/>
    <cellStyle name="注释 2 5 10" xfId="53569"/>
    <cellStyle name="注释 2 5 10 10" xfId="53570"/>
    <cellStyle name="注释 2 5 10 10 2" xfId="53571"/>
    <cellStyle name="注释 2 5 10 11" xfId="53572"/>
    <cellStyle name="注释 2 5 10 11 2" xfId="53573"/>
    <cellStyle name="注释 2 5 10 12" xfId="53574"/>
    <cellStyle name="注释 2 5 10 12 2" xfId="53575"/>
    <cellStyle name="注释 2 5 10 2" xfId="53576"/>
    <cellStyle name="注释 2 5 10 2 2" xfId="53577"/>
    <cellStyle name="注释 2 5 10 2 3" xfId="53578"/>
    <cellStyle name="注释 2 5 10 2 4" xfId="53579"/>
    <cellStyle name="注释 2 5 2 6 5 2" xfId="53580"/>
    <cellStyle name="注释 2 5 10 2 7" xfId="53581"/>
    <cellStyle name="注释 2 5 10 2 8" xfId="53582"/>
    <cellStyle name="注释 2 5 10 2 9" xfId="53583"/>
    <cellStyle name="注释 2 5 10 3" xfId="53584"/>
    <cellStyle name="注释 2 5 10 3 2" xfId="53585"/>
    <cellStyle name="注释 2 5 10 3 3" xfId="53586"/>
    <cellStyle name="注释 2 5 10 3 4" xfId="53587"/>
    <cellStyle name="注释 2 5 10 3 5" xfId="53588"/>
    <cellStyle name="注释 2 5 10 4 2" xfId="53589"/>
    <cellStyle name="注释 2 5 10 4 2 2" xfId="53590"/>
    <cellStyle name="注释 2 7 9 6" xfId="53591"/>
    <cellStyle name="注释 2 5 10 4 3" xfId="53592"/>
    <cellStyle name="注释 2 5 10 4 3 2" xfId="53593"/>
    <cellStyle name="注释 2 5 10 4 4" xfId="53594"/>
    <cellStyle name="注释 2 5 10 4 4 2" xfId="53595"/>
    <cellStyle name="注释 2 5 10 4 5" xfId="53596"/>
    <cellStyle name="注释 2 5 10 4 5 2" xfId="53597"/>
    <cellStyle name="注释 2 5 10 5 2" xfId="53598"/>
    <cellStyle name="注释 2 5 10 5 3" xfId="53599"/>
    <cellStyle name="注释 2 5 10 5 3 2" xfId="53600"/>
    <cellStyle name="注释 2 5 10 5 4" xfId="53601"/>
    <cellStyle name="注释 2 5 10 5 4 2" xfId="53602"/>
    <cellStyle name="注释 2 5 10 5 5" xfId="53603"/>
    <cellStyle name="注释 2 5 10 5 5 2" xfId="53604"/>
    <cellStyle name="注释 2 5 10 5 6" xfId="53605"/>
    <cellStyle name="注释 2 5 10 6" xfId="53606"/>
    <cellStyle name="注释 2 5 10 6 2" xfId="53607"/>
    <cellStyle name="注释 2 5 10 6 3" xfId="53608"/>
    <cellStyle name="注释 2 5 10 6 3 2" xfId="53609"/>
    <cellStyle name="注释 2 5 10 6 4" xfId="53610"/>
    <cellStyle name="注释 2 5 10 6 4 2" xfId="53611"/>
    <cellStyle name="注释 2 5 10 6 5" xfId="53612"/>
    <cellStyle name="注释 2 5 10 6 5 2" xfId="53613"/>
    <cellStyle name="注释 2 5 10 6 6" xfId="53614"/>
    <cellStyle name="注释 2 5 10 7" xfId="53615"/>
    <cellStyle name="注释 2 5 10 7 2" xfId="53616"/>
    <cellStyle name="注释 2 5 10 7 2 2" xfId="53617"/>
    <cellStyle name="注释 2 5 10 7 3" xfId="53618"/>
    <cellStyle name="注释 2 5 10 7 3 2" xfId="53619"/>
    <cellStyle name="注释 2 5 10 7 4" xfId="53620"/>
    <cellStyle name="注释 2 5 10 7 4 2" xfId="53621"/>
    <cellStyle name="注释 2 5 10 7 5" xfId="53622"/>
    <cellStyle name="注释 2 5 10 7 5 2" xfId="53623"/>
    <cellStyle name="注释 2 5 10 8 2 2" xfId="53624"/>
    <cellStyle name="注释 2 5 10 8 3" xfId="53625"/>
    <cellStyle name="注释 2 5 10 8 3 2" xfId="53626"/>
    <cellStyle name="注释 2 5 10 8 4" xfId="53627"/>
    <cellStyle name="注释 2 5 10 8 4 2" xfId="53628"/>
    <cellStyle name="注释 2 5 10 8 5" xfId="53629"/>
    <cellStyle name="注释 2 5 11 10" xfId="53630"/>
    <cellStyle name="注释 2 5 11 10 2" xfId="53631"/>
    <cellStyle name="注释 2 5 11 11" xfId="53632"/>
    <cellStyle name="注释 2 5 11 11 2" xfId="53633"/>
    <cellStyle name="注释 2 5 11 12" xfId="53634"/>
    <cellStyle name="注释 2 5 11 12 2" xfId="53635"/>
    <cellStyle name="注释 2 5 11 15" xfId="53636"/>
    <cellStyle name="注释 2 5 11 16" xfId="53637"/>
    <cellStyle name="注释 2 5 11 2" xfId="53638"/>
    <cellStyle name="注释 2 5 11 2 2" xfId="53639"/>
    <cellStyle name="注释 2 5 11 2 2 2" xfId="53640"/>
    <cellStyle name="注释 2 5 11 2 3" xfId="53641"/>
    <cellStyle name="注释 2 5 11 2 3 2" xfId="53642"/>
    <cellStyle name="注释 2 5 11 2 4" xfId="53643"/>
    <cellStyle name="注释 2 5 2 7 5 2" xfId="53644"/>
    <cellStyle name="注释 2 5 11 2 5" xfId="53645"/>
    <cellStyle name="注释 2 5 11 2 5 2" xfId="53646"/>
    <cellStyle name="注释 2 5 11 2 6" xfId="53647"/>
    <cellStyle name="注释 2 5 11 3" xfId="53648"/>
    <cellStyle name="注释 2 5 11 3 2" xfId="53649"/>
    <cellStyle name="注释 2 5 11 3 2 2" xfId="53650"/>
    <cellStyle name="注释 2 5 11 3 3" xfId="53651"/>
    <cellStyle name="注释 2 5 11 3 3 2" xfId="53652"/>
    <cellStyle name="注释 2 5 11 3 4" xfId="53653"/>
    <cellStyle name="注释 2 5 11 3 4 2" xfId="53654"/>
    <cellStyle name="注释 2 5 11 3 5" xfId="53655"/>
    <cellStyle name="注释 2 5 11 3 5 2" xfId="53656"/>
    <cellStyle name="注释 2 5 11 3 6" xfId="53657"/>
    <cellStyle name="注释 2 5 11 4 2" xfId="53658"/>
    <cellStyle name="注释 2 5 11 4 2 2" xfId="53659"/>
    <cellStyle name="注释 2 5 11 4 3" xfId="53660"/>
    <cellStyle name="注释 2 5 11 4 3 2" xfId="53661"/>
    <cellStyle name="注释 2 5 11 4 4" xfId="53662"/>
    <cellStyle name="注释 2 5 11 4 4 2" xfId="53663"/>
    <cellStyle name="注释 2 5 11 4 5" xfId="53664"/>
    <cellStyle name="注释 2 5 11 4 5 2" xfId="53665"/>
    <cellStyle name="注释 2 5 11 4 6" xfId="53666"/>
    <cellStyle name="注释 2 5 11 6" xfId="53667"/>
    <cellStyle name="注释 2 5 11 7" xfId="53668"/>
    <cellStyle name="注释 2 5 11 7 5 2" xfId="53669"/>
    <cellStyle name="注释 2 5 12 2" xfId="53670"/>
    <cellStyle name="注释 2 5 12 3" xfId="53671"/>
    <cellStyle name="注释 2 5 12 3 2" xfId="53672"/>
    <cellStyle name="注释 2 5 12 4 2" xfId="53673"/>
    <cellStyle name="注释 2 5 12 5 2" xfId="53674"/>
    <cellStyle name="注释 2 5 12 6" xfId="53675"/>
    <cellStyle name="注释 2 5 12 7" xfId="53676"/>
    <cellStyle name="注释 2 5 13" xfId="53677"/>
    <cellStyle name="注释 2 5 13 2" xfId="53678"/>
    <cellStyle name="注释 2 5 13 3" xfId="53679"/>
    <cellStyle name="注释 2 5 13 5" xfId="53680"/>
    <cellStyle name="注释 2 5 13 5 2" xfId="53681"/>
    <cellStyle name="注释 2 5 13 6" xfId="53682"/>
    <cellStyle name="注释 2 5 17 5 2" xfId="53683"/>
    <cellStyle name="注释 2 5 17 6" xfId="53684"/>
    <cellStyle name="注释 2 5 18 3" xfId="53685"/>
    <cellStyle name="注释 2 5 18 5" xfId="53686"/>
    <cellStyle name="注释 2 5 18 5 2" xfId="53687"/>
    <cellStyle name="注释 2 5 18 6" xfId="53688"/>
    <cellStyle name="注释 2 5 19 3" xfId="53689"/>
    <cellStyle name="注释 2 5 19 5" xfId="53690"/>
    <cellStyle name="注释 2 5 2" xfId="53691"/>
    <cellStyle name="注释 2 8 9 7 5 2" xfId="53692"/>
    <cellStyle name="注释 2 5 2 10" xfId="53693"/>
    <cellStyle name="注释 2 5 2 11 2" xfId="53694"/>
    <cellStyle name="注释 2 5 2 12" xfId="53695"/>
    <cellStyle name="注释 2 5 2 12 2" xfId="53696"/>
    <cellStyle name="注释 2 5 2 13" xfId="53697"/>
    <cellStyle name="注释 2 5 2 15" xfId="53698"/>
    <cellStyle name="注释 2 5 2 2" xfId="53699"/>
    <cellStyle name="注释 2 5 2 3" xfId="53700"/>
    <cellStyle name="注释 2 5 2 4" xfId="53701"/>
    <cellStyle name="注释 2 9 3 3 2 2" xfId="53702"/>
    <cellStyle name="注释 2 5 2 4 5" xfId="53703"/>
    <cellStyle name="注释 2 5 2 4 6" xfId="53704"/>
    <cellStyle name="注释 2 5 2 5 3 2" xfId="53705"/>
    <cellStyle name="注释 2 5 2 5 4 2" xfId="53706"/>
    <cellStyle name="注释 2 5 2 5 5" xfId="53707"/>
    <cellStyle name="注释 2 5 2 5 5 2" xfId="53708"/>
    <cellStyle name="注释 2 5 2 5 6" xfId="53709"/>
    <cellStyle name="注释 2 5 2 6" xfId="53710"/>
    <cellStyle name="注释 2 5 2 6 3 2" xfId="53711"/>
    <cellStyle name="注释 2 5 2 6 4" xfId="53712"/>
    <cellStyle name="注释 2 5 2 6 4 2" xfId="53713"/>
    <cellStyle name="注释 2 5 2 6 5" xfId="53714"/>
    <cellStyle name="注释 2 5 2 7" xfId="53715"/>
    <cellStyle name="注释 2 5 2 7 3 2" xfId="53716"/>
    <cellStyle name="注释 2 5 2 7 4 2" xfId="53717"/>
    <cellStyle name="注释 2 5 2 8" xfId="53718"/>
    <cellStyle name="注释 2 5 2 9" xfId="53719"/>
    <cellStyle name="注释 2 8 4 2 2" xfId="53720"/>
    <cellStyle name="注释 2 5 3" xfId="53721"/>
    <cellStyle name="注释 2 5 3 12 2" xfId="53722"/>
    <cellStyle name="注释 2 5 3 16" xfId="53723"/>
    <cellStyle name="注释 2 5 3 2" xfId="53724"/>
    <cellStyle name="注释 2 5 3 2 9" xfId="53725"/>
    <cellStyle name="注释 2 5 3 3" xfId="53726"/>
    <cellStyle name="注释 2 5 3 3 2" xfId="53727"/>
    <cellStyle name="注释 2 5 3 3 3" xfId="53728"/>
    <cellStyle name="注释 2 5 3 3 5" xfId="53729"/>
    <cellStyle name="注释 2 5 3 4" xfId="53730"/>
    <cellStyle name="注释 2 9 3 3 3 2" xfId="53731"/>
    <cellStyle name="注释 2 5 3 4 2" xfId="53732"/>
    <cellStyle name="注释 2 5 3 4 2 2" xfId="53733"/>
    <cellStyle name="注释 2 5 3 5" xfId="53734"/>
    <cellStyle name="注释 2 5 3 5 2" xfId="53735"/>
    <cellStyle name="注释 2 5 3 5 3" xfId="53736"/>
    <cellStyle name="注释 2 5 3 5 5" xfId="53737"/>
    <cellStyle name="注释 2 5 3 5 6" xfId="53738"/>
    <cellStyle name="注释 2 5 3 6 2" xfId="53739"/>
    <cellStyle name="注释 2 5 3 6 2 2" xfId="53740"/>
    <cellStyle name="注释 2 5 3 6 3 2" xfId="53741"/>
    <cellStyle name="注释 2 5 3 6 4" xfId="53742"/>
    <cellStyle name="注释 2 5 3 6 4 2" xfId="53743"/>
    <cellStyle name="注释 2 5 3 6 5" xfId="53744"/>
    <cellStyle name="注释 2 5 3 6 6" xfId="53745"/>
    <cellStyle name="注释 2 5 3 7" xfId="53746"/>
    <cellStyle name="注释 2 5 3 7 3 2" xfId="53747"/>
    <cellStyle name="注释 2 5 3 7 4 2" xfId="53748"/>
    <cellStyle name="注释 2 5 3 7 5 2" xfId="53749"/>
    <cellStyle name="注释 2 5 3 8" xfId="53750"/>
    <cellStyle name="注释 2 5 3 8 3 2" xfId="53751"/>
    <cellStyle name="注释 2 5 3 8 4 2" xfId="53752"/>
    <cellStyle name="注释 2 5 4" xfId="53753"/>
    <cellStyle name="注释 2 5 4 13" xfId="53754"/>
    <cellStyle name="注释 2 5 4 15" xfId="53755"/>
    <cellStyle name="注释 2 5 4 16" xfId="53756"/>
    <cellStyle name="注释 2 5 4 2" xfId="53757"/>
    <cellStyle name="注释 2 5 4 2 2" xfId="53758"/>
    <cellStyle name="注释 2 5 4 2 3" xfId="53759"/>
    <cellStyle name="注释 2 5 4 2 5" xfId="53760"/>
    <cellStyle name="注释 2 5 4 2 6" xfId="53761"/>
    <cellStyle name="注释 2 5 4 2 9" xfId="53762"/>
    <cellStyle name="注释 2 5 4 3" xfId="53763"/>
    <cellStyle name="注释 2 5 4 3 6" xfId="53764"/>
    <cellStyle name="注释 2 5 4 4" xfId="53765"/>
    <cellStyle name="注释 2 9 3 3 4 2" xfId="53766"/>
    <cellStyle name="注释 2 5 4 4 2" xfId="53767"/>
    <cellStyle name="注释 2 5 4 5" xfId="53768"/>
    <cellStyle name="注释 2 5 4 5 2" xfId="53769"/>
    <cellStyle name="注释 2 5 4 5 3" xfId="53770"/>
    <cellStyle name="注释 2 5 4 5 5" xfId="53771"/>
    <cellStyle name="注释 2 5 4 5 6" xfId="53772"/>
    <cellStyle name="注释 2 5 4 6 2" xfId="53773"/>
    <cellStyle name="注释 2 5 4 6 4" xfId="53774"/>
    <cellStyle name="注释 2 5 4 6 5" xfId="53775"/>
    <cellStyle name="注释 2 5 4 6 6" xfId="53776"/>
    <cellStyle name="注释 2 5 4 7" xfId="53777"/>
    <cellStyle name="注释 2 5 4 7 2" xfId="53778"/>
    <cellStyle name="注释 2 5 4 7 4" xfId="53779"/>
    <cellStyle name="注释 2 5 4 7 4 2" xfId="53780"/>
    <cellStyle name="注释 2 5 4 7 5" xfId="53781"/>
    <cellStyle name="注释 2 5 4 7 5 2" xfId="53782"/>
    <cellStyle name="注释 2 5 4 7 6" xfId="53783"/>
    <cellStyle name="注释 2 5 4 8" xfId="53784"/>
    <cellStyle name="注释 2 5 4 8 4 2" xfId="53785"/>
    <cellStyle name="注释 2 5 4 9 2" xfId="53786"/>
    <cellStyle name="注释 2 8 4 4 2 2" xfId="53787"/>
    <cellStyle name="注释 2 5 5" xfId="53788"/>
    <cellStyle name="注释 2 5 5 10" xfId="53789"/>
    <cellStyle name="注释 2 5 5 10 2" xfId="53790"/>
    <cellStyle name="注释 2 8 6 2 9" xfId="53791"/>
    <cellStyle name="注释 2 5 5 11" xfId="53792"/>
    <cellStyle name="注释 2 5 5 11 2" xfId="53793"/>
    <cellStyle name="注释 2 5 5 12" xfId="53794"/>
    <cellStyle name="注释 2 5 5 12 2" xfId="53795"/>
    <cellStyle name="注释 2 5 5 13" xfId="53796"/>
    <cellStyle name="注释 2 5 5 14" xfId="53797"/>
    <cellStyle name="注释 2 5 5 15" xfId="53798"/>
    <cellStyle name="注释 2 5 5 2" xfId="53799"/>
    <cellStyle name="注释 2 5 5 2 2" xfId="53800"/>
    <cellStyle name="注释 2 5 5 2 3 2" xfId="53801"/>
    <cellStyle name="注释 2 5 5 2 4 2" xfId="53802"/>
    <cellStyle name="注释 2 5 5 2 5" xfId="53803"/>
    <cellStyle name="注释 2 5 5 2 5 2" xfId="53804"/>
    <cellStyle name="注释 2 5 5 2 6" xfId="53805"/>
    <cellStyle name="注释 2 5 5 2 7" xfId="53806"/>
    <cellStyle name="注释 2 5 5 2 8" xfId="53807"/>
    <cellStyle name="注释 2 5 5 3" xfId="53808"/>
    <cellStyle name="注释 2 5 5 3 2" xfId="53809"/>
    <cellStyle name="注释 2 5 5 3 3 2" xfId="53810"/>
    <cellStyle name="注释 2 5 5 3 4 2" xfId="53811"/>
    <cellStyle name="注释 2 5 5 3 5" xfId="53812"/>
    <cellStyle name="注释 2 5 5 3 5 2" xfId="53813"/>
    <cellStyle name="注释 2 5 5 3 6" xfId="53814"/>
    <cellStyle name="注释 2 5 5 4" xfId="53815"/>
    <cellStyle name="注释 2 9 3 3 5 2" xfId="53816"/>
    <cellStyle name="注释 2 5 5 4 2" xfId="53817"/>
    <cellStyle name="注释 2 5 5 4 2 2" xfId="53818"/>
    <cellStyle name="注释 2 5 5 4 3 2" xfId="53819"/>
    <cellStyle name="注释 2 5 5 4 5" xfId="53820"/>
    <cellStyle name="注释 2 5 5 4 5 2" xfId="53821"/>
    <cellStyle name="注释 2 5 5 4 6" xfId="53822"/>
    <cellStyle name="注释 2 5 5 5" xfId="53823"/>
    <cellStyle name="注释 2 5 5 5 2" xfId="53824"/>
    <cellStyle name="注释 2 5 5 5 2 2" xfId="53825"/>
    <cellStyle name="注释 2 5 5 5 3 2" xfId="53826"/>
    <cellStyle name="注释 2 5 5 5 4 2" xfId="53827"/>
    <cellStyle name="注释 2 5 5 5 5" xfId="53828"/>
    <cellStyle name="注释 2 5 5 5 5 2" xfId="53829"/>
    <cellStyle name="注释 2 5 5 5 6" xfId="53830"/>
    <cellStyle name="注释 2 5 5 6 2" xfId="53831"/>
    <cellStyle name="注释 2 5 5 6 2 2" xfId="53832"/>
    <cellStyle name="注释 2 5 5 6 3 2" xfId="53833"/>
    <cellStyle name="注释 2 5 5 6 4" xfId="53834"/>
    <cellStyle name="注释 2 5 5 6 4 2" xfId="53835"/>
    <cellStyle name="注释 2 5 5 6 5" xfId="53836"/>
    <cellStyle name="注释 2 5 5 6 5 2" xfId="53837"/>
    <cellStyle name="注释 2 5 5 6 6" xfId="53838"/>
    <cellStyle name="注释 2 5 5 7" xfId="53839"/>
    <cellStyle name="注释 2 5 5 7 2" xfId="53840"/>
    <cellStyle name="注释 2 5 5 7 2 2" xfId="53841"/>
    <cellStyle name="注释 2 5 5 7 3 2" xfId="53842"/>
    <cellStyle name="注释 2 5 5 7 4" xfId="53843"/>
    <cellStyle name="注释 2 5 5 7 4 2" xfId="53844"/>
    <cellStyle name="注释 2 5 5 7 5" xfId="53845"/>
    <cellStyle name="注释 2 5 5 7 5 2" xfId="53846"/>
    <cellStyle name="注释 2 5 5 7 6" xfId="53847"/>
    <cellStyle name="注释 2 5 5 8" xfId="53848"/>
    <cellStyle name="注释 2 5 5 8 2" xfId="53849"/>
    <cellStyle name="注释 2 5 5 8 2 2" xfId="53850"/>
    <cellStyle name="注释 2 5 5 8 3 2" xfId="53851"/>
    <cellStyle name="注释 2 5 5 8 4" xfId="53852"/>
    <cellStyle name="注释 2 5 5 8 4 2" xfId="53853"/>
    <cellStyle name="注释 2 5 5 8 5" xfId="53854"/>
    <cellStyle name="注释 2 5 5 9 2" xfId="53855"/>
    <cellStyle name="注释 2 8 4 5 2 2" xfId="53856"/>
    <cellStyle name="注释 2 5 6 2 2" xfId="53857"/>
    <cellStyle name="注释 2 5 6 2 3" xfId="53858"/>
    <cellStyle name="注释 2 5 6 2 5" xfId="53859"/>
    <cellStyle name="注释 2 5 6 2 6" xfId="53860"/>
    <cellStyle name="注释 2 5 6 2 8" xfId="53861"/>
    <cellStyle name="注释 2 5 6 2 9" xfId="53862"/>
    <cellStyle name="注释 2 5 6 3 2" xfId="53863"/>
    <cellStyle name="注释 2 5 6 3 5" xfId="53864"/>
    <cellStyle name="注释 2 5 6 3 6" xfId="53865"/>
    <cellStyle name="注释 2 5 6 4 2 2" xfId="53866"/>
    <cellStyle name="注释 2 5 6 4 3 2" xfId="53867"/>
    <cellStyle name="注释 2 5 6 4 5" xfId="53868"/>
    <cellStyle name="注释 2 5 6 4 5 2" xfId="53869"/>
    <cellStyle name="注释 2 5 6 4 6" xfId="53870"/>
    <cellStyle name="注释 2 5 6 5 2 2" xfId="53871"/>
    <cellStyle name="注释 2 5 6 5 3 2" xfId="53872"/>
    <cellStyle name="注释 2 5 6 5 4" xfId="53873"/>
    <cellStyle name="注释 2 5 6 5 4 2" xfId="53874"/>
    <cellStyle name="注释 2 5 6 5 5" xfId="53875"/>
    <cellStyle name="注释 2 5 6 5 5 2" xfId="53876"/>
    <cellStyle name="注释 2 5 6 5 6" xfId="53877"/>
    <cellStyle name="注释 2 5 6 6 2 2" xfId="53878"/>
    <cellStyle name="注释 2 5 6 6 3 2" xfId="53879"/>
    <cellStyle name="注释 2 5 6 6 4" xfId="53880"/>
    <cellStyle name="注释 2 5 6 6 4 2" xfId="53881"/>
    <cellStyle name="注释 2 5 6 6 5" xfId="53882"/>
    <cellStyle name="注释 2 5 6 6 5 2" xfId="53883"/>
    <cellStyle name="注释 2 5 6 6 6" xfId="53884"/>
    <cellStyle name="注释 2 5 6 7 2 2" xfId="53885"/>
    <cellStyle name="注释 2 5 6 7 3 2" xfId="53886"/>
    <cellStyle name="注释 2 5 6 7 4" xfId="53887"/>
    <cellStyle name="注释 2 5 6 7 4 2" xfId="53888"/>
    <cellStyle name="注释 2 5 6 7 5" xfId="53889"/>
    <cellStyle name="注释 2 5 6 7 5 2" xfId="53890"/>
    <cellStyle name="注释 2 5 6 7 6" xfId="53891"/>
    <cellStyle name="注释 2 5 6 8 2" xfId="53892"/>
    <cellStyle name="注释 2 5 6 8 2 2" xfId="53893"/>
    <cellStyle name="注释 2 5 6 8 3 2" xfId="53894"/>
    <cellStyle name="注释 2 5 6 8 4" xfId="53895"/>
    <cellStyle name="注释 2 5 6 8 4 2" xfId="53896"/>
    <cellStyle name="注释 2 5 6 8 5" xfId="53897"/>
    <cellStyle name="注释 2 5 6 9 2" xfId="53898"/>
    <cellStyle name="注释 2 8 4 6 2 2" xfId="53899"/>
    <cellStyle name="注释 2 5 7 10" xfId="53900"/>
    <cellStyle name="注释 2 5 7 11 2" xfId="53901"/>
    <cellStyle name="注释 2 5 7 12" xfId="53902"/>
    <cellStyle name="注释 2 5 7 12 2" xfId="53903"/>
    <cellStyle name="注释 2 5 7 13" xfId="53904"/>
    <cellStyle name="注释 2 5 7 14" xfId="53905"/>
    <cellStyle name="注释 2 5 7 15" xfId="53906"/>
    <cellStyle name="注释 2 5 7 16" xfId="53907"/>
    <cellStyle name="注释 2 5 7 2 3 2" xfId="53908"/>
    <cellStyle name="注释 2 5 7 2 4 2" xfId="53909"/>
    <cellStyle name="注释 2 5 7 2 5 2" xfId="53910"/>
    <cellStyle name="注释 2 5 7 3 2" xfId="53911"/>
    <cellStyle name="注释 2 5 7 3 2 2" xfId="53912"/>
    <cellStyle name="注释 2 5 7 3 3 2" xfId="53913"/>
    <cellStyle name="注释 2 5 7 3 4 2" xfId="53914"/>
    <cellStyle name="注释 2 5 7 3 5" xfId="53915"/>
    <cellStyle name="注释 2 5 7 4 2 2" xfId="53916"/>
    <cellStyle name="注释 2 5 7 4 3 2" xfId="53917"/>
    <cellStyle name="注释 2 5 7 4 4 2" xfId="53918"/>
    <cellStyle name="注释 2 5 7 4 5" xfId="53919"/>
    <cellStyle name="注释 2 5 7 5 2 2" xfId="53920"/>
    <cellStyle name="注释 2 5 7 5 3 2" xfId="53921"/>
    <cellStyle name="注释 2 5 7 5 4" xfId="53922"/>
    <cellStyle name="注释 2 5 7 5 4 2" xfId="53923"/>
    <cellStyle name="注释 2 5 7 5 5" xfId="53924"/>
    <cellStyle name="注释 2 5 7 5 5 2" xfId="53925"/>
    <cellStyle name="注释 2 5 7 6 2 2" xfId="53926"/>
    <cellStyle name="注释 2 5 7 6 3 2" xfId="53927"/>
    <cellStyle name="注释 2 5 7 6 4" xfId="53928"/>
    <cellStyle name="注释 2 5 7 6 4 2" xfId="53929"/>
    <cellStyle name="注释 2 5 7 6 5" xfId="53930"/>
    <cellStyle name="注释 2 5 7 6 5 2" xfId="53931"/>
    <cellStyle name="注释 2 6 10 2 4" xfId="53932"/>
    <cellStyle name="注释 2 5 7 7 3 2" xfId="53933"/>
    <cellStyle name="注释 2 5 7 7 4 2" xfId="53934"/>
    <cellStyle name="통화 [0]_BOILER-CO1" xfId="53935"/>
    <cellStyle name="注释 2 5 7 7 5 2" xfId="53936"/>
    <cellStyle name="注释 2 6 11 2 4" xfId="53937"/>
    <cellStyle name="注释 2 5 7 8 2" xfId="53938"/>
    <cellStyle name="注释 2 5 7 8 2 2" xfId="53939"/>
    <cellStyle name="注释 2 5 7 8 3 2" xfId="53940"/>
    <cellStyle name="注释 2 5 7 8 4" xfId="53941"/>
    <cellStyle name="注释 2 5 7 8 4 2" xfId="53942"/>
    <cellStyle name="注释 2 5 7 8 5" xfId="53943"/>
    <cellStyle name="注释 2 5 7 9" xfId="53944"/>
    <cellStyle name="注释 2 8 4 7 2" xfId="53945"/>
    <cellStyle name="注释 2 5 7 9 2" xfId="53946"/>
    <cellStyle name="注释 2 8 4 7 2 2" xfId="53947"/>
    <cellStyle name="注释 2 5 8 12 2" xfId="53948"/>
    <cellStyle name="注释 2 5 8 2 4 2" xfId="53949"/>
    <cellStyle name="注释 2 5 8 2 5 2" xfId="53950"/>
    <cellStyle name="注释 2 5 8 3 2" xfId="53951"/>
    <cellStyle name="注释 2 5 8 3 2 2" xfId="53952"/>
    <cellStyle name="注释 2 5 8 3 3 2" xfId="53953"/>
    <cellStyle name="注释 2 5 8 3 4 2" xfId="53954"/>
    <cellStyle name="注释 2 5 8 3 5" xfId="53955"/>
    <cellStyle name="注释 2 5 8 3 5 2" xfId="53956"/>
    <cellStyle name="注释 2 5 8 4 2 2" xfId="53957"/>
    <cellStyle name="注释 2 5 8 5 3 2" xfId="53958"/>
    <cellStyle name="注释 2 5 8 5 4" xfId="53959"/>
    <cellStyle name="注释 2 5 8 5 5" xfId="53960"/>
    <cellStyle name="注释 2 5 8 5 5 2" xfId="53961"/>
    <cellStyle name="注释 2 5 8 6 2 2" xfId="53962"/>
    <cellStyle name="注释 2 5 8 6 3 2" xfId="53963"/>
    <cellStyle name="注释 2 5 8 6 4" xfId="53964"/>
    <cellStyle name="注释 2 5 8 6 5" xfId="53965"/>
    <cellStyle name="注释 2 5 8 7 4 2" xfId="53966"/>
    <cellStyle name="注释 2 5 8 7 5 2" xfId="53967"/>
    <cellStyle name="注释 2 5 8 8 3 2" xfId="53968"/>
    <cellStyle name="注释 2 5 8 8 4 2" xfId="53969"/>
    <cellStyle name="注释 2 5 9 12 2" xfId="53970"/>
    <cellStyle name="注释 2 5 9 15" xfId="53971"/>
    <cellStyle name="注释 2 5 9 16" xfId="53972"/>
    <cellStyle name="注释 2 5 9 2 3" xfId="53973"/>
    <cellStyle name="注释 2 5 9 2 5" xfId="53974"/>
    <cellStyle name="注释 2 5 9 5 4" xfId="53975"/>
    <cellStyle name="注释 2 7 10 2 5" xfId="53976"/>
    <cellStyle name="注释 2 5 9 5 5" xfId="53977"/>
    <cellStyle name="注释 2 7 10 2 6" xfId="53978"/>
    <cellStyle name="注释 2 5 9 6 4" xfId="53979"/>
    <cellStyle name="注释 2 7 10 3 5" xfId="53980"/>
    <cellStyle name="注释 2 5 9 6 5" xfId="53981"/>
    <cellStyle name="注释 2 7 10 3 6" xfId="53982"/>
    <cellStyle name="注释 2 5 9 7 2 2" xfId="53983"/>
    <cellStyle name="注释 2 7 10 4 3 2" xfId="53984"/>
    <cellStyle name="注释 2 5 9 7 3 2" xfId="53985"/>
    <cellStyle name="注释 2 7 10 4 4 2" xfId="53986"/>
    <cellStyle name="注释 2 5 9 7 4" xfId="53987"/>
    <cellStyle name="注释 2 7 10 4 5" xfId="53988"/>
    <cellStyle name="注释 2 5 9 7 4 2" xfId="53989"/>
    <cellStyle name="注释 2 7 10 4 5 2" xfId="53990"/>
    <cellStyle name="注释 2 5 9 7 5" xfId="53991"/>
    <cellStyle name="注释 2 7 10 4 6" xfId="53992"/>
    <cellStyle name="注释 2 5 9 8 2 2" xfId="53993"/>
    <cellStyle name="注释 2 7 10 5 3 2" xfId="53994"/>
    <cellStyle name="注释 2 5 9 8 3 2" xfId="53995"/>
    <cellStyle name="注释 2 7 10 5 4 2" xfId="53996"/>
    <cellStyle name="注释 2 5 9 8 4 2" xfId="53997"/>
    <cellStyle name="注释 2 7 10 5 5 2" xfId="53998"/>
    <cellStyle name="注释 2 6" xfId="53999"/>
    <cellStyle name="注释 2 8 9 7 6" xfId="54000"/>
    <cellStyle name="注释 2 6 10" xfId="54001"/>
    <cellStyle name="注释 2 6 10 10" xfId="54002"/>
    <cellStyle name="注释 2 6 10 10 2" xfId="54003"/>
    <cellStyle name="注释 2 6 10 16" xfId="54004"/>
    <cellStyle name="注释 2 6 10 2" xfId="54005"/>
    <cellStyle name="注释 2 6 10 2 2" xfId="54006"/>
    <cellStyle name="注释 2 6 10 2 2 2" xfId="54007"/>
    <cellStyle name="注释 2 6 10 2 3 2" xfId="54008"/>
    <cellStyle name="注释 2 6 10 2 4 2" xfId="54009"/>
    <cellStyle name="注释 2 6 10 2 5" xfId="54010"/>
    <cellStyle name="注释 2 6 10 2 5 2" xfId="54011"/>
    <cellStyle name="注释 2 6 10 2 6" xfId="54012"/>
    <cellStyle name="注释 2 6 10 3 2" xfId="54013"/>
    <cellStyle name="注释 2 6 10 3 2 2" xfId="54014"/>
    <cellStyle name="注释 2 6 10 3 3 2" xfId="54015"/>
    <cellStyle name="注释 2 6 10 3 4 2" xfId="54016"/>
    <cellStyle name="注释 2 6 10 3 5" xfId="54017"/>
    <cellStyle name="注释 2 6 10 3 5 2" xfId="54018"/>
    <cellStyle name="注释 2 6 10 3 6" xfId="54019"/>
    <cellStyle name="注释 2 6 10 4" xfId="54020"/>
    <cellStyle name="注释 2 6 10 4 2" xfId="54021"/>
    <cellStyle name="注释 2 6 10 4 2 2" xfId="54022"/>
    <cellStyle name="注释 2 6 10 4 3 2" xfId="54023"/>
    <cellStyle name="注释 2 6 10 4 4 2" xfId="54024"/>
    <cellStyle name="注释 2 6 10 4 5" xfId="54025"/>
    <cellStyle name="注释 2 6 10 4 5 2" xfId="54026"/>
    <cellStyle name="注释 2 6 10 4 6" xfId="54027"/>
    <cellStyle name="注释 2 6 10 5" xfId="54028"/>
    <cellStyle name="注释 2 6 10 5 2" xfId="54029"/>
    <cellStyle name="注释 2 6 10 5 2 2" xfId="54030"/>
    <cellStyle name="注释 2 6 10 5 4 2" xfId="54031"/>
    <cellStyle name="注释 2 6 10 5 5" xfId="54032"/>
    <cellStyle name="注释 2 6 10 5 5 2" xfId="54033"/>
    <cellStyle name="注释 2 6 10 5 6" xfId="54034"/>
    <cellStyle name="注释 2 6 10 6" xfId="54035"/>
    <cellStyle name="注释 2 6 10 6 2" xfId="54036"/>
    <cellStyle name="注释 2 6 10 6 2 2" xfId="54037"/>
    <cellStyle name="注释 2 6 10 6 3" xfId="54038"/>
    <cellStyle name="注释 2 6 10 6 3 2" xfId="54039"/>
    <cellStyle name="注释 2 6 10 6 4" xfId="54040"/>
    <cellStyle name="注释 2 6 10 6 4 2" xfId="54041"/>
    <cellStyle name="注释 2 6 10 6 5" xfId="54042"/>
    <cellStyle name="注释 2 6 10 6 5 2" xfId="54043"/>
    <cellStyle name="注释 2 6 10 6 6" xfId="54044"/>
    <cellStyle name="注释 2 6 10 7 2" xfId="54045"/>
    <cellStyle name="注释 2 6 10 7 2 2" xfId="54046"/>
    <cellStyle name="注释 2 6 10 7 3" xfId="54047"/>
    <cellStyle name="注释 2 6 10 7 3 2" xfId="54048"/>
    <cellStyle name="注释 2 6 10 7 4" xfId="54049"/>
    <cellStyle name="注释 2 6 10 7 4 2" xfId="54050"/>
    <cellStyle name="注释 2 6 10 7 5" xfId="54051"/>
    <cellStyle name="注释 2 6 10 7 5 2" xfId="54052"/>
    <cellStyle name="注释 2 6 10 8" xfId="54053"/>
    <cellStyle name="注释 2 6 10 8 2" xfId="54054"/>
    <cellStyle name="注释 2 6 10 8 2 2" xfId="54055"/>
    <cellStyle name="注释 2 6 10 8 3" xfId="54056"/>
    <cellStyle name="注释 2 6 10 8 3 2" xfId="54057"/>
    <cellStyle name="注释 2 6 10 8 4" xfId="54058"/>
    <cellStyle name="注释 2 6 10 8 4 2" xfId="54059"/>
    <cellStyle name="注释 2 6 10 8 5" xfId="54060"/>
    <cellStyle name="注释 2 6 10 9" xfId="54061"/>
    <cellStyle name="注释 2 6 10 9 2" xfId="54062"/>
    <cellStyle name="注释 2 6 11 10" xfId="54063"/>
    <cellStyle name="注释 2 6 11 10 2" xfId="54064"/>
    <cellStyle name="注释 2 6 11 11" xfId="54065"/>
    <cellStyle name="注释 2 6 11 11 2" xfId="54066"/>
    <cellStyle name="注释 2 6 11 12" xfId="54067"/>
    <cellStyle name="注释 2 6 11 12 2" xfId="54068"/>
    <cellStyle name="注释 2 6 11 14" xfId="54069"/>
    <cellStyle name="注释 2 6 11 15" xfId="54070"/>
    <cellStyle name="注释 2 6 11 16" xfId="54071"/>
    <cellStyle name="注释 2 6 11 2" xfId="54072"/>
    <cellStyle name="注释 2 6 11 2 2" xfId="54073"/>
    <cellStyle name="注释 2 6 11 2 2 2" xfId="54074"/>
    <cellStyle name="注释 2 6 11 2 3 2" xfId="54075"/>
    <cellStyle name="注释 2 6 11 2 4 2" xfId="54076"/>
    <cellStyle name="注释 2 6 11 2 5" xfId="54077"/>
    <cellStyle name="注释 2 6 11 2 5 2" xfId="54078"/>
    <cellStyle name="注释 2 6 11 2 6" xfId="54079"/>
    <cellStyle name="注释 2 6 11 3 2" xfId="54080"/>
    <cellStyle name="注释 2 6 11 3 2 2" xfId="54081"/>
    <cellStyle name="注释 2 6 11 3 3 2" xfId="54082"/>
    <cellStyle name="注释 2 6 11 3 4" xfId="54083"/>
    <cellStyle name="注释 2 6 11 3 4 2" xfId="54084"/>
    <cellStyle name="注释 2 6 11 3 5" xfId="54085"/>
    <cellStyle name="注释 2 6 11 3 5 2" xfId="54086"/>
    <cellStyle name="注释 2 6 11 3 6" xfId="54087"/>
    <cellStyle name="注释 2 6 11 4" xfId="54088"/>
    <cellStyle name="注释 2 6 11 4 2" xfId="54089"/>
    <cellStyle name="注释 2 6 11 4 2 2" xfId="54090"/>
    <cellStyle name="注释 2 6 11 4 3 2" xfId="54091"/>
    <cellStyle name="注释 2 6 11 4 4" xfId="54092"/>
    <cellStyle name="注释 2 6 11 4 4 2" xfId="54093"/>
    <cellStyle name="注释 2 6 11 4 5" xfId="54094"/>
    <cellStyle name="注释 2 6 11 4 5 2" xfId="54095"/>
    <cellStyle name="注释 2 6 11 4 6" xfId="54096"/>
    <cellStyle name="注释 2 6 11 5" xfId="54097"/>
    <cellStyle name="注释 2 6 11 5 2" xfId="54098"/>
    <cellStyle name="注释 2 6 11 5 2 2" xfId="54099"/>
    <cellStyle name="注释 2 6 11 5 3" xfId="54100"/>
    <cellStyle name="注释 2 6 11 5 3 2" xfId="54101"/>
    <cellStyle name="注释 2 6 11 5 4" xfId="54102"/>
    <cellStyle name="注释 2 6 11 5 4 2" xfId="54103"/>
    <cellStyle name="注释 2 6 11 5 5" xfId="54104"/>
    <cellStyle name="注释 2 6 11 5 5 2" xfId="54105"/>
    <cellStyle name="注释 2 6 11 5 6" xfId="54106"/>
    <cellStyle name="注释 2 6 11 6" xfId="54107"/>
    <cellStyle name="注释 2 6 5 3 2 2" xfId="54108"/>
    <cellStyle name="注释 2 6 11 6 2" xfId="54109"/>
    <cellStyle name="注释 2 6 11 6 2 2" xfId="54110"/>
    <cellStyle name="注释 2 6 11 6 3" xfId="54111"/>
    <cellStyle name="注释 2 6 11 6 3 2" xfId="54112"/>
    <cellStyle name="注释 2 6 11 6 4" xfId="54113"/>
    <cellStyle name="注释 2 6 11 6 4 2" xfId="54114"/>
    <cellStyle name="注释 2 6 11 6 5" xfId="54115"/>
    <cellStyle name="注释 2 6 11 6 5 2" xfId="54116"/>
    <cellStyle name="注释 2 6 11 6 6" xfId="54117"/>
    <cellStyle name="注释 2 6 11 7 2" xfId="54118"/>
    <cellStyle name="注释 2 6 11 8" xfId="54119"/>
    <cellStyle name="注释 2 6 11 8 2" xfId="54120"/>
    <cellStyle name="注释 2 6 11 8 2 2" xfId="54121"/>
    <cellStyle name="注释 2 6 11 9" xfId="54122"/>
    <cellStyle name="注释 2 6 11 9 2" xfId="54123"/>
    <cellStyle name="注释 2 6 12" xfId="54124"/>
    <cellStyle name="注释 2 6 12 2" xfId="54125"/>
    <cellStyle name="注释 2 6 12 2 2" xfId="54126"/>
    <cellStyle name="注释 2 6 12 3" xfId="54127"/>
    <cellStyle name="注释 2 6 12 3 2" xfId="54128"/>
    <cellStyle name="注释 2 6 12 4" xfId="54129"/>
    <cellStyle name="注释 2 6 12 4 2" xfId="54130"/>
    <cellStyle name="注释 2 6 12 5" xfId="54131"/>
    <cellStyle name="注释 2 6 12 5 2" xfId="54132"/>
    <cellStyle name="注释 2 6 12 6" xfId="54133"/>
    <cellStyle name="注释 2 6 5 3 3 2" xfId="54134"/>
    <cellStyle name="注释 2 6 12 7" xfId="54135"/>
    <cellStyle name="注释 2 6 12 8" xfId="54136"/>
    <cellStyle name="注释 2 6 12 9" xfId="54137"/>
    <cellStyle name="注释 2 6 13" xfId="54138"/>
    <cellStyle name="注释 2 6 13 2" xfId="54139"/>
    <cellStyle name="注释 2 6 13 3" xfId="54140"/>
    <cellStyle name="注释 2 6 13 4" xfId="54141"/>
    <cellStyle name="注释 2 6 13 5" xfId="54142"/>
    <cellStyle name="注释 2 6 13 5 2" xfId="54143"/>
    <cellStyle name="注释 2 6 13 6" xfId="54144"/>
    <cellStyle name="注释 2 6 5 3 4 2" xfId="54145"/>
    <cellStyle name="注释 2 6 14" xfId="54146"/>
    <cellStyle name="注释 2 6 14 2" xfId="54147"/>
    <cellStyle name="注释 2 6 14 3" xfId="54148"/>
    <cellStyle name="注释 2 6 14 4" xfId="54149"/>
    <cellStyle name="注释 2 6 14 5" xfId="54150"/>
    <cellStyle name="注释 2 6 14 5 2" xfId="54151"/>
    <cellStyle name="注释 2 6 14 6" xfId="54152"/>
    <cellStyle name="注释 2 6 5 3 5 2" xfId="54153"/>
    <cellStyle name="注释 2 6 15 3" xfId="54154"/>
    <cellStyle name="注释 2 6 15 4" xfId="54155"/>
    <cellStyle name="注释 2 6 15 5 2" xfId="54156"/>
    <cellStyle name="注释 2 6 15 6" xfId="54157"/>
    <cellStyle name="注释 2 6 16 3" xfId="54158"/>
    <cellStyle name="注释 2 6 16 4" xfId="54159"/>
    <cellStyle name="注释 2 6 16 5 2" xfId="54160"/>
    <cellStyle name="注释 2 6 16 6" xfId="54161"/>
    <cellStyle name="注释 2 6 17 3" xfId="54162"/>
    <cellStyle name="注释 2 6 17 4" xfId="54163"/>
    <cellStyle name="注释 2 6 17 5 2" xfId="54164"/>
    <cellStyle name="注释 2 6 17 6" xfId="54165"/>
    <cellStyle name="注释 2 6 18 3" xfId="54166"/>
    <cellStyle name="注释 2 6 18 4" xfId="54167"/>
    <cellStyle name="注释 2 6 18 5 2" xfId="54168"/>
    <cellStyle name="注释 2 6 18 6" xfId="54169"/>
    <cellStyle name="注释 2 6 19 2" xfId="54170"/>
    <cellStyle name="注释 2 6 19 3" xfId="54171"/>
    <cellStyle name="注释 2 6 19 4" xfId="54172"/>
    <cellStyle name="注释 2 6 19 5" xfId="54173"/>
    <cellStyle name="注释 2 6 2" xfId="54174"/>
    <cellStyle name="注释 2 6 2 10" xfId="54175"/>
    <cellStyle name="注释 2 6 2 10 2" xfId="54176"/>
    <cellStyle name="注释 2 6 2 11" xfId="54177"/>
    <cellStyle name="注释 2 6 2 11 2" xfId="54178"/>
    <cellStyle name="注释 2 6 2 12" xfId="54179"/>
    <cellStyle name="注释 2 6 2 12 2" xfId="54180"/>
    <cellStyle name="注释 2 6 2 13" xfId="54181"/>
    <cellStyle name="注释 2 6 2 14" xfId="54182"/>
    <cellStyle name="注释 2 6 2 15" xfId="54183"/>
    <cellStyle name="注释 2 6 2 2" xfId="54184"/>
    <cellStyle name="注释 2 6 2 2 2" xfId="54185"/>
    <cellStyle name="注释 2 6 2 2 2 2" xfId="54186"/>
    <cellStyle name="注释 2 6 2 2 3" xfId="54187"/>
    <cellStyle name="注释 2 6 2 2 3 2" xfId="54188"/>
    <cellStyle name="注释 2 6 2 2 5" xfId="54189"/>
    <cellStyle name="注释 2 6 2 2 5 2" xfId="54190"/>
    <cellStyle name="注释 2 6 2 2 6" xfId="54191"/>
    <cellStyle name="注释 2 6 2 3" xfId="54192"/>
    <cellStyle name="注释 2 6 2 3 3 2" xfId="54193"/>
    <cellStyle name="注释 2 6 2 3 4 2" xfId="54194"/>
    <cellStyle name="注释 2 6 2 3 5 2" xfId="54195"/>
    <cellStyle name="注释 2 6 2 4" xfId="54196"/>
    <cellStyle name="注释 2 9 3 4 2 2" xfId="54197"/>
    <cellStyle name="注释 2 6 2 4 3 2" xfId="54198"/>
    <cellStyle name="注释 2 6 2 4 4 2" xfId="54199"/>
    <cellStyle name="注释 2 6 2 4 5" xfId="54200"/>
    <cellStyle name="注释 2 6 2 4 5 2" xfId="54201"/>
    <cellStyle name="注释 2 6 2 5 3 2" xfId="54202"/>
    <cellStyle name="注释 2 6 2 5 4 2" xfId="54203"/>
    <cellStyle name="注释 2 6 2 5 5" xfId="54204"/>
    <cellStyle name="注释 2 6 2 5 5 2" xfId="54205"/>
    <cellStyle name="注释 2 6 2 6" xfId="54206"/>
    <cellStyle name="注释 2 6 2 6 3 2" xfId="54207"/>
    <cellStyle name="注释 2 6 2 6 5" xfId="54208"/>
    <cellStyle name="注释 2 6 2 6 5 2" xfId="54209"/>
    <cellStyle name="注释 2 6 2 7" xfId="54210"/>
    <cellStyle name="注释 2 6 2 7 3 2" xfId="54211"/>
    <cellStyle name="注释 2 6 2 7 4" xfId="54212"/>
    <cellStyle name="注释 2 6 2 8" xfId="54213"/>
    <cellStyle name="注释 2 6 2 8 3 2" xfId="54214"/>
    <cellStyle name="注释 2 6 2 8 4" xfId="54215"/>
    <cellStyle name="注释 2 6 2 8 4 2" xfId="54216"/>
    <cellStyle name="注释 2 6 2 9" xfId="54217"/>
    <cellStyle name="注释 2 8 5 2 2" xfId="54218"/>
    <cellStyle name="注释 2 6 25" xfId="54219"/>
    <cellStyle name="注释 2 6 3" xfId="54220"/>
    <cellStyle name="注释 2 6 3 10 2" xfId="54221"/>
    <cellStyle name="注释 2 6 3 11" xfId="54222"/>
    <cellStyle name="注释 2 6 3 11 2" xfId="54223"/>
    <cellStyle name="注释 2 6 3 13" xfId="54224"/>
    <cellStyle name="注释 2 6 3 14" xfId="54225"/>
    <cellStyle name="注释 2 6 3 15" xfId="54226"/>
    <cellStyle name="注释 2 7 5 7 2 2" xfId="54227"/>
    <cellStyle name="注释 2 6 3 2" xfId="54228"/>
    <cellStyle name="注释 2 6 3 2 2 2" xfId="54229"/>
    <cellStyle name="注释 2 6 3 2 3" xfId="54230"/>
    <cellStyle name="注释 2 6 3 2 3 2" xfId="54231"/>
    <cellStyle name="注释 2 6 3 2 4 2" xfId="54232"/>
    <cellStyle name="注释 2 6 3 2 5" xfId="54233"/>
    <cellStyle name="注释 2 6 3 2 5 2" xfId="54234"/>
    <cellStyle name="注释 2 6 3 2 6" xfId="54235"/>
    <cellStyle name="注释 2 6 3 2 9" xfId="54236"/>
    <cellStyle name="注释 2 6 3 3" xfId="54237"/>
    <cellStyle name="注释 2 6 3 3 3" xfId="54238"/>
    <cellStyle name="注释 2 6 3 3 3 2" xfId="54239"/>
    <cellStyle name="注释 2 6 3 3 4 2" xfId="54240"/>
    <cellStyle name="注释 2 6 3 3 5" xfId="54241"/>
    <cellStyle name="注释 2 6 3 3 5 2" xfId="54242"/>
    <cellStyle name="注释 2 6 3 4" xfId="54243"/>
    <cellStyle name="注释 2 9 3 4 3 2" xfId="54244"/>
    <cellStyle name="注释 2 6 3 4 2 2" xfId="54245"/>
    <cellStyle name="注释 2 6 3 4 3" xfId="54246"/>
    <cellStyle name="注释 2 6 3 4 3 2" xfId="54247"/>
    <cellStyle name="注释 2 6 3 4 4 2" xfId="54248"/>
    <cellStyle name="注释 2 6 3 4 5" xfId="54249"/>
    <cellStyle name="注释 2 6 3 4 5 2" xfId="54250"/>
    <cellStyle name="注释 2 6 3 5" xfId="54251"/>
    <cellStyle name="注释 2 6 3 5 2" xfId="54252"/>
    <cellStyle name="注释 2 6 3 5 3" xfId="54253"/>
    <cellStyle name="注释 2 6 3 5 5" xfId="54254"/>
    <cellStyle name="注释 2 6 3 6 5" xfId="54255"/>
    <cellStyle name="注释 2 6 3 7" xfId="54256"/>
    <cellStyle name="注释 2 6 3 7 2" xfId="54257"/>
    <cellStyle name="注释 2 6 3 7 4" xfId="54258"/>
    <cellStyle name="注释 2 6 3 8" xfId="54259"/>
    <cellStyle name="注释 2 6 3 8 2" xfId="54260"/>
    <cellStyle name="注释 2 6 3 8 4" xfId="54261"/>
    <cellStyle name="注释 2 6 3 9" xfId="54262"/>
    <cellStyle name="注释 2 8 5 3 2" xfId="54263"/>
    <cellStyle name="注释 2 6 3 9 2" xfId="54264"/>
    <cellStyle name="注释 2 8 5 3 2 2" xfId="54265"/>
    <cellStyle name="注释 2 6 4" xfId="54266"/>
    <cellStyle name="注释 2 6 4 10" xfId="54267"/>
    <cellStyle name="注释 2 6 4 10 2" xfId="54268"/>
    <cellStyle name="注释 2 6 4 11" xfId="54269"/>
    <cellStyle name="注释 2 6 4 11 2" xfId="54270"/>
    <cellStyle name="注释 2 6 4 12" xfId="54271"/>
    <cellStyle name="注释 2 8 5 11 2" xfId="54272"/>
    <cellStyle name="注释 2 6 4 12 2" xfId="54273"/>
    <cellStyle name="注释 2 6 4 13" xfId="54274"/>
    <cellStyle name="注释 2 6 4 14" xfId="54275"/>
    <cellStyle name="注释 2 6 4 15" xfId="54276"/>
    <cellStyle name="注释 2 6 4 16" xfId="54277"/>
    <cellStyle name="注释 2 6 4 2" xfId="54278"/>
    <cellStyle name="注释 2 6 4 2 3" xfId="54279"/>
    <cellStyle name="注释 2 6 4 2 3 2" xfId="54280"/>
    <cellStyle name="注释 2 6 4 2 4 2" xfId="54281"/>
    <cellStyle name="注释 2 6 4 2 5" xfId="54282"/>
    <cellStyle name="注释 2 6 4 2 5 2" xfId="54283"/>
    <cellStyle name="注释 2 6 4 3" xfId="54284"/>
    <cellStyle name="注释 2 6 4 3 3" xfId="54285"/>
    <cellStyle name="注释 2 6 4 3 3 2" xfId="54286"/>
    <cellStyle name="注释 2 6 4 3 4 2" xfId="54287"/>
    <cellStyle name="注释 2 6 4 3 5" xfId="54288"/>
    <cellStyle name="注释 2 6 4 3 5 2" xfId="54289"/>
    <cellStyle name="注释 2 6 4 4" xfId="54290"/>
    <cellStyle name="注释 2 9 3 4 4 2" xfId="54291"/>
    <cellStyle name="注释 2 6 4 4 3" xfId="54292"/>
    <cellStyle name="注释 2 6 4 4 3 2" xfId="54293"/>
    <cellStyle name="注释 2 6 4 4 5" xfId="54294"/>
    <cellStyle name="注释 2 6 4 4 5 2" xfId="54295"/>
    <cellStyle name="注释 2 6 4 5" xfId="54296"/>
    <cellStyle name="注释 2 6 4 5 2" xfId="54297"/>
    <cellStyle name="注释 2 6 4 5 3" xfId="54298"/>
    <cellStyle name="注释 2 6 4 5 5" xfId="54299"/>
    <cellStyle name="注释 2 6 4 6 2" xfId="54300"/>
    <cellStyle name="注释 2 6 4 6 4" xfId="54301"/>
    <cellStyle name="注释 2 6 4 6 5" xfId="54302"/>
    <cellStyle name="注释 2 6 4 7" xfId="54303"/>
    <cellStyle name="注释 2 6 4 7 2" xfId="54304"/>
    <cellStyle name="注释 2 6 4 7 4" xfId="54305"/>
    <cellStyle name="注释 2 6 4 8" xfId="54306"/>
    <cellStyle name="注释 2 6 4 8 2" xfId="54307"/>
    <cellStyle name="注释 2 6 4 8 4" xfId="54308"/>
    <cellStyle name="注释 2 6 4 9" xfId="54309"/>
    <cellStyle name="注释 2 8 5 4 2" xfId="54310"/>
    <cellStyle name="注释 2 6 4 9 2" xfId="54311"/>
    <cellStyle name="注释 2 8 5 4 2 2" xfId="54312"/>
    <cellStyle name="注释 2 6 5" xfId="54313"/>
    <cellStyle name="注释 2 6 5 10" xfId="54314"/>
    <cellStyle name="注释 2 6 5 10 2" xfId="54315"/>
    <cellStyle name="注释 2 6 5 11" xfId="54316"/>
    <cellStyle name="注释 2 6 5 11 2" xfId="54317"/>
    <cellStyle name="注释 2 6 5 12 2" xfId="54318"/>
    <cellStyle name="注释 2 6 5 2 2" xfId="54319"/>
    <cellStyle name="注释 2 6 5 2 2 2" xfId="54320"/>
    <cellStyle name="注释 2 6 5 2 3 2" xfId="54321"/>
    <cellStyle name="注释 2 6 5 2 5" xfId="54322"/>
    <cellStyle name="注释 2 6 5 2 5 2" xfId="54323"/>
    <cellStyle name="注释 2 6 5 2 6" xfId="54324"/>
    <cellStyle name="注释 2 6 5 2 7" xfId="54325"/>
    <cellStyle name="注释 2 6 5 2 8" xfId="54326"/>
    <cellStyle name="注释 2 6 5 2 9" xfId="54327"/>
    <cellStyle name="注释 2 6 5 3 2" xfId="54328"/>
    <cellStyle name="注释 2 6 5 3 5" xfId="54329"/>
    <cellStyle name="注释 2 6 5 3 6" xfId="54330"/>
    <cellStyle name="注释 2 6 5 4 2" xfId="54331"/>
    <cellStyle name="注释 2 6 5 4 2 2" xfId="54332"/>
    <cellStyle name="注释 2 6 5 4 3 2" xfId="54333"/>
    <cellStyle name="注释 2 6 5 4 4 2" xfId="54334"/>
    <cellStyle name="注释 2 6 5 4 5" xfId="54335"/>
    <cellStyle name="注释 2 6 5 4 5 2" xfId="54336"/>
    <cellStyle name="注释 2 6 5 5" xfId="54337"/>
    <cellStyle name="注释 2 6 5 5 2" xfId="54338"/>
    <cellStyle name="注释 2 6 5 5 5" xfId="54339"/>
    <cellStyle name="注释 2 6 5 6 2" xfId="54340"/>
    <cellStyle name="注释 2 6 5 6 4" xfId="54341"/>
    <cellStyle name="注释 2 6 5 6 5" xfId="54342"/>
    <cellStyle name="注释 2 6 5 7" xfId="54343"/>
    <cellStyle name="注释 2 6 5 7 2" xfId="54344"/>
    <cellStyle name="注释 2 6 5 7 4" xfId="54345"/>
    <cellStyle name="注释 2 6 5 8" xfId="54346"/>
    <cellStyle name="注释 2 6 5 8 2" xfId="54347"/>
    <cellStyle name="注释 2 6 5 8 4" xfId="54348"/>
    <cellStyle name="注释 2 6 5 9" xfId="54349"/>
    <cellStyle name="注释 2 8 5 5 2" xfId="54350"/>
    <cellStyle name="注释 2 6 5 9 2" xfId="54351"/>
    <cellStyle name="注释 2 8 5 5 2 2" xfId="54352"/>
    <cellStyle name="注释 2 6 6 2 2" xfId="54353"/>
    <cellStyle name="注释 2 6 6 2 3" xfId="54354"/>
    <cellStyle name="注释 2 6 6 2 5" xfId="54355"/>
    <cellStyle name="注释 2 6 6 2 6" xfId="54356"/>
    <cellStyle name="注释 2 6 6 2 8" xfId="54357"/>
    <cellStyle name="注释 2 6 6 2 9" xfId="54358"/>
    <cellStyle name="注释 2 6 6 3 2" xfId="54359"/>
    <cellStyle name="注释 2 6 6 3 5" xfId="54360"/>
    <cellStyle name="注释 2 6 6 3 6" xfId="54361"/>
    <cellStyle name="注释 2 6 6 4 5" xfId="54362"/>
    <cellStyle name="注释 2 6 6 4 6" xfId="54363"/>
    <cellStyle name="注释 2 6 6 5 4" xfId="54364"/>
    <cellStyle name="注释 2 6 6 5 5" xfId="54365"/>
    <cellStyle name="注释 2 6 6 5 6" xfId="54366"/>
    <cellStyle name="注释 2 6 6 8 2" xfId="54367"/>
    <cellStyle name="注释 2 6 6 9" xfId="54368"/>
    <cellStyle name="注释 2 8 5 6 2" xfId="54369"/>
    <cellStyle name="注释 2 6 6 9 2" xfId="54370"/>
    <cellStyle name="注释 2 8 5 6 2 2" xfId="54371"/>
    <cellStyle name="注释 2 6 7 10" xfId="54372"/>
    <cellStyle name="注释 2 6 7 10 2" xfId="54373"/>
    <cellStyle name="注释 2 6 7 11" xfId="54374"/>
    <cellStyle name="注释 2 6 7 11 2" xfId="54375"/>
    <cellStyle name="注释 2 6 7 12" xfId="54376"/>
    <cellStyle name="注释 2 6 7 12 2" xfId="54377"/>
    <cellStyle name="注释 2 6 7 13" xfId="54378"/>
    <cellStyle name="注释 2 6 7 14" xfId="54379"/>
    <cellStyle name="注释 2 6 7 15" xfId="54380"/>
    <cellStyle name="注释 2 6 7 2 2" xfId="54381"/>
    <cellStyle name="注释 2 6 7 2 2 2" xfId="54382"/>
    <cellStyle name="注释 2 6 7 2 3" xfId="54383"/>
    <cellStyle name="注释 2 6 7 2 3 2" xfId="54384"/>
    <cellStyle name="注释 2 6 7 2 4 2" xfId="54385"/>
    <cellStyle name="注释 2 6 7 2 5" xfId="54386"/>
    <cellStyle name="注释 2 6 7 2 5 2" xfId="54387"/>
    <cellStyle name="注释 2 6 7 3 2" xfId="54388"/>
    <cellStyle name="注释 2 6 7 3 2 2" xfId="54389"/>
    <cellStyle name="注释 2 6 7 3 3 2" xfId="54390"/>
    <cellStyle name="注释 2 6 7 3 4 2" xfId="54391"/>
    <cellStyle name="注释 2 6 7 3 5" xfId="54392"/>
    <cellStyle name="注释 2 6 7 3 5 2" xfId="54393"/>
    <cellStyle name="注释 2 6 7 4 2 2" xfId="54394"/>
    <cellStyle name="注释 2 6 7 4 3 2" xfId="54395"/>
    <cellStyle name="注释 2 6 7 4 4 2" xfId="54396"/>
    <cellStyle name="注释 2 6 7 4 5" xfId="54397"/>
    <cellStyle name="注释 2 6 7 4 5 2" xfId="54398"/>
    <cellStyle name="注释 2 6 7 5 4" xfId="54399"/>
    <cellStyle name="注释 2 6 7 5 5" xfId="54400"/>
    <cellStyle name="注释 2 6 7 8 2" xfId="54401"/>
    <cellStyle name="注释 2 6 7 9" xfId="54402"/>
    <cellStyle name="注释 2 8 5 7 2" xfId="54403"/>
    <cellStyle name="注释 2 6 7 9 2" xfId="54404"/>
    <cellStyle name="注释 2 8 5 7 2 2" xfId="54405"/>
    <cellStyle name="注释 2 6 8 10 2" xfId="54406"/>
    <cellStyle name="注释 2 6 8 11" xfId="54407"/>
    <cellStyle name="注释 2 6 8 11 2" xfId="54408"/>
    <cellStyle name="注释 2 6 8 12 2" xfId="54409"/>
    <cellStyle name="注释 2 6 8 13" xfId="54410"/>
    <cellStyle name="注释 2 6 8 14" xfId="54411"/>
    <cellStyle name="注释 2 6 8 15" xfId="54412"/>
    <cellStyle name="注释 2 7 5 8 2 2" xfId="54413"/>
    <cellStyle name="注释 2 6 8 2 2" xfId="54414"/>
    <cellStyle name="注释 2 6 8 2 2 2" xfId="54415"/>
    <cellStyle name="注释 2 6 8 2 3" xfId="54416"/>
    <cellStyle name="注释 2 6 8 2 3 2" xfId="54417"/>
    <cellStyle name="注释 2 6 8 2 4 2" xfId="54418"/>
    <cellStyle name="注释 2 6 8 2 5 2" xfId="54419"/>
    <cellStyle name="注释 2 6 8 3 2" xfId="54420"/>
    <cellStyle name="注释 2 6 8 3 2 2" xfId="54421"/>
    <cellStyle name="注释 2 6 8 3 3 2" xfId="54422"/>
    <cellStyle name="注释 2 6 8 3 4 2" xfId="54423"/>
    <cellStyle name="注释 2 6 8 3 5" xfId="54424"/>
    <cellStyle name="注释 2 6 8 3 5 2" xfId="54425"/>
    <cellStyle name="注释 2 6 8 5 4" xfId="54426"/>
    <cellStyle name="注释 2 6 8 5 5" xfId="54427"/>
    <cellStyle name="注释 2 6 8 8 2" xfId="54428"/>
    <cellStyle name="注释 2 6 8 9" xfId="54429"/>
    <cellStyle name="注释 2 8 5 8 2" xfId="54430"/>
    <cellStyle name="注释 2 6 9 10" xfId="54431"/>
    <cellStyle name="注释 2 6 9 11" xfId="54432"/>
    <cellStyle name="注释 2 6 9 11 2" xfId="54433"/>
    <cellStyle name="注释 2 6 9 12 2" xfId="54434"/>
    <cellStyle name="注释 2 6 9 13" xfId="54435"/>
    <cellStyle name="注释 2 6 9 14" xfId="54436"/>
    <cellStyle name="注释 2 6 9 15" xfId="54437"/>
    <cellStyle name="注释 2 6 9 16" xfId="54438"/>
    <cellStyle name="注释 2 6 9 2 2 2" xfId="54439"/>
    <cellStyle name="注释 2 6 9 2 3" xfId="54440"/>
    <cellStyle name="注释 2 6 9 2 3 2" xfId="54441"/>
    <cellStyle name="注释 2 6 9 2 4 2" xfId="54442"/>
    <cellStyle name="注释 2 6 9 2 5" xfId="54443"/>
    <cellStyle name="注释 2 6 9 2 5 2" xfId="54444"/>
    <cellStyle name="注释 2 6 9 3 2 2" xfId="54445"/>
    <cellStyle name="注释 2 6 9 3 3 2" xfId="54446"/>
    <cellStyle name="注释 2 6 9 3 4 2" xfId="54447"/>
    <cellStyle name="注释 2 6 9 3 5" xfId="54448"/>
    <cellStyle name="注释 2 6 9 3 5 2" xfId="54449"/>
    <cellStyle name="注释 2 6 9 4 2 2" xfId="54450"/>
    <cellStyle name="注释 2 6 9 4 3 2" xfId="54451"/>
    <cellStyle name="注释 2 6 9 4 4 2" xfId="54452"/>
    <cellStyle name="注释 2 6 9 4 5" xfId="54453"/>
    <cellStyle name="注释 2 6 9 4 5 2" xfId="54454"/>
    <cellStyle name="注释 2 6 9 5 4" xfId="54455"/>
    <cellStyle name="注释 2 6 9 5 5" xfId="54456"/>
    <cellStyle name="注释 2 6 9 8 2" xfId="54457"/>
    <cellStyle name="注释 2 6 9 9" xfId="54458"/>
    <cellStyle name="注释 2 8 5 9 2" xfId="54459"/>
    <cellStyle name="注释 2 8 7 5 2 2" xfId="54460"/>
    <cellStyle name="注释 2 6 9 9 2" xfId="54461"/>
    <cellStyle name="注释 2 7" xfId="54462"/>
    <cellStyle name="注释 2 7 10" xfId="54463"/>
    <cellStyle name="注释 2 7 10 10" xfId="54464"/>
    <cellStyle name="注释 2 7 10 10 2" xfId="54465"/>
    <cellStyle name="注释 2 7 10 16" xfId="54466"/>
    <cellStyle name="注释 2 7 10 2" xfId="54467"/>
    <cellStyle name="注释 2 7 10 2 2" xfId="54468"/>
    <cellStyle name="注释 2 7 10 2 2 2" xfId="54469"/>
    <cellStyle name="注释 2 7 10 3 2" xfId="54470"/>
    <cellStyle name="注释 2 7 10 4" xfId="54471"/>
    <cellStyle name="注释 2 7 10 4 2" xfId="54472"/>
    <cellStyle name="注释 2 7 10 5" xfId="54473"/>
    <cellStyle name="注释 2 7 10 5 2" xfId="54474"/>
    <cellStyle name="注释 2 7 10 6" xfId="54475"/>
    <cellStyle name="注释 2 7 10 6 2" xfId="54476"/>
    <cellStyle name="注释 2 7 10 7 2" xfId="54477"/>
    <cellStyle name="注释 2 7 10 8" xfId="54478"/>
    <cellStyle name="注释 2 7 10 8 2" xfId="54479"/>
    <cellStyle name="注释 2 7 10 9" xfId="54480"/>
    <cellStyle name="注释 2 7 10 9 2" xfId="54481"/>
    <cellStyle name="注释 2 7 11" xfId="54482"/>
    <cellStyle name="注释 2 7 11 10" xfId="54483"/>
    <cellStyle name="注释 2 7 11 10 2" xfId="54484"/>
    <cellStyle name="注释 2 7 11 11" xfId="54485"/>
    <cellStyle name="注释 2 7 11 11 2" xfId="54486"/>
    <cellStyle name="注释 2 7 11 12" xfId="54487"/>
    <cellStyle name="注释 2 7 11 12 2" xfId="54488"/>
    <cellStyle name="注释 2 7 11 15" xfId="54489"/>
    <cellStyle name="注释 2 7 11 16" xfId="54490"/>
    <cellStyle name="注释 2 7 11 2" xfId="54491"/>
    <cellStyle name="注释 2 7 11 2 2" xfId="54492"/>
    <cellStyle name="注释 2 7 11 2 5" xfId="54493"/>
    <cellStyle name="注释 2 7 11 2 6" xfId="54494"/>
    <cellStyle name="注释 2 7 11 3 5" xfId="54495"/>
    <cellStyle name="注释 2 7 11 3 6" xfId="54496"/>
    <cellStyle name="注释 2 7 11 4 4" xfId="54497"/>
    <cellStyle name="注释 2 7 11 4 5" xfId="54498"/>
    <cellStyle name="注释 2 7 11 4 5 2" xfId="54499"/>
    <cellStyle name="注释 2 7 11 4 6" xfId="54500"/>
    <cellStyle name="注释 2 7 11 5 2 2" xfId="54501"/>
    <cellStyle name="注释 2 7 11 5 3" xfId="54502"/>
    <cellStyle name="注释 2 7 11 5 3 2" xfId="54503"/>
    <cellStyle name="注释 2 7 11 5 4" xfId="54504"/>
    <cellStyle name="注释 2 7 11 5 4 2" xfId="54505"/>
    <cellStyle name="注释 2 7 11 5 5" xfId="54506"/>
    <cellStyle name="注释 2 7 11 5 5 2" xfId="54507"/>
    <cellStyle name="注释 2 7 11 5 6" xfId="54508"/>
    <cellStyle name="注释 2 7 11 6 2 2" xfId="54509"/>
    <cellStyle name="注释 2 7 11 7 2" xfId="54510"/>
    <cellStyle name="注释 2 7 11 7 2 2" xfId="54511"/>
    <cellStyle name="注释 2 7 11 8 2" xfId="54512"/>
    <cellStyle name="注释 2 7 11 8 2 2" xfId="54513"/>
    <cellStyle name="注释 2 7 11 9 2" xfId="54514"/>
    <cellStyle name="注释 2 7 12" xfId="54515"/>
    <cellStyle name="注释 2 7 12 2" xfId="54516"/>
    <cellStyle name="注释 2 7 12 2 2" xfId="54517"/>
    <cellStyle name="注释 2 7 12 8" xfId="54518"/>
    <cellStyle name="注释 2 7 12 9" xfId="54519"/>
    <cellStyle name="注释 2 7 13" xfId="54520"/>
    <cellStyle name="注释 2 7 13 2" xfId="54521"/>
    <cellStyle name="注释 2 7 13 2 2" xfId="54522"/>
    <cellStyle name="注释 2 7 14" xfId="54523"/>
    <cellStyle name="注释 2 7 14 2" xfId="54524"/>
    <cellStyle name="注释 2 7 14 2 2" xfId="54525"/>
    <cellStyle name="注释 2 7 15" xfId="54526"/>
    <cellStyle name="注释 2 7 20" xfId="54527"/>
    <cellStyle name="注释 2 7 15 2" xfId="54528"/>
    <cellStyle name="注释 2 7 20 2" xfId="54529"/>
    <cellStyle name="注释 2 7 15 2 2" xfId="54530"/>
    <cellStyle name="注释 2 7 16" xfId="54531"/>
    <cellStyle name="注释 2 7 21" xfId="54532"/>
    <cellStyle name="注释 2 7 16 2" xfId="54533"/>
    <cellStyle name="注释 2 7 21 2" xfId="54534"/>
    <cellStyle name="注释 2 7 16 2 2" xfId="54535"/>
    <cellStyle name="注释 2 7 17" xfId="54536"/>
    <cellStyle name="注释 2 7 22" xfId="54537"/>
    <cellStyle name="注释 2 7 17 2" xfId="54538"/>
    <cellStyle name="注释 2 7 22 2" xfId="54539"/>
    <cellStyle name="注释 2 7 17 2 2" xfId="54540"/>
    <cellStyle name="注释 2 7 18" xfId="54541"/>
    <cellStyle name="注释 2 7 23" xfId="54542"/>
    <cellStyle name="注释 2 7 18 2" xfId="54543"/>
    <cellStyle name="注释 2 7 23 2" xfId="54544"/>
    <cellStyle name="注释 2 7 18 2 2" xfId="54545"/>
    <cellStyle name="注释 2 7 18 3 2" xfId="54546"/>
    <cellStyle name="注释 2 7 19 2" xfId="54547"/>
    <cellStyle name="注释 2 7 19 2 2" xfId="54548"/>
    <cellStyle name="注释 2 7 19 3 2" xfId="54549"/>
    <cellStyle name="注释 2 7 2 15" xfId="54550"/>
    <cellStyle name="注释 2 7 2 2" xfId="54551"/>
    <cellStyle name="注释 2 7 2 2 2" xfId="54552"/>
    <cellStyle name="注释 2 7 2 2 2 2" xfId="54553"/>
    <cellStyle name="注释 2 7 2 2 3" xfId="54554"/>
    <cellStyle name="注释 2 7 2 2 3 2" xfId="54555"/>
    <cellStyle name="注释 2 7 2 2 4 2" xfId="54556"/>
    <cellStyle name="注释 2 7 2 2 5" xfId="54557"/>
    <cellStyle name="注释 2 7 2 2 5 2" xfId="54558"/>
    <cellStyle name="注释 2 7 2 2 6" xfId="54559"/>
    <cellStyle name="注释 2 7 2 3" xfId="54560"/>
    <cellStyle name="注释 2 7 2 3 3 2" xfId="54561"/>
    <cellStyle name="注释 2 7 2 3 4 2" xfId="54562"/>
    <cellStyle name="注释 2 7 2 3 5 2" xfId="54563"/>
    <cellStyle name="注释 2 7 2 4" xfId="54564"/>
    <cellStyle name="注释 2 9 3 5 2 2" xfId="54565"/>
    <cellStyle name="注释 2 7 2 4 3 2" xfId="54566"/>
    <cellStyle name="注释 2 7 2 4 4 2" xfId="54567"/>
    <cellStyle name="注释 2 7 2 4 5" xfId="54568"/>
    <cellStyle name="注释 2 7 2 5 3 2" xfId="54569"/>
    <cellStyle name="注释 2 7 2 5 4 2" xfId="54570"/>
    <cellStyle name="注释 2 7 2 5 5" xfId="54571"/>
    <cellStyle name="注释 2 7 2 5 5 2" xfId="54572"/>
    <cellStyle name="注释 2 7 2 6" xfId="54573"/>
    <cellStyle name="注释 2 7 2 6 3 2" xfId="54574"/>
    <cellStyle name="注释 2 7 2 6 4 2" xfId="54575"/>
    <cellStyle name="注释 2 7 2 6 5" xfId="54576"/>
    <cellStyle name="注释 2 7 2 6 5 2" xfId="54577"/>
    <cellStyle name="注释 2 7 2 7" xfId="54578"/>
    <cellStyle name="注释 2 7 2 7 3 2" xfId="54579"/>
    <cellStyle name="注释 2 7 2 7 4" xfId="54580"/>
    <cellStyle name="注释 2 7 2 7 4 2" xfId="54581"/>
    <cellStyle name="注释 2 7 2 7 5" xfId="54582"/>
    <cellStyle name="注释 2 7 2 7 5 2" xfId="54583"/>
    <cellStyle name="注释 2 7 2 8" xfId="54584"/>
    <cellStyle name="注释 2 7 2 8 3 2" xfId="54585"/>
    <cellStyle name="注释 2 7 2 8 4" xfId="54586"/>
    <cellStyle name="注释 2 7 2 8 4 2" xfId="54587"/>
    <cellStyle name="注释 2 7 2 8 5" xfId="54588"/>
    <cellStyle name="注释 2 7 2 9" xfId="54589"/>
    <cellStyle name="注释 2 8 6 2 2" xfId="54590"/>
    <cellStyle name="注释 2 7 25" xfId="54591"/>
    <cellStyle name="注释 2 7 26" xfId="54592"/>
    <cellStyle name="注释 2 7 3 15" xfId="54593"/>
    <cellStyle name="注释 2 7 3 16" xfId="54594"/>
    <cellStyle name="注释 2 7 3 2" xfId="54595"/>
    <cellStyle name="注释 2 7 3 2 2" xfId="54596"/>
    <cellStyle name="注释 2 7 3 2 2 2" xfId="54597"/>
    <cellStyle name="注释 2 7 3 2 3" xfId="54598"/>
    <cellStyle name="注释 2 7 3 2 3 2" xfId="54599"/>
    <cellStyle name="注释 2 7 3 2 4 2" xfId="54600"/>
    <cellStyle name="注释 2 7 3 2 5" xfId="54601"/>
    <cellStyle name="注释 2 7 3 2 5 2" xfId="54602"/>
    <cellStyle name="注释 2 7 3 2 6" xfId="54603"/>
    <cellStyle name="注释 2 7 3 2 9" xfId="54604"/>
    <cellStyle name="注释 2 7 3 3" xfId="54605"/>
    <cellStyle name="注释 2 7 3 3 2" xfId="54606"/>
    <cellStyle name="注释 2 7 3 3 2 2" xfId="54607"/>
    <cellStyle name="注释 2 7 3 3 3" xfId="54608"/>
    <cellStyle name="注释 2 7 3 3 3 2" xfId="54609"/>
    <cellStyle name="注释 2 7 3 3 4 2" xfId="54610"/>
    <cellStyle name="注释 2 7 3 3 5" xfId="54611"/>
    <cellStyle name="注释 2 7 3 3 5 2" xfId="54612"/>
    <cellStyle name="注释 2 7 3 3 6" xfId="54613"/>
    <cellStyle name="注释 2 7 3 4" xfId="54614"/>
    <cellStyle name="注释 2 9 3 5 3 2" xfId="54615"/>
    <cellStyle name="注释 2 7 3 4 2" xfId="54616"/>
    <cellStyle name="注释 2 7 3 4 2 2" xfId="54617"/>
    <cellStyle name="注释 2 7 3 4 3" xfId="54618"/>
    <cellStyle name="注释 2 7 3 4 3 2" xfId="54619"/>
    <cellStyle name="注释 2 7 3 4 5" xfId="54620"/>
    <cellStyle name="注释 2 7 3 5" xfId="54621"/>
    <cellStyle name="注释 2 7 3 5 2" xfId="54622"/>
    <cellStyle name="注释 2 7 3 5 2 2" xfId="54623"/>
    <cellStyle name="注释 2 7 3 5 3" xfId="54624"/>
    <cellStyle name="注释 2 7 3 5 3 2" xfId="54625"/>
    <cellStyle name="注释 2 7 3 5 4 2" xfId="54626"/>
    <cellStyle name="注释 2 9 13" xfId="54627"/>
    <cellStyle name="注释 2 7 3 5 5" xfId="54628"/>
    <cellStyle name="注释 2 7 3 5 5 2" xfId="54629"/>
    <cellStyle name="注释 2 7 3 6 2 2" xfId="54630"/>
    <cellStyle name="注释 2 7 3 6 3 2" xfId="54631"/>
    <cellStyle name="注释 2 7 3 6 4 2" xfId="54632"/>
    <cellStyle name="注释 2 7 3 6 5" xfId="54633"/>
    <cellStyle name="注释 2 7 3 6 5 2" xfId="54634"/>
    <cellStyle name="注释 2 7 3 7" xfId="54635"/>
    <cellStyle name="注释 2 7 3 7 2" xfId="54636"/>
    <cellStyle name="注释 2 7 3 7 2 2" xfId="54637"/>
    <cellStyle name="注释 2 7 3 7 3 2" xfId="54638"/>
    <cellStyle name="注释 2 7 3 7 4" xfId="54639"/>
    <cellStyle name="注释 2 7 3 7 4 2" xfId="54640"/>
    <cellStyle name="注释 2 7 3 7 5" xfId="54641"/>
    <cellStyle name="注释 2 7 3 7 5 2" xfId="54642"/>
    <cellStyle name="注释 2 7 3 8" xfId="54643"/>
    <cellStyle name="注释 2 7 3 8 2" xfId="54644"/>
    <cellStyle name="注释 2 7 3 8 2 2" xfId="54645"/>
    <cellStyle name="注释 2 7 3 8 4" xfId="54646"/>
    <cellStyle name="注释 2 7 3 8 5" xfId="54647"/>
    <cellStyle name="注释 2 7 3 9" xfId="54648"/>
    <cellStyle name="注释 2 8 6 3 2" xfId="54649"/>
    <cellStyle name="注释 2 7 3 9 2" xfId="54650"/>
    <cellStyle name="注释 2 8 6 3 2 2" xfId="54651"/>
    <cellStyle name="注释 2 7 4 10" xfId="54652"/>
    <cellStyle name="注释 2 7 4 10 2" xfId="54653"/>
    <cellStyle name="注释 2 7 4 11" xfId="54654"/>
    <cellStyle name="注释 2 7 4 11 2" xfId="54655"/>
    <cellStyle name="注释 2 7 4 12 2" xfId="54656"/>
    <cellStyle name="注释 2 7 4 13" xfId="54657"/>
    <cellStyle name="注释 2 7 4 14" xfId="54658"/>
    <cellStyle name="注释 2 7 4 15" xfId="54659"/>
    <cellStyle name="注释 2 7 4 16" xfId="54660"/>
    <cellStyle name="注释 2 7 4 2" xfId="54661"/>
    <cellStyle name="注释 2 7 4 2 2" xfId="54662"/>
    <cellStyle name="注释 2 7 4 2 2 2" xfId="54663"/>
    <cellStyle name="注释 2 7 4 2 3" xfId="54664"/>
    <cellStyle name="注释 2 7 4 2 3 2" xfId="54665"/>
    <cellStyle name="注释 2 7 4 2 4 2" xfId="54666"/>
    <cellStyle name="注释 2 7 4 2 5" xfId="54667"/>
    <cellStyle name="注释 2 7 4 2 5 2" xfId="54668"/>
    <cellStyle name="注释 2 7 4 2 6" xfId="54669"/>
    <cellStyle name="注释 2 7 4 2 9" xfId="54670"/>
    <cellStyle name="注释 2 7 4 3" xfId="54671"/>
    <cellStyle name="注释 2 7 4 3 2" xfId="54672"/>
    <cellStyle name="注释 2 7 4 3 3" xfId="54673"/>
    <cellStyle name="注释 2 7 4 3 4 2" xfId="54674"/>
    <cellStyle name="注释 2 7 4 3 5" xfId="54675"/>
    <cellStyle name="注释 2 7 4 3 5 2" xfId="54676"/>
    <cellStyle name="注释 2 7 4 3 6" xfId="54677"/>
    <cellStyle name="注释 2 7 4 4" xfId="54678"/>
    <cellStyle name="注释 2 9 3 5 4 2" xfId="54679"/>
    <cellStyle name="注释 2 7 4 4 2" xfId="54680"/>
    <cellStyle name="注释 2 7 4 4 2 2" xfId="54681"/>
    <cellStyle name="注释 2 7 4 4 3" xfId="54682"/>
    <cellStyle name="注释 2 7 4 4 3 2" xfId="54683"/>
    <cellStyle name="注释 2 7 4 4 4 2" xfId="54684"/>
    <cellStyle name="注释 2 7 4 4 5" xfId="54685"/>
    <cellStyle name="注释 2 7 4 5" xfId="54686"/>
    <cellStyle name="注释 2 7 4 5 2" xfId="54687"/>
    <cellStyle name="注释 2 7 4 5 2 2" xfId="54688"/>
    <cellStyle name="注释 2 7 4 5 3" xfId="54689"/>
    <cellStyle name="注释 2 7 4 5 3 2" xfId="54690"/>
    <cellStyle name="注释 2 7 4 5 4 2" xfId="54691"/>
    <cellStyle name="注释 2 7 4 5 5" xfId="54692"/>
    <cellStyle name="注释 2 7 4 5 5 2" xfId="54693"/>
    <cellStyle name="注释 2 7 4 6 2" xfId="54694"/>
    <cellStyle name="注释 2 7 4 6 2 2" xfId="54695"/>
    <cellStyle name="注释 2 7 4 6 3 2" xfId="54696"/>
    <cellStyle name="注释 2 7 4 6 4" xfId="54697"/>
    <cellStyle name="注释 2 7 4 6 4 2" xfId="54698"/>
    <cellStyle name="注释 2 7 4 6 5" xfId="54699"/>
    <cellStyle name="注释 2 7 4 6 5 2" xfId="54700"/>
    <cellStyle name="注释 2 7 4 7" xfId="54701"/>
    <cellStyle name="注释 2 7 4 7 2" xfId="54702"/>
    <cellStyle name="注释 2 7 4 7 2 2" xfId="54703"/>
    <cellStyle name="注释 2 7 4 7 3 2" xfId="54704"/>
    <cellStyle name="注释 2 7 4 7 4" xfId="54705"/>
    <cellStyle name="注释 2 7 4 7 4 2" xfId="54706"/>
    <cellStyle name="注释 2 7 4 7 5" xfId="54707"/>
    <cellStyle name="注释 2 7 4 7 5 2" xfId="54708"/>
    <cellStyle name="注释 2 7 4 8" xfId="54709"/>
    <cellStyle name="注释 2 7 4 8 2" xfId="54710"/>
    <cellStyle name="注释 2 7 4 8 2 2" xfId="54711"/>
    <cellStyle name="注释 2 7 4 8 3 2" xfId="54712"/>
    <cellStyle name="注释 2 7 4 8 4" xfId="54713"/>
    <cellStyle name="注释 2 7 4 8 4 2" xfId="54714"/>
    <cellStyle name="注释 2 7 4 8 5" xfId="54715"/>
    <cellStyle name="注释 2 7 4 9" xfId="54716"/>
    <cellStyle name="注释 2 8 6 4 2" xfId="54717"/>
    <cellStyle name="注释 2 7 4 9 2" xfId="54718"/>
    <cellStyle name="注释 2 8 6 4 2 2" xfId="54719"/>
    <cellStyle name="注释 2 7 5 10 2" xfId="54720"/>
    <cellStyle name="注释 2 7 5 12" xfId="54721"/>
    <cellStyle name="注释 2 7 5 12 2" xfId="54722"/>
    <cellStyle name="注释 2 7 5 2" xfId="54723"/>
    <cellStyle name="注释 2 7 5 2 2" xfId="54724"/>
    <cellStyle name="注释 2 7 5 2 3" xfId="54725"/>
    <cellStyle name="注释 2 7 5 2 3 2" xfId="54726"/>
    <cellStyle name="注释 2 7 5 2 4 2" xfId="54727"/>
    <cellStyle name="注释 2 7 5 2 5" xfId="54728"/>
    <cellStyle name="注释 2 7 5 2 5 2" xfId="54729"/>
    <cellStyle name="注释 2 7 5 2 6" xfId="54730"/>
    <cellStyle name="注释 2 7 5 2 7" xfId="54731"/>
    <cellStyle name="注释 2 7 5 3" xfId="54732"/>
    <cellStyle name="注释 2 7 5 3 2" xfId="54733"/>
    <cellStyle name="注释 2 7 5 3 3 2" xfId="54734"/>
    <cellStyle name="注释 2 7 5 3 4 2" xfId="54735"/>
    <cellStyle name="注释 2 7 5 3 5" xfId="54736"/>
    <cellStyle name="注释 2 7 5 3 5 2" xfId="54737"/>
    <cellStyle name="注释 2 7 5 3 6" xfId="54738"/>
    <cellStyle name="注释 2 7 5 4" xfId="54739"/>
    <cellStyle name="注释 2 9 3 5 5 2" xfId="54740"/>
    <cellStyle name="注释 2 7 5 4 2" xfId="54741"/>
    <cellStyle name="注释 2 7 5 4 2 2" xfId="54742"/>
    <cellStyle name="注释 2 7 5 4 3 2" xfId="54743"/>
    <cellStyle name="注释 2 7 5 4 4 2" xfId="54744"/>
    <cellStyle name="注释 2 7 5 4 5" xfId="54745"/>
    <cellStyle name="注释 2 7 5 5" xfId="54746"/>
    <cellStyle name="注释 2 7 5 5 2" xfId="54747"/>
    <cellStyle name="注释 2 7 5 5 2 2" xfId="54748"/>
    <cellStyle name="注释 2 7 5 5 3 2" xfId="54749"/>
    <cellStyle name="注释 2 7 5 5 4 2" xfId="54750"/>
    <cellStyle name="注释 2 7 5 5 5" xfId="54751"/>
    <cellStyle name="注释 2 7 5 5 5 2" xfId="54752"/>
    <cellStyle name="注释 2 7 5 6 2" xfId="54753"/>
    <cellStyle name="注释 2 7 5 6 2 2" xfId="54754"/>
    <cellStyle name="注释 2 7 5 6 3 2" xfId="54755"/>
    <cellStyle name="注释 2 7 5 6 4" xfId="54756"/>
    <cellStyle name="注释 2 7 5 6 4 2" xfId="54757"/>
    <cellStyle name="注释 2 7 5 6 5" xfId="54758"/>
    <cellStyle name="注释 2 7 5 6 5 2" xfId="54759"/>
    <cellStyle name="注释 2 7 5 7" xfId="54760"/>
    <cellStyle name="注释 2 7 5 7 2" xfId="54761"/>
    <cellStyle name="注释 2 7 5 7 3 2" xfId="54762"/>
    <cellStyle name="注释 2 7 5 7 4" xfId="54763"/>
    <cellStyle name="注释 2 7 5 7 4 2" xfId="54764"/>
    <cellStyle name="注释 2 7 5 7 5" xfId="54765"/>
    <cellStyle name="注释 2 7 5 7 5 2" xfId="54766"/>
    <cellStyle name="注释 2 7 5 7 6" xfId="54767"/>
    <cellStyle name="注释 2 7 5 8" xfId="54768"/>
    <cellStyle name="注释 2 7 5 8 2" xfId="54769"/>
    <cellStyle name="注释 2 7 5 8 3 2" xfId="54770"/>
    <cellStyle name="注释 2 7 5 8 4" xfId="54771"/>
    <cellStyle name="注释 2 7 5 8 4 2" xfId="54772"/>
    <cellStyle name="注释 2 7 5 8 5" xfId="54773"/>
    <cellStyle name="注释 2 7 5 9" xfId="54774"/>
    <cellStyle name="注释 2 8 6 5 2" xfId="54775"/>
    <cellStyle name="注释 2 7 5 9 2" xfId="54776"/>
    <cellStyle name="注释 2 8 6 5 2 2" xfId="54777"/>
    <cellStyle name="注释 2 7 6 10 2" xfId="54778"/>
    <cellStyle name="注释 2 7 6 2 2" xfId="54779"/>
    <cellStyle name="注释 2 7 6 2 3" xfId="54780"/>
    <cellStyle name="注释 2 7 6 2 3 2" xfId="54781"/>
    <cellStyle name="注释 2 7 6 2 4 2" xfId="54782"/>
    <cellStyle name="注释 2 7 6 2 5" xfId="54783"/>
    <cellStyle name="注释 2 7 6 2 5 2" xfId="54784"/>
    <cellStyle name="注释 2 7 6 2 6" xfId="54785"/>
    <cellStyle name="注释 2 7 6 2 7" xfId="54786"/>
    <cellStyle name="注释 2 7 6 2 8" xfId="54787"/>
    <cellStyle name="注释 2 7 6 2 9" xfId="54788"/>
    <cellStyle name="注释 2 7 6 3 2" xfId="54789"/>
    <cellStyle name="注释 2 7 6 3 5" xfId="54790"/>
    <cellStyle name="注释 2 7 6 3 5 2" xfId="54791"/>
    <cellStyle name="注释 2 7 6 3 6" xfId="54792"/>
    <cellStyle name="注释 2 7 6 4 2" xfId="54793"/>
    <cellStyle name="注释 2 7 6 4 2 2" xfId="54794"/>
    <cellStyle name="注释 2 7 6 4 3 2" xfId="54795"/>
    <cellStyle name="注释 2 7 6 4 4 2" xfId="54796"/>
    <cellStyle name="注释 2 7 6 4 5" xfId="54797"/>
    <cellStyle name="注释 2 7 6 4 5 2" xfId="54798"/>
    <cellStyle name="注释 2 7 6 4 6" xfId="54799"/>
    <cellStyle name="注释 2 7 6 5 2" xfId="54800"/>
    <cellStyle name="注释 2 7 6 5 2 2" xfId="54801"/>
    <cellStyle name="注释 2 7 6 5 3 2" xfId="54802"/>
    <cellStyle name="注释 2 7 6 5 4" xfId="54803"/>
    <cellStyle name="注释 2 7 6 5 5" xfId="54804"/>
    <cellStyle name="注释 2 7 6 5 5 2" xfId="54805"/>
    <cellStyle name="注释 2 7 6 5 6" xfId="54806"/>
    <cellStyle name="注释 2 7 6 6 2" xfId="54807"/>
    <cellStyle name="注释 2 7 6 6 2 2" xfId="54808"/>
    <cellStyle name="注释 2 7 6 6 3 2" xfId="54809"/>
    <cellStyle name="注释 2 7 6 6 4" xfId="54810"/>
    <cellStyle name="注释 2 7 6 6 5" xfId="54811"/>
    <cellStyle name="注释 2 7 6 6 5 2" xfId="54812"/>
    <cellStyle name="注释 2 7 6 6 6" xfId="54813"/>
    <cellStyle name="注释 2 7 6 7" xfId="54814"/>
    <cellStyle name="注释 2 7 6 7 2" xfId="54815"/>
    <cellStyle name="注释 2 7 6 7 2 2" xfId="54816"/>
    <cellStyle name="注释 2 7 6 7 3 2" xfId="54817"/>
    <cellStyle name="注释 2 7 6 7 4" xfId="54818"/>
    <cellStyle name="注释 2 7 6 7 4 2" xfId="54819"/>
    <cellStyle name="注释 2 7 6 7 5" xfId="54820"/>
    <cellStyle name="注释 2 7 6 7 5 2" xfId="54821"/>
    <cellStyle name="注释 2 7 6 7 6" xfId="54822"/>
    <cellStyle name="注释 2 7 6 8" xfId="54823"/>
    <cellStyle name="注释 2 7 6 8 2" xfId="54824"/>
    <cellStyle name="注释 2 7 6 8 4" xfId="54825"/>
    <cellStyle name="注释 2 7 6 8 5" xfId="54826"/>
    <cellStyle name="注释 2 7 6 9" xfId="54827"/>
    <cellStyle name="注释 2 8 6 6 2" xfId="54828"/>
    <cellStyle name="注释 2 7 6 9 2" xfId="54829"/>
    <cellStyle name="注释 2 8 6 6 2 2" xfId="54830"/>
    <cellStyle name="注释 2 7 7 15" xfId="54831"/>
    <cellStyle name="注释 2 7 7 16" xfId="54832"/>
    <cellStyle name="注释 2 7 7 2 2" xfId="54833"/>
    <cellStyle name="注释 2 7 7 2 3" xfId="54834"/>
    <cellStyle name="注释 2 7 7 2 3 2" xfId="54835"/>
    <cellStyle name="注释 2 7 7 2 4 2" xfId="54836"/>
    <cellStyle name="注释 2 7 7 2 5" xfId="54837"/>
    <cellStyle name="注释 2 7 7 2 5 2" xfId="54838"/>
    <cellStyle name="注释 2 7 7 2 6" xfId="54839"/>
    <cellStyle name="注释 2 7 7 2 7" xfId="54840"/>
    <cellStyle name="注释 2 7 7 2 8" xfId="54841"/>
    <cellStyle name="注释 2 7 7 2 9" xfId="54842"/>
    <cellStyle name="注释 2 7 7 3 2" xfId="54843"/>
    <cellStyle name="注释 2 7 7 3 2 2" xfId="54844"/>
    <cellStyle name="注释 2 7 7 3 3 2" xfId="54845"/>
    <cellStyle name="注释 2 7 7 3 4 2" xfId="54846"/>
    <cellStyle name="注释 2 7 7 3 5" xfId="54847"/>
    <cellStyle name="注释 2 7 7 3 5 2" xfId="54848"/>
    <cellStyle name="注释 2 7 7 3 6" xfId="54849"/>
    <cellStyle name="注释 2 7 7 4 3 2" xfId="54850"/>
    <cellStyle name="注释 2 7 7 4 4 2" xfId="54851"/>
    <cellStyle name="注释 2 7 7 4 5" xfId="54852"/>
    <cellStyle name="注释 2 7 7 4 5 2" xfId="54853"/>
    <cellStyle name="注释 2 7 7 4 6" xfId="54854"/>
    <cellStyle name="注释 2 7 7 5 2" xfId="54855"/>
    <cellStyle name="注释 2 7 7 5 2 2" xfId="54856"/>
    <cellStyle name="注释 2 7 7 5 3 2" xfId="54857"/>
    <cellStyle name="注释 2 7 7 5 4" xfId="54858"/>
    <cellStyle name="注释 2 7 7 5 5" xfId="54859"/>
    <cellStyle name="注释 2 7 7 5 5 2" xfId="54860"/>
    <cellStyle name="注释 2 7 7 5 6" xfId="54861"/>
    <cellStyle name="注释 2 7 7 6" xfId="54862"/>
    <cellStyle name="注释 2 7 7 6 2" xfId="54863"/>
    <cellStyle name="注释 2 7 7 6 2 2" xfId="54864"/>
    <cellStyle name="注释 2 7 7 6 3 2" xfId="54865"/>
    <cellStyle name="注释 2 7 7 6 4" xfId="54866"/>
    <cellStyle name="注释 2 7 7 6 5" xfId="54867"/>
    <cellStyle name="注释 2 7 7 6 5 2" xfId="54868"/>
    <cellStyle name="注释 2 7 7 6 6" xfId="54869"/>
    <cellStyle name="注释 2 7 7 7" xfId="54870"/>
    <cellStyle name="注释 2 7 7 7 2" xfId="54871"/>
    <cellStyle name="注释 2 7 7 7 2 2" xfId="54872"/>
    <cellStyle name="注释 2 7 7 7 3 2" xfId="54873"/>
    <cellStyle name="注释 2 7 7 7 4" xfId="54874"/>
    <cellStyle name="注释 2 7 7 7 4 2" xfId="54875"/>
    <cellStyle name="注释 2 7 7 7 5" xfId="54876"/>
    <cellStyle name="注释 2 7 7 7 5 2" xfId="54877"/>
    <cellStyle name="注释 2 7 7 7 6" xfId="54878"/>
    <cellStyle name="注释 2 7 7 8" xfId="54879"/>
    <cellStyle name="注释 2 7 7 8 2" xfId="54880"/>
    <cellStyle name="注释 2 7 7 8 2 2" xfId="54881"/>
    <cellStyle name="注释 2 7 7 8 3 2" xfId="54882"/>
    <cellStyle name="注释 2 7 7 8 4" xfId="54883"/>
    <cellStyle name="注释 2 7 7 8 4 2" xfId="54884"/>
    <cellStyle name="注释 2 7 7 8 5" xfId="54885"/>
    <cellStyle name="注释 2 7 7 9" xfId="54886"/>
    <cellStyle name="注释 2 8 6 7 2" xfId="54887"/>
    <cellStyle name="注释 2 7 8 15" xfId="54888"/>
    <cellStyle name="注释 2 7 8 16" xfId="54889"/>
    <cellStyle name="注释 2 7 8 2 2" xfId="54890"/>
    <cellStyle name="注释 2 7 8 2 2 2" xfId="54891"/>
    <cellStyle name="注释 2 7 8 2 3" xfId="54892"/>
    <cellStyle name="注释 2 7 8 2 3 2" xfId="54893"/>
    <cellStyle name="注释 2 7 8 2 4 2" xfId="54894"/>
    <cellStyle name="注释 2 7 8 2 5" xfId="54895"/>
    <cellStyle name="注释 2 7 8 2 5 2" xfId="54896"/>
    <cellStyle name="注释 2 7 8 2 6" xfId="54897"/>
    <cellStyle name="注释 2 7 8 2 7" xfId="54898"/>
    <cellStyle name="注释 2 7 8 2 8" xfId="54899"/>
    <cellStyle name="注释 2 7 8 2 9" xfId="54900"/>
    <cellStyle name="注释 2 7 8 3 5 2" xfId="54901"/>
    <cellStyle name="注释 2 7 8 4 6" xfId="54902"/>
    <cellStyle name="注释 2 7 8 5 5 2" xfId="54903"/>
    <cellStyle name="注释 2 7 8 5 6" xfId="54904"/>
    <cellStyle name="注释 2 7 8 6" xfId="54905"/>
    <cellStyle name="注释 2 7 8 6 5 2" xfId="54906"/>
    <cellStyle name="注释 2 7 8 6 6" xfId="54907"/>
    <cellStyle name="注释 2 7 8 7" xfId="54908"/>
    <cellStyle name="注释 2 7 8 7 6" xfId="54909"/>
    <cellStyle name="注释 2 7 8 8" xfId="54910"/>
    <cellStyle name="注释 2 7 8 9" xfId="54911"/>
    <cellStyle name="注释 2 8 6 8 2" xfId="54912"/>
    <cellStyle name="注释 2 7 9 10 2" xfId="54913"/>
    <cellStyle name="注释 2 7 9 11" xfId="54914"/>
    <cellStyle name="注释 2 7 9 11 2" xfId="54915"/>
    <cellStyle name="注释 2 7 9 12 2" xfId="54916"/>
    <cellStyle name="注释 2 7 9 13" xfId="54917"/>
    <cellStyle name="注释 2 7 9 14" xfId="54918"/>
    <cellStyle name="注释 2 7 9 15" xfId="54919"/>
    <cellStyle name="注释 2 7 9 16" xfId="54920"/>
    <cellStyle name="注释 2 7 9 2 2" xfId="54921"/>
    <cellStyle name="注释 2 7 9 2 3" xfId="54922"/>
    <cellStyle name="注释 2 7 9 2 5" xfId="54923"/>
    <cellStyle name="注释 2 7 9 2 7" xfId="54924"/>
    <cellStyle name="注释 2 7 9 7" xfId="54925"/>
    <cellStyle name="注释 2 7 9 8" xfId="54926"/>
    <cellStyle name="注释 2 7 9 9" xfId="54927"/>
    <cellStyle name="注释 2 8 6 9 2" xfId="54928"/>
    <cellStyle name="注释 2 8 7 6 2 2" xfId="54929"/>
    <cellStyle name="注释 2 8" xfId="54930"/>
    <cellStyle name="注释 2 8 10 10" xfId="54931"/>
    <cellStyle name="注释 2 8 10 2" xfId="54932"/>
    <cellStyle name="注释 2 8 10 2 2" xfId="54933"/>
    <cellStyle name="注释 2 8 10 2 2 2" xfId="54934"/>
    <cellStyle name="注释 2 8 10 2 3" xfId="54935"/>
    <cellStyle name="注释 2 8 10 2 3 2" xfId="54936"/>
    <cellStyle name="注释 2 8 10 2 4 2" xfId="54937"/>
    <cellStyle name="注释 2 8 10 2 5" xfId="54938"/>
    <cellStyle name="注释 2 8 10 2 5 2" xfId="54939"/>
    <cellStyle name="注释 2 8 10 2 6" xfId="54940"/>
    <cellStyle name="注释 2 8 10 2 8" xfId="54941"/>
    <cellStyle name="注释 2 8 10 2 9" xfId="54942"/>
    <cellStyle name="注释 2 8 10 3" xfId="54943"/>
    <cellStyle name="注释 2 8 10 3 2" xfId="54944"/>
    <cellStyle name="注释 2 8 10 3 3" xfId="54945"/>
    <cellStyle name="注释 2 8 10 3 3 2" xfId="54946"/>
    <cellStyle name="注释 2 8 10 3 4 2" xfId="54947"/>
    <cellStyle name="注释 2 8 10 3 5" xfId="54948"/>
    <cellStyle name="注释 2 8 10 3 5 2" xfId="54949"/>
    <cellStyle name="注释 2 8 10 3 6" xfId="54950"/>
    <cellStyle name="注释 2 8 10 4" xfId="54951"/>
    <cellStyle name="注释 2 8 10 4 2" xfId="54952"/>
    <cellStyle name="注释 2 8 10 4 3" xfId="54953"/>
    <cellStyle name="注释 2 8 10 4 3 2" xfId="54954"/>
    <cellStyle name="注释 2 8 10 4 4" xfId="54955"/>
    <cellStyle name="注释 2 8 10 4 4 2" xfId="54956"/>
    <cellStyle name="注释 2 8 10 4 5" xfId="54957"/>
    <cellStyle name="注释 2 8 10 4 5 2" xfId="54958"/>
    <cellStyle name="注释 2 8 10 4 6" xfId="54959"/>
    <cellStyle name="注释 2 8 10 5 4 2" xfId="54960"/>
    <cellStyle name="注释 2 8 10 5 5 2" xfId="54961"/>
    <cellStyle name="注释 2 8 10 6" xfId="54962"/>
    <cellStyle name="注释 2 8 10 6 2 2" xfId="54963"/>
    <cellStyle name="注释 2 8 10 6 3 2" xfId="54964"/>
    <cellStyle name="注释 2 8 10 6 4 2" xfId="54965"/>
    <cellStyle name="注释 2 8 10 6 5 2" xfId="54966"/>
    <cellStyle name="注释 2 8 10 6 6" xfId="54967"/>
    <cellStyle name="注释 2 8 10 7" xfId="54968"/>
    <cellStyle name="注释 2 8 10 7 2 2" xfId="54969"/>
    <cellStyle name="注释 2 8 10 7 3" xfId="54970"/>
    <cellStyle name="注释 2 8 10 7 3 2" xfId="54971"/>
    <cellStyle name="注释 2 8 10 7 4" xfId="54972"/>
    <cellStyle name="注释 2 8 10 7 5" xfId="54973"/>
    <cellStyle name="注释 2 8 10 7 5 2" xfId="54974"/>
    <cellStyle name="注释 2 8 10 7 6" xfId="54975"/>
    <cellStyle name="注释 2 8 10 8 3" xfId="54976"/>
    <cellStyle name="注释 2 8 10 8 3 2" xfId="54977"/>
    <cellStyle name="注释 2 8 10 8 4" xfId="54978"/>
    <cellStyle name="注释 2 8 10 8 4 2" xfId="54979"/>
    <cellStyle name="注释 2 8 10 8 5" xfId="54980"/>
    <cellStyle name="注释 2 8 11" xfId="54981"/>
    <cellStyle name="注释 2 8 11 10" xfId="54982"/>
    <cellStyle name="注释 2 8 11 11" xfId="54983"/>
    <cellStyle name="注释 2 8 11 12" xfId="54984"/>
    <cellStyle name="注释 2 8 11 15" xfId="54985"/>
    <cellStyle name="注释 2 8 11 2" xfId="54986"/>
    <cellStyle name="注释 2 8 11 2 2" xfId="54987"/>
    <cellStyle name="注释 2 8 11 2 2 2" xfId="54988"/>
    <cellStyle name="注释 2 8 11 2 3" xfId="54989"/>
    <cellStyle name="注释 2 8 11 2 3 2" xfId="54990"/>
    <cellStyle name="注释 2 8 11 2 4 2" xfId="54991"/>
    <cellStyle name="注释 2 8 11 2 5" xfId="54992"/>
    <cellStyle name="注释 2 8 11 2 5 2" xfId="54993"/>
    <cellStyle name="注释 2 8 11 2 6" xfId="54994"/>
    <cellStyle name="注释 2 8 11 3" xfId="54995"/>
    <cellStyle name="注释 2 8 11 3 2" xfId="54996"/>
    <cellStyle name="注释 2 8 11 3 2 2" xfId="54997"/>
    <cellStyle name="注释 2 8 11 3 3" xfId="54998"/>
    <cellStyle name="注释 2 8 11 3 5" xfId="54999"/>
    <cellStyle name="注释 2 8 11 3 6" xfId="55000"/>
    <cellStyle name="注释 2 8 11 4" xfId="55001"/>
    <cellStyle name="注释 2 8 11 4 2" xfId="55002"/>
    <cellStyle name="注释 2 8 11 4 2 2" xfId="55003"/>
    <cellStyle name="注释 2 8 11 4 3" xfId="55004"/>
    <cellStyle name="注释 2 8 11 4 4" xfId="55005"/>
    <cellStyle name="注释 2 8 11 4 5" xfId="55006"/>
    <cellStyle name="注释 2 8 11 4 6" xfId="55007"/>
    <cellStyle name="注释 2 8 11 5 2" xfId="55008"/>
    <cellStyle name="注释 2 8 11 5 2 2" xfId="55009"/>
    <cellStyle name="注释 2 8 11 5 3" xfId="55010"/>
    <cellStyle name="注释 2 8 11 5 3 2" xfId="55011"/>
    <cellStyle name="注释 2 8 11 5 4" xfId="55012"/>
    <cellStyle name="注释 2 8 11 5 4 2" xfId="55013"/>
    <cellStyle name="注释 2 8 11 5 5" xfId="55014"/>
    <cellStyle name="注释 2 8 11 5 5 2" xfId="55015"/>
    <cellStyle name="注释 2 8 11 5 6" xfId="55016"/>
    <cellStyle name="注释 2 8 11 6" xfId="55017"/>
    <cellStyle name="注释 2 8 11 6 2 2" xfId="55018"/>
    <cellStyle name="注释 2 8 11 6 3 2" xfId="55019"/>
    <cellStyle name="注释 2 8 11 6 4 2" xfId="55020"/>
    <cellStyle name="注释 2 8 11 6 5 2" xfId="55021"/>
    <cellStyle name="注释 2 8 11 6 6" xfId="55022"/>
    <cellStyle name="注释 2 8 11 7" xfId="55023"/>
    <cellStyle name="注释 2 8 11 7 2 2" xfId="55024"/>
    <cellStyle name="注释 2 8 11 7 3" xfId="55025"/>
    <cellStyle name="注释 2 8 11 7 3 2" xfId="55026"/>
    <cellStyle name="注释 2 8 11 7 4" xfId="55027"/>
    <cellStyle name="注释 2 8 11 7 4 2" xfId="55028"/>
    <cellStyle name="注释 2 8 11 7 5" xfId="55029"/>
    <cellStyle name="注释 2 8 11 7 5 2" xfId="55030"/>
    <cellStyle name="注释 2 8 11 7 6" xfId="55031"/>
    <cellStyle name="注释 2 8 11 8 2 2" xfId="55032"/>
    <cellStyle name="注释 2 8 11 8 3" xfId="55033"/>
    <cellStyle name="注释 2 8 11 8 3 2" xfId="55034"/>
    <cellStyle name="注释 2 8 11 8 4" xfId="55035"/>
    <cellStyle name="注释 2 8 11 8 4 2" xfId="55036"/>
    <cellStyle name="注释 2 8 11 8 5" xfId="55037"/>
    <cellStyle name="注释 2 8 12 2 2" xfId="55038"/>
    <cellStyle name="注释 2 8 12 3" xfId="55039"/>
    <cellStyle name="注释 2 8 12 3 2" xfId="55040"/>
    <cellStyle name="注释 2 8 12 4" xfId="55041"/>
    <cellStyle name="注释 2 8 12 4 2" xfId="55042"/>
    <cellStyle name="注释 2 8 12 5" xfId="55043"/>
    <cellStyle name="注释 2 8 12 5 2" xfId="55044"/>
    <cellStyle name="注释 2 8 12 6" xfId="55045"/>
    <cellStyle name="注释 2 8 12 8" xfId="55046"/>
    <cellStyle name="注释 2 8 13 2 2" xfId="55047"/>
    <cellStyle name="注释 2 8 13 3" xfId="55048"/>
    <cellStyle name="注释 2 8 13 3 2" xfId="55049"/>
    <cellStyle name="注释 2 8 14 2 2" xfId="55050"/>
    <cellStyle name="注释 2 8 14 3" xfId="55051"/>
    <cellStyle name="注释 2 8 14 3 2" xfId="55052"/>
    <cellStyle name="注释 2 8 14 4" xfId="55053"/>
    <cellStyle name="注释 2 8 14 4 2" xfId="55054"/>
    <cellStyle name="注释 2 8 14 5" xfId="55055"/>
    <cellStyle name="注释 2 8 15 2 2" xfId="55056"/>
    <cellStyle name="注释 2 8 15 3" xfId="55057"/>
    <cellStyle name="注释 2 8 15 3 2" xfId="55058"/>
    <cellStyle name="注释 2 8 15 4" xfId="55059"/>
    <cellStyle name="注释 2 8 15 4 2" xfId="55060"/>
    <cellStyle name="注释 2 8 15 5" xfId="55061"/>
    <cellStyle name="注释 2 8 16 2" xfId="55062"/>
    <cellStyle name="注释 2 8 21 2" xfId="55063"/>
    <cellStyle name="注释 2 8 16 2 2" xfId="55064"/>
    <cellStyle name="注释 2 8 16 3 2" xfId="55065"/>
    <cellStyle name="注释 2 8 16 4" xfId="55066"/>
    <cellStyle name="注释 2 8 16 4 2" xfId="55067"/>
    <cellStyle name="注释 2 8 16 5" xfId="55068"/>
    <cellStyle name="注释 2 8 16 5 2" xfId="55069"/>
    <cellStyle name="注释 2 8 17" xfId="55070"/>
    <cellStyle name="注释 2 8 22" xfId="55071"/>
    <cellStyle name="注释 2 8 17 2" xfId="55072"/>
    <cellStyle name="注释 2 8 22 2" xfId="55073"/>
    <cellStyle name="注释 2 8 17 2 2" xfId="55074"/>
    <cellStyle name="注释 2 8 17 3 2" xfId="55075"/>
    <cellStyle name="注释 2 8 18" xfId="55076"/>
    <cellStyle name="注释 2 8 23" xfId="55077"/>
    <cellStyle name="注释 2 8 18 2" xfId="55078"/>
    <cellStyle name="注释 2 8 23 2" xfId="55079"/>
    <cellStyle name="注释 2 8 18 2 2" xfId="55080"/>
    <cellStyle name="注释 2 8 18 3 2" xfId="55081"/>
    <cellStyle name="注释 2 8 19 2" xfId="55082"/>
    <cellStyle name="注释 2 8 19 2 2" xfId="55083"/>
    <cellStyle name="注释 2 8 19 3 2" xfId="55084"/>
    <cellStyle name="注释 2 8 2" xfId="55085"/>
    <cellStyle name="注释 2 8 2 15" xfId="55086"/>
    <cellStyle name="注释 2 8 2 2" xfId="55087"/>
    <cellStyle name="注释 2 8 2 2 3" xfId="55088"/>
    <cellStyle name="注释 2 8 2 2 3 2" xfId="55089"/>
    <cellStyle name="注释 2 8 2 2 4 2" xfId="55090"/>
    <cellStyle name="注释 2 8 2 2 5" xfId="55091"/>
    <cellStyle name="注释 2 8 2 2 5 2" xfId="55092"/>
    <cellStyle name="注释 2 8 2 3" xfId="55093"/>
    <cellStyle name="注释 2 8 2 3 4 2" xfId="55094"/>
    <cellStyle name="注释 2 8 2 3 5 2" xfId="55095"/>
    <cellStyle name="注释 2 8 2 4" xfId="55096"/>
    <cellStyle name="注释 2 9 3 6 2 2" xfId="55097"/>
    <cellStyle name="注释 2 8 2 4 4 2" xfId="55098"/>
    <cellStyle name="注释 2 8 2 4 5 2" xfId="55099"/>
    <cellStyle name="注释 2 8 2 5 3 2" xfId="55100"/>
    <cellStyle name="注释 2 8 2 5 4 2" xfId="55101"/>
    <cellStyle name="注释 2 8 2 5 5 2" xfId="55102"/>
    <cellStyle name="注释 2 8 2 6" xfId="55103"/>
    <cellStyle name="注释 2 8 2 6 3 2" xfId="55104"/>
    <cellStyle name="注释 2 8 2 6 4 2" xfId="55105"/>
    <cellStyle name="注释 2 8 2 6 5" xfId="55106"/>
    <cellStyle name="注释 2 8 2 6 5 2" xfId="55107"/>
    <cellStyle name="注释 2 8 2 7" xfId="55108"/>
    <cellStyle name="注释 2 8 2 7 3 2" xfId="55109"/>
    <cellStyle name="注释 2 8 2 7 4" xfId="55110"/>
    <cellStyle name="注释 2 8 2 7 4 2" xfId="55111"/>
    <cellStyle name="注释 2 8 2 7 5" xfId="55112"/>
    <cellStyle name="注释 2 8 2 7 5 2" xfId="55113"/>
    <cellStyle name="注释 2 8 2 8" xfId="55114"/>
    <cellStyle name="注释 2 8 2 8 3 2" xfId="55115"/>
    <cellStyle name="注释 2 8 2 8 4" xfId="55116"/>
    <cellStyle name="注释 2 8 2 8 4 2" xfId="55117"/>
    <cellStyle name="注释 2 8 2 8 5" xfId="55118"/>
    <cellStyle name="注释 2 8 2 9" xfId="55119"/>
    <cellStyle name="注释 2 8 7 2 2" xfId="55120"/>
    <cellStyle name="注释 2 8 25" xfId="55121"/>
    <cellStyle name="注释 2 8 26" xfId="55122"/>
    <cellStyle name="注释 2 8 27" xfId="55123"/>
    <cellStyle name="注释 2 8 3 15" xfId="55124"/>
    <cellStyle name="注释 2 8 3 16" xfId="55125"/>
    <cellStyle name="注释 2 8 3 2" xfId="55126"/>
    <cellStyle name="注释 2 8 3 3" xfId="55127"/>
    <cellStyle name="注释 2 8 3 3 3" xfId="55128"/>
    <cellStyle name="注释 2 8 3 3 3 2" xfId="55129"/>
    <cellStyle name="注释 2 8 3 3 4 2" xfId="55130"/>
    <cellStyle name="注释 2 8 3 3 5" xfId="55131"/>
    <cellStyle name="注释 2 8 3 3 5 2" xfId="55132"/>
    <cellStyle name="注释 2 8 3 4" xfId="55133"/>
    <cellStyle name="注释 2 9 3 6 3 2" xfId="55134"/>
    <cellStyle name="注释 2 8 3 4 3" xfId="55135"/>
    <cellStyle name="注释 2 8 3 4 3 2" xfId="55136"/>
    <cellStyle name="注释 2 8 3 4 4 2" xfId="55137"/>
    <cellStyle name="注释 2 8 3 4 5" xfId="55138"/>
    <cellStyle name="注释 2 8 3 4 5 2" xfId="55139"/>
    <cellStyle name="注释 2 8 3 5" xfId="55140"/>
    <cellStyle name="注释 2 8 3 5 3" xfId="55141"/>
    <cellStyle name="注释 2 8 3 5 3 2" xfId="55142"/>
    <cellStyle name="注释 2 8 3 5 4 2" xfId="55143"/>
    <cellStyle name="注释 2 8 3 5 5" xfId="55144"/>
    <cellStyle name="注释 2 8 3 5 5 2" xfId="55145"/>
    <cellStyle name="注释 2 8 3 6 3" xfId="55146"/>
    <cellStyle name="注释 2 8 3 6 3 2" xfId="55147"/>
    <cellStyle name="注释 2 8 3 6 4" xfId="55148"/>
    <cellStyle name="注释 2 8 3 6 4 2" xfId="55149"/>
    <cellStyle name="注释 2 8 3 6 5" xfId="55150"/>
    <cellStyle name="注释 2 8 3 6 5 2" xfId="55151"/>
    <cellStyle name="注释 2 8 3 7" xfId="55152"/>
    <cellStyle name="注释 2 8 3 8" xfId="55153"/>
    <cellStyle name="注释 2 8 3 8 4" xfId="55154"/>
    <cellStyle name="注释 2 8 3 8 5" xfId="55155"/>
    <cellStyle name="注释 2 8 3 9" xfId="55156"/>
    <cellStyle name="注释 2 8 7 3 2" xfId="55157"/>
    <cellStyle name="注释 2 8 4 11" xfId="55158"/>
    <cellStyle name="注释 2 8 4 12 2" xfId="55159"/>
    <cellStyle name="注释 2 8 4 13" xfId="55160"/>
    <cellStyle name="注释 2 8 4 15" xfId="55161"/>
    <cellStyle name="注释 2 8 4 3 3" xfId="55162"/>
    <cellStyle name="注释 2 8 4 3 5" xfId="55163"/>
    <cellStyle name="注释 2 8 4 4 3" xfId="55164"/>
    <cellStyle name="注释 2 8 4 4 3 2" xfId="55165"/>
    <cellStyle name="注释 2 8 4 4 4 2" xfId="55166"/>
    <cellStyle name="注释 2 8 4 4 5" xfId="55167"/>
    <cellStyle name="注释 2 8 4 4 5 2" xfId="55168"/>
    <cellStyle name="注释 2 8 4 5 3" xfId="55169"/>
    <cellStyle name="注释 2 8 4 5 3 2" xfId="55170"/>
    <cellStyle name="注释 2 8 4 5 4 2" xfId="55171"/>
    <cellStyle name="注释 2 8 4 5 5" xfId="55172"/>
    <cellStyle name="注释 2 8 4 5 5 2" xfId="55173"/>
    <cellStyle name="注释 2 8 4 6 3 2" xfId="55174"/>
    <cellStyle name="注释 2 8 4 6 4 2" xfId="55175"/>
    <cellStyle name="注释 2 8 4 6 5" xfId="55176"/>
    <cellStyle name="注释 2 8 4 6 5 2" xfId="55177"/>
    <cellStyle name="注释 2 8 4 7 3 2" xfId="55178"/>
    <cellStyle name="注释 2 8 4 7 4" xfId="55179"/>
    <cellStyle name="注释 2 8 4 7 4 2" xfId="55180"/>
    <cellStyle name="注释 2 8 4 7 5" xfId="55181"/>
    <cellStyle name="注释 2 8 5 10 2" xfId="55182"/>
    <cellStyle name="注释 2 8 5 12" xfId="55183"/>
    <cellStyle name="注释 2 8 5 12 2" xfId="55184"/>
    <cellStyle name="注释 2 8 5 2 3" xfId="55185"/>
    <cellStyle name="注释 2 8 5 2 3 2" xfId="55186"/>
    <cellStyle name="注释 2 8 5 2 4 2" xfId="55187"/>
    <cellStyle name="注释 2 8 5 2 5" xfId="55188"/>
    <cellStyle name="注释 2 8 5 2 5 2" xfId="55189"/>
    <cellStyle name="注释 2 8 5 2 7" xfId="55190"/>
    <cellStyle name="注释 2 8 5 3" xfId="55191"/>
    <cellStyle name="注释 2 8 5 3 3 2" xfId="55192"/>
    <cellStyle name="注释 2 8 5 3 4 2" xfId="55193"/>
    <cellStyle name="注释 2 8 5 3 5" xfId="55194"/>
    <cellStyle name="注释 2 8 5 3 5 2" xfId="55195"/>
    <cellStyle name="注释 2 8 5 4" xfId="55196"/>
    <cellStyle name="注释 2 9 3 6 5 2" xfId="55197"/>
    <cellStyle name="注释 2 8 5 4 3 2" xfId="55198"/>
    <cellStyle name="注释 2 8 5 4 4 2" xfId="55199"/>
    <cellStyle name="注释 2 8 5 4 5" xfId="55200"/>
    <cellStyle name="注释 2 8 5 4 5 2" xfId="55201"/>
    <cellStyle name="注释 2 8 5 5" xfId="55202"/>
    <cellStyle name="注释 2 8 5 5 3 2" xfId="55203"/>
    <cellStyle name="注释 2 8 5 5 4 2" xfId="55204"/>
    <cellStyle name="注释 2 8 5 5 5" xfId="55205"/>
    <cellStyle name="注释 2 8 5 5 5 2" xfId="55206"/>
    <cellStyle name="注释 2 8 5 6 3 2" xfId="55207"/>
    <cellStyle name="注释 2 8 5 6 4" xfId="55208"/>
    <cellStyle name="注释 2 8 5 6 4 2" xfId="55209"/>
    <cellStyle name="注释 2 8 5 6 5" xfId="55210"/>
    <cellStyle name="注释 2 8 5 6 5 2" xfId="55211"/>
    <cellStyle name="注释 2 8 5 7" xfId="55212"/>
    <cellStyle name="注释 2 8 5 7 3 2" xfId="55213"/>
    <cellStyle name="注释 2 8 5 7 4" xfId="55214"/>
    <cellStyle name="注释 2 8 5 7 4 2" xfId="55215"/>
    <cellStyle name="注释 2 8 5 7 5" xfId="55216"/>
    <cellStyle name="注释 2 8 5 7 5 2" xfId="55217"/>
    <cellStyle name="注释 2 8 5 7 6" xfId="55218"/>
    <cellStyle name="注释 2 8 5 8" xfId="55219"/>
    <cellStyle name="注释 2 8 5 8 3 2" xfId="55220"/>
    <cellStyle name="注释 2 8 5 8 4" xfId="55221"/>
    <cellStyle name="注释 2 8 5 8 4 2" xfId="55222"/>
    <cellStyle name="注释 2 8 5 8 5" xfId="55223"/>
    <cellStyle name="注释 2 8 5 9" xfId="55224"/>
    <cellStyle name="注释 2 8 7 5 2" xfId="55225"/>
    <cellStyle name="注释 2 8 6 10" xfId="55226"/>
    <cellStyle name="注释 2 8 6 10 2" xfId="55227"/>
    <cellStyle name="注释 2 8 6 2 3" xfId="55228"/>
    <cellStyle name="注释 2 8 6 2 3 2" xfId="55229"/>
    <cellStyle name="注释 2 8 6 2 4 2" xfId="55230"/>
    <cellStyle name="注释 2 8 6 2 5" xfId="55231"/>
    <cellStyle name="注释 2 8 6 2 5 2" xfId="55232"/>
    <cellStyle name="注释 2 8 6 2 7" xfId="55233"/>
    <cellStyle name="注释 2 8 6 2 8" xfId="55234"/>
    <cellStyle name="注释 2 8 6 3 3 2" xfId="55235"/>
    <cellStyle name="注释 2 8 6 3 4 2" xfId="55236"/>
    <cellStyle name="注释 2 8 6 3 5" xfId="55237"/>
    <cellStyle name="注释 2 8 6 3 5 2" xfId="55238"/>
    <cellStyle name="注释 2 8 6 4 3 2" xfId="55239"/>
    <cellStyle name="注释 2 8 6 4 4 2" xfId="55240"/>
    <cellStyle name="注释 2 8 6 4 5" xfId="55241"/>
    <cellStyle name="注释 2 8 6 4 5 2" xfId="55242"/>
    <cellStyle name="注释 2 8 6 5 3 2" xfId="55243"/>
    <cellStyle name="注释 2 8 6 5 4" xfId="55244"/>
    <cellStyle name="注释 2 8 6 5 4 2" xfId="55245"/>
    <cellStyle name="注释 2 8 6 5 5" xfId="55246"/>
    <cellStyle name="注释 2 8 6 5 5 2" xfId="55247"/>
    <cellStyle name="注释 2 8 6 6 3 2" xfId="55248"/>
    <cellStyle name="注释 2 8 6 6 4" xfId="55249"/>
    <cellStyle name="注释 2 8 6 6 4 2" xfId="55250"/>
    <cellStyle name="注释 2 8 6 6 5" xfId="55251"/>
    <cellStyle name="注释 2 8 6 6 5 2" xfId="55252"/>
    <cellStyle name="注释 2 8 6 6 6" xfId="55253"/>
    <cellStyle name="注释 2 8 6 7" xfId="55254"/>
    <cellStyle name="注释 2 8 6 7 3 2" xfId="55255"/>
    <cellStyle name="注释 2 8 6 7 4" xfId="55256"/>
    <cellStyle name="注释 2 8 6 7 4 2" xfId="55257"/>
    <cellStyle name="注释 2 8 6 7 5" xfId="55258"/>
    <cellStyle name="注释 2 8 6 7 5 2" xfId="55259"/>
    <cellStyle name="注释 2 8 6 7 6" xfId="55260"/>
    <cellStyle name="注释 2 8 6 8" xfId="55261"/>
    <cellStyle name="注释 2 8 6 8 3 2" xfId="55262"/>
    <cellStyle name="注释 2 8 6 8 4" xfId="55263"/>
    <cellStyle name="注释 2 8 6 8 4 2" xfId="55264"/>
    <cellStyle name="注释 2 8 6 8 5" xfId="55265"/>
    <cellStyle name="注释 2 8 6 9" xfId="55266"/>
    <cellStyle name="注释 2 8 7 6 2" xfId="55267"/>
    <cellStyle name="注释 2 8 7 15" xfId="55268"/>
    <cellStyle name="注释 2 8 7 16" xfId="55269"/>
    <cellStyle name="注释 2 8 7 2 3" xfId="55270"/>
    <cellStyle name="注释 2 8 7 2 3 2" xfId="55271"/>
    <cellStyle name="注释 2 8 7 2 4 2" xfId="55272"/>
    <cellStyle name="注释 2 8 7 2 5" xfId="55273"/>
    <cellStyle name="注释 2 8 7 2 5 2" xfId="55274"/>
    <cellStyle name="注释 2 8 7 2 7" xfId="55275"/>
    <cellStyle name="注释 2 8 7 2 8" xfId="55276"/>
    <cellStyle name="注释 2 8 7 3 3 2" xfId="55277"/>
    <cellStyle name="注释 2 8 7 3 4 2" xfId="55278"/>
    <cellStyle name="注释 2 8 7 3 5" xfId="55279"/>
    <cellStyle name="注释 2 8 7 3 5 2" xfId="55280"/>
    <cellStyle name="注释 2 8 7 5 3 2" xfId="55281"/>
    <cellStyle name="注释 2 8 7 5 4" xfId="55282"/>
    <cellStyle name="注释 2 8 7 5 4 2" xfId="55283"/>
    <cellStyle name="注释 2 8 7 5 5" xfId="55284"/>
    <cellStyle name="注释 2 8 7 5 5 2" xfId="55285"/>
    <cellStyle name="注释 2 8 7 6" xfId="55286"/>
    <cellStyle name="注释 2 8 7 6 3 2" xfId="55287"/>
    <cellStyle name="注释 2 8 7 6 4" xfId="55288"/>
    <cellStyle name="注释 2 8 7 6 4 2" xfId="55289"/>
    <cellStyle name="注释 2 8 7 6 5" xfId="55290"/>
    <cellStyle name="注释 2 8 7 6 5 2" xfId="55291"/>
    <cellStyle name="注释 2 8 7 6 6" xfId="55292"/>
    <cellStyle name="注释 2 8 7 7" xfId="55293"/>
    <cellStyle name="注释 2 8 7 7 2" xfId="55294"/>
    <cellStyle name="注释 2 8 7 9" xfId="55295"/>
    <cellStyle name="注释 2 8 7 7 3" xfId="55296"/>
    <cellStyle name="注释 2 8 7 7 3 2" xfId="55297"/>
    <cellStyle name="注释 2 8 7 7 4" xfId="55298"/>
    <cellStyle name="注释 2 8 7 7 4 2" xfId="55299"/>
    <cellStyle name="注释 2 8 7 7 5" xfId="55300"/>
    <cellStyle name="注释 2 8 7 7 5 2" xfId="55301"/>
    <cellStyle name="注释 2 8 7 7 6" xfId="55302"/>
    <cellStyle name="注释 2 8 7 8" xfId="55303"/>
    <cellStyle name="注释 2 8 7 8 2" xfId="55304"/>
    <cellStyle name="注释 2 8 8 9" xfId="55305"/>
    <cellStyle name="注释 2 8 7 8 3" xfId="55306"/>
    <cellStyle name="注释 2 8 7 8 3 2" xfId="55307"/>
    <cellStyle name="注释 2 8 7 8 4" xfId="55308"/>
    <cellStyle name="注释 2 8 7 8 4 2" xfId="55309"/>
    <cellStyle name="注释 2 8 7 8 5" xfId="55310"/>
    <cellStyle name="注释 2 8 8 15" xfId="55311"/>
    <cellStyle name="注释 2 8 8 16" xfId="55312"/>
    <cellStyle name="注释 2 8 8 2 2" xfId="55313"/>
    <cellStyle name="注释 2 9 2 9" xfId="55314"/>
    <cellStyle name="注释 2 8 8 2 3" xfId="55315"/>
    <cellStyle name="注释 2 8 8 2 3 2" xfId="55316"/>
    <cellStyle name="注释 2 8 8 2 4 2" xfId="55317"/>
    <cellStyle name="注释 2 8 8 2 5" xfId="55318"/>
    <cellStyle name="注释 2 8 8 2 5 2" xfId="55319"/>
    <cellStyle name="注释 2 8 8 2 7" xfId="55320"/>
    <cellStyle name="注释 2 8 8 2 8" xfId="55321"/>
    <cellStyle name="注释 2 8 8 3 2" xfId="55322"/>
    <cellStyle name="注释 2 9 3 9" xfId="55323"/>
    <cellStyle name="注释 2 8 8 3 2 2" xfId="55324"/>
    <cellStyle name="注释 2 9 3 9 2" xfId="55325"/>
    <cellStyle name="注释 2 8 8 3 3 2" xfId="55326"/>
    <cellStyle name="注释 2 8 8 3 4 2" xfId="55327"/>
    <cellStyle name="注释 2 8 8 3 5" xfId="55328"/>
    <cellStyle name="注释 2 8 8 3 5 2" xfId="55329"/>
    <cellStyle name="注释 2 8 8 4 2 2" xfId="55330"/>
    <cellStyle name="注释 2 9 4 9 2" xfId="55331"/>
    <cellStyle name="注释 2 8 8 4 3 2" xfId="55332"/>
    <cellStyle name="注释 2 8 8 4 4 2" xfId="55333"/>
    <cellStyle name="注释 2 8 8 4 5" xfId="55334"/>
    <cellStyle name="注释 2 8 8 4 5 2" xfId="55335"/>
    <cellStyle name="注释 2 8 8 5 2" xfId="55336"/>
    <cellStyle name="注释 2 9 5 9" xfId="55337"/>
    <cellStyle name="注释 2 8 8 5 2 2" xfId="55338"/>
    <cellStyle name="注释 2 9 5 9 2" xfId="55339"/>
    <cellStyle name="注释 2 8 8 5 3 2" xfId="55340"/>
    <cellStyle name="注释 2 8 8 5 4" xfId="55341"/>
    <cellStyle name="注释 2 8 8 5 4 2" xfId="55342"/>
    <cellStyle name="注释 2 8 8 5 5" xfId="55343"/>
    <cellStyle name="注释 2 8 8 5 5 2" xfId="55344"/>
    <cellStyle name="注释 2 8 8 6" xfId="55345"/>
    <cellStyle name="注释 2 8 8 6 2" xfId="55346"/>
    <cellStyle name="注释 2 9 6 9" xfId="55347"/>
    <cellStyle name="注释 2 8 8 6 2 2" xfId="55348"/>
    <cellStyle name="注释 2 9 6 9 2" xfId="55349"/>
    <cellStyle name="注释 2 8 8 6 3 2" xfId="55350"/>
    <cellStyle name="注释 2 8 8 6 4" xfId="55351"/>
    <cellStyle name="注释 2 8 8 6 4 2" xfId="55352"/>
    <cellStyle name="注释 2 8 8 6 5" xfId="55353"/>
    <cellStyle name="注释 2 8 8 6 5 2" xfId="55354"/>
    <cellStyle name="注释 2 8 8 6 6" xfId="55355"/>
    <cellStyle name="注释 2 8 8 7" xfId="55356"/>
    <cellStyle name="注释 2 8 8 7 2" xfId="55357"/>
    <cellStyle name="注释 2 9 7 9" xfId="55358"/>
    <cellStyle name="注释 2 8 8 7 3" xfId="55359"/>
    <cellStyle name="注释 2 8 8 7 4" xfId="55360"/>
    <cellStyle name="注释 2 8 8 7 5" xfId="55361"/>
    <cellStyle name="注释 2 8 8 7 6" xfId="55362"/>
    <cellStyle name="注释 2 8 8 8" xfId="55363"/>
    <cellStyle name="注释 2 8 8 8 2" xfId="55364"/>
    <cellStyle name="注释 2 9 8 9" xfId="55365"/>
    <cellStyle name="注释 2 8 8 8 3" xfId="55366"/>
    <cellStyle name="注释 2 8 8 8 4" xfId="55367"/>
    <cellStyle name="注释 2 8 8 8 5" xfId="55368"/>
    <cellStyle name="注释 2 8 9 11" xfId="55369"/>
    <cellStyle name="注释 2 8 9 12 2" xfId="55370"/>
    <cellStyle name="注释 2 8 9 13" xfId="55371"/>
    <cellStyle name="注释 2 8 9 15" xfId="55372"/>
    <cellStyle name="注释 2 8 9 2 2" xfId="55373"/>
    <cellStyle name="注释 2 8 9 2 3" xfId="55374"/>
    <cellStyle name="注释 2 8 9 2 3 2" xfId="55375"/>
    <cellStyle name="注释 2 8 9 2 4 2" xfId="55376"/>
    <cellStyle name="注释 2 8 9 2 5" xfId="55377"/>
    <cellStyle name="注释 2 8 9 2 5 2" xfId="55378"/>
    <cellStyle name="注释 2 8 9 2 7" xfId="55379"/>
    <cellStyle name="注释 2 8 9 2 8" xfId="55380"/>
    <cellStyle name="注释 2 8 9 3 2 2" xfId="55381"/>
    <cellStyle name="注释 2 8 9 3 3 2" xfId="55382"/>
    <cellStyle name="注释 2 8 9 3 4 2" xfId="55383"/>
    <cellStyle name="注释 2 8 9 3 5" xfId="55384"/>
    <cellStyle name="注释 2 8 9 3 5 2" xfId="55385"/>
    <cellStyle name="注释 2 8 9 4 2 2" xfId="55386"/>
    <cellStyle name="注释 2 8 9 4 3 2" xfId="55387"/>
    <cellStyle name="注释 2 8 9 4 4 2" xfId="55388"/>
    <cellStyle name="注释 2 8 9 4 5" xfId="55389"/>
    <cellStyle name="注释 2 8 9 4 5 2" xfId="55390"/>
    <cellStyle name="注释 2 8 9 5 3 2" xfId="55391"/>
    <cellStyle name="注释 2 8 9 5 4" xfId="55392"/>
    <cellStyle name="注释 2 8 9 5 4 2" xfId="55393"/>
    <cellStyle name="注释 2 8 9 5 5" xfId="55394"/>
    <cellStyle name="注释 2 8 9 5 5 2" xfId="55395"/>
    <cellStyle name="注释 2 8 9 6 2" xfId="55396"/>
    <cellStyle name="注释 2 8 9 6 3 2" xfId="55397"/>
    <cellStyle name="注释 2 8 9 6 4" xfId="55398"/>
    <cellStyle name="注释 2 8 9 6 4 2" xfId="55399"/>
    <cellStyle name="注释 2 8 9 6 5" xfId="55400"/>
    <cellStyle name="注释 2 8 9 6 5 2" xfId="55401"/>
    <cellStyle name="注释 2 8 9 6 6" xfId="55402"/>
    <cellStyle name="注释 2 8 9 8 2" xfId="55403"/>
    <cellStyle name="注释 2 8 9 8 3" xfId="55404"/>
    <cellStyle name="注释 2 8 9 8 3 2" xfId="55405"/>
    <cellStyle name="注释 2 8 9 8 4" xfId="55406"/>
    <cellStyle name="注释 2 8 9 8 4 2" xfId="55407"/>
    <cellStyle name="注释 2 8 9 8 5" xfId="55408"/>
    <cellStyle name="注释 2 8 9 9 2" xfId="55409"/>
    <cellStyle name="注释 2 9" xfId="55410"/>
    <cellStyle name="注释 2 9 10" xfId="55411"/>
    <cellStyle name="注释 2 9 10 10 2" xfId="55412"/>
    <cellStyle name="注释 2 9 10 11" xfId="55413"/>
    <cellStyle name="注释 2 9 10 11 2" xfId="55414"/>
    <cellStyle name="注释 2 9 10 12" xfId="55415"/>
    <cellStyle name="注释 2 9 10 12 2" xfId="55416"/>
    <cellStyle name="注释 2 9 10 13" xfId="55417"/>
    <cellStyle name="注释 2 9 10 15" xfId="55418"/>
    <cellStyle name="注释 2 9 10 16" xfId="55419"/>
    <cellStyle name="注释 2 9 10 2" xfId="55420"/>
    <cellStyle name="注释 2 9 10 2 2" xfId="55421"/>
    <cellStyle name="注释 2 9 10 2 2 2" xfId="55422"/>
    <cellStyle name="注释 2 9 10 2 3" xfId="55423"/>
    <cellStyle name="注释 2 9 10 2 3 2" xfId="55424"/>
    <cellStyle name="注释 2 9 10 2 4 2" xfId="55425"/>
    <cellStyle name="注释 2 9 10 2 5 2" xfId="55426"/>
    <cellStyle name="注释 2 9 10 2 6" xfId="55427"/>
    <cellStyle name="注释 2 9 10 2 7" xfId="55428"/>
    <cellStyle name="注释 2 9 10 3 2" xfId="55429"/>
    <cellStyle name="注释 2 9 10 3 3" xfId="55430"/>
    <cellStyle name="注释 2 9 10 3 3 2" xfId="55431"/>
    <cellStyle name="注释 2 9 10 3 4" xfId="55432"/>
    <cellStyle name="注释 2 9 10 3 4 2" xfId="55433"/>
    <cellStyle name="注释 2 9 10 3 5" xfId="55434"/>
    <cellStyle name="注释 2 9 10 3 5 2" xfId="55435"/>
    <cellStyle name="注释 2 9 10 4" xfId="55436"/>
    <cellStyle name="注释 2 9 10 4 2" xfId="55437"/>
    <cellStyle name="注释 2 9 10 4 2 2" xfId="55438"/>
    <cellStyle name="注释 2 9 10 4 3" xfId="55439"/>
    <cellStyle name="注释 2 9 10 4 3 2" xfId="55440"/>
    <cellStyle name="注释 2 9 10 4 4" xfId="55441"/>
    <cellStyle name="注释 2 9 10 4 5" xfId="55442"/>
    <cellStyle name="注释 2 9 10 5 2" xfId="55443"/>
    <cellStyle name="注释 2 9 10 5 2 2" xfId="55444"/>
    <cellStyle name="注释 2 9 10 5 3" xfId="55445"/>
    <cellStyle name="注释 2 9 10 5 3 2" xfId="55446"/>
    <cellStyle name="注释 2 9 10 5 4" xfId="55447"/>
    <cellStyle name="注释 2 9 10 5 4 2" xfId="55448"/>
    <cellStyle name="注释 2 9 10 5 5" xfId="55449"/>
    <cellStyle name="注释 2 9 10 5 5 2" xfId="55450"/>
    <cellStyle name="注释 2 9 10 6 2" xfId="55451"/>
    <cellStyle name="注释 2 9 10 6 3" xfId="55452"/>
    <cellStyle name="注释 2 9 10 6 4" xfId="55453"/>
    <cellStyle name="注释 2 9 10 6 5" xfId="55454"/>
    <cellStyle name="注释 2 9 10 7" xfId="55455"/>
    <cellStyle name="注释 2 9 10 7 2" xfId="55456"/>
    <cellStyle name="注释 2 9 10 7 3" xfId="55457"/>
    <cellStyle name="注释 2 9 10 7 4" xfId="55458"/>
    <cellStyle name="注释 2 9 10 7 5" xfId="55459"/>
    <cellStyle name="注释 2 9 10 8 3" xfId="55460"/>
    <cellStyle name="注释 2 9 10 8 4" xfId="55461"/>
    <cellStyle name="注释 2 9 10 8 5" xfId="55462"/>
    <cellStyle name="注释 2 9 11" xfId="55463"/>
    <cellStyle name="注释 2 9 11 11" xfId="55464"/>
    <cellStyle name="注释 2 9 11 11 2" xfId="55465"/>
    <cellStyle name="注释 2 9 11 12" xfId="55466"/>
    <cellStyle name="注释 2 9 11 12 2" xfId="55467"/>
    <cellStyle name="注释 2 9 11 13" xfId="55468"/>
    <cellStyle name="注释 2 9 11 15" xfId="55469"/>
    <cellStyle name="注释 2 9 11 2 3 2" xfId="55470"/>
    <cellStyle name="注释 2 9 11 2 4" xfId="55471"/>
    <cellStyle name="注释 2 9 11 2 4 2" xfId="55472"/>
    <cellStyle name="注释 2 9 11 2 5" xfId="55473"/>
    <cellStyle name="注释 2 9 11 2 5 2" xfId="55474"/>
    <cellStyle name="注释 2 9 11 2 6" xfId="55475"/>
    <cellStyle name="注释 2 9 11 3" xfId="55476"/>
    <cellStyle name="注释 2 9 11 3 2" xfId="55477"/>
    <cellStyle name="注释 2 9 11 3 3" xfId="55478"/>
    <cellStyle name="注释 2 9 11 3 3 2" xfId="55479"/>
    <cellStyle name="注释 2 9 11 3 4" xfId="55480"/>
    <cellStyle name="注释 2 9 11 3 4 2" xfId="55481"/>
    <cellStyle name="注释 2 9 11 3 5" xfId="55482"/>
    <cellStyle name="注释 2 9 11 3 5 2" xfId="55483"/>
    <cellStyle name="注释 2 9 11 4" xfId="55484"/>
    <cellStyle name="注释 2 9 11 4 2" xfId="55485"/>
    <cellStyle name="注释 2 9 11 4 2 2" xfId="55486"/>
    <cellStyle name="注释 2 9 11 4 3" xfId="55487"/>
    <cellStyle name="注释 2 9 11 4 3 2" xfId="55488"/>
    <cellStyle name="注释 2 9 11 4 4" xfId="55489"/>
    <cellStyle name="注释 2 9 11 4 4 2" xfId="55490"/>
    <cellStyle name="注释 2 9 11 4 5" xfId="55491"/>
    <cellStyle name="注释 2 9 11 5 2" xfId="55492"/>
    <cellStyle name="注释 2 9 11 5 2 2" xfId="55493"/>
    <cellStyle name="注释 2 9 11 5 3" xfId="55494"/>
    <cellStyle name="注释 2 9 11 5 3 2" xfId="55495"/>
    <cellStyle name="注释 2 9 11 5 4" xfId="55496"/>
    <cellStyle name="注释 2 9 11 5 4 2" xfId="55497"/>
    <cellStyle name="注释 2 9 11 5 5" xfId="55498"/>
    <cellStyle name="注释 2 9 11 5 5 2" xfId="55499"/>
    <cellStyle name="注释 2 9 11 6" xfId="55500"/>
    <cellStyle name="注释 2 9 11 6 2" xfId="55501"/>
    <cellStyle name="注释 2 9 11 6 2 2" xfId="55502"/>
    <cellStyle name="注释 2 9 11 6 3" xfId="55503"/>
    <cellStyle name="注释 2 9 11 6 3 2" xfId="55504"/>
    <cellStyle name="注释 2 9 11 6 4" xfId="55505"/>
    <cellStyle name="注释 2 9 11 6 4 2" xfId="55506"/>
    <cellStyle name="注释 2 9 11 6 5" xfId="55507"/>
    <cellStyle name="注释 2 9 11 6 5 2" xfId="55508"/>
    <cellStyle name="注释 2 9 11 7" xfId="55509"/>
    <cellStyle name="注释 2 9 11 7 2" xfId="55510"/>
    <cellStyle name="注释 2 9 11 7 3" xfId="55511"/>
    <cellStyle name="注释 2 9 11 7 4" xfId="55512"/>
    <cellStyle name="注释 2 9 11 7 5" xfId="55513"/>
    <cellStyle name="注释 2 9 11 8 2 2" xfId="55514"/>
    <cellStyle name="注释 2 9 11 8 3" xfId="55515"/>
    <cellStyle name="注释 2 9 11 8 3 2" xfId="55516"/>
    <cellStyle name="注释 2 9 11 8 4" xfId="55517"/>
    <cellStyle name="注释 2 9 11 8 4 2" xfId="55518"/>
    <cellStyle name="注释 2 9 11 8 5" xfId="55519"/>
    <cellStyle name="注释 2 9 12" xfId="55520"/>
    <cellStyle name="注释 2 9 12 2" xfId="55521"/>
    <cellStyle name="注释 2 9 12 2 2" xfId="55522"/>
    <cellStyle name="注释 2 9 12 3" xfId="55523"/>
    <cellStyle name="注释 2 9 12 3 2" xfId="55524"/>
    <cellStyle name="注释 2 9 12 4" xfId="55525"/>
    <cellStyle name="注释 2 9 12 4 2" xfId="55526"/>
    <cellStyle name="注释 2 9 12 5 2" xfId="55527"/>
    <cellStyle name="注释 2 9 12 6" xfId="55528"/>
    <cellStyle name="注释 2 9 12 7" xfId="55529"/>
    <cellStyle name="注释 2 9 13 2" xfId="55530"/>
    <cellStyle name="注释 2 9 13 2 2" xfId="55531"/>
    <cellStyle name="注释 2 9 13 3" xfId="55532"/>
    <cellStyle name="注释 2 9 13 3 2" xfId="55533"/>
    <cellStyle name="注释 2 9 13 4" xfId="55534"/>
    <cellStyle name="注释 2 9 13 4 2" xfId="55535"/>
    <cellStyle name="注释 2 9 13 5" xfId="55536"/>
    <cellStyle name="注释 2 9 13 5 2" xfId="55537"/>
    <cellStyle name="注释 2 9 13 6" xfId="55538"/>
    <cellStyle name="注释 2 9 17 5 2" xfId="55539"/>
    <cellStyle name="注释 2 9 17 6" xfId="55540"/>
    <cellStyle name="注释 2 9 18 2 2" xfId="55541"/>
    <cellStyle name="注释 2 9 18 3 2" xfId="55542"/>
    <cellStyle name="注释 2 9 18 4 2" xfId="55543"/>
    <cellStyle name="注释 2 9 18 5" xfId="55544"/>
    <cellStyle name="注释 2 9 18 5 2" xfId="55545"/>
    <cellStyle name="注释 2 9 18 6" xfId="55546"/>
    <cellStyle name="注释 2 9 19 2 2" xfId="55547"/>
    <cellStyle name="注释 2 9 19 3" xfId="55548"/>
    <cellStyle name="注释 2 9 19 3 2" xfId="55549"/>
    <cellStyle name="注释 2 9 2" xfId="55550"/>
    <cellStyle name="注释 2 9 2 10" xfId="55551"/>
    <cellStyle name="注释 2 9 2 10 2" xfId="55552"/>
    <cellStyle name="注释 2 9 2 11" xfId="55553"/>
    <cellStyle name="注释 2 9 2 11 2" xfId="55554"/>
    <cellStyle name="注释 2 9 2 12" xfId="55555"/>
    <cellStyle name="注释 2 9 2 12 2" xfId="55556"/>
    <cellStyle name="注释 2 9 2 13" xfId="55557"/>
    <cellStyle name="注释 2 9 2 15" xfId="55558"/>
    <cellStyle name="注释 2 9 2 2" xfId="55559"/>
    <cellStyle name="注释 2 9 2 2 2" xfId="55560"/>
    <cellStyle name="注释 2 9 2 2 2 2" xfId="55561"/>
    <cellStyle name="注释 2 9 2 2 3" xfId="55562"/>
    <cellStyle name="注释 2 9 2 2 3 2" xfId="55563"/>
    <cellStyle name="注释 2 9 2 2 4 2" xfId="55564"/>
    <cellStyle name="注释 2 9 2 2 5" xfId="55565"/>
    <cellStyle name="注释 2 9 2 2 5 2" xfId="55566"/>
    <cellStyle name="注释 2 9 2 3" xfId="55567"/>
    <cellStyle name="注释 2 9 2 3 3 2" xfId="55568"/>
    <cellStyle name="注释 2 9 2 3 4 2" xfId="55569"/>
    <cellStyle name="注释 2 9 2 3 5 2" xfId="55570"/>
    <cellStyle name="注释 2 9 2 4" xfId="55571"/>
    <cellStyle name="注释 2 9 3 7 2 2" xfId="55572"/>
    <cellStyle name="注释 2 9 2 4 3 2" xfId="55573"/>
    <cellStyle name="注释 2 9 2 4 4 2" xfId="55574"/>
    <cellStyle name="注释 2 9 2 4 5" xfId="55575"/>
    <cellStyle name="注释 2 9 2 5 3 2" xfId="55576"/>
    <cellStyle name="注释 2 9 2 5 4 2" xfId="55577"/>
    <cellStyle name="注释 2 9 2 5 5" xfId="55578"/>
    <cellStyle name="注释 2 9 2 5 5 2" xfId="55579"/>
    <cellStyle name="注释 2 9 2 6" xfId="55580"/>
    <cellStyle name="注释 2 9 2 6 3 2" xfId="55581"/>
    <cellStyle name="注释 2 9 2 6 4" xfId="55582"/>
    <cellStyle name="注释 2 9 2 6 5" xfId="55583"/>
    <cellStyle name="注释 2 9 2 6 5 2" xfId="55584"/>
    <cellStyle name="注释 2 9 2 7" xfId="55585"/>
    <cellStyle name="注释 2 9 2 7 3 2" xfId="55586"/>
    <cellStyle name="注释 2 9 2 7 4" xfId="55587"/>
    <cellStyle name="注释 2 9 2 7 5" xfId="55588"/>
    <cellStyle name="注释 2 9 2 7 5 2" xfId="55589"/>
    <cellStyle name="注释 2 9 2 8" xfId="55590"/>
    <cellStyle name="注释 2 9 2 8 3 2" xfId="55591"/>
    <cellStyle name="注释 2 9 2 8 4" xfId="55592"/>
    <cellStyle name="注释 2 9 2 8 4 2" xfId="55593"/>
    <cellStyle name="注释 2 9 2 8 5" xfId="55594"/>
    <cellStyle name="注释 2 9 27" xfId="55595"/>
    <cellStyle name="注释 2 9 3 12 2" xfId="55596"/>
    <cellStyle name="注释 2 9 3 2" xfId="55597"/>
    <cellStyle name="注释 2 9 3 2 2" xfId="55598"/>
    <cellStyle name="注释 2 9 3 2 3" xfId="55599"/>
    <cellStyle name="注释 2 9 3 2 5" xfId="55600"/>
    <cellStyle name="注释 2 9 3 3" xfId="55601"/>
    <cellStyle name="注释 2 9 3 3 2" xfId="55602"/>
    <cellStyle name="注释 2 9 3 3 3" xfId="55603"/>
    <cellStyle name="注释 2 9 3 3 5" xfId="55604"/>
    <cellStyle name="注释 2 9 3 4" xfId="55605"/>
    <cellStyle name="注释 2 9 3 7 3 2" xfId="55606"/>
    <cellStyle name="注释 2 9 3 4 2" xfId="55607"/>
    <cellStyle name="注释 2 9 3 4 3" xfId="55608"/>
    <cellStyle name="注释 2 9 3 4 5" xfId="55609"/>
    <cellStyle name="注释 2 9 3 5" xfId="55610"/>
    <cellStyle name="注释 2 9 3 5 2" xfId="55611"/>
    <cellStyle name="注释 2 9 3 5 3" xfId="55612"/>
    <cellStyle name="注释 2 9 3 5 5" xfId="55613"/>
    <cellStyle name="注释 2 9 3 6 2" xfId="55614"/>
    <cellStyle name="注释 2 9 3 6 3" xfId="55615"/>
    <cellStyle name="注释 2 9 3 6 4" xfId="55616"/>
    <cellStyle name="注释 2 9 3 7" xfId="55617"/>
    <cellStyle name="注释 2 9 3 7 2" xfId="55618"/>
    <cellStyle name="注释 2 9 3 7 4" xfId="55619"/>
    <cellStyle name="注释 2 9 3 7 5 2" xfId="55620"/>
    <cellStyle name="注释 2 9 5 4" xfId="55621"/>
    <cellStyle name="注释 2 9 3 8" xfId="55622"/>
    <cellStyle name="注释 2 9 3 8 2" xfId="55623"/>
    <cellStyle name="注释 2 9 3 8 2 2" xfId="55624"/>
    <cellStyle name="注释 2 9 3 8 3 2" xfId="55625"/>
    <cellStyle name="注释 2 9 3 8 4" xfId="55626"/>
    <cellStyle name="注释 2 9 3 8 4 2" xfId="55627"/>
    <cellStyle name="注释 2 9 4 12 2" xfId="55628"/>
    <cellStyle name="注释 2 9 4 13" xfId="55629"/>
    <cellStyle name="注释 2 9 4 2 2" xfId="55630"/>
    <cellStyle name="注释 2 9 4 2 2 2" xfId="55631"/>
    <cellStyle name="注释 2 9 4 2 3" xfId="55632"/>
    <cellStyle name="注释 2 9 4 2 3 2" xfId="55633"/>
    <cellStyle name="注释 2 9 4 2 4 2" xfId="55634"/>
    <cellStyle name="注释 2 9 4 2 5" xfId="55635"/>
    <cellStyle name="注释 2 9 4 2 8" xfId="55636"/>
    <cellStyle name="注释 2 9 4 2 9" xfId="55637"/>
    <cellStyle name="注释 2 9 4 3 2 2" xfId="55638"/>
    <cellStyle name="注释 2 9 4 3 3" xfId="55639"/>
    <cellStyle name="注释 2 9 4 3 3 2" xfId="55640"/>
    <cellStyle name="注释 2 9 4 3 4 2" xfId="55641"/>
    <cellStyle name="注释 2 9 4 3 5" xfId="55642"/>
    <cellStyle name="注释 2 9 4 3 5 2" xfId="55643"/>
    <cellStyle name="注释 2 9 4 3 6" xfId="55644"/>
    <cellStyle name="注释 2 9 4 4 2 2" xfId="55645"/>
    <cellStyle name="注释 2 9 4 4 3" xfId="55646"/>
    <cellStyle name="注释 2 9 4 4 3 2" xfId="55647"/>
    <cellStyle name="注释 2 9 4 4 4 2" xfId="55648"/>
    <cellStyle name="注释 2 9 4 4 5" xfId="55649"/>
    <cellStyle name="注释 2 9 4 4 5 2" xfId="55650"/>
    <cellStyle name="注释 2 9 4 5 2 2" xfId="55651"/>
    <cellStyle name="注释 2 9 4 5 3" xfId="55652"/>
    <cellStyle name="注释 2 9 4 5 3 2" xfId="55653"/>
    <cellStyle name="注释 2 9 4 5 4 2" xfId="55654"/>
    <cellStyle name="注释 2 9 4 5 5" xfId="55655"/>
    <cellStyle name="注释 2 9 4 5 5 2" xfId="55656"/>
    <cellStyle name="注释 2 9 4 6 2" xfId="55657"/>
    <cellStyle name="注释 2 9 4 6 2 2" xfId="55658"/>
    <cellStyle name="注释 2 9 4 6 3" xfId="55659"/>
    <cellStyle name="注释 2 9 4 6 3 2" xfId="55660"/>
    <cellStyle name="注释 2 9 4 6 4" xfId="55661"/>
    <cellStyle name="注释 2 9 4 6 4 2" xfId="55662"/>
    <cellStyle name="注释 2 9 4 6 5" xfId="55663"/>
    <cellStyle name="注释 2 9 4 7 2" xfId="55664"/>
    <cellStyle name="注释 2 9 4 7 3 2" xfId="55665"/>
    <cellStyle name="注释 2 9 4 7 4" xfId="55666"/>
    <cellStyle name="注释 2 9 4 7 4 2" xfId="55667"/>
    <cellStyle name="注释 2 9 4 7 5" xfId="55668"/>
    <cellStyle name="注释 2 9 4 8 2" xfId="55669"/>
    <cellStyle name="注释 2 9 4 8 2 2" xfId="55670"/>
    <cellStyle name="注释 2 9 4 8 3 2" xfId="55671"/>
    <cellStyle name="注释 2 9 4 8 4" xfId="55672"/>
    <cellStyle name="注释 2 9 4 8 4 2" xfId="55673"/>
    <cellStyle name="注释 2 9 4 8 5" xfId="55674"/>
    <cellStyle name="注释 2 9 5 10" xfId="55675"/>
    <cellStyle name="注释 2 9 5 10 2" xfId="55676"/>
    <cellStyle name="注释 2 9 5 11" xfId="55677"/>
    <cellStyle name="注释 2 9 5 11 2" xfId="55678"/>
    <cellStyle name="注释 2 9 5 12" xfId="55679"/>
    <cellStyle name="注释 2 9 5 12 2" xfId="55680"/>
    <cellStyle name="注释 2 9 5 13" xfId="55681"/>
    <cellStyle name="注释 2 9 5 14" xfId="55682"/>
    <cellStyle name="注释 2 9 5 15" xfId="55683"/>
    <cellStyle name="注释 2 9 5 2 2" xfId="55684"/>
    <cellStyle name="注释 2 9 5 2 2 2" xfId="55685"/>
    <cellStyle name="注释 2 9 5 2 3" xfId="55686"/>
    <cellStyle name="注释 2 9 5 2 4 2" xfId="55687"/>
    <cellStyle name="注释 2 9 5 2 5" xfId="55688"/>
    <cellStyle name="注释 2 9 5 2 6" xfId="55689"/>
    <cellStyle name="注释 2 9 5 2 7" xfId="55690"/>
    <cellStyle name="注释 2 9 5 2 8" xfId="55691"/>
    <cellStyle name="注释 2 9 5 2 9" xfId="55692"/>
    <cellStyle name="注释 2 9 5 3" xfId="55693"/>
    <cellStyle name="注释 2 9 5 3 2" xfId="55694"/>
    <cellStyle name="注释 2 9 5 3 2 2" xfId="55695"/>
    <cellStyle name="注释 2 9 5 3 5" xfId="55696"/>
    <cellStyle name="注释 2 9 5 3 6" xfId="55697"/>
    <cellStyle name="注释 2 9 5 4 2" xfId="55698"/>
    <cellStyle name="注释 2 9 5 4 2 2" xfId="55699"/>
    <cellStyle name="注释 2 9 5 4 3 2" xfId="55700"/>
    <cellStyle name="注释 2 9 5 4 5" xfId="55701"/>
    <cellStyle name="注释 2 9 5 5" xfId="55702"/>
    <cellStyle name="注释 2 9 5 5 2" xfId="55703"/>
    <cellStyle name="注释 2 9 5 5 2 2" xfId="55704"/>
    <cellStyle name="注释 2 9 5 5 3 2" xfId="55705"/>
    <cellStyle name="注释 2 9 5 5 5" xfId="55706"/>
    <cellStyle name="注释 2 9 5 6 2" xfId="55707"/>
    <cellStyle name="注释 2 9 5 6 2 2" xfId="55708"/>
    <cellStyle name="注释 2 9 5 6 3 2" xfId="55709"/>
    <cellStyle name="注释 2 9 5 6 4" xfId="55710"/>
    <cellStyle name="注释 2 9 5 6 5" xfId="55711"/>
    <cellStyle name="注释 2 9 5 7" xfId="55712"/>
    <cellStyle name="注释 2 9 5 7 2" xfId="55713"/>
    <cellStyle name="注释 2 9 5 7 2 2" xfId="55714"/>
    <cellStyle name="注释 2 9 5 7 4" xfId="55715"/>
    <cellStyle name="注释 2 9 5 7 5" xfId="55716"/>
    <cellStyle name="注释 2 9 5 7 6" xfId="55717"/>
    <cellStyle name="注释 2 9 5 8" xfId="55718"/>
    <cellStyle name="注释 2 9 5 8 2" xfId="55719"/>
    <cellStyle name="注释 2 9 5 8 2 2" xfId="55720"/>
    <cellStyle name="注释 2 9 5 8 4" xfId="55721"/>
    <cellStyle name="注释 2 9 5 8 5" xfId="55722"/>
    <cellStyle name="注释 2 9 6 10" xfId="55723"/>
    <cellStyle name="注释 2 9 6 10 2" xfId="55724"/>
    <cellStyle name="注释 2 9 6 11" xfId="55725"/>
    <cellStyle name="注释 2 9 6 11 2" xfId="55726"/>
    <cellStyle name="注释 2 9 6 12" xfId="55727"/>
    <cellStyle name="注释 2 9 6 12 2" xfId="55728"/>
    <cellStyle name="注释 2 9 6 13" xfId="55729"/>
    <cellStyle name="注释 2 9 6 14" xfId="55730"/>
    <cellStyle name="注释 2 9 6 15" xfId="55731"/>
    <cellStyle name="注释 2 9 6 2 2" xfId="55732"/>
    <cellStyle name="注释 2 9 6 2 2 2" xfId="55733"/>
    <cellStyle name="注释 2 9 6 2 3" xfId="55734"/>
    <cellStyle name="注释 2 9 6 2 4 2" xfId="55735"/>
    <cellStyle name="注释 2 9 6 2 5" xfId="55736"/>
    <cellStyle name="注释 2 9 6 2 5 2" xfId="55737"/>
    <cellStyle name="注释 2 9 6 2 6" xfId="55738"/>
    <cellStyle name="注释 2 9 6 2 7" xfId="55739"/>
    <cellStyle name="注释 2 9 6 2 8" xfId="55740"/>
    <cellStyle name="注释 2 9 6 2 9" xfId="55741"/>
    <cellStyle name="注释 2 9 6 3" xfId="55742"/>
    <cellStyle name="注释 2 9 6 3 2" xfId="55743"/>
    <cellStyle name="注释 2 9 6 3 2 2" xfId="55744"/>
    <cellStyle name="注释 2 9 6 3 4 2" xfId="55745"/>
    <cellStyle name="注释 2 9 6 3 5" xfId="55746"/>
    <cellStyle name="注释 2 9 6 3 5 2" xfId="55747"/>
    <cellStyle name="注释 2 9 6 3 6" xfId="55748"/>
    <cellStyle name="注释 2 9 6 4 2" xfId="55749"/>
    <cellStyle name="注释 2 9 6 4 4 2" xfId="55750"/>
    <cellStyle name="注释 2 9 6 4 5" xfId="55751"/>
    <cellStyle name="注释 2 9 6 4 5 2" xfId="55752"/>
    <cellStyle name="注释 2 9 6 4 6" xfId="55753"/>
    <cellStyle name="注释 2 9 6 5 2" xfId="55754"/>
    <cellStyle name="注释 2 9 6 5 2 2" xfId="55755"/>
    <cellStyle name="注释 2 9 6 5 3 2" xfId="55756"/>
    <cellStyle name="注释 2 9 6 5 4" xfId="55757"/>
    <cellStyle name="注释 2 9 6 5 4 2" xfId="55758"/>
    <cellStyle name="注释 2 9 6 5 5" xfId="55759"/>
    <cellStyle name="注释 2 9 6 5 5 2" xfId="55760"/>
    <cellStyle name="注释 2 9 6 5 6" xfId="55761"/>
    <cellStyle name="注释 2 9 6 6 2" xfId="55762"/>
    <cellStyle name="注释 2 9 6 6 2 2" xfId="55763"/>
    <cellStyle name="注释 2 9 6 6 3 2" xfId="55764"/>
    <cellStyle name="注释 2 9 6 6 4" xfId="55765"/>
    <cellStyle name="注释 2 9 6 6 4 2" xfId="55766"/>
    <cellStyle name="注释 2 9 6 6 5" xfId="55767"/>
    <cellStyle name="注释 2 9 6 6 5 2" xfId="55768"/>
    <cellStyle name="注释 2 9 6 6 6" xfId="55769"/>
    <cellStyle name="注释 2 9 6 7" xfId="55770"/>
    <cellStyle name="注释 2 9 6 7 2" xfId="55771"/>
    <cellStyle name="注释 2 9 6 7 2 2" xfId="55772"/>
    <cellStyle name="注释 2 9 6 7 4" xfId="55773"/>
    <cellStyle name="注释 2 9 6 7 4 2" xfId="55774"/>
    <cellStyle name="注释 2 9 6 7 5" xfId="55775"/>
    <cellStyle name="注释 2 9 6 7 5 2" xfId="55776"/>
    <cellStyle name="注释 2 9 6 7 6" xfId="55777"/>
    <cellStyle name="注释 2 9 6 8" xfId="55778"/>
    <cellStyle name="注释 2 9 6 8 2" xfId="55779"/>
    <cellStyle name="注释 2 9 6 8 2 2" xfId="55780"/>
    <cellStyle name="注释 2 9 6 8 4" xfId="55781"/>
    <cellStyle name="注释 2 9 6 8 4 2" xfId="55782"/>
    <cellStyle name="注释 2 9 6 8 5" xfId="55783"/>
    <cellStyle name="注释 2 9 7 10" xfId="55784"/>
    <cellStyle name="注释 2 9 7 11" xfId="55785"/>
    <cellStyle name="注释 2 9 7 12" xfId="55786"/>
    <cellStyle name="注释 2 9 7 13" xfId="55787"/>
    <cellStyle name="注释 2 9 7 15" xfId="55788"/>
    <cellStyle name="注释 2 9 7 2 2" xfId="55789"/>
    <cellStyle name="注释 2 9 7 2 2 2" xfId="55790"/>
    <cellStyle name="注释 2 9 7 3" xfId="55791"/>
    <cellStyle name="注释 2 9 7 3 2" xfId="55792"/>
    <cellStyle name="注释 2 9 7 3 2 2" xfId="55793"/>
    <cellStyle name="注释 2 9 7 4 2" xfId="55794"/>
    <cellStyle name="注释 2 9 7 5 2" xfId="55795"/>
    <cellStyle name="注释 2 9 7 5 2 2" xfId="55796"/>
    <cellStyle name="注释 2 9 7 6" xfId="55797"/>
    <cellStyle name="注释 2 9 7 6 2" xfId="55798"/>
    <cellStyle name="注释 2 9 7 6 2 2" xfId="55799"/>
    <cellStyle name="注释 2 9 7 7" xfId="55800"/>
    <cellStyle name="注释 2 9 7 7 2" xfId="55801"/>
    <cellStyle name="注释 2 9 7 7 2 2" xfId="55802"/>
    <cellStyle name="注释 2 9 7 8" xfId="55803"/>
    <cellStyle name="注释 2 9 8 2 2" xfId="55804"/>
    <cellStyle name="注释 2 9 8 2 3" xfId="55805"/>
    <cellStyle name="注释 2 9 8 2 3 2" xfId="55806"/>
    <cellStyle name="注释 2 9 8 2 4" xfId="55807"/>
    <cellStyle name="注释 2 9 8 2 4 2" xfId="55808"/>
    <cellStyle name="注释 2 9 8 2 5" xfId="55809"/>
    <cellStyle name="注释 2 9 8 2 5 2" xfId="55810"/>
    <cellStyle name="注释 2 9 8 2 6" xfId="55811"/>
    <cellStyle name="注释 2 9 8 2 7" xfId="55812"/>
    <cellStyle name="注释 2 9 8 2 8" xfId="55813"/>
    <cellStyle name="注释 2 9 8 3" xfId="55814"/>
    <cellStyle name="注释 2 9 8 3 2" xfId="55815"/>
    <cellStyle name="注释 2 9 8 3 2 2" xfId="55816"/>
    <cellStyle name="注释 2 9 8 3 3 2" xfId="55817"/>
    <cellStyle name="注释 2 9 8 3 4" xfId="55818"/>
    <cellStyle name="注释 2 9 8 3 4 2" xfId="55819"/>
    <cellStyle name="注释 2 9 8 3 5" xfId="55820"/>
    <cellStyle name="注释 2 9 8 3 5 2" xfId="55821"/>
    <cellStyle name="注释 2 9 8 4 2" xfId="55822"/>
    <cellStyle name="注释 2 9 8 4 3 2" xfId="55823"/>
    <cellStyle name="注释 2 9 8 4 4" xfId="55824"/>
    <cellStyle name="注释 2 9 8 4 4 2" xfId="55825"/>
    <cellStyle name="注释 2 9 8 4 5" xfId="55826"/>
    <cellStyle name="注释 2 9 8 4 5 2" xfId="55827"/>
    <cellStyle name="注释 2 9 8 5 2" xfId="55828"/>
    <cellStyle name="注释 2 9 8 5 3 2" xfId="55829"/>
    <cellStyle name="注释 2 9 8 5 4" xfId="55830"/>
    <cellStyle name="注释 2 9 8 5 4 2" xfId="55831"/>
    <cellStyle name="注释 2 9 8 5 5" xfId="55832"/>
    <cellStyle name="注释 2 9 8 5 5 2" xfId="55833"/>
    <cellStyle name="注释 2 9 8 6" xfId="55834"/>
    <cellStyle name="注释 2 9 8 6 2" xfId="55835"/>
    <cellStyle name="注释 2 9 8 6 3 2" xfId="55836"/>
    <cellStyle name="注释 2 9 8 6 4" xfId="55837"/>
    <cellStyle name="注释 2 9 8 6 4 2" xfId="55838"/>
    <cellStyle name="注释 2 9 8 6 5" xfId="55839"/>
    <cellStyle name="注释 2 9 8 6 5 2" xfId="55840"/>
    <cellStyle name="注释 2 9 8 7" xfId="55841"/>
    <cellStyle name="注释 2 9 8 7 2" xfId="55842"/>
    <cellStyle name="注释 2 9 8 7 3" xfId="55843"/>
    <cellStyle name="注释 2 9 8 7 3 2" xfId="55844"/>
    <cellStyle name="注释 2 9 8 7 4" xfId="55845"/>
    <cellStyle name="注释 2 9 8 7 4 2" xfId="55846"/>
    <cellStyle name="注释 2 9 8 7 5" xfId="55847"/>
    <cellStyle name="注释 2 9 8 7 5 2" xfId="55848"/>
    <cellStyle name="注释 2 9 8 8" xfId="55849"/>
    <cellStyle name="注释 2 9 8 8 3 2" xfId="55850"/>
    <cellStyle name="注释 2 9 8 8 4" xfId="55851"/>
    <cellStyle name="注释 2 9 8 8 4 2" xfId="55852"/>
    <cellStyle name="注释 2 9 8 8 5" xfId="55853"/>
    <cellStyle name="注释 2 9 9 12 2" xfId="55854"/>
    <cellStyle name="注释 2 9 9 13" xfId="55855"/>
    <cellStyle name="注释 2 9 9 15" xfId="55856"/>
    <cellStyle name="注释 2 9 9 16" xfId="55857"/>
    <cellStyle name="注释 2 9 9 2 2" xfId="55858"/>
    <cellStyle name="注释 2 9 9 2 3" xfId="55859"/>
    <cellStyle name="注释 2 9 9 2 3 2" xfId="55860"/>
    <cellStyle name="注释 2 9 9 2 4" xfId="55861"/>
    <cellStyle name="注释 2 9 9 2 4 2" xfId="55862"/>
    <cellStyle name="注释 2 9 9 2 5" xfId="55863"/>
    <cellStyle name="注释 2 9 9 2 5 2" xfId="55864"/>
    <cellStyle name="注释 2 9 9 2 7" xfId="55865"/>
    <cellStyle name="注释 2 9 9 2 8" xfId="55866"/>
    <cellStyle name="注释 2 9 9 3 2 2" xfId="55867"/>
    <cellStyle name="注释 2 9 9 3 3 2" xfId="55868"/>
    <cellStyle name="注释 2 9 9 3 4" xfId="55869"/>
    <cellStyle name="注释 2 9 9 3 4 2" xfId="55870"/>
    <cellStyle name="注释 2 9 9 3 5" xfId="55871"/>
    <cellStyle name="注释 2 9 9 3 5 2" xfId="55872"/>
    <cellStyle name="注释 2 9 9 4 3 2" xfId="55873"/>
    <cellStyle name="注释 2 9 9 4 4" xfId="55874"/>
    <cellStyle name="注释 2 9 9 4 4 2" xfId="55875"/>
    <cellStyle name="注释 2 9 9 4 5" xfId="55876"/>
    <cellStyle name="注释 2 9 9 4 5 2" xfId="55877"/>
    <cellStyle name="注释 2 9 9 5 4" xfId="55878"/>
    <cellStyle name="注释 2 9 9 5 5" xfId="55879"/>
    <cellStyle name="注释 2 9 9 6 2" xfId="55880"/>
    <cellStyle name="注释 2 9 9 6 4" xfId="55881"/>
    <cellStyle name="注释 2 9 9 6 5" xfId="55882"/>
    <cellStyle name="注释 2 9 9 6 6" xfId="55883"/>
    <cellStyle name="注释 2 9 9 7 2" xfId="55884"/>
    <cellStyle name="注释 2 9 9 7 3" xfId="55885"/>
    <cellStyle name="注释 2 9 9 7 4" xfId="55886"/>
    <cellStyle name="注释 2 9 9 7 5" xfId="55887"/>
    <cellStyle name="注释 2 9 9 7 6" xfId="55888"/>
    <cellStyle name="注释 2 9 9 8 2" xfId="55889"/>
    <cellStyle name="注释 2 9 9 8 3" xfId="55890"/>
    <cellStyle name="注释 2 9 9 8 4" xfId="55891"/>
    <cellStyle name="注释 2 9 9 8 5" xfId="55892"/>
    <cellStyle name="注释 2 9 9 9 2" xfId="55893"/>
    <cellStyle name="콤마 [0]_BOILER-CO1" xfId="55894"/>
    <cellStyle name="통화_BOILER-CO1" xfId="55895"/>
    <cellStyle name="표준_0N-HANDLING " xfId="55896"/>
  </cellStyles>
  <dxfs count="2">
    <dxf>
      <fill>
        <patternFill patternType="solid">
          <bgColor theme="9" tint="0.599993896298105"/>
        </patternFill>
      </fill>
    </dxf>
    <dxf>
      <font>
        <strike val="1"/>
      </font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00FF66CC"/>
      <color rgb="000000FF"/>
      <color rgb="000066FF"/>
      <color rgb="0099FF66"/>
      <color rgb="006DD987"/>
      <color rgb="0000CC00"/>
      <color rgb="00FFFFCC"/>
      <color rgb="0000CC66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www.wps.cn/officeDocument/2020/cellImage" Target="cellimages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Drop" dx="16" page="2" val="0"/>
</file>

<file path=xl/ctrlProps/ctrlProp2.xml><?xml version="1.0" encoding="utf-8"?>
<formControlPr xmlns="http://schemas.microsoft.com/office/spreadsheetml/2009/9/main" objectType="Drop" dx="16" page="1" val="0"/>
</file>

<file path=xl/ctrlProps/ctrlProp3.xml><?xml version="1.0" encoding="utf-8"?>
<formControlPr xmlns="http://schemas.microsoft.com/office/spreadsheetml/2009/9/main" objectType="Drop" dx="16" page="1" val="0"/>
</file>

<file path=xl/ctrlProps/ctrlProp4.xml><?xml version="1.0" encoding="utf-8"?>
<formControlPr xmlns="http://schemas.microsoft.com/office/spreadsheetml/2009/9/main" objectType="Drop" dx="16" page="1" val="0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36</xdr:row>
          <xdr:rowOff>0</xdr:rowOff>
        </xdr:from>
        <xdr:to>
          <xdr:col>43</xdr:col>
          <xdr:colOff>0</xdr:colOff>
          <xdr:row>36</xdr:row>
          <xdr:rowOff>0</xdr:rowOff>
        </xdr:to>
        <xdr:sp>
          <xdr:nvSpPr>
            <xdr:cNvPr id="5127" name="Drop Down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>
            <a:xfrm>
              <a:off x="32261175" y="7898765"/>
              <a:ext cx="81915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36</xdr:row>
          <xdr:rowOff>0</xdr:rowOff>
        </xdr:to>
        <xdr:sp>
          <xdr:nvSpPr>
            <xdr:cNvPr id="5128" name="Drop Down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>
            <a:xfrm>
              <a:off x="33080325" y="7898765"/>
              <a:ext cx="68580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47</xdr:col>
          <xdr:colOff>0</xdr:colOff>
          <xdr:row>36</xdr:row>
          <xdr:rowOff>0</xdr:rowOff>
        </xdr:from>
        <xdr:to>
          <xdr:col>48</xdr:col>
          <xdr:colOff>0</xdr:colOff>
          <xdr:row>36</xdr:row>
          <xdr:rowOff>0</xdr:rowOff>
        </xdr:to>
        <xdr:sp>
          <xdr:nvSpPr>
            <xdr:cNvPr id="5129" name="Drop Dow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>
            <a:xfrm>
              <a:off x="36337875" y="7898765"/>
              <a:ext cx="81915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0</xdr:colOff>
          <xdr:row>36</xdr:row>
          <xdr:rowOff>0</xdr:rowOff>
        </xdr:from>
        <xdr:to>
          <xdr:col>49</xdr:col>
          <xdr:colOff>0</xdr:colOff>
          <xdr:row>36</xdr:row>
          <xdr:rowOff>0</xdr:rowOff>
        </xdr:to>
        <xdr:sp>
          <xdr:nvSpPr>
            <xdr:cNvPr id="5130" name="Drop Dow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>
            <a:xfrm>
              <a:off x="37157025" y="7898765"/>
              <a:ext cx="68580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2823;&#34920;YJV%20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《倍数表》"/>
      <sheetName val="型号目录"/>
      <sheetName val="各项系数"/>
      <sheetName val="【总价格表】"/>
      <sheetName val="TA"/>
      <sheetName val="YJV材料参数"/>
      <sheetName val="WpsReserved_CellImgList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2:AC54"/>
  <sheetViews>
    <sheetView zoomScale="85" zoomScaleNormal="85" topLeftCell="B44" workbookViewId="0">
      <selection activeCell="DK63" sqref="DK63"/>
    </sheetView>
  </sheetViews>
  <sheetFormatPr defaultColWidth="9" defaultRowHeight="14.25"/>
  <cols>
    <col min="1" max="1" width="10.5" customWidth="1"/>
    <col min="2" max="2" width="20.625" customWidth="1"/>
    <col min="3" max="3" width="16.125" customWidth="1"/>
    <col min="4" max="4" width="21" customWidth="1"/>
    <col min="5" max="5" width="21.5" customWidth="1"/>
    <col min="6" max="6" width="17.875" customWidth="1"/>
    <col min="7" max="7" width="14.375" customWidth="1"/>
    <col min="8" max="8" width="12.75" customWidth="1"/>
    <col min="9" max="9" width="11.375" customWidth="1"/>
    <col min="10" max="10" width="15.875" customWidth="1"/>
    <col min="11" max="11" width="10.625" customWidth="1"/>
    <col min="12" max="12" width="8.875" customWidth="1"/>
    <col min="13" max="14" width="10.625" customWidth="1"/>
    <col min="15" max="15" width="17.625" customWidth="1"/>
    <col min="16" max="16" width="9" customWidth="1"/>
    <col min="17" max="17" width="13.375" customWidth="1"/>
    <col min="18" max="18" width="9" customWidth="1"/>
    <col min="19" max="19" width="16.25" customWidth="1"/>
    <col min="20" max="20" width="11" customWidth="1"/>
    <col min="21" max="21" width="16.25" customWidth="1"/>
  </cols>
  <sheetData>
    <row r="2" spans="5:14">
      <c r="E2" s="921" t="s">
        <v>0</v>
      </c>
      <c r="F2" s="921"/>
      <c r="G2" s="921"/>
      <c r="H2" s="921"/>
      <c r="I2" s="921"/>
      <c r="J2" s="921"/>
      <c r="K2" s="941"/>
      <c r="L2" s="941"/>
      <c r="M2" s="941"/>
      <c r="N2" s="941"/>
    </row>
    <row r="3" spans="2:17">
      <c r="B3" s="922" t="s">
        <v>1</v>
      </c>
      <c r="C3" s="923" t="s">
        <v>2</v>
      </c>
      <c r="D3" s="923" t="s">
        <v>3</v>
      </c>
      <c r="E3" s="924" t="s">
        <v>4</v>
      </c>
      <c r="F3" s="924" t="s">
        <v>5</v>
      </c>
      <c r="G3" s="922" t="s">
        <v>6</v>
      </c>
      <c r="H3" s="922" t="s">
        <v>7</v>
      </c>
      <c r="I3" s="922"/>
      <c r="J3" s="945" t="s">
        <v>8</v>
      </c>
      <c r="K3" s="945" t="s">
        <v>9</v>
      </c>
      <c r="L3" s="921"/>
      <c r="M3" s="921"/>
      <c r="N3" s="946" t="s">
        <v>10</v>
      </c>
      <c r="O3" s="946"/>
      <c r="P3" s="946"/>
      <c r="Q3" s="946"/>
    </row>
    <row r="4" ht="15.75" spans="1:17">
      <c r="A4" s="544"/>
      <c r="B4" s="674"/>
      <c r="C4" s="925">
        <v>1</v>
      </c>
      <c r="D4" s="925">
        <v>1</v>
      </c>
      <c r="E4" s="926">
        <v>1.38</v>
      </c>
      <c r="F4" s="926">
        <v>1.38</v>
      </c>
      <c r="G4" s="926"/>
      <c r="H4" s="674">
        <v>1.38</v>
      </c>
      <c r="I4" s="674"/>
      <c r="J4" s="945" t="s">
        <v>11</v>
      </c>
      <c r="K4" s="945">
        <v>1</v>
      </c>
      <c r="L4" s="921"/>
      <c r="M4" s="921"/>
      <c r="N4" s="947" t="s">
        <v>12</v>
      </c>
      <c r="O4" s="948"/>
      <c r="P4" s="949"/>
      <c r="Q4" s="947">
        <v>0</v>
      </c>
    </row>
    <row r="5" ht="15.75" spans="1:17">
      <c r="A5" s="544"/>
      <c r="B5" s="674">
        <v>0.3</v>
      </c>
      <c r="C5" s="925">
        <v>1</v>
      </c>
      <c r="D5" s="925">
        <v>1</v>
      </c>
      <c r="E5" s="926">
        <v>1.78</v>
      </c>
      <c r="F5" s="926">
        <v>1.78</v>
      </c>
      <c r="G5" s="926"/>
      <c r="H5" s="674">
        <v>1.78</v>
      </c>
      <c r="I5" s="674"/>
      <c r="J5" s="945" t="s">
        <v>11</v>
      </c>
      <c r="K5" s="950">
        <v>1</v>
      </c>
      <c r="L5" s="951"/>
      <c r="M5" s="951"/>
      <c r="N5" s="952" t="s">
        <v>13</v>
      </c>
      <c r="O5" s="953" t="s">
        <v>14</v>
      </c>
      <c r="P5" s="953"/>
      <c r="Q5" s="952" t="s">
        <v>15</v>
      </c>
    </row>
    <row r="6" ht="15.75" spans="1:17">
      <c r="A6" s="544"/>
      <c r="B6" s="674">
        <v>0.5</v>
      </c>
      <c r="C6" s="925">
        <v>1</v>
      </c>
      <c r="D6" s="925">
        <v>1</v>
      </c>
      <c r="E6" s="926">
        <v>2.25</v>
      </c>
      <c r="F6" s="926">
        <v>2.25</v>
      </c>
      <c r="G6" s="926"/>
      <c r="H6" s="674">
        <v>2.25</v>
      </c>
      <c r="I6" s="674"/>
      <c r="J6" s="945" t="s">
        <v>11</v>
      </c>
      <c r="K6" s="950">
        <v>1</v>
      </c>
      <c r="L6" s="951"/>
      <c r="M6" s="951"/>
      <c r="N6" s="952">
        <v>1.5</v>
      </c>
      <c r="O6" s="953">
        <v>1</v>
      </c>
      <c r="P6" s="953"/>
      <c r="Q6" s="952">
        <v>1</v>
      </c>
    </row>
    <row r="7" ht="15.75" spans="1:20">
      <c r="A7" s="544"/>
      <c r="B7" s="674">
        <v>0.75</v>
      </c>
      <c r="C7" s="925">
        <v>1</v>
      </c>
      <c r="D7" s="925">
        <v>1</v>
      </c>
      <c r="E7" s="926">
        <v>2.76</v>
      </c>
      <c r="F7" s="926">
        <v>2.76</v>
      </c>
      <c r="G7" s="926"/>
      <c r="H7" s="674">
        <v>2.76</v>
      </c>
      <c r="I7" s="674">
        <v>1</v>
      </c>
      <c r="J7" s="945" t="s">
        <v>11</v>
      </c>
      <c r="K7" s="950">
        <v>1</v>
      </c>
      <c r="L7" s="951"/>
      <c r="M7" s="951"/>
      <c r="N7" s="952">
        <v>2.5</v>
      </c>
      <c r="O7" s="953">
        <v>1</v>
      </c>
      <c r="P7" s="953"/>
      <c r="Q7" s="952">
        <v>1.5</v>
      </c>
      <c r="T7" t="s">
        <v>16</v>
      </c>
    </row>
    <row r="8" ht="15.75" spans="1:17">
      <c r="A8" s="544"/>
      <c r="B8" s="674">
        <v>1</v>
      </c>
      <c r="C8" s="925">
        <v>1</v>
      </c>
      <c r="D8" s="925">
        <v>1</v>
      </c>
      <c r="E8" s="926"/>
      <c r="F8" s="926"/>
      <c r="G8" s="926"/>
      <c r="H8" s="674"/>
      <c r="I8" s="674">
        <v>2</v>
      </c>
      <c r="J8" s="945" t="s">
        <v>17</v>
      </c>
      <c r="K8" s="950">
        <v>2</v>
      </c>
      <c r="L8" s="951"/>
      <c r="M8" s="951"/>
      <c r="N8" s="952">
        <v>4</v>
      </c>
      <c r="O8" s="953">
        <v>1</v>
      </c>
      <c r="P8" s="953"/>
      <c r="Q8" s="952">
        <v>2.5</v>
      </c>
    </row>
    <row r="9" ht="15.75" spans="1:17">
      <c r="A9" s="544"/>
      <c r="B9" s="674">
        <v>1.5</v>
      </c>
      <c r="C9" s="925">
        <v>1</v>
      </c>
      <c r="D9" s="925">
        <v>1</v>
      </c>
      <c r="E9" s="926"/>
      <c r="F9" s="926"/>
      <c r="G9" s="926"/>
      <c r="H9" s="674"/>
      <c r="I9" s="674">
        <v>3</v>
      </c>
      <c r="J9" s="945" t="s">
        <v>18</v>
      </c>
      <c r="K9" s="950">
        <v>2.1547</v>
      </c>
      <c r="L9" s="951"/>
      <c r="M9" s="951"/>
      <c r="N9" s="952">
        <v>6</v>
      </c>
      <c r="O9" s="953">
        <v>1</v>
      </c>
      <c r="P9" s="953"/>
      <c r="Q9" s="952">
        <v>4</v>
      </c>
    </row>
    <row r="10" ht="15.75" spans="1:17">
      <c r="A10" s="544"/>
      <c r="B10" s="674">
        <v>2.5</v>
      </c>
      <c r="C10" s="925">
        <v>1</v>
      </c>
      <c r="D10" s="925">
        <v>1</v>
      </c>
      <c r="E10" s="926"/>
      <c r="F10" s="926"/>
      <c r="G10" s="926"/>
      <c r="H10" s="674"/>
      <c r="I10" s="674">
        <v>4</v>
      </c>
      <c r="J10" s="945" t="s">
        <v>19</v>
      </c>
      <c r="K10" s="950">
        <v>2.4198125</v>
      </c>
      <c r="L10" s="951"/>
      <c r="M10" s="951"/>
      <c r="N10" s="952">
        <v>10</v>
      </c>
      <c r="O10" s="953">
        <v>7</v>
      </c>
      <c r="P10" s="953"/>
      <c r="Q10" s="952">
        <v>6</v>
      </c>
    </row>
    <row r="11" ht="15.75" spans="1:17">
      <c r="A11" s="544"/>
      <c r="B11" s="674">
        <v>4</v>
      </c>
      <c r="C11" s="925">
        <v>1</v>
      </c>
      <c r="D11" s="925">
        <v>1</v>
      </c>
      <c r="E11" s="926"/>
      <c r="F11" s="926"/>
      <c r="G11" s="926"/>
      <c r="H11" s="674"/>
      <c r="I11" s="674">
        <v>5</v>
      </c>
      <c r="J11" s="945" t="s">
        <v>20</v>
      </c>
      <c r="K11" s="950">
        <v>2.7159</v>
      </c>
      <c r="L11" s="951"/>
      <c r="M11" s="951"/>
      <c r="N11" s="952">
        <v>16</v>
      </c>
      <c r="O11" s="953">
        <v>7</v>
      </c>
      <c r="P11" s="953"/>
      <c r="Q11" s="952">
        <v>10</v>
      </c>
    </row>
    <row r="12" ht="15.75" spans="1:17">
      <c r="A12" s="544"/>
      <c r="B12" s="674">
        <v>6</v>
      </c>
      <c r="C12" s="925">
        <v>1</v>
      </c>
      <c r="D12" s="925">
        <v>1</v>
      </c>
      <c r="E12" s="926"/>
      <c r="F12" s="926"/>
      <c r="G12" s="926"/>
      <c r="H12" s="674"/>
      <c r="I12" s="674">
        <v>7</v>
      </c>
      <c r="J12" s="945" t="s">
        <v>20</v>
      </c>
      <c r="K12" s="950">
        <v>3</v>
      </c>
      <c r="L12" s="951"/>
      <c r="M12" s="951"/>
      <c r="N12" s="952">
        <v>25</v>
      </c>
      <c r="O12" s="953">
        <v>7</v>
      </c>
      <c r="P12" s="953"/>
      <c r="Q12" s="952">
        <v>16</v>
      </c>
    </row>
    <row r="13" ht="15.75" spans="1:17">
      <c r="A13" s="544"/>
      <c r="B13" s="674">
        <v>10</v>
      </c>
      <c r="C13" s="925">
        <v>7</v>
      </c>
      <c r="D13" s="925" t="s">
        <v>21</v>
      </c>
      <c r="E13" s="926">
        <v>1.35</v>
      </c>
      <c r="F13" s="926">
        <v>4.05</v>
      </c>
      <c r="G13" s="926"/>
      <c r="H13" s="674">
        <f>E13*3</f>
        <v>4.05</v>
      </c>
      <c r="I13" s="674">
        <v>10</v>
      </c>
      <c r="J13" s="945" t="s">
        <v>20</v>
      </c>
      <c r="K13" s="945">
        <v>3</v>
      </c>
      <c r="L13" s="921"/>
      <c r="M13" s="921"/>
      <c r="N13" s="952">
        <v>35</v>
      </c>
      <c r="O13" s="953">
        <v>7</v>
      </c>
      <c r="P13" s="953"/>
      <c r="Q13" s="952">
        <v>16</v>
      </c>
    </row>
    <row r="14" ht="15.75" spans="1:17">
      <c r="A14" s="544"/>
      <c r="B14" s="674">
        <v>16</v>
      </c>
      <c r="C14" s="925">
        <v>7</v>
      </c>
      <c r="D14" s="925" t="s">
        <v>21</v>
      </c>
      <c r="E14" s="926">
        <v>1.7</v>
      </c>
      <c r="F14" s="927">
        <v>5.1</v>
      </c>
      <c r="G14" s="926"/>
      <c r="H14" s="674">
        <f>E14*3</f>
        <v>5.1</v>
      </c>
      <c r="I14" s="674">
        <v>14</v>
      </c>
      <c r="J14" s="945" t="s">
        <v>20</v>
      </c>
      <c r="K14" s="945">
        <v>3</v>
      </c>
      <c r="L14" s="921"/>
      <c r="M14" s="921"/>
      <c r="N14" s="952">
        <v>50</v>
      </c>
      <c r="O14" s="953">
        <v>10</v>
      </c>
      <c r="P14" s="953"/>
      <c r="Q14" s="952">
        <v>25</v>
      </c>
    </row>
    <row r="15" ht="15.75" spans="1:17">
      <c r="A15" s="544"/>
      <c r="B15" s="674">
        <v>25</v>
      </c>
      <c r="C15" s="925">
        <v>7</v>
      </c>
      <c r="D15" s="925" t="s">
        <v>21</v>
      </c>
      <c r="E15" s="926">
        <v>2.19</v>
      </c>
      <c r="F15" s="927">
        <v>6</v>
      </c>
      <c r="G15" s="926"/>
      <c r="H15" s="674">
        <f>E15*3</f>
        <v>6.57</v>
      </c>
      <c r="I15" s="90">
        <v>19</v>
      </c>
      <c r="J15" s="945" t="s">
        <v>20</v>
      </c>
      <c r="K15" s="945">
        <v>3</v>
      </c>
      <c r="L15" s="921"/>
      <c r="M15" s="921"/>
      <c r="N15" s="952">
        <v>70</v>
      </c>
      <c r="O15" s="953">
        <v>14</v>
      </c>
      <c r="P15" s="953"/>
      <c r="Q15" s="952">
        <v>35</v>
      </c>
    </row>
    <row r="16" ht="15.75" spans="1:17">
      <c r="A16" s="544"/>
      <c r="B16" s="674">
        <v>35</v>
      </c>
      <c r="C16" s="925">
        <v>7</v>
      </c>
      <c r="D16" s="925" t="s">
        <v>21</v>
      </c>
      <c r="E16" s="926">
        <v>2.53</v>
      </c>
      <c r="F16" s="927">
        <v>7</v>
      </c>
      <c r="G16" s="926"/>
      <c r="H16" s="674">
        <f>E16*3</f>
        <v>7.59</v>
      </c>
      <c r="I16" s="90">
        <v>24</v>
      </c>
      <c r="J16" s="945" t="s">
        <v>20</v>
      </c>
      <c r="K16" s="945">
        <v>3</v>
      </c>
      <c r="L16" s="921"/>
      <c r="M16" s="921"/>
      <c r="N16" s="952">
        <v>95</v>
      </c>
      <c r="O16" s="953">
        <v>19</v>
      </c>
      <c r="P16" s="953"/>
      <c r="Q16" s="952">
        <v>50</v>
      </c>
    </row>
    <row r="17" ht="15.75" spans="1:17">
      <c r="A17" s="544"/>
      <c r="B17" s="674">
        <v>50</v>
      </c>
      <c r="C17" s="925">
        <v>10</v>
      </c>
      <c r="D17" s="925" t="s">
        <v>22</v>
      </c>
      <c r="E17" s="926">
        <v>2.53</v>
      </c>
      <c r="F17" s="927">
        <v>7.45</v>
      </c>
      <c r="G17" s="926">
        <f>1.31*SQRT(A17)</f>
        <v>0</v>
      </c>
      <c r="H17" s="674">
        <f>3.828*E17</f>
        <v>9.68484</v>
      </c>
      <c r="I17" s="90">
        <v>30</v>
      </c>
      <c r="J17" s="945" t="s">
        <v>23</v>
      </c>
      <c r="K17" s="945">
        <v>3.828</v>
      </c>
      <c r="L17" s="921"/>
      <c r="M17" s="921"/>
      <c r="N17" s="952">
        <v>120</v>
      </c>
      <c r="O17" s="953">
        <v>24</v>
      </c>
      <c r="P17" s="953"/>
      <c r="Q17" s="952">
        <v>70</v>
      </c>
    </row>
    <row r="18" ht="15.75" spans="1:17">
      <c r="A18" s="544"/>
      <c r="B18" s="674">
        <v>70</v>
      </c>
      <c r="C18" s="925">
        <v>14</v>
      </c>
      <c r="D18" s="925" t="s">
        <v>24</v>
      </c>
      <c r="E18" s="926">
        <v>2.53</v>
      </c>
      <c r="F18" s="927">
        <v>8.95</v>
      </c>
      <c r="G18" s="926">
        <f t="shared" ref="G18:G25" si="0">1.31*SQRT(A18)</f>
        <v>0</v>
      </c>
      <c r="H18" s="674">
        <f>4.3739*E18</f>
        <v>11.065967</v>
      </c>
      <c r="I18" s="90">
        <v>37</v>
      </c>
      <c r="J18" s="945" t="s">
        <v>25</v>
      </c>
      <c r="K18" s="945">
        <v>4.3739</v>
      </c>
      <c r="L18" s="921"/>
      <c r="M18" s="921"/>
      <c r="N18" s="952">
        <v>150</v>
      </c>
      <c r="O18" s="953">
        <v>30</v>
      </c>
      <c r="P18" s="953"/>
      <c r="Q18" s="952">
        <v>70</v>
      </c>
    </row>
    <row r="19" ht="15.75" spans="1:17">
      <c r="A19" s="544"/>
      <c r="B19" s="674">
        <v>95</v>
      </c>
      <c r="C19" s="925">
        <v>19</v>
      </c>
      <c r="D19" s="925" t="s">
        <v>26</v>
      </c>
      <c r="E19" s="926">
        <v>2.53</v>
      </c>
      <c r="F19" s="927">
        <v>10.5</v>
      </c>
      <c r="G19" s="926">
        <f t="shared" si="0"/>
        <v>0</v>
      </c>
      <c r="H19" s="674">
        <f>4.8637*E19</f>
        <v>12.305161</v>
      </c>
      <c r="I19" s="90">
        <v>48</v>
      </c>
      <c r="J19" s="950" t="s">
        <v>27</v>
      </c>
      <c r="K19" s="950">
        <v>4.8637</v>
      </c>
      <c r="L19" s="951"/>
      <c r="M19" s="951"/>
      <c r="N19" s="952">
        <v>185</v>
      </c>
      <c r="O19" s="953">
        <v>37</v>
      </c>
      <c r="P19" s="953"/>
      <c r="Q19" s="952">
        <v>95</v>
      </c>
    </row>
    <row r="20" ht="15.75" spans="1:17">
      <c r="A20" s="544"/>
      <c r="B20" s="674">
        <v>120</v>
      </c>
      <c r="C20" s="925">
        <v>24</v>
      </c>
      <c r="D20" s="925" t="s">
        <v>28</v>
      </c>
      <c r="E20" s="926">
        <v>2.53</v>
      </c>
      <c r="F20" s="927">
        <v>11.87</v>
      </c>
      <c r="G20" s="926">
        <f t="shared" si="0"/>
        <v>0</v>
      </c>
      <c r="H20" s="674">
        <f>5.77*E20</f>
        <v>14.5981</v>
      </c>
      <c r="I20" s="674">
        <v>61</v>
      </c>
      <c r="J20" s="950" t="s">
        <v>29</v>
      </c>
      <c r="K20" s="950">
        <v>5.77</v>
      </c>
      <c r="L20" s="951"/>
      <c r="M20" s="951"/>
      <c r="N20" s="952">
        <v>240</v>
      </c>
      <c r="O20" s="953">
        <v>48</v>
      </c>
      <c r="P20" s="953"/>
      <c r="Q20" s="952">
        <v>120</v>
      </c>
    </row>
    <row r="21" ht="15.75" spans="1:17">
      <c r="A21" s="544"/>
      <c r="B21" s="674">
        <v>150</v>
      </c>
      <c r="C21" s="925">
        <v>30</v>
      </c>
      <c r="D21" s="925" t="s">
        <v>30</v>
      </c>
      <c r="E21" s="926">
        <v>2.53</v>
      </c>
      <c r="F21" s="927">
        <v>13.35</v>
      </c>
      <c r="G21" s="926">
        <f t="shared" si="0"/>
        <v>0</v>
      </c>
      <c r="H21" s="674">
        <f>6.37*E21</f>
        <v>16.1161</v>
      </c>
      <c r="I21" s="674"/>
      <c r="J21" s="950" t="s">
        <v>31</v>
      </c>
      <c r="K21" s="950">
        <v>6.37</v>
      </c>
      <c r="L21" s="951"/>
      <c r="M21" s="951"/>
      <c r="N21" s="952">
        <v>300</v>
      </c>
      <c r="O21" s="953">
        <v>61</v>
      </c>
      <c r="P21" s="953"/>
      <c r="Q21" s="952">
        <v>150</v>
      </c>
    </row>
    <row r="22" ht="15.75" customHeight="1" spans="1:29">
      <c r="A22" s="544"/>
      <c r="B22" s="674">
        <v>185</v>
      </c>
      <c r="C22" s="925">
        <v>37</v>
      </c>
      <c r="D22" s="925" t="s">
        <v>32</v>
      </c>
      <c r="E22" s="926">
        <v>2.53</v>
      </c>
      <c r="F22" s="927">
        <v>14.89</v>
      </c>
      <c r="G22" s="926">
        <f t="shared" si="0"/>
        <v>0</v>
      </c>
      <c r="H22" s="674">
        <f>6.818626*E22</f>
        <v>17.25112378</v>
      </c>
      <c r="I22" s="674"/>
      <c r="J22" s="950" t="s">
        <v>33</v>
      </c>
      <c r="K22" s="950">
        <v>6.818626</v>
      </c>
      <c r="L22" s="951"/>
      <c r="M22" s="951"/>
      <c r="N22" s="952">
        <v>400</v>
      </c>
      <c r="O22" s="953">
        <v>61</v>
      </c>
      <c r="P22" s="953"/>
      <c r="Q22" s="952">
        <v>185</v>
      </c>
      <c r="T22" s="951"/>
      <c r="AC22" s="941"/>
    </row>
    <row r="23" ht="15.75" spans="1:29">
      <c r="A23" s="544"/>
      <c r="B23" s="674">
        <v>240</v>
      </c>
      <c r="C23" s="925">
        <v>48</v>
      </c>
      <c r="D23" s="925" t="s">
        <v>34</v>
      </c>
      <c r="E23" s="926">
        <v>2.53</v>
      </c>
      <c r="F23" s="927">
        <v>17.06</v>
      </c>
      <c r="G23" s="926">
        <f t="shared" si="0"/>
        <v>0</v>
      </c>
      <c r="H23" s="674">
        <f>7.8658*E23</f>
        <v>19.900474</v>
      </c>
      <c r="I23" s="674"/>
      <c r="J23" s="950" t="s">
        <v>35</v>
      </c>
      <c r="K23" s="950">
        <v>7.8658</v>
      </c>
      <c r="L23" s="951"/>
      <c r="M23" s="951"/>
      <c r="T23" s="951"/>
      <c r="AC23" s="941"/>
    </row>
    <row r="24" ht="15.75" spans="1:29">
      <c r="A24" s="544"/>
      <c r="B24" s="674">
        <v>300</v>
      </c>
      <c r="C24" s="925">
        <v>61</v>
      </c>
      <c r="D24" s="925" t="s">
        <v>36</v>
      </c>
      <c r="E24" s="926">
        <v>2.53</v>
      </c>
      <c r="F24" s="927">
        <v>19.9</v>
      </c>
      <c r="G24" s="926">
        <f t="shared" si="0"/>
        <v>0</v>
      </c>
      <c r="H24" s="674"/>
      <c r="I24" s="674"/>
      <c r="J24" s="950" t="s">
        <v>37</v>
      </c>
      <c r="K24" s="950">
        <v>8.706</v>
      </c>
      <c r="L24" s="951"/>
      <c r="M24" s="951"/>
      <c r="T24" s="951"/>
      <c r="AC24" s="941"/>
    </row>
    <row r="25" ht="15.75" spans="1:29">
      <c r="A25" s="544"/>
      <c r="B25" s="674">
        <v>400</v>
      </c>
      <c r="C25" s="925">
        <v>61</v>
      </c>
      <c r="D25" s="925" t="s">
        <v>36</v>
      </c>
      <c r="E25" s="926">
        <v>2.53</v>
      </c>
      <c r="F25" s="927">
        <v>19.9</v>
      </c>
      <c r="G25" s="926">
        <f t="shared" si="0"/>
        <v>0</v>
      </c>
      <c r="H25" s="674"/>
      <c r="I25" s="674"/>
      <c r="J25" s="950" t="s">
        <v>37</v>
      </c>
      <c r="K25" s="950">
        <v>8.706</v>
      </c>
      <c r="L25" s="951"/>
      <c r="M25" s="951"/>
      <c r="T25" s="951"/>
      <c r="AC25" s="941"/>
    </row>
    <row r="26" ht="15.75" spans="1:29">
      <c r="A26" s="544"/>
      <c r="B26" s="928">
        <v>500</v>
      </c>
      <c r="C26" s="925">
        <v>61</v>
      </c>
      <c r="D26" s="929"/>
      <c r="E26" s="930"/>
      <c r="F26" s="931"/>
      <c r="G26" s="930"/>
      <c r="H26" s="928"/>
      <c r="I26" s="928"/>
      <c r="J26" s="951"/>
      <c r="K26" s="951"/>
      <c r="L26" s="951"/>
      <c r="M26" s="951"/>
      <c r="T26" s="951"/>
      <c r="AC26" s="941"/>
    </row>
    <row r="27" ht="15.75" spans="1:29">
      <c r="A27" s="544"/>
      <c r="B27" s="928">
        <v>630</v>
      </c>
      <c r="C27" s="925">
        <v>61</v>
      </c>
      <c r="D27" s="929"/>
      <c r="E27" s="930"/>
      <c r="F27" s="931"/>
      <c r="G27" s="930"/>
      <c r="H27" s="928"/>
      <c r="I27" s="928"/>
      <c r="J27" s="951"/>
      <c r="K27" s="951"/>
      <c r="L27" s="951"/>
      <c r="M27" s="951"/>
      <c r="T27" s="951"/>
      <c r="AC27" s="941"/>
    </row>
    <row r="28" ht="15.75" spans="1:29">
      <c r="A28" s="544"/>
      <c r="B28" s="928">
        <v>800</v>
      </c>
      <c r="C28" s="925">
        <v>61</v>
      </c>
      <c r="D28" s="929"/>
      <c r="E28" s="930"/>
      <c r="F28" s="931"/>
      <c r="G28" s="930"/>
      <c r="H28" s="928"/>
      <c r="I28" s="928"/>
      <c r="J28" s="951"/>
      <c r="K28" s="951"/>
      <c r="L28" s="951"/>
      <c r="M28" s="951"/>
      <c r="T28" s="951"/>
      <c r="AC28" s="941"/>
    </row>
    <row r="29" spans="1:29">
      <c r="A29" s="544"/>
      <c r="B29" s="544"/>
      <c r="C29" s="544"/>
      <c r="D29" s="544"/>
      <c r="E29" s="544"/>
      <c r="F29" s="544"/>
      <c r="G29" s="544"/>
      <c r="H29" s="544"/>
      <c r="I29" s="544"/>
      <c r="AC29" s="941"/>
    </row>
    <row r="30" ht="22.5" spans="1:25">
      <c r="A30" s="544"/>
      <c r="B30" s="932" t="s">
        <v>38</v>
      </c>
      <c r="C30" s="932"/>
      <c r="D30" s="932"/>
      <c r="E30" s="932"/>
      <c r="F30" s="932"/>
      <c r="G30" s="932"/>
      <c r="H30" s="932"/>
      <c r="I30" s="932"/>
      <c r="J30" s="932"/>
      <c r="K30" s="932"/>
      <c r="L30" s="932"/>
      <c r="M30" s="932"/>
      <c r="N30" s="932"/>
      <c r="O30" s="932"/>
      <c r="Y30" s="941"/>
    </row>
    <row r="31" spans="1:25">
      <c r="A31" s="544"/>
      <c r="B31" s="90" t="s">
        <v>39</v>
      </c>
      <c r="C31" s="90"/>
      <c r="D31" s="90"/>
      <c r="E31" s="933"/>
      <c r="F31" s="933" t="s">
        <v>40</v>
      </c>
      <c r="G31" s="934"/>
      <c r="H31" s="934"/>
      <c r="I31" s="934"/>
      <c r="J31" s="934"/>
      <c r="K31" s="934"/>
      <c r="L31" s="934"/>
      <c r="M31" s="934"/>
      <c r="N31" s="954" t="s">
        <v>41</v>
      </c>
      <c r="O31" s="954" t="s">
        <v>42</v>
      </c>
      <c r="P31" s="955" t="s">
        <v>43</v>
      </c>
      <c r="Y31" s="941"/>
    </row>
    <row r="32" customHeight="1" spans="1:25">
      <c r="A32" s="544"/>
      <c r="B32" s="90"/>
      <c r="C32" s="90"/>
      <c r="D32" s="90"/>
      <c r="E32" s="935"/>
      <c r="F32" s="936" t="s">
        <v>44</v>
      </c>
      <c r="G32" s="933"/>
      <c r="H32" s="933"/>
      <c r="I32" s="956"/>
      <c r="J32" s="957" t="s">
        <v>45</v>
      </c>
      <c r="K32" s="958"/>
      <c r="L32" s="958"/>
      <c r="M32" s="958"/>
      <c r="N32" s="954"/>
      <c r="O32" s="954"/>
      <c r="P32" s="955"/>
      <c r="Y32" s="941"/>
    </row>
    <row r="33" ht="18.75" spans="1:25">
      <c r="A33" s="544"/>
      <c r="B33" s="937" t="s">
        <v>46</v>
      </c>
      <c r="C33" s="937" t="s">
        <v>47</v>
      </c>
      <c r="D33" s="937" t="s">
        <v>48</v>
      </c>
      <c r="E33" s="922" t="s">
        <v>49</v>
      </c>
      <c r="F33" s="922" t="s">
        <v>50</v>
      </c>
      <c r="G33" s="938" t="s">
        <v>51</v>
      </c>
      <c r="H33" s="938" t="s">
        <v>52</v>
      </c>
      <c r="I33" s="938" t="s">
        <v>53</v>
      </c>
      <c r="J33" s="959" t="s">
        <v>54</v>
      </c>
      <c r="K33" s="960" t="s">
        <v>55</v>
      </c>
      <c r="L33" s="960" t="s">
        <v>56</v>
      </c>
      <c r="M33" s="961" t="s">
        <v>57</v>
      </c>
      <c r="N33" s="954"/>
      <c r="O33" s="954"/>
      <c r="P33" s="955"/>
      <c r="Q33" s="941" t="s">
        <v>58</v>
      </c>
      <c r="Y33" s="941"/>
    </row>
    <row r="34" ht="18.75" spans="1:25">
      <c r="A34" s="544"/>
      <c r="B34" s="937" t="s">
        <v>59</v>
      </c>
      <c r="C34" s="937" t="s">
        <v>60</v>
      </c>
      <c r="D34" s="937" t="s">
        <v>61</v>
      </c>
      <c r="E34" s="922" t="e">
        <f>各项系数!$F$77*《倍数表》!I34^2*《倍数表》!H34</f>
        <v>#NAME?</v>
      </c>
      <c r="F34" s="939" t="str">
        <f>MID($B34,1,FIND("/",$B34)-1)</f>
        <v>10</v>
      </c>
      <c r="G34" s="939" t="str">
        <f t="shared" ref="G34:G46" si="1">IF(COUNTIF(C34,"*")&gt;0,MID(C34,1,FIND("*",C34)-1),MID($C34,1,FIND("*",$C34)-1))</f>
        <v>6</v>
      </c>
      <c r="H34" s="939" t="e">
        <f t="shared" ref="H34:H46" si="2">g</f>
        <v>#NAME?</v>
      </c>
      <c r="I34" s="962" t="str">
        <f t="shared" ref="I34:I46" si="3">RIGHT($C34,(LEN($C34)-FIND("*",$C34)))</f>
        <v>150</v>
      </c>
      <c r="J34" s="960" t="str">
        <f>MID($B34,FIND("/",$B34)+1,LEN($B34))</f>
        <v>2</v>
      </c>
      <c r="K34" s="960" t="str">
        <f t="shared" ref="K34:K46" si="4">IF(COUNTIF(D34,"*")&gt;0,MID(D34,1,FIND("*",D34)-1),MID($D34,1,FIND("*",$D34)-1))</f>
        <v>1</v>
      </c>
      <c r="L34" s="963" t="e">
        <f t="shared" ref="L34:L46" si="5">k</f>
        <v>#NAME?</v>
      </c>
      <c r="M34" s="964" t="str">
        <f t="shared" ref="M34:M46" si="6">RIGHT($D34,(LEN($C34)-FIND("*",$C34)))</f>
        <v>150</v>
      </c>
      <c r="N34" s="965" t="e">
        <f t="shared" ref="N34:N46" si="7">L34+H34</f>
        <v>#NAME?</v>
      </c>
      <c r="O34" s="966" t="str">
        <f>K34&amp;"*"&amp;G34</f>
        <v>1*6</v>
      </c>
      <c r="P34" s="967">
        <f t="shared" ref="P34:P39" si="8">M34*3</f>
        <v>450</v>
      </c>
      <c r="Q34" s="941" t="e">
        <f>H34*I34*I34*3.14/4/10000</f>
        <v>#NAME?</v>
      </c>
      <c r="R34" s="941" t="e">
        <f>Q34-F34</f>
        <v>#NAME?</v>
      </c>
      <c r="Y34" s="941"/>
    </row>
    <row r="35" ht="18.75" spans="1:25">
      <c r="A35" s="544"/>
      <c r="B35" s="937" t="s">
        <v>62</v>
      </c>
      <c r="C35" s="937" t="s">
        <v>63</v>
      </c>
      <c r="D35" s="937" t="s">
        <v>64</v>
      </c>
      <c r="E35" s="922" t="e">
        <f>各项系数!$F$77*《倍数表》!I35^2*《倍数表》!H35</f>
        <v>#NAME?</v>
      </c>
      <c r="F35" s="939" t="str">
        <f t="shared" ref="F35:F46" si="9">MID($B35,1,FIND("/",$B35)-1)</f>
        <v>16</v>
      </c>
      <c r="G35" s="939" t="str">
        <f t="shared" si="1"/>
        <v>6</v>
      </c>
      <c r="H35" s="939" t="e">
        <f t="shared" si="2"/>
        <v>#NAME?</v>
      </c>
      <c r="I35" s="962" t="str">
        <f t="shared" si="3"/>
        <v>185</v>
      </c>
      <c r="J35" s="960" t="str">
        <f t="shared" ref="J35:J46" si="10">MID($B35,FIND("/",$B35)+1,LEN($B35))</f>
        <v>3</v>
      </c>
      <c r="K35" s="960" t="str">
        <f t="shared" si="4"/>
        <v>1</v>
      </c>
      <c r="L35" s="963" t="e">
        <f t="shared" si="5"/>
        <v>#NAME?</v>
      </c>
      <c r="M35" s="964" t="str">
        <f t="shared" si="6"/>
        <v>185</v>
      </c>
      <c r="N35" s="965" t="e">
        <f t="shared" si="7"/>
        <v>#NAME?</v>
      </c>
      <c r="O35" s="966" t="str">
        <f t="shared" ref="O35:O46" si="11">K35&amp;"*"&amp;G35</f>
        <v>1*6</v>
      </c>
      <c r="P35" s="967">
        <f t="shared" si="8"/>
        <v>555</v>
      </c>
      <c r="Q35" s="941" t="e">
        <f t="shared" ref="Q35:Q46" si="12">H35*I35*I35*3.14/4/10000</f>
        <v>#NAME?</v>
      </c>
      <c r="R35" s="941" t="e">
        <f t="shared" ref="R35:R46" si="13">Q35-F35</f>
        <v>#NAME?</v>
      </c>
      <c r="Y35" s="941"/>
    </row>
    <row r="36" ht="18.75" spans="1:25">
      <c r="A36" s="544"/>
      <c r="B36" s="937" t="s">
        <v>65</v>
      </c>
      <c r="C36" s="937" t="s">
        <v>66</v>
      </c>
      <c r="D36" s="937" t="s">
        <v>67</v>
      </c>
      <c r="E36" s="922" t="e">
        <f>各项系数!$F$77*《倍数表》!I36^2*《倍数表》!H36</f>
        <v>#NAME?</v>
      </c>
      <c r="F36" s="939" t="str">
        <f t="shared" si="9"/>
        <v>25</v>
      </c>
      <c r="G36" s="939" t="str">
        <f t="shared" si="1"/>
        <v>6</v>
      </c>
      <c r="H36" s="939" t="e">
        <f t="shared" si="2"/>
        <v>#NAME?</v>
      </c>
      <c r="I36" s="962" t="str">
        <f t="shared" si="3"/>
        <v>232</v>
      </c>
      <c r="J36" s="960" t="str">
        <f t="shared" si="10"/>
        <v>4</v>
      </c>
      <c r="K36" s="960" t="str">
        <f t="shared" si="4"/>
        <v>1</v>
      </c>
      <c r="L36" s="963" t="e">
        <f t="shared" si="5"/>
        <v>#NAME?</v>
      </c>
      <c r="M36" s="964" t="str">
        <f t="shared" si="6"/>
        <v>232</v>
      </c>
      <c r="N36" s="965" t="e">
        <f t="shared" si="7"/>
        <v>#NAME?</v>
      </c>
      <c r="O36" s="966" t="str">
        <f t="shared" si="11"/>
        <v>1*6</v>
      </c>
      <c r="P36" s="967">
        <f t="shared" si="8"/>
        <v>696</v>
      </c>
      <c r="Q36" s="941" t="e">
        <f t="shared" si="12"/>
        <v>#NAME?</v>
      </c>
      <c r="R36" s="941" t="e">
        <f t="shared" si="13"/>
        <v>#NAME?</v>
      </c>
      <c r="Y36" s="941"/>
    </row>
    <row r="37" ht="18.75" spans="1:25">
      <c r="A37" s="544"/>
      <c r="B37" s="937" t="s">
        <v>68</v>
      </c>
      <c r="C37" s="937" t="s">
        <v>69</v>
      </c>
      <c r="D37" s="937" t="s">
        <v>70</v>
      </c>
      <c r="E37" s="922" t="e">
        <f>各项系数!$F$77*《倍数表》!I37^2*《倍数表》!H37</f>
        <v>#NAME?</v>
      </c>
      <c r="F37" s="939" t="str">
        <f t="shared" si="9"/>
        <v>35</v>
      </c>
      <c r="G37" s="939" t="str">
        <f t="shared" si="1"/>
        <v>6</v>
      </c>
      <c r="H37" s="939" t="e">
        <f t="shared" si="2"/>
        <v>#NAME?</v>
      </c>
      <c r="I37" s="962" t="str">
        <f t="shared" si="3"/>
        <v>272</v>
      </c>
      <c r="J37" s="960" t="str">
        <f t="shared" si="10"/>
        <v>6</v>
      </c>
      <c r="K37" s="960" t="str">
        <f t="shared" si="4"/>
        <v>1</v>
      </c>
      <c r="L37" s="963" t="e">
        <f t="shared" si="5"/>
        <v>#NAME?</v>
      </c>
      <c r="M37" s="964" t="str">
        <f t="shared" si="6"/>
        <v>272</v>
      </c>
      <c r="N37" s="965" t="e">
        <f t="shared" si="7"/>
        <v>#NAME?</v>
      </c>
      <c r="O37" s="966" t="str">
        <f t="shared" si="11"/>
        <v>1*6</v>
      </c>
      <c r="P37" s="967">
        <f t="shared" si="8"/>
        <v>816</v>
      </c>
      <c r="Q37" s="941" t="e">
        <f t="shared" si="12"/>
        <v>#NAME?</v>
      </c>
      <c r="R37" s="941" t="e">
        <f t="shared" si="13"/>
        <v>#NAME?</v>
      </c>
      <c r="Y37" s="941"/>
    </row>
    <row r="38" ht="18.75" spans="1:25">
      <c r="A38" s="544"/>
      <c r="B38" s="937" t="s">
        <v>71</v>
      </c>
      <c r="C38" s="937" t="s">
        <v>72</v>
      </c>
      <c r="D38" s="937" t="s">
        <v>73</v>
      </c>
      <c r="E38" s="922" t="e">
        <f>各项系数!$F$77*《倍数表》!I38^2*《倍数表》!H38</f>
        <v>#NAME?</v>
      </c>
      <c r="F38" s="939" t="str">
        <f t="shared" si="9"/>
        <v>50</v>
      </c>
      <c r="G38" s="939" t="str">
        <f t="shared" si="1"/>
        <v>6</v>
      </c>
      <c r="H38" s="939" t="e">
        <f t="shared" si="2"/>
        <v>#NAME?</v>
      </c>
      <c r="I38" s="962" t="str">
        <f t="shared" si="3"/>
        <v>320</v>
      </c>
      <c r="J38" s="960" t="str">
        <f t="shared" si="10"/>
        <v>8</v>
      </c>
      <c r="K38" s="960" t="str">
        <f t="shared" si="4"/>
        <v>1</v>
      </c>
      <c r="L38" s="963" t="e">
        <f t="shared" si="5"/>
        <v>#NAME?</v>
      </c>
      <c r="M38" s="964" t="str">
        <f t="shared" si="6"/>
        <v>320</v>
      </c>
      <c r="N38" s="965" t="e">
        <f t="shared" si="7"/>
        <v>#NAME?</v>
      </c>
      <c r="O38" s="966" t="str">
        <f t="shared" si="11"/>
        <v>1*6</v>
      </c>
      <c r="P38" s="967">
        <f t="shared" si="8"/>
        <v>960</v>
      </c>
      <c r="Q38" s="941" t="e">
        <f t="shared" si="12"/>
        <v>#NAME?</v>
      </c>
      <c r="R38" s="941" t="e">
        <f t="shared" si="13"/>
        <v>#NAME?</v>
      </c>
      <c r="Y38" s="941"/>
    </row>
    <row r="39" ht="18.75" spans="1:25">
      <c r="A39" s="544"/>
      <c r="B39" s="937" t="s">
        <v>74</v>
      </c>
      <c r="C39" s="937" t="s">
        <v>75</v>
      </c>
      <c r="D39" s="937" t="s">
        <v>76</v>
      </c>
      <c r="E39" s="922" t="e">
        <f>各项系数!$F$77*《倍数表》!I39^2*《倍数表》!H39</f>
        <v>#NAME?</v>
      </c>
      <c r="F39" s="939" t="str">
        <f t="shared" si="9"/>
        <v>70</v>
      </c>
      <c r="G39" s="939" t="str">
        <f t="shared" si="1"/>
        <v>6</v>
      </c>
      <c r="H39" s="939" t="e">
        <f t="shared" si="2"/>
        <v>#NAME?</v>
      </c>
      <c r="I39" s="962" t="str">
        <f t="shared" si="3"/>
        <v>380</v>
      </c>
      <c r="J39" s="960" t="str">
        <f t="shared" si="10"/>
        <v>10</v>
      </c>
      <c r="K39" s="960" t="str">
        <f t="shared" si="4"/>
        <v>1</v>
      </c>
      <c r="L39" s="963" t="e">
        <f t="shared" si="5"/>
        <v>#NAME?</v>
      </c>
      <c r="M39" s="964" t="str">
        <f t="shared" si="6"/>
        <v>380</v>
      </c>
      <c r="N39" s="965" t="e">
        <f t="shared" si="7"/>
        <v>#NAME?</v>
      </c>
      <c r="O39" s="966" t="str">
        <f t="shared" si="11"/>
        <v>1*6</v>
      </c>
      <c r="P39" s="967">
        <f t="shared" si="8"/>
        <v>1140</v>
      </c>
      <c r="Q39" s="941" t="e">
        <f t="shared" si="12"/>
        <v>#NAME?</v>
      </c>
      <c r="R39" s="941" t="e">
        <f t="shared" si="13"/>
        <v>#NAME?</v>
      </c>
      <c r="Y39" s="941"/>
    </row>
    <row r="40" ht="18.75" spans="1:25">
      <c r="A40" s="544"/>
      <c r="B40" s="937" t="s">
        <v>77</v>
      </c>
      <c r="C40" s="937" t="s">
        <v>78</v>
      </c>
      <c r="D40" s="937" t="s">
        <v>79</v>
      </c>
      <c r="E40" s="922" t="e">
        <f>各项系数!$F$77*《倍数表》!I40^2*《倍数表》!H40</f>
        <v>#NAME?</v>
      </c>
      <c r="F40" s="939" t="str">
        <f t="shared" si="9"/>
        <v>95</v>
      </c>
      <c r="G40" s="939" t="str">
        <f t="shared" si="1"/>
        <v>10+16</v>
      </c>
      <c r="H40" s="939" t="e">
        <f t="shared" si="2"/>
        <v>#NAME?</v>
      </c>
      <c r="I40" s="962" t="str">
        <f t="shared" si="3"/>
        <v>215</v>
      </c>
      <c r="J40" s="960" t="str">
        <f t="shared" si="10"/>
        <v>15</v>
      </c>
      <c r="K40" s="960" t="str">
        <f t="shared" si="4"/>
        <v>1+6</v>
      </c>
      <c r="L40" s="963" t="e">
        <f t="shared" si="5"/>
        <v>#NAME?</v>
      </c>
      <c r="M40" s="964" t="str">
        <f t="shared" si="6"/>
        <v>167</v>
      </c>
      <c r="N40" s="965" t="e">
        <f t="shared" si="7"/>
        <v>#NAME?</v>
      </c>
      <c r="O40" s="966" t="str">
        <f t="shared" si="11"/>
        <v>1+6*10+16</v>
      </c>
      <c r="P40" s="967">
        <v>1355.03</v>
      </c>
      <c r="Q40" s="941" t="e">
        <f t="shared" si="12"/>
        <v>#NAME?</v>
      </c>
      <c r="R40" s="941" t="e">
        <f t="shared" si="13"/>
        <v>#NAME?</v>
      </c>
      <c r="Y40" s="941"/>
    </row>
    <row r="41" ht="18.75" spans="1:27">
      <c r="A41" s="544"/>
      <c r="B41" s="937" t="s">
        <v>80</v>
      </c>
      <c r="C41" s="937" t="s">
        <v>81</v>
      </c>
      <c r="D41" s="937" t="s">
        <v>82</v>
      </c>
      <c r="E41" s="922" t="e">
        <f>各项系数!$F$77*《倍数表》!I41^2*《倍数表》!H41</f>
        <v>#NAME?</v>
      </c>
      <c r="F41" s="939" t="str">
        <f t="shared" si="9"/>
        <v>120</v>
      </c>
      <c r="G41" s="939" t="str">
        <f t="shared" si="1"/>
        <v>10+16</v>
      </c>
      <c r="H41" s="939" t="e">
        <f t="shared" si="2"/>
        <v>#NAME?</v>
      </c>
      <c r="I41" s="962" t="str">
        <f t="shared" si="3"/>
        <v>238</v>
      </c>
      <c r="J41" s="960" t="str">
        <f t="shared" si="10"/>
        <v>20</v>
      </c>
      <c r="K41" s="960" t="str">
        <f t="shared" si="4"/>
        <v>1+6</v>
      </c>
      <c r="L41" s="963" t="e">
        <f t="shared" si="5"/>
        <v>#NAME?</v>
      </c>
      <c r="M41" s="964" t="str">
        <f t="shared" si="6"/>
        <v>185</v>
      </c>
      <c r="N41" s="965" t="e">
        <f t="shared" si="7"/>
        <v>#NAME?</v>
      </c>
      <c r="O41" s="966" t="str">
        <f t="shared" si="11"/>
        <v>1+6*10+16</v>
      </c>
      <c r="P41" s="967">
        <v>1482.8</v>
      </c>
      <c r="Q41" s="941" t="e">
        <f t="shared" si="12"/>
        <v>#NAME?</v>
      </c>
      <c r="R41" s="941" t="e">
        <f t="shared" si="13"/>
        <v>#NAME?</v>
      </c>
      <c r="Y41" s="941"/>
      <c r="Z41" s="941">
        <v>150</v>
      </c>
      <c r="AA41" s="941">
        <v>6</v>
      </c>
    </row>
    <row r="42" ht="18.75" spans="1:27">
      <c r="A42" s="544"/>
      <c r="B42" s="937" t="s">
        <v>83</v>
      </c>
      <c r="C42" s="937" t="s">
        <v>84</v>
      </c>
      <c r="D42" s="937" t="s">
        <v>82</v>
      </c>
      <c r="E42" s="922" t="e">
        <f>各项系数!$F$77*《倍数表》!I42^2*《倍数表》!H42</f>
        <v>#NAME?</v>
      </c>
      <c r="F42" s="939" t="str">
        <f t="shared" si="9"/>
        <v>150</v>
      </c>
      <c r="G42" s="939" t="str">
        <f t="shared" si="1"/>
        <v>9+15</v>
      </c>
      <c r="H42" s="939" t="e">
        <f t="shared" si="2"/>
        <v>#NAME?</v>
      </c>
      <c r="I42" s="962" t="str">
        <f t="shared" si="3"/>
        <v>276</v>
      </c>
      <c r="J42" s="960" t="str">
        <f t="shared" si="10"/>
        <v>20</v>
      </c>
      <c r="K42" s="960" t="str">
        <f t="shared" si="4"/>
        <v>1+6</v>
      </c>
      <c r="L42" s="963" t="e">
        <f t="shared" si="5"/>
        <v>#NAME?</v>
      </c>
      <c r="M42" s="964" t="str">
        <f t="shared" si="6"/>
        <v>185</v>
      </c>
      <c r="N42" s="965" t="e">
        <f t="shared" si="7"/>
        <v>#NAME?</v>
      </c>
      <c r="O42" s="966" t="str">
        <f t="shared" si="11"/>
        <v>1+6*9+15</v>
      </c>
      <c r="P42" s="967">
        <v>1654.876</v>
      </c>
      <c r="Q42" s="941" t="e">
        <f t="shared" si="12"/>
        <v>#NAME?</v>
      </c>
      <c r="R42" s="941" t="e">
        <f t="shared" si="13"/>
        <v>#NAME?</v>
      </c>
      <c r="Y42" s="941"/>
      <c r="Z42" s="941">
        <v>3.14</v>
      </c>
      <c r="AA42" s="941">
        <f>Z42*Z41*Z41/4*AA41</f>
        <v>105975</v>
      </c>
    </row>
    <row r="43" ht="18.75" spans="1:25">
      <c r="A43" s="544"/>
      <c r="B43" s="937" t="s">
        <v>85</v>
      </c>
      <c r="C43" s="937" t="s">
        <v>86</v>
      </c>
      <c r="D43" s="937" t="s">
        <v>87</v>
      </c>
      <c r="E43" s="922" t="e">
        <f>各项系数!$F$77*《倍数表》!I43^2*《倍数表》!H43</f>
        <v>#NAME?</v>
      </c>
      <c r="F43" s="939" t="str">
        <f t="shared" si="9"/>
        <v>185</v>
      </c>
      <c r="G43" s="939" t="str">
        <f t="shared" si="1"/>
        <v>9+15</v>
      </c>
      <c r="H43" s="939" t="e">
        <f t="shared" si="2"/>
        <v>#NAME?</v>
      </c>
      <c r="I43" s="962" t="str">
        <f t="shared" si="3"/>
        <v>315</v>
      </c>
      <c r="J43" s="960" t="str">
        <f t="shared" si="10"/>
        <v>25</v>
      </c>
      <c r="K43" s="960" t="str">
        <f t="shared" si="4"/>
        <v>1+6</v>
      </c>
      <c r="L43" s="963" t="e">
        <f t="shared" si="5"/>
        <v>#NAME?</v>
      </c>
      <c r="M43" s="964" t="str">
        <f t="shared" si="6"/>
        <v>210</v>
      </c>
      <c r="N43" s="965" t="e">
        <f t="shared" si="7"/>
        <v>#NAME?</v>
      </c>
      <c r="O43" s="966" t="str">
        <f t="shared" si="11"/>
        <v>1+6*9+15</v>
      </c>
      <c r="P43" s="967">
        <v>1865.0976</v>
      </c>
      <c r="Q43" s="941" t="e">
        <f t="shared" si="12"/>
        <v>#NAME?</v>
      </c>
      <c r="R43" s="941" t="e">
        <f t="shared" si="13"/>
        <v>#NAME?</v>
      </c>
      <c r="S43" s="941"/>
      <c r="T43" s="941"/>
      <c r="U43" s="941"/>
      <c r="V43" s="941"/>
      <c r="W43" s="941"/>
      <c r="X43" s="941"/>
      <c r="Y43" s="941"/>
    </row>
    <row r="44" ht="18.75" spans="1:19">
      <c r="A44" s="544"/>
      <c r="B44" s="937" t="s">
        <v>88</v>
      </c>
      <c r="C44" s="937" t="s">
        <v>89</v>
      </c>
      <c r="D44" s="937" t="s">
        <v>90</v>
      </c>
      <c r="E44" s="922" t="e">
        <f>各项系数!$F$77*《倍数表》!I44^2*《倍数表》!H44</f>
        <v>#NAME?</v>
      </c>
      <c r="F44" s="939" t="str">
        <f t="shared" si="9"/>
        <v>240</v>
      </c>
      <c r="G44" s="939" t="str">
        <f t="shared" si="1"/>
        <v>9+15</v>
      </c>
      <c r="H44" s="939" t="e">
        <f t="shared" si="2"/>
        <v>#NAME?</v>
      </c>
      <c r="I44" s="962" t="str">
        <f t="shared" si="3"/>
        <v>360</v>
      </c>
      <c r="J44" s="960" t="str">
        <f t="shared" si="10"/>
        <v>30</v>
      </c>
      <c r="K44" s="960" t="str">
        <f t="shared" si="4"/>
        <v>1+6</v>
      </c>
      <c r="L44" s="963" t="e">
        <f t="shared" si="5"/>
        <v>#NAME?</v>
      </c>
      <c r="M44" s="964" t="str">
        <f t="shared" si="6"/>
        <v>240</v>
      </c>
      <c r="N44" s="965" t="e">
        <f t="shared" si="7"/>
        <v>#NAME?</v>
      </c>
      <c r="O44" s="966" t="str">
        <f t="shared" si="11"/>
        <v>1+6*9+15</v>
      </c>
      <c r="P44" s="967">
        <v>2125.09</v>
      </c>
      <c r="Q44" s="941" t="e">
        <f t="shared" si="12"/>
        <v>#NAME?</v>
      </c>
      <c r="R44" s="941" t="e">
        <f t="shared" si="13"/>
        <v>#NAME?</v>
      </c>
      <c r="S44" s="941"/>
    </row>
    <row r="45" ht="18.75" spans="1:19">
      <c r="A45" s="544"/>
      <c r="B45" s="937" t="s">
        <v>91</v>
      </c>
      <c r="C45" s="937" t="s">
        <v>92</v>
      </c>
      <c r="D45" s="937" t="s">
        <v>93</v>
      </c>
      <c r="E45" s="922" t="e">
        <f>各项系数!$F$77*《倍数表》!I45^2*《倍数表》!H45</f>
        <v>#NAME?</v>
      </c>
      <c r="F45" s="939" t="str">
        <f t="shared" si="9"/>
        <v>300</v>
      </c>
      <c r="G45" s="939" t="str">
        <f t="shared" si="1"/>
        <v>9+15</v>
      </c>
      <c r="H45" s="939" t="e">
        <f t="shared" si="2"/>
        <v>#NAME?</v>
      </c>
      <c r="I45" s="962" t="str">
        <f t="shared" si="3"/>
        <v>399</v>
      </c>
      <c r="J45" s="960" t="str">
        <f t="shared" si="10"/>
        <v>40</v>
      </c>
      <c r="K45" s="960" t="str">
        <f t="shared" si="4"/>
        <v>1+6</v>
      </c>
      <c r="L45" s="963" t="e">
        <f t="shared" si="5"/>
        <v>#NAME?</v>
      </c>
      <c r="M45" s="964" t="str">
        <f t="shared" si="6"/>
        <v>266</v>
      </c>
      <c r="N45" s="965" t="e">
        <f t="shared" si="7"/>
        <v>#NAME?</v>
      </c>
      <c r="O45" s="966" t="str">
        <f t="shared" si="11"/>
        <v>1+6*9+15</v>
      </c>
      <c r="P45" s="967">
        <v>2380.82</v>
      </c>
      <c r="Q45" s="941" t="e">
        <f t="shared" si="12"/>
        <v>#NAME?</v>
      </c>
      <c r="R45" s="941" t="e">
        <f t="shared" si="13"/>
        <v>#NAME?</v>
      </c>
      <c r="S45" s="941"/>
    </row>
    <row r="46" ht="18.75" spans="1:19">
      <c r="A46" s="544"/>
      <c r="B46" s="937" t="s">
        <v>94</v>
      </c>
      <c r="C46" s="937" t="s">
        <v>95</v>
      </c>
      <c r="D46" s="937" t="s">
        <v>96</v>
      </c>
      <c r="E46" s="922" t="e">
        <f>各项系数!$F$77*《倍数表》!I46^2*《倍数表》!H46</f>
        <v>#NAME?</v>
      </c>
      <c r="F46" s="939" t="str">
        <f t="shared" si="9"/>
        <v>400</v>
      </c>
      <c r="G46" s="939" t="str">
        <f t="shared" si="1"/>
        <v>12+18+24</v>
      </c>
      <c r="H46" s="939" t="e">
        <f t="shared" si="2"/>
        <v>#NAME?</v>
      </c>
      <c r="I46" s="962" t="str">
        <f t="shared" si="3"/>
        <v>307</v>
      </c>
      <c r="J46" s="960" t="str">
        <f t="shared" si="10"/>
        <v>50</v>
      </c>
      <c r="K46" s="960" t="str">
        <f t="shared" si="4"/>
        <v>1+6</v>
      </c>
      <c r="L46" s="963" t="e">
        <f t="shared" si="5"/>
        <v>#NAME?</v>
      </c>
      <c r="M46" s="964" t="str">
        <f t="shared" si="6"/>
        <v>307</v>
      </c>
      <c r="N46" s="965" t="e">
        <f t="shared" si="7"/>
        <v>#NAME?</v>
      </c>
      <c r="O46" s="966" t="str">
        <f t="shared" si="11"/>
        <v>1+6*12+18+24</v>
      </c>
      <c r="P46" s="967">
        <f>8.706*M46</f>
        <v>2672.742</v>
      </c>
      <c r="Q46" s="941" t="e">
        <f t="shared" si="12"/>
        <v>#NAME?</v>
      </c>
      <c r="R46" s="941" t="e">
        <f t="shared" si="13"/>
        <v>#NAME?</v>
      </c>
      <c r="S46" s="941"/>
    </row>
    <row r="47" spans="1:19">
      <c r="A47" s="544"/>
      <c r="B47" s="940" t="s">
        <v>97</v>
      </c>
      <c r="C47" s="940"/>
      <c r="D47" s="940"/>
      <c r="H47" s="941" t="s">
        <v>98</v>
      </c>
      <c r="S47" s="941"/>
    </row>
    <row r="48" spans="1:13">
      <c r="A48" s="544"/>
      <c r="F48" s="941"/>
      <c r="G48" s="941"/>
      <c r="H48" s="941"/>
      <c r="I48" s="941"/>
      <c r="J48" s="941"/>
      <c r="K48" s="941"/>
      <c r="L48" s="941"/>
      <c r="M48" s="941"/>
    </row>
    <row r="49" ht="71.25" spans="1:5">
      <c r="A49" s="544"/>
      <c r="E49" s="544" t="s">
        <v>99</v>
      </c>
    </row>
    <row r="50" ht="57" spans="1:5">
      <c r="A50" s="544"/>
      <c r="E50" s="544" t="s">
        <v>100</v>
      </c>
    </row>
    <row r="51" spans="1:6">
      <c r="A51" s="544"/>
      <c r="E51" s="544"/>
      <c r="F51" s="544"/>
    </row>
    <row r="52" spans="1:9">
      <c r="A52" s="544"/>
      <c r="B52" s="942" t="s">
        <v>101</v>
      </c>
      <c r="C52" s="942" t="s">
        <v>102</v>
      </c>
      <c r="D52" s="942" t="s">
        <v>103</v>
      </c>
      <c r="E52" s="941"/>
      <c r="H52" s="544"/>
      <c r="I52" s="544"/>
    </row>
    <row r="53" ht="85.5" spans="1:9">
      <c r="A53" s="544"/>
      <c r="B53" s="943"/>
      <c r="C53" s="944" t="s">
        <v>104</v>
      </c>
      <c r="D53" s="944" t="s">
        <v>105</v>
      </c>
      <c r="E53" s="944"/>
      <c r="H53" s="544"/>
      <c r="I53" s="544"/>
    </row>
    <row r="54" spans="1:9">
      <c r="A54" s="544"/>
      <c r="H54" s="544"/>
      <c r="I54" s="544"/>
    </row>
  </sheetData>
  <mergeCells count="9">
    <mergeCell ref="E2:G2"/>
    <mergeCell ref="H2:J2"/>
    <mergeCell ref="F31:M31"/>
    <mergeCell ref="F32:I32"/>
    <mergeCell ref="J32:M32"/>
    <mergeCell ref="N31:N33"/>
    <mergeCell ref="O31:O33"/>
    <mergeCell ref="P31:P33"/>
    <mergeCell ref="B31:D32"/>
  </mergeCells>
  <pageMargins left="0.75" right="0.75" top="1" bottom="1" header="0.509027777777778" footer="0.509027777777778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>
    <tabColor rgb="FF00B050"/>
  </sheetPr>
  <dimension ref="A1:CF50"/>
  <sheetViews>
    <sheetView workbookViewId="0">
      <selection activeCell="DK63" sqref="DK63"/>
    </sheetView>
  </sheetViews>
  <sheetFormatPr defaultColWidth="9" defaultRowHeight="14.25"/>
  <cols>
    <col min="1" max="2" width="7.625" customWidth="1"/>
    <col min="3" max="3" width="15.125" hidden="1" customWidth="1"/>
    <col min="4" max="7" width="7.125" hidden="1" customWidth="1"/>
    <col min="8" max="8" width="6.625" hidden="1" customWidth="1"/>
    <col min="9" max="12" width="5.625" hidden="1" customWidth="1"/>
    <col min="13" max="13" width="15.125" hidden="1" customWidth="1"/>
    <col min="14" max="17" width="7.125" hidden="1" customWidth="1"/>
    <col min="18" max="18" width="6.625" hidden="1" customWidth="1"/>
    <col min="19" max="22" width="5.625" hidden="1" customWidth="1"/>
    <col min="23" max="23" width="3.625" hidden="1" customWidth="1"/>
    <col min="24" max="24" width="13.125" hidden="1" customWidth="1"/>
    <col min="25" max="29" width="6.125" hidden="1" customWidth="1"/>
    <col min="30" max="33" width="5.625" hidden="1" customWidth="1"/>
    <col min="34" max="34" width="13.125" hidden="1" customWidth="1"/>
    <col min="35" max="39" width="6.125" hidden="1" customWidth="1"/>
    <col min="40" max="43" width="5.625" hidden="1" customWidth="1"/>
    <col min="44" max="44" width="3.625" hidden="1" customWidth="1"/>
    <col min="45" max="46" width="15.125" customWidth="1"/>
    <col min="47" max="48" width="13.125" customWidth="1"/>
    <col min="49" max="49" width="3.625" customWidth="1"/>
    <col min="50" max="50" width="10.625" customWidth="1"/>
    <col min="51" max="53" width="12.125" customWidth="1"/>
    <col min="54" max="54" width="5.625" customWidth="1"/>
    <col min="55" max="55" width="10.625" customWidth="1"/>
    <col min="56" max="58" width="11.875" customWidth="1"/>
    <col min="59" max="59" width="2.875" customWidth="1"/>
    <col min="60" max="60" width="10.625" customWidth="1"/>
    <col min="61" max="63" width="12.125" customWidth="1"/>
    <col min="64" max="64" width="3.25" customWidth="1"/>
    <col min="65" max="65" width="3.625" customWidth="1"/>
    <col min="66" max="66" width="10.625" customWidth="1"/>
    <col min="67" max="69" width="11.875" customWidth="1"/>
    <col min="70" max="70" width="10.625" customWidth="1"/>
    <col min="71" max="71" width="11.875" customWidth="1"/>
    <col min="72" max="72" width="3.25" customWidth="1"/>
    <col min="73" max="73" width="3.625" customWidth="1"/>
    <col min="74" max="75" width="10.625" customWidth="1"/>
    <col min="76" max="76" width="3.625" customWidth="1"/>
    <col min="77" max="77" width="12.625" customWidth="1"/>
    <col min="78" max="78" width="3.625" customWidth="1"/>
    <col min="79" max="79" width="12.625" customWidth="1"/>
    <col min="80" max="80" width="3.625" customWidth="1"/>
    <col min="81" max="81" width="12.625" customWidth="1"/>
    <col min="82" max="82" width="5.625" customWidth="1"/>
    <col min="83" max="83" width="13.625" customWidth="1"/>
    <col min="84" max="84" width="12.625" customWidth="1"/>
  </cols>
  <sheetData>
    <row r="1" ht="5.1" customHeight="1"/>
    <row r="2" ht="72" hidden="1" customHeight="1" spans="1:82">
      <c r="A2" s="676"/>
      <c r="B2" s="13"/>
      <c r="E2" s="677"/>
      <c r="F2" s="13"/>
      <c r="G2" s="13"/>
      <c r="H2" s="13"/>
      <c r="I2" s="13"/>
      <c r="J2" s="13"/>
      <c r="K2" s="13"/>
      <c r="L2" s="13"/>
      <c r="T2" s="13"/>
      <c r="U2" s="13"/>
      <c r="AE2" s="13"/>
      <c r="AF2" s="13"/>
      <c r="AO2" s="13"/>
      <c r="AP2" s="13"/>
      <c r="AT2" s="753">
        <v>44412</v>
      </c>
      <c r="BD2">
        <v>23</v>
      </c>
      <c r="BF2">
        <v>15</v>
      </c>
      <c r="BI2">
        <v>23</v>
      </c>
      <c r="BK2">
        <v>15</v>
      </c>
      <c r="BO2">
        <v>23</v>
      </c>
      <c r="BQ2">
        <v>15</v>
      </c>
      <c r="BS2">
        <v>23</v>
      </c>
      <c r="CD2" t="e">
        <v>#N/A</v>
      </c>
    </row>
    <row r="3" ht="30" customHeight="1" spans="3:84">
      <c r="C3" s="678" t="str">
        <f>_xlfn.DISPIMG("2c23ab60c3fc2b34(1)",1)</f>
        <v>=DISPIMG("2c23ab60c3fc2b34(1)",1)</v>
      </c>
      <c r="D3" s="679" t="s">
        <v>106</v>
      </c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679"/>
      <c r="U3" s="679"/>
      <c r="V3" s="679"/>
      <c r="W3" s="716"/>
      <c r="X3" s="678" t="str">
        <f>_xlfn.DISPIMG("2c23ab60c3fc2b34(1)",1)</f>
        <v>=DISPIMG("2c23ab60c3fc2b34(1)",1)</v>
      </c>
      <c r="Y3" s="678"/>
      <c r="Z3" s="679" t="s">
        <v>106</v>
      </c>
      <c r="AA3" s="679"/>
      <c r="AB3" s="679"/>
      <c r="AC3" s="679"/>
      <c r="AD3" s="679"/>
      <c r="AE3" s="679"/>
      <c r="AF3" s="679"/>
      <c r="AG3" s="679"/>
      <c r="AH3" s="679"/>
      <c r="AI3" s="679"/>
      <c r="AJ3" s="679"/>
      <c r="AK3" s="679"/>
      <c r="AL3" s="679"/>
      <c r="AM3" s="679"/>
      <c r="AN3" s="679"/>
      <c r="AO3" s="679"/>
      <c r="AP3" s="679"/>
      <c r="AQ3" s="679"/>
      <c r="AR3" s="679"/>
      <c r="AS3" s="678"/>
      <c r="AT3" s="679"/>
      <c r="AU3" s="678"/>
      <c r="AV3" s="679"/>
      <c r="AW3" s="679"/>
      <c r="AX3" s="678"/>
      <c r="AY3" s="679"/>
      <c r="AZ3" s="679"/>
      <c r="BA3" s="679"/>
      <c r="BB3" s="678"/>
      <c r="BC3" s="678" t="str">
        <f>_xlfn.DISPIMG("2c23ab60c3fc2b34(1)",1)</f>
        <v>=DISPIMG("2c23ab60c3fc2b34(1)",1)</v>
      </c>
      <c r="BD3" s="679" t="s">
        <v>106</v>
      </c>
      <c r="BE3" s="679"/>
      <c r="BF3" s="679"/>
      <c r="BG3" s="815"/>
      <c r="BH3" s="678" t="str">
        <f>_xlfn.DISPIMG("2c23ab60c3fc2b34(1)",1)</f>
        <v>=DISPIMG("2c23ab60c3fc2b34(1)",1)</v>
      </c>
      <c r="BI3" s="679" t="s">
        <v>106</v>
      </c>
      <c r="BJ3" s="679"/>
      <c r="BK3" s="679"/>
      <c r="BL3" s="678"/>
      <c r="BM3" s="815"/>
      <c r="BN3" s="678" t="str">
        <f>_xlfn.DISPIMG("2c23ab60c3fc2b34(1)",1)</f>
        <v>=DISPIMG("2c23ab60c3fc2b34(1)",1)</v>
      </c>
      <c r="BO3" s="679" t="s">
        <v>106</v>
      </c>
      <c r="BP3" s="679"/>
      <c r="BQ3" s="679"/>
      <c r="BR3" s="678"/>
      <c r="BS3" s="679"/>
      <c r="BT3" s="678"/>
      <c r="BU3" s="679"/>
      <c r="BV3" s="678"/>
      <c r="BW3" s="679"/>
      <c r="BX3" s="679"/>
      <c r="BY3" s="678" t="str">
        <f>_xlfn.DISPIMG("2c23ab60c3fc2b34(1)",1)</f>
        <v>=DISPIMG("2c23ab60c3fc2b34(1)",1)</v>
      </c>
      <c r="BZ3" s="679"/>
      <c r="CA3" s="678"/>
      <c r="CB3" s="679"/>
      <c r="CC3" s="678"/>
      <c r="CD3" s="679"/>
      <c r="CE3" s="678"/>
      <c r="CF3" s="678"/>
    </row>
    <row r="4" ht="16.9" customHeight="1" spans="3:84">
      <c r="C4" s="680"/>
      <c r="D4" s="681"/>
      <c r="E4" s="681"/>
      <c r="F4" s="681"/>
      <c r="G4" s="681"/>
      <c r="H4" s="681"/>
      <c r="I4" s="681"/>
      <c r="J4" s="681"/>
      <c r="K4" s="681"/>
      <c r="L4" s="681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717"/>
      <c r="X4" s="680"/>
      <c r="Y4" s="717"/>
      <c r="Z4" s="717"/>
      <c r="AA4" s="717"/>
      <c r="AB4" s="717"/>
      <c r="AC4" s="717"/>
      <c r="AD4" s="717"/>
      <c r="AE4" s="681"/>
      <c r="AF4" s="681"/>
      <c r="AG4" s="717"/>
      <c r="AH4" s="73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37"/>
      <c r="AU4" s="717"/>
      <c r="AV4" s="737"/>
      <c r="AW4" s="717"/>
      <c r="AX4" s="680"/>
      <c r="AY4" s="680"/>
      <c r="AZ4" s="737"/>
      <c r="BA4" s="737"/>
      <c r="BB4" s="699"/>
      <c r="BC4" s="680"/>
      <c r="BD4" s="680"/>
      <c r="BE4" s="680"/>
      <c r="BF4" s="717"/>
      <c r="BG4" s="816"/>
      <c r="BH4" s="680"/>
      <c r="BI4" s="680"/>
      <c r="BJ4" s="680"/>
      <c r="BK4" s="717"/>
      <c r="BL4" s="699"/>
      <c r="BM4" s="844"/>
      <c r="BN4" s="680"/>
      <c r="BO4" s="680"/>
      <c r="BP4" s="680"/>
      <c r="BQ4" s="717"/>
      <c r="BR4" s="680"/>
      <c r="BS4" s="680"/>
      <c r="BT4" s="699"/>
      <c r="BU4" s="737"/>
      <c r="BV4" s="680"/>
      <c r="BW4" s="680"/>
      <c r="BX4" s="717"/>
      <c r="BY4" s="860"/>
      <c r="BZ4" s="737"/>
      <c r="CA4" s="860"/>
      <c r="CB4" s="737"/>
      <c r="CC4" s="680"/>
      <c r="CD4" s="717"/>
      <c r="CE4" s="717"/>
      <c r="CF4" s="680"/>
    </row>
    <row r="5" ht="16.9" customHeight="1" spans="3:84">
      <c r="C5" s="682" t="s">
        <v>107</v>
      </c>
      <c r="D5" s="682" t="s">
        <v>108</v>
      </c>
      <c r="E5" s="682" t="s">
        <v>109</v>
      </c>
      <c r="F5" s="682" t="s">
        <v>110</v>
      </c>
      <c r="G5" s="682" t="s">
        <v>111</v>
      </c>
      <c r="H5" s="682" t="s">
        <v>112</v>
      </c>
      <c r="I5" s="682" t="s">
        <v>113</v>
      </c>
      <c r="J5" s="682" t="s">
        <v>114</v>
      </c>
      <c r="K5" s="682" t="s">
        <v>115</v>
      </c>
      <c r="L5" s="682" t="s">
        <v>116</v>
      </c>
      <c r="M5" s="700" t="s">
        <v>107</v>
      </c>
      <c r="N5" s="682" t="s">
        <v>108</v>
      </c>
      <c r="O5" s="682" t="s">
        <v>109</v>
      </c>
      <c r="P5" s="682" t="s">
        <v>110</v>
      </c>
      <c r="Q5" s="682" t="s">
        <v>111</v>
      </c>
      <c r="R5" s="682" t="s">
        <v>112</v>
      </c>
      <c r="S5" s="682" t="s">
        <v>113</v>
      </c>
      <c r="T5" s="682" t="s">
        <v>114</v>
      </c>
      <c r="U5" s="682" t="s">
        <v>115</v>
      </c>
      <c r="V5" s="682" t="s">
        <v>116</v>
      </c>
      <c r="W5" s="718"/>
      <c r="X5" s="682" t="s">
        <v>107</v>
      </c>
      <c r="Y5" s="682" t="s">
        <v>108</v>
      </c>
      <c r="Z5" s="682" t="s">
        <v>109</v>
      </c>
      <c r="AA5" s="682" t="s">
        <v>110</v>
      </c>
      <c r="AB5" s="682" t="s">
        <v>111</v>
      </c>
      <c r="AC5" s="682" t="s">
        <v>112</v>
      </c>
      <c r="AD5" s="682" t="s">
        <v>113</v>
      </c>
      <c r="AE5" s="682" t="s">
        <v>114</v>
      </c>
      <c r="AF5" s="682" t="s">
        <v>115</v>
      </c>
      <c r="AG5" s="682" t="s">
        <v>116</v>
      </c>
      <c r="AH5" s="700" t="s">
        <v>107</v>
      </c>
      <c r="AI5" s="682" t="s">
        <v>108</v>
      </c>
      <c r="AJ5" s="682" t="s">
        <v>109</v>
      </c>
      <c r="AK5" s="682" t="s">
        <v>110</v>
      </c>
      <c r="AL5" s="682" t="s">
        <v>111</v>
      </c>
      <c r="AM5" s="682" t="s">
        <v>112</v>
      </c>
      <c r="AN5" s="682" t="s">
        <v>113</v>
      </c>
      <c r="AO5" s="682" t="s">
        <v>114</v>
      </c>
      <c r="AP5" s="682" t="s">
        <v>115</v>
      </c>
      <c r="AQ5" s="682" t="s">
        <v>116</v>
      </c>
      <c r="AR5" s="754"/>
      <c r="AS5" s="682" t="s">
        <v>117</v>
      </c>
      <c r="AT5" s="682" t="s">
        <v>117</v>
      </c>
      <c r="AU5" s="682" t="s">
        <v>117</v>
      </c>
      <c r="AV5" s="682" t="s">
        <v>118</v>
      </c>
      <c r="AX5" s="772" t="s">
        <v>119</v>
      </c>
      <c r="AY5" s="772" t="s">
        <v>119</v>
      </c>
      <c r="AZ5" s="772" t="s">
        <v>119</v>
      </c>
      <c r="BA5" s="772" t="s">
        <v>119</v>
      </c>
      <c r="BC5" s="773"/>
      <c r="BD5" s="774"/>
      <c r="BE5" s="774"/>
      <c r="BF5" s="774"/>
      <c r="BG5" s="817"/>
      <c r="BH5" s="773"/>
      <c r="BI5" s="774"/>
      <c r="BJ5" s="774"/>
      <c r="BK5" s="774"/>
      <c r="BL5" s="818"/>
      <c r="BM5" s="845"/>
      <c r="BN5" s="773"/>
      <c r="BO5" s="774"/>
      <c r="BP5" s="774"/>
      <c r="BQ5" s="774"/>
      <c r="BR5" s="773"/>
      <c r="BS5" s="774"/>
      <c r="BT5" s="754"/>
      <c r="BU5" s="861"/>
      <c r="BV5" s="682" t="s">
        <v>120</v>
      </c>
      <c r="BW5" s="862" t="s">
        <v>121</v>
      </c>
      <c r="BX5" s="754"/>
      <c r="BY5" s="862" t="s">
        <v>122</v>
      </c>
      <c r="BZ5" s="863"/>
      <c r="CA5" s="862" t="s">
        <v>123</v>
      </c>
      <c r="CB5" s="863"/>
      <c r="CC5" s="682" t="s">
        <v>124</v>
      </c>
      <c r="CD5" s="900"/>
      <c r="CE5" s="862" t="s">
        <v>125</v>
      </c>
      <c r="CF5" s="901" t="s">
        <v>126</v>
      </c>
    </row>
    <row r="6" ht="16.9" customHeight="1" spans="3:84">
      <c r="C6" s="683" t="s">
        <v>127</v>
      </c>
      <c r="D6" s="683">
        <v>13.7</v>
      </c>
      <c r="E6" s="683">
        <v>15.5</v>
      </c>
      <c r="F6" s="683">
        <v>14.3</v>
      </c>
      <c r="G6" s="683">
        <v>15</v>
      </c>
      <c r="H6" s="683">
        <v>15.3</v>
      </c>
      <c r="I6" s="683">
        <v>1</v>
      </c>
      <c r="J6" s="683">
        <v>1</v>
      </c>
      <c r="K6" s="683">
        <v>1</v>
      </c>
      <c r="L6" s="683">
        <v>1</v>
      </c>
      <c r="M6" s="701" t="s">
        <v>128</v>
      </c>
      <c r="N6" s="683">
        <v>32.9</v>
      </c>
      <c r="O6" s="683">
        <v>36.3</v>
      </c>
      <c r="P6" s="683">
        <v>34</v>
      </c>
      <c r="Q6" s="683">
        <v>35.1</v>
      </c>
      <c r="R6" s="683">
        <v>35</v>
      </c>
      <c r="S6" s="683">
        <v>1</v>
      </c>
      <c r="T6" s="683">
        <v>1</v>
      </c>
      <c r="U6" s="683">
        <v>1</v>
      </c>
      <c r="V6" s="683">
        <v>1</v>
      </c>
      <c r="W6" s="719"/>
      <c r="X6" s="720" t="s">
        <v>129</v>
      </c>
      <c r="Y6" s="683">
        <v>6.7</v>
      </c>
      <c r="Z6" s="683">
        <v>7.3</v>
      </c>
      <c r="AA6" s="683">
        <v>6.9</v>
      </c>
      <c r="AB6" s="683">
        <v>7</v>
      </c>
      <c r="AC6" s="683">
        <v>7.5</v>
      </c>
      <c r="AD6" s="683">
        <v>0.5</v>
      </c>
      <c r="AE6" s="683">
        <v>0.5</v>
      </c>
      <c r="AF6" s="683">
        <v>0.5</v>
      </c>
      <c r="AG6" s="738">
        <v>0.5</v>
      </c>
      <c r="AH6" s="729" t="s">
        <v>130</v>
      </c>
      <c r="AI6" s="683">
        <v>23.1</v>
      </c>
      <c r="AJ6" s="683">
        <v>25.2</v>
      </c>
      <c r="AK6" s="683">
        <v>23.9</v>
      </c>
      <c r="AL6" s="683">
        <v>24.4</v>
      </c>
      <c r="AM6" s="683">
        <v>25</v>
      </c>
      <c r="AN6" s="683">
        <v>1</v>
      </c>
      <c r="AO6" s="683">
        <v>1</v>
      </c>
      <c r="AP6" s="683">
        <v>1</v>
      </c>
      <c r="AQ6" s="683">
        <v>1</v>
      </c>
      <c r="AR6" s="755"/>
      <c r="AS6" s="683" t="s">
        <v>127</v>
      </c>
      <c r="AT6" s="701" t="s">
        <v>128</v>
      </c>
      <c r="AU6" s="720" t="s">
        <v>129</v>
      </c>
      <c r="AV6" s="708" t="s">
        <v>130</v>
      </c>
      <c r="AX6" s="775" t="s">
        <v>131</v>
      </c>
      <c r="AY6" s="776" t="s">
        <v>132</v>
      </c>
      <c r="AZ6" s="776" t="s">
        <v>133</v>
      </c>
      <c r="BA6" s="776" t="s">
        <v>134</v>
      </c>
      <c r="BC6" s="777" t="s">
        <v>135</v>
      </c>
      <c r="BD6" s="777" t="s">
        <v>136</v>
      </c>
      <c r="BE6" s="777" t="s">
        <v>136</v>
      </c>
      <c r="BF6" s="777" t="s">
        <v>136</v>
      </c>
      <c r="BG6" s="819"/>
      <c r="BH6" s="777" t="s">
        <v>136</v>
      </c>
      <c r="BI6" s="777" t="s">
        <v>136</v>
      </c>
      <c r="BJ6" s="777" t="s">
        <v>136</v>
      </c>
      <c r="BK6" s="777" t="s">
        <v>136</v>
      </c>
      <c r="BL6" s="820"/>
      <c r="BM6" s="803"/>
      <c r="BN6" s="777" t="s">
        <v>136</v>
      </c>
      <c r="BO6" s="777" t="s">
        <v>136</v>
      </c>
      <c r="BP6" s="777" t="s">
        <v>136</v>
      </c>
      <c r="BQ6" s="777" t="s">
        <v>136</v>
      </c>
      <c r="BR6" s="777" t="s">
        <v>136</v>
      </c>
      <c r="BS6" s="777" t="s">
        <v>136</v>
      </c>
      <c r="BT6" s="846"/>
      <c r="BU6" s="755"/>
      <c r="BV6" s="781"/>
      <c r="BW6" s="864"/>
      <c r="BX6" s="865"/>
      <c r="BY6" s="866"/>
      <c r="BZ6" s="867"/>
      <c r="CA6" s="866"/>
      <c r="CB6" s="867"/>
      <c r="CC6" s="870"/>
      <c r="CD6" s="902"/>
      <c r="CE6" s="903"/>
      <c r="CF6" s="904"/>
    </row>
    <row r="7" ht="16.9" customHeight="1" spans="3:84">
      <c r="C7" s="684" t="s">
        <v>137</v>
      </c>
      <c r="D7" s="684">
        <v>21.2</v>
      </c>
      <c r="E7" s="684">
        <v>23.7</v>
      </c>
      <c r="F7" s="684">
        <v>22</v>
      </c>
      <c r="G7" s="684">
        <v>22.9</v>
      </c>
      <c r="H7" s="684">
        <v>23.1</v>
      </c>
      <c r="I7" s="684">
        <v>1</v>
      </c>
      <c r="J7" s="684">
        <v>1</v>
      </c>
      <c r="K7" s="684">
        <v>1</v>
      </c>
      <c r="L7" s="684">
        <v>1</v>
      </c>
      <c r="M7" s="702" t="s">
        <v>138</v>
      </c>
      <c r="N7" s="684">
        <v>51.4</v>
      </c>
      <c r="O7" s="684">
        <v>56.1</v>
      </c>
      <c r="P7" s="684">
        <v>53.1</v>
      </c>
      <c r="Q7" s="684">
        <v>54.3</v>
      </c>
      <c r="R7" s="684">
        <v>53.9</v>
      </c>
      <c r="S7" s="684">
        <v>1</v>
      </c>
      <c r="T7" s="684">
        <v>1</v>
      </c>
      <c r="U7" s="684">
        <v>1</v>
      </c>
      <c r="V7" s="684">
        <v>1</v>
      </c>
      <c r="W7" s="721"/>
      <c r="X7" s="722" t="s">
        <v>139</v>
      </c>
      <c r="Y7" s="684">
        <v>10.4</v>
      </c>
      <c r="Z7" s="684">
        <v>11.2</v>
      </c>
      <c r="AA7" s="684">
        <v>10.8</v>
      </c>
      <c r="AB7" s="684">
        <v>10.8</v>
      </c>
      <c r="AC7" s="684">
        <v>11.3</v>
      </c>
      <c r="AD7" s="684">
        <v>0.6</v>
      </c>
      <c r="AE7" s="684">
        <v>0.6</v>
      </c>
      <c r="AF7" s="684">
        <v>0.6</v>
      </c>
      <c r="AG7" s="684">
        <v>0.5</v>
      </c>
      <c r="AH7" s="739" t="s">
        <v>140</v>
      </c>
      <c r="AI7" s="684">
        <v>27.8</v>
      </c>
      <c r="AJ7" s="684">
        <v>30.7</v>
      </c>
      <c r="AK7" s="684">
        <v>28.7</v>
      </c>
      <c r="AL7" s="684">
        <v>29.7</v>
      </c>
      <c r="AM7" s="684">
        <v>30</v>
      </c>
      <c r="AN7" s="684">
        <v>1</v>
      </c>
      <c r="AO7" s="684">
        <v>1</v>
      </c>
      <c r="AP7" s="684">
        <v>1</v>
      </c>
      <c r="AQ7" s="684">
        <v>1</v>
      </c>
      <c r="AR7" s="756"/>
      <c r="AS7" s="684" t="s">
        <v>137</v>
      </c>
      <c r="AT7" s="702" t="s">
        <v>138</v>
      </c>
      <c r="AU7" s="722" t="s">
        <v>139</v>
      </c>
      <c r="AV7" s="739" t="s">
        <v>140</v>
      </c>
      <c r="AX7" s="778" t="s">
        <v>141</v>
      </c>
      <c r="AY7" s="779" t="s">
        <v>142</v>
      </c>
      <c r="AZ7" s="779" t="s">
        <v>143</v>
      </c>
      <c r="BA7" s="779" t="s">
        <v>144</v>
      </c>
      <c r="BC7" s="780"/>
      <c r="BD7" s="780"/>
      <c r="BE7" s="780"/>
      <c r="BF7" s="780"/>
      <c r="BG7" s="821"/>
      <c r="BH7" s="780"/>
      <c r="BI7" s="780"/>
      <c r="BJ7" s="780"/>
      <c r="BK7" s="780"/>
      <c r="BL7" s="820"/>
      <c r="BM7" s="803"/>
      <c r="BN7" s="780"/>
      <c r="BO7" s="780"/>
      <c r="BP7" s="780"/>
      <c r="BQ7" s="780"/>
      <c r="BR7" s="780"/>
      <c r="BS7" s="780"/>
      <c r="BT7" s="847"/>
      <c r="BU7" s="756"/>
      <c r="BV7" s="224" t="s">
        <v>129</v>
      </c>
      <c r="BW7" s="707" t="s">
        <v>145</v>
      </c>
      <c r="BX7" s="868"/>
      <c r="BY7" s="23" t="s">
        <v>146</v>
      </c>
      <c r="BZ7" s="869"/>
      <c r="CA7" s="23" t="s">
        <v>146</v>
      </c>
      <c r="CB7" s="869"/>
      <c r="CC7" s="23"/>
      <c r="CD7" s="905"/>
      <c r="CE7" s="684" t="s">
        <v>137</v>
      </c>
      <c r="CF7" s="906" t="s">
        <v>147</v>
      </c>
    </row>
    <row r="8" ht="16.9" customHeight="1" spans="3:84">
      <c r="C8" s="685" t="s">
        <v>148</v>
      </c>
      <c r="D8" s="683">
        <v>32.9</v>
      </c>
      <c r="E8" s="685">
        <v>36.3</v>
      </c>
      <c r="F8" s="685">
        <v>34.1</v>
      </c>
      <c r="G8" s="685">
        <v>35.1</v>
      </c>
      <c r="H8" s="685">
        <v>35.2</v>
      </c>
      <c r="I8" s="685">
        <v>1</v>
      </c>
      <c r="J8" s="685">
        <v>1</v>
      </c>
      <c r="K8" s="685">
        <v>1</v>
      </c>
      <c r="L8" s="685">
        <v>1</v>
      </c>
      <c r="M8" s="703" t="s">
        <v>149</v>
      </c>
      <c r="N8" s="685">
        <v>80.2</v>
      </c>
      <c r="O8" s="685">
        <v>86.8</v>
      </c>
      <c r="P8" s="685">
        <v>82.8</v>
      </c>
      <c r="Q8" s="685">
        <v>84.1</v>
      </c>
      <c r="R8" s="685">
        <v>83.3</v>
      </c>
      <c r="S8" s="685">
        <v>1</v>
      </c>
      <c r="T8" s="685">
        <v>1</v>
      </c>
      <c r="U8" s="683">
        <v>1</v>
      </c>
      <c r="V8" s="685">
        <v>1</v>
      </c>
      <c r="W8" s="719"/>
      <c r="X8" s="723" t="s">
        <v>150</v>
      </c>
      <c r="Y8" s="685">
        <v>16.2</v>
      </c>
      <c r="Z8" s="685">
        <v>17.3</v>
      </c>
      <c r="AA8" s="685">
        <v>16.7</v>
      </c>
      <c r="AB8" s="685">
        <v>16.7</v>
      </c>
      <c r="AC8" s="685">
        <v>17.3</v>
      </c>
      <c r="AD8" s="685">
        <v>0.7</v>
      </c>
      <c r="AE8" s="685">
        <v>0.7</v>
      </c>
      <c r="AF8" s="685">
        <v>0.7</v>
      </c>
      <c r="AG8" s="685">
        <v>0.5</v>
      </c>
      <c r="AH8" s="740" t="s">
        <v>151</v>
      </c>
      <c r="AI8" s="683">
        <v>34.5</v>
      </c>
      <c r="AJ8" s="683">
        <v>38</v>
      </c>
      <c r="AK8" s="683">
        <v>35.6</v>
      </c>
      <c r="AL8" s="683">
        <v>36.8</v>
      </c>
      <c r="AM8" s="683">
        <v>37</v>
      </c>
      <c r="AN8" s="683">
        <v>1</v>
      </c>
      <c r="AO8" s="683">
        <v>1</v>
      </c>
      <c r="AP8" s="683">
        <v>1</v>
      </c>
      <c r="AQ8" s="683">
        <v>1</v>
      </c>
      <c r="AR8" s="755"/>
      <c r="AS8" s="685" t="s">
        <v>148</v>
      </c>
      <c r="AT8" s="703" t="s">
        <v>149</v>
      </c>
      <c r="AU8" s="723" t="s">
        <v>150</v>
      </c>
      <c r="AV8" s="740" t="s">
        <v>151</v>
      </c>
      <c r="AX8" s="775" t="s">
        <v>152</v>
      </c>
      <c r="AY8" s="776" t="s">
        <v>153</v>
      </c>
      <c r="AZ8" s="776" t="s">
        <v>154</v>
      </c>
      <c r="BA8" s="776" t="s">
        <v>155</v>
      </c>
      <c r="BC8" s="781" t="s">
        <v>156</v>
      </c>
      <c r="BD8" s="782" t="s">
        <v>146</v>
      </c>
      <c r="BE8" s="782" t="s">
        <v>157</v>
      </c>
      <c r="BF8" s="782" t="s">
        <v>158</v>
      </c>
      <c r="BG8" s="822"/>
      <c r="BH8" s="784" t="s">
        <v>159</v>
      </c>
      <c r="BI8" s="782" t="s">
        <v>146</v>
      </c>
      <c r="BJ8" s="784" t="s">
        <v>160</v>
      </c>
      <c r="BK8" s="782" t="s">
        <v>134</v>
      </c>
      <c r="BL8" s="820"/>
      <c r="BM8" s="803"/>
      <c r="BN8" s="781" t="s">
        <v>156</v>
      </c>
      <c r="BO8" s="782" t="s">
        <v>146</v>
      </c>
      <c r="BP8" s="782" t="s">
        <v>157</v>
      </c>
      <c r="BQ8" s="782" t="s">
        <v>158</v>
      </c>
      <c r="BR8" s="782" t="s">
        <v>160</v>
      </c>
      <c r="BS8" s="782" t="s">
        <v>134</v>
      </c>
      <c r="BT8" s="846"/>
      <c r="BU8" s="755"/>
      <c r="BV8" s="870" t="s">
        <v>139</v>
      </c>
      <c r="BW8" s="871" t="s">
        <v>161</v>
      </c>
      <c r="BX8" s="872"/>
      <c r="BY8" s="784" t="s">
        <v>160</v>
      </c>
      <c r="BZ8" s="867"/>
      <c r="CA8" s="784" t="s">
        <v>160</v>
      </c>
      <c r="CB8" s="867"/>
      <c r="CC8" s="784" t="s">
        <v>162</v>
      </c>
      <c r="CD8" s="907"/>
      <c r="CE8" s="685" t="s">
        <v>148</v>
      </c>
      <c r="CF8" s="908" t="s">
        <v>163</v>
      </c>
    </row>
    <row r="9" ht="16.9" customHeight="1" spans="3:84">
      <c r="C9" s="684" t="s">
        <v>164</v>
      </c>
      <c r="D9" s="684">
        <v>45.1</v>
      </c>
      <c r="E9" s="684">
        <v>49.3</v>
      </c>
      <c r="F9" s="684">
        <v>46.6</v>
      </c>
      <c r="G9" s="684">
        <v>47.7</v>
      </c>
      <c r="H9" s="684">
        <v>47.6</v>
      </c>
      <c r="I9" s="684">
        <v>1</v>
      </c>
      <c r="J9" s="684">
        <v>1</v>
      </c>
      <c r="K9" s="684">
        <v>1</v>
      </c>
      <c r="L9" s="684">
        <v>1</v>
      </c>
      <c r="M9" s="704" t="s">
        <v>165</v>
      </c>
      <c r="N9" s="684">
        <v>110.4</v>
      </c>
      <c r="O9" s="684">
        <v>118.7</v>
      </c>
      <c r="P9" s="684">
        <v>113.8</v>
      </c>
      <c r="Q9" s="684">
        <v>115.1</v>
      </c>
      <c r="R9" s="684">
        <v>113.8</v>
      </c>
      <c r="S9" s="684">
        <v>1</v>
      </c>
      <c r="T9" s="684">
        <v>1</v>
      </c>
      <c r="U9" s="684">
        <v>1</v>
      </c>
      <c r="V9" s="684">
        <v>1</v>
      </c>
      <c r="W9" s="721"/>
      <c r="X9" s="722" t="s">
        <v>166</v>
      </c>
      <c r="Y9" s="684">
        <v>22.2</v>
      </c>
      <c r="Z9" s="684">
        <v>23.6</v>
      </c>
      <c r="AA9" s="684">
        <v>22.9</v>
      </c>
      <c r="AB9" s="684">
        <v>22.9</v>
      </c>
      <c r="AC9" s="684">
        <v>23.5</v>
      </c>
      <c r="AD9" s="684">
        <v>0.8</v>
      </c>
      <c r="AE9" s="684">
        <v>0.8</v>
      </c>
      <c r="AF9" s="684">
        <v>0.8</v>
      </c>
      <c r="AG9" s="684">
        <v>1</v>
      </c>
      <c r="AH9" s="741" t="s">
        <v>167</v>
      </c>
      <c r="AI9" s="684">
        <v>42.4</v>
      </c>
      <c r="AJ9" s="684">
        <v>46.3</v>
      </c>
      <c r="AK9" s="684">
        <v>43.7</v>
      </c>
      <c r="AL9" s="684">
        <v>44.9</v>
      </c>
      <c r="AM9" s="684">
        <v>45</v>
      </c>
      <c r="AN9" s="684">
        <v>1</v>
      </c>
      <c r="AO9" s="684">
        <v>1</v>
      </c>
      <c r="AP9" s="684">
        <v>1</v>
      </c>
      <c r="AQ9" s="684">
        <v>1</v>
      </c>
      <c r="AR9" s="756"/>
      <c r="AS9" s="684" t="s">
        <v>164</v>
      </c>
      <c r="AT9" s="702" t="s">
        <v>165</v>
      </c>
      <c r="AU9" s="722" t="s">
        <v>166</v>
      </c>
      <c r="AV9" s="741" t="s">
        <v>167</v>
      </c>
      <c r="AX9" s="778" t="s">
        <v>168</v>
      </c>
      <c r="AY9" s="779" t="s">
        <v>169</v>
      </c>
      <c r="AZ9" s="779" t="s">
        <v>170</v>
      </c>
      <c r="BA9" s="779" t="s">
        <v>171</v>
      </c>
      <c r="BC9" s="23" t="s">
        <v>172</v>
      </c>
      <c r="BD9" s="783" t="s">
        <v>160</v>
      </c>
      <c r="BE9" s="783" t="s">
        <v>173</v>
      </c>
      <c r="BF9" s="783" t="s">
        <v>174</v>
      </c>
      <c r="BG9" s="823"/>
      <c r="BH9" s="23" t="s">
        <v>175</v>
      </c>
      <c r="BI9" s="783" t="s">
        <v>157</v>
      </c>
      <c r="BJ9" s="23" t="s">
        <v>173</v>
      </c>
      <c r="BK9" s="783" t="s">
        <v>133</v>
      </c>
      <c r="BL9" s="820"/>
      <c r="BM9" s="803"/>
      <c r="BN9" s="23" t="s">
        <v>172</v>
      </c>
      <c r="BO9" s="783" t="s">
        <v>160</v>
      </c>
      <c r="BP9" s="783" t="s">
        <v>173</v>
      </c>
      <c r="BQ9" s="783" t="s">
        <v>174</v>
      </c>
      <c r="BR9" s="23" t="s">
        <v>173</v>
      </c>
      <c r="BS9" s="783" t="s">
        <v>133</v>
      </c>
      <c r="BT9" s="847"/>
      <c r="BU9" s="756"/>
      <c r="BV9" s="224" t="s">
        <v>150</v>
      </c>
      <c r="BW9" s="831" t="s">
        <v>176</v>
      </c>
      <c r="BX9" s="873"/>
      <c r="BY9" s="23" t="s">
        <v>134</v>
      </c>
      <c r="BZ9" s="869"/>
      <c r="CA9" s="23" t="s">
        <v>134</v>
      </c>
      <c r="CB9" s="869"/>
      <c r="CC9" s="23" t="s">
        <v>177</v>
      </c>
      <c r="CD9" s="905"/>
      <c r="CE9" s="684" t="s">
        <v>164</v>
      </c>
      <c r="CF9" s="906" t="s">
        <v>178</v>
      </c>
    </row>
    <row r="10" ht="16.9" customHeight="1" spans="3:84">
      <c r="C10" s="686" t="s">
        <v>179</v>
      </c>
      <c r="D10" s="683">
        <v>61</v>
      </c>
      <c r="E10" s="683">
        <v>67</v>
      </c>
      <c r="F10" s="683">
        <v>63</v>
      </c>
      <c r="G10" s="683">
        <v>65</v>
      </c>
      <c r="H10" s="683">
        <v>64</v>
      </c>
      <c r="I10" s="683">
        <v>1</v>
      </c>
      <c r="J10" s="683">
        <v>1</v>
      </c>
      <c r="K10" s="683">
        <v>1</v>
      </c>
      <c r="L10" s="683">
        <v>1</v>
      </c>
      <c r="M10" s="701" t="s">
        <v>180</v>
      </c>
      <c r="N10" s="683">
        <v>150</v>
      </c>
      <c r="O10" s="683">
        <v>161</v>
      </c>
      <c r="P10" s="683">
        <v>155</v>
      </c>
      <c r="Q10" s="683">
        <v>157</v>
      </c>
      <c r="R10" s="683">
        <v>154</v>
      </c>
      <c r="S10" s="683">
        <v>4</v>
      </c>
      <c r="T10" s="683">
        <v>2</v>
      </c>
      <c r="U10" s="683">
        <v>2</v>
      </c>
      <c r="V10" s="683">
        <v>1</v>
      </c>
      <c r="W10" s="719"/>
      <c r="X10" s="720" t="s">
        <v>181</v>
      </c>
      <c r="Y10" s="683">
        <v>30.2</v>
      </c>
      <c r="Z10" s="683">
        <v>32</v>
      </c>
      <c r="AA10" s="683">
        <v>31.1</v>
      </c>
      <c r="AB10" s="683">
        <v>31</v>
      </c>
      <c r="AC10" s="683">
        <v>31.6</v>
      </c>
      <c r="AD10" s="683">
        <v>1</v>
      </c>
      <c r="AE10" s="683">
        <v>0.9</v>
      </c>
      <c r="AF10" s="683">
        <v>1</v>
      </c>
      <c r="AG10" s="683">
        <v>1</v>
      </c>
      <c r="AH10" s="740" t="s">
        <v>182</v>
      </c>
      <c r="AI10" s="683">
        <v>11</v>
      </c>
      <c r="AJ10" s="683">
        <v>12.2</v>
      </c>
      <c r="AK10" s="683">
        <v>11.4</v>
      </c>
      <c r="AL10" s="683">
        <v>11.8</v>
      </c>
      <c r="AM10" s="683">
        <v>12.3</v>
      </c>
      <c r="AN10" s="683">
        <v>0.8</v>
      </c>
      <c r="AO10" s="683">
        <v>0.7</v>
      </c>
      <c r="AP10" s="683">
        <v>0.8</v>
      </c>
      <c r="AQ10" s="683">
        <v>0.5</v>
      </c>
      <c r="AR10" s="755"/>
      <c r="AS10" s="683" t="s">
        <v>179</v>
      </c>
      <c r="AT10" s="701" t="s">
        <v>180</v>
      </c>
      <c r="AU10" s="720" t="s">
        <v>181</v>
      </c>
      <c r="AV10" s="740" t="s">
        <v>182</v>
      </c>
      <c r="AX10" s="775" t="s">
        <v>183</v>
      </c>
      <c r="AY10" s="776" t="s">
        <v>184</v>
      </c>
      <c r="AZ10" s="776" t="s">
        <v>185</v>
      </c>
      <c r="BA10" s="776" t="s">
        <v>186</v>
      </c>
      <c r="BC10" s="784" t="s">
        <v>187</v>
      </c>
      <c r="BD10" s="782" t="s">
        <v>134</v>
      </c>
      <c r="BE10" s="782" t="s">
        <v>133</v>
      </c>
      <c r="BF10" s="782" t="s">
        <v>132</v>
      </c>
      <c r="BG10" s="822"/>
      <c r="BH10" s="784" t="s">
        <v>188</v>
      </c>
      <c r="BI10" s="782" t="s">
        <v>158</v>
      </c>
      <c r="BJ10" s="784" t="s">
        <v>174</v>
      </c>
      <c r="BK10" s="782" t="s">
        <v>132</v>
      </c>
      <c r="BL10" s="820"/>
      <c r="BM10" s="803"/>
      <c r="BN10" s="784" t="s">
        <v>187</v>
      </c>
      <c r="BO10" s="782" t="s">
        <v>134</v>
      </c>
      <c r="BP10" s="782" t="s">
        <v>133</v>
      </c>
      <c r="BQ10" s="782" t="s">
        <v>132</v>
      </c>
      <c r="BR10" s="784" t="s">
        <v>174</v>
      </c>
      <c r="BS10" s="782" t="s">
        <v>132</v>
      </c>
      <c r="BT10" s="846"/>
      <c r="BU10" s="755"/>
      <c r="BV10" s="870" t="s">
        <v>166</v>
      </c>
      <c r="BW10" s="871" t="s">
        <v>189</v>
      </c>
      <c r="BX10" s="872"/>
      <c r="BY10" s="784" t="s">
        <v>144</v>
      </c>
      <c r="BZ10" s="867"/>
      <c r="CA10" s="784" t="s">
        <v>144</v>
      </c>
      <c r="CB10" s="867"/>
      <c r="CC10" s="784" t="s">
        <v>190</v>
      </c>
      <c r="CD10" s="907"/>
      <c r="CE10" s="683" t="s">
        <v>179</v>
      </c>
      <c r="CF10" s="908" t="s">
        <v>191</v>
      </c>
    </row>
    <row r="11" ht="16.9" customHeight="1" spans="3:84">
      <c r="C11" s="687" t="s">
        <v>192</v>
      </c>
      <c r="D11" s="684">
        <v>88</v>
      </c>
      <c r="E11" s="684">
        <v>95</v>
      </c>
      <c r="F11" s="684">
        <v>90</v>
      </c>
      <c r="G11" s="684">
        <v>92</v>
      </c>
      <c r="H11" s="684">
        <v>91</v>
      </c>
      <c r="I11" s="684">
        <v>1</v>
      </c>
      <c r="J11" s="684">
        <v>1</v>
      </c>
      <c r="K11" s="684">
        <v>1</v>
      </c>
      <c r="L11" s="684">
        <v>1</v>
      </c>
      <c r="M11" s="704" t="s">
        <v>193</v>
      </c>
      <c r="N11" s="684">
        <v>216</v>
      </c>
      <c r="O11" s="684">
        <v>231</v>
      </c>
      <c r="P11" s="684">
        <v>223</v>
      </c>
      <c r="Q11" s="684">
        <v>224</v>
      </c>
      <c r="R11" s="684">
        <v>221</v>
      </c>
      <c r="S11" s="684">
        <v>4</v>
      </c>
      <c r="T11" s="684">
        <v>2</v>
      </c>
      <c r="U11" s="684">
        <v>2</v>
      </c>
      <c r="V11" s="684">
        <v>2</v>
      </c>
      <c r="W11" s="721"/>
      <c r="X11" s="722" t="s">
        <v>194</v>
      </c>
      <c r="Y11" s="684">
        <v>43.3</v>
      </c>
      <c r="Z11" s="684">
        <v>45.7</v>
      </c>
      <c r="AA11" s="684">
        <v>44.7</v>
      </c>
      <c r="AB11" s="684">
        <v>44.3</v>
      </c>
      <c r="AC11" s="684">
        <v>45</v>
      </c>
      <c r="AD11" s="684">
        <v>1.1</v>
      </c>
      <c r="AE11" s="684">
        <v>1.1</v>
      </c>
      <c r="AF11" s="684">
        <v>1.1</v>
      </c>
      <c r="AG11" s="684">
        <v>1</v>
      </c>
      <c r="AH11" s="741" t="s">
        <v>195</v>
      </c>
      <c r="AI11" s="684">
        <v>12.7</v>
      </c>
      <c r="AJ11" s="684">
        <v>13.9</v>
      </c>
      <c r="AK11" s="684">
        <v>13.2</v>
      </c>
      <c r="AL11" s="684">
        <v>13.4</v>
      </c>
      <c r="AM11" s="684">
        <v>14.1</v>
      </c>
      <c r="AN11" s="684">
        <v>0.8</v>
      </c>
      <c r="AO11" s="684">
        <v>0.7</v>
      </c>
      <c r="AP11" s="684">
        <v>0.8</v>
      </c>
      <c r="AQ11" s="684">
        <v>0.5</v>
      </c>
      <c r="AR11" s="756"/>
      <c r="AS11" s="684" t="s">
        <v>192</v>
      </c>
      <c r="AT11" s="702" t="s">
        <v>193</v>
      </c>
      <c r="AU11" s="722" t="s">
        <v>194</v>
      </c>
      <c r="AV11" s="741" t="s">
        <v>195</v>
      </c>
      <c r="AX11" s="778" t="s">
        <v>128</v>
      </c>
      <c r="AY11" s="779" t="s">
        <v>196</v>
      </c>
      <c r="AZ11" s="779" t="s">
        <v>197</v>
      </c>
      <c r="BA11" s="779" t="s">
        <v>127</v>
      </c>
      <c r="BC11" s="23" t="s">
        <v>131</v>
      </c>
      <c r="BD11" s="783" t="s">
        <v>144</v>
      </c>
      <c r="BE11" s="783" t="s">
        <v>143</v>
      </c>
      <c r="BF11" s="783" t="s">
        <v>142</v>
      </c>
      <c r="BG11" s="823"/>
      <c r="BH11" s="23" t="s">
        <v>198</v>
      </c>
      <c r="BI11" s="783" t="s">
        <v>172</v>
      </c>
      <c r="BJ11" s="23" t="s">
        <v>187</v>
      </c>
      <c r="BK11" s="783" t="s">
        <v>131</v>
      </c>
      <c r="BL11" s="820"/>
      <c r="BM11" s="803"/>
      <c r="BN11" s="23" t="s">
        <v>131</v>
      </c>
      <c r="BO11" s="783" t="s">
        <v>144</v>
      </c>
      <c r="BP11" s="783" t="s">
        <v>143</v>
      </c>
      <c r="BQ11" s="783" t="s">
        <v>142</v>
      </c>
      <c r="BR11" s="23" t="s">
        <v>187</v>
      </c>
      <c r="BS11" s="783" t="s">
        <v>131</v>
      </c>
      <c r="BT11" s="847"/>
      <c r="BU11" s="756"/>
      <c r="BV11" s="224" t="s">
        <v>181</v>
      </c>
      <c r="BW11" s="831" t="s">
        <v>199</v>
      </c>
      <c r="BX11" s="873"/>
      <c r="BY11" s="23" t="s">
        <v>155</v>
      </c>
      <c r="BZ11" s="869"/>
      <c r="CA11" s="23" t="s">
        <v>155</v>
      </c>
      <c r="CB11" s="869"/>
      <c r="CC11" s="23" t="s">
        <v>200</v>
      </c>
      <c r="CD11" s="905"/>
      <c r="CE11" s="684" t="s">
        <v>192</v>
      </c>
      <c r="CF11" s="906" t="s">
        <v>201</v>
      </c>
    </row>
    <row r="12" ht="16.9" customHeight="1" spans="3:84">
      <c r="C12" s="686" t="s">
        <v>202</v>
      </c>
      <c r="D12" s="683">
        <v>120</v>
      </c>
      <c r="E12" s="683">
        <v>130</v>
      </c>
      <c r="F12" s="683">
        <v>124</v>
      </c>
      <c r="G12" s="683">
        <v>126</v>
      </c>
      <c r="H12" s="683">
        <v>124</v>
      </c>
      <c r="I12" s="683">
        <v>3</v>
      </c>
      <c r="J12" s="683">
        <v>2</v>
      </c>
      <c r="K12" s="683">
        <v>2</v>
      </c>
      <c r="L12" s="683">
        <v>2</v>
      </c>
      <c r="M12" s="705" t="s">
        <v>203</v>
      </c>
      <c r="N12" s="683">
        <v>297</v>
      </c>
      <c r="O12" s="683">
        <v>316</v>
      </c>
      <c r="P12" s="683">
        <v>306</v>
      </c>
      <c r="Q12" s="683">
        <v>307</v>
      </c>
      <c r="R12" s="683">
        <v>302</v>
      </c>
      <c r="S12" s="683">
        <v>4</v>
      </c>
      <c r="T12" s="683">
        <v>3</v>
      </c>
      <c r="U12" s="683">
        <v>3</v>
      </c>
      <c r="V12" s="683">
        <v>3</v>
      </c>
      <c r="W12" s="719"/>
      <c r="X12" s="724" t="s">
        <v>204</v>
      </c>
      <c r="Y12" s="683">
        <v>60.1</v>
      </c>
      <c r="Z12" s="683">
        <v>63.2</v>
      </c>
      <c r="AA12" s="683">
        <v>61.9</v>
      </c>
      <c r="AB12" s="683">
        <v>61.3</v>
      </c>
      <c r="AC12" s="683">
        <v>62</v>
      </c>
      <c r="AD12" s="683">
        <v>1.2</v>
      </c>
      <c r="AE12" s="683">
        <v>1.2</v>
      </c>
      <c r="AF12" s="683">
        <v>1.2</v>
      </c>
      <c r="AG12" s="683">
        <v>1</v>
      </c>
      <c r="AH12" s="740" t="s">
        <v>205</v>
      </c>
      <c r="AI12" s="683">
        <v>14.4</v>
      </c>
      <c r="AJ12" s="683">
        <v>15.6</v>
      </c>
      <c r="AK12" s="683">
        <v>14.9</v>
      </c>
      <c r="AL12" s="683">
        <v>15.1</v>
      </c>
      <c r="AM12" s="683">
        <v>15.8</v>
      </c>
      <c r="AN12" s="683">
        <v>0.8</v>
      </c>
      <c r="AO12" s="683">
        <v>0.7</v>
      </c>
      <c r="AP12" s="683">
        <v>0.8</v>
      </c>
      <c r="AQ12" s="683">
        <v>0.5</v>
      </c>
      <c r="AR12" s="755"/>
      <c r="AS12" s="683" t="s">
        <v>202</v>
      </c>
      <c r="AT12" s="701" t="s">
        <v>203</v>
      </c>
      <c r="AU12" s="720" t="s">
        <v>204</v>
      </c>
      <c r="AV12" s="740" t="s">
        <v>205</v>
      </c>
      <c r="AX12" s="775" t="s">
        <v>138</v>
      </c>
      <c r="AY12" s="776" t="s">
        <v>206</v>
      </c>
      <c r="AZ12" s="776" t="s">
        <v>207</v>
      </c>
      <c r="BA12" s="776" t="s">
        <v>137</v>
      </c>
      <c r="BC12" s="784" t="s">
        <v>129</v>
      </c>
      <c r="BD12" s="782" t="s">
        <v>155</v>
      </c>
      <c r="BE12" s="782" t="s">
        <v>154</v>
      </c>
      <c r="BF12" s="782" t="s">
        <v>153</v>
      </c>
      <c r="BG12" s="822"/>
      <c r="BH12" s="784" t="s">
        <v>208</v>
      </c>
      <c r="BI12" s="782" t="s">
        <v>209</v>
      </c>
      <c r="BJ12" s="784" t="s">
        <v>210</v>
      </c>
      <c r="BK12" s="782" t="s">
        <v>211</v>
      </c>
      <c r="BL12" s="820"/>
      <c r="BM12" s="803"/>
      <c r="BN12" s="784" t="s">
        <v>129</v>
      </c>
      <c r="BO12" s="782" t="s">
        <v>155</v>
      </c>
      <c r="BP12" s="782" t="s">
        <v>154</v>
      </c>
      <c r="BQ12" s="782" t="s">
        <v>153</v>
      </c>
      <c r="BR12" s="784" t="s">
        <v>210</v>
      </c>
      <c r="BS12" s="782" t="s">
        <v>211</v>
      </c>
      <c r="BT12" s="846"/>
      <c r="BU12" s="755"/>
      <c r="BV12" s="870" t="s">
        <v>194</v>
      </c>
      <c r="BW12" s="871" t="s">
        <v>212</v>
      </c>
      <c r="BX12" s="872"/>
      <c r="BY12" s="874" t="s">
        <v>171</v>
      </c>
      <c r="BZ12" s="867"/>
      <c r="CA12" s="874" t="s">
        <v>171</v>
      </c>
      <c r="CB12" s="867"/>
      <c r="CC12" s="784" t="s">
        <v>213</v>
      </c>
      <c r="CD12" s="907"/>
      <c r="CE12" s="683" t="s">
        <v>202</v>
      </c>
      <c r="CF12" s="908" t="s">
        <v>214</v>
      </c>
    </row>
    <row r="13" ht="16.9" customHeight="1" spans="3:84">
      <c r="C13" s="687" t="s">
        <v>215</v>
      </c>
      <c r="D13" s="684">
        <v>153</v>
      </c>
      <c r="E13" s="684">
        <v>165</v>
      </c>
      <c r="F13" s="684">
        <v>158</v>
      </c>
      <c r="G13" s="684">
        <v>160</v>
      </c>
      <c r="H13" s="684">
        <v>157</v>
      </c>
      <c r="I13" s="684">
        <v>4</v>
      </c>
      <c r="J13" s="684">
        <v>2</v>
      </c>
      <c r="K13" s="684">
        <v>2</v>
      </c>
      <c r="L13" s="684">
        <v>3</v>
      </c>
      <c r="M13" s="704" t="s">
        <v>216</v>
      </c>
      <c r="N13" s="684">
        <v>378</v>
      </c>
      <c r="O13" s="684">
        <v>401</v>
      </c>
      <c r="P13" s="684">
        <v>390</v>
      </c>
      <c r="Q13" s="684">
        <v>390</v>
      </c>
      <c r="R13" s="684">
        <v>384</v>
      </c>
      <c r="S13" s="684">
        <v>5</v>
      </c>
      <c r="T13" s="684">
        <v>3</v>
      </c>
      <c r="U13" s="684">
        <v>3</v>
      </c>
      <c r="V13" s="684">
        <v>4</v>
      </c>
      <c r="W13" s="721"/>
      <c r="X13" s="725" t="s">
        <v>217</v>
      </c>
      <c r="Y13" s="684">
        <v>77</v>
      </c>
      <c r="Z13" s="684">
        <v>81</v>
      </c>
      <c r="AA13" s="684">
        <v>79</v>
      </c>
      <c r="AB13" s="684">
        <v>79</v>
      </c>
      <c r="AC13" s="684">
        <v>79</v>
      </c>
      <c r="AD13" s="684">
        <v>1</v>
      </c>
      <c r="AE13" s="684">
        <v>1</v>
      </c>
      <c r="AF13" s="684">
        <v>1</v>
      </c>
      <c r="AG13" s="684">
        <v>1</v>
      </c>
      <c r="AH13" s="741" t="s">
        <v>218</v>
      </c>
      <c r="AI13" s="684">
        <v>18.1</v>
      </c>
      <c r="AJ13" s="684">
        <v>19.9</v>
      </c>
      <c r="AK13" s="684">
        <v>18.7</v>
      </c>
      <c r="AL13" s="684">
        <v>19.3</v>
      </c>
      <c r="AM13" s="684">
        <v>19.8</v>
      </c>
      <c r="AN13" s="684">
        <v>0.9</v>
      </c>
      <c r="AO13" s="684">
        <v>0.9</v>
      </c>
      <c r="AP13" s="684">
        <v>0.9</v>
      </c>
      <c r="AQ13" s="684">
        <v>1</v>
      </c>
      <c r="AR13" s="756"/>
      <c r="AS13" s="684" t="s">
        <v>215</v>
      </c>
      <c r="AT13" s="702" t="s">
        <v>216</v>
      </c>
      <c r="AU13" s="732" t="s">
        <v>217</v>
      </c>
      <c r="AV13" s="741" t="s">
        <v>218</v>
      </c>
      <c r="AX13" s="778" t="s">
        <v>149</v>
      </c>
      <c r="AY13" s="779" t="s">
        <v>219</v>
      </c>
      <c r="AZ13" s="779" t="s">
        <v>162</v>
      </c>
      <c r="BA13" s="779" t="s">
        <v>148</v>
      </c>
      <c r="BC13" s="23" t="s">
        <v>139</v>
      </c>
      <c r="BD13" s="783" t="s">
        <v>171</v>
      </c>
      <c r="BE13" s="783" t="s">
        <v>170</v>
      </c>
      <c r="BF13" s="783" t="s">
        <v>169</v>
      </c>
      <c r="BG13" s="823"/>
      <c r="BH13" s="23" t="s">
        <v>220</v>
      </c>
      <c r="BI13" s="783" t="s">
        <v>221</v>
      </c>
      <c r="BJ13" s="23" t="s">
        <v>222</v>
      </c>
      <c r="BK13" s="783" t="s">
        <v>223</v>
      </c>
      <c r="BL13" s="820"/>
      <c r="BM13" s="803"/>
      <c r="BN13" s="23" t="s">
        <v>139</v>
      </c>
      <c r="BO13" s="783" t="s">
        <v>171</v>
      </c>
      <c r="BP13" s="783" t="s">
        <v>170</v>
      </c>
      <c r="BQ13" s="783" t="s">
        <v>169</v>
      </c>
      <c r="BR13" s="23" t="s">
        <v>222</v>
      </c>
      <c r="BS13" s="783" t="s">
        <v>223</v>
      </c>
      <c r="BT13" s="847"/>
      <c r="BU13" s="756"/>
      <c r="BV13" s="224" t="s">
        <v>204</v>
      </c>
      <c r="BW13" s="831" t="s">
        <v>129</v>
      </c>
      <c r="BX13" s="875"/>
      <c r="BY13" s="876" t="s">
        <v>157</v>
      </c>
      <c r="BZ13" s="869"/>
      <c r="CA13" s="876" t="s">
        <v>157</v>
      </c>
      <c r="CB13" s="869"/>
      <c r="CC13" s="23" t="s">
        <v>224</v>
      </c>
      <c r="CD13" s="905"/>
      <c r="CE13" s="684" t="s">
        <v>215</v>
      </c>
      <c r="CF13" s="906" t="s">
        <v>225</v>
      </c>
    </row>
    <row r="14" ht="16.9" customHeight="1" spans="3:84">
      <c r="C14" s="686" t="s">
        <v>226</v>
      </c>
      <c r="D14" s="688">
        <v>187</v>
      </c>
      <c r="E14" s="686">
        <v>200</v>
      </c>
      <c r="F14" s="686">
        <v>192</v>
      </c>
      <c r="G14" s="686">
        <v>194</v>
      </c>
      <c r="H14" s="686">
        <v>191</v>
      </c>
      <c r="I14" s="686">
        <v>4</v>
      </c>
      <c r="J14" s="686">
        <v>2</v>
      </c>
      <c r="K14" s="686">
        <v>2</v>
      </c>
      <c r="L14" s="686">
        <v>4</v>
      </c>
      <c r="M14" s="705" t="s">
        <v>227</v>
      </c>
      <c r="N14" s="686">
        <v>462</v>
      </c>
      <c r="O14" s="686">
        <v>490</v>
      </c>
      <c r="P14" s="686">
        <v>476</v>
      </c>
      <c r="Q14" s="686">
        <v>475</v>
      </c>
      <c r="R14" s="686">
        <v>468</v>
      </c>
      <c r="S14" s="686">
        <v>6</v>
      </c>
      <c r="T14" s="686">
        <v>3</v>
      </c>
      <c r="U14" s="686">
        <v>3</v>
      </c>
      <c r="V14" s="686">
        <v>5</v>
      </c>
      <c r="W14" s="719"/>
      <c r="X14" s="720" t="s">
        <v>61</v>
      </c>
      <c r="Y14" s="683">
        <v>95</v>
      </c>
      <c r="Z14" s="683">
        <v>100</v>
      </c>
      <c r="AA14" s="683">
        <v>98</v>
      </c>
      <c r="AB14" s="683">
        <v>97</v>
      </c>
      <c r="AC14" s="683">
        <v>98</v>
      </c>
      <c r="AD14" s="683">
        <v>2</v>
      </c>
      <c r="AE14" s="683">
        <v>1</v>
      </c>
      <c r="AF14" s="683">
        <v>2</v>
      </c>
      <c r="AG14" s="683">
        <v>1</v>
      </c>
      <c r="AH14" s="740" t="s">
        <v>228</v>
      </c>
      <c r="AI14" s="683">
        <v>21.5</v>
      </c>
      <c r="AJ14" s="683">
        <v>23.3</v>
      </c>
      <c r="AK14" s="683">
        <v>22.2</v>
      </c>
      <c r="AL14" s="683">
        <v>22.6</v>
      </c>
      <c r="AM14" s="683">
        <v>23.2</v>
      </c>
      <c r="AN14" s="683">
        <v>0.9</v>
      </c>
      <c r="AO14" s="683">
        <v>0.9</v>
      </c>
      <c r="AP14" s="683">
        <v>0.9</v>
      </c>
      <c r="AQ14" s="683">
        <v>1</v>
      </c>
      <c r="AR14" s="755"/>
      <c r="AS14" s="686" t="s">
        <v>226</v>
      </c>
      <c r="AT14" s="705" t="s">
        <v>227</v>
      </c>
      <c r="AU14" s="720" t="s">
        <v>61</v>
      </c>
      <c r="AV14" s="740" t="s">
        <v>228</v>
      </c>
      <c r="AX14" s="775" t="s">
        <v>165</v>
      </c>
      <c r="AY14" s="776" t="s">
        <v>229</v>
      </c>
      <c r="AZ14" s="776" t="s">
        <v>177</v>
      </c>
      <c r="BA14" s="776" t="s">
        <v>164</v>
      </c>
      <c r="BC14" s="784" t="s">
        <v>150</v>
      </c>
      <c r="BD14" s="782" t="s">
        <v>186</v>
      </c>
      <c r="BE14" s="782" t="s">
        <v>185</v>
      </c>
      <c r="BF14" s="782" t="s">
        <v>184</v>
      </c>
      <c r="BG14" s="789"/>
      <c r="BH14" s="784" t="s">
        <v>230</v>
      </c>
      <c r="BI14" s="782" t="s">
        <v>231</v>
      </c>
      <c r="BJ14" s="784" t="s">
        <v>232</v>
      </c>
      <c r="BK14" s="782" t="s">
        <v>233</v>
      </c>
      <c r="BL14" s="820"/>
      <c r="BM14" s="803"/>
      <c r="BN14" s="784" t="s">
        <v>150</v>
      </c>
      <c r="BO14" s="782" t="s">
        <v>186</v>
      </c>
      <c r="BP14" s="782" t="s">
        <v>185</v>
      </c>
      <c r="BQ14" s="782" t="s">
        <v>184</v>
      </c>
      <c r="BR14" s="784" t="s">
        <v>232</v>
      </c>
      <c r="BS14" s="782" t="s">
        <v>233</v>
      </c>
      <c r="BT14" s="846"/>
      <c r="BU14" s="755"/>
      <c r="BV14" s="870" t="s">
        <v>217</v>
      </c>
      <c r="BW14" s="871" t="s">
        <v>139</v>
      </c>
      <c r="BX14" s="872"/>
      <c r="BY14" s="784" t="s">
        <v>173</v>
      </c>
      <c r="BZ14" s="867"/>
      <c r="CA14" s="784" t="s">
        <v>173</v>
      </c>
      <c r="CB14" s="867"/>
      <c r="CC14" s="784" t="s">
        <v>234</v>
      </c>
      <c r="CD14" s="907"/>
      <c r="CE14" s="686" t="s">
        <v>226</v>
      </c>
      <c r="CF14" s="908" t="s">
        <v>235</v>
      </c>
    </row>
    <row r="15" ht="16.9" customHeight="1" spans="3:84">
      <c r="C15" s="689" t="s">
        <v>197</v>
      </c>
      <c r="D15" s="690">
        <v>20</v>
      </c>
      <c r="E15" s="689">
        <v>22.3</v>
      </c>
      <c r="F15" s="689">
        <v>20.8</v>
      </c>
      <c r="G15" s="689">
        <v>21.5</v>
      </c>
      <c r="H15" s="689">
        <v>21.7</v>
      </c>
      <c r="I15" s="689">
        <v>1</v>
      </c>
      <c r="J15" s="689">
        <v>1</v>
      </c>
      <c r="K15" s="689">
        <v>1</v>
      </c>
      <c r="L15" s="689">
        <v>1</v>
      </c>
      <c r="M15" s="706" t="s">
        <v>224</v>
      </c>
      <c r="N15" s="689">
        <v>228</v>
      </c>
      <c r="O15" s="689">
        <v>242</v>
      </c>
      <c r="P15" s="689">
        <v>235</v>
      </c>
      <c r="Q15" s="689">
        <v>235</v>
      </c>
      <c r="R15" s="689">
        <v>232</v>
      </c>
      <c r="S15" s="689">
        <v>4</v>
      </c>
      <c r="T15" s="689">
        <v>2</v>
      </c>
      <c r="U15" s="689">
        <v>2</v>
      </c>
      <c r="V15" s="689">
        <v>2</v>
      </c>
      <c r="W15" s="721"/>
      <c r="X15" s="726" t="s">
        <v>64</v>
      </c>
      <c r="Y15" s="684">
        <v>121</v>
      </c>
      <c r="Z15" s="684">
        <v>127</v>
      </c>
      <c r="AA15" s="684">
        <v>125</v>
      </c>
      <c r="AB15" s="684">
        <v>123</v>
      </c>
      <c r="AC15" s="684">
        <v>124</v>
      </c>
      <c r="AD15" s="684">
        <v>2</v>
      </c>
      <c r="AE15" s="684">
        <v>2</v>
      </c>
      <c r="AF15" s="684">
        <v>2</v>
      </c>
      <c r="AG15" s="684">
        <v>1</v>
      </c>
      <c r="AH15" s="741" t="s">
        <v>236</v>
      </c>
      <c r="AI15" s="684">
        <v>25.1</v>
      </c>
      <c r="AJ15" s="684">
        <v>27.4</v>
      </c>
      <c r="AK15" s="684">
        <v>26</v>
      </c>
      <c r="AL15" s="684">
        <v>26.6</v>
      </c>
      <c r="AM15" s="684">
        <v>27</v>
      </c>
      <c r="AN15" s="684">
        <v>1.1</v>
      </c>
      <c r="AO15" s="684">
        <v>1</v>
      </c>
      <c r="AP15" s="684">
        <v>1.1</v>
      </c>
      <c r="AQ15" s="684">
        <v>1</v>
      </c>
      <c r="AR15" s="756"/>
      <c r="AS15" s="689" t="s">
        <v>197</v>
      </c>
      <c r="AT15" s="706" t="s">
        <v>224</v>
      </c>
      <c r="AU15" s="722" t="s">
        <v>64</v>
      </c>
      <c r="AV15" s="741" t="s">
        <v>236</v>
      </c>
      <c r="AX15" s="778" t="s">
        <v>180</v>
      </c>
      <c r="AY15" s="779" t="s">
        <v>237</v>
      </c>
      <c r="AZ15" s="779" t="s">
        <v>190</v>
      </c>
      <c r="BA15" s="779" t="s">
        <v>179</v>
      </c>
      <c r="BC15" s="23" t="s">
        <v>166</v>
      </c>
      <c r="BD15" s="783" t="s">
        <v>127</v>
      </c>
      <c r="BE15" s="783" t="s">
        <v>197</v>
      </c>
      <c r="BF15" s="783" t="s">
        <v>196</v>
      </c>
      <c r="BG15" s="823"/>
      <c r="BH15" s="23" t="s">
        <v>238</v>
      </c>
      <c r="BI15" s="783" t="s">
        <v>239</v>
      </c>
      <c r="BJ15" s="23" t="s">
        <v>240</v>
      </c>
      <c r="BK15" s="783" t="s">
        <v>241</v>
      </c>
      <c r="BL15" s="820"/>
      <c r="BM15" s="803"/>
      <c r="BN15" s="23" t="s">
        <v>166</v>
      </c>
      <c r="BO15" s="783" t="s">
        <v>127</v>
      </c>
      <c r="BP15" s="783" t="s">
        <v>197</v>
      </c>
      <c r="BQ15" s="783" t="s">
        <v>196</v>
      </c>
      <c r="BR15" s="23" t="s">
        <v>240</v>
      </c>
      <c r="BS15" s="783" t="s">
        <v>241</v>
      </c>
      <c r="BT15" s="847"/>
      <c r="BU15" s="756"/>
      <c r="BV15" s="224" t="s">
        <v>61</v>
      </c>
      <c r="BW15" s="831" t="s">
        <v>150</v>
      </c>
      <c r="BX15" s="877"/>
      <c r="BY15" s="23" t="s">
        <v>133</v>
      </c>
      <c r="BZ15" s="869"/>
      <c r="CA15" s="23" t="s">
        <v>133</v>
      </c>
      <c r="CB15" s="869"/>
      <c r="CC15" s="23" t="s">
        <v>242</v>
      </c>
      <c r="CD15" s="814"/>
      <c r="CE15" s="689" t="s">
        <v>197</v>
      </c>
      <c r="CF15" s="906" t="s">
        <v>243</v>
      </c>
    </row>
    <row r="16" ht="16.9" customHeight="1" spans="3:84">
      <c r="C16" s="685" t="s">
        <v>207</v>
      </c>
      <c r="D16" s="683">
        <v>31.2</v>
      </c>
      <c r="E16" s="683">
        <v>34.2</v>
      </c>
      <c r="F16" s="683">
        <v>32.3</v>
      </c>
      <c r="G16" s="683">
        <v>33.1</v>
      </c>
      <c r="H16" s="683">
        <v>33.2</v>
      </c>
      <c r="I16" s="683">
        <v>1</v>
      </c>
      <c r="J16" s="683">
        <v>1</v>
      </c>
      <c r="K16" s="683">
        <v>1</v>
      </c>
      <c r="L16" s="683">
        <v>1</v>
      </c>
      <c r="M16" s="701" t="s">
        <v>234</v>
      </c>
      <c r="N16" s="683">
        <v>278</v>
      </c>
      <c r="O16" s="683">
        <v>295</v>
      </c>
      <c r="P16" s="683">
        <v>286</v>
      </c>
      <c r="Q16" s="683">
        <v>286</v>
      </c>
      <c r="R16" s="683">
        <v>283</v>
      </c>
      <c r="S16" s="683">
        <v>4</v>
      </c>
      <c r="T16" s="683">
        <v>3</v>
      </c>
      <c r="U16" s="683">
        <v>3</v>
      </c>
      <c r="V16" s="683">
        <v>2</v>
      </c>
      <c r="W16" s="719"/>
      <c r="X16" s="727" t="s">
        <v>244</v>
      </c>
      <c r="Y16" s="683">
        <v>161</v>
      </c>
      <c r="Z16" s="683">
        <v>169</v>
      </c>
      <c r="AA16" s="683">
        <v>166</v>
      </c>
      <c r="AB16" s="683">
        <v>164</v>
      </c>
      <c r="AC16" s="683">
        <v>164</v>
      </c>
      <c r="AD16" s="683">
        <v>5</v>
      </c>
      <c r="AE16" s="683">
        <v>3</v>
      </c>
      <c r="AF16" s="683">
        <v>3</v>
      </c>
      <c r="AG16" s="683">
        <v>3</v>
      </c>
      <c r="AH16" s="742" t="s">
        <v>245</v>
      </c>
      <c r="AI16" s="683">
        <v>28.6</v>
      </c>
      <c r="AJ16" s="683">
        <v>30.9</v>
      </c>
      <c r="AK16" s="683">
        <v>29.5</v>
      </c>
      <c r="AL16" s="683">
        <v>29.9</v>
      </c>
      <c r="AM16" s="683">
        <v>30.5</v>
      </c>
      <c r="AN16" s="683">
        <v>1.1</v>
      </c>
      <c r="AO16" s="683">
        <v>1</v>
      </c>
      <c r="AP16" s="683">
        <v>1.1</v>
      </c>
      <c r="AQ16" s="683">
        <v>1</v>
      </c>
      <c r="AR16" s="755"/>
      <c r="AS16" s="683" t="s">
        <v>207</v>
      </c>
      <c r="AT16" s="701" t="s">
        <v>234</v>
      </c>
      <c r="AU16" s="727" t="s">
        <v>244</v>
      </c>
      <c r="AV16" s="742" t="s">
        <v>245</v>
      </c>
      <c r="AX16" s="775" t="s">
        <v>193</v>
      </c>
      <c r="AY16" s="776" t="s">
        <v>246</v>
      </c>
      <c r="AZ16" s="776" t="s">
        <v>200</v>
      </c>
      <c r="BA16" s="776" t="s">
        <v>192</v>
      </c>
      <c r="BC16" s="784" t="s">
        <v>181</v>
      </c>
      <c r="BD16" s="782" t="s">
        <v>137</v>
      </c>
      <c r="BE16" s="782" t="s">
        <v>207</v>
      </c>
      <c r="BF16" s="782" t="s">
        <v>206</v>
      </c>
      <c r="BG16" s="822"/>
      <c r="BH16" s="784" t="s">
        <v>247</v>
      </c>
      <c r="BI16" s="782" t="s">
        <v>248</v>
      </c>
      <c r="BJ16" s="784" t="s">
        <v>249</v>
      </c>
      <c r="BK16" s="782" t="s">
        <v>250</v>
      </c>
      <c r="BL16" s="820"/>
      <c r="BM16" s="803"/>
      <c r="BN16" s="784" t="s">
        <v>181</v>
      </c>
      <c r="BO16" s="782" t="s">
        <v>137</v>
      </c>
      <c r="BP16" s="782" t="s">
        <v>207</v>
      </c>
      <c r="BQ16" s="782" t="s">
        <v>206</v>
      </c>
      <c r="BR16" s="784" t="s">
        <v>249</v>
      </c>
      <c r="BS16" s="782" t="s">
        <v>250</v>
      </c>
      <c r="BT16" s="846"/>
      <c r="BU16" s="755"/>
      <c r="BV16" s="870" t="s">
        <v>64</v>
      </c>
      <c r="BW16" s="871" t="s">
        <v>166</v>
      </c>
      <c r="BX16" s="878"/>
      <c r="BY16" s="784" t="s">
        <v>143</v>
      </c>
      <c r="BZ16" s="867"/>
      <c r="CA16" s="784" t="s">
        <v>143</v>
      </c>
      <c r="CB16" s="867"/>
      <c r="CC16" s="784" t="s">
        <v>251</v>
      </c>
      <c r="CD16" s="902"/>
      <c r="CE16" s="683" t="s">
        <v>207</v>
      </c>
      <c r="CF16" s="909" t="s">
        <v>252</v>
      </c>
    </row>
    <row r="17" ht="16.9" customHeight="1" spans="3:84">
      <c r="C17" s="687" t="s">
        <v>162</v>
      </c>
      <c r="D17" s="684">
        <v>48.6</v>
      </c>
      <c r="E17" s="684">
        <v>52.7</v>
      </c>
      <c r="F17" s="684">
        <v>50.2</v>
      </c>
      <c r="G17" s="684">
        <v>51</v>
      </c>
      <c r="H17" s="684">
        <v>51</v>
      </c>
      <c r="I17" s="684">
        <v>1</v>
      </c>
      <c r="J17" s="684">
        <v>1</v>
      </c>
      <c r="K17" s="684">
        <v>1</v>
      </c>
      <c r="L17" s="684">
        <v>1</v>
      </c>
      <c r="M17" s="702" t="s">
        <v>242</v>
      </c>
      <c r="N17" s="684">
        <v>351</v>
      </c>
      <c r="O17" s="684">
        <v>372</v>
      </c>
      <c r="P17" s="684">
        <v>362</v>
      </c>
      <c r="Q17" s="684">
        <v>361</v>
      </c>
      <c r="R17" s="684">
        <v>356</v>
      </c>
      <c r="S17" s="684">
        <v>5</v>
      </c>
      <c r="T17" s="684">
        <v>3</v>
      </c>
      <c r="U17" s="684">
        <v>3</v>
      </c>
      <c r="V17" s="684">
        <v>2</v>
      </c>
      <c r="W17" s="721"/>
      <c r="X17" s="728" t="s">
        <v>253</v>
      </c>
      <c r="Y17" s="684">
        <v>202</v>
      </c>
      <c r="Z17" s="684">
        <v>212</v>
      </c>
      <c r="AA17" s="684">
        <v>208</v>
      </c>
      <c r="AB17" s="684">
        <v>205</v>
      </c>
      <c r="AC17" s="684">
        <v>206</v>
      </c>
      <c r="AD17" s="684">
        <v>5</v>
      </c>
      <c r="AE17" s="684">
        <v>3</v>
      </c>
      <c r="AF17" s="684">
        <v>3</v>
      </c>
      <c r="AG17" s="684">
        <v>3</v>
      </c>
      <c r="AH17" s="743" t="s">
        <v>254</v>
      </c>
      <c r="AI17" s="684">
        <v>33.9</v>
      </c>
      <c r="AJ17" s="684">
        <v>36.7</v>
      </c>
      <c r="AK17" s="684">
        <v>35</v>
      </c>
      <c r="AL17" s="684">
        <v>35.5</v>
      </c>
      <c r="AM17" s="684">
        <v>36</v>
      </c>
      <c r="AN17" s="684">
        <v>1</v>
      </c>
      <c r="AO17" s="684">
        <v>1</v>
      </c>
      <c r="AP17" s="684">
        <v>1</v>
      </c>
      <c r="AQ17" s="684">
        <v>1</v>
      </c>
      <c r="AR17" s="756"/>
      <c r="AS17" s="684" t="s">
        <v>162</v>
      </c>
      <c r="AT17" s="702" t="s">
        <v>242</v>
      </c>
      <c r="AU17" s="722" t="s">
        <v>253</v>
      </c>
      <c r="AV17" s="743" t="s">
        <v>254</v>
      </c>
      <c r="AX17" s="785" t="s">
        <v>203</v>
      </c>
      <c r="AY17" s="786" t="s">
        <v>255</v>
      </c>
      <c r="AZ17" s="786" t="s">
        <v>213</v>
      </c>
      <c r="BA17" s="786" t="s">
        <v>202</v>
      </c>
      <c r="BC17" s="23" t="s">
        <v>194</v>
      </c>
      <c r="BD17" s="783" t="s">
        <v>148</v>
      </c>
      <c r="BE17" s="783" t="s">
        <v>162</v>
      </c>
      <c r="BF17" s="783" t="s">
        <v>219</v>
      </c>
      <c r="BG17" s="823"/>
      <c r="BH17" s="23" t="s">
        <v>256</v>
      </c>
      <c r="BI17" s="783" t="s">
        <v>257</v>
      </c>
      <c r="BJ17" s="23" t="s">
        <v>258</v>
      </c>
      <c r="BK17" s="783" t="s">
        <v>259</v>
      </c>
      <c r="BM17" s="803"/>
      <c r="BN17" s="23" t="s">
        <v>194</v>
      </c>
      <c r="BO17" s="783" t="s">
        <v>148</v>
      </c>
      <c r="BP17" s="783" t="s">
        <v>162</v>
      </c>
      <c r="BQ17" s="783" t="s">
        <v>219</v>
      </c>
      <c r="BR17" s="23" t="s">
        <v>258</v>
      </c>
      <c r="BS17" s="783" t="s">
        <v>259</v>
      </c>
      <c r="BT17" s="13"/>
      <c r="BU17" s="756"/>
      <c r="BV17" s="224" t="s">
        <v>244</v>
      </c>
      <c r="BW17" s="879" t="s">
        <v>181</v>
      </c>
      <c r="BX17" s="877"/>
      <c r="BY17" s="23" t="s">
        <v>154</v>
      </c>
      <c r="BZ17" s="869"/>
      <c r="CA17" s="23" t="s">
        <v>154</v>
      </c>
      <c r="CB17" s="869"/>
      <c r="CC17" s="23" t="s">
        <v>260</v>
      </c>
      <c r="CD17" s="905"/>
      <c r="CE17" s="684" t="s">
        <v>162</v>
      </c>
      <c r="CF17" s="910" t="s">
        <v>261</v>
      </c>
    </row>
    <row r="18" ht="15" customHeight="1" spans="3:84">
      <c r="C18" s="686" t="s">
        <v>177</v>
      </c>
      <c r="D18" s="683">
        <v>66.7</v>
      </c>
      <c r="E18" s="683">
        <v>71.9</v>
      </c>
      <c r="F18" s="683">
        <v>68.9</v>
      </c>
      <c r="G18" s="683">
        <v>69.7</v>
      </c>
      <c r="H18" s="683">
        <v>69.4</v>
      </c>
      <c r="I18" s="683">
        <v>1</v>
      </c>
      <c r="J18" s="683">
        <v>1</v>
      </c>
      <c r="K18" s="683">
        <v>1</v>
      </c>
      <c r="L18" s="683">
        <v>1</v>
      </c>
      <c r="M18" s="705" t="s">
        <v>251</v>
      </c>
      <c r="N18" s="683">
        <v>463</v>
      </c>
      <c r="O18" s="683">
        <v>489</v>
      </c>
      <c r="P18" s="683">
        <v>477</v>
      </c>
      <c r="Q18" s="683">
        <v>475</v>
      </c>
      <c r="R18" s="683">
        <v>469</v>
      </c>
      <c r="S18" s="683">
        <v>5</v>
      </c>
      <c r="T18" s="683">
        <v>3</v>
      </c>
      <c r="U18" s="683">
        <v>3</v>
      </c>
      <c r="V18" s="683">
        <v>2</v>
      </c>
      <c r="W18" s="719"/>
      <c r="X18" s="720" t="s">
        <v>262</v>
      </c>
      <c r="Y18" s="683">
        <v>265</v>
      </c>
      <c r="Z18" s="683">
        <v>277</v>
      </c>
      <c r="AA18" s="683">
        <v>273</v>
      </c>
      <c r="AB18" s="683">
        <v>269</v>
      </c>
      <c r="AC18" s="683">
        <v>269</v>
      </c>
      <c r="AD18" s="683">
        <v>6</v>
      </c>
      <c r="AE18" s="683">
        <v>3</v>
      </c>
      <c r="AF18" s="683">
        <v>3</v>
      </c>
      <c r="AG18" s="683">
        <v>3</v>
      </c>
      <c r="AH18" s="708" t="s">
        <v>263</v>
      </c>
      <c r="AI18" s="683">
        <v>35.6</v>
      </c>
      <c r="AJ18" s="683">
        <v>38.4</v>
      </c>
      <c r="AK18" s="683">
        <v>36.8</v>
      </c>
      <c r="AL18" s="683">
        <v>37.2</v>
      </c>
      <c r="AM18" s="683">
        <v>37.7</v>
      </c>
      <c r="AN18" s="683">
        <v>1</v>
      </c>
      <c r="AO18" s="683">
        <v>1</v>
      </c>
      <c r="AP18" s="683">
        <v>1</v>
      </c>
      <c r="AQ18" s="683">
        <v>1</v>
      </c>
      <c r="AR18" s="755"/>
      <c r="AS18" s="683" t="s">
        <v>177</v>
      </c>
      <c r="AT18" s="701" t="s">
        <v>251</v>
      </c>
      <c r="AU18" s="720" t="s">
        <v>262</v>
      </c>
      <c r="AV18" s="742" t="s">
        <v>263</v>
      </c>
      <c r="AX18" s="787" t="s">
        <v>264</v>
      </c>
      <c r="AY18" s="788" t="s">
        <v>119</v>
      </c>
      <c r="AZ18" s="788" t="s">
        <v>119</v>
      </c>
      <c r="BA18" s="788" t="s">
        <v>119</v>
      </c>
      <c r="BB18" s="789"/>
      <c r="BC18" s="784" t="s">
        <v>204</v>
      </c>
      <c r="BD18" s="782" t="s">
        <v>164</v>
      </c>
      <c r="BE18" s="782" t="s">
        <v>177</v>
      </c>
      <c r="BF18" s="782" t="s">
        <v>229</v>
      </c>
      <c r="BG18" s="822"/>
      <c r="BH18" s="784" t="s">
        <v>265</v>
      </c>
      <c r="BI18" s="782" t="s">
        <v>266</v>
      </c>
      <c r="BJ18" s="784" t="s">
        <v>267</v>
      </c>
      <c r="BK18" s="782" t="s">
        <v>268</v>
      </c>
      <c r="BM18" s="803"/>
      <c r="BN18" s="784" t="s">
        <v>204</v>
      </c>
      <c r="BO18" s="782" t="s">
        <v>164</v>
      </c>
      <c r="BP18" s="782" t="s">
        <v>177</v>
      </c>
      <c r="BQ18" s="782" t="s">
        <v>229</v>
      </c>
      <c r="BR18" s="784" t="s">
        <v>267</v>
      </c>
      <c r="BS18" s="782" t="s">
        <v>268</v>
      </c>
      <c r="BT18" s="789"/>
      <c r="BU18" s="755"/>
      <c r="BV18" s="827" t="s">
        <v>253</v>
      </c>
      <c r="BW18" s="880" t="s">
        <v>194</v>
      </c>
      <c r="BX18" s="878"/>
      <c r="BY18" s="881" t="s">
        <v>170</v>
      </c>
      <c r="BZ18" s="867"/>
      <c r="CA18" s="881" t="s">
        <v>170</v>
      </c>
      <c r="CB18" s="867"/>
      <c r="CC18" s="784" t="s">
        <v>269</v>
      </c>
      <c r="CD18" s="907"/>
      <c r="CE18" s="683" t="s">
        <v>177</v>
      </c>
      <c r="CF18" s="908" t="s">
        <v>270</v>
      </c>
    </row>
    <row r="19" ht="16.9" customHeight="1" spans="3:84">
      <c r="C19" s="687" t="s">
        <v>190</v>
      </c>
      <c r="D19" s="684">
        <v>91</v>
      </c>
      <c r="E19" s="684">
        <v>98</v>
      </c>
      <c r="F19" s="684">
        <v>94</v>
      </c>
      <c r="G19" s="684">
        <v>95</v>
      </c>
      <c r="H19" s="684">
        <v>94</v>
      </c>
      <c r="I19" s="684">
        <v>1</v>
      </c>
      <c r="J19" s="684">
        <v>1</v>
      </c>
      <c r="K19" s="684">
        <v>1</v>
      </c>
      <c r="L19" s="684">
        <v>1</v>
      </c>
      <c r="M19" s="707" t="s">
        <v>260</v>
      </c>
      <c r="N19" s="684">
        <v>581</v>
      </c>
      <c r="O19" s="684">
        <v>614</v>
      </c>
      <c r="P19" s="684">
        <v>598</v>
      </c>
      <c r="Q19" s="684">
        <v>596</v>
      </c>
      <c r="R19" s="684">
        <v>588</v>
      </c>
      <c r="S19" s="684">
        <v>6</v>
      </c>
      <c r="T19" s="684">
        <v>3</v>
      </c>
      <c r="U19" s="684">
        <v>4</v>
      </c>
      <c r="V19" s="684">
        <v>3</v>
      </c>
      <c r="W19" s="721"/>
      <c r="X19" s="551" t="s">
        <v>271</v>
      </c>
      <c r="Y19" s="684">
        <v>353</v>
      </c>
      <c r="Z19" s="684">
        <v>369</v>
      </c>
      <c r="AA19" s="684">
        <v>364</v>
      </c>
      <c r="AB19" s="684">
        <v>358</v>
      </c>
      <c r="AC19" s="684">
        <v>358</v>
      </c>
      <c r="AD19" s="684">
        <v>6</v>
      </c>
      <c r="AE19" s="684">
        <v>4</v>
      </c>
      <c r="AF19" s="684">
        <v>4</v>
      </c>
      <c r="AG19" s="684">
        <v>3</v>
      </c>
      <c r="AH19" s="741" t="s">
        <v>272</v>
      </c>
      <c r="AI19" s="684">
        <v>42.8</v>
      </c>
      <c r="AJ19" s="684">
        <v>46.6</v>
      </c>
      <c r="AK19" s="684">
        <v>44.2</v>
      </c>
      <c r="AL19" s="684">
        <v>45.2</v>
      </c>
      <c r="AM19" s="684">
        <v>45.3</v>
      </c>
      <c r="AN19" s="684">
        <v>1</v>
      </c>
      <c r="AO19" s="684">
        <v>1</v>
      </c>
      <c r="AP19" s="684">
        <v>1</v>
      </c>
      <c r="AQ19" s="684">
        <v>1</v>
      </c>
      <c r="AR19" s="756"/>
      <c r="AS19" s="684" t="s">
        <v>190</v>
      </c>
      <c r="AT19" s="757" t="s">
        <v>260</v>
      </c>
      <c r="AU19" s="549" t="s">
        <v>271</v>
      </c>
      <c r="AV19" s="741" t="s">
        <v>272</v>
      </c>
      <c r="AX19" s="682"/>
      <c r="AY19" s="790"/>
      <c r="AZ19" s="790"/>
      <c r="BA19" s="790"/>
      <c r="BB19" s="13"/>
      <c r="BC19" s="23" t="s">
        <v>217</v>
      </c>
      <c r="BD19" s="783" t="s">
        <v>179</v>
      </c>
      <c r="BE19" s="783" t="s">
        <v>190</v>
      </c>
      <c r="BF19" s="783" t="s">
        <v>237</v>
      </c>
      <c r="BG19" s="823"/>
      <c r="BH19" s="23" t="s">
        <v>273</v>
      </c>
      <c r="BI19" s="783" t="s">
        <v>274</v>
      </c>
      <c r="BJ19" s="23" t="s">
        <v>275</v>
      </c>
      <c r="BK19" s="783" t="s">
        <v>276</v>
      </c>
      <c r="BM19" s="803"/>
      <c r="BN19" s="23" t="s">
        <v>217</v>
      </c>
      <c r="BO19" s="783" t="s">
        <v>179</v>
      </c>
      <c r="BP19" s="783" t="s">
        <v>190</v>
      </c>
      <c r="BQ19" s="783" t="s">
        <v>237</v>
      </c>
      <c r="BR19" s="23" t="s">
        <v>275</v>
      </c>
      <c r="BS19" s="783" t="s">
        <v>276</v>
      </c>
      <c r="BT19" s="13"/>
      <c r="BU19" s="756"/>
      <c r="BV19" s="224" t="s">
        <v>262</v>
      </c>
      <c r="BW19" s="882" t="s">
        <v>204</v>
      </c>
      <c r="BX19" s="877"/>
      <c r="BY19" s="261" t="s">
        <v>158</v>
      </c>
      <c r="BZ19" s="869"/>
      <c r="CA19" s="261" t="s">
        <v>158</v>
      </c>
      <c r="CB19" s="869"/>
      <c r="CC19" s="23" t="s">
        <v>277</v>
      </c>
      <c r="CD19" s="905"/>
      <c r="CE19" s="684" t="s">
        <v>190</v>
      </c>
      <c r="CF19" s="906" t="s">
        <v>278</v>
      </c>
    </row>
    <row r="20" ht="16.9" customHeight="1" spans="3:84">
      <c r="C20" s="686" t="s">
        <v>200</v>
      </c>
      <c r="D20" s="686">
        <v>130</v>
      </c>
      <c r="E20" s="686">
        <v>139</v>
      </c>
      <c r="F20" s="686">
        <v>134</v>
      </c>
      <c r="G20" s="686">
        <v>135</v>
      </c>
      <c r="H20" s="686">
        <v>134</v>
      </c>
      <c r="I20" s="686">
        <v>3</v>
      </c>
      <c r="J20" s="686">
        <v>2</v>
      </c>
      <c r="K20" s="686">
        <v>2</v>
      </c>
      <c r="L20" s="686">
        <v>2</v>
      </c>
      <c r="M20" s="708" t="s">
        <v>269</v>
      </c>
      <c r="N20" s="683">
        <v>769</v>
      </c>
      <c r="O20" s="683">
        <v>811</v>
      </c>
      <c r="P20" s="683">
        <v>792</v>
      </c>
      <c r="Q20" s="683">
        <v>788</v>
      </c>
      <c r="R20" s="683">
        <v>777</v>
      </c>
      <c r="S20" s="683">
        <v>7</v>
      </c>
      <c r="T20" s="683">
        <v>4</v>
      </c>
      <c r="U20" s="683">
        <v>4</v>
      </c>
      <c r="V20" s="683">
        <v>4</v>
      </c>
      <c r="W20" s="719"/>
      <c r="X20" s="729" t="s">
        <v>279</v>
      </c>
      <c r="Y20" s="683">
        <v>473</v>
      </c>
      <c r="Z20" s="683">
        <v>494</v>
      </c>
      <c r="AA20" s="683">
        <v>487</v>
      </c>
      <c r="AB20" s="683">
        <v>480</v>
      </c>
      <c r="AC20" s="683">
        <v>478</v>
      </c>
      <c r="AD20" s="683">
        <v>7</v>
      </c>
      <c r="AE20" s="683">
        <v>4</v>
      </c>
      <c r="AF20" s="683">
        <v>4</v>
      </c>
      <c r="AG20" s="683">
        <v>3</v>
      </c>
      <c r="AH20" s="740" t="s">
        <v>280</v>
      </c>
      <c r="AI20" s="683">
        <v>53.4</v>
      </c>
      <c r="AJ20" s="683">
        <v>58</v>
      </c>
      <c r="AK20" s="683">
        <v>55.1</v>
      </c>
      <c r="AL20" s="683">
        <v>56.2</v>
      </c>
      <c r="AM20" s="683">
        <v>56.1</v>
      </c>
      <c r="AN20" s="683">
        <v>2</v>
      </c>
      <c r="AO20" s="683">
        <v>2</v>
      </c>
      <c r="AP20" s="683">
        <v>2</v>
      </c>
      <c r="AQ20" s="683">
        <v>1</v>
      </c>
      <c r="AR20" s="755"/>
      <c r="AS20" s="686" t="s">
        <v>200</v>
      </c>
      <c r="AT20" s="758" t="s">
        <v>269</v>
      </c>
      <c r="AU20" s="759" t="s">
        <v>279</v>
      </c>
      <c r="AV20" s="740" t="s">
        <v>280</v>
      </c>
      <c r="AX20" s="791" t="s">
        <v>264</v>
      </c>
      <c r="AY20" s="792" t="s">
        <v>281</v>
      </c>
      <c r="AZ20" s="792" t="s">
        <v>282</v>
      </c>
      <c r="BA20" s="792" t="s">
        <v>283</v>
      </c>
      <c r="BB20" s="789"/>
      <c r="BC20" s="784" t="s">
        <v>61</v>
      </c>
      <c r="BD20" s="782"/>
      <c r="BE20" s="782"/>
      <c r="BF20" s="782"/>
      <c r="BG20" s="822"/>
      <c r="BH20" s="784" t="s">
        <v>284</v>
      </c>
      <c r="BI20" s="782" t="s">
        <v>285</v>
      </c>
      <c r="BJ20" s="784" t="s">
        <v>286</v>
      </c>
      <c r="BK20" s="782" t="s">
        <v>287</v>
      </c>
      <c r="BM20" s="803"/>
      <c r="BN20" s="784" t="s">
        <v>61</v>
      </c>
      <c r="BO20" s="782" t="s">
        <v>192</v>
      </c>
      <c r="BP20" s="782" t="s">
        <v>200</v>
      </c>
      <c r="BQ20" s="782" t="s">
        <v>246</v>
      </c>
      <c r="BR20" s="784" t="s">
        <v>286</v>
      </c>
      <c r="BS20" s="782" t="s">
        <v>287</v>
      </c>
      <c r="BT20" s="789"/>
      <c r="BU20" s="755"/>
      <c r="BV20" s="827" t="s">
        <v>271</v>
      </c>
      <c r="BW20" s="883" t="s">
        <v>217</v>
      </c>
      <c r="BX20" s="878"/>
      <c r="BY20" s="784" t="s">
        <v>174</v>
      </c>
      <c r="BZ20" s="867"/>
      <c r="CA20" s="784" t="s">
        <v>174</v>
      </c>
      <c r="CB20" s="867"/>
      <c r="CC20" s="874" t="s">
        <v>288</v>
      </c>
      <c r="CD20" s="907"/>
      <c r="CE20" s="686" t="s">
        <v>200</v>
      </c>
      <c r="CF20" s="908" t="s">
        <v>289</v>
      </c>
    </row>
    <row r="21" ht="16.9" customHeight="1" spans="3:84">
      <c r="C21" s="687" t="s">
        <v>213</v>
      </c>
      <c r="D21" s="687">
        <v>179</v>
      </c>
      <c r="E21" s="687">
        <v>191</v>
      </c>
      <c r="F21" s="687">
        <v>185</v>
      </c>
      <c r="G21" s="687">
        <v>185</v>
      </c>
      <c r="H21" s="687">
        <v>183</v>
      </c>
      <c r="I21" s="687">
        <v>4</v>
      </c>
      <c r="J21" s="687">
        <v>2</v>
      </c>
      <c r="K21" s="687">
        <v>1</v>
      </c>
      <c r="L21" s="687">
        <v>3</v>
      </c>
      <c r="M21" s="707" t="s">
        <v>277</v>
      </c>
      <c r="N21" s="684">
        <v>1037</v>
      </c>
      <c r="O21" s="684">
        <v>1090</v>
      </c>
      <c r="P21" s="684">
        <v>1068</v>
      </c>
      <c r="Q21" s="684">
        <v>1058</v>
      </c>
      <c r="R21" s="684">
        <v>1046</v>
      </c>
      <c r="S21" s="684">
        <v>7</v>
      </c>
      <c r="T21" s="684">
        <v>4</v>
      </c>
      <c r="U21" s="684">
        <v>4</v>
      </c>
      <c r="V21" s="684">
        <v>5</v>
      </c>
      <c r="W21" s="721"/>
      <c r="X21" s="551" t="s">
        <v>290</v>
      </c>
      <c r="Y21" s="684">
        <v>621</v>
      </c>
      <c r="Z21" s="684">
        <v>654</v>
      </c>
      <c r="AA21" s="684">
        <v>646</v>
      </c>
      <c r="AB21" s="684">
        <v>635</v>
      </c>
      <c r="AC21" s="684">
        <v>627</v>
      </c>
      <c r="AD21" s="684">
        <v>8</v>
      </c>
      <c r="AE21" s="684">
        <v>5</v>
      </c>
      <c r="AF21" s="684">
        <v>5</v>
      </c>
      <c r="AG21" s="744">
        <v>4</v>
      </c>
      <c r="AH21" s="743" t="s">
        <v>291</v>
      </c>
      <c r="AI21" s="684">
        <v>65.7</v>
      </c>
      <c r="AJ21" s="684">
        <v>70.9</v>
      </c>
      <c r="AK21" s="684">
        <v>67.7</v>
      </c>
      <c r="AL21" s="684">
        <v>68.8</v>
      </c>
      <c r="AM21" s="684">
        <v>68.6</v>
      </c>
      <c r="AN21" s="684">
        <v>2</v>
      </c>
      <c r="AO21" s="684">
        <v>2</v>
      </c>
      <c r="AP21" s="684">
        <v>2</v>
      </c>
      <c r="AQ21" s="684">
        <v>1</v>
      </c>
      <c r="AR21" s="756"/>
      <c r="AS21" s="760" t="s">
        <v>213</v>
      </c>
      <c r="AT21" s="761" t="s">
        <v>277</v>
      </c>
      <c r="AU21" s="549" t="s">
        <v>290</v>
      </c>
      <c r="AV21" s="743" t="s">
        <v>291</v>
      </c>
      <c r="AX21" s="793" t="s">
        <v>129</v>
      </c>
      <c r="AY21" s="794" t="s">
        <v>292</v>
      </c>
      <c r="AZ21" s="794" t="s">
        <v>293</v>
      </c>
      <c r="BA21" s="794" t="s">
        <v>294</v>
      </c>
      <c r="BB21" s="13"/>
      <c r="BC21" s="23" t="s">
        <v>64</v>
      </c>
      <c r="BD21" s="783"/>
      <c r="BE21" s="783"/>
      <c r="BF21" s="783"/>
      <c r="BG21" s="823"/>
      <c r="BH21" s="23" t="s">
        <v>295</v>
      </c>
      <c r="BI21" s="783" t="s">
        <v>296</v>
      </c>
      <c r="BJ21" s="23" t="s">
        <v>297</v>
      </c>
      <c r="BK21" s="783" t="s">
        <v>298</v>
      </c>
      <c r="BM21" s="803"/>
      <c r="BN21" s="23" t="s">
        <v>64</v>
      </c>
      <c r="BO21" s="783" t="s">
        <v>202</v>
      </c>
      <c r="BP21" s="783" t="s">
        <v>213</v>
      </c>
      <c r="BQ21" s="783" t="s">
        <v>255</v>
      </c>
      <c r="BR21" s="23" t="s">
        <v>297</v>
      </c>
      <c r="BS21" s="783" t="s">
        <v>298</v>
      </c>
      <c r="BT21" s="13"/>
      <c r="BU21" s="756"/>
      <c r="BV21" s="884" t="s">
        <v>279</v>
      </c>
      <c r="BW21" s="882" t="s">
        <v>61</v>
      </c>
      <c r="BX21" s="877"/>
      <c r="BY21" s="23" t="s">
        <v>132</v>
      </c>
      <c r="BZ21" s="869"/>
      <c r="CA21" s="23" t="s">
        <v>132</v>
      </c>
      <c r="CB21" s="869"/>
      <c r="CC21" s="911"/>
      <c r="CD21" s="905"/>
      <c r="CE21" s="760"/>
      <c r="CF21" s="906"/>
    </row>
    <row r="22" ht="16.9" customHeight="1" spans="3:84">
      <c r="C22" s="691" t="s">
        <v>299</v>
      </c>
      <c r="D22" s="691">
        <v>24</v>
      </c>
      <c r="E22" s="691">
        <v>26.6</v>
      </c>
      <c r="F22" s="691">
        <v>24.8</v>
      </c>
      <c r="G22" s="691">
        <v>25.7</v>
      </c>
      <c r="H22" s="691">
        <v>25.8</v>
      </c>
      <c r="I22" s="691">
        <v>1</v>
      </c>
      <c r="J22" s="691">
        <v>1</v>
      </c>
      <c r="K22" s="691">
        <v>1</v>
      </c>
      <c r="L22" s="691">
        <v>1</v>
      </c>
      <c r="M22" s="709" t="s">
        <v>196</v>
      </c>
      <c r="N22" s="691">
        <v>26.4</v>
      </c>
      <c r="O22" s="691">
        <v>29.2</v>
      </c>
      <c r="P22" s="691">
        <v>27.4</v>
      </c>
      <c r="Q22" s="691">
        <v>28.3</v>
      </c>
      <c r="R22" s="691">
        <v>28.3</v>
      </c>
      <c r="S22" s="691">
        <v>1</v>
      </c>
      <c r="T22" s="691">
        <v>1</v>
      </c>
      <c r="U22" s="691">
        <v>1</v>
      </c>
      <c r="V22" s="691">
        <v>1</v>
      </c>
      <c r="W22" s="719"/>
      <c r="X22" s="720" t="s">
        <v>134</v>
      </c>
      <c r="Y22" s="683">
        <v>2</v>
      </c>
      <c r="Z22" s="683">
        <v>2.5</v>
      </c>
      <c r="AA22" s="683">
        <v>2.1</v>
      </c>
      <c r="AB22" s="683">
        <v>2.3</v>
      </c>
      <c r="AC22" s="683">
        <v>2.8</v>
      </c>
      <c r="AD22" s="683">
        <v>0.4</v>
      </c>
      <c r="AE22" s="683">
        <v>0.4</v>
      </c>
      <c r="AF22" s="683">
        <v>0.4</v>
      </c>
      <c r="AG22" s="745">
        <v>0.5</v>
      </c>
      <c r="AH22" s="742" t="s">
        <v>144</v>
      </c>
      <c r="AI22" s="683">
        <v>2.7</v>
      </c>
      <c r="AJ22" s="683">
        <v>3.2</v>
      </c>
      <c r="AK22" s="683">
        <v>2.8</v>
      </c>
      <c r="AL22" s="683">
        <v>3</v>
      </c>
      <c r="AM22" s="683">
        <v>3.5</v>
      </c>
      <c r="AN22" s="683">
        <v>0.5</v>
      </c>
      <c r="AO22" s="683">
        <v>0.5</v>
      </c>
      <c r="AP22" s="683">
        <v>0.5</v>
      </c>
      <c r="AQ22" s="683">
        <v>0.5</v>
      </c>
      <c r="AR22" s="755"/>
      <c r="AS22" s="685" t="s">
        <v>299</v>
      </c>
      <c r="AT22" s="703" t="s">
        <v>196</v>
      </c>
      <c r="AU22" s="720" t="s">
        <v>134</v>
      </c>
      <c r="AV22" s="742" t="s">
        <v>144</v>
      </c>
      <c r="AX22" s="795" t="s">
        <v>139</v>
      </c>
      <c r="AY22" s="792" t="s">
        <v>300</v>
      </c>
      <c r="AZ22" s="792" t="s">
        <v>301</v>
      </c>
      <c r="BA22" s="792" t="s">
        <v>302</v>
      </c>
      <c r="BB22" s="789"/>
      <c r="BC22" s="784" t="s">
        <v>244</v>
      </c>
      <c r="BD22" s="782"/>
      <c r="BE22" s="782"/>
      <c r="BF22" s="782"/>
      <c r="BG22" s="822"/>
      <c r="BH22" s="784" t="s">
        <v>303</v>
      </c>
      <c r="BI22" s="782" t="s">
        <v>304</v>
      </c>
      <c r="BJ22" s="784" t="s">
        <v>305</v>
      </c>
      <c r="BK22" s="782" t="s">
        <v>306</v>
      </c>
      <c r="BM22" s="803"/>
      <c r="BN22" s="784" t="s">
        <v>244</v>
      </c>
      <c r="BO22" s="782" t="s">
        <v>215</v>
      </c>
      <c r="BP22" s="782" t="s">
        <v>224</v>
      </c>
      <c r="BQ22" s="782" t="s">
        <v>307</v>
      </c>
      <c r="BR22" s="784" t="s">
        <v>305</v>
      </c>
      <c r="BS22" s="782" t="s">
        <v>306</v>
      </c>
      <c r="BT22" s="789"/>
      <c r="BU22" s="755"/>
      <c r="BV22" s="870" t="s">
        <v>64</v>
      </c>
      <c r="BW22" s="883" t="s">
        <v>64</v>
      </c>
      <c r="BX22" s="885"/>
      <c r="BY22" s="784" t="s">
        <v>142</v>
      </c>
      <c r="BZ22" s="755"/>
      <c r="CA22" s="784" t="s">
        <v>142</v>
      </c>
      <c r="CB22" s="755"/>
      <c r="CC22" s="912"/>
      <c r="CD22" s="907"/>
      <c r="CE22" s="685"/>
      <c r="CF22" s="908"/>
    </row>
    <row r="23" ht="16.9" customHeight="1" spans="3:84">
      <c r="C23" s="690" t="s">
        <v>308</v>
      </c>
      <c r="D23" s="690">
        <v>37.7</v>
      </c>
      <c r="E23" s="690">
        <v>41.3</v>
      </c>
      <c r="F23" s="690">
        <v>39</v>
      </c>
      <c r="G23" s="690">
        <v>40</v>
      </c>
      <c r="H23" s="690">
        <v>39.9</v>
      </c>
      <c r="I23" s="690">
        <v>1</v>
      </c>
      <c r="J23" s="690">
        <v>1</v>
      </c>
      <c r="K23" s="690">
        <v>1</v>
      </c>
      <c r="L23" s="690">
        <v>1</v>
      </c>
      <c r="M23" s="710" t="s">
        <v>206</v>
      </c>
      <c r="N23" s="690">
        <v>41.3</v>
      </c>
      <c r="O23" s="690">
        <v>45.1</v>
      </c>
      <c r="P23" s="690">
        <v>42.6</v>
      </c>
      <c r="Q23" s="690">
        <v>43.6</v>
      </c>
      <c r="R23" s="690">
        <v>43.5</v>
      </c>
      <c r="S23" s="690">
        <v>1</v>
      </c>
      <c r="T23" s="690">
        <v>1</v>
      </c>
      <c r="U23" s="690">
        <v>1</v>
      </c>
      <c r="V23" s="690">
        <v>1</v>
      </c>
      <c r="W23" s="721"/>
      <c r="X23" s="722" t="s">
        <v>133</v>
      </c>
      <c r="Y23" s="684">
        <v>2.8</v>
      </c>
      <c r="Z23" s="684">
        <v>3.3</v>
      </c>
      <c r="AA23" s="684">
        <v>3</v>
      </c>
      <c r="AB23" s="684">
        <v>3.1</v>
      </c>
      <c r="AC23" s="684">
        <v>3.7</v>
      </c>
      <c r="AD23" s="684">
        <v>0.5</v>
      </c>
      <c r="AE23" s="684">
        <v>0.5</v>
      </c>
      <c r="AF23" s="684">
        <v>0.5</v>
      </c>
      <c r="AG23" s="744">
        <v>0.5</v>
      </c>
      <c r="AH23" s="743" t="s">
        <v>155</v>
      </c>
      <c r="AI23" s="684">
        <v>4</v>
      </c>
      <c r="AJ23" s="684">
        <v>4.6</v>
      </c>
      <c r="AK23" s="684">
        <v>4.1</v>
      </c>
      <c r="AL23" s="684">
        <v>4.4</v>
      </c>
      <c r="AM23" s="684">
        <v>4.9</v>
      </c>
      <c r="AN23" s="684">
        <v>0.5</v>
      </c>
      <c r="AO23" s="684">
        <v>0.5</v>
      </c>
      <c r="AP23" s="684">
        <v>0.5</v>
      </c>
      <c r="AQ23" s="684">
        <v>0.5</v>
      </c>
      <c r="AR23" s="756"/>
      <c r="AS23" s="684" t="s">
        <v>308</v>
      </c>
      <c r="AT23" s="702" t="s">
        <v>206</v>
      </c>
      <c r="AU23" s="722" t="s">
        <v>133</v>
      </c>
      <c r="AV23" s="743" t="s">
        <v>155</v>
      </c>
      <c r="AX23" s="793" t="s">
        <v>150</v>
      </c>
      <c r="AY23" s="794" t="s">
        <v>309</v>
      </c>
      <c r="AZ23" s="794" t="s">
        <v>310</v>
      </c>
      <c r="BA23" s="794" t="s">
        <v>311</v>
      </c>
      <c r="BB23" s="13"/>
      <c r="BC23" s="23" t="s">
        <v>253</v>
      </c>
      <c r="BD23" s="783"/>
      <c r="BE23" s="783"/>
      <c r="BF23" s="783"/>
      <c r="BG23" s="823"/>
      <c r="BH23" s="824" t="s">
        <v>312</v>
      </c>
      <c r="BI23" s="825" t="s">
        <v>313</v>
      </c>
      <c r="BJ23" s="824" t="s">
        <v>314</v>
      </c>
      <c r="BK23" s="825" t="s">
        <v>315</v>
      </c>
      <c r="BM23" s="803"/>
      <c r="BN23" s="23" t="s">
        <v>253</v>
      </c>
      <c r="BO23" s="783" t="s">
        <v>226</v>
      </c>
      <c r="BP23" s="783" t="s">
        <v>234</v>
      </c>
      <c r="BQ23" s="783" t="s">
        <v>316</v>
      </c>
      <c r="BR23" s="824" t="s">
        <v>314</v>
      </c>
      <c r="BS23" s="825" t="s">
        <v>315</v>
      </c>
      <c r="BT23" s="13"/>
      <c r="BU23" s="756"/>
      <c r="BV23" s="224" t="s">
        <v>244</v>
      </c>
      <c r="BW23" s="882" t="s">
        <v>244</v>
      </c>
      <c r="BX23" s="736"/>
      <c r="BY23" s="23" t="s">
        <v>153</v>
      </c>
      <c r="BZ23" s="756"/>
      <c r="CA23" s="23" t="s">
        <v>153</v>
      </c>
      <c r="CB23" s="756"/>
      <c r="CC23" s="913"/>
      <c r="CD23" s="905"/>
      <c r="CE23" s="684"/>
      <c r="CF23" s="906"/>
    </row>
    <row r="24" ht="16.9" customHeight="1" spans="3:84">
      <c r="C24" s="692" t="s">
        <v>317</v>
      </c>
      <c r="D24" s="692">
        <v>58.8</v>
      </c>
      <c r="E24" s="692">
        <v>63.7</v>
      </c>
      <c r="F24" s="692">
        <v>60.7</v>
      </c>
      <c r="G24" s="692">
        <v>61.7</v>
      </c>
      <c r="H24" s="692">
        <v>61</v>
      </c>
      <c r="I24" s="692">
        <v>1</v>
      </c>
      <c r="J24" s="692">
        <v>1</v>
      </c>
      <c r="K24" s="692">
        <v>1</v>
      </c>
      <c r="L24" s="692">
        <v>1</v>
      </c>
      <c r="M24" s="711" t="s">
        <v>219</v>
      </c>
      <c r="N24" s="692">
        <v>64.4</v>
      </c>
      <c r="O24" s="692">
        <v>69.6</v>
      </c>
      <c r="P24" s="692">
        <v>66.5</v>
      </c>
      <c r="Q24" s="692">
        <v>67.5</v>
      </c>
      <c r="R24" s="692">
        <v>67.1</v>
      </c>
      <c r="S24" s="692">
        <v>1</v>
      </c>
      <c r="T24" s="692">
        <v>1</v>
      </c>
      <c r="U24" s="692">
        <v>1</v>
      </c>
      <c r="V24" s="692">
        <v>1</v>
      </c>
      <c r="W24" s="730"/>
      <c r="X24" s="731" t="s">
        <v>132</v>
      </c>
      <c r="Y24" s="692">
        <v>3.6</v>
      </c>
      <c r="Z24" s="692">
        <v>4.2</v>
      </c>
      <c r="AA24" s="692">
        <v>3.8</v>
      </c>
      <c r="AB24" s="692">
        <v>4</v>
      </c>
      <c r="AC24" s="692">
        <v>4.6</v>
      </c>
      <c r="AD24" s="692">
        <v>0.5</v>
      </c>
      <c r="AE24" s="692">
        <v>0.5</v>
      </c>
      <c r="AF24" s="692">
        <v>0.5</v>
      </c>
      <c r="AG24" s="746">
        <v>0.5</v>
      </c>
      <c r="AH24" s="747" t="s">
        <v>171</v>
      </c>
      <c r="AI24" s="692">
        <v>5.9</v>
      </c>
      <c r="AJ24" s="692">
        <v>6.7</v>
      </c>
      <c r="AK24" s="692">
        <v>6.2</v>
      </c>
      <c r="AL24" s="692">
        <v>6.4</v>
      </c>
      <c r="AM24" s="692">
        <v>6.9</v>
      </c>
      <c r="AN24" s="692">
        <v>0.6</v>
      </c>
      <c r="AO24" s="692">
        <v>0.6</v>
      </c>
      <c r="AP24" s="692">
        <v>0.6</v>
      </c>
      <c r="AQ24" s="692">
        <v>0.5</v>
      </c>
      <c r="AR24" s="762"/>
      <c r="AS24" s="692" t="s">
        <v>317</v>
      </c>
      <c r="AT24" s="711" t="s">
        <v>219</v>
      </c>
      <c r="AU24" s="731" t="s">
        <v>132</v>
      </c>
      <c r="AV24" s="747" t="s">
        <v>171</v>
      </c>
      <c r="AX24" s="796" t="s">
        <v>166</v>
      </c>
      <c r="AY24" s="797" t="s">
        <v>318</v>
      </c>
      <c r="AZ24" s="797" t="s">
        <v>319</v>
      </c>
      <c r="BA24" s="797" t="s">
        <v>320</v>
      </c>
      <c r="BB24" s="735"/>
      <c r="BC24" s="798" t="s">
        <v>262</v>
      </c>
      <c r="BD24" s="799"/>
      <c r="BE24" s="799"/>
      <c r="BF24" s="799"/>
      <c r="BG24" s="826"/>
      <c r="BH24" s="827" t="s">
        <v>144</v>
      </c>
      <c r="BI24" s="828" t="s">
        <v>143</v>
      </c>
      <c r="BJ24" s="828" t="s">
        <v>142</v>
      </c>
      <c r="BK24" s="829" t="s">
        <v>141</v>
      </c>
      <c r="BM24" s="803"/>
      <c r="BN24" s="798" t="s">
        <v>262</v>
      </c>
      <c r="BO24" s="799" t="s">
        <v>321</v>
      </c>
      <c r="BP24" s="799" t="s">
        <v>242</v>
      </c>
      <c r="BQ24" s="799" t="s">
        <v>322</v>
      </c>
      <c r="BR24" s="798" t="s">
        <v>144</v>
      </c>
      <c r="BS24" s="799" t="s">
        <v>143</v>
      </c>
      <c r="BT24" s="735"/>
      <c r="BU24" s="762"/>
      <c r="BV24" s="827" t="s">
        <v>253</v>
      </c>
      <c r="BW24" s="886" t="s">
        <v>253</v>
      </c>
      <c r="BX24" s="769"/>
      <c r="BY24" s="798" t="s">
        <v>169</v>
      </c>
      <c r="BZ24" s="762"/>
      <c r="CA24" s="798" t="s">
        <v>169</v>
      </c>
      <c r="CB24" s="762"/>
      <c r="CC24" s="798"/>
      <c r="CD24" s="914"/>
      <c r="CE24" s="692"/>
      <c r="CF24" s="915"/>
    </row>
    <row r="25" ht="16.9" customHeight="1" spans="3:84">
      <c r="C25" s="684" t="s">
        <v>323</v>
      </c>
      <c r="D25" s="684">
        <v>77</v>
      </c>
      <c r="E25" s="684">
        <v>83.1</v>
      </c>
      <c r="F25" s="684">
        <v>79.5</v>
      </c>
      <c r="G25" s="684">
        <v>80.5</v>
      </c>
      <c r="H25" s="684">
        <v>80</v>
      </c>
      <c r="I25" s="684">
        <v>1</v>
      </c>
      <c r="J25" s="684">
        <v>1</v>
      </c>
      <c r="K25" s="684">
        <v>1</v>
      </c>
      <c r="L25" s="684">
        <v>1</v>
      </c>
      <c r="M25" s="702" t="s">
        <v>229</v>
      </c>
      <c r="N25" s="684">
        <v>88.5</v>
      </c>
      <c r="O25" s="684">
        <v>95.2</v>
      </c>
      <c r="P25" s="684">
        <v>91.3</v>
      </c>
      <c r="Q25" s="684">
        <v>92.3</v>
      </c>
      <c r="R25" s="684">
        <v>91.5</v>
      </c>
      <c r="S25" s="684">
        <v>1</v>
      </c>
      <c r="T25" s="684">
        <v>1</v>
      </c>
      <c r="U25" s="684">
        <v>1</v>
      </c>
      <c r="V25" s="684">
        <v>1</v>
      </c>
      <c r="W25" s="721"/>
      <c r="X25" s="722" t="s">
        <v>131</v>
      </c>
      <c r="Y25" s="684">
        <v>4.5</v>
      </c>
      <c r="Z25" s="684">
        <v>5.2</v>
      </c>
      <c r="AA25" s="684">
        <v>4.7</v>
      </c>
      <c r="AB25" s="684">
        <v>4.9</v>
      </c>
      <c r="AC25" s="684">
        <v>5.5</v>
      </c>
      <c r="AD25" s="684">
        <v>0.6</v>
      </c>
      <c r="AE25" s="684">
        <v>0.6</v>
      </c>
      <c r="AF25" s="684">
        <v>0.6</v>
      </c>
      <c r="AG25" s="744">
        <v>0.5</v>
      </c>
      <c r="AH25" s="739" t="s">
        <v>186</v>
      </c>
      <c r="AI25" s="684">
        <v>8.4</v>
      </c>
      <c r="AJ25" s="684">
        <v>9.3</v>
      </c>
      <c r="AK25" s="684">
        <v>8.8</v>
      </c>
      <c r="AL25" s="684">
        <v>9</v>
      </c>
      <c r="AM25" s="684">
        <v>9.6</v>
      </c>
      <c r="AN25" s="684">
        <v>0.7</v>
      </c>
      <c r="AO25" s="684">
        <v>0.6</v>
      </c>
      <c r="AP25" s="684">
        <v>0.7</v>
      </c>
      <c r="AQ25" s="684">
        <v>1</v>
      </c>
      <c r="AR25" s="756"/>
      <c r="AS25" s="684" t="s">
        <v>323</v>
      </c>
      <c r="AT25" s="702" t="s">
        <v>229</v>
      </c>
      <c r="AU25" s="722" t="s">
        <v>131</v>
      </c>
      <c r="AV25" s="739" t="s">
        <v>186</v>
      </c>
      <c r="AX25" s="793" t="s">
        <v>181</v>
      </c>
      <c r="AY25" s="794" t="s">
        <v>324</v>
      </c>
      <c r="AZ25" s="794" t="s">
        <v>299</v>
      </c>
      <c r="BA25" s="794" t="s">
        <v>325</v>
      </c>
      <c r="BB25" s="13"/>
      <c r="BC25" s="23" t="s">
        <v>271</v>
      </c>
      <c r="BD25" s="783"/>
      <c r="BE25" s="783"/>
      <c r="BF25" s="783"/>
      <c r="BG25" s="830"/>
      <c r="BH25" s="224" t="s">
        <v>155</v>
      </c>
      <c r="BI25" s="831" t="s">
        <v>154</v>
      </c>
      <c r="BJ25" s="831" t="s">
        <v>153</v>
      </c>
      <c r="BK25" s="832" t="s">
        <v>152</v>
      </c>
      <c r="BL25" s="833"/>
      <c r="BM25" s="803"/>
      <c r="BN25" s="23" t="s">
        <v>271</v>
      </c>
      <c r="BO25" s="783" t="s">
        <v>326</v>
      </c>
      <c r="BP25" s="783" t="s">
        <v>251</v>
      </c>
      <c r="BQ25" s="783" t="s">
        <v>327</v>
      </c>
      <c r="BR25" s="23" t="s">
        <v>155</v>
      </c>
      <c r="BS25" s="783" t="s">
        <v>154</v>
      </c>
      <c r="BT25" s="551"/>
      <c r="BU25" s="756"/>
      <c r="BV25" s="224" t="s">
        <v>262</v>
      </c>
      <c r="BW25" s="882" t="s">
        <v>262</v>
      </c>
      <c r="BX25" s="736"/>
      <c r="BY25" s="887" t="s">
        <v>328</v>
      </c>
      <c r="BZ25" s="756"/>
      <c r="CA25" s="887"/>
      <c r="CB25" s="756"/>
      <c r="CC25" s="23"/>
      <c r="CD25" s="814"/>
      <c r="CE25" s="684"/>
      <c r="CF25" s="906"/>
    </row>
    <row r="26" ht="16.9" customHeight="1" spans="3:84">
      <c r="C26" s="692" t="s">
        <v>329</v>
      </c>
      <c r="D26" s="692">
        <v>107</v>
      </c>
      <c r="E26" s="692">
        <v>115</v>
      </c>
      <c r="F26" s="692">
        <v>110</v>
      </c>
      <c r="G26" s="692">
        <v>111</v>
      </c>
      <c r="H26" s="692">
        <v>110</v>
      </c>
      <c r="I26" s="692">
        <v>1</v>
      </c>
      <c r="J26" s="692">
        <v>1</v>
      </c>
      <c r="K26" s="692">
        <v>1</v>
      </c>
      <c r="L26" s="692">
        <v>1</v>
      </c>
      <c r="M26" s="711" t="s">
        <v>237</v>
      </c>
      <c r="N26" s="692">
        <v>120</v>
      </c>
      <c r="O26" s="692">
        <v>129</v>
      </c>
      <c r="P26" s="692">
        <v>124</v>
      </c>
      <c r="Q26" s="692">
        <v>125</v>
      </c>
      <c r="R26" s="692">
        <v>124</v>
      </c>
      <c r="S26" s="692">
        <v>1</v>
      </c>
      <c r="T26" s="692">
        <v>1</v>
      </c>
      <c r="U26" s="692">
        <v>1</v>
      </c>
      <c r="V26" s="692">
        <v>1</v>
      </c>
      <c r="W26" s="730"/>
      <c r="X26" s="731" t="s">
        <v>211</v>
      </c>
      <c r="Y26" s="692">
        <v>5.3</v>
      </c>
      <c r="Z26" s="692">
        <v>6.1</v>
      </c>
      <c r="AA26" s="692">
        <v>5.5</v>
      </c>
      <c r="AB26" s="692">
        <v>5.9</v>
      </c>
      <c r="AC26" s="692">
        <v>6.4</v>
      </c>
      <c r="AD26" s="692">
        <v>0.6</v>
      </c>
      <c r="AE26" s="692">
        <v>0.6</v>
      </c>
      <c r="AF26" s="692">
        <v>0.6</v>
      </c>
      <c r="AG26" s="746">
        <v>0.5</v>
      </c>
      <c r="AH26" s="748" t="s">
        <v>143</v>
      </c>
      <c r="AI26" s="692">
        <v>3.8</v>
      </c>
      <c r="AJ26" s="692">
        <v>4.3</v>
      </c>
      <c r="AK26" s="692">
        <v>4</v>
      </c>
      <c r="AL26" s="692">
        <v>4.2</v>
      </c>
      <c r="AM26" s="692">
        <v>4.7</v>
      </c>
      <c r="AN26" s="692">
        <v>0.5</v>
      </c>
      <c r="AO26" s="692">
        <v>0.5</v>
      </c>
      <c r="AP26" s="692">
        <v>0.5</v>
      </c>
      <c r="AQ26" s="692">
        <v>0.5</v>
      </c>
      <c r="AR26" s="762"/>
      <c r="AS26" s="692" t="s">
        <v>329</v>
      </c>
      <c r="AT26" s="711" t="s">
        <v>237</v>
      </c>
      <c r="AU26" s="731" t="s">
        <v>211</v>
      </c>
      <c r="AV26" s="748" t="s">
        <v>143</v>
      </c>
      <c r="AX26" s="796" t="s">
        <v>194</v>
      </c>
      <c r="AY26" s="797" t="s">
        <v>330</v>
      </c>
      <c r="AZ26" s="797" t="s">
        <v>331</v>
      </c>
      <c r="BA26" s="797" t="s">
        <v>332</v>
      </c>
      <c r="BB26" s="735"/>
      <c r="BC26" s="798" t="s">
        <v>279</v>
      </c>
      <c r="BD26" s="799"/>
      <c r="BE26" s="799"/>
      <c r="BF26" s="799"/>
      <c r="BG26" s="834"/>
      <c r="BH26" s="827" t="s">
        <v>171</v>
      </c>
      <c r="BI26" s="828" t="s">
        <v>170</v>
      </c>
      <c r="BJ26" s="827" t="s">
        <v>169</v>
      </c>
      <c r="BK26" s="828" t="s">
        <v>168</v>
      </c>
      <c r="BL26" s="81"/>
      <c r="BM26" s="803"/>
      <c r="BN26" s="798" t="s">
        <v>279</v>
      </c>
      <c r="BO26" s="799" t="s">
        <v>333</v>
      </c>
      <c r="BP26" s="799" t="s">
        <v>260</v>
      </c>
      <c r="BQ26" s="799" t="s">
        <v>334</v>
      </c>
      <c r="BR26" s="798" t="s">
        <v>171</v>
      </c>
      <c r="BS26" s="799" t="s">
        <v>170</v>
      </c>
      <c r="BT26" s="765"/>
      <c r="BU26" s="762"/>
      <c r="BV26" s="827" t="s">
        <v>271</v>
      </c>
      <c r="BW26" s="886" t="s">
        <v>271</v>
      </c>
      <c r="BX26" s="769"/>
      <c r="BY26" s="851"/>
      <c r="BZ26" s="762"/>
      <c r="CA26" s="851"/>
      <c r="CB26" s="762"/>
      <c r="CC26" s="798"/>
      <c r="CD26" s="916"/>
      <c r="CE26" s="692"/>
      <c r="CF26" s="917"/>
    </row>
    <row r="27" ht="16.9" customHeight="1" spans="3:84">
      <c r="C27" s="684" t="s">
        <v>335</v>
      </c>
      <c r="D27" s="684">
        <v>152</v>
      </c>
      <c r="E27" s="684">
        <v>163</v>
      </c>
      <c r="F27" s="684">
        <v>157</v>
      </c>
      <c r="G27" s="684">
        <v>158</v>
      </c>
      <c r="H27" s="684">
        <v>156</v>
      </c>
      <c r="I27" s="684">
        <v>4</v>
      </c>
      <c r="J27" s="684">
        <v>2</v>
      </c>
      <c r="K27" s="684">
        <v>2</v>
      </c>
      <c r="L27" s="684">
        <v>2</v>
      </c>
      <c r="M27" s="702" t="s">
        <v>246</v>
      </c>
      <c r="N27" s="684">
        <v>173</v>
      </c>
      <c r="O27" s="684">
        <v>185</v>
      </c>
      <c r="P27" s="684">
        <v>178</v>
      </c>
      <c r="Q27" s="684">
        <v>179</v>
      </c>
      <c r="R27" s="684">
        <v>177</v>
      </c>
      <c r="S27" s="684">
        <v>4</v>
      </c>
      <c r="T27" s="684">
        <v>2</v>
      </c>
      <c r="U27" s="684">
        <v>2</v>
      </c>
      <c r="V27" s="684">
        <v>2</v>
      </c>
      <c r="W27" s="721"/>
      <c r="X27" s="722" t="s">
        <v>223</v>
      </c>
      <c r="Y27" s="684">
        <v>6.1</v>
      </c>
      <c r="Z27" s="684">
        <v>6.9</v>
      </c>
      <c r="AA27" s="684">
        <v>6.3</v>
      </c>
      <c r="AB27" s="684">
        <v>6.6</v>
      </c>
      <c r="AC27" s="684">
        <v>7.2</v>
      </c>
      <c r="AD27" s="684">
        <v>0.6</v>
      </c>
      <c r="AE27" s="684">
        <v>0.6</v>
      </c>
      <c r="AF27" s="684">
        <v>0.6</v>
      </c>
      <c r="AG27" s="744">
        <v>0.5</v>
      </c>
      <c r="AH27" s="741" t="s">
        <v>154</v>
      </c>
      <c r="AI27" s="684">
        <v>5.7</v>
      </c>
      <c r="AJ27" s="684">
        <v>6.4</v>
      </c>
      <c r="AK27" s="684">
        <v>5.9</v>
      </c>
      <c r="AL27" s="684">
        <v>6.1</v>
      </c>
      <c r="AM27" s="684">
        <v>6.7</v>
      </c>
      <c r="AN27" s="684">
        <v>0.6</v>
      </c>
      <c r="AO27" s="684">
        <v>0.5</v>
      </c>
      <c r="AP27" s="684">
        <v>0.6</v>
      </c>
      <c r="AQ27" s="684">
        <v>0.5</v>
      </c>
      <c r="AR27" s="756"/>
      <c r="AS27" s="684" t="s">
        <v>335</v>
      </c>
      <c r="AT27" s="702" t="s">
        <v>246</v>
      </c>
      <c r="AU27" s="722" t="s">
        <v>223</v>
      </c>
      <c r="AV27" s="741" t="s">
        <v>154</v>
      </c>
      <c r="AX27" s="793" t="s">
        <v>204</v>
      </c>
      <c r="AY27" s="794" t="s">
        <v>336</v>
      </c>
      <c r="AZ27" s="794" t="s">
        <v>337</v>
      </c>
      <c r="BA27" s="794" t="s">
        <v>338</v>
      </c>
      <c r="BB27" s="13"/>
      <c r="BC27" s="23" t="s">
        <v>290</v>
      </c>
      <c r="BD27" s="23"/>
      <c r="BE27" s="23"/>
      <c r="BF27" s="23"/>
      <c r="BG27" s="821"/>
      <c r="BH27" s="224" t="s">
        <v>186</v>
      </c>
      <c r="BI27" s="831" t="s">
        <v>185</v>
      </c>
      <c r="BJ27" s="224" t="s">
        <v>184</v>
      </c>
      <c r="BK27" s="831" t="s">
        <v>183</v>
      </c>
      <c r="BL27" s="820"/>
      <c r="BM27" s="803"/>
      <c r="BN27" s="824" t="s">
        <v>290</v>
      </c>
      <c r="BO27" s="825" t="s">
        <v>339</v>
      </c>
      <c r="BP27" s="825" t="s">
        <v>269</v>
      </c>
      <c r="BQ27" s="825" t="s">
        <v>340</v>
      </c>
      <c r="BR27" s="23" t="s">
        <v>155</v>
      </c>
      <c r="BS27" s="783" t="s">
        <v>154</v>
      </c>
      <c r="BT27" s="847"/>
      <c r="BU27" s="756"/>
      <c r="BV27" s="884" t="s">
        <v>279</v>
      </c>
      <c r="BW27" s="888" t="s">
        <v>279</v>
      </c>
      <c r="BX27" s="736"/>
      <c r="BY27" s="23" t="s">
        <v>146</v>
      </c>
      <c r="BZ27" s="756"/>
      <c r="CA27" s="23"/>
      <c r="CB27" s="756"/>
      <c r="CC27" s="23"/>
      <c r="CD27" s="905"/>
      <c r="CE27" s="684"/>
      <c r="CF27" s="918"/>
    </row>
    <row r="28" ht="16.9" customHeight="1" spans="3:84">
      <c r="C28" s="692" t="s">
        <v>341</v>
      </c>
      <c r="D28" s="692">
        <v>209</v>
      </c>
      <c r="E28" s="692">
        <v>223</v>
      </c>
      <c r="F28" s="692">
        <v>216</v>
      </c>
      <c r="G28" s="692">
        <v>216</v>
      </c>
      <c r="H28" s="692">
        <v>214</v>
      </c>
      <c r="I28" s="692">
        <v>4</v>
      </c>
      <c r="J28" s="692">
        <v>2</v>
      </c>
      <c r="K28" s="692">
        <v>2</v>
      </c>
      <c r="L28" s="692">
        <v>2</v>
      </c>
      <c r="M28" s="711" t="s">
        <v>255</v>
      </c>
      <c r="N28" s="692">
        <v>238</v>
      </c>
      <c r="O28" s="692">
        <v>253</v>
      </c>
      <c r="P28" s="692">
        <v>245</v>
      </c>
      <c r="Q28" s="692">
        <v>245</v>
      </c>
      <c r="R28" s="692">
        <v>242</v>
      </c>
      <c r="S28" s="692">
        <v>4</v>
      </c>
      <c r="T28" s="692">
        <v>2</v>
      </c>
      <c r="U28" s="692">
        <v>2</v>
      </c>
      <c r="V28" s="692">
        <v>2</v>
      </c>
      <c r="W28" s="730"/>
      <c r="X28" s="731" t="s">
        <v>233</v>
      </c>
      <c r="Y28" s="692">
        <v>6.8</v>
      </c>
      <c r="Z28" s="692">
        <v>7.6</v>
      </c>
      <c r="AA28" s="692">
        <v>7.1</v>
      </c>
      <c r="AB28" s="692">
        <v>7.3</v>
      </c>
      <c r="AC28" s="692">
        <v>8</v>
      </c>
      <c r="AD28" s="692">
        <v>0.6</v>
      </c>
      <c r="AE28" s="692">
        <v>0.6</v>
      </c>
      <c r="AF28" s="692">
        <v>0.6</v>
      </c>
      <c r="AG28" s="746">
        <v>0.5</v>
      </c>
      <c r="AH28" s="747" t="s">
        <v>170</v>
      </c>
      <c r="AI28" s="692">
        <v>8.6</v>
      </c>
      <c r="AJ28" s="692">
        <v>9.5</v>
      </c>
      <c r="AK28" s="692">
        <v>9</v>
      </c>
      <c r="AL28" s="692">
        <v>9.1</v>
      </c>
      <c r="AM28" s="692">
        <v>9.7</v>
      </c>
      <c r="AN28" s="692">
        <v>0.6</v>
      </c>
      <c r="AO28" s="692">
        <v>0.6</v>
      </c>
      <c r="AP28" s="692">
        <v>0.6</v>
      </c>
      <c r="AQ28" s="692">
        <v>0.5</v>
      </c>
      <c r="AR28" s="762"/>
      <c r="AS28" s="692" t="s">
        <v>341</v>
      </c>
      <c r="AT28" s="711" t="s">
        <v>255</v>
      </c>
      <c r="AU28" s="731" t="s">
        <v>233</v>
      </c>
      <c r="AV28" s="747" t="s">
        <v>170</v>
      </c>
      <c r="AX28" s="796" t="s">
        <v>217</v>
      </c>
      <c r="AY28" s="797" t="s">
        <v>342</v>
      </c>
      <c r="AZ28" s="797" t="s">
        <v>343</v>
      </c>
      <c r="BA28" s="797" t="s">
        <v>344</v>
      </c>
      <c r="BB28" s="735"/>
      <c r="BC28" s="90"/>
      <c r="BD28" s="90"/>
      <c r="BE28" s="90"/>
      <c r="BF28" s="90"/>
      <c r="BG28" s="835"/>
      <c r="BH28" s="827" t="s">
        <v>127</v>
      </c>
      <c r="BI28" s="828" t="s">
        <v>197</v>
      </c>
      <c r="BJ28" s="827" t="s">
        <v>196</v>
      </c>
      <c r="BK28" s="828" t="s">
        <v>128</v>
      </c>
      <c r="BL28" s="820"/>
      <c r="BM28" s="803"/>
      <c r="BN28" s="777"/>
      <c r="BO28" s="777"/>
      <c r="BP28" s="777"/>
      <c r="BQ28" s="777"/>
      <c r="BR28" s="798"/>
      <c r="BS28" s="799"/>
      <c r="BT28" s="848"/>
      <c r="BU28" s="762"/>
      <c r="BV28" s="889"/>
      <c r="BW28" s="809"/>
      <c r="BX28" s="890"/>
      <c r="BY28" s="798" t="s">
        <v>160</v>
      </c>
      <c r="BZ28" s="762"/>
      <c r="CA28" s="798"/>
      <c r="CB28" s="762"/>
      <c r="CC28" s="798"/>
      <c r="CD28" s="914"/>
      <c r="CE28" s="692"/>
      <c r="CF28" s="915"/>
    </row>
    <row r="29" ht="16.9" customHeight="1" spans="3:84">
      <c r="C29" s="684" t="s">
        <v>345</v>
      </c>
      <c r="D29" s="684">
        <v>271</v>
      </c>
      <c r="E29" s="684">
        <v>288</v>
      </c>
      <c r="F29" s="684">
        <v>279</v>
      </c>
      <c r="G29" s="684">
        <v>280</v>
      </c>
      <c r="H29" s="684">
        <v>276</v>
      </c>
      <c r="I29" s="684">
        <v>5</v>
      </c>
      <c r="J29" s="684">
        <v>3</v>
      </c>
      <c r="K29" s="684">
        <v>3</v>
      </c>
      <c r="L29" s="684">
        <v>2</v>
      </c>
      <c r="M29" s="702" t="s">
        <v>307</v>
      </c>
      <c r="N29" s="684">
        <v>303</v>
      </c>
      <c r="O29" s="684">
        <v>321</v>
      </c>
      <c r="P29" s="684">
        <v>312</v>
      </c>
      <c r="Q29" s="684">
        <v>312</v>
      </c>
      <c r="R29" s="684">
        <v>308</v>
      </c>
      <c r="S29" s="684">
        <v>5</v>
      </c>
      <c r="T29" s="684">
        <v>3</v>
      </c>
      <c r="U29" s="684">
        <v>3</v>
      </c>
      <c r="V29" s="684">
        <v>2</v>
      </c>
      <c r="W29" s="721"/>
      <c r="X29" s="722" t="s">
        <v>241</v>
      </c>
      <c r="Y29" s="684">
        <v>8.6</v>
      </c>
      <c r="Z29" s="684">
        <v>9.8</v>
      </c>
      <c r="AA29" s="684">
        <v>8.9</v>
      </c>
      <c r="AB29" s="684">
        <v>9.4</v>
      </c>
      <c r="AC29" s="684">
        <v>10</v>
      </c>
      <c r="AD29" s="684">
        <v>0.8</v>
      </c>
      <c r="AE29" s="684">
        <v>0.8</v>
      </c>
      <c r="AF29" s="684">
        <v>0.8</v>
      </c>
      <c r="AG29" s="744">
        <v>0.5</v>
      </c>
      <c r="AH29" s="741" t="s">
        <v>185</v>
      </c>
      <c r="AI29" s="684">
        <v>12.4</v>
      </c>
      <c r="AJ29" s="684">
        <v>13.4</v>
      </c>
      <c r="AK29" s="684">
        <v>12.8</v>
      </c>
      <c r="AL29" s="684">
        <v>13</v>
      </c>
      <c r="AM29" s="684">
        <v>13.6</v>
      </c>
      <c r="AN29" s="684">
        <v>0.7</v>
      </c>
      <c r="AO29" s="684">
        <v>0.7</v>
      </c>
      <c r="AP29" s="684">
        <v>0.7</v>
      </c>
      <c r="AQ29" s="684">
        <v>1</v>
      </c>
      <c r="AR29" s="756"/>
      <c r="AS29" s="684" t="s">
        <v>345</v>
      </c>
      <c r="AT29" s="702" t="s">
        <v>307</v>
      </c>
      <c r="AU29" s="763" t="s">
        <v>241</v>
      </c>
      <c r="AV29" s="741" t="s">
        <v>185</v>
      </c>
      <c r="AX29" s="793" t="s">
        <v>181</v>
      </c>
      <c r="AY29" s="794" t="s">
        <v>346</v>
      </c>
      <c r="AZ29" s="794" t="s">
        <v>347</v>
      </c>
      <c r="BA29" s="794" t="s">
        <v>348</v>
      </c>
      <c r="BB29" s="13"/>
      <c r="BC29" s="90"/>
      <c r="BD29" s="90"/>
      <c r="BE29" s="90"/>
      <c r="BF29" s="90"/>
      <c r="BG29" s="823"/>
      <c r="BH29" s="224" t="s">
        <v>137</v>
      </c>
      <c r="BI29" s="831" t="s">
        <v>207</v>
      </c>
      <c r="BJ29" s="224" t="s">
        <v>206</v>
      </c>
      <c r="BK29" s="831" t="s">
        <v>138</v>
      </c>
      <c r="BL29" s="820"/>
      <c r="BM29" s="803"/>
      <c r="BN29" s="780"/>
      <c r="BO29" s="780"/>
      <c r="BP29" s="780"/>
      <c r="BQ29" s="780"/>
      <c r="BR29" s="23"/>
      <c r="BS29" s="783"/>
      <c r="BT29" s="847"/>
      <c r="BU29" s="756"/>
      <c r="BV29" s="780"/>
      <c r="BW29" s="891"/>
      <c r="BX29" s="892"/>
      <c r="BY29" s="23" t="s">
        <v>134</v>
      </c>
      <c r="BZ29" s="756"/>
      <c r="CA29" s="23"/>
      <c r="CB29" s="756"/>
      <c r="CC29" s="23"/>
      <c r="CD29" s="905"/>
      <c r="CE29" s="684"/>
      <c r="CF29" s="906"/>
    </row>
    <row r="30" ht="16.9" customHeight="1" spans="3:84">
      <c r="C30" s="692" t="s">
        <v>349</v>
      </c>
      <c r="D30" s="692">
        <v>321</v>
      </c>
      <c r="E30" s="692">
        <v>341</v>
      </c>
      <c r="F30" s="692">
        <v>331</v>
      </c>
      <c r="G30" s="692">
        <v>331</v>
      </c>
      <c r="H30" s="692">
        <v>327</v>
      </c>
      <c r="I30" s="692">
        <v>5</v>
      </c>
      <c r="J30" s="692">
        <v>3</v>
      </c>
      <c r="K30" s="692">
        <v>3</v>
      </c>
      <c r="L30" s="692">
        <v>2</v>
      </c>
      <c r="M30" s="711" t="s">
        <v>316</v>
      </c>
      <c r="N30" s="692">
        <v>370</v>
      </c>
      <c r="O30" s="692">
        <v>392</v>
      </c>
      <c r="P30" s="692">
        <v>381</v>
      </c>
      <c r="Q30" s="692">
        <v>380</v>
      </c>
      <c r="R30" s="692">
        <v>375</v>
      </c>
      <c r="S30" s="692">
        <v>5</v>
      </c>
      <c r="T30" s="692">
        <v>3</v>
      </c>
      <c r="U30" s="692">
        <v>3</v>
      </c>
      <c r="V30" s="692">
        <v>2</v>
      </c>
      <c r="W30" s="730"/>
      <c r="X30" s="731" t="s">
        <v>250</v>
      </c>
      <c r="Y30" s="692">
        <v>10.1</v>
      </c>
      <c r="Z30" s="692">
        <v>11.3</v>
      </c>
      <c r="AA30" s="692">
        <v>10.5</v>
      </c>
      <c r="AB30" s="692">
        <v>10.9</v>
      </c>
      <c r="AC30" s="692">
        <v>11.5</v>
      </c>
      <c r="AD30" s="692">
        <v>0.8</v>
      </c>
      <c r="AE30" s="692">
        <v>0.8</v>
      </c>
      <c r="AF30" s="692">
        <v>0.8</v>
      </c>
      <c r="AG30" s="746">
        <v>0.5</v>
      </c>
      <c r="AH30" s="747" t="s">
        <v>142</v>
      </c>
      <c r="AI30" s="692">
        <v>4.9</v>
      </c>
      <c r="AJ30" s="692">
        <v>5.6</v>
      </c>
      <c r="AK30" s="692">
        <v>5.2</v>
      </c>
      <c r="AL30" s="692">
        <v>5.4</v>
      </c>
      <c r="AM30" s="692">
        <v>5.9</v>
      </c>
      <c r="AN30" s="692">
        <v>0.6</v>
      </c>
      <c r="AO30" s="692">
        <v>0.5</v>
      </c>
      <c r="AP30" s="692">
        <v>0.6</v>
      </c>
      <c r="AQ30" s="692">
        <v>0.5</v>
      </c>
      <c r="AR30" s="762"/>
      <c r="AS30" s="692" t="s">
        <v>349</v>
      </c>
      <c r="AT30" s="711" t="s">
        <v>316</v>
      </c>
      <c r="AU30" s="731" t="s">
        <v>250</v>
      </c>
      <c r="AV30" s="747" t="s">
        <v>142</v>
      </c>
      <c r="AX30" s="800" t="s">
        <v>64</v>
      </c>
      <c r="AY30" s="797" t="s">
        <v>350</v>
      </c>
      <c r="AZ30" s="797" t="s">
        <v>351</v>
      </c>
      <c r="BA30" s="797" t="s">
        <v>352</v>
      </c>
      <c r="BB30" s="735"/>
      <c r="BC30" s="14"/>
      <c r="BD30" s="308"/>
      <c r="BE30" s="2"/>
      <c r="BF30" s="308"/>
      <c r="BG30" s="835"/>
      <c r="BH30" s="827" t="s">
        <v>148</v>
      </c>
      <c r="BI30" s="828" t="s">
        <v>162</v>
      </c>
      <c r="BJ30" s="827" t="s">
        <v>219</v>
      </c>
      <c r="BK30" s="828" t="s">
        <v>149</v>
      </c>
      <c r="BL30" s="820"/>
      <c r="BM30" s="803"/>
      <c r="BN30" s="849"/>
      <c r="BO30" s="850"/>
      <c r="BP30" s="851"/>
      <c r="BQ30" s="851"/>
      <c r="BR30" s="798"/>
      <c r="BS30" s="799"/>
      <c r="BT30" s="848"/>
      <c r="BU30" s="762"/>
      <c r="BV30" s="765"/>
      <c r="BW30" s="799"/>
      <c r="BX30" s="893"/>
      <c r="BY30" s="798" t="s">
        <v>144</v>
      </c>
      <c r="BZ30" s="762"/>
      <c r="CA30" s="798"/>
      <c r="CB30" s="762"/>
      <c r="CC30" s="798"/>
      <c r="CD30" s="914"/>
      <c r="CE30" s="692"/>
      <c r="CF30" s="915"/>
    </row>
    <row r="31" ht="16.9" customHeight="1" spans="3:84">
      <c r="C31" s="684" t="s">
        <v>353</v>
      </c>
      <c r="D31" s="684">
        <v>410</v>
      </c>
      <c r="E31" s="684">
        <v>435</v>
      </c>
      <c r="F31" s="684">
        <v>423</v>
      </c>
      <c r="G31" s="684">
        <v>422</v>
      </c>
      <c r="H31" s="684">
        <v>417</v>
      </c>
      <c r="I31" s="684">
        <v>5</v>
      </c>
      <c r="J31" s="684">
        <v>3</v>
      </c>
      <c r="K31" s="684">
        <v>3</v>
      </c>
      <c r="L31" s="684">
        <v>2</v>
      </c>
      <c r="M31" s="702" t="s">
        <v>322</v>
      </c>
      <c r="N31" s="684">
        <v>467</v>
      </c>
      <c r="O31" s="684">
        <v>494</v>
      </c>
      <c r="P31" s="684">
        <v>481</v>
      </c>
      <c r="Q31" s="684">
        <v>479</v>
      </c>
      <c r="R31" s="684">
        <v>473</v>
      </c>
      <c r="S31" s="684">
        <v>5</v>
      </c>
      <c r="T31" s="684">
        <v>3</v>
      </c>
      <c r="U31" s="684">
        <v>3</v>
      </c>
      <c r="V31" s="684">
        <v>2</v>
      </c>
      <c r="W31" s="721"/>
      <c r="X31" s="732" t="s">
        <v>259</v>
      </c>
      <c r="Y31" s="684">
        <v>11.8</v>
      </c>
      <c r="Z31" s="684">
        <v>13.3</v>
      </c>
      <c r="AA31" s="684">
        <v>12.2</v>
      </c>
      <c r="AB31" s="684">
        <v>12.8</v>
      </c>
      <c r="AC31" s="684">
        <v>13.4</v>
      </c>
      <c r="AD31" s="684">
        <v>0.9</v>
      </c>
      <c r="AE31" s="684">
        <v>0.9</v>
      </c>
      <c r="AF31" s="684">
        <v>0.9</v>
      </c>
      <c r="AG31" s="744">
        <v>0.5</v>
      </c>
      <c r="AH31" s="741" t="s">
        <v>153</v>
      </c>
      <c r="AI31" s="684">
        <v>7.5</v>
      </c>
      <c r="AJ31" s="684">
        <v>8.3</v>
      </c>
      <c r="AK31" s="684">
        <v>7.8</v>
      </c>
      <c r="AL31" s="684">
        <v>8</v>
      </c>
      <c r="AM31" s="684">
        <v>8.5</v>
      </c>
      <c r="AN31" s="684">
        <v>0.6</v>
      </c>
      <c r="AO31" s="684">
        <v>0.6</v>
      </c>
      <c r="AP31" s="684">
        <v>0.6</v>
      </c>
      <c r="AQ31" s="684">
        <v>0.5</v>
      </c>
      <c r="AR31" s="756"/>
      <c r="AS31" s="684" t="s">
        <v>353</v>
      </c>
      <c r="AT31" s="702" t="s">
        <v>322</v>
      </c>
      <c r="AU31" s="732" t="s">
        <v>259</v>
      </c>
      <c r="AV31" s="741" t="s">
        <v>153</v>
      </c>
      <c r="AX31" s="801" t="s">
        <v>244</v>
      </c>
      <c r="AY31" s="794" t="s">
        <v>354</v>
      </c>
      <c r="AZ31" s="794" t="s">
        <v>355</v>
      </c>
      <c r="BA31" s="794" t="s">
        <v>356</v>
      </c>
      <c r="BB31" s="13"/>
      <c r="BC31" s="802"/>
      <c r="BD31" s="803"/>
      <c r="BE31" s="803"/>
      <c r="BF31" s="803"/>
      <c r="BG31" s="823"/>
      <c r="BH31" s="224" t="s">
        <v>164</v>
      </c>
      <c r="BI31" s="831" t="s">
        <v>177</v>
      </c>
      <c r="BJ31" s="224" t="s">
        <v>229</v>
      </c>
      <c r="BK31" s="831" t="s">
        <v>165</v>
      </c>
      <c r="BL31" s="820"/>
      <c r="BM31" s="803"/>
      <c r="BN31" s="23"/>
      <c r="BO31" s="702"/>
      <c r="BP31" s="852"/>
      <c r="BQ31" s="852"/>
      <c r="BR31" s="23"/>
      <c r="BS31" s="783"/>
      <c r="BT31" s="847"/>
      <c r="BU31" s="756"/>
      <c r="BV31" s="551"/>
      <c r="BW31" s="783"/>
      <c r="BX31" s="814"/>
      <c r="BY31" s="23" t="s">
        <v>155</v>
      </c>
      <c r="BZ31" s="756"/>
      <c r="CA31" s="23"/>
      <c r="CB31" s="756"/>
      <c r="CC31" s="23"/>
      <c r="CD31" s="905"/>
      <c r="CE31" s="684"/>
      <c r="CF31" s="906"/>
    </row>
    <row r="32" ht="16.9" customHeight="1" spans="3:84">
      <c r="C32" s="693" t="s">
        <v>357</v>
      </c>
      <c r="D32" s="692">
        <v>538</v>
      </c>
      <c r="E32" s="692">
        <v>570</v>
      </c>
      <c r="F32" s="692">
        <v>555</v>
      </c>
      <c r="G32" s="692">
        <v>553</v>
      </c>
      <c r="H32" s="692">
        <v>545</v>
      </c>
      <c r="I32" s="692">
        <v>6</v>
      </c>
      <c r="J32" s="692">
        <v>3</v>
      </c>
      <c r="K32" s="692">
        <v>4</v>
      </c>
      <c r="L32" s="692">
        <v>3</v>
      </c>
      <c r="M32" s="712" t="s">
        <v>327</v>
      </c>
      <c r="N32" s="692">
        <v>615</v>
      </c>
      <c r="O32" s="692">
        <v>650</v>
      </c>
      <c r="P32" s="692">
        <v>634</v>
      </c>
      <c r="Q32" s="692">
        <v>631</v>
      </c>
      <c r="R32" s="692">
        <v>622</v>
      </c>
      <c r="S32" s="692">
        <v>6</v>
      </c>
      <c r="T32" s="692">
        <v>3</v>
      </c>
      <c r="U32" s="692">
        <v>4</v>
      </c>
      <c r="V32" s="692">
        <v>3</v>
      </c>
      <c r="W32" s="730"/>
      <c r="X32" s="731" t="s">
        <v>268</v>
      </c>
      <c r="Y32" s="692">
        <v>13.3</v>
      </c>
      <c r="Z32" s="692">
        <v>14.8</v>
      </c>
      <c r="AA32" s="692">
        <v>13.8</v>
      </c>
      <c r="AB32" s="692">
        <v>14.3</v>
      </c>
      <c r="AC32" s="692">
        <v>15</v>
      </c>
      <c r="AD32" s="692">
        <v>0.9</v>
      </c>
      <c r="AE32" s="692">
        <v>0.9</v>
      </c>
      <c r="AF32" s="692">
        <v>0.9</v>
      </c>
      <c r="AG32" s="746">
        <v>0.5</v>
      </c>
      <c r="AH32" s="747" t="s">
        <v>169</v>
      </c>
      <c r="AI32" s="692">
        <v>11.4</v>
      </c>
      <c r="AJ32" s="692">
        <v>12.4</v>
      </c>
      <c r="AK32" s="692">
        <v>11.8</v>
      </c>
      <c r="AL32" s="692">
        <v>12</v>
      </c>
      <c r="AM32" s="692">
        <v>12.6</v>
      </c>
      <c r="AN32" s="692">
        <v>0.7</v>
      </c>
      <c r="AO32" s="692">
        <v>0.7</v>
      </c>
      <c r="AP32" s="692">
        <v>0.7</v>
      </c>
      <c r="AQ32" s="692">
        <v>1</v>
      </c>
      <c r="AR32" s="762"/>
      <c r="AS32" s="692" t="s">
        <v>357</v>
      </c>
      <c r="AT32" s="711" t="s">
        <v>327</v>
      </c>
      <c r="AU32" s="731" t="s">
        <v>268</v>
      </c>
      <c r="AV32" s="747" t="s">
        <v>169</v>
      </c>
      <c r="AX32" s="804" t="s">
        <v>211</v>
      </c>
      <c r="AY32" s="797" t="s">
        <v>358</v>
      </c>
      <c r="AZ32" s="797" t="s">
        <v>359</v>
      </c>
      <c r="BA32" s="797" t="s">
        <v>360</v>
      </c>
      <c r="BB32" s="735"/>
      <c r="BC32" s="802"/>
      <c r="BD32" s="803"/>
      <c r="BE32" s="803"/>
      <c r="BF32" s="803"/>
      <c r="BG32" s="826"/>
      <c r="BH32" s="836" t="s">
        <v>179</v>
      </c>
      <c r="BI32" s="837" t="s">
        <v>190</v>
      </c>
      <c r="BJ32" s="836" t="s">
        <v>237</v>
      </c>
      <c r="BK32" s="837" t="s">
        <v>180</v>
      </c>
      <c r="BL32" s="820"/>
      <c r="BM32" s="803"/>
      <c r="BN32" s="798"/>
      <c r="BO32" s="711"/>
      <c r="BP32" s="853"/>
      <c r="BQ32" s="853"/>
      <c r="BR32" s="798"/>
      <c r="BS32" s="799"/>
      <c r="BT32" s="848"/>
      <c r="BU32" s="762"/>
      <c r="BV32" s="765"/>
      <c r="BW32" s="799"/>
      <c r="BX32" s="894"/>
      <c r="BY32" s="798" t="s">
        <v>171</v>
      </c>
      <c r="BZ32" s="762"/>
      <c r="CA32" s="798"/>
      <c r="CB32" s="762"/>
      <c r="CC32" s="798"/>
      <c r="CD32" s="914"/>
      <c r="CE32" s="692"/>
      <c r="CF32" s="915"/>
    </row>
    <row r="33" ht="16.9" customHeight="1" spans="3:84">
      <c r="C33" s="687" t="s">
        <v>361</v>
      </c>
      <c r="D33" s="684">
        <v>673</v>
      </c>
      <c r="E33" s="684">
        <v>712</v>
      </c>
      <c r="F33" s="684">
        <v>694</v>
      </c>
      <c r="G33" s="684">
        <v>691</v>
      </c>
      <c r="H33" s="684">
        <v>681</v>
      </c>
      <c r="I33" s="684">
        <v>7</v>
      </c>
      <c r="J33" s="684">
        <v>4</v>
      </c>
      <c r="K33" s="684">
        <v>4</v>
      </c>
      <c r="L33" s="684">
        <v>3</v>
      </c>
      <c r="M33" s="713" t="s">
        <v>334</v>
      </c>
      <c r="N33" s="684">
        <v>773</v>
      </c>
      <c r="O33" s="684">
        <v>815</v>
      </c>
      <c r="P33" s="684">
        <v>796</v>
      </c>
      <c r="Q33" s="684">
        <v>792</v>
      </c>
      <c r="R33" s="684">
        <v>781</v>
      </c>
      <c r="S33" s="684">
        <v>7</v>
      </c>
      <c r="T33" s="684">
        <v>4</v>
      </c>
      <c r="U33" s="684">
        <v>4</v>
      </c>
      <c r="V33" s="684">
        <v>3</v>
      </c>
      <c r="W33" s="721"/>
      <c r="X33" s="722" t="s">
        <v>276</v>
      </c>
      <c r="Y33" s="684">
        <v>15.8</v>
      </c>
      <c r="Z33" s="684">
        <v>17.5</v>
      </c>
      <c r="AA33" s="684">
        <v>16.3</v>
      </c>
      <c r="AB33" s="684">
        <v>16.9</v>
      </c>
      <c r="AC33" s="684">
        <v>17.6</v>
      </c>
      <c r="AD33" s="684">
        <v>1</v>
      </c>
      <c r="AE33" s="684">
        <v>1</v>
      </c>
      <c r="AF33" s="684">
        <v>1</v>
      </c>
      <c r="AG33" s="744">
        <v>1</v>
      </c>
      <c r="AH33" s="741" t="s">
        <v>184</v>
      </c>
      <c r="AI33" s="684">
        <v>16.3</v>
      </c>
      <c r="AJ33" s="684">
        <v>17.7</v>
      </c>
      <c r="AK33" s="684">
        <v>16.9</v>
      </c>
      <c r="AL33" s="684">
        <v>17.1</v>
      </c>
      <c r="AM33" s="684">
        <v>17.7</v>
      </c>
      <c r="AN33" s="684">
        <v>0.8</v>
      </c>
      <c r="AO33" s="684">
        <v>0.8</v>
      </c>
      <c r="AP33" s="684">
        <v>0.8</v>
      </c>
      <c r="AQ33" s="684">
        <v>0.5</v>
      </c>
      <c r="AR33" s="756"/>
      <c r="AS33" s="684" t="s">
        <v>361</v>
      </c>
      <c r="AT33" s="702" t="s">
        <v>334</v>
      </c>
      <c r="AU33" s="722" t="s">
        <v>276</v>
      </c>
      <c r="AV33" s="741" t="s">
        <v>184</v>
      </c>
      <c r="AX33" s="805" t="s">
        <v>362</v>
      </c>
      <c r="AY33" s="794" t="s">
        <v>363</v>
      </c>
      <c r="AZ33" s="794" t="s">
        <v>364</v>
      </c>
      <c r="BA33" s="794" t="s">
        <v>365</v>
      </c>
      <c r="BB33" s="13"/>
      <c r="BC33" s="802"/>
      <c r="BD33" s="803"/>
      <c r="BE33" s="803"/>
      <c r="BF33" s="803"/>
      <c r="BG33" s="823"/>
      <c r="BH33" s="838" t="s">
        <v>362</v>
      </c>
      <c r="BI33" s="839" t="s">
        <v>182</v>
      </c>
      <c r="BJ33" s="838" t="s">
        <v>366</v>
      </c>
      <c r="BK33" s="839" t="s">
        <v>367</v>
      </c>
      <c r="BL33" s="820"/>
      <c r="BM33" s="803"/>
      <c r="BN33" s="23"/>
      <c r="BO33" s="702"/>
      <c r="BP33" s="852"/>
      <c r="BQ33" s="852"/>
      <c r="BR33" s="23"/>
      <c r="BS33" s="783"/>
      <c r="BT33" s="847"/>
      <c r="BU33" s="756"/>
      <c r="BV33" s="551"/>
      <c r="BW33" s="783"/>
      <c r="BX33" s="814"/>
      <c r="BY33" s="824" t="s">
        <v>186</v>
      </c>
      <c r="BZ33" s="756"/>
      <c r="CA33" s="824"/>
      <c r="CB33" s="756"/>
      <c r="CC33" s="23"/>
      <c r="CD33" s="905"/>
      <c r="CE33" s="684"/>
      <c r="CF33" s="906"/>
    </row>
    <row r="34" ht="16.9" customHeight="1" spans="3:84">
      <c r="C34" s="693" t="s">
        <v>368</v>
      </c>
      <c r="D34" s="694">
        <v>887</v>
      </c>
      <c r="E34" s="694">
        <v>936</v>
      </c>
      <c r="F34" s="693">
        <v>914</v>
      </c>
      <c r="G34" s="693">
        <v>909</v>
      </c>
      <c r="H34" s="693">
        <v>896</v>
      </c>
      <c r="I34" s="693">
        <v>7</v>
      </c>
      <c r="J34" s="693">
        <v>4</v>
      </c>
      <c r="K34" s="694">
        <v>4</v>
      </c>
      <c r="L34" s="693">
        <v>4</v>
      </c>
      <c r="M34" s="714" t="s">
        <v>340</v>
      </c>
      <c r="N34" s="693">
        <v>1024</v>
      </c>
      <c r="O34" s="693">
        <v>1079</v>
      </c>
      <c r="P34" s="693">
        <v>1055</v>
      </c>
      <c r="Q34" s="693">
        <v>1047</v>
      </c>
      <c r="R34" s="693">
        <v>1033</v>
      </c>
      <c r="S34" s="693">
        <v>7</v>
      </c>
      <c r="T34" s="693">
        <v>4</v>
      </c>
      <c r="U34" s="693">
        <v>4</v>
      </c>
      <c r="V34" s="693">
        <v>4</v>
      </c>
      <c r="W34" s="730"/>
      <c r="X34" s="731" t="s">
        <v>287</v>
      </c>
      <c r="Y34" s="692">
        <v>16.6</v>
      </c>
      <c r="Z34" s="692">
        <v>18.3</v>
      </c>
      <c r="AA34" s="692">
        <v>17.1</v>
      </c>
      <c r="AB34" s="692">
        <v>17.7</v>
      </c>
      <c r="AC34" s="692">
        <v>18.4</v>
      </c>
      <c r="AD34" s="692">
        <v>1</v>
      </c>
      <c r="AE34" s="692">
        <v>1</v>
      </c>
      <c r="AF34" s="692">
        <v>1</v>
      </c>
      <c r="AG34" s="746">
        <v>1</v>
      </c>
      <c r="AH34" s="747" t="s">
        <v>141</v>
      </c>
      <c r="AI34" s="692">
        <v>6.1</v>
      </c>
      <c r="AJ34" s="692">
        <v>6.9</v>
      </c>
      <c r="AK34" s="692">
        <v>6.3</v>
      </c>
      <c r="AL34" s="692">
        <v>6.6</v>
      </c>
      <c r="AM34" s="692">
        <v>7.2</v>
      </c>
      <c r="AN34" s="692">
        <v>0.6</v>
      </c>
      <c r="AO34" s="692">
        <v>0.6</v>
      </c>
      <c r="AP34" s="692">
        <v>0.6</v>
      </c>
      <c r="AQ34" s="692">
        <v>0.5</v>
      </c>
      <c r="AR34" s="762"/>
      <c r="AS34" s="693" t="s">
        <v>368</v>
      </c>
      <c r="AT34" s="764" t="s">
        <v>340</v>
      </c>
      <c r="AU34" s="765" t="s">
        <v>287</v>
      </c>
      <c r="AV34" s="747" t="s">
        <v>141</v>
      </c>
      <c r="AX34" s="806" t="s">
        <v>369</v>
      </c>
      <c r="AY34" s="797" t="s">
        <v>370</v>
      </c>
      <c r="AZ34" s="797" t="s">
        <v>371</v>
      </c>
      <c r="BA34" s="797" t="s">
        <v>372</v>
      </c>
      <c r="BB34" s="735"/>
      <c r="BC34" s="802"/>
      <c r="BD34" s="803"/>
      <c r="BE34" s="803"/>
      <c r="BF34" s="803"/>
      <c r="BG34" s="826"/>
      <c r="BH34" s="827" t="s">
        <v>369</v>
      </c>
      <c r="BI34" s="828" t="s">
        <v>195</v>
      </c>
      <c r="BJ34" s="827" t="s">
        <v>373</v>
      </c>
      <c r="BK34" s="828" t="s">
        <v>374</v>
      </c>
      <c r="BL34" s="820"/>
      <c r="BM34" s="803"/>
      <c r="BN34" s="798"/>
      <c r="BO34" s="711"/>
      <c r="BP34" s="853"/>
      <c r="BQ34" s="853"/>
      <c r="BR34" s="854"/>
      <c r="BS34" s="855"/>
      <c r="BT34" s="848"/>
      <c r="BU34" s="762"/>
      <c r="BV34" s="765"/>
      <c r="BW34" s="799"/>
      <c r="BX34" s="894"/>
      <c r="BY34" s="895" t="s">
        <v>157</v>
      </c>
      <c r="BZ34" s="762"/>
      <c r="CA34" s="895"/>
      <c r="CB34" s="762"/>
      <c r="CC34" s="798"/>
      <c r="CD34" s="914"/>
      <c r="CE34" s="693"/>
      <c r="CF34" s="915"/>
    </row>
    <row r="35" ht="16.9" customHeight="1" spans="3:84">
      <c r="C35" s="689" t="s">
        <v>325</v>
      </c>
      <c r="D35" s="690">
        <v>27.9</v>
      </c>
      <c r="E35" s="690">
        <v>31.1</v>
      </c>
      <c r="F35" s="689">
        <v>28.9</v>
      </c>
      <c r="G35" s="689">
        <v>30</v>
      </c>
      <c r="H35" s="689">
        <v>30</v>
      </c>
      <c r="I35" s="689">
        <v>1</v>
      </c>
      <c r="J35" s="689">
        <v>1</v>
      </c>
      <c r="K35" s="690">
        <v>1</v>
      </c>
      <c r="L35" s="689">
        <v>1</v>
      </c>
      <c r="M35" s="706" t="s">
        <v>324</v>
      </c>
      <c r="N35" s="689">
        <v>30.4</v>
      </c>
      <c r="O35" s="689">
        <v>33.7</v>
      </c>
      <c r="P35" s="689">
        <v>31.4</v>
      </c>
      <c r="Q35" s="689">
        <v>32.6</v>
      </c>
      <c r="R35" s="689">
        <v>32.5</v>
      </c>
      <c r="S35" s="689">
        <v>1</v>
      </c>
      <c r="T35" s="689">
        <v>1</v>
      </c>
      <c r="U35" s="689">
        <v>1</v>
      </c>
      <c r="V35" s="689">
        <v>1</v>
      </c>
      <c r="W35" s="721"/>
      <c r="X35" s="722" t="s">
        <v>298</v>
      </c>
      <c r="Y35" s="684">
        <v>19.9</v>
      </c>
      <c r="Z35" s="684">
        <v>22.4</v>
      </c>
      <c r="AA35" s="684">
        <v>20.6</v>
      </c>
      <c r="AB35" s="684">
        <v>21.6</v>
      </c>
      <c r="AC35" s="684">
        <v>22</v>
      </c>
      <c r="AD35" s="684">
        <v>1</v>
      </c>
      <c r="AE35" s="684">
        <v>1</v>
      </c>
      <c r="AF35" s="684">
        <v>1</v>
      </c>
      <c r="AG35" s="744">
        <v>1</v>
      </c>
      <c r="AH35" s="741" t="s">
        <v>152</v>
      </c>
      <c r="AI35" s="684">
        <v>9.2</v>
      </c>
      <c r="AJ35" s="684">
        <v>10.2</v>
      </c>
      <c r="AK35" s="684">
        <v>9.6</v>
      </c>
      <c r="AL35" s="684">
        <v>9.9</v>
      </c>
      <c r="AM35" s="684">
        <v>10.4</v>
      </c>
      <c r="AN35" s="684">
        <v>0.7</v>
      </c>
      <c r="AO35" s="684">
        <v>0.7</v>
      </c>
      <c r="AP35" s="684">
        <v>0.7</v>
      </c>
      <c r="AQ35" s="684">
        <v>1</v>
      </c>
      <c r="AR35" s="756"/>
      <c r="AS35" s="689" t="s">
        <v>325</v>
      </c>
      <c r="AT35" s="710" t="s">
        <v>324</v>
      </c>
      <c r="AU35" s="722" t="s">
        <v>298</v>
      </c>
      <c r="AV35" s="741" t="s">
        <v>152</v>
      </c>
      <c r="AX35" s="805" t="s">
        <v>375</v>
      </c>
      <c r="AY35" s="807" t="s">
        <v>376</v>
      </c>
      <c r="AZ35" s="807" t="s">
        <v>377</v>
      </c>
      <c r="BA35" s="807" t="s">
        <v>378</v>
      </c>
      <c r="BB35" s="13"/>
      <c r="BC35" s="802"/>
      <c r="BD35" s="803"/>
      <c r="BE35" s="803"/>
      <c r="BF35" s="803"/>
      <c r="BG35" s="823"/>
      <c r="BH35" s="224" t="s">
        <v>375</v>
      </c>
      <c r="BI35" s="831" t="s">
        <v>205</v>
      </c>
      <c r="BJ35" s="224" t="s">
        <v>379</v>
      </c>
      <c r="BK35" s="831" t="s">
        <v>380</v>
      </c>
      <c r="BL35" s="820"/>
      <c r="BM35" s="803"/>
      <c r="BN35" s="23"/>
      <c r="BO35" s="702"/>
      <c r="BP35" s="852"/>
      <c r="BQ35" s="852"/>
      <c r="BR35" s="261"/>
      <c r="BS35" s="856"/>
      <c r="BT35" s="847"/>
      <c r="BU35" s="756"/>
      <c r="BV35" s="551"/>
      <c r="BW35" s="783"/>
      <c r="BX35" s="814"/>
      <c r="BY35" s="23" t="s">
        <v>173</v>
      </c>
      <c r="BZ35" s="756"/>
      <c r="CA35" s="23"/>
      <c r="CB35" s="756"/>
      <c r="CC35" s="23"/>
      <c r="CD35" s="814"/>
      <c r="CE35" s="689"/>
      <c r="CF35" s="906"/>
    </row>
    <row r="36" ht="16.9" customHeight="1" spans="3:84">
      <c r="C36" s="692" t="s">
        <v>381</v>
      </c>
      <c r="D36" s="692">
        <v>44.2</v>
      </c>
      <c r="E36" s="692">
        <v>48.6</v>
      </c>
      <c r="F36" s="692">
        <v>45.7</v>
      </c>
      <c r="G36" s="692">
        <v>47</v>
      </c>
      <c r="H36" s="692">
        <v>46.8</v>
      </c>
      <c r="I36" s="692">
        <v>1</v>
      </c>
      <c r="J36" s="692">
        <v>1</v>
      </c>
      <c r="K36" s="692">
        <v>1</v>
      </c>
      <c r="L36" s="692">
        <v>1</v>
      </c>
      <c r="M36" s="711" t="s">
        <v>382</v>
      </c>
      <c r="N36" s="692">
        <v>47.8</v>
      </c>
      <c r="O36" s="692">
        <v>52.3</v>
      </c>
      <c r="P36" s="692">
        <v>49.4</v>
      </c>
      <c r="Q36" s="692">
        <v>50.7</v>
      </c>
      <c r="R36" s="692">
        <v>50.3</v>
      </c>
      <c r="S36" s="692">
        <v>1</v>
      </c>
      <c r="T36" s="692">
        <v>1</v>
      </c>
      <c r="U36" s="692">
        <v>1</v>
      </c>
      <c r="V36" s="692">
        <v>1</v>
      </c>
      <c r="W36" s="730"/>
      <c r="X36" s="731" t="s">
        <v>306</v>
      </c>
      <c r="Y36" s="692">
        <v>24.7</v>
      </c>
      <c r="Z36" s="692">
        <v>27.6</v>
      </c>
      <c r="AA36" s="692">
        <v>25.5</v>
      </c>
      <c r="AB36" s="692">
        <v>26.7</v>
      </c>
      <c r="AC36" s="692">
        <v>27.1</v>
      </c>
      <c r="AD36" s="692">
        <v>1</v>
      </c>
      <c r="AE36" s="692">
        <v>1</v>
      </c>
      <c r="AF36" s="692">
        <v>1</v>
      </c>
      <c r="AG36" s="746">
        <v>1</v>
      </c>
      <c r="AH36" s="747" t="s">
        <v>168</v>
      </c>
      <c r="AI36" s="692">
        <v>14.1</v>
      </c>
      <c r="AJ36" s="692">
        <v>15.4</v>
      </c>
      <c r="AK36" s="692">
        <v>14.6</v>
      </c>
      <c r="AL36" s="692">
        <v>14.9</v>
      </c>
      <c r="AM36" s="692">
        <v>15.5</v>
      </c>
      <c r="AN36" s="692">
        <v>0.8</v>
      </c>
      <c r="AO36" s="692">
        <v>0.8</v>
      </c>
      <c r="AP36" s="692">
        <v>0.8</v>
      </c>
      <c r="AQ36" s="692">
        <v>1</v>
      </c>
      <c r="AR36" s="762"/>
      <c r="AS36" s="692" t="s">
        <v>381</v>
      </c>
      <c r="AT36" s="711" t="s">
        <v>382</v>
      </c>
      <c r="AU36" s="731" t="s">
        <v>306</v>
      </c>
      <c r="AV36" s="747" t="s">
        <v>168</v>
      </c>
      <c r="AX36" s="806" t="s">
        <v>383</v>
      </c>
      <c r="AY36" s="808"/>
      <c r="AZ36" s="809"/>
      <c r="BA36" s="809"/>
      <c r="BB36" s="735"/>
      <c r="BC36" s="802"/>
      <c r="BD36" s="803"/>
      <c r="BE36" s="803"/>
      <c r="BF36" s="803"/>
      <c r="BG36" s="826"/>
      <c r="BH36" s="827" t="s">
        <v>383</v>
      </c>
      <c r="BI36" s="828" t="s">
        <v>218</v>
      </c>
      <c r="BJ36" s="827" t="s">
        <v>384</v>
      </c>
      <c r="BK36" s="828" t="s">
        <v>385</v>
      </c>
      <c r="BL36" s="820"/>
      <c r="BM36" s="308"/>
      <c r="BN36" s="798"/>
      <c r="BO36" s="711"/>
      <c r="BP36" s="853"/>
      <c r="BQ36" s="853"/>
      <c r="BR36" s="798"/>
      <c r="BS36" s="799"/>
      <c r="BT36" s="848"/>
      <c r="BU36" s="890"/>
      <c r="BV36" s="765"/>
      <c r="BW36" s="799"/>
      <c r="BX36" s="893"/>
      <c r="BY36" s="798" t="s">
        <v>133</v>
      </c>
      <c r="BZ36" s="890"/>
      <c r="CA36" s="798"/>
      <c r="CB36" s="890"/>
      <c r="CC36" s="798"/>
      <c r="CD36" s="916"/>
      <c r="CE36" s="692"/>
      <c r="CF36" s="917"/>
    </row>
    <row r="37" ht="16.9" customHeight="1" spans="3:84">
      <c r="C37" s="684" t="s">
        <v>386</v>
      </c>
      <c r="D37" s="684">
        <v>69</v>
      </c>
      <c r="E37" s="684">
        <v>75</v>
      </c>
      <c r="F37" s="684">
        <v>71.2</v>
      </c>
      <c r="G37" s="684">
        <v>72.7</v>
      </c>
      <c r="H37" s="684">
        <v>72</v>
      </c>
      <c r="I37" s="684">
        <v>1</v>
      </c>
      <c r="J37" s="684">
        <v>1</v>
      </c>
      <c r="K37" s="684">
        <v>1</v>
      </c>
      <c r="L37" s="684">
        <v>1</v>
      </c>
      <c r="M37" s="702" t="s">
        <v>387</v>
      </c>
      <c r="N37" s="684">
        <v>74.6</v>
      </c>
      <c r="O37" s="684">
        <v>80.9</v>
      </c>
      <c r="P37" s="684">
        <v>77</v>
      </c>
      <c r="Q37" s="684">
        <v>78.4</v>
      </c>
      <c r="R37" s="684">
        <v>77.6</v>
      </c>
      <c r="S37" s="684">
        <v>1</v>
      </c>
      <c r="T37" s="684">
        <v>1</v>
      </c>
      <c r="U37" s="684">
        <v>1</v>
      </c>
      <c r="V37" s="684">
        <v>1</v>
      </c>
      <c r="W37" s="721"/>
      <c r="X37" s="722" t="s">
        <v>315</v>
      </c>
      <c r="Y37" s="684">
        <v>30.2</v>
      </c>
      <c r="Z37" s="684">
        <v>33.5</v>
      </c>
      <c r="AA37" s="684">
        <v>31.2</v>
      </c>
      <c r="AB37" s="684">
        <v>32.4</v>
      </c>
      <c r="AC37" s="684">
        <v>32.7</v>
      </c>
      <c r="AD37" s="684">
        <v>1</v>
      </c>
      <c r="AE37" s="684">
        <v>1</v>
      </c>
      <c r="AF37" s="684">
        <v>1</v>
      </c>
      <c r="AG37" s="744">
        <v>1</v>
      </c>
      <c r="AH37" s="741" t="s">
        <v>183</v>
      </c>
      <c r="AI37" s="684">
        <v>20.3</v>
      </c>
      <c r="AJ37" s="684">
        <v>21.9</v>
      </c>
      <c r="AK37" s="684">
        <v>21</v>
      </c>
      <c r="AL37" s="684">
        <v>21.2</v>
      </c>
      <c r="AM37" s="684">
        <v>21.8</v>
      </c>
      <c r="AN37" s="684">
        <v>0.9</v>
      </c>
      <c r="AO37" s="684">
        <v>0.9</v>
      </c>
      <c r="AP37" s="684">
        <v>0.9</v>
      </c>
      <c r="AQ37" s="684">
        <v>1</v>
      </c>
      <c r="AR37" s="756"/>
      <c r="AS37" s="684" t="s">
        <v>386</v>
      </c>
      <c r="AT37" s="702" t="s">
        <v>387</v>
      </c>
      <c r="AU37" s="722" t="s">
        <v>315</v>
      </c>
      <c r="AV37" s="741" t="s">
        <v>183</v>
      </c>
      <c r="AX37" s="805" t="s">
        <v>388</v>
      </c>
      <c r="AY37" s="783"/>
      <c r="AZ37" s="783"/>
      <c r="BA37" s="783"/>
      <c r="BB37" s="13"/>
      <c r="BC37" s="802"/>
      <c r="BD37" s="803"/>
      <c r="BE37" s="803"/>
      <c r="BF37" s="803"/>
      <c r="BG37" s="13"/>
      <c r="BH37" s="224" t="s">
        <v>388</v>
      </c>
      <c r="BI37" s="831" t="s">
        <v>228</v>
      </c>
      <c r="BJ37" s="224" t="s">
        <v>389</v>
      </c>
      <c r="BK37" s="831" t="s">
        <v>390</v>
      </c>
      <c r="BL37" s="820"/>
      <c r="BM37" s="802"/>
      <c r="BN37" s="23"/>
      <c r="BO37" s="702"/>
      <c r="BP37" s="852"/>
      <c r="BQ37" s="852"/>
      <c r="BR37" s="23"/>
      <c r="BS37" s="783"/>
      <c r="BT37" s="847"/>
      <c r="BU37" s="736"/>
      <c r="BV37" s="736"/>
      <c r="BW37" s="736"/>
      <c r="BX37" s="896"/>
      <c r="BY37" s="23" t="s">
        <v>143</v>
      </c>
      <c r="BZ37" s="736"/>
      <c r="CA37" s="23"/>
      <c r="CB37" s="736"/>
      <c r="CC37" s="23"/>
      <c r="CD37" s="905"/>
      <c r="CE37" s="684"/>
      <c r="CF37" s="918"/>
    </row>
    <row r="38" ht="16.9" customHeight="1" spans="3:84">
      <c r="C38" s="692" t="s">
        <v>391</v>
      </c>
      <c r="D38" s="692">
        <v>87.3</v>
      </c>
      <c r="E38" s="692">
        <v>94.5</v>
      </c>
      <c r="F38" s="692">
        <v>90.1</v>
      </c>
      <c r="G38" s="692">
        <v>91.6</v>
      </c>
      <c r="H38" s="692">
        <v>91</v>
      </c>
      <c r="I38" s="692">
        <v>1</v>
      </c>
      <c r="J38" s="692">
        <v>1</v>
      </c>
      <c r="K38" s="692">
        <v>1</v>
      </c>
      <c r="L38" s="692">
        <v>1</v>
      </c>
      <c r="M38" s="711" t="s">
        <v>392</v>
      </c>
      <c r="N38" s="692">
        <v>98.9</v>
      </c>
      <c r="O38" s="692">
        <v>106.6</v>
      </c>
      <c r="P38" s="692">
        <v>102</v>
      </c>
      <c r="Q38" s="692">
        <v>103.3</v>
      </c>
      <c r="R38" s="692">
        <v>102.2</v>
      </c>
      <c r="S38" s="692">
        <v>1</v>
      </c>
      <c r="T38" s="692">
        <v>1</v>
      </c>
      <c r="U38" s="692">
        <v>1</v>
      </c>
      <c r="V38" s="692">
        <v>1</v>
      </c>
      <c r="W38" s="730"/>
      <c r="X38" s="731" t="s">
        <v>362</v>
      </c>
      <c r="Y38" s="692">
        <v>7.3</v>
      </c>
      <c r="Z38" s="692">
        <v>8.2</v>
      </c>
      <c r="AA38" s="692">
        <v>7.5</v>
      </c>
      <c r="AB38" s="692">
        <v>7.9</v>
      </c>
      <c r="AC38" s="692">
        <v>8.5</v>
      </c>
      <c r="AD38" s="692">
        <v>0.7</v>
      </c>
      <c r="AE38" s="692">
        <v>0.7</v>
      </c>
      <c r="AF38" s="692">
        <v>0.7</v>
      </c>
      <c r="AG38" s="746">
        <v>0.5</v>
      </c>
      <c r="AH38" s="749" t="s">
        <v>301</v>
      </c>
      <c r="AI38" s="692">
        <v>6.8</v>
      </c>
      <c r="AJ38" s="692">
        <v>7.6</v>
      </c>
      <c r="AK38" s="692">
        <v>7.1</v>
      </c>
      <c r="AL38" s="692">
        <v>7.3</v>
      </c>
      <c r="AM38" s="692">
        <v>7.9</v>
      </c>
      <c r="AN38" s="692">
        <v>0.6</v>
      </c>
      <c r="AO38" s="692">
        <v>0.6</v>
      </c>
      <c r="AP38" s="692">
        <v>0.6</v>
      </c>
      <c r="AQ38" s="692">
        <v>0.5</v>
      </c>
      <c r="AR38" s="762"/>
      <c r="AS38" s="692" t="s">
        <v>391</v>
      </c>
      <c r="AT38" s="711" t="s">
        <v>392</v>
      </c>
      <c r="AU38" s="731" t="s">
        <v>362</v>
      </c>
      <c r="AV38" s="749" t="s">
        <v>301</v>
      </c>
      <c r="AX38" s="798" t="s">
        <v>393</v>
      </c>
      <c r="AY38" s="799"/>
      <c r="AZ38" s="799"/>
      <c r="BA38" s="799"/>
      <c r="BB38" s="735"/>
      <c r="BC38" s="802"/>
      <c r="BD38" s="803"/>
      <c r="BE38" s="803"/>
      <c r="BF38" s="803"/>
      <c r="BG38" s="834"/>
      <c r="BH38" s="840" t="s">
        <v>393</v>
      </c>
      <c r="BI38" s="841" t="s">
        <v>236</v>
      </c>
      <c r="BJ38" s="840" t="s">
        <v>394</v>
      </c>
      <c r="BK38" s="841" t="s">
        <v>395</v>
      </c>
      <c r="BL38" s="81"/>
      <c r="BM38" s="802"/>
      <c r="BN38" s="798"/>
      <c r="BO38" s="711"/>
      <c r="BP38" s="853"/>
      <c r="BQ38" s="853"/>
      <c r="BR38" s="798"/>
      <c r="BS38" s="799"/>
      <c r="BT38" s="765"/>
      <c r="BU38" s="769"/>
      <c r="BV38" s="736"/>
      <c r="BW38" s="736"/>
      <c r="BX38" s="894"/>
      <c r="BY38" s="798" t="s">
        <v>154</v>
      </c>
      <c r="BZ38" s="769"/>
      <c r="CA38" s="798"/>
      <c r="CB38" s="769"/>
      <c r="CC38" s="798"/>
      <c r="CD38" s="914"/>
      <c r="CE38" s="692"/>
      <c r="CF38" s="915"/>
    </row>
    <row r="39" ht="16.9" customHeight="1" spans="3:84">
      <c r="C39" s="684" t="s">
        <v>396</v>
      </c>
      <c r="D39" s="684">
        <v>123</v>
      </c>
      <c r="E39" s="684">
        <v>133</v>
      </c>
      <c r="F39" s="684">
        <v>127</v>
      </c>
      <c r="G39" s="684">
        <v>129</v>
      </c>
      <c r="H39" s="684">
        <v>127</v>
      </c>
      <c r="I39" s="684">
        <v>4</v>
      </c>
      <c r="J39" s="684">
        <v>2</v>
      </c>
      <c r="K39" s="684">
        <v>2</v>
      </c>
      <c r="L39" s="684">
        <v>1</v>
      </c>
      <c r="M39" s="702" t="s">
        <v>397</v>
      </c>
      <c r="N39" s="684">
        <v>137</v>
      </c>
      <c r="O39" s="684">
        <v>147</v>
      </c>
      <c r="P39" s="684">
        <v>141</v>
      </c>
      <c r="Q39" s="684">
        <v>143</v>
      </c>
      <c r="R39" s="684">
        <v>141</v>
      </c>
      <c r="S39" s="684">
        <v>4</v>
      </c>
      <c r="T39" s="684">
        <v>2</v>
      </c>
      <c r="U39" s="684">
        <v>2</v>
      </c>
      <c r="V39" s="684">
        <v>1</v>
      </c>
      <c r="W39" s="721"/>
      <c r="X39" s="722" t="s">
        <v>369</v>
      </c>
      <c r="Y39" s="684">
        <v>8.4</v>
      </c>
      <c r="Z39" s="684">
        <v>9.3</v>
      </c>
      <c r="AA39" s="684">
        <v>8.7</v>
      </c>
      <c r="AB39" s="684">
        <v>8.9</v>
      </c>
      <c r="AC39" s="684">
        <v>9.6</v>
      </c>
      <c r="AD39" s="684">
        <v>0.7</v>
      </c>
      <c r="AE39" s="684">
        <v>0.7</v>
      </c>
      <c r="AF39" s="684">
        <v>0.7</v>
      </c>
      <c r="AG39" s="744">
        <v>0.5</v>
      </c>
      <c r="AH39" s="741" t="s">
        <v>310</v>
      </c>
      <c r="AI39" s="684">
        <v>10.4</v>
      </c>
      <c r="AJ39" s="684">
        <v>11.4</v>
      </c>
      <c r="AK39" s="684">
        <v>10.8</v>
      </c>
      <c r="AL39" s="684">
        <v>11</v>
      </c>
      <c r="AM39" s="684">
        <v>11.6</v>
      </c>
      <c r="AN39" s="684">
        <v>0.7</v>
      </c>
      <c r="AO39" s="684">
        <v>0.7</v>
      </c>
      <c r="AP39" s="684">
        <v>0.7</v>
      </c>
      <c r="AQ39" s="684">
        <v>1</v>
      </c>
      <c r="AR39" s="756"/>
      <c r="AS39" s="684" t="s">
        <v>396</v>
      </c>
      <c r="AT39" s="702" t="s">
        <v>397</v>
      </c>
      <c r="AU39" s="722" t="s">
        <v>369</v>
      </c>
      <c r="AV39" s="707" t="s">
        <v>310</v>
      </c>
      <c r="AX39" s="23" t="s">
        <v>398</v>
      </c>
      <c r="AY39" s="783"/>
      <c r="AZ39" s="783"/>
      <c r="BA39" s="707"/>
      <c r="BB39" s="13"/>
      <c r="BC39" s="802"/>
      <c r="BD39" s="803"/>
      <c r="BE39" s="803"/>
      <c r="BF39" s="803"/>
      <c r="BG39" s="842"/>
      <c r="BH39" s="224" t="s">
        <v>398</v>
      </c>
      <c r="BI39" s="831" t="s">
        <v>245</v>
      </c>
      <c r="BJ39" s="224" t="s">
        <v>399</v>
      </c>
      <c r="BK39" s="831" t="s">
        <v>400</v>
      </c>
      <c r="BL39" s="81"/>
      <c r="BN39" s="23"/>
      <c r="BO39" s="702"/>
      <c r="BP39" s="852"/>
      <c r="BQ39" s="852"/>
      <c r="BR39" s="23"/>
      <c r="BS39" s="783"/>
      <c r="BT39" s="551"/>
      <c r="BU39" s="13"/>
      <c r="BV39" s="736"/>
      <c r="BW39" s="736"/>
      <c r="BX39" s="814"/>
      <c r="BY39" s="23" t="s">
        <v>170</v>
      </c>
      <c r="BZ39" s="736"/>
      <c r="CA39" s="23"/>
      <c r="CB39" s="736"/>
      <c r="CC39" s="13"/>
      <c r="CD39" s="905"/>
      <c r="CE39" s="684"/>
      <c r="CF39" s="906"/>
    </row>
    <row r="40" ht="16.9" customHeight="1" spans="3:84">
      <c r="C40" s="695" t="s">
        <v>401</v>
      </c>
      <c r="D40" s="695">
        <v>175</v>
      </c>
      <c r="E40" s="695">
        <v>187</v>
      </c>
      <c r="F40" s="695">
        <v>180</v>
      </c>
      <c r="G40" s="695">
        <v>182</v>
      </c>
      <c r="H40" s="695">
        <v>179</v>
      </c>
      <c r="I40" s="695">
        <v>4</v>
      </c>
      <c r="J40" s="695">
        <v>2</v>
      </c>
      <c r="K40" s="695">
        <v>2</v>
      </c>
      <c r="L40" s="695">
        <v>2</v>
      </c>
      <c r="M40" s="715" t="s">
        <v>402</v>
      </c>
      <c r="N40" s="695">
        <v>195</v>
      </c>
      <c r="O40" s="695">
        <v>209</v>
      </c>
      <c r="P40" s="695">
        <v>201</v>
      </c>
      <c r="Q40" s="695">
        <v>203</v>
      </c>
      <c r="R40" s="695">
        <v>200</v>
      </c>
      <c r="S40" s="695">
        <v>4</v>
      </c>
      <c r="T40" s="695">
        <v>2</v>
      </c>
      <c r="U40" s="695">
        <v>2</v>
      </c>
      <c r="V40" s="692">
        <v>2</v>
      </c>
      <c r="W40" s="730"/>
      <c r="X40" s="731" t="s">
        <v>375</v>
      </c>
      <c r="Y40" s="692">
        <v>9.4</v>
      </c>
      <c r="Z40" s="692">
        <v>10.3</v>
      </c>
      <c r="AA40" s="692">
        <v>9.8</v>
      </c>
      <c r="AB40" s="692">
        <v>10</v>
      </c>
      <c r="AC40" s="692">
        <v>10.6</v>
      </c>
      <c r="AD40" s="692">
        <v>0.7</v>
      </c>
      <c r="AE40" s="692">
        <v>0.7</v>
      </c>
      <c r="AF40" s="692">
        <v>0.7</v>
      </c>
      <c r="AG40" s="746">
        <v>0.5</v>
      </c>
      <c r="AH40" s="750" t="s">
        <v>319</v>
      </c>
      <c r="AI40" s="751">
        <v>15.1</v>
      </c>
      <c r="AJ40" s="751">
        <v>16.3</v>
      </c>
      <c r="AK40" s="751">
        <v>15.6</v>
      </c>
      <c r="AL40" s="751">
        <v>15.8</v>
      </c>
      <c r="AM40" s="751">
        <v>16.4</v>
      </c>
      <c r="AN40" s="751">
        <v>0.8</v>
      </c>
      <c r="AO40" s="751">
        <v>0.8</v>
      </c>
      <c r="AP40" s="751">
        <v>0.8</v>
      </c>
      <c r="AQ40" s="766">
        <v>1</v>
      </c>
      <c r="AR40" s="762"/>
      <c r="AS40" s="695" t="s">
        <v>401</v>
      </c>
      <c r="AT40" s="715" t="s">
        <v>402</v>
      </c>
      <c r="AU40" s="767" t="s">
        <v>375</v>
      </c>
      <c r="AV40" s="749" t="s">
        <v>319</v>
      </c>
      <c r="AW40" s="810"/>
      <c r="AX40" s="811"/>
      <c r="AY40" s="812"/>
      <c r="AZ40" s="813"/>
      <c r="BA40" s="812"/>
      <c r="BB40" s="810"/>
      <c r="BC40" s="802"/>
      <c r="BD40" s="803"/>
      <c r="BE40" s="803"/>
      <c r="BF40" s="803"/>
      <c r="BG40" s="843"/>
      <c r="BH40" s="840" t="s">
        <v>403</v>
      </c>
      <c r="BI40" s="841" t="s">
        <v>254</v>
      </c>
      <c r="BJ40" s="840" t="s">
        <v>404</v>
      </c>
      <c r="BK40" s="841" t="s">
        <v>405</v>
      </c>
      <c r="BL40" s="820"/>
      <c r="BM40" s="802"/>
      <c r="BN40" s="857"/>
      <c r="BO40" s="715"/>
      <c r="BP40" s="858"/>
      <c r="BQ40" s="858"/>
      <c r="BR40" s="857"/>
      <c r="BS40" s="813"/>
      <c r="BT40" s="859"/>
      <c r="BU40" s="897"/>
      <c r="BV40" s="736"/>
      <c r="BW40" s="736"/>
      <c r="BX40" s="898"/>
      <c r="BY40" s="899" t="s">
        <v>185</v>
      </c>
      <c r="BZ40" s="897"/>
      <c r="CA40" s="899"/>
      <c r="CB40" s="897"/>
      <c r="CC40" s="13"/>
      <c r="CD40" s="919"/>
      <c r="CE40" s="692"/>
      <c r="CF40" s="920"/>
    </row>
    <row r="41" ht="16.9" customHeight="1" spans="3:84">
      <c r="C41" s="684" t="s">
        <v>406</v>
      </c>
      <c r="D41" s="684">
        <v>239</v>
      </c>
      <c r="E41" s="684">
        <v>256</v>
      </c>
      <c r="F41" s="684">
        <v>247</v>
      </c>
      <c r="G41" s="684">
        <v>248</v>
      </c>
      <c r="H41" s="684">
        <v>245</v>
      </c>
      <c r="I41" s="684">
        <v>4</v>
      </c>
      <c r="J41" s="684">
        <v>3</v>
      </c>
      <c r="K41" s="684">
        <v>3</v>
      </c>
      <c r="L41" s="684">
        <v>2</v>
      </c>
      <c r="M41" s="702" t="s">
        <v>407</v>
      </c>
      <c r="N41" s="684">
        <v>268</v>
      </c>
      <c r="O41" s="684">
        <v>286</v>
      </c>
      <c r="P41" s="684">
        <v>277</v>
      </c>
      <c r="Q41" s="684">
        <v>277</v>
      </c>
      <c r="R41" s="684">
        <v>273</v>
      </c>
      <c r="S41" s="684">
        <v>4</v>
      </c>
      <c r="T41" s="684">
        <v>3</v>
      </c>
      <c r="U41" s="684">
        <v>3</v>
      </c>
      <c r="V41" s="684">
        <v>2</v>
      </c>
      <c r="W41" s="733"/>
      <c r="X41" s="722" t="s">
        <v>383</v>
      </c>
      <c r="Y41" s="684">
        <v>11.8</v>
      </c>
      <c r="Z41" s="684">
        <v>13.3</v>
      </c>
      <c r="AA41" s="684">
        <v>12.3</v>
      </c>
      <c r="AB41" s="684">
        <v>12.8</v>
      </c>
      <c r="AC41" s="684">
        <v>13.4</v>
      </c>
      <c r="AD41" s="684">
        <v>0.8</v>
      </c>
      <c r="AE41" s="684">
        <v>0.8</v>
      </c>
      <c r="AF41" s="684">
        <v>0.8</v>
      </c>
      <c r="AG41" s="744">
        <v>0.5</v>
      </c>
      <c r="AH41" s="741" t="s">
        <v>302</v>
      </c>
      <c r="AI41" s="684">
        <v>8</v>
      </c>
      <c r="AJ41" s="684">
        <v>8.9</v>
      </c>
      <c r="AK41" s="684">
        <v>8.3</v>
      </c>
      <c r="AL41" s="684">
        <v>8.5</v>
      </c>
      <c r="AM41" s="684">
        <v>9.2</v>
      </c>
      <c r="AN41" s="684">
        <v>0.7</v>
      </c>
      <c r="AO41" s="684">
        <v>0.7</v>
      </c>
      <c r="AP41" s="684">
        <v>0.7</v>
      </c>
      <c r="AQ41" s="549">
        <v>1</v>
      </c>
      <c r="AR41" s="768"/>
      <c r="AS41" s="684" t="s">
        <v>406</v>
      </c>
      <c r="AT41" s="702" t="s">
        <v>407</v>
      </c>
      <c r="AU41" s="722" t="s">
        <v>383</v>
      </c>
      <c r="AV41" s="707" t="s">
        <v>302</v>
      </c>
      <c r="AX41" s="13"/>
      <c r="AY41" s="736"/>
      <c r="AZ41" s="736"/>
      <c r="BA41" s="736"/>
      <c r="BB41" s="13"/>
      <c r="BC41" s="802"/>
      <c r="BD41" s="803"/>
      <c r="BE41" s="803"/>
      <c r="BF41" s="803"/>
      <c r="BG41" s="823"/>
      <c r="BH41" s="224" t="s">
        <v>130</v>
      </c>
      <c r="BI41" s="831" t="s">
        <v>263</v>
      </c>
      <c r="BJ41" s="224" t="s">
        <v>408</v>
      </c>
      <c r="BK41" s="831" t="s">
        <v>409</v>
      </c>
      <c r="BL41" s="820"/>
      <c r="BM41" s="802"/>
      <c r="BN41" s="23"/>
      <c r="BO41" s="702"/>
      <c r="BP41" s="852"/>
      <c r="BQ41" s="852"/>
      <c r="BR41" s="23"/>
      <c r="BS41" s="783"/>
      <c r="BT41" s="847"/>
      <c r="BU41" s="736"/>
      <c r="BV41" s="736"/>
      <c r="BX41" s="896"/>
      <c r="BY41" s="261" t="s">
        <v>158</v>
      </c>
      <c r="BZ41" s="736"/>
      <c r="CA41" s="261"/>
      <c r="CB41" s="736"/>
      <c r="CC41" s="13"/>
      <c r="CD41" s="905"/>
      <c r="CE41" s="684"/>
      <c r="CF41" s="906"/>
    </row>
    <row r="42" ht="17.1" customHeight="1" spans="3:84">
      <c r="C42" s="695" t="s">
        <v>410</v>
      </c>
      <c r="D42" s="695">
        <v>314</v>
      </c>
      <c r="E42" s="695">
        <v>335</v>
      </c>
      <c r="F42" s="695">
        <v>324</v>
      </c>
      <c r="G42" s="695">
        <v>325</v>
      </c>
      <c r="H42" s="695">
        <v>320</v>
      </c>
      <c r="I42" s="695">
        <v>5</v>
      </c>
      <c r="J42" s="695">
        <v>3</v>
      </c>
      <c r="K42" s="695">
        <v>3</v>
      </c>
      <c r="L42" s="695">
        <v>2</v>
      </c>
      <c r="M42" s="715" t="s">
        <v>411</v>
      </c>
      <c r="N42" s="695">
        <v>346</v>
      </c>
      <c r="O42" s="695">
        <v>368</v>
      </c>
      <c r="P42" s="695">
        <v>357</v>
      </c>
      <c r="Q42" s="695">
        <v>357</v>
      </c>
      <c r="R42" s="695">
        <v>352</v>
      </c>
      <c r="S42" s="695">
        <v>5</v>
      </c>
      <c r="T42" s="695">
        <v>3</v>
      </c>
      <c r="U42" s="695">
        <v>3</v>
      </c>
      <c r="V42" s="692">
        <v>2</v>
      </c>
      <c r="W42" s="734"/>
      <c r="X42" s="731" t="s">
        <v>388</v>
      </c>
      <c r="Y42" s="692">
        <v>14</v>
      </c>
      <c r="Z42" s="692">
        <v>15.4</v>
      </c>
      <c r="AA42" s="692">
        <v>14.5</v>
      </c>
      <c r="AB42" s="692">
        <v>14.9</v>
      </c>
      <c r="AC42" s="692">
        <v>15.5</v>
      </c>
      <c r="AD42" s="692">
        <v>0.8</v>
      </c>
      <c r="AE42" s="692">
        <v>0.8</v>
      </c>
      <c r="AF42" s="692">
        <v>0.8</v>
      </c>
      <c r="AG42" s="746">
        <v>0.5</v>
      </c>
      <c r="AH42" s="752" t="s">
        <v>311</v>
      </c>
      <c r="AI42" s="751">
        <v>12.2</v>
      </c>
      <c r="AJ42" s="751">
        <v>13.3</v>
      </c>
      <c r="AK42" s="751">
        <v>12.6</v>
      </c>
      <c r="AL42" s="751">
        <v>12.8</v>
      </c>
      <c r="AM42" s="751">
        <v>13.5</v>
      </c>
      <c r="AN42" s="751">
        <v>0.8</v>
      </c>
      <c r="AO42" s="751">
        <v>0.8</v>
      </c>
      <c r="AP42" s="751">
        <v>0.8</v>
      </c>
      <c r="AQ42" s="766">
        <v>1</v>
      </c>
      <c r="AR42" s="735"/>
      <c r="AS42" s="692" t="s">
        <v>410</v>
      </c>
      <c r="AT42" s="715" t="s">
        <v>411</v>
      </c>
      <c r="AU42" s="767" t="s">
        <v>388</v>
      </c>
      <c r="AV42" s="749" t="s">
        <v>311</v>
      </c>
      <c r="AX42" s="13"/>
      <c r="AY42" s="736"/>
      <c r="AZ42" s="736"/>
      <c r="BA42" s="736"/>
      <c r="BB42" s="13"/>
      <c r="BC42" s="802"/>
      <c r="BD42" s="803"/>
      <c r="BE42" s="803"/>
      <c r="BF42" s="803"/>
      <c r="BG42" s="843"/>
      <c r="BH42" s="840" t="s">
        <v>140</v>
      </c>
      <c r="BI42" s="841" t="s">
        <v>272</v>
      </c>
      <c r="BJ42" s="840" t="s">
        <v>412</v>
      </c>
      <c r="BK42" s="841" t="s">
        <v>413</v>
      </c>
      <c r="BL42" s="820"/>
      <c r="BM42" s="802"/>
      <c r="BN42" s="857"/>
      <c r="BO42" s="715"/>
      <c r="BP42" s="858"/>
      <c r="BQ42" s="858"/>
      <c r="BR42" s="857"/>
      <c r="BS42" s="813"/>
      <c r="BT42" s="859"/>
      <c r="BU42" s="897"/>
      <c r="BV42" s="736"/>
      <c r="BW42" s="13"/>
      <c r="BX42" s="898"/>
      <c r="BY42" s="857" t="s">
        <v>174</v>
      </c>
      <c r="BZ42" s="897"/>
      <c r="CA42" s="857"/>
      <c r="CB42" s="897"/>
      <c r="CC42" s="13"/>
      <c r="CD42" s="919"/>
      <c r="CE42" s="692"/>
      <c r="CF42" s="920"/>
    </row>
    <row r="43" customHeight="1" spans="3:84">
      <c r="C43" s="684" t="s">
        <v>414</v>
      </c>
      <c r="D43" s="684">
        <v>365</v>
      </c>
      <c r="E43" s="684">
        <v>389</v>
      </c>
      <c r="F43" s="684">
        <v>376</v>
      </c>
      <c r="G43" s="684">
        <v>377</v>
      </c>
      <c r="H43" s="684">
        <v>371</v>
      </c>
      <c r="I43" s="684">
        <v>6</v>
      </c>
      <c r="J43" s="684">
        <v>3</v>
      </c>
      <c r="K43" s="684">
        <v>3</v>
      </c>
      <c r="L43" s="684">
        <v>2</v>
      </c>
      <c r="M43" s="702" t="s">
        <v>415</v>
      </c>
      <c r="N43" s="684">
        <v>413</v>
      </c>
      <c r="O43" s="684">
        <v>439</v>
      </c>
      <c r="P43" s="684">
        <v>426</v>
      </c>
      <c r="Q43" s="684">
        <v>426</v>
      </c>
      <c r="R43" s="684">
        <v>420</v>
      </c>
      <c r="S43" s="684">
        <v>6</v>
      </c>
      <c r="T43" s="684">
        <v>3</v>
      </c>
      <c r="U43" s="684">
        <v>3</v>
      </c>
      <c r="V43" s="684">
        <v>2</v>
      </c>
      <c r="W43" s="733"/>
      <c r="X43" s="722" t="s">
        <v>393</v>
      </c>
      <c r="Y43" s="684">
        <v>16.4</v>
      </c>
      <c r="Z43" s="684">
        <v>18.2</v>
      </c>
      <c r="AA43" s="684">
        <v>16.9</v>
      </c>
      <c r="AB43" s="684">
        <v>17.5</v>
      </c>
      <c r="AC43" s="684">
        <v>18.1</v>
      </c>
      <c r="AD43" s="684">
        <v>1</v>
      </c>
      <c r="AE43" s="684">
        <v>0.9</v>
      </c>
      <c r="AF43" s="684">
        <v>1</v>
      </c>
      <c r="AG43" s="744">
        <v>1</v>
      </c>
      <c r="AH43" s="741" t="s">
        <v>320</v>
      </c>
      <c r="AI43" s="684">
        <v>17.8</v>
      </c>
      <c r="AJ43" s="684">
        <v>19.3</v>
      </c>
      <c r="AK43" s="684">
        <v>18.4</v>
      </c>
      <c r="AL43" s="684">
        <v>18.6</v>
      </c>
      <c r="AM43" s="684">
        <v>19.3</v>
      </c>
      <c r="AN43" s="684">
        <v>0.9</v>
      </c>
      <c r="AO43" s="684">
        <v>0.855446869800894</v>
      </c>
      <c r="AP43" s="684">
        <v>0.9</v>
      </c>
      <c r="AQ43" s="549">
        <v>1</v>
      </c>
      <c r="AR43" s="13"/>
      <c r="AS43" s="684" t="s">
        <v>414</v>
      </c>
      <c r="AT43" s="702" t="s">
        <v>415</v>
      </c>
      <c r="AU43" s="722" t="s">
        <v>393</v>
      </c>
      <c r="AV43" s="707" t="s">
        <v>320</v>
      </c>
      <c r="AX43" s="13"/>
      <c r="AY43" s="736"/>
      <c r="AZ43" s="736"/>
      <c r="BA43" s="736"/>
      <c r="BB43" s="13"/>
      <c r="BC43" s="802"/>
      <c r="BD43" s="803"/>
      <c r="BE43" s="803"/>
      <c r="BF43" s="803"/>
      <c r="BG43" s="823"/>
      <c r="BH43" s="224" t="s">
        <v>151</v>
      </c>
      <c r="BI43" s="831" t="s">
        <v>280</v>
      </c>
      <c r="BJ43" s="224" t="s">
        <v>416</v>
      </c>
      <c r="BK43" s="831" t="s">
        <v>417</v>
      </c>
      <c r="BL43" s="820"/>
      <c r="BM43" s="802"/>
      <c r="BN43" s="23"/>
      <c r="BO43" s="702"/>
      <c r="BP43" s="852"/>
      <c r="BQ43" s="852"/>
      <c r="BR43" s="23"/>
      <c r="BS43" s="783"/>
      <c r="BT43" s="847"/>
      <c r="BU43" s="736"/>
      <c r="BV43" s="736"/>
      <c r="BX43" s="896"/>
      <c r="BY43" s="23" t="s">
        <v>132</v>
      </c>
      <c r="BZ43" s="698"/>
      <c r="CA43" s="23"/>
      <c r="CB43" s="698"/>
      <c r="CC43" s="13"/>
      <c r="CD43" s="905"/>
      <c r="CE43" s="684"/>
      <c r="CF43" s="906"/>
    </row>
    <row r="44" ht="16.9" customHeight="1" spans="3:84">
      <c r="C44" s="695" t="s">
        <v>418</v>
      </c>
      <c r="D44" s="695">
        <v>470</v>
      </c>
      <c r="E44" s="695">
        <v>499</v>
      </c>
      <c r="F44" s="695">
        <v>485</v>
      </c>
      <c r="G44" s="695">
        <v>485</v>
      </c>
      <c r="H44" s="695">
        <v>477</v>
      </c>
      <c r="I44" s="695">
        <v>6</v>
      </c>
      <c r="J44" s="695">
        <v>3</v>
      </c>
      <c r="K44" s="695">
        <v>4</v>
      </c>
      <c r="L44" s="695">
        <v>2</v>
      </c>
      <c r="M44" s="715" t="s">
        <v>419</v>
      </c>
      <c r="N44" s="695">
        <v>527</v>
      </c>
      <c r="O44" s="695">
        <v>558</v>
      </c>
      <c r="P44" s="695">
        <v>543</v>
      </c>
      <c r="Q44" s="695">
        <v>542</v>
      </c>
      <c r="R44" s="695">
        <v>534</v>
      </c>
      <c r="S44" s="695">
        <v>6</v>
      </c>
      <c r="T44" s="695">
        <v>3</v>
      </c>
      <c r="U44" s="695">
        <v>4</v>
      </c>
      <c r="V44" s="692">
        <v>2</v>
      </c>
      <c r="W44" s="735"/>
      <c r="X44" s="731" t="s">
        <v>398</v>
      </c>
      <c r="Y44" s="692">
        <v>18.6</v>
      </c>
      <c r="Z44" s="692">
        <v>20.3</v>
      </c>
      <c r="AA44" s="692">
        <v>19.2</v>
      </c>
      <c r="AB44" s="692">
        <v>19.6</v>
      </c>
      <c r="AC44" s="692">
        <v>20.3</v>
      </c>
      <c r="AD44" s="692">
        <v>1</v>
      </c>
      <c r="AE44" s="692">
        <v>0.9</v>
      </c>
      <c r="AF44" s="692">
        <v>1</v>
      </c>
      <c r="AG44" s="746">
        <v>1</v>
      </c>
      <c r="AH44" s="752" t="s">
        <v>309</v>
      </c>
      <c r="AI44" s="751">
        <v>13.1</v>
      </c>
      <c r="AJ44" s="751">
        <v>14.3</v>
      </c>
      <c r="AK44" s="751">
        <v>13.6</v>
      </c>
      <c r="AL44" s="751">
        <v>13.9</v>
      </c>
      <c r="AM44" s="751">
        <v>14.5</v>
      </c>
      <c r="AN44" s="751">
        <v>0.8</v>
      </c>
      <c r="AO44" s="751">
        <v>0.8</v>
      </c>
      <c r="AP44" s="751">
        <v>0.6</v>
      </c>
      <c r="AQ44" s="751">
        <v>1</v>
      </c>
      <c r="AR44" s="769"/>
      <c r="AS44" s="770" t="s">
        <v>418</v>
      </c>
      <c r="AT44" s="771" t="s">
        <v>419</v>
      </c>
      <c r="AU44" s="767" t="s">
        <v>398</v>
      </c>
      <c r="AV44" s="747" t="s">
        <v>309</v>
      </c>
      <c r="AX44" s="13"/>
      <c r="AY44" s="13"/>
      <c r="AZ44" s="13"/>
      <c r="BA44" s="13"/>
      <c r="BB44" s="13"/>
      <c r="BC44" s="802"/>
      <c r="BD44" s="803"/>
      <c r="BE44" s="803"/>
      <c r="BF44" s="803"/>
      <c r="BG44" s="843"/>
      <c r="BH44" s="840" t="s">
        <v>167</v>
      </c>
      <c r="BI44" s="841" t="s">
        <v>291</v>
      </c>
      <c r="BJ44" s="840" t="s">
        <v>420</v>
      </c>
      <c r="BK44" s="841" t="s">
        <v>421</v>
      </c>
      <c r="BL44" s="820"/>
      <c r="BN44" s="857"/>
      <c r="BO44" s="715"/>
      <c r="BP44" s="858"/>
      <c r="BQ44" s="858"/>
      <c r="BR44" s="857"/>
      <c r="BS44" s="813"/>
      <c r="BT44" s="859"/>
      <c r="BV44" s="736"/>
      <c r="BW44" s="13"/>
      <c r="BX44" s="898"/>
      <c r="BY44" s="857" t="s">
        <v>142</v>
      </c>
      <c r="CA44" s="857"/>
      <c r="CC44" s="736"/>
      <c r="CD44" s="919"/>
      <c r="CE44" s="770"/>
      <c r="CF44" s="920"/>
    </row>
    <row r="45" ht="16.9" customHeight="1" spans="3:84">
      <c r="C45" s="684" t="s">
        <v>422</v>
      </c>
      <c r="D45" s="684">
        <v>615</v>
      </c>
      <c r="E45" s="684">
        <v>651</v>
      </c>
      <c r="F45" s="684">
        <v>633</v>
      </c>
      <c r="G45" s="684">
        <v>632</v>
      </c>
      <c r="H45" s="684">
        <v>622</v>
      </c>
      <c r="I45" s="684">
        <v>7</v>
      </c>
      <c r="J45" s="684">
        <v>4</v>
      </c>
      <c r="K45" s="684">
        <v>4</v>
      </c>
      <c r="L45" s="684">
        <v>3</v>
      </c>
      <c r="M45" s="702" t="s">
        <v>423</v>
      </c>
      <c r="N45" s="684">
        <v>692</v>
      </c>
      <c r="O45" s="684">
        <v>732</v>
      </c>
      <c r="P45" s="684">
        <v>713</v>
      </c>
      <c r="Q45" s="684">
        <v>711</v>
      </c>
      <c r="R45" s="684">
        <v>700</v>
      </c>
      <c r="S45" s="684">
        <v>7</v>
      </c>
      <c r="T45" s="684">
        <v>4</v>
      </c>
      <c r="U45" s="684">
        <v>4</v>
      </c>
      <c r="V45" s="684">
        <v>3</v>
      </c>
      <c r="X45" s="722" t="s">
        <v>403</v>
      </c>
      <c r="Y45" s="684">
        <v>22</v>
      </c>
      <c r="Z45" s="684">
        <v>24.1</v>
      </c>
      <c r="AA45" s="684">
        <v>22.7</v>
      </c>
      <c r="AB45" s="684">
        <v>23.3</v>
      </c>
      <c r="AC45" s="684">
        <v>23.9</v>
      </c>
      <c r="AD45" s="684">
        <v>1</v>
      </c>
      <c r="AE45" s="684">
        <v>1</v>
      </c>
      <c r="AF45" s="684">
        <v>1</v>
      </c>
      <c r="AG45" s="744">
        <v>1</v>
      </c>
      <c r="AH45" s="741" t="s">
        <v>318</v>
      </c>
      <c r="AI45" s="684">
        <v>19.1</v>
      </c>
      <c r="AJ45" s="684">
        <v>20.6</v>
      </c>
      <c r="AK45" s="684">
        <v>19.7</v>
      </c>
      <c r="AL45" s="684">
        <v>19.9</v>
      </c>
      <c r="AM45" s="684">
        <v>20.5</v>
      </c>
      <c r="AN45" s="684">
        <v>0.9</v>
      </c>
      <c r="AO45" s="684">
        <v>0.9</v>
      </c>
      <c r="AP45" s="684">
        <v>0.7</v>
      </c>
      <c r="AQ45" s="684">
        <v>1</v>
      </c>
      <c r="AR45" s="13"/>
      <c r="AS45" s="684" t="s">
        <v>422</v>
      </c>
      <c r="AT45" s="702" t="s">
        <v>423</v>
      </c>
      <c r="AU45" s="722" t="s">
        <v>403</v>
      </c>
      <c r="AV45" s="741" t="s">
        <v>318</v>
      </c>
      <c r="AX45" s="13"/>
      <c r="AY45" s="13"/>
      <c r="AZ45" s="13"/>
      <c r="BA45" s="13"/>
      <c r="BB45" s="13"/>
      <c r="BC45" s="802"/>
      <c r="BD45" s="803"/>
      <c r="BE45" s="803"/>
      <c r="BF45" s="803"/>
      <c r="BG45" s="823"/>
      <c r="BH45" s="13"/>
      <c r="BI45" s="696"/>
      <c r="BJ45" s="696"/>
      <c r="BK45" s="696"/>
      <c r="BL45" s="820"/>
      <c r="BN45" s="23"/>
      <c r="BO45" s="702"/>
      <c r="BP45" s="852"/>
      <c r="BQ45" s="852"/>
      <c r="BR45" s="23"/>
      <c r="BS45" s="783"/>
      <c r="BT45" s="847"/>
      <c r="BU45" s="13"/>
      <c r="BV45" s="736"/>
      <c r="BX45" s="896"/>
      <c r="BY45" s="23" t="s">
        <v>153</v>
      </c>
      <c r="CA45" s="23"/>
      <c r="CB45" s="13"/>
      <c r="CD45" s="13"/>
      <c r="CE45" s="684"/>
      <c r="CF45" s="906"/>
    </row>
    <row r="46" ht="16.9" customHeight="1" spans="3:84">
      <c r="C46" s="695" t="s">
        <v>424</v>
      </c>
      <c r="D46" s="695">
        <v>767</v>
      </c>
      <c r="E46" s="695">
        <v>812</v>
      </c>
      <c r="F46" s="695">
        <v>790</v>
      </c>
      <c r="G46" s="695">
        <v>788</v>
      </c>
      <c r="H46" s="695">
        <v>775</v>
      </c>
      <c r="I46" s="695">
        <v>7</v>
      </c>
      <c r="J46" s="695">
        <v>4</v>
      </c>
      <c r="K46" s="695">
        <v>4</v>
      </c>
      <c r="L46" s="695">
        <v>3</v>
      </c>
      <c r="M46" s="715" t="s">
        <v>425</v>
      </c>
      <c r="N46" s="695">
        <v>866</v>
      </c>
      <c r="O46" s="695">
        <v>915</v>
      </c>
      <c r="P46" s="695">
        <v>892</v>
      </c>
      <c r="Q46" s="695">
        <v>889</v>
      </c>
      <c r="R46" s="695">
        <v>875</v>
      </c>
      <c r="S46" s="695">
        <v>7</v>
      </c>
      <c r="T46" s="695">
        <v>4</v>
      </c>
      <c r="U46" s="695">
        <v>4</v>
      </c>
      <c r="V46" s="695">
        <v>3</v>
      </c>
      <c r="W46" s="735"/>
      <c r="X46" t="str">
        <f>_xlfn.DISPIMG("E7E067AEA80E55559E4A1216AE19CAD9(13)",1)</f>
        <v>=DISPIMG("E7E067AEA80E55559E4A1216AE19CAD9(13)",1)</v>
      </c>
      <c r="Y46" s="698" t="s">
        <v>426</v>
      </c>
      <c r="Z46" s="698"/>
      <c r="AA46" s="698"/>
      <c r="AB46" s="698"/>
      <c r="AC46" s="698"/>
      <c r="AD46" s="698"/>
      <c r="AE46" s="698"/>
      <c r="AF46" s="698"/>
      <c r="AG46" s="698"/>
      <c r="AH46" s="698"/>
      <c r="AI46" s="698"/>
      <c r="AJ46" s="698"/>
      <c r="AK46" s="698"/>
      <c r="AL46" s="698"/>
      <c r="AM46" s="698"/>
      <c r="AN46" s="698"/>
      <c r="AO46" s="698"/>
      <c r="AP46" s="698"/>
      <c r="AQ46" s="698"/>
      <c r="AR46" s="735"/>
      <c r="AS46" s="692" t="s">
        <v>424</v>
      </c>
      <c r="AT46" s="715" t="s">
        <v>425</v>
      </c>
      <c r="AV46" s="697"/>
      <c r="AX46" s="13"/>
      <c r="AY46" s="13"/>
      <c r="AZ46" s="13"/>
      <c r="BA46" s="13"/>
      <c r="BB46" s="13"/>
      <c r="BC46" s="802"/>
      <c r="BD46" s="803"/>
      <c r="BE46" s="803"/>
      <c r="BF46" s="803"/>
      <c r="BG46" s="843"/>
      <c r="BH46" s="13"/>
      <c r="BI46" s="13"/>
      <c r="BJ46" s="13"/>
      <c r="BK46" s="13"/>
      <c r="BN46" s="857"/>
      <c r="BO46" s="715"/>
      <c r="BP46" s="858"/>
      <c r="BQ46" s="858"/>
      <c r="BR46" s="857"/>
      <c r="BS46" s="813"/>
      <c r="BT46" s="810"/>
      <c r="BV46" s="736"/>
      <c r="BW46" s="13"/>
      <c r="BX46" s="898"/>
      <c r="BY46" s="857" t="s">
        <v>169</v>
      </c>
      <c r="CA46" s="857"/>
      <c r="CC46" s="13"/>
      <c r="CD46" s="810"/>
      <c r="CE46" s="692"/>
      <c r="CF46" s="920"/>
    </row>
    <row r="47" ht="20.1" customHeight="1" spans="3:84">
      <c r="C47" s="684" t="s">
        <v>427</v>
      </c>
      <c r="D47" s="684">
        <v>1006</v>
      </c>
      <c r="E47" s="684">
        <v>1063</v>
      </c>
      <c r="F47" s="684">
        <v>1037</v>
      </c>
      <c r="G47" s="684">
        <v>1033</v>
      </c>
      <c r="H47" s="684">
        <v>1016</v>
      </c>
      <c r="I47" s="684">
        <v>8</v>
      </c>
      <c r="J47" s="684">
        <v>5</v>
      </c>
      <c r="K47" s="684">
        <v>5</v>
      </c>
      <c r="L47" s="684">
        <v>4</v>
      </c>
      <c r="M47" s="702" t="s">
        <v>428</v>
      </c>
      <c r="N47" s="684">
        <v>1143</v>
      </c>
      <c r="O47" s="684">
        <v>1206</v>
      </c>
      <c r="P47" s="684">
        <v>1177</v>
      </c>
      <c r="Q47" s="684">
        <v>1171</v>
      </c>
      <c r="R47" s="684">
        <v>1153</v>
      </c>
      <c r="S47" s="684">
        <v>8</v>
      </c>
      <c r="T47" s="684">
        <v>5</v>
      </c>
      <c r="U47" s="684">
        <v>5</v>
      </c>
      <c r="V47" s="684">
        <v>4</v>
      </c>
      <c r="X47" s="13"/>
      <c r="Y47" s="736" t="s">
        <v>429</v>
      </c>
      <c r="Z47" s="736"/>
      <c r="AA47" s="736"/>
      <c r="AB47" s="736"/>
      <c r="AC47" s="736"/>
      <c r="AD47" s="736"/>
      <c r="AE47" s="736"/>
      <c r="AF47" s="736"/>
      <c r="AG47" s="736"/>
      <c r="AH47" s="736"/>
      <c r="AI47" s="736"/>
      <c r="AJ47" s="736"/>
      <c r="AK47" s="736"/>
      <c r="AL47" s="736"/>
      <c r="AM47" s="736"/>
      <c r="AN47" s="736"/>
      <c r="AO47" s="736"/>
      <c r="AP47" s="736"/>
      <c r="AQ47" s="736"/>
      <c r="AR47" s="13"/>
      <c r="AS47" s="684" t="s">
        <v>427</v>
      </c>
      <c r="AT47" s="702" t="s">
        <v>428</v>
      </c>
      <c r="AU47" s="13"/>
      <c r="AV47" s="698"/>
      <c r="AW47" s="13"/>
      <c r="AX47" s="13"/>
      <c r="AY47" s="13"/>
      <c r="AZ47" s="13"/>
      <c r="BA47" s="13"/>
      <c r="BB47" s="13"/>
      <c r="BC47" s="14"/>
      <c r="BG47" s="823"/>
      <c r="BH47" s="13"/>
      <c r="BI47" s="13"/>
      <c r="BJ47" s="13"/>
      <c r="BK47" s="13"/>
      <c r="BN47" s="814"/>
      <c r="BO47" s="696"/>
      <c r="BP47" s="696"/>
      <c r="BQ47" s="696"/>
      <c r="BR47" s="814"/>
      <c r="BS47" s="696"/>
      <c r="BT47" s="13"/>
      <c r="BU47" s="13"/>
      <c r="BV47" s="736"/>
      <c r="BX47" s="896"/>
      <c r="BY47" s="23" t="s">
        <v>184</v>
      </c>
      <c r="CA47" s="23"/>
      <c r="CB47" s="13"/>
      <c r="CD47" s="13"/>
      <c r="CE47" s="684"/>
      <c r="CF47" s="696"/>
    </row>
    <row r="48" ht="20.1" customHeight="1" spans="3:84">
      <c r="C48" s="696" t="str">
        <f>_xlfn.DISPIMG("E7E067AEA80E55559E4A1216AE19CAD9(13)",1)</f>
        <v>=DISPIMG("E7E067AEA80E55559E4A1216AE19CAD9(13)",1)</v>
      </c>
      <c r="D48" s="697" t="s">
        <v>426</v>
      </c>
      <c r="E48" s="696"/>
      <c r="F48" s="696"/>
      <c r="G48" s="696"/>
      <c r="H48" s="696"/>
      <c r="I48" s="696"/>
      <c r="J48" s="696"/>
      <c r="K48" s="696"/>
      <c r="L48" s="696"/>
      <c r="M48" s="696"/>
      <c r="N48" s="696"/>
      <c r="O48" s="696"/>
      <c r="P48" s="696"/>
      <c r="Q48" s="696"/>
      <c r="R48" s="696"/>
      <c r="S48" s="696"/>
      <c r="T48" s="13"/>
      <c r="U48" s="13"/>
      <c r="V48" s="13"/>
      <c r="Y48" s="736" t="s">
        <v>430</v>
      </c>
      <c r="Z48" s="736"/>
      <c r="AA48" s="736"/>
      <c r="AB48" s="736"/>
      <c r="AC48" s="736"/>
      <c r="AD48" s="736"/>
      <c r="AE48" s="736"/>
      <c r="AF48" s="736"/>
      <c r="AG48" s="736"/>
      <c r="AH48" s="736"/>
      <c r="AI48" s="736"/>
      <c r="AJ48" s="736"/>
      <c r="AK48" s="736"/>
      <c r="AL48" s="736"/>
      <c r="AM48" s="736"/>
      <c r="AN48" s="736"/>
      <c r="AO48" s="736"/>
      <c r="AP48" s="736"/>
      <c r="AQ48" s="736"/>
      <c r="AS48" s="13"/>
      <c r="AT48" s="13"/>
      <c r="AV48" s="13"/>
      <c r="AW48" s="814"/>
      <c r="AX48" s="13"/>
      <c r="AY48" s="13"/>
      <c r="AZ48" s="13"/>
      <c r="BA48" s="13"/>
      <c r="BB48" s="13"/>
      <c r="BC48" s="14"/>
      <c r="BG48" s="823"/>
      <c r="BH48" s="13"/>
      <c r="BI48" s="13"/>
      <c r="BJ48" s="13"/>
      <c r="BK48" s="13"/>
      <c r="BN48" s="814"/>
      <c r="BO48" s="13"/>
      <c r="BP48" s="13"/>
      <c r="BQ48" s="13"/>
      <c r="BR48" s="814"/>
      <c r="BS48" s="13"/>
      <c r="BT48" s="13"/>
      <c r="BV48" s="736"/>
      <c r="BX48" s="736"/>
      <c r="BY48" s="736"/>
      <c r="CA48" s="736"/>
      <c r="CD48" s="814"/>
      <c r="CE48" s="13"/>
      <c r="CF48" s="13"/>
    </row>
    <row r="49" ht="15.75" customHeight="1" spans="3:84">
      <c r="C49" s="13"/>
      <c r="D49" s="698" t="s">
        <v>429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698"/>
      <c r="U49" s="698"/>
      <c r="V49" s="13"/>
      <c r="AO49" s="698"/>
      <c r="AP49" s="698"/>
      <c r="AS49" s="13"/>
      <c r="AT49" s="13"/>
      <c r="AW49" s="13"/>
      <c r="AX49" s="13"/>
      <c r="AY49" s="13"/>
      <c r="AZ49" s="13"/>
      <c r="BA49" s="13"/>
      <c r="BB49" s="13"/>
      <c r="BC49" s="14"/>
      <c r="BG49" s="13"/>
      <c r="BH49" s="13"/>
      <c r="BI49" s="13"/>
      <c r="BJ49" s="13"/>
      <c r="BK49" s="13"/>
      <c r="BN49" s="814"/>
      <c r="BO49" s="13"/>
      <c r="BP49" s="13"/>
      <c r="BQ49" s="13"/>
      <c r="BR49" s="814"/>
      <c r="BS49" s="13"/>
      <c r="BT49" s="13"/>
      <c r="BV49" s="736"/>
      <c r="BX49" s="736"/>
      <c r="BY49" s="736"/>
      <c r="CA49" s="736"/>
      <c r="CE49" s="13"/>
      <c r="CF49" s="13"/>
    </row>
    <row r="50" ht="15" customHeight="1" spans="3:84">
      <c r="C50" s="13"/>
      <c r="D50" s="698" t="s">
        <v>430</v>
      </c>
      <c r="E50" s="698"/>
      <c r="F50" s="698"/>
      <c r="G50" s="698"/>
      <c r="H50" s="698"/>
      <c r="I50" s="698"/>
      <c r="J50" s="698"/>
      <c r="K50" s="698"/>
      <c r="L50" s="698"/>
      <c r="M50" s="698"/>
      <c r="N50" s="698"/>
      <c r="O50" s="698"/>
      <c r="P50" s="698"/>
      <c r="Q50" s="698"/>
      <c r="R50" s="698"/>
      <c r="S50" s="698"/>
      <c r="V50" s="13"/>
      <c r="AS50" s="13"/>
      <c r="AT50" s="13"/>
      <c r="BB50" s="13"/>
      <c r="BC50" s="14"/>
      <c r="BG50" s="13"/>
      <c r="BH50" s="13"/>
      <c r="BI50" s="13"/>
      <c r="BJ50" s="13"/>
      <c r="BK50" s="13"/>
      <c r="BN50" s="814"/>
      <c r="BO50" s="13"/>
      <c r="BP50" s="13"/>
      <c r="BQ50" s="13"/>
      <c r="BR50" s="814"/>
      <c r="BS50" s="13"/>
      <c r="BT50" s="13"/>
      <c r="BV50" s="736"/>
      <c r="BY50" s="736"/>
      <c r="CA50" s="736"/>
      <c r="CE50" s="13"/>
      <c r="CF50" s="13"/>
    </row>
  </sheetData>
  <sheetProtection sheet="1" sort="0" autoFilter="0" pivotTables="0" objects="1"/>
  <mergeCells count="92">
    <mergeCell ref="D3:P3"/>
    <mergeCell ref="Q3:S3"/>
    <mergeCell ref="X3:Y3"/>
    <mergeCell ref="Z3:AK3"/>
    <mergeCell ref="AL3:AN3"/>
    <mergeCell ref="AY3:BA3"/>
    <mergeCell ref="BD3:BF3"/>
    <mergeCell ref="BI3:BK3"/>
    <mergeCell ref="BO3:BQ3"/>
    <mergeCell ref="D4:I4"/>
    <mergeCell ref="M4:V4"/>
    <mergeCell ref="X4:Y4"/>
    <mergeCell ref="Z4:AD4"/>
    <mergeCell ref="AH4:AQ4"/>
    <mergeCell ref="BC4:BE4"/>
    <mergeCell ref="BH4:BJ4"/>
    <mergeCell ref="BN4:BP4"/>
    <mergeCell ref="BR4:BS4"/>
    <mergeCell ref="BV4:BW4"/>
    <mergeCell ref="BC5:BF5"/>
    <mergeCell ref="BH5:BK5"/>
    <mergeCell ref="BN5:BQ5"/>
    <mergeCell ref="BR5:BS5"/>
    <mergeCell ref="AY41:BA41"/>
    <mergeCell ref="AY42:BA42"/>
    <mergeCell ref="AY43:BA43"/>
    <mergeCell ref="Y46:AQ46"/>
    <mergeCell ref="Y47:AQ47"/>
    <mergeCell ref="BD47:BF47"/>
    <mergeCell ref="BO47:BQ47"/>
    <mergeCell ref="D48:S48"/>
    <mergeCell ref="Y48:AQ48"/>
    <mergeCell ref="BD48:BF48"/>
    <mergeCell ref="BO48:BQ48"/>
    <mergeCell ref="D49:S49"/>
    <mergeCell ref="BD49:BF49"/>
    <mergeCell ref="BO49:BQ49"/>
    <mergeCell ref="D50:S50"/>
    <mergeCell ref="C48:C50"/>
    <mergeCell ref="X46:X48"/>
    <mergeCell ref="AS48:AS50"/>
    <mergeCell ref="AU46:AU48"/>
    <mergeCell ref="AX18:AX19"/>
    <mergeCell ref="AX41:AX44"/>
    <mergeCell ref="AY18:AY19"/>
    <mergeCell ref="AZ18:AZ19"/>
    <mergeCell ref="BA18:BA19"/>
    <mergeCell ref="BC6:BC7"/>
    <mergeCell ref="BC28:BC29"/>
    <mergeCell ref="BC47:BC50"/>
    <mergeCell ref="BD6:BD7"/>
    <mergeCell ref="BD28:BD29"/>
    <mergeCell ref="BE6:BE7"/>
    <mergeCell ref="BE28:BE29"/>
    <mergeCell ref="BF6:BF7"/>
    <mergeCell ref="BF28:BF29"/>
    <mergeCell ref="BH6:BH7"/>
    <mergeCell ref="BI6:BI7"/>
    <mergeCell ref="BJ6:BJ7"/>
    <mergeCell ref="BK6:BK7"/>
    <mergeCell ref="BN6:BN7"/>
    <mergeCell ref="BN28:BN29"/>
    <mergeCell ref="BN47:BN50"/>
    <mergeCell ref="BO6:BO7"/>
    <mergeCell ref="BO28:BO29"/>
    <mergeCell ref="BP6:BP7"/>
    <mergeCell ref="BP28:BP29"/>
    <mergeCell ref="BQ6:BQ7"/>
    <mergeCell ref="BQ28:BQ29"/>
    <mergeCell ref="BR6:BR7"/>
    <mergeCell ref="BR47:BR50"/>
    <mergeCell ref="BS6:BS7"/>
    <mergeCell ref="BV5:BV6"/>
    <mergeCell ref="BV28:BV29"/>
    <mergeCell ref="BV37:BV39"/>
    <mergeCell ref="BV44:BV47"/>
    <mergeCell ref="BV48:BV50"/>
    <mergeCell ref="BW5:BW6"/>
    <mergeCell ref="BW28:BW29"/>
    <mergeCell ref="BY5:BY6"/>
    <mergeCell ref="BY25:BY26"/>
    <mergeCell ref="BY48:BY50"/>
    <mergeCell ref="CA5:CA6"/>
    <mergeCell ref="CA25:CA26"/>
    <mergeCell ref="CA48:CA50"/>
    <mergeCell ref="CC5:CC6"/>
    <mergeCell ref="CC21:CC22"/>
    <mergeCell ref="CC39:CC41"/>
    <mergeCell ref="CE5:CE6"/>
    <mergeCell ref="CE48:CE50"/>
    <mergeCell ref="CF5:CF6"/>
    <mergeCell ref="CF47:CF50"/>
  </mergeCells>
  <pageMargins left="0.275" right="0.196527777777778" top="0.196527777777778" bottom="0" header="0.511805555555556" footer="0.393055555555556"/>
  <pageSetup paperSize="9" scale="93" orientation="portrait" horizontalDpi="300" verticalDpi="300"/>
  <headerFooter>
    <oddFooter>&amp;C&amp;P</oddFooter>
  </headerFooter>
  <colBreaks count="13" manualBreakCount="13">
    <brk id="23" max="58" man="1"/>
    <brk id="44" max="58" man="1"/>
    <brk id="49" max="58" man="1"/>
    <brk id="54" max="58" man="1"/>
    <brk id="59" max="58" man="1"/>
    <brk id="64" max="58" man="1"/>
    <brk id="65" max="58" man="1"/>
    <brk id="72" max="58" man="1"/>
    <brk id="73" max="58" man="1"/>
    <brk id="76" max="58" man="1"/>
    <brk id="78" max="58" man="1"/>
    <brk id="80" max="58" man="1"/>
    <brk id="82" max="58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Z191"/>
  <sheetViews>
    <sheetView zoomScale="85" zoomScaleNormal="85" workbookViewId="0">
      <selection activeCell="D14" sqref="D14"/>
    </sheetView>
  </sheetViews>
  <sheetFormatPr defaultColWidth="9" defaultRowHeight="14.25"/>
  <cols>
    <col min="1" max="1" width="15.625" customWidth="1"/>
    <col min="2" max="2" width="30.25" customWidth="1"/>
    <col min="3" max="3" width="10.625" customWidth="1"/>
    <col min="4" max="4" width="35.625" customWidth="1"/>
    <col min="5" max="5" width="17" customWidth="1"/>
    <col min="6" max="6" width="18.625" customWidth="1"/>
    <col min="7" max="7" width="17.625" customWidth="1"/>
    <col min="8" max="8" width="23.5" customWidth="1"/>
    <col min="9" max="9" width="20.375" customWidth="1"/>
    <col min="10" max="10" width="19.375" customWidth="1"/>
    <col min="11" max="11" width="11.875" customWidth="1"/>
    <col min="12" max="12" width="10.75" customWidth="1"/>
    <col min="13" max="13" width="12.375" customWidth="1"/>
    <col min="14" max="14" width="17.75" customWidth="1"/>
  </cols>
  <sheetData>
    <row r="1" ht="20.1" customHeight="1"/>
    <row r="2" ht="24.95" customHeight="1" spans="4:11">
      <c r="D2" s="569" t="s">
        <v>431</v>
      </c>
      <c r="E2" s="570"/>
      <c r="G2" s="571"/>
      <c r="H2" s="572" t="s">
        <v>432</v>
      </c>
      <c r="I2" s="622">
        <f ca="1">NOW()</f>
        <v>45280.7012962963</v>
      </c>
      <c r="J2" s="571"/>
      <c r="K2" s="571"/>
    </row>
    <row r="3" ht="24.95" customHeight="1" spans="1:17">
      <c r="A3" s="544"/>
      <c r="B3" s="544"/>
      <c r="C3" s="544"/>
      <c r="D3" s="573" t="s">
        <v>433</v>
      </c>
      <c r="E3" s="574"/>
      <c r="F3" s="574"/>
      <c r="G3" s="544"/>
      <c r="H3" s="575" t="s">
        <v>434</v>
      </c>
      <c r="I3" s="575"/>
      <c r="J3" s="575"/>
      <c r="K3" s="544"/>
      <c r="L3" s="544"/>
      <c r="M3" s="544"/>
      <c r="N3" s="544"/>
      <c r="O3" s="544"/>
      <c r="P3" s="544"/>
      <c r="Q3" s="544"/>
    </row>
    <row r="4" ht="24.95" customHeight="1" spans="1:17">
      <c r="A4" s="576"/>
      <c r="B4" s="577"/>
      <c r="C4" s="577"/>
      <c r="D4" s="578" t="s">
        <v>435</v>
      </c>
      <c r="E4" s="579" t="s">
        <v>436</v>
      </c>
      <c r="F4" s="580" t="s">
        <v>437</v>
      </c>
      <c r="G4" s="581"/>
      <c r="H4" s="577" t="s">
        <v>438</v>
      </c>
      <c r="I4" s="577" t="s">
        <v>439</v>
      </c>
      <c r="J4" s="577">
        <v>0.995</v>
      </c>
      <c r="K4" s="544"/>
      <c r="L4" s="623" t="s">
        <v>440</v>
      </c>
      <c r="M4" s="624" t="s">
        <v>441</v>
      </c>
      <c r="N4" s="544"/>
      <c r="O4" s="544"/>
      <c r="P4" s="544"/>
      <c r="Q4" s="544"/>
    </row>
    <row r="5" ht="24.95" customHeight="1" spans="1:17">
      <c r="A5" s="581" t="s">
        <v>442</v>
      </c>
      <c r="B5" s="577" t="s">
        <v>443</v>
      </c>
      <c r="C5" s="582" t="s">
        <v>444</v>
      </c>
      <c r="D5" s="583" t="s">
        <v>445</v>
      </c>
      <c r="E5" s="577">
        <v>65.5</v>
      </c>
      <c r="F5" s="577">
        <v>8.89</v>
      </c>
      <c r="G5" s="581"/>
      <c r="H5" s="577"/>
      <c r="I5" s="577" t="s">
        <v>446</v>
      </c>
      <c r="J5" s="625">
        <v>0.02</v>
      </c>
      <c r="K5" s="544"/>
      <c r="L5" s="626">
        <v>0</v>
      </c>
      <c r="M5" s="627">
        <v>0</v>
      </c>
      <c r="N5" s="544"/>
      <c r="O5" s="544"/>
      <c r="P5" s="544"/>
      <c r="Q5" s="544"/>
    </row>
    <row r="6" ht="24.95" customHeight="1" spans="1:17">
      <c r="A6" s="581" t="s">
        <v>447</v>
      </c>
      <c r="B6" s="577" t="s">
        <v>448</v>
      </c>
      <c r="C6" s="584"/>
      <c r="D6" s="583" t="s">
        <v>449</v>
      </c>
      <c r="E6" s="577">
        <v>18.5</v>
      </c>
      <c r="F6" s="577">
        <v>2.7</v>
      </c>
      <c r="G6" s="581"/>
      <c r="H6" s="577"/>
      <c r="I6" s="577" t="s">
        <v>450</v>
      </c>
      <c r="J6" s="625">
        <v>0</v>
      </c>
      <c r="K6" s="544"/>
      <c r="L6" s="628" t="s">
        <v>451</v>
      </c>
      <c r="M6" s="626" t="s">
        <v>452</v>
      </c>
      <c r="N6" s="544"/>
      <c r="Q6" s="544"/>
    </row>
    <row r="7" ht="24.95" customHeight="1" spans="1:17">
      <c r="A7" s="581"/>
      <c r="B7" s="577"/>
      <c r="C7" s="584"/>
      <c r="D7" s="583" t="s">
        <v>453</v>
      </c>
      <c r="E7" s="585">
        <f>E6+0.4</f>
        <v>18.9</v>
      </c>
      <c r="F7" s="577">
        <v>2.7</v>
      </c>
      <c r="G7" s="581"/>
      <c r="H7" s="577"/>
      <c r="I7" s="577"/>
      <c r="J7" s="625"/>
      <c r="K7" s="544"/>
      <c r="L7" s="628">
        <v>0</v>
      </c>
      <c r="M7" s="626">
        <v>0</v>
      </c>
      <c r="N7" s="544"/>
      <c r="Q7" s="544"/>
    </row>
    <row r="8" ht="24.95" customHeight="1" spans="1:17">
      <c r="A8" s="581" t="s">
        <v>447</v>
      </c>
      <c r="B8" s="577" t="s">
        <v>454</v>
      </c>
      <c r="C8" s="584"/>
      <c r="D8" s="583" t="s">
        <v>455</v>
      </c>
      <c r="E8" s="586">
        <f>E6+2.5</f>
        <v>21</v>
      </c>
      <c r="F8" s="577">
        <v>2.7</v>
      </c>
      <c r="G8" s="581"/>
      <c r="H8" s="587"/>
      <c r="I8" s="587"/>
      <c r="J8" s="629"/>
      <c r="K8" s="630"/>
      <c r="L8" s="631" t="s">
        <v>456</v>
      </c>
      <c r="M8" s="628" t="s">
        <v>457</v>
      </c>
      <c r="N8" s="544"/>
      <c r="O8" s="544"/>
      <c r="P8" s="544"/>
      <c r="Q8" s="544"/>
    </row>
    <row r="9" ht="24.95" customHeight="1" spans="1:17">
      <c r="A9" s="581"/>
      <c r="B9" s="588" t="s">
        <v>458</v>
      </c>
      <c r="C9" s="584"/>
      <c r="D9" s="583" t="s">
        <v>459</v>
      </c>
      <c r="E9" s="589">
        <f>E5+7</f>
        <v>72.5</v>
      </c>
      <c r="F9" s="577">
        <v>8.89</v>
      </c>
      <c r="G9" s="581"/>
      <c r="H9" s="590"/>
      <c r="I9" s="587"/>
      <c r="J9" s="629"/>
      <c r="K9" s="630"/>
      <c r="L9" s="632">
        <v>0.3</v>
      </c>
      <c r="M9" s="633">
        <v>0.3</v>
      </c>
      <c r="N9" s="544"/>
      <c r="O9" s="544"/>
      <c r="P9" s="544"/>
      <c r="Q9" s="544"/>
    </row>
    <row r="10" ht="24.95" customHeight="1" spans="1:182">
      <c r="A10" s="576"/>
      <c r="B10" s="577" t="s">
        <v>460</v>
      </c>
      <c r="C10" s="591"/>
      <c r="D10" s="583" t="s">
        <v>461</v>
      </c>
      <c r="E10" s="586">
        <f>E5+2</f>
        <v>67.5</v>
      </c>
      <c r="F10" s="577">
        <v>8.89</v>
      </c>
      <c r="G10" s="581"/>
      <c r="H10" s="582" t="s">
        <v>462</v>
      </c>
      <c r="I10" s="577" t="s">
        <v>463</v>
      </c>
      <c r="J10" s="577">
        <v>0.995</v>
      </c>
      <c r="K10" s="630"/>
      <c r="L10" s="630"/>
      <c r="M10" s="544"/>
      <c r="N10" s="544"/>
      <c r="O10" s="634"/>
      <c r="P10" s="634"/>
      <c r="Q10" s="634"/>
      <c r="R10" s="634"/>
      <c r="S10" s="634"/>
      <c r="T10" s="634"/>
      <c r="U10" s="634"/>
      <c r="V10" s="634"/>
      <c r="W10" s="634"/>
      <c r="X10" s="634"/>
      <c r="Y10" s="634"/>
      <c r="Z10" s="634"/>
      <c r="AA10" s="634"/>
      <c r="AB10" s="634"/>
      <c r="AC10" s="634"/>
      <c r="AD10" s="634"/>
      <c r="AE10" s="634"/>
      <c r="AF10" s="634"/>
      <c r="AG10" s="634"/>
      <c r="AI10" s="634"/>
      <c r="AJ10" s="634"/>
      <c r="AK10" s="634"/>
      <c r="AL10" s="634"/>
      <c r="AM10" s="634"/>
      <c r="AN10" s="634"/>
      <c r="AO10" s="634"/>
      <c r="AP10" s="634"/>
      <c r="AQ10" s="634"/>
      <c r="AR10" s="634"/>
      <c r="AS10" s="634"/>
      <c r="AT10" s="634"/>
      <c r="AU10" s="634"/>
      <c r="AV10" s="634"/>
      <c r="AX10" s="634"/>
      <c r="AY10" s="634"/>
      <c r="AZ10" s="634"/>
      <c r="BA10" s="634"/>
      <c r="BB10" s="634"/>
      <c r="BC10" s="634"/>
      <c r="BD10" s="634"/>
      <c r="BE10" s="634"/>
      <c r="BF10" s="634"/>
      <c r="BG10" s="634"/>
      <c r="BH10" s="634"/>
      <c r="BI10" s="634"/>
      <c r="BJ10" s="634"/>
      <c r="BK10" s="634"/>
      <c r="BL10" s="634"/>
      <c r="BM10" s="634"/>
      <c r="BN10" s="634"/>
      <c r="BO10" s="634"/>
      <c r="BP10" s="634"/>
      <c r="BQ10" s="634"/>
      <c r="BR10" s="634"/>
      <c r="BT10" s="634"/>
      <c r="BU10" s="634"/>
      <c r="BV10" s="634"/>
      <c r="BX10" s="634"/>
      <c r="BY10" s="634"/>
      <c r="BZ10" s="634"/>
      <c r="CB10" s="634"/>
      <c r="CC10" s="634"/>
      <c r="CD10" s="634"/>
      <c r="CF10" s="634"/>
      <c r="CG10" s="634"/>
      <c r="CH10" s="634"/>
      <c r="CJ10" s="634"/>
      <c r="CK10" s="634"/>
      <c r="CM10" s="634"/>
      <c r="CO10" s="634"/>
      <c r="CP10" s="634"/>
      <c r="CQ10" s="634"/>
      <c r="CS10" s="634"/>
      <c r="CT10" s="634"/>
      <c r="CU10" s="634"/>
      <c r="CW10" s="634"/>
      <c r="CX10" s="634"/>
      <c r="CY10" s="634"/>
      <c r="DA10" s="634"/>
      <c r="DB10" s="634"/>
      <c r="DC10" s="634"/>
      <c r="DD10" s="634"/>
      <c r="DE10" s="634"/>
      <c r="DF10" s="634"/>
      <c r="DH10" s="634"/>
      <c r="DI10" s="634"/>
      <c r="DJ10" s="634"/>
      <c r="DL10" s="634"/>
      <c r="DM10" s="634"/>
      <c r="DN10" s="634"/>
      <c r="DO10" s="634"/>
      <c r="DP10" s="634"/>
      <c r="DR10" s="634"/>
      <c r="DS10" s="634"/>
      <c r="DT10" s="634"/>
      <c r="DV10" s="634"/>
      <c r="DW10" s="634"/>
      <c r="DX10" s="634"/>
      <c r="DZ10" s="634"/>
      <c r="EA10" s="634"/>
      <c r="EB10" s="634"/>
      <c r="ED10" s="634"/>
      <c r="EE10" s="634"/>
      <c r="EF10" s="634"/>
      <c r="EH10" s="634"/>
      <c r="EI10" s="634"/>
      <c r="EJ10" s="634"/>
      <c r="EK10" s="634"/>
      <c r="EL10" s="634"/>
      <c r="EN10" s="634"/>
      <c r="EO10" s="634"/>
      <c r="EP10" s="634"/>
      <c r="ER10" s="634"/>
      <c r="ES10" s="634"/>
      <c r="ET10" s="634"/>
      <c r="EV10" s="634"/>
      <c r="EW10" s="634"/>
      <c r="EY10" s="634"/>
      <c r="EZ10" s="634"/>
      <c r="FA10" s="634"/>
      <c r="FB10" s="634"/>
      <c r="FC10" s="634"/>
      <c r="FD10" s="634"/>
      <c r="FE10" s="634"/>
      <c r="FF10" s="634"/>
      <c r="FG10" s="634"/>
      <c r="FH10" s="634"/>
      <c r="FI10" s="634"/>
      <c r="FJ10" s="634"/>
      <c r="FK10" s="634"/>
      <c r="FL10" s="634"/>
      <c r="FM10" s="634"/>
      <c r="FN10" s="634"/>
      <c r="FO10" s="634"/>
      <c r="FP10" s="634"/>
      <c r="FQ10" s="634"/>
      <c r="FS10" s="634"/>
      <c r="FT10" s="634"/>
      <c r="FU10" s="634"/>
      <c r="FV10" s="634"/>
      <c r="FW10" s="634"/>
      <c r="FX10" s="634"/>
      <c r="FY10" s="634"/>
      <c r="FZ10" s="634"/>
    </row>
    <row r="11" ht="24.95" customHeight="1" spans="1:182">
      <c r="A11" s="581" t="s">
        <v>464</v>
      </c>
      <c r="B11" s="577" t="s">
        <v>465</v>
      </c>
      <c r="C11" s="582" t="s">
        <v>466</v>
      </c>
      <c r="D11" s="583" t="s">
        <v>467</v>
      </c>
      <c r="E11" s="577">
        <v>10.2</v>
      </c>
      <c r="F11" s="577">
        <v>1.1</v>
      </c>
      <c r="G11" s="581"/>
      <c r="H11" s="584"/>
      <c r="I11" s="577" t="s">
        <v>446</v>
      </c>
      <c r="J11" s="625">
        <v>0.05</v>
      </c>
      <c r="K11" s="630"/>
      <c r="L11" s="630"/>
      <c r="M11" s="544"/>
      <c r="N11" s="54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T11" s="634"/>
      <c r="BU11" s="634"/>
      <c r="BV11" s="634"/>
      <c r="BX11" s="634"/>
      <c r="BY11" s="634"/>
      <c r="BZ11" s="634"/>
      <c r="CB11" s="634"/>
      <c r="CC11" s="634"/>
      <c r="CD11" s="634"/>
      <c r="CF11" s="634"/>
      <c r="CG11" s="634"/>
      <c r="CH11" s="634"/>
      <c r="CJ11" s="634"/>
      <c r="CK11" s="634"/>
      <c r="CM11" s="634"/>
      <c r="CO11" s="634"/>
      <c r="CP11" s="634"/>
      <c r="CQ11" s="634"/>
      <c r="CS11" s="634"/>
      <c r="CT11" s="634"/>
      <c r="CU11" s="634"/>
      <c r="CW11" s="634"/>
      <c r="CX11" s="634"/>
      <c r="CY11" s="634"/>
      <c r="DA11" s="634"/>
      <c r="DB11" s="634"/>
      <c r="DC11" s="634"/>
      <c r="DD11" s="634"/>
      <c r="DE11" s="634"/>
      <c r="DF11" s="634"/>
      <c r="DH11" s="634"/>
      <c r="DI11" s="634"/>
      <c r="DJ11" s="634"/>
      <c r="DL11" s="634"/>
      <c r="DM11" s="634"/>
      <c r="DN11" s="634"/>
      <c r="DO11" s="634"/>
      <c r="DP11" s="634"/>
      <c r="DR11" s="634"/>
      <c r="DS11" s="634"/>
      <c r="DT11" s="634"/>
      <c r="DV11" s="634"/>
      <c r="DW11" s="634"/>
      <c r="DX11" s="634"/>
      <c r="DZ11" s="634"/>
      <c r="EA11" s="634"/>
      <c r="EB11" s="634"/>
      <c r="ED11" s="634"/>
      <c r="EE11" s="634"/>
      <c r="EF11" s="634"/>
      <c r="EH11" s="634"/>
      <c r="EI11" s="634"/>
      <c r="EJ11" s="634"/>
      <c r="EK11" s="634"/>
      <c r="EL11" s="634"/>
      <c r="EN11" s="634"/>
      <c r="EO11" s="634"/>
      <c r="EP11" s="634"/>
      <c r="ER11" s="634"/>
      <c r="ES11" s="634"/>
      <c r="ET11" s="634"/>
      <c r="EV11" s="634"/>
      <c r="EW11" s="634"/>
      <c r="EY11" s="634"/>
      <c r="EZ11" s="634"/>
      <c r="FA11" s="634"/>
      <c r="FB11" s="634"/>
      <c r="FC11" s="634"/>
      <c r="FD11" s="634"/>
      <c r="FE11" s="634"/>
      <c r="FF11" s="634"/>
      <c r="FG11" s="634"/>
      <c r="FH11" s="634"/>
      <c r="FI11" s="634"/>
      <c r="FJ11" s="634"/>
      <c r="FK11" s="634"/>
      <c r="FL11" s="634"/>
      <c r="FM11" s="634"/>
      <c r="FN11" s="634"/>
      <c r="FO11" s="634"/>
      <c r="FP11" s="634"/>
      <c r="FQ11" s="634"/>
      <c r="FS11" s="634"/>
      <c r="FT11" s="634"/>
      <c r="FU11" s="634"/>
      <c r="FV11" s="634"/>
      <c r="FW11" s="634"/>
      <c r="FX11" s="634"/>
      <c r="FY11" s="634"/>
      <c r="FZ11" s="634"/>
    </row>
    <row r="12" ht="24.95" customHeight="1" spans="1:182">
      <c r="A12" s="581" t="s">
        <v>464</v>
      </c>
      <c r="B12" s="577" t="s">
        <v>468</v>
      </c>
      <c r="C12" s="584"/>
      <c r="D12" s="583" t="s">
        <v>469</v>
      </c>
      <c r="E12" s="586">
        <f>E11+1.3</f>
        <v>11.5</v>
      </c>
      <c r="F12" s="577">
        <v>1.1</v>
      </c>
      <c r="G12" s="581"/>
      <c r="H12" s="584"/>
      <c r="I12" s="577" t="s">
        <v>470</v>
      </c>
      <c r="J12" s="577">
        <v>0.995</v>
      </c>
      <c r="K12" s="630"/>
      <c r="L12" s="630"/>
      <c r="M12" s="544"/>
      <c r="N12" s="544"/>
      <c r="O12" s="634"/>
      <c r="P12" s="634"/>
      <c r="Q12" s="634"/>
      <c r="R12" s="634"/>
      <c r="S12" s="634"/>
      <c r="T12" s="634"/>
      <c r="U12" s="634"/>
      <c r="V12" s="634"/>
      <c r="W12" s="634"/>
      <c r="X12" s="634"/>
      <c r="Y12" s="634"/>
      <c r="Z12" s="634"/>
      <c r="AA12" s="634"/>
      <c r="AB12" s="634"/>
      <c r="AC12" s="634"/>
      <c r="AD12" s="634"/>
      <c r="AE12" s="634"/>
      <c r="AF12" s="634"/>
      <c r="AG12" s="634"/>
      <c r="AI12" s="634"/>
      <c r="AJ12" s="634"/>
      <c r="AK12" s="634"/>
      <c r="AL12" s="634"/>
      <c r="AM12" s="634"/>
      <c r="AN12" s="634"/>
      <c r="AO12" s="634"/>
      <c r="AP12" s="634"/>
      <c r="AQ12" s="634"/>
      <c r="AR12" s="634"/>
      <c r="AS12" s="634"/>
      <c r="AT12" s="634"/>
      <c r="AU12" s="634"/>
      <c r="AV12" s="634"/>
      <c r="AX12" s="634"/>
      <c r="AY12" s="634"/>
      <c r="AZ12" s="634"/>
      <c r="BA12" s="634"/>
      <c r="BB12" s="634"/>
      <c r="BC12" s="634"/>
      <c r="BD12" s="634"/>
      <c r="BE12" s="634"/>
      <c r="BF12" s="634"/>
      <c r="BG12" s="634"/>
      <c r="BH12" s="634"/>
      <c r="BI12" s="634"/>
      <c r="BJ12" s="634"/>
      <c r="BK12" s="634"/>
      <c r="BL12" s="634"/>
      <c r="BM12" s="634"/>
      <c r="BN12" s="634"/>
      <c r="BO12" s="634"/>
      <c r="BP12" s="634"/>
      <c r="BQ12" s="634"/>
      <c r="BR12" s="634"/>
      <c r="BT12" s="634"/>
      <c r="BU12" s="634"/>
      <c r="BV12" s="634"/>
      <c r="BX12" s="634"/>
      <c r="BY12" s="634"/>
      <c r="BZ12" s="634"/>
      <c r="CB12" s="634"/>
      <c r="CC12" s="634"/>
      <c r="CD12" s="634"/>
      <c r="CF12" s="634"/>
      <c r="CG12" s="634"/>
      <c r="CH12" s="634"/>
      <c r="CJ12" s="634"/>
      <c r="CK12" s="634"/>
      <c r="CM12" s="634"/>
      <c r="CO12" s="634"/>
      <c r="CP12" s="634"/>
      <c r="CQ12" s="634"/>
      <c r="CS12" s="634"/>
      <c r="CT12" s="634"/>
      <c r="CU12" s="634"/>
      <c r="CW12" s="634"/>
      <c r="CX12" s="634"/>
      <c r="CY12" s="634"/>
      <c r="DA12" s="634"/>
      <c r="DB12" s="634"/>
      <c r="DC12" s="634"/>
      <c r="DD12" s="634"/>
      <c r="DE12" s="634"/>
      <c r="DF12" s="634"/>
      <c r="DH12" s="634"/>
      <c r="DI12" s="634"/>
      <c r="DJ12" s="634"/>
      <c r="DL12" s="634"/>
      <c r="DM12" s="634"/>
      <c r="DN12" s="634"/>
      <c r="DO12" s="634"/>
      <c r="DP12" s="634"/>
      <c r="DR12" s="634"/>
      <c r="DS12" s="634"/>
      <c r="DT12" s="634"/>
      <c r="DV12" s="634"/>
      <c r="DW12" s="634"/>
      <c r="DX12" s="634"/>
      <c r="DZ12" s="634"/>
      <c r="EA12" s="634"/>
      <c r="EB12" s="634"/>
      <c r="ED12" s="634"/>
      <c r="EE12" s="634"/>
      <c r="EF12" s="634"/>
      <c r="EH12" s="634"/>
      <c r="EI12" s="634"/>
      <c r="EJ12" s="634"/>
      <c r="EK12" s="634"/>
      <c r="EL12" s="634"/>
      <c r="EN12" s="634"/>
      <c r="EO12" s="634"/>
      <c r="EP12" s="634"/>
      <c r="ER12" s="634"/>
      <c r="ES12" s="634"/>
      <c r="ET12" s="634"/>
      <c r="EV12" s="634"/>
      <c r="EW12" s="634"/>
      <c r="EY12" s="634"/>
      <c r="EZ12" s="634"/>
      <c r="FA12" s="634"/>
      <c r="FB12" s="634"/>
      <c r="FC12" s="634"/>
      <c r="FD12" s="634"/>
      <c r="FE12" s="634"/>
      <c r="FF12" s="634"/>
      <c r="FG12" s="634"/>
      <c r="FH12" s="634"/>
      <c r="FI12" s="634"/>
      <c r="FJ12" s="634"/>
      <c r="FK12" s="634"/>
      <c r="FL12" s="634"/>
      <c r="FM12" s="634"/>
      <c r="FN12" s="634"/>
      <c r="FO12" s="634"/>
      <c r="FP12" s="634"/>
      <c r="FQ12" s="634"/>
      <c r="FS12" s="634"/>
      <c r="FT12" s="634"/>
      <c r="FU12" s="634"/>
      <c r="FV12" s="634"/>
      <c r="FW12" s="634"/>
      <c r="FX12" s="634"/>
      <c r="FY12" s="634"/>
      <c r="FZ12" s="634"/>
    </row>
    <row r="13" ht="24.95" customHeight="1" spans="1:182">
      <c r="A13" s="581" t="s">
        <v>464</v>
      </c>
      <c r="B13" s="577" t="s">
        <v>471</v>
      </c>
      <c r="C13" s="584"/>
      <c r="D13" s="583" t="s">
        <v>472</v>
      </c>
      <c r="E13" s="586">
        <f>E11+1.8</f>
        <v>12</v>
      </c>
      <c r="F13" s="577">
        <v>1.47</v>
      </c>
      <c r="G13" s="581"/>
      <c r="H13" s="584"/>
      <c r="I13" s="577" t="s">
        <v>450</v>
      </c>
      <c r="J13" s="625">
        <v>0</v>
      </c>
      <c r="K13" s="630"/>
      <c r="L13" s="630"/>
      <c r="M13" s="544"/>
      <c r="N13" s="544"/>
      <c r="O13" s="634"/>
      <c r="P13" s="634"/>
      <c r="Q13" s="634"/>
      <c r="R13" s="634"/>
      <c r="S13" s="634"/>
      <c r="T13" s="634"/>
      <c r="U13" s="634"/>
      <c r="V13" s="634"/>
      <c r="W13" s="634"/>
      <c r="X13" s="634"/>
      <c r="Y13" s="634"/>
      <c r="Z13" s="634"/>
      <c r="AA13" s="634"/>
      <c r="AB13" s="634"/>
      <c r="AC13" s="634"/>
      <c r="AD13" s="634"/>
      <c r="AE13" s="634"/>
      <c r="AF13" s="634"/>
      <c r="AG13" s="634"/>
      <c r="AI13" s="634"/>
      <c r="AJ13" s="634"/>
      <c r="AK13" s="634"/>
      <c r="AL13" s="634"/>
      <c r="AM13" s="634"/>
      <c r="AN13" s="634"/>
      <c r="AO13" s="634"/>
      <c r="AP13" s="634"/>
      <c r="AQ13" s="634"/>
      <c r="AR13" s="634"/>
      <c r="AS13" s="634"/>
      <c r="AT13" s="634"/>
      <c r="AU13" s="634"/>
      <c r="AV13" s="634"/>
      <c r="AX13" s="634"/>
      <c r="AY13" s="634"/>
      <c r="AZ13" s="634"/>
      <c r="BA13" s="634"/>
      <c r="BB13" s="634"/>
      <c r="BC13" s="634"/>
      <c r="BD13" s="634"/>
      <c r="BE13" s="634"/>
      <c r="BF13" s="634"/>
      <c r="BG13" s="634"/>
      <c r="BH13" s="634"/>
      <c r="BI13" s="634"/>
      <c r="BJ13" s="634"/>
      <c r="BK13" s="634"/>
      <c r="BL13" s="634"/>
      <c r="BM13" s="634"/>
      <c r="BN13" s="634"/>
      <c r="BO13" s="634"/>
      <c r="BP13" s="634"/>
      <c r="BQ13" s="634"/>
      <c r="BR13" s="634"/>
      <c r="BT13" s="634"/>
      <c r="BU13" s="634"/>
      <c r="BV13" s="634"/>
      <c r="BX13" s="634"/>
      <c r="BY13" s="634"/>
      <c r="BZ13" s="634"/>
      <c r="CB13" s="634"/>
      <c r="CC13" s="634"/>
      <c r="CD13" s="634"/>
      <c r="CF13" s="634"/>
      <c r="CG13" s="634"/>
      <c r="CH13" s="634"/>
      <c r="CJ13" s="634"/>
      <c r="CK13" s="634"/>
      <c r="CM13" s="634"/>
      <c r="CO13" s="634"/>
      <c r="CP13" s="634"/>
      <c r="CQ13" s="634"/>
      <c r="CS13" s="634"/>
      <c r="CT13" s="634"/>
      <c r="CU13" s="634"/>
      <c r="CW13" s="634"/>
      <c r="CX13" s="634"/>
      <c r="CY13" s="634"/>
      <c r="DA13" s="634"/>
      <c r="DB13" s="634"/>
      <c r="DC13" s="634"/>
      <c r="DD13" s="634"/>
      <c r="DE13" s="634"/>
      <c r="DF13" s="634"/>
      <c r="DH13" s="634"/>
      <c r="DI13" s="634"/>
      <c r="DJ13" s="634"/>
      <c r="DL13" s="634"/>
      <c r="DM13" s="634"/>
      <c r="DN13" s="634"/>
      <c r="DO13" s="634"/>
      <c r="DP13" s="634"/>
      <c r="DR13" s="634"/>
      <c r="DS13" s="634"/>
      <c r="DT13" s="634"/>
      <c r="DV13" s="634"/>
      <c r="DW13" s="634"/>
      <c r="DX13" s="634"/>
      <c r="DZ13" s="634"/>
      <c r="EA13" s="634"/>
      <c r="EB13" s="634"/>
      <c r="ED13" s="634"/>
      <c r="EE13" s="634"/>
      <c r="EF13" s="634"/>
      <c r="EH13" s="634"/>
      <c r="EI13" s="634"/>
      <c r="EJ13" s="634"/>
      <c r="EK13" s="634"/>
      <c r="EL13" s="634"/>
      <c r="EN13" s="634"/>
      <c r="EO13" s="634"/>
      <c r="EP13" s="634"/>
      <c r="ER13" s="634"/>
      <c r="ES13" s="634"/>
      <c r="ET13" s="634"/>
      <c r="EV13" s="634"/>
      <c r="EW13" s="634"/>
      <c r="EY13" s="634"/>
      <c r="EZ13" s="634"/>
      <c r="FA13" s="634"/>
      <c r="FB13" s="634"/>
      <c r="FC13" s="634"/>
      <c r="FD13" s="634"/>
      <c r="FE13" s="634"/>
      <c r="FF13" s="634"/>
      <c r="FG13" s="634"/>
      <c r="FH13" s="634"/>
      <c r="FI13" s="634"/>
      <c r="FJ13" s="634"/>
      <c r="FK13" s="634"/>
      <c r="FL13" s="634"/>
      <c r="FM13" s="634"/>
      <c r="FN13" s="634"/>
      <c r="FO13" s="634"/>
      <c r="FP13" s="634"/>
      <c r="FQ13" s="634"/>
      <c r="FS13" s="634"/>
      <c r="FT13" s="634"/>
      <c r="FU13" s="634"/>
      <c r="FV13" s="634"/>
      <c r="FW13" s="634"/>
      <c r="FX13" s="634"/>
      <c r="FY13" s="634"/>
      <c r="FZ13" s="634"/>
    </row>
    <row r="14" ht="24.95" customHeight="1" spans="1:182">
      <c r="A14" s="581"/>
      <c r="B14" s="577" t="s">
        <v>473</v>
      </c>
      <c r="C14" s="584"/>
      <c r="D14" s="583" t="s">
        <v>474</v>
      </c>
      <c r="E14" s="592">
        <f>E22</f>
        <v>10</v>
      </c>
      <c r="F14" s="577">
        <v>1.47</v>
      </c>
      <c r="G14" s="581"/>
      <c r="H14" s="584"/>
      <c r="I14" s="635" t="s">
        <v>475</v>
      </c>
      <c r="J14" s="635">
        <v>100</v>
      </c>
      <c r="K14" s="630"/>
      <c r="L14" s="630"/>
      <c r="M14" s="634"/>
      <c r="N14" s="634"/>
      <c r="O14" s="634"/>
      <c r="P14" s="634"/>
      <c r="Q14" s="634"/>
      <c r="R14" s="634"/>
      <c r="S14" s="634"/>
      <c r="T14" s="634"/>
      <c r="U14" s="634"/>
      <c r="V14" s="634"/>
      <c r="W14" s="634"/>
      <c r="X14" s="634"/>
      <c r="Y14" s="634"/>
      <c r="Z14" s="634"/>
      <c r="AA14" s="634"/>
      <c r="AB14" s="634"/>
      <c r="AC14" s="634"/>
      <c r="AD14" s="634"/>
      <c r="AE14" s="634"/>
      <c r="AF14" s="634"/>
      <c r="AG14" s="634"/>
      <c r="AI14" s="634"/>
      <c r="AJ14" s="634"/>
      <c r="AK14" s="634"/>
      <c r="AL14" s="634"/>
      <c r="AM14" s="634"/>
      <c r="AN14" s="634"/>
      <c r="AO14" s="634"/>
      <c r="AP14" s="634"/>
      <c r="AQ14" s="634"/>
      <c r="AR14" s="634"/>
      <c r="AS14" s="634"/>
      <c r="AT14" s="634"/>
      <c r="AU14" s="634"/>
      <c r="AV14" s="634"/>
      <c r="AX14" s="634"/>
      <c r="AY14" s="634"/>
      <c r="AZ14" s="634"/>
      <c r="BA14" s="634"/>
      <c r="BB14" s="634"/>
      <c r="BC14" s="634"/>
      <c r="BD14" s="634"/>
      <c r="BE14" s="634"/>
      <c r="BF14" s="634"/>
      <c r="BG14" s="634"/>
      <c r="BH14" s="634"/>
      <c r="BI14" s="634"/>
      <c r="BJ14" s="634"/>
      <c r="BK14" s="634"/>
      <c r="BL14" s="634"/>
      <c r="BM14" s="634"/>
      <c r="BN14" s="634"/>
      <c r="BO14" s="634"/>
      <c r="BP14" s="634"/>
      <c r="BQ14" s="634"/>
      <c r="BR14" s="634"/>
      <c r="BT14" s="634"/>
      <c r="BU14" s="634"/>
      <c r="BV14" s="634"/>
      <c r="BX14" s="634"/>
      <c r="BY14" s="634"/>
      <c r="BZ14" s="634"/>
      <c r="CB14" s="634"/>
      <c r="CC14" s="634"/>
      <c r="CD14" s="634"/>
      <c r="CF14" s="634"/>
      <c r="CG14" s="634"/>
      <c r="CH14" s="634"/>
      <c r="CJ14" s="634"/>
      <c r="CK14" s="634"/>
      <c r="CM14" s="634"/>
      <c r="CO14" s="634"/>
      <c r="CP14" s="634"/>
      <c r="CQ14" s="634"/>
      <c r="CS14" s="634"/>
      <c r="CT14" s="634"/>
      <c r="CU14" s="634"/>
      <c r="CW14" s="634"/>
      <c r="CX14" s="634"/>
      <c r="CY14" s="634"/>
      <c r="DA14" s="634"/>
      <c r="DB14" s="634"/>
      <c r="DC14" s="634"/>
      <c r="DD14" s="634"/>
      <c r="DE14" s="634"/>
      <c r="DF14" s="634"/>
      <c r="DH14" s="634"/>
      <c r="DI14" s="634"/>
      <c r="DJ14" s="634"/>
      <c r="DL14" s="634"/>
      <c r="DM14" s="634"/>
      <c r="DN14" s="634"/>
      <c r="DO14" s="634"/>
      <c r="DP14" s="634"/>
      <c r="DR14" s="634"/>
      <c r="DS14" s="634"/>
      <c r="DT14" s="634"/>
      <c r="DV14" s="634"/>
      <c r="DW14" s="634"/>
      <c r="DX14" s="634"/>
      <c r="DZ14" s="634"/>
      <c r="EA14" s="634"/>
      <c r="EB14" s="634"/>
      <c r="ED14" s="634"/>
      <c r="EE14" s="634"/>
      <c r="EF14" s="634"/>
      <c r="EH14" s="634"/>
      <c r="EI14" s="634"/>
      <c r="EJ14" s="634"/>
      <c r="EK14" s="634"/>
      <c r="EL14" s="634"/>
      <c r="EN14" s="634"/>
      <c r="EO14" s="634"/>
      <c r="EP14" s="634"/>
      <c r="ER14" s="634"/>
      <c r="ES14" s="634"/>
      <c r="ET14" s="634"/>
      <c r="EV14" s="634"/>
      <c r="EW14" s="634"/>
      <c r="EY14" s="634"/>
      <c r="EZ14" s="634"/>
      <c r="FA14" s="634"/>
      <c r="FB14" s="634"/>
      <c r="FC14" s="634"/>
      <c r="FD14" s="634"/>
      <c r="FE14" s="634"/>
      <c r="FF14" s="634"/>
      <c r="FG14" s="634"/>
      <c r="FH14" s="634"/>
      <c r="FI14" s="634"/>
      <c r="FJ14" s="634"/>
      <c r="FK14" s="634"/>
      <c r="FL14" s="634"/>
      <c r="FM14" s="634"/>
      <c r="FN14" s="634"/>
      <c r="FO14" s="634"/>
      <c r="FP14" s="634"/>
      <c r="FQ14" s="634"/>
      <c r="FS14" s="634"/>
      <c r="FT14" s="634"/>
      <c r="FU14" s="634"/>
      <c r="FV14" s="634"/>
      <c r="FW14" s="634"/>
      <c r="FX14" s="634"/>
      <c r="FY14" s="634"/>
      <c r="FZ14" s="634"/>
    </row>
    <row r="15" ht="24.95" customHeight="1" spans="1:182">
      <c r="A15" s="581"/>
      <c r="B15" s="577" t="s">
        <v>473</v>
      </c>
      <c r="C15" s="584"/>
      <c r="D15" s="583" t="s">
        <v>476</v>
      </c>
      <c r="E15" s="592">
        <f>E23</f>
        <v>7.6</v>
      </c>
      <c r="F15" s="577">
        <v>1.47</v>
      </c>
      <c r="G15" s="581"/>
      <c r="H15" s="584"/>
      <c r="I15" s="635" t="s">
        <v>477</v>
      </c>
      <c r="J15" s="635">
        <v>100</v>
      </c>
      <c r="K15" s="630"/>
      <c r="L15" s="630"/>
      <c r="M15" s="544"/>
      <c r="N15" s="544"/>
      <c r="O15" s="634"/>
      <c r="P15" s="634"/>
      <c r="Q15" s="634"/>
      <c r="R15" s="634"/>
      <c r="S15" s="634"/>
      <c r="T15" s="634"/>
      <c r="U15" s="634"/>
      <c r="V15" s="634"/>
      <c r="W15" s="634"/>
      <c r="X15" s="634"/>
      <c r="Y15" s="634"/>
      <c r="Z15" s="634"/>
      <c r="AA15" s="634"/>
      <c r="AB15" s="634"/>
      <c r="AC15" s="634"/>
      <c r="AD15" s="634"/>
      <c r="AE15" s="634"/>
      <c r="AF15" s="634"/>
      <c r="AG15" s="634"/>
      <c r="AI15" s="634"/>
      <c r="AJ15" s="634"/>
      <c r="AK15" s="634"/>
      <c r="AL15" s="634"/>
      <c r="AM15" s="634"/>
      <c r="AN15" s="634"/>
      <c r="AO15" s="634"/>
      <c r="AP15" s="634"/>
      <c r="AQ15" s="634"/>
      <c r="AR15" s="634"/>
      <c r="AS15" s="634"/>
      <c r="AT15" s="634"/>
      <c r="AU15" s="634"/>
      <c r="AV15" s="634"/>
      <c r="AX15" s="634"/>
      <c r="AY15" s="634"/>
      <c r="AZ15" s="634"/>
      <c r="BA15" s="634"/>
      <c r="BB15" s="634"/>
      <c r="BC15" s="634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T15" s="634"/>
      <c r="BU15" s="634"/>
      <c r="BV15" s="634"/>
      <c r="BX15" s="634"/>
      <c r="BY15" s="634"/>
      <c r="BZ15" s="634"/>
      <c r="CB15" s="634"/>
      <c r="CC15" s="634"/>
      <c r="CD15" s="634"/>
      <c r="CF15" s="634"/>
      <c r="CG15" s="634"/>
      <c r="CH15" s="634"/>
      <c r="CJ15" s="634"/>
      <c r="CK15" s="634"/>
      <c r="CM15" s="634"/>
      <c r="CO15" s="634"/>
      <c r="CP15" s="634"/>
      <c r="CQ15" s="634"/>
      <c r="CS15" s="634"/>
      <c r="CT15" s="634"/>
      <c r="CU15" s="634"/>
      <c r="CW15" s="634"/>
      <c r="CX15" s="634"/>
      <c r="CY15" s="634"/>
      <c r="DA15" s="634"/>
      <c r="DB15" s="634"/>
      <c r="DC15" s="634"/>
      <c r="DD15" s="634"/>
      <c r="DE15" s="634"/>
      <c r="DF15" s="634"/>
      <c r="DH15" s="634"/>
      <c r="DI15" s="634"/>
      <c r="DJ15" s="634"/>
      <c r="DL15" s="634"/>
      <c r="DM15" s="634"/>
      <c r="DN15" s="634"/>
      <c r="DO15" s="634"/>
      <c r="DP15" s="634"/>
      <c r="DR15" s="634"/>
      <c r="DS15" s="634"/>
      <c r="DT15" s="634"/>
      <c r="DV15" s="634"/>
      <c r="DW15" s="634"/>
      <c r="DX15" s="634"/>
      <c r="DZ15" s="634"/>
      <c r="EA15" s="634"/>
      <c r="EB15" s="634"/>
      <c r="ED15" s="634"/>
      <c r="EE15" s="634"/>
      <c r="EF15" s="634"/>
      <c r="EH15" s="634"/>
      <c r="EI15" s="634"/>
      <c r="EJ15" s="634"/>
      <c r="EK15" s="634"/>
      <c r="EL15" s="634"/>
      <c r="EN15" s="634"/>
      <c r="EO15" s="634"/>
      <c r="EP15" s="634"/>
      <c r="ER15" s="634"/>
      <c r="ES15" s="634"/>
      <c r="ET15" s="634"/>
      <c r="EV15" s="634"/>
      <c r="EW15" s="634"/>
      <c r="EY15" s="634"/>
      <c r="EZ15" s="634"/>
      <c r="FA15" s="634"/>
      <c r="FB15" s="634"/>
      <c r="FC15" s="634"/>
      <c r="FD15" s="634"/>
      <c r="FE15" s="634"/>
      <c r="FF15" s="634"/>
      <c r="FG15" s="634"/>
      <c r="FH15" s="634"/>
      <c r="FI15" s="634"/>
      <c r="FJ15" s="634"/>
      <c r="FK15" s="634"/>
      <c r="FL15" s="634"/>
      <c r="FM15" s="634"/>
      <c r="FN15" s="634"/>
      <c r="FO15" s="634"/>
      <c r="FP15" s="634"/>
      <c r="FQ15" s="634"/>
      <c r="FS15" s="634"/>
      <c r="FT15" s="634"/>
      <c r="FU15" s="634"/>
      <c r="FV15" s="634"/>
      <c r="FW15" s="634"/>
      <c r="FX15" s="634"/>
      <c r="FY15" s="634"/>
      <c r="FZ15" s="634"/>
    </row>
    <row r="16" ht="24.95" customHeight="1" spans="1:182">
      <c r="A16" s="581"/>
      <c r="B16" s="577"/>
      <c r="C16" s="584"/>
      <c r="D16" s="583"/>
      <c r="E16" s="593"/>
      <c r="F16" s="577"/>
      <c r="G16" s="581"/>
      <c r="H16" s="591"/>
      <c r="I16" s="577"/>
      <c r="J16" s="625"/>
      <c r="K16" s="630"/>
      <c r="L16" s="630"/>
      <c r="M16" s="544"/>
      <c r="N16" s="544"/>
      <c r="O16" s="634"/>
      <c r="P16" s="634"/>
      <c r="Q16" s="634"/>
      <c r="R16" s="634"/>
      <c r="S16" s="634"/>
      <c r="T16" s="634"/>
      <c r="U16" s="634"/>
      <c r="V16" s="634"/>
      <c r="W16" s="634"/>
      <c r="X16" s="634"/>
      <c r="Y16" s="634"/>
      <c r="Z16" s="634"/>
      <c r="AA16" s="634"/>
      <c r="AB16" s="634"/>
      <c r="AC16" s="634"/>
      <c r="AD16" s="634"/>
      <c r="AE16" s="634"/>
      <c r="AF16" s="634"/>
      <c r="AG16" s="634"/>
      <c r="AI16" s="634"/>
      <c r="AJ16" s="634"/>
      <c r="AK16" s="634"/>
      <c r="AL16" s="634"/>
      <c r="AM16" s="634"/>
      <c r="AN16" s="634"/>
      <c r="AO16" s="634"/>
      <c r="AP16" s="634"/>
      <c r="AQ16" s="634"/>
      <c r="AR16" s="634"/>
      <c r="AS16" s="634"/>
      <c r="AT16" s="634"/>
      <c r="AU16" s="634"/>
      <c r="AV16" s="634"/>
      <c r="AX16" s="634"/>
      <c r="AY16" s="634"/>
      <c r="AZ16" s="634"/>
      <c r="BA16" s="634"/>
      <c r="BB16" s="634"/>
      <c r="BC16" s="634"/>
      <c r="BD16" s="634"/>
      <c r="BE16" s="634"/>
      <c r="BF16" s="634"/>
      <c r="BG16" s="634"/>
      <c r="BH16" s="634"/>
      <c r="BI16" s="634"/>
      <c r="BJ16" s="634"/>
      <c r="BK16" s="634"/>
      <c r="BL16" s="634"/>
      <c r="BM16" s="634"/>
      <c r="BN16" s="634"/>
      <c r="BO16" s="634"/>
      <c r="BP16" s="634"/>
      <c r="BQ16" s="634"/>
      <c r="BR16" s="634"/>
      <c r="BT16" s="634"/>
      <c r="BU16" s="634"/>
      <c r="BV16" s="634"/>
      <c r="BX16" s="634"/>
      <c r="BY16" s="634"/>
      <c r="BZ16" s="634"/>
      <c r="CB16" s="634"/>
      <c r="CC16" s="634"/>
      <c r="CD16" s="634"/>
      <c r="CF16" s="634"/>
      <c r="CG16" s="634"/>
      <c r="CH16" s="634"/>
      <c r="CJ16" s="634"/>
      <c r="CK16" s="634"/>
      <c r="CM16" s="634"/>
      <c r="CO16" s="634"/>
      <c r="CP16" s="634"/>
      <c r="CQ16" s="634"/>
      <c r="CS16" s="634"/>
      <c r="CT16" s="634"/>
      <c r="CU16" s="634"/>
      <c r="CW16" s="634"/>
      <c r="CX16" s="634"/>
      <c r="CY16" s="634"/>
      <c r="DA16" s="634"/>
      <c r="DB16" s="634"/>
      <c r="DC16" s="634"/>
      <c r="DD16" s="634"/>
      <c r="DE16" s="634"/>
      <c r="DF16" s="634"/>
      <c r="DH16" s="634"/>
      <c r="DI16" s="634"/>
      <c r="DJ16" s="634"/>
      <c r="DL16" s="634"/>
      <c r="DM16" s="634"/>
      <c r="DN16" s="634"/>
      <c r="DO16" s="634"/>
      <c r="DP16" s="634"/>
      <c r="DR16" s="634"/>
      <c r="DS16" s="634"/>
      <c r="DT16" s="634"/>
      <c r="DV16" s="634"/>
      <c r="DW16" s="634"/>
      <c r="DX16" s="634"/>
      <c r="DZ16" s="634"/>
      <c r="EA16" s="634"/>
      <c r="EB16" s="634"/>
      <c r="ED16" s="634"/>
      <c r="EE16" s="634"/>
      <c r="EF16" s="634"/>
      <c r="EH16" s="634"/>
      <c r="EI16" s="634"/>
      <c r="EJ16" s="634"/>
      <c r="EK16" s="634"/>
      <c r="EL16" s="634"/>
      <c r="EN16" s="634"/>
      <c r="EO16" s="634"/>
      <c r="EP16" s="634"/>
      <c r="ER16" s="634"/>
      <c r="ES16" s="634"/>
      <c r="ET16" s="634"/>
      <c r="EV16" s="634"/>
      <c r="EW16" s="634"/>
      <c r="EY16" s="634"/>
      <c r="EZ16" s="634"/>
      <c r="FA16" s="634"/>
      <c r="FB16" s="634"/>
      <c r="FC16" s="634"/>
      <c r="FD16" s="634"/>
      <c r="FE16" s="634"/>
      <c r="FF16" s="634"/>
      <c r="FG16" s="634"/>
      <c r="FH16" s="634"/>
      <c r="FI16" s="634"/>
      <c r="FJ16" s="634"/>
      <c r="FK16" s="634"/>
      <c r="FL16" s="634"/>
      <c r="FM16" s="634"/>
      <c r="FN16" s="634"/>
      <c r="FO16" s="634"/>
      <c r="FP16" s="634"/>
      <c r="FQ16" s="634"/>
      <c r="FS16" s="634"/>
      <c r="FT16" s="634"/>
      <c r="FU16" s="634"/>
      <c r="FV16" s="634"/>
      <c r="FW16" s="634"/>
      <c r="FX16" s="634"/>
      <c r="FY16" s="634"/>
      <c r="FZ16" s="634"/>
    </row>
    <row r="17" ht="24.95" customHeight="1" spans="1:182">
      <c r="A17" s="581"/>
      <c r="B17" s="577"/>
      <c r="C17" s="584"/>
      <c r="D17" s="583"/>
      <c r="E17" s="593"/>
      <c r="F17" s="577"/>
      <c r="G17" s="581"/>
      <c r="H17" s="576"/>
      <c r="I17" s="576"/>
      <c r="J17" s="576"/>
      <c r="K17" s="630"/>
      <c r="L17" s="630"/>
      <c r="M17" s="544"/>
      <c r="N17" s="544"/>
      <c r="O17" s="634"/>
      <c r="P17" s="634"/>
      <c r="Q17" s="634"/>
      <c r="R17" s="634"/>
      <c r="S17" s="634"/>
      <c r="T17" s="634"/>
      <c r="U17" s="634"/>
      <c r="V17" s="634"/>
      <c r="W17" s="634"/>
      <c r="X17" s="634"/>
      <c r="Y17" s="634"/>
      <c r="Z17" s="634"/>
      <c r="AA17" s="634"/>
      <c r="AB17" s="634"/>
      <c r="AC17" s="634"/>
      <c r="AD17" s="634"/>
      <c r="AE17" s="634"/>
      <c r="AF17" s="634"/>
      <c r="AG17" s="634"/>
      <c r="AI17" s="634"/>
      <c r="AJ17" s="634"/>
      <c r="AK17" s="634"/>
      <c r="AL17" s="634"/>
      <c r="AM17" s="634"/>
      <c r="AN17" s="634"/>
      <c r="AO17" s="634"/>
      <c r="AP17" s="634"/>
      <c r="AQ17" s="634"/>
      <c r="AR17" s="634"/>
      <c r="AS17" s="634"/>
      <c r="AT17" s="634"/>
      <c r="AU17" s="634"/>
      <c r="AV17" s="634"/>
      <c r="AX17" s="634"/>
      <c r="AY17" s="634"/>
      <c r="AZ17" s="634"/>
      <c r="BA17" s="634"/>
      <c r="BB17" s="634"/>
      <c r="BC17" s="634"/>
      <c r="BD17" s="634"/>
      <c r="BE17" s="634"/>
      <c r="BF17" s="634"/>
      <c r="BG17" s="634"/>
      <c r="BH17" s="634"/>
      <c r="BI17" s="634"/>
      <c r="BJ17" s="634"/>
      <c r="BK17" s="634"/>
      <c r="BL17" s="634"/>
      <c r="BM17" s="634"/>
      <c r="BN17" s="634"/>
      <c r="BO17" s="634"/>
      <c r="BP17" s="634"/>
      <c r="BQ17" s="634"/>
      <c r="BR17" s="634"/>
      <c r="BT17" s="634"/>
      <c r="BU17" s="634"/>
      <c r="BV17" s="634"/>
      <c r="BX17" s="634"/>
      <c r="BY17" s="634"/>
      <c r="BZ17" s="634"/>
      <c r="CB17" s="634"/>
      <c r="CC17" s="634"/>
      <c r="CD17" s="634"/>
      <c r="CF17" s="634"/>
      <c r="CG17" s="634"/>
      <c r="CH17" s="634"/>
      <c r="CJ17" s="634"/>
      <c r="CK17" s="634"/>
      <c r="CM17" s="634"/>
      <c r="CO17" s="634"/>
      <c r="CP17" s="634"/>
      <c r="CQ17" s="634"/>
      <c r="CS17" s="634"/>
      <c r="CT17" s="634"/>
      <c r="CU17" s="634"/>
      <c r="CW17" s="634"/>
      <c r="CX17" s="634"/>
      <c r="CY17" s="634"/>
      <c r="DA17" s="634"/>
      <c r="DB17" s="634"/>
      <c r="DC17" s="634"/>
      <c r="DD17" s="634"/>
      <c r="DE17" s="634"/>
      <c r="DF17" s="634"/>
      <c r="DH17" s="634"/>
      <c r="DI17" s="634"/>
      <c r="DJ17" s="634"/>
      <c r="DL17" s="634"/>
      <c r="DM17" s="634"/>
      <c r="DN17" s="634"/>
      <c r="DO17" s="634"/>
      <c r="DP17" s="634"/>
      <c r="DR17" s="634"/>
      <c r="DS17" s="634"/>
      <c r="DT17" s="634"/>
      <c r="DV17" s="634"/>
      <c r="DW17" s="634"/>
      <c r="DX17" s="634"/>
      <c r="DZ17" s="634"/>
      <c r="EA17" s="634"/>
      <c r="EB17" s="634"/>
      <c r="ED17" s="634"/>
      <c r="EE17" s="634"/>
      <c r="EF17" s="634"/>
      <c r="EH17" s="634"/>
      <c r="EI17" s="634"/>
      <c r="EJ17" s="634"/>
      <c r="EK17" s="634"/>
      <c r="EL17" s="634"/>
      <c r="EN17" s="634"/>
      <c r="EO17" s="634"/>
      <c r="EP17" s="634"/>
      <c r="ER17" s="634"/>
      <c r="ES17" s="634"/>
      <c r="ET17" s="634"/>
      <c r="EV17" s="634"/>
      <c r="EW17" s="634"/>
      <c r="EY17" s="634"/>
      <c r="EZ17" s="634"/>
      <c r="FA17" s="634"/>
      <c r="FB17" s="634"/>
      <c r="FC17" s="634"/>
      <c r="FD17" s="634"/>
      <c r="FE17" s="634"/>
      <c r="FF17" s="634"/>
      <c r="FG17" s="634"/>
      <c r="FH17" s="634"/>
      <c r="FI17" s="634"/>
      <c r="FJ17" s="634"/>
      <c r="FK17" s="634"/>
      <c r="FL17" s="634"/>
      <c r="FM17" s="634"/>
      <c r="FN17" s="634"/>
      <c r="FO17" s="634"/>
      <c r="FP17" s="634"/>
      <c r="FQ17" s="634"/>
      <c r="FS17" s="634"/>
      <c r="FT17" s="634"/>
      <c r="FU17" s="634"/>
      <c r="FV17" s="634"/>
      <c r="FW17" s="634"/>
      <c r="FX17" s="634"/>
      <c r="FY17" s="634"/>
      <c r="FZ17" s="634"/>
    </row>
    <row r="18" ht="24.95" customHeight="1" spans="1:182">
      <c r="A18" s="581"/>
      <c r="B18" s="594"/>
      <c r="C18" s="584"/>
      <c r="D18" s="594"/>
      <c r="E18" s="594"/>
      <c r="F18" s="594"/>
      <c r="G18" s="581"/>
      <c r="H18" s="582" t="s">
        <v>478</v>
      </c>
      <c r="I18" s="577" t="s">
        <v>463</v>
      </c>
      <c r="J18" s="577">
        <v>0.995</v>
      </c>
      <c r="K18" s="630"/>
      <c r="L18" s="630"/>
      <c r="M18" s="544"/>
      <c r="N18" s="544"/>
      <c r="O18" s="634"/>
      <c r="P18" s="634"/>
      <c r="Q18" s="634"/>
      <c r="R18" s="634"/>
      <c r="S18" s="634"/>
      <c r="T18" s="634"/>
      <c r="U18" s="634"/>
      <c r="V18" s="634"/>
      <c r="W18" s="634"/>
      <c r="X18" s="634"/>
      <c r="Y18" s="634"/>
      <c r="Z18" s="634"/>
      <c r="AA18" s="634"/>
      <c r="AB18" s="634"/>
      <c r="AC18" s="634"/>
      <c r="AD18" s="634"/>
      <c r="AE18" s="634"/>
      <c r="AF18" s="634"/>
      <c r="AG18" s="634"/>
      <c r="AI18" s="634"/>
      <c r="AJ18" s="634"/>
      <c r="AK18" s="634"/>
      <c r="AL18" s="634"/>
      <c r="AM18" s="634"/>
      <c r="AN18" s="634"/>
      <c r="AO18" s="634"/>
      <c r="AP18" s="634"/>
      <c r="AQ18" s="634"/>
      <c r="AR18" s="634"/>
      <c r="AS18" s="634"/>
      <c r="AT18" s="634"/>
      <c r="AU18" s="634"/>
      <c r="AV18" s="634"/>
      <c r="AX18" s="634"/>
      <c r="AY18" s="634"/>
      <c r="AZ18" s="634"/>
      <c r="BA18" s="634"/>
      <c r="BB18" s="634"/>
      <c r="BC18" s="634"/>
      <c r="BD18" s="634"/>
      <c r="BE18" s="634"/>
      <c r="BF18" s="634"/>
      <c r="BG18" s="634"/>
      <c r="BH18" s="634"/>
      <c r="BI18" s="634"/>
      <c r="BJ18" s="634"/>
      <c r="BK18" s="634"/>
      <c r="BL18" s="634"/>
      <c r="BM18" s="634"/>
      <c r="BN18" s="634"/>
      <c r="BO18" s="634"/>
      <c r="BP18" s="634"/>
      <c r="BQ18" s="634"/>
      <c r="BR18" s="634"/>
      <c r="BT18" s="634"/>
      <c r="BU18" s="634"/>
      <c r="BV18" s="634"/>
      <c r="BX18" s="634"/>
      <c r="BY18" s="634"/>
      <c r="BZ18" s="634"/>
      <c r="CB18" s="634"/>
      <c r="CC18" s="634"/>
      <c r="CD18" s="634"/>
      <c r="CF18" s="634"/>
      <c r="CG18" s="634"/>
      <c r="CH18" s="634"/>
      <c r="CJ18" s="634"/>
      <c r="CK18" s="634"/>
      <c r="CM18" s="634"/>
      <c r="CO18" s="634"/>
      <c r="CP18" s="634"/>
      <c r="CQ18" s="634"/>
      <c r="CS18" s="634"/>
      <c r="CT18" s="634"/>
      <c r="CU18" s="634"/>
      <c r="CW18" s="634"/>
      <c r="CX18" s="634"/>
      <c r="CY18" s="634"/>
      <c r="DA18" s="634"/>
      <c r="DB18" s="634"/>
      <c r="DC18" s="634"/>
      <c r="DD18" s="634"/>
      <c r="DE18" s="634"/>
      <c r="DF18" s="634"/>
      <c r="DH18" s="634"/>
      <c r="DI18" s="634"/>
      <c r="DJ18" s="634"/>
      <c r="DL18" s="634"/>
      <c r="DM18" s="634"/>
      <c r="DN18" s="634"/>
      <c r="DO18" s="634"/>
      <c r="DP18" s="634"/>
      <c r="DR18" s="634"/>
      <c r="DS18" s="634"/>
      <c r="DT18" s="634"/>
      <c r="DV18" s="634"/>
      <c r="DW18" s="634"/>
      <c r="DX18" s="634"/>
      <c r="DZ18" s="634"/>
      <c r="EA18" s="634"/>
      <c r="EB18" s="634"/>
      <c r="ED18" s="634"/>
      <c r="EE18" s="634"/>
      <c r="EF18" s="634"/>
      <c r="EH18" s="634"/>
      <c r="EI18" s="634"/>
      <c r="EJ18" s="634"/>
      <c r="EK18" s="634"/>
      <c r="EL18" s="634"/>
      <c r="EN18" s="634"/>
      <c r="EO18" s="634"/>
      <c r="EP18" s="634"/>
      <c r="ER18" s="634"/>
      <c r="ES18" s="634"/>
      <c r="ET18" s="634"/>
      <c r="EV18" s="634"/>
      <c r="EW18" s="634"/>
      <c r="EY18" s="634"/>
      <c r="EZ18" s="634"/>
      <c r="FA18" s="634"/>
      <c r="FB18" s="634"/>
      <c r="FC18" s="634"/>
      <c r="FD18" s="634"/>
      <c r="FE18" s="634"/>
      <c r="FF18" s="634"/>
      <c r="FG18" s="634"/>
      <c r="FH18" s="634"/>
      <c r="FI18" s="634"/>
      <c r="FJ18" s="634"/>
      <c r="FK18" s="634"/>
      <c r="FL18" s="634"/>
      <c r="FM18" s="634"/>
      <c r="FN18" s="634"/>
      <c r="FO18" s="634"/>
      <c r="FP18" s="634"/>
      <c r="FQ18" s="634"/>
      <c r="FS18" s="634"/>
      <c r="FT18" s="634"/>
      <c r="FU18" s="634"/>
      <c r="FV18" s="634"/>
      <c r="FW18" s="634"/>
      <c r="FX18" s="634"/>
      <c r="FY18" s="634"/>
      <c r="FZ18" s="634"/>
    </row>
    <row r="19" ht="24.95" customHeight="1" spans="1:182">
      <c r="A19" s="581"/>
      <c r="B19" s="594"/>
      <c r="C19" s="591"/>
      <c r="D19" s="594"/>
      <c r="E19" s="594"/>
      <c r="F19" s="594"/>
      <c r="G19" s="581"/>
      <c r="H19" s="584"/>
      <c r="I19" s="577" t="s">
        <v>446</v>
      </c>
      <c r="J19" s="625">
        <v>0.05</v>
      </c>
      <c r="K19" s="630"/>
      <c r="L19" s="630"/>
      <c r="M19" s="544"/>
      <c r="N19" s="544"/>
      <c r="O19" s="634"/>
      <c r="P19" s="634"/>
      <c r="Q19" s="634"/>
      <c r="R19" s="634"/>
      <c r="S19" s="634"/>
      <c r="T19" s="634"/>
      <c r="U19" s="634"/>
      <c r="V19" s="634"/>
      <c r="W19" s="634"/>
      <c r="X19" s="634"/>
      <c r="Y19" s="634"/>
      <c r="Z19" s="634"/>
      <c r="AA19" s="634"/>
      <c r="AB19" s="634"/>
      <c r="AC19" s="634"/>
      <c r="AD19" s="634"/>
      <c r="AE19" s="634"/>
      <c r="AF19" s="634"/>
      <c r="AG19" s="634"/>
      <c r="AI19" s="634"/>
      <c r="AJ19" s="634"/>
      <c r="AK19" s="634"/>
      <c r="AL19" s="634"/>
      <c r="AM19" s="634"/>
      <c r="AN19" s="634"/>
      <c r="AO19" s="634"/>
      <c r="AP19" s="634"/>
      <c r="AQ19" s="634"/>
      <c r="AR19" s="634"/>
      <c r="AS19" s="634"/>
      <c r="AT19" s="634"/>
      <c r="AU19" s="634"/>
      <c r="AV19" s="634"/>
      <c r="AX19" s="634"/>
      <c r="AY19" s="634"/>
      <c r="AZ19" s="634"/>
      <c r="BA19" s="634"/>
      <c r="BB19" s="634"/>
      <c r="BC19" s="634"/>
      <c r="BD19" s="634"/>
      <c r="BE19" s="634"/>
      <c r="BF19" s="634"/>
      <c r="BG19" s="634"/>
      <c r="BH19" s="634"/>
      <c r="BI19" s="634"/>
      <c r="BJ19" s="634"/>
      <c r="BK19" s="634"/>
      <c r="BL19" s="634"/>
      <c r="BM19" s="634"/>
      <c r="BN19" s="634"/>
      <c r="BO19" s="634"/>
      <c r="BP19" s="634"/>
      <c r="BQ19" s="634"/>
      <c r="BR19" s="634"/>
      <c r="BT19" s="634"/>
      <c r="BU19" s="634"/>
      <c r="BV19" s="634"/>
      <c r="BX19" s="634"/>
      <c r="BY19" s="634"/>
      <c r="BZ19" s="634"/>
      <c r="CB19" s="634"/>
      <c r="CC19" s="634"/>
      <c r="CD19" s="634"/>
      <c r="CF19" s="634"/>
      <c r="CG19" s="634"/>
      <c r="CH19" s="634"/>
      <c r="CJ19" s="634"/>
      <c r="CK19" s="634"/>
      <c r="CM19" s="634"/>
      <c r="CO19" s="634"/>
      <c r="CP19" s="634"/>
      <c r="CQ19" s="634"/>
      <c r="CS19" s="634"/>
      <c r="CT19" s="634"/>
      <c r="CU19" s="634"/>
      <c r="CW19" s="634"/>
      <c r="CX19" s="634"/>
      <c r="CY19" s="634"/>
      <c r="DA19" s="634"/>
      <c r="DB19" s="634"/>
      <c r="DC19" s="634"/>
      <c r="DD19" s="634"/>
      <c r="DE19" s="634"/>
      <c r="DF19" s="634"/>
      <c r="DH19" s="634"/>
      <c r="DI19" s="634"/>
      <c r="DJ19" s="634"/>
      <c r="DL19" s="634"/>
      <c r="DM19" s="634"/>
      <c r="DN19" s="634"/>
      <c r="DO19" s="634"/>
      <c r="DP19" s="634"/>
      <c r="DR19" s="634"/>
      <c r="DS19" s="634"/>
      <c r="DT19" s="634"/>
      <c r="DV19" s="634"/>
      <c r="DW19" s="634"/>
      <c r="DX19" s="634"/>
      <c r="DZ19" s="634"/>
      <c r="EA19" s="634"/>
      <c r="EB19" s="634"/>
      <c r="ED19" s="634"/>
      <c r="EE19" s="634"/>
      <c r="EF19" s="634"/>
      <c r="EH19" s="634"/>
      <c r="EI19" s="634"/>
      <c r="EJ19" s="634"/>
      <c r="EK19" s="634"/>
      <c r="EL19" s="634"/>
      <c r="EN19" s="634"/>
      <c r="EO19" s="634"/>
      <c r="EP19" s="634"/>
      <c r="ER19" s="634"/>
      <c r="ES19" s="634"/>
      <c r="ET19" s="634"/>
      <c r="EV19" s="634"/>
      <c r="EW19" s="634"/>
      <c r="EY19" s="634"/>
      <c r="EZ19" s="634"/>
      <c r="FA19" s="634"/>
      <c r="FB19" s="634"/>
      <c r="FC19" s="634"/>
      <c r="FD19" s="634"/>
      <c r="FE19" s="634"/>
      <c r="FF19" s="634"/>
      <c r="FG19" s="634"/>
      <c r="FH19" s="634"/>
      <c r="FI19" s="634"/>
      <c r="FJ19" s="634"/>
      <c r="FK19" s="634"/>
      <c r="FL19" s="634"/>
      <c r="FM19" s="634"/>
      <c r="FN19" s="634"/>
      <c r="FO19" s="634"/>
      <c r="FP19" s="634"/>
      <c r="FQ19" s="634"/>
      <c r="FS19" s="634"/>
      <c r="FT19" s="634"/>
      <c r="FU19" s="634"/>
      <c r="FV19" s="634"/>
      <c r="FW19" s="634"/>
      <c r="FX19" s="634"/>
      <c r="FY19" s="634"/>
      <c r="FZ19" s="634"/>
    </row>
    <row r="20" ht="24.95" customHeight="1" spans="1:182">
      <c r="A20" s="581" t="s">
        <v>479</v>
      </c>
      <c r="B20" s="577" t="s">
        <v>480</v>
      </c>
      <c r="C20" s="595" t="s">
        <v>481</v>
      </c>
      <c r="D20" s="583" t="s">
        <v>482</v>
      </c>
      <c r="E20" s="594">
        <v>17</v>
      </c>
      <c r="F20" s="594">
        <v>1.45</v>
      </c>
      <c r="G20" s="581"/>
      <c r="H20" s="584"/>
      <c r="I20" s="577" t="s">
        <v>470</v>
      </c>
      <c r="J20" s="577">
        <v>0.995</v>
      </c>
      <c r="K20" s="630"/>
      <c r="L20" s="630"/>
      <c r="M20" s="544"/>
      <c r="N20" s="544"/>
      <c r="O20" s="634"/>
      <c r="P20" s="634"/>
      <c r="Q20" s="634"/>
      <c r="R20" s="634"/>
      <c r="S20" s="634"/>
      <c r="T20" s="634"/>
      <c r="U20" s="634"/>
      <c r="V20" s="634"/>
      <c r="W20" s="634"/>
      <c r="X20" s="634"/>
      <c r="Y20" s="634"/>
      <c r="Z20" s="634"/>
      <c r="AA20" s="634"/>
      <c r="AB20" s="634"/>
      <c r="AC20" s="634"/>
      <c r="AD20" s="634"/>
      <c r="AE20" s="634"/>
      <c r="AF20" s="634"/>
      <c r="AG20" s="634"/>
      <c r="AI20" s="634"/>
      <c r="AJ20" s="634"/>
      <c r="AK20" s="634"/>
      <c r="AL20" s="634"/>
      <c r="AM20" s="634"/>
      <c r="AN20" s="634"/>
      <c r="AO20" s="634"/>
      <c r="AP20" s="634"/>
      <c r="AQ20" s="634"/>
      <c r="AR20" s="634"/>
      <c r="AS20" s="634"/>
      <c r="AT20" s="634"/>
      <c r="AU20" s="634"/>
      <c r="AV20" s="634"/>
      <c r="AX20" s="634"/>
      <c r="AY20" s="634"/>
      <c r="AZ20" s="634"/>
      <c r="BA20" s="634"/>
      <c r="BB20" s="634"/>
      <c r="BC20" s="634"/>
      <c r="BD20" s="634"/>
      <c r="BE20" s="634"/>
      <c r="BF20" s="634"/>
      <c r="BG20" s="634"/>
      <c r="BH20" s="634"/>
      <c r="BI20" s="634"/>
      <c r="BJ20" s="634"/>
      <c r="BK20" s="634"/>
      <c r="BL20" s="634"/>
      <c r="BM20" s="634"/>
      <c r="BN20" s="634"/>
      <c r="BO20" s="634"/>
      <c r="BP20" s="634"/>
      <c r="BQ20" s="634"/>
      <c r="BR20" s="634"/>
      <c r="BT20" s="634"/>
      <c r="BU20" s="634"/>
      <c r="BV20" s="634"/>
      <c r="BX20" s="634"/>
      <c r="BY20" s="634"/>
      <c r="BZ20" s="634"/>
      <c r="CB20" s="634"/>
      <c r="CC20" s="634"/>
      <c r="CD20" s="634"/>
      <c r="CF20" s="634"/>
      <c r="CG20" s="634"/>
      <c r="CH20" s="634"/>
      <c r="CJ20" s="634"/>
      <c r="CK20" s="634"/>
      <c r="CM20" s="634"/>
      <c r="CO20" s="634"/>
      <c r="CP20" s="634"/>
      <c r="CQ20" s="634"/>
      <c r="CS20" s="634"/>
      <c r="CT20" s="634"/>
      <c r="CU20" s="634"/>
      <c r="CW20" s="634"/>
      <c r="CX20" s="634"/>
      <c r="CY20" s="634"/>
      <c r="DA20" s="634"/>
      <c r="DB20" s="634"/>
      <c r="DC20" s="634"/>
      <c r="DD20" s="634"/>
      <c r="DE20" s="634"/>
      <c r="DF20" s="634"/>
      <c r="DH20" s="634"/>
      <c r="DI20" s="634"/>
      <c r="DJ20" s="634"/>
      <c r="DL20" s="634"/>
      <c r="DM20" s="634"/>
      <c r="DN20" s="634"/>
      <c r="DO20" s="634"/>
      <c r="DP20" s="634"/>
      <c r="DR20" s="634"/>
      <c r="DS20" s="634"/>
      <c r="DT20" s="634"/>
      <c r="DV20" s="634"/>
      <c r="DW20" s="634"/>
      <c r="DX20" s="634"/>
      <c r="DZ20" s="634"/>
      <c r="EA20" s="634"/>
      <c r="EB20" s="634"/>
      <c r="ED20" s="634"/>
      <c r="EE20" s="634"/>
      <c r="EF20" s="634"/>
      <c r="EH20" s="634"/>
      <c r="EI20" s="634"/>
      <c r="EJ20" s="634"/>
      <c r="EK20" s="634"/>
      <c r="EL20" s="634"/>
      <c r="EN20" s="634"/>
      <c r="EO20" s="634"/>
      <c r="EP20" s="634"/>
      <c r="ER20" s="634"/>
      <c r="ES20" s="634"/>
      <c r="ET20" s="634"/>
      <c r="EV20" s="634"/>
      <c r="EW20" s="634"/>
      <c r="EY20" s="634"/>
      <c r="EZ20" s="634"/>
      <c r="FA20" s="634"/>
      <c r="FB20" s="634"/>
      <c r="FC20" s="634"/>
      <c r="FD20" s="634"/>
      <c r="FE20" s="634"/>
      <c r="FF20" s="634"/>
      <c r="FG20" s="634"/>
      <c r="FH20" s="634"/>
      <c r="FI20" s="634"/>
      <c r="FJ20" s="634"/>
      <c r="FK20" s="634"/>
      <c r="FL20" s="634"/>
      <c r="FM20" s="634"/>
      <c r="FN20" s="634"/>
      <c r="FO20" s="634"/>
      <c r="FP20" s="634"/>
      <c r="FQ20" s="634"/>
      <c r="FS20" s="634"/>
      <c r="FT20" s="634"/>
      <c r="FU20" s="634"/>
      <c r="FV20" s="634"/>
      <c r="FW20" s="634"/>
      <c r="FX20" s="634"/>
      <c r="FY20" s="634"/>
      <c r="FZ20" s="634"/>
    </row>
    <row r="21" ht="24.95" customHeight="1" spans="1:182">
      <c r="A21" s="581" t="s">
        <v>483</v>
      </c>
      <c r="B21" s="577" t="s">
        <v>480</v>
      </c>
      <c r="C21" s="595"/>
      <c r="D21" s="583" t="s">
        <v>484</v>
      </c>
      <c r="E21" s="596">
        <f>E20</f>
        <v>17</v>
      </c>
      <c r="F21" s="594">
        <v>1.45</v>
      </c>
      <c r="G21" s="581"/>
      <c r="H21" s="584"/>
      <c r="I21" s="577" t="s">
        <v>450</v>
      </c>
      <c r="J21" s="625">
        <v>0</v>
      </c>
      <c r="K21" s="630"/>
      <c r="L21" s="630"/>
      <c r="M21" s="544"/>
      <c r="N21" s="544"/>
      <c r="O21" s="634"/>
      <c r="P21" s="634"/>
      <c r="Q21" s="634"/>
      <c r="R21" s="634"/>
      <c r="S21" s="634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34"/>
      <c r="AF21" s="634"/>
      <c r="AG21" s="634"/>
      <c r="AI21" s="634"/>
      <c r="AJ21" s="634"/>
      <c r="AK21" s="634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X21" s="634"/>
      <c r="AY21" s="634"/>
      <c r="AZ21" s="634"/>
      <c r="BA21" s="634"/>
      <c r="BB21" s="634"/>
      <c r="BC21" s="634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T21" s="634"/>
      <c r="BU21" s="634"/>
      <c r="BV21" s="634"/>
      <c r="BX21" s="634"/>
      <c r="BY21" s="634"/>
      <c r="BZ21" s="634"/>
      <c r="CB21" s="634"/>
      <c r="CC21" s="634"/>
      <c r="CD21" s="634"/>
      <c r="CF21" s="634"/>
      <c r="CG21" s="634"/>
      <c r="CH21" s="634"/>
      <c r="CJ21" s="634"/>
      <c r="CK21" s="634"/>
      <c r="CM21" s="634"/>
      <c r="CO21" s="634"/>
      <c r="CP21" s="634"/>
      <c r="CQ21" s="634"/>
      <c r="CS21" s="634"/>
      <c r="CT21" s="634"/>
      <c r="CU21" s="634"/>
      <c r="CW21" s="634"/>
      <c r="CX21" s="634"/>
      <c r="CY21" s="634"/>
      <c r="DA21" s="634"/>
      <c r="DB21" s="634"/>
      <c r="DC21" s="634"/>
      <c r="DD21" s="634"/>
      <c r="DE21" s="634"/>
      <c r="DF21" s="634"/>
      <c r="DH21" s="634"/>
      <c r="DI21" s="634"/>
      <c r="DJ21" s="634"/>
      <c r="DL21" s="634"/>
      <c r="DM21" s="634"/>
      <c r="DN21" s="634"/>
      <c r="DO21" s="634"/>
      <c r="DP21" s="634"/>
      <c r="DR21" s="634"/>
      <c r="DS21" s="634"/>
      <c r="DT21" s="634"/>
      <c r="DV21" s="634"/>
      <c r="DW21" s="634"/>
      <c r="DX21" s="634"/>
      <c r="DZ21" s="634"/>
      <c r="EA21" s="634"/>
      <c r="EB21" s="634"/>
      <c r="ED21" s="634"/>
      <c r="EE21" s="634"/>
      <c r="EF21" s="634"/>
      <c r="EH21" s="634"/>
      <c r="EI21" s="634"/>
      <c r="EJ21" s="634"/>
      <c r="EK21" s="634"/>
      <c r="EL21" s="634"/>
      <c r="EN21" s="634"/>
      <c r="EO21" s="634"/>
      <c r="EP21" s="634"/>
      <c r="ER21" s="634"/>
      <c r="ES21" s="634"/>
      <c r="ET21" s="634"/>
      <c r="EV21" s="634"/>
      <c r="EW21" s="634"/>
      <c r="EY21" s="634"/>
      <c r="EZ21" s="634"/>
      <c r="FA21" s="634"/>
      <c r="FB21" s="634"/>
      <c r="FC21" s="634"/>
      <c r="FD21" s="634"/>
      <c r="FE21" s="634"/>
      <c r="FF21" s="634"/>
      <c r="FG21" s="634"/>
      <c r="FH21" s="634"/>
      <c r="FI21" s="634"/>
      <c r="FJ21" s="634"/>
      <c r="FK21" s="634"/>
      <c r="FL21" s="634"/>
      <c r="FM21" s="634"/>
      <c r="FN21" s="634"/>
      <c r="FO21" s="634"/>
      <c r="FP21" s="634"/>
      <c r="FQ21" s="634"/>
      <c r="FS21" s="634"/>
      <c r="FT21" s="634"/>
      <c r="FU21" s="634"/>
      <c r="FV21" s="634"/>
      <c r="FW21" s="634"/>
      <c r="FX21" s="634"/>
      <c r="FY21" s="634"/>
      <c r="FZ21" s="634"/>
    </row>
    <row r="22" ht="24.95" customHeight="1" spans="1:182">
      <c r="A22" s="581" t="s">
        <v>483</v>
      </c>
      <c r="B22" s="577" t="s">
        <v>485</v>
      </c>
      <c r="C22" s="595"/>
      <c r="D22" s="583" t="s">
        <v>486</v>
      </c>
      <c r="E22" s="577">
        <v>10</v>
      </c>
      <c r="F22" s="577">
        <v>1.47</v>
      </c>
      <c r="G22" s="581"/>
      <c r="H22" s="584"/>
      <c r="I22" s="635" t="s">
        <v>475</v>
      </c>
      <c r="J22" s="635">
        <v>100</v>
      </c>
      <c r="K22" s="630"/>
      <c r="L22" s="630"/>
      <c r="M22" s="544"/>
      <c r="N22" s="544"/>
      <c r="O22" s="634"/>
      <c r="P22" s="634"/>
      <c r="Q22" s="634"/>
      <c r="R22" s="634"/>
      <c r="S22" s="634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I22" s="634"/>
      <c r="AJ22" s="634"/>
      <c r="AK22" s="634"/>
      <c r="AL22" s="634"/>
      <c r="AM22" s="634"/>
      <c r="AN22" s="634"/>
      <c r="AO22" s="634"/>
      <c r="AP22" s="634"/>
      <c r="AQ22" s="634"/>
      <c r="AR22" s="634"/>
      <c r="AS22" s="634"/>
      <c r="AT22" s="634"/>
      <c r="AU22" s="634"/>
      <c r="AV22" s="634"/>
      <c r="AX22" s="634"/>
      <c r="AY22" s="634"/>
      <c r="AZ22" s="634"/>
      <c r="BA22" s="634"/>
      <c r="BB22" s="634"/>
      <c r="BC22" s="634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T22" s="634"/>
      <c r="BU22" s="634"/>
      <c r="BV22" s="634"/>
      <c r="BX22" s="634"/>
      <c r="BY22" s="634"/>
      <c r="BZ22" s="634"/>
      <c r="CB22" s="634"/>
      <c r="CC22" s="634"/>
      <c r="CD22" s="634"/>
      <c r="CF22" s="634"/>
      <c r="CG22" s="634"/>
      <c r="CH22" s="634"/>
      <c r="CJ22" s="634"/>
      <c r="CK22" s="634"/>
      <c r="CM22" s="634"/>
      <c r="CO22" s="634"/>
      <c r="CP22" s="634"/>
      <c r="CQ22" s="634"/>
      <c r="CS22" s="634"/>
      <c r="CT22" s="634"/>
      <c r="CU22" s="634"/>
      <c r="CW22" s="634"/>
      <c r="CX22" s="634"/>
      <c r="CY22" s="634"/>
      <c r="DA22" s="634"/>
      <c r="DB22" s="634"/>
      <c r="DC22" s="634"/>
      <c r="DD22" s="634"/>
      <c r="DE22" s="634"/>
      <c r="DF22" s="634"/>
      <c r="DH22" s="634"/>
      <c r="DI22" s="634"/>
      <c r="DJ22" s="634"/>
      <c r="DL22" s="634"/>
      <c r="DM22" s="634"/>
      <c r="DN22" s="634"/>
      <c r="DO22" s="634"/>
      <c r="DP22" s="634"/>
      <c r="DR22" s="634"/>
      <c r="DS22" s="634"/>
      <c r="DT22" s="634"/>
      <c r="DV22" s="634"/>
      <c r="DW22" s="634"/>
      <c r="DX22" s="634"/>
      <c r="DZ22" s="634"/>
      <c r="EA22" s="634"/>
      <c r="EB22" s="634"/>
      <c r="ED22" s="634"/>
      <c r="EE22" s="634"/>
      <c r="EF22" s="634"/>
      <c r="EH22" s="634"/>
      <c r="EI22" s="634"/>
      <c r="EJ22" s="634"/>
      <c r="EK22" s="634"/>
      <c r="EL22" s="634"/>
      <c r="EN22" s="634"/>
      <c r="EO22" s="634"/>
      <c r="EP22" s="634"/>
      <c r="ER22" s="634"/>
      <c r="ES22" s="634"/>
      <c r="ET22" s="634"/>
      <c r="EV22" s="634"/>
      <c r="EW22" s="634"/>
      <c r="EY22" s="634"/>
      <c r="EZ22" s="634"/>
      <c r="FA22" s="634"/>
      <c r="FB22" s="634"/>
      <c r="FC22" s="634"/>
      <c r="FD22" s="634"/>
      <c r="FE22" s="634"/>
      <c r="FF22" s="634"/>
      <c r="FG22" s="634"/>
      <c r="FH22" s="634"/>
      <c r="FI22" s="634"/>
      <c r="FJ22" s="634"/>
      <c r="FK22" s="634"/>
      <c r="FL22" s="634"/>
      <c r="FM22" s="634"/>
      <c r="FN22" s="634"/>
      <c r="FO22" s="634"/>
      <c r="FP22" s="634"/>
      <c r="FQ22" s="634"/>
      <c r="FS22" s="634"/>
      <c r="FT22" s="634"/>
      <c r="FU22" s="634"/>
      <c r="FV22" s="634"/>
      <c r="FW22" s="634"/>
      <c r="FX22" s="634"/>
      <c r="FY22" s="634"/>
      <c r="FZ22" s="634"/>
    </row>
    <row r="23" ht="24.95" customHeight="1" spans="1:182">
      <c r="A23" s="581" t="s">
        <v>479</v>
      </c>
      <c r="B23" s="577" t="s">
        <v>487</v>
      </c>
      <c r="C23" s="595"/>
      <c r="D23" s="583" t="s">
        <v>488</v>
      </c>
      <c r="E23" s="586">
        <f>E22-2.4</f>
        <v>7.6</v>
      </c>
      <c r="F23" s="577">
        <v>1.47</v>
      </c>
      <c r="G23" s="581"/>
      <c r="H23" s="584"/>
      <c r="I23" s="635" t="s">
        <v>477</v>
      </c>
      <c r="J23" s="635">
        <v>100</v>
      </c>
      <c r="K23" s="630"/>
      <c r="L23" s="630"/>
      <c r="M23" s="544"/>
      <c r="N23" s="544"/>
      <c r="O23" s="544"/>
      <c r="P23" s="544"/>
      <c r="Q23" s="544"/>
      <c r="S23" s="634"/>
      <c r="T23" s="634"/>
      <c r="U23" s="634"/>
      <c r="V23" s="634"/>
      <c r="W23" s="634"/>
      <c r="X23" s="634"/>
      <c r="Y23" s="634"/>
      <c r="Z23" s="634"/>
      <c r="AA23" s="634"/>
      <c r="AB23" s="634"/>
      <c r="AC23" s="634"/>
      <c r="AD23" s="634"/>
      <c r="AE23" s="634"/>
      <c r="AF23" s="634"/>
      <c r="AG23" s="634"/>
      <c r="AI23" s="634"/>
      <c r="AJ23" s="634"/>
      <c r="AK23" s="634"/>
      <c r="AL23" s="634"/>
      <c r="AM23" s="634"/>
      <c r="AN23" s="634"/>
      <c r="AO23" s="634"/>
      <c r="AP23" s="634"/>
      <c r="AQ23" s="634"/>
      <c r="AR23" s="634"/>
      <c r="AS23" s="634"/>
      <c r="AT23" s="634"/>
      <c r="AU23" s="634"/>
      <c r="AV23" s="634"/>
      <c r="AX23" s="634"/>
      <c r="AY23" s="634"/>
      <c r="AZ23" s="634"/>
      <c r="BA23" s="634"/>
      <c r="BB23" s="634"/>
      <c r="BC23" s="634"/>
      <c r="BD23" s="634"/>
      <c r="BE23" s="634"/>
      <c r="BF23" s="634"/>
      <c r="BG23" s="634"/>
      <c r="BH23" s="634"/>
      <c r="BI23" s="634"/>
      <c r="BJ23" s="634"/>
      <c r="BK23" s="634"/>
      <c r="BL23" s="634"/>
      <c r="BM23" s="634"/>
      <c r="BN23" s="634"/>
      <c r="BO23" s="634"/>
      <c r="BP23" s="634"/>
      <c r="BQ23" s="634"/>
      <c r="BR23" s="634"/>
      <c r="BT23" s="634"/>
      <c r="BU23" s="634"/>
      <c r="BV23" s="634"/>
      <c r="BX23" s="634"/>
      <c r="BY23" s="634"/>
      <c r="BZ23" s="634"/>
      <c r="CB23" s="634"/>
      <c r="CC23" s="634"/>
      <c r="CD23" s="634"/>
      <c r="CF23" s="634"/>
      <c r="CG23" s="634"/>
      <c r="CH23" s="634"/>
      <c r="CJ23" s="634"/>
      <c r="CK23" s="634"/>
      <c r="CM23" s="634"/>
      <c r="CO23" s="634"/>
      <c r="CP23" s="634"/>
      <c r="CQ23" s="634"/>
      <c r="CS23" s="634"/>
      <c r="CT23" s="634"/>
      <c r="CU23" s="634"/>
      <c r="CW23" s="634"/>
      <c r="CX23" s="634"/>
      <c r="CY23" s="634"/>
      <c r="DA23" s="634"/>
      <c r="DB23" s="634"/>
      <c r="DC23" s="634"/>
      <c r="DD23" s="634"/>
      <c r="DE23" s="634"/>
      <c r="DF23" s="634"/>
      <c r="DH23" s="634"/>
      <c r="DI23" s="634"/>
      <c r="DJ23" s="634"/>
      <c r="DL23" s="634"/>
      <c r="DM23" s="634"/>
      <c r="DN23" s="634"/>
      <c r="DO23" s="634"/>
      <c r="DP23" s="634"/>
      <c r="DR23" s="634"/>
      <c r="DS23" s="634"/>
      <c r="DT23" s="634"/>
      <c r="DV23" s="634"/>
      <c r="DW23" s="634"/>
      <c r="DX23" s="634"/>
      <c r="DZ23" s="634"/>
      <c r="EA23" s="634"/>
      <c r="EB23" s="634"/>
      <c r="ED23" s="634"/>
      <c r="EE23" s="634"/>
      <c r="EF23" s="634"/>
      <c r="EH23" s="634"/>
      <c r="EI23" s="634"/>
      <c r="EJ23" s="634"/>
      <c r="EK23" s="634"/>
      <c r="EL23" s="634"/>
      <c r="EN23" s="634"/>
      <c r="EO23" s="634"/>
      <c r="EP23" s="634"/>
      <c r="ER23" s="634"/>
      <c r="ES23" s="634"/>
      <c r="ET23" s="634"/>
      <c r="EV23" s="634"/>
      <c r="EW23" s="634"/>
      <c r="EY23" s="634"/>
      <c r="EZ23" s="634"/>
      <c r="FA23" s="634"/>
      <c r="FB23" s="634"/>
      <c r="FC23" s="634"/>
      <c r="FD23" s="634"/>
      <c r="FE23" s="634"/>
      <c r="FF23" s="634"/>
      <c r="FG23" s="634"/>
      <c r="FH23" s="634"/>
      <c r="FI23" s="634"/>
      <c r="FJ23" s="634"/>
      <c r="FK23" s="634"/>
      <c r="FL23" s="634"/>
      <c r="FM23" s="634"/>
      <c r="FN23" s="634"/>
      <c r="FO23" s="634"/>
      <c r="FP23" s="634"/>
      <c r="FQ23" s="634"/>
      <c r="FS23" s="634"/>
      <c r="FT23" s="634"/>
      <c r="FU23" s="634"/>
      <c r="FV23" s="634"/>
      <c r="FW23" s="634"/>
      <c r="FX23" s="634"/>
      <c r="FY23" s="634"/>
      <c r="FZ23" s="634"/>
    </row>
    <row r="24" ht="24.95" customHeight="1" spans="1:182">
      <c r="A24" s="581" t="s">
        <v>479</v>
      </c>
      <c r="B24" s="577" t="s">
        <v>487</v>
      </c>
      <c r="C24" s="595"/>
      <c r="D24" s="583" t="s">
        <v>489</v>
      </c>
      <c r="E24" s="586">
        <f>E22+1</f>
        <v>11</v>
      </c>
      <c r="F24" s="577">
        <v>1.47</v>
      </c>
      <c r="G24" s="581"/>
      <c r="H24" s="591"/>
      <c r="I24" s="577"/>
      <c r="J24" s="625"/>
      <c r="K24" s="630"/>
      <c r="L24" s="630"/>
      <c r="M24" s="544"/>
      <c r="N24" s="544"/>
      <c r="O24" s="544"/>
      <c r="P24" s="544"/>
      <c r="Q24" s="544"/>
      <c r="S24" s="634"/>
      <c r="T24" s="634"/>
      <c r="U24" s="634"/>
      <c r="V24" s="634"/>
      <c r="W24" s="634"/>
      <c r="X24" s="634"/>
      <c r="Y24" s="634"/>
      <c r="Z24" s="634"/>
      <c r="AA24" s="634"/>
      <c r="AB24" s="634"/>
      <c r="AC24" s="634"/>
      <c r="AD24" s="634"/>
      <c r="AE24" s="634"/>
      <c r="AF24" s="634"/>
      <c r="AG24" s="634"/>
      <c r="AI24" s="634"/>
      <c r="AJ24" s="634"/>
      <c r="AK24" s="634"/>
      <c r="AL24" s="634"/>
      <c r="AM24" s="634"/>
      <c r="AN24" s="634"/>
      <c r="AO24" s="634"/>
      <c r="AP24" s="634"/>
      <c r="AQ24" s="634"/>
      <c r="AR24" s="634"/>
      <c r="AS24" s="634"/>
      <c r="AT24" s="634"/>
      <c r="AU24" s="634"/>
      <c r="AV24" s="634"/>
      <c r="AX24" s="634"/>
      <c r="AY24" s="634"/>
      <c r="AZ24" s="634"/>
      <c r="BA24" s="634"/>
      <c r="BB24" s="634"/>
      <c r="BC24" s="634"/>
      <c r="BD24" s="634"/>
      <c r="BE24" s="634"/>
      <c r="BF24" s="634"/>
      <c r="BG24" s="634"/>
      <c r="BH24" s="634"/>
      <c r="BI24" s="634"/>
      <c r="BJ24" s="634"/>
      <c r="BK24" s="634"/>
      <c r="BL24" s="634"/>
      <c r="BM24" s="634"/>
      <c r="BN24" s="634"/>
      <c r="BO24" s="634"/>
      <c r="BP24" s="634"/>
      <c r="BQ24" s="634"/>
      <c r="BR24" s="634"/>
      <c r="BT24" s="634"/>
      <c r="BU24" s="634"/>
      <c r="BV24" s="634"/>
      <c r="BX24" s="634"/>
      <c r="BY24" s="634"/>
      <c r="BZ24" s="634"/>
      <c r="CB24" s="634"/>
      <c r="CC24" s="634"/>
      <c r="CD24" s="634"/>
      <c r="CF24" s="634"/>
      <c r="CG24" s="634"/>
      <c r="CH24" s="634"/>
      <c r="CJ24" s="634"/>
      <c r="CK24" s="634"/>
      <c r="CM24" s="634"/>
      <c r="CO24" s="634"/>
      <c r="CP24" s="634"/>
      <c r="CQ24" s="634"/>
      <c r="CS24" s="634"/>
      <c r="CT24" s="634"/>
      <c r="CU24" s="634"/>
      <c r="CW24" s="634"/>
      <c r="CX24" s="634"/>
      <c r="CY24" s="634"/>
      <c r="DA24" s="634"/>
      <c r="DB24" s="634"/>
      <c r="DC24" s="634"/>
      <c r="DD24" s="634"/>
      <c r="DE24" s="634"/>
      <c r="DF24" s="634"/>
      <c r="DH24" s="634"/>
      <c r="DI24" s="634"/>
      <c r="DJ24" s="634"/>
      <c r="DL24" s="634"/>
      <c r="DM24" s="634"/>
      <c r="DN24" s="634"/>
      <c r="DO24" s="634"/>
      <c r="DP24" s="634"/>
      <c r="DR24" s="634"/>
      <c r="DS24" s="634"/>
      <c r="DT24" s="634"/>
      <c r="DV24" s="634"/>
      <c r="DW24" s="634"/>
      <c r="DX24" s="634"/>
      <c r="DZ24" s="634"/>
      <c r="EA24" s="634"/>
      <c r="EB24" s="634"/>
      <c r="ED24" s="634"/>
      <c r="EE24" s="634"/>
      <c r="EF24" s="634"/>
      <c r="EH24" s="634"/>
      <c r="EI24" s="634"/>
      <c r="EJ24" s="634"/>
      <c r="EK24" s="634"/>
      <c r="EL24" s="634"/>
      <c r="EN24" s="634"/>
      <c r="EO24" s="634"/>
      <c r="EP24" s="634"/>
      <c r="ER24" s="634"/>
      <c r="ES24" s="634"/>
      <c r="ET24" s="634"/>
      <c r="EV24" s="634"/>
      <c r="EW24" s="634"/>
      <c r="EY24" s="634"/>
      <c r="EZ24" s="634"/>
      <c r="FA24" s="634"/>
      <c r="FB24" s="634"/>
      <c r="FC24" s="634"/>
      <c r="FD24" s="634"/>
      <c r="FE24" s="634"/>
      <c r="FF24" s="634"/>
      <c r="FG24" s="634"/>
      <c r="FH24" s="634"/>
      <c r="FI24" s="634"/>
      <c r="FJ24" s="634"/>
      <c r="FK24" s="634"/>
      <c r="FL24" s="634"/>
      <c r="FM24" s="634"/>
      <c r="FN24" s="634"/>
      <c r="FO24" s="634"/>
      <c r="FP24" s="634"/>
      <c r="FQ24" s="634"/>
      <c r="FS24" s="634"/>
      <c r="FT24" s="634"/>
      <c r="FU24" s="634"/>
      <c r="FV24" s="634"/>
      <c r="FW24" s="634"/>
      <c r="FX24" s="634"/>
      <c r="FY24" s="634"/>
      <c r="FZ24" s="634"/>
    </row>
    <row r="25" ht="24.95" customHeight="1" spans="1:182">
      <c r="A25" s="581" t="s">
        <v>483</v>
      </c>
      <c r="B25" s="577" t="s">
        <v>487</v>
      </c>
      <c r="C25" s="595"/>
      <c r="D25" s="583" t="s">
        <v>490</v>
      </c>
      <c r="E25" s="586">
        <f>E26</f>
        <v>10.4</v>
      </c>
      <c r="F25" s="577">
        <v>3.5</v>
      </c>
      <c r="G25" s="581"/>
      <c r="H25" s="576"/>
      <c r="I25" s="576"/>
      <c r="J25" s="576"/>
      <c r="K25" s="630"/>
      <c r="L25" s="630"/>
      <c r="M25" s="544"/>
      <c r="N25" s="544"/>
      <c r="O25" s="634"/>
      <c r="P25" s="634"/>
      <c r="Q25" s="634"/>
      <c r="R25" s="634"/>
      <c r="S25" s="634"/>
      <c r="T25" s="634"/>
      <c r="U25" s="634"/>
      <c r="V25" s="634"/>
      <c r="W25" s="634"/>
      <c r="X25" s="634"/>
      <c r="Y25" s="634"/>
      <c r="Z25" s="634"/>
      <c r="AA25" s="634"/>
      <c r="AB25" s="634"/>
      <c r="AC25" s="634"/>
      <c r="AD25" s="634"/>
      <c r="AE25" s="634"/>
      <c r="AF25" s="634"/>
      <c r="AG25" s="634"/>
      <c r="AI25" s="634"/>
      <c r="AJ25" s="634"/>
      <c r="AK25" s="634"/>
      <c r="AL25" s="634"/>
      <c r="AM25" s="634"/>
      <c r="AN25" s="634"/>
      <c r="AO25" s="634"/>
      <c r="AP25" s="634"/>
      <c r="AQ25" s="634"/>
      <c r="AR25" s="634"/>
      <c r="AS25" s="634"/>
      <c r="AT25" s="634"/>
      <c r="AU25" s="634"/>
      <c r="AV25" s="634"/>
      <c r="AX25" s="634"/>
      <c r="AY25" s="634"/>
      <c r="AZ25" s="634"/>
      <c r="BA25" s="634"/>
      <c r="BB25" s="634"/>
      <c r="BC25" s="634"/>
      <c r="BD25" s="634"/>
      <c r="BE25" s="634"/>
      <c r="BF25" s="634"/>
      <c r="BG25" s="634"/>
      <c r="BH25" s="634"/>
      <c r="BI25" s="634"/>
      <c r="BJ25" s="634"/>
      <c r="BK25" s="634"/>
      <c r="BL25" s="634"/>
      <c r="BM25" s="634"/>
      <c r="BN25" s="634"/>
      <c r="BO25" s="634"/>
      <c r="BP25" s="634"/>
      <c r="BQ25" s="634"/>
      <c r="BR25" s="634"/>
      <c r="BT25" s="634"/>
      <c r="BU25" s="634"/>
      <c r="BV25" s="634"/>
      <c r="BX25" s="634"/>
      <c r="BY25" s="634"/>
      <c r="BZ25" s="634"/>
      <c r="CB25" s="634"/>
      <c r="CC25" s="634"/>
      <c r="CD25" s="634"/>
      <c r="CF25" s="634"/>
      <c r="CG25" s="634"/>
      <c r="CH25" s="634"/>
      <c r="CJ25" s="634"/>
      <c r="CK25" s="634"/>
      <c r="CM25" s="634"/>
      <c r="CO25" s="634"/>
      <c r="CP25" s="634"/>
      <c r="CQ25" s="634"/>
      <c r="CS25" s="634"/>
      <c r="CT25" s="634"/>
      <c r="CU25" s="634"/>
      <c r="CW25" s="634"/>
      <c r="CX25" s="634"/>
      <c r="CY25" s="634"/>
      <c r="DA25" s="634"/>
      <c r="DB25" s="634"/>
      <c r="DC25" s="634"/>
      <c r="DD25" s="634"/>
      <c r="DE25" s="634"/>
      <c r="DF25" s="634"/>
      <c r="DH25" s="634"/>
      <c r="DI25" s="634"/>
      <c r="DJ25" s="634"/>
      <c r="DL25" s="634"/>
      <c r="DM25" s="634"/>
      <c r="DN25" s="634"/>
      <c r="DO25" s="634"/>
      <c r="DP25" s="634"/>
      <c r="DR25" s="634"/>
      <c r="DS25" s="634"/>
      <c r="DT25" s="634"/>
      <c r="DV25" s="634"/>
      <c r="DW25" s="634"/>
      <c r="DX25" s="634"/>
      <c r="DZ25" s="634"/>
      <c r="EA25" s="634"/>
      <c r="EB25" s="634"/>
      <c r="ED25" s="634"/>
      <c r="EE25" s="634"/>
      <c r="EF25" s="634"/>
      <c r="EH25" s="634"/>
      <c r="EI25" s="634"/>
      <c r="EJ25" s="634"/>
      <c r="EK25" s="634"/>
      <c r="EL25" s="634"/>
      <c r="EN25" s="634"/>
      <c r="EO25" s="634"/>
      <c r="EP25" s="634"/>
      <c r="ER25" s="634"/>
      <c r="ES25" s="634"/>
      <c r="ET25" s="634"/>
      <c r="EV25" s="634"/>
      <c r="EW25" s="634"/>
      <c r="EY25" s="634"/>
      <c r="EZ25" s="634"/>
      <c r="FA25" s="634"/>
      <c r="FB25" s="634"/>
      <c r="FC25" s="634"/>
      <c r="FD25" s="634"/>
      <c r="FE25" s="634"/>
      <c r="FF25" s="634"/>
      <c r="FG25" s="634"/>
      <c r="FH25" s="634"/>
      <c r="FI25" s="634"/>
      <c r="FJ25" s="634"/>
      <c r="FK25" s="634"/>
      <c r="FL25" s="634"/>
      <c r="FM25" s="634"/>
      <c r="FN25" s="634"/>
      <c r="FO25" s="634"/>
      <c r="FP25" s="634"/>
      <c r="FQ25" s="634"/>
      <c r="FS25" s="634"/>
      <c r="FT25" s="634"/>
      <c r="FU25" s="634"/>
      <c r="FV25" s="634"/>
      <c r="FW25" s="634"/>
      <c r="FX25" s="634"/>
      <c r="FY25" s="634"/>
      <c r="FZ25" s="634"/>
    </row>
    <row r="26" ht="24.95" customHeight="1" spans="1:182">
      <c r="A26" s="581" t="s">
        <v>483</v>
      </c>
      <c r="B26" s="577" t="s">
        <v>487</v>
      </c>
      <c r="C26" s="595"/>
      <c r="D26" s="583" t="s">
        <v>491</v>
      </c>
      <c r="E26" s="577">
        <v>10.4</v>
      </c>
      <c r="F26" s="577">
        <v>3.5</v>
      </c>
      <c r="G26" s="581"/>
      <c r="H26" s="577" t="s">
        <v>492</v>
      </c>
      <c r="I26" s="577" t="s">
        <v>439</v>
      </c>
      <c r="J26" s="577">
        <v>0.995</v>
      </c>
      <c r="K26" s="630"/>
      <c r="L26" s="630"/>
      <c r="M26" s="544"/>
      <c r="N26" s="544"/>
      <c r="O26" s="634"/>
      <c r="P26" s="634"/>
      <c r="Q26" s="634"/>
      <c r="R26" s="634"/>
      <c r="S26" s="634"/>
      <c r="T26" s="634"/>
      <c r="U26" s="634"/>
      <c r="V26" s="634"/>
      <c r="W26" s="634"/>
      <c r="X26" s="634"/>
      <c r="Y26" s="634"/>
      <c r="Z26" s="634"/>
      <c r="AA26" s="634"/>
      <c r="AB26" s="634"/>
      <c r="AC26" s="634"/>
      <c r="AD26" s="634"/>
      <c r="AE26" s="634"/>
      <c r="AF26" s="634"/>
      <c r="AG26" s="634"/>
      <c r="AI26" s="634"/>
      <c r="AJ26" s="634"/>
      <c r="AK26" s="634"/>
      <c r="AL26" s="634"/>
      <c r="AM26" s="634"/>
      <c r="AN26" s="634"/>
      <c r="AO26" s="634"/>
      <c r="AP26" s="634"/>
      <c r="AQ26" s="634"/>
      <c r="AR26" s="634"/>
      <c r="AS26" s="634"/>
      <c r="AT26" s="634"/>
      <c r="AU26" s="634"/>
      <c r="AV26" s="634"/>
      <c r="AX26" s="634"/>
      <c r="AY26" s="634"/>
      <c r="AZ26" s="634"/>
      <c r="BA26" s="634"/>
      <c r="BB26" s="634"/>
      <c r="BC26" s="634"/>
      <c r="BD26" s="634"/>
      <c r="BE26" s="634"/>
      <c r="BF26" s="634"/>
      <c r="BG26" s="634"/>
      <c r="BH26" s="634"/>
      <c r="BI26" s="634"/>
      <c r="BJ26" s="634"/>
      <c r="BK26" s="634"/>
      <c r="BL26" s="634"/>
      <c r="BM26" s="634"/>
      <c r="BN26" s="634"/>
      <c r="BO26" s="634"/>
      <c r="BP26" s="634"/>
      <c r="BQ26" s="634"/>
      <c r="BR26" s="634"/>
      <c r="BT26" s="634"/>
      <c r="BU26" s="634"/>
      <c r="BV26" s="634"/>
      <c r="BX26" s="634"/>
      <c r="BY26" s="634"/>
      <c r="BZ26" s="634"/>
      <c r="CB26" s="634"/>
      <c r="CC26" s="634"/>
      <c r="CD26" s="634"/>
      <c r="CF26" s="634"/>
      <c r="CG26" s="634"/>
      <c r="CH26" s="634"/>
      <c r="CJ26" s="634"/>
      <c r="CK26" s="634"/>
      <c r="CM26" s="634"/>
      <c r="CO26" s="634"/>
      <c r="CP26" s="634"/>
      <c r="CQ26" s="634"/>
      <c r="CS26" s="634"/>
      <c r="CT26" s="634"/>
      <c r="CU26" s="634"/>
      <c r="CW26" s="634"/>
      <c r="CX26" s="634"/>
      <c r="CY26" s="634"/>
      <c r="DA26" s="634"/>
      <c r="DB26" s="634"/>
      <c r="DC26" s="634"/>
      <c r="DD26" s="634"/>
      <c r="DE26" s="634"/>
      <c r="DF26" s="634"/>
      <c r="DH26" s="634"/>
      <c r="DI26" s="634"/>
      <c r="DJ26" s="634"/>
      <c r="DL26" s="634"/>
      <c r="DM26" s="634"/>
      <c r="DN26" s="634"/>
      <c r="DO26" s="634"/>
      <c r="DP26" s="634"/>
      <c r="DR26" s="634"/>
      <c r="DS26" s="634"/>
      <c r="DT26" s="634"/>
      <c r="DV26" s="634"/>
      <c r="DW26" s="634"/>
      <c r="DX26" s="634"/>
      <c r="DZ26" s="634"/>
      <c r="EA26" s="634"/>
      <c r="EB26" s="634"/>
      <c r="ED26" s="634"/>
      <c r="EE26" s="634"/>
      <c r="EF26" s="634"/>
      <c r="EH26" s="634"/>
      <c r="EI26" s="634"/>
      <c r="EJ26" s="634"/>
      <c r="EK26" s="634"/>
      <c r="EL26" s="634"/>
      <c r="EN26" s="634"/>
      <c r="EO26" s="634"/>
      <c r="EP26" s="634"/>
      <c r="ER26" s="634"/>
      <c r="ES26" s="634"/>
      <c r="ET26" s="634"/>
      <c r="EV26" s="634"/>
      <c r="EW26" s="634"/>
      <c r="EY26" s="634"/>
      <c r="EZ26" s="634"/>
      <c r="FA26" s="634"/>
      <c r="FB26" s="634"/>
      <c r="FC26" s="634"/>
      <c r="FD26" s="634"/>
      <c r="FE26" s="634"/>
      <c r="FF26" s="634"/>
      <c r="FG26" s="634"/>
      <c r="FH26" s="634"/>
      <c r="FI26" s="634"/>
      <c r="FJ26" s="634"/>
      <c r="FK26" s="634"/>
      <c r="FL26" s="634"/>
      <c r="FM26" s="634"/>
      <c r="FN26" s="634"/>
      <c r="FO26" s="634"/>
      <c r="FP26" s="634"/>
      <c r="FQ26" s="634"/>
      <c r="FS26" s="634"/>
      <c r="FT26" s="634"/>
      <c r="FU26" s="634"/>
      <c r="FV26" s="634"/>
      <c r="FW26" s="634"/>
      <c r="FX26" s="634"/>
      <c r="FY26" s="634"/>
      <c r="FZ26" s="634"/>
    </row>
    <row r="27" ht="24.95" customHeight="1" spans="1:182">
      <c r="A27" s="581" t="s">
        <v>483</v>
      </c>
      <c r="B27" s="577" t="s">
        <v>493</v>
      </c>
      <c r="C27" s="595"/>
      <c r="D27" s="583" t="s">
        <v>474</v>
      </c>
      <c r="E27" s="592">
        <f>E26</f>
        <v>10.4</v>
      </c>
      <c r="F27" s="577">
        <v>2.8</v>
      </c>
      <c r="G27" s="581"/>
      <c r="H27" s="577"/>
      <c r="I27" s="577" t="s">
        <v>446</v>
      </c>
      <c r="J27" s="625">
        <v>0.03</v>
      </c>
      <c r="K27" s="630"/>
      <c r="L27" s="630"/>
      <c r="M27" s="544"/>
      <c r="N27" s="544"/>
      <c r="O27" s="634"/>
      <c r="P27" s="634"/>
      <c r="Q27" s="634"/>
      <c r="R27" s="634"/>
      <c r="S27" s="634"/>
      <c r="T27" s="634"/>
      <c r="U27" s="634"/>
      <c r="V27" s="634"/>
      <c r="W27" s="634"/>
      <c r="X27" s="634"/>
      <c r="Y27" s="634"/>
      <c r="Z27" s="634"/>
      <c r="AA27" s="634"/>
      <c r="AB27" s="634"/>
      <c r="AC27" s="634"/>
      <c r="AD27" s="634"/>
      <c r="AE27" s="634"/>
      <c r="AF27" s="634"/>
      <c r="AG27" s="634"/>
      <c r="AI27" s="634"/>
      <c r="AJ27" s="634"/>
      <c r="AK27" s="634"/>
      <c r="AL27" s="634"/>
      <c r="AM27" s="634"/>
      <c r="AN27" s="634"/>
      <c r="AO27" s="634"/>
      <c r="AP27" s="634"/>
      <c r="AQ27" s="634"/>
      <c r="AR27" s="634"/>
      <c r="AS27" s="634"/>
      <c r="AT27" s="634"/>
      <c r="AU27" s="634"/>
      <c r="AV27" s="634"/>
      <c r="AX27" s="634"/>
      <c r="AY27" s="634"/>
      <c r="AZ27" s="634"/>
      <c r="BA27" s="634"/>
      <c r="BB27" s="634"/>
      <c r="BC27" s="634"/>
      <c r="BD27" s="634"/>
      <c r="BE27" s="634"/>
      <c r="BF27" s="634"/>
      <c r="BG27" s="634"/>
      <c r="BH27" s="634"/>
      <c r="BI27" s="634"/>
      <c r="BJ27" s="634"/>
      <c r="BK27" s="634"/>
      <c r="BL27" s="634"/>
      <c r="BM27" s="634"/>
      <c r="BN27" s="634"/>
      <c r="BO27" s="634"/>
      <c r="BP27" s="634"/>
      <c r="BQ27" s="634"/>
      <c r="BR27" s="634"/>
      <c r="BT27" s="634"/>
      <c r="BU27" s="634"/>
      <c r="BV27" s="634"/>
      <c r="BX27" s="634"/>
      <c r="BY27" s="634"/>
      <c r="BZ27" s="634"/>
      <c r="CB27" s="634"/>
      <c r="CC27" s="634"/>
      <c r="CD27" s="634"/>
      <c r="CF27" s="634"/>
      <c r="CG27" s="634"/>
      <c r="CH27" s="634"/>
      <c r="CJ27" s="634"/>
      <c r="CK27" s="634"/>
      <c r="CM27" s="634"/>
      <c r="CO27" s="634"/>
      <c r="CP27" s="634"/>
      <c r="CQ27" s="634"/>
      <c r="CS27" s="634"/>
      <c r="CT27" s="634"/>
      <c r="CU27" s="634"/>
      <c r="CW27" s="634"/>
      <c r="CX27" s="634"/>
      <c r="CY27" s="634"/>
      <c r="DA27" s="634"/>
      <c r="DB27" s="634"/>
      <c r="DC27" s="634"/>
      <c r="DD27" s="634"/>
      <c r="DE27" s="634"/>
      <c r="DF27" s="634"/>
      <c r="DH27" s="634"/>
      <c r="DI27" s="634"/>
      <c r="DJ27" s="634"/>
      <c r="DL27" s="634"/>
      <c r="DM27" s="634"/>
      <c r="DN27" s="634"/>
      <c r="DO27" s="634"/>
      <c r="DP27" s="634"/>
      <c r="DR27" s="634"/>
      <c r="DS27" s="634"/>
      <c r="DT27" s="634"/>
      <c r="DV27" s="634"/>
      <c r="DW27" s="634"/>
      <c r="DX27" s="634"/>
      <c r="DZ27" s="634"/>
      <c r="EA27" s="634"/>
      <c r="EB27" s="634"/>
      <c r="ED27" s="634"/>
      <c r="EE27" s="634"/>
      <c r="EF27" s="634"/>
      <c r="EH27" s="634"/>
      <c r="EI27" s="634"/>
      <c r="EJ27" s="634"/>
      <c r="EK27" s="634"/>
      <c r="EL27" s="634"/>
      <c r="EN27" s="634"/>
      <c r="EO27" s="634"/>
      <c r="EP27" s="634"/>
      <c r="ER27" s="634"/>
      <c r="ES27" s="634"/>
      <c r="ET27" s="634"/>
      <c r="EV27" s="634"/>
      <c r="EW27" s="634"/>
      <c r="EY27" s="634"/>
      <c r="EZ27" s="634"/>
      <c r="FA27" s="634"/>
      <c r="FB27" s="634"/>
      <c r="FC27" s="634"/>
      <c r="FD27" s="634"/>
      <c r="FE27" s="634"/>
      <c r="FF27" s="634"/>
      <c r="FG27" s="634"/>
      <c r="FH27" s="634"/>
      <c r="FI27" s="634"/>
      <c r="FJ27" s="634"/>
      <c r="FK27" s="634"/>
      <c r="FL27" s="634"/>
      <c r="FM27" s="634"/>
      <c r="FN27" s="634"/>
      <c r="FO27" s="634"/>
      <c r="FP27" s="634"/>
      <c r="FQ27" s="634"/>
      <c r="FS27" s="634"/>
      <c r="FT27" s="634"/>
      <c r="FU27" s="634"/>
      <c r="FV27" s="634"/>
      <c r="FW27" s="634"/>
      <c r="FX27" s="634"/>
      <c r="FY27" s="634"/>
      <c r="FZ27" s="634"/>
    </row>
    <row r="28" ht="24.95" customHeight="1" spans="1:182">
      <c r="A28" s="581"/>
      <c r="B28" s="577"/>
      <c r="C28" s="595"/>
      <c r="D28" s="583" t="s">
        <v>476</v>
      </c>
      <c r="E28" s="592">
        <f>E26</f>
        <v>10.4</v>
      </c>
      <c r="F28" s="577">
        <v>2.8</v>
      </c>
      <c r="G28" s="581"/>
      <c r="H28" s="577"/>
      <c r="I28" s="577" t="s">
        <v>450</v>
      </c>
      <c r="J28" s="636">
        <v>0</v>
      </c>
      <c r="K28" s="630"/>
      <c r="L28" s="630"/>
      <c r="M28" s="544"/>
      <c r="N28" s="544"/>
      <c r="O28" s="634"/>
      <c r="P28" s="634"/>
      <c r="Q28" s="634"/>
      <c r="R28" s="634"/>
      <c r="S28" s="634"/>
      <c r="T28" s="634"/>
      <c r="U28" s="634"/>
      <c r="V28" s="634"/>
      <c r="W28" s="634"/>
      <c r="X28" s="634"/>
      <c r="Y28" s="634"/>
      <c r="Z28" s="634"/>
      <c r="AA28" s="634"/>
      <c r="AB28" s="634"/>
      <c r="AC28" s="634"/>
      <c r="AD28" s="634"/>
      <c r="AE28" s="634"/>
      <c r="AF28" s="634"/>
      <c r="AG28" s="634"/>
      <c r="AI28" s="634"/>
      <c r="AJ28" s="634"/>
      <c r="AK28" s="634"/>
      <c r="AL28" s="634"/>
      <c r="AM28" s="634"/>
      <c r="AN28" s="634"/>
      <c r="AO28" s="634"/>
      <c r="AP28" s="634"/>
      <c r="AQ28" s="634"/>
      <c r="AR28" s="634"/>
      <c r="AS28" s="634"/>
      <c r="AT28" s="634"/>
      <c r="AU28" s="634"/>
      <c r="AV28" s="634"/>
      <c r="AX28" s="634"/>
      <c r="AY28" s="634"/>
      <c r="AZ28" s="634"/>
      <c r="BA28" s="634"/>
      <c r="BB28" s="634"/>
      <c r="BC28" s="634"/>
      <c r="BD28" s="634"/>
      <c r="BE28" s="634"/>
      <c r="BF28" s="634"/>
      <c r="BG28" s="634"/>
      <c r="BH28" s="634"/>
      <c r="BI28" s="634"/>
      <c r="BJ28" s="634"/>
      <c r="BK28" s="634"/>
      <c r="BL28" s="634"/>
      <c r="BM28" s="634"/>
      <c r="BN28" s="634"/>
      <c r="BO28" s="634"/>
      <c r="BP28" s="634"/>
      <c r="BQ28" s="634"/>
      <c r="BR28" s="634"/>
      <c r="BT28" s="634"/>
      <c r="BU28" s="634"/>
      <c r="BV28" s="634"/>
      <c r="BX28" s="634"/>
      <c r="BY28" s="634"/>
      <c r="BZ28" s="634"/>
      <c r="CB28" s="634"/>
      <c r="CC28" s="634"/>
      <c r="CD28" s="634"/>
      <c r="CF28" s="634"/>
      <c r="CG28" s="634"/>
      <c r="CH28" s="634"/>
      <c r="CJ28" s="634"/>
      <c r="CK28" s="634"/>
      <c r="CM28" s="634"/>
      <c r="CO28" s="634"/>
      <c r="CP28" s="634"/>
      <c r="CQ28" s="634"/>
      <c r="CS28" s="634"/>
      <c r="CT28" s="634"/>
      <c r="CU28" s="634"/>
      <c r="CW28" s="634"/>
      <c r="CX28" s="634"/>
      <c r="CY28" s="634"/>
      <c r="DA28" s="634"/>
      <c r="DB28" s="634"/>
      <c r="DC28" s="634"/>
      <c r="DD28" s="634"/>
      <c r="DE28" s="634"/>
      <c r="DF28" s="634"/>
      <c r="DH28" s="634"/>
      <c r="DI28" s="634"/>
      <c r="DJ28" s="634"/>
      <c r="DL28" s="634"/>
      <c r="DM28" s="634"/>
      <c r="DN28" s="634"/>
      <c r="DO28" s="634"/>
      <c r="DP28" s="634"/>
      <c r="DR28" s="634"/>
      <c r="DS28" s="634"/>
      <c r="DT28" s="634"/>
      <c r="DV28" s="634"/>
      <c r="DW28" s="634"/>
      <c r="DX28" s="634"/>
      <c r="DZ28" s="634"/>
      <c r="EA28" s="634"/>
      <c r="EB28" s="634"/>
      <c r="ED28" s="634"/>
      <c r="EE28" s="634"/>
      <c r="EF28" s="634"/>
      <c r="EH28" s="634"/>
      <c r="EI28" s="634"/>
      <c r="EJ28" s="634"/>
      <c r="EK28" s="634"/>
      <c r="EL28" s="634"/>
      <c r="EN28" s="634"/>
      <c r="EO28" s="634"/>
      <c r="EP28" s="634"/>
      <c r="ER28" s="634"/>
      <c r="ES28" s="634"/>
      <c r="ET28" s="634"/>
      <c r="EV28" s="634"/>
      <c r="EW28" s="634"/>
      <c r="EY28" s="634"/>
      <c r="EZ28" s="634"/>
      <c r="FA28" s="634"/>
      <c r="FB28" s="634"/>
      <c r="FC28" s="634"/>
      <c r="FD28" s="634"/>
      <c r="FE28" s="634"/>
      <c r="FF28" s="634"/>
      <c r="FG28" s="634"/>
      <c r="FH28" s="634"/>
      <c r="FI28" s="634"/>
      <c r="FJ28" s="634"/>
      <c r="FK28" s="634"/>
      <c r="FL28" s="634"/>
      <c r="FM28" s="634"/>
      <c r="FN28" s="634"/>
      <c r="FO28" s="634"/>
      <c r="FP28" s="634"/>
      <c r="FQ28" s="634"/>
      <c r="FS28" s="634"/>
      <c r="FT28" s="634"/>
      <c r="FU28" s="634"/>
      <c r="FV28" s="634"/>
      <c r="FW28" s="634"/>
      <c r="FX28" s="634"/>
      <c r="FY28" s="634"/>
      <c r="FZ28" s="634"/>
    </row>
    <row r="29" ht="24.95" customHeight="1" spans="1:182">
      <c r="A29" s="581"/>
      <c r="B29" s="593" t="s">
        <v>494</v>
      </c>
      <c r="C29" s="597" t="s">
        <v>495</v>
      </c>
      <c r="D29" s="598" t="s">
        <v>496</v>
      </c>
      <c r="E29" s="577">
        <v>3</v>
      </c>
      <c r="F29" s="577">
        <v>1.2</v>
      </c>
      <c r="G29" s="581"/>
      <c r="H29" s="577"/>
      <c r="I29" s="577"/>
      <c r="J29" s="625"/>
      <c r="K29" s="630"/>
      <c r="L29" s="630"/>
      <c r="M29" s="634"/>
      <c r="N29" s="634"/>
      <c r="O29" s="634"/>
      <c r="P29" s="634"/>
      <c r="Q29" s="634"/>
      <c r="R29" s="634"/>
      <c r="S29" s="634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I29" s="634"/>
      <c r="AJ29" s="634"/>
      <c r="AK29" s="634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X29" s="634"/>
      <c r="AY29" s="634"/>
      <c r="AZ29" s="634"/>
      <c r="BA29" s="634"/>
      <c r="BB29" s="634"/>
      <c r="BC29" s="634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T29" s="634"/>
      <c r="BU29" s="634"/>
      <c r="BV29" s="634"/>
      <c r="BX29" s="634"/>
      <c r="BY29" s="634"/>
      <c r="BZ29" s="634"/>
      <c r="CB29" s="634"/>
      <c r="CC29" s="634"/>
      <c r="CD29" s="634"/>
      <c r="CF29" s="634"/>
      <c r="CG29" s="634"/>
      <c r="CH29" s="634"/>
      <c r="CJ29" s="634"/>
      <c r="CK29" s="634"/>
      <c r="CM29" s="634"/>
      <c r="CO29" s="634"/>
      <c r="CP29" s="634"/>
      <c r="CQ29" s="634"/>
      <c r="CS29" s="634"/>
      <c r="CT29" s="634"/>
      <c r="CU29" s="634"/>
      <c r="CW29" s="634"/>
      <c r="CX29" s="634"/>
      <c r="CY29" s="634"/>
      <c r="DA29" s="634"/>
      <c r="DB29" s="634"/>
      <c r="DC29" s="634"/>
      <c r="DD29" s="634"/>
      <c r="DE29" s="634"/>
      <c r="DF29" s="634"/>
      <c r="DH29" s="634"/>
      <c r="DI29" s="634"/>
      <c r="DJ29" s="634"/>
      <c r="DL29" s="634"/>
      <c r="DM29" s="634"/>
      <c r="DN29" s="634"/>
      <c r="DO29" s="634"/>
      <c r="DP29" s="634"/>
      <c r="DR29" s="634"/>
      <c r="DS29" s="634"/>
      <c r="DT29" s="634"/>
      <c r="DV29" s="634"/>
      <c r="DW29" s="634"/>
      <c r="DX29" s="634"/>
      <c r="DZ29" s="634"/>
      <c r="EA29" s="634"/>
      <c r="EB29" s="634"/>
      <c r="ED29" s="634"/>
      <c r="EE29" s="634"/>
      <c r="EF29" s="634"/>
      <c r="EH29" s="634"/>
      <c r="EI29" s="634"/>
      <c r="EJ29" s="634"/>
      <c r="EK29" s="634"/>
      <c r="EL29" s="634"/>
      <c r="EN29" s="634"/>
      <c r="EO29" s="634"/>
      <c r="EP29" s="634"/>
      <c r="ER29" s="634"/>
      <c r="ES29" s="634"/>
      <c r="ET29" s="634"/>
      <c r="EV29" s="634"/>
      <c r="EW29" s="634"/>
      <c r="EY29" s="634"/>
      <c r="EZ29" s="634"/>
      <c r="FA29" s="634"/>
      <c r="FB29" s="634"/>
      <c r="FC29" s="634"/>
      <c r="FD29" s="634"/>
      <c r="FE29" s="634"/>
      <c r="FF29" s="634"/>
      <c r="FG29" s="634"/>
      <c r="FH29" s="634"/>
      <c r="FI29" s="634"/>
      <c r="FJ29" s="634"/>
      <c r="FK29" s="634"/>
      <c r="FL29" s="634"/>
      <c r="FM29" s="634"/>
      <c r="FN29" s="634"/>
      <c r="FO29" s="634"/>
      <c r="FP29" s="634"/>
      <c r="FQ29" s="634"/>
      <c r="FS29" s="634"/>
      <c r="FT29" s="634"/>
      <c r="FU29" s="634"/>
      <c r="FV29" s="634"/>
      <c r="FW29" s="634"/>
      <c r="FX29" s="634"/>
      <c r="FY29" s="634"/>
      <c r="FZ29" s="634"/>
    </row>
    <row r="30" ht="24.95" customHeight="1" spans="1:182">
      <c r="A30" s="581" t="s">
        <v>483</v>
      </c>
      <c r="B30" s="593" t="s">
        <v>497</v>
      </c>
      <c r="C30" s="599"/>
      <c r="D30" s="598" t="s">
        <v>498</v>
      </c>
      <c r="E30" s="577">
        <v>5</v>
      </c>
      <c r="F30" s="577">
        <v>1.2</v>
      </c>
      <c r="G30" s="581"/>
      <c r="H30" s="587"/>
      <c r="I30" s="587"/>
      <c r="J30" s="629"/>
      <c r="K30" s="630"/>
      <c r="L30" s="630"/>
      <c r="M30" s="634"/>
      <c r="N30" s="634"/>
      <c r="O30" s="634"/>
      <c r="P30" s="634"/>
      <c r="Q30" s="634"/>
      <c r="R30" s="634"/>
      <c r="S30" s="634"/>
      <c r="T30" s="634"/>
      <c r="U30" s="634"/>
      <c r="V30" s="634"/>
      <c r="W30" s="634"/>
      <c r="X30" s="634"/>
      <c r="Y30" s="634"/>
      <c r="Z30" s="634"/>
      <c r="AA30" s="634"/>
      <c r="AB30" s="634"/>
      <c r="AC30" s="634"/>
      <c r="AD30" s="634"/>
      <c r="AE30" s="634"/>
      <c r="AF30" s="634"/>
      <c r="AG30" s="634"/>
      <c r="AI30" s="634"/>
      <c r="AJ30" s="634"/>
      <c r="AK30" s="634"/>
      <c r="AL30" s="634"/>
      <c r="AM30" s="634"/>
      <c r="AN30" s="634"/>
      <c r="AO30" s="634"/>
      <c r="AP30" s="634"/>
      <c r="AQ30" s="634"/>
      <c r="AR30" s="634"/>
      <c r="AS30" s="634"/>
      <c r="AT30" s="634"/>
      <c r="AU30" s="634"/>
      <c r="AV30" s="634"/>
      <c r="AX30" s="634"/>
      <c r="AY30" s="634"/>
      <c r="AZ30" s="634"/>
      <c r="BA30" s="634"/>
      <c r="BB30" s="634"/>
      <c r="BC30" s="634"/>
      <c r="BD30" s="634"/>
      <c r="BE30" s="634"/>
      <c r="BF30" s="634"/>
      <c r="BG30" s="634"/>
      <c r="BH30" s="634"/>
      <c r="BI30" s="634"/>
      <c r="BJ30" s="634"/>
      <c r="BK30" s="634"/>
      <c r="BL30" s="634"/>
      <c r="BM30" s="634"/>
      <c r="BN30" s="634"/>
      <c r="BO30" s="634"/>
      <c r="BP30" s="634"/>
      <c r="BQ30" s="634"/>
      <c r="BR30" s="634"/>
      <c r="BT30" s="634"/>
      <c r="BU30" s="634"/>
      <c r="BV30" s="634"/>
      <c r="BX30" s="634"/>
      <c r="BY30" s="634"/>
      <c r="BZ30" s="634"/>
      <c r="CB30" s="634"/>
      <c r="CC30" s="634"/>
      <c r="CD30" s="634"/>
      <c r="CF30" s="634"/>
      <c r="CG30" s="634"/>
      <c r="CH30" s="634"/>
      <c r="CJ30" s="634"/>
      <c r="CK30" s="634"/>
      <c r="CM30" s="634"/>
      <c r="CO30" s="634"/>
      <c r="CP30" s="634"/>
      <c r="CQ30" s="634"/>
      <c r="CS30" s="634"/>
      <c r="CT30" s="634"/>
      <c r="CU30" s="634"/>
      <c r="CW30" s="634"/>
      <c r="CX30" s="634"/>
      <c r="CY30" s="634"/>
      <c r="DA30" s="634"/>
      <c r="DB30" s="634"/>
      <c r="DC30" s="634"/>
      <c r="DD30" s="634"/>
      <c r="DE30" s="634"/>
      <c r="DF30" s="634"/>
      <c r="DH30" s="634"/>
      <c r="DI30" s="634"/>
      <c r="DJ30" s="634"/>
      <c r="DL30" s="634"/>
      <c r="DM30" s="634"/>
      <c r="DN30" s="634"/>
      <c r="DO30" s="634"/>
      <c r="DP30" s="634"/>
      <c r="DR30" s="634"/>
      <c r="DS30" s="634"/>
      <c r="DT30" s="634"/>
      <c r="DV30" s="634"/>
      <c r="DW30" s="634"/>
      <c r="DX30" s="634"/>
      <c r="DZ30" s="634"/>
      <c r="EA30" s="634"/>
      <c r="EB30" s="634"/>
      <c r="ED30" s="634"/>
      <c r="EE30" s="634"/>
      <c r="EF30" s="634"/>
      <c r="EH30" s="634"/>
      <c r="EI30" s="634"/>
      <c r="EJ30" s="634"/>
      <c r="EK30" s="634"/>
      <c r="EL30" s="634"/>
      <c r="EN30" s="634"/>
      <c r="EO30" s="634"/>
      <c r="EP30" s="634"/>
      <c r="ER30" s="634"/>
      <c r="ES30" s="634"/>
      <c r="ET30" s="634"/>
      <c r="EV30" s="634"/>
      <c r="EW30" s="634"/>
      <c r="EY30" s="634"/>
      <c r="EZ30" s="634"/>
      <c r="FA30" s="634"/>
      <c r="FB30" s="634"/>
      <c r="FC30" s="634"/>
      <c r="FD30" s="634"/>
      <c r="FE30" s="634"/>
      <c r="FF30" s="634"/>
      <c r="FG30" s="634"/>
      <c r="FH30" s="634"/>
      <c r="FI30" s="634"/>
      <c r="FJ30" s="634"/>
      <c r="FK30" s="634"/>
      <c r="FL30" s="634"/>
      <c r="FM30" s="634"/>
      <c r="FN30" s="634"/>
      <c r="FO30" s="634"/>
      <c r="FP30" s="634"/>
      <c r="FQ30" s="634"/>
      <c r="FS30" s="634"/>
      <c r="FT30" s="634"/>
      <c r="FU30" s="634"/>
      <c r="FV30" s="634"/>
      <c r="FW30" s="634"/>
      <c r="FX30" s="634"/>
      <c r="FY30" s="634"/>
      <c r="FZ30" s="634"/>
    </row>
    <row r="31" ht="24.95" customHeight="1" spans="1:182">
      <c r="A31" s="581" t="s">
        <v>483</v>
      </c>
      <c r="B31" s="593"/>
      <c r="C31" s="599"/>
      <c r="D31" s="598"/>
      <c r="E31" s="577"/>
      <c r="F31" s="577"/>
      <c r="G31" s="581"/>
      <c r="H31" s="600" t="s">
        <v>499</v>
      </c>
      <c r="I31" s="637" t="s">
        <v>439</v>
      </c>
      <c r="J31" s="638">
        <v>0.995</v>
      </c>
      <c r="K31" s="630"/>
      <c r="L31" s="630"/>
      <c r="M31" s="634"/>
      <c r="N31" s="634"/>
      <c r="O31" s="634"/>
      <c r="P31" s="634"/>
      <c r="Q31" s="634"/>
      <c r="R31" s="634"/>
      <c r="S31" s="634"/>
      <c r="T31" s="634"/>
      <c r="U31" s="634"/>
      <c r="V31" s="634"/>
      <c r="W31" s="634"/>
      <c r="X31" s="634"/>
      <c r="Y31" s="634"/>
      <c r="Z31" s="634"/>
      <c r="AA31" s="634"/>
      <c r="AB31" s="634"/>
      <c r="AC31" s="634"/>
      <c r="AD31" s="634"/>
      <c r="AE31" s="634"/>
      <c r="AF31" s="634"/>
      <c r="AG31" s="634"/>
      <c r="AI31" s="634"/>
      <c r="AJ31" s="634"/>
      <c r="AK31" s="634"/>
      <c r="AL31" s="634"/>
      <c r="AM31" s="634"/>
      <c r="AN31" s="634"/>
      <c r="AO31" s="634"/>
      <c r="AP31" s="634"/>
      <c r="AQ31" s="634"/>
      <c r="AR31" s="634"/>
      <c r="AS31" s="634"/>
      <c r="AT31" s="634"/>
      <c r="AU31" s="634"/>
      <c r="AV31" s="634"/>
      <c r="AX31" s="634"/>
      <c r="AY31" s="634"/>
      <c r="AZ31" s="634"/>
      <c r="BA31" s="634"/>
      <c r="BB31" s="634"/>
      <c r="BC31" s="634"/>
      <c r="BD31" s="634"/>
      <c r="BE31" s="634"/>
      <c r="BF31" s="634"/>
      <c r="BG31" s="634"/>
      <c r="BH31" s="634"/>
      <c r="BI31" s="634"/>
      <c r="BJ31" s="634"/>
      <c r="BK31" s="634"/>
      <c r="BL31" s="634"/>
      <c r="BM31" s="634"/>
      <c r="BN31" s="634"/>
      <c r="BO31" s="634"/>
      <c r="BP31" s="634"/>
      <c r="BQ31" s="634"/>
      <c r="BR31" s="634"/>
      <c r="BT31" s="634"/>
      <c r="BU31" s="634"/>
      <c r="BV31" s="634"/>
      <c r="BX31" s="634"/>
      <c r="BY31" s="634"/>
      <c r="BZ31" s="634"/>
      <c r="CB31" s="634"/>
      <c r="CC31" s="634"/>
      <c r="CD31" s="634"/>
      <c r="CF31" s="634"/>
      <c r="CG31" s="634"/>
      <c r="CH31" s="634"/>
      <c r="CJ31" s="634"/>
      <c r="CK31" s="634"/>
      <c r="CM31" s="634"/>
      <c r="CO31" s="634"/>
      <c r="CP31" s="634"/>
      <c r="CQ31" s="634"/>
      <c r="CS31" s="634"/>
      <c r="CT31" s="634"/>
      <c r="CU31" s="634"/>
      <c r="CW31" s="634"/>
      <c r="CX31" s="634"/>
      <c r="CY31" s="634"/>
      <c r="DA31" s="634"/>
      <c r="DB31" s="634"/>
      <c r="DC31" s="634"/>
      <c r="DD31" s="634"/>
      <c r="DE31" s="634"/>
      <c r="DF31" s="634"/>
      <c r="DH31" s="634"/>
      <c r="DI31" s="634"/>
      <c r="DJ31" s="634"/>
      <c r="DL31" s="634"/>
      <c r="DM31" s="634"/>
      <c r="DN31" s="634"/>
      <c r="DO31" s="634"/>
      <c r="DP31" s="634"/>
      <c r="DR31" s="634"/>
      <c r="DS31" s="634"/>
      <c r="DT31" s="634"/>
      <c r="DV31" s="634"/>
      <c r="DW31" s="634"/>
      <c r="DX31" s="634"/>
      <c r="DZ31" s="634"/>
      <c r="EA31" s="634"/>
      <c r="EB31" s="634"/>
      <c r="ED31" s="634"/>
      <c r="EE31" s="634"/>
      <c r="EF31" s="634"/>
      <c r="EH31" s="634"/>
      <c r="EI31" s="634"/>
      <c r="EJ31" s="634"/>
      <c r="EK31" s="634"/>
      <c r="EL31" s="634"/>
      <c r="EN31" s="634"/>
      <c r="EO31" s="634"/>
      <c r="EP31" s="634"/>
      <c r="ER31" s="634"/>
      <c r="ES31" s="634"/>
      <c r="ET31" s="634"/>
      <c r="EV31" s="634"/>
      <c r="EW31" s="634"/>
      <c r="EY31" s="634"/>
      <c r="EZ31" s="634"/>
      <c r="FA31" s="634"/>
      <c r="FB31" s="634"/>
      <c r="FC31" s="634"/>
      <c r="FD31" s="634"/>
      <c r="FE31" s="634"/>
      <c r="FF31" s="634"/>
      <c r="FG31" s="634"/>
      <c r="FH31" s="634"/>
      <c r="FI31" s="634"/>
      <c r="FJ31" s="634"/>
      <c r="FK31" s="634"/>
      <c r="FL31" s="634"/>
      <c r="FM31" s="634"/>
      <c r="FN31" s="634"/>
      <c r="FO31" s="634"/>
      <c r="FP31" s="634"/>
      <c r="FQ31" s="634"/>
      <c r="FS31" s="634"/>
      <c r="FT31" s="634"/>
      <c r="FU31" s="634"/>
      <c r="FV31" s="634"/>
      <c r="FW31" s="634"/>
      <c r="FX31" s="634"/>
      <c r="FY31" s="634"/>
      <c r="FZ31" s="634"/>
    </row>
    <row r="32" ht="24.95" customHeight="1" spans="1:182">
      <c r="A32" s="581" t="s">
        <v>483</v>
      </c>
      <c r="B32" s="593" t="s">
        <v>497</v>
      </c>
      <c r="C32" s="599"/>
      <c r="D32" s="598" t="s">
        <v>500</v>
      </c>
      <c r="E32" s="577">
        <v>5</v>
      </c>
      <c r="F32" s="577">
        <v>2</v>
      </c>
      <c r="G32" s="581"/>
      <c r="H32" s="601"/>
      <c r="I32" s="583" t="s">
        <v>446</v>
      </c>
      <c r="J32" s="625">
        <v>0.02</v>
      </c>
      <c r="K32" s="630"/>
      <c r="L32" s="630"/>
      <c r="M32" s="634"/>
      <c r="N32" s="634"/>
      <c r="O32" s="634"/>
      <c r="P32" s="634"/>
      <c r="Q32" s="634"/>
      <c r="R32" s="634"/>
      <c r="S32" s="634"/>
      <c r="T32" s="634"/>
      <c r="U32" s="634"/>
      <c r="V32" s="634"/>
      <c r="W32" s="634"/>
      <c r="X32" s="634"/>
      <c r="Y32" s="634"/>
      <c r="Z32" s="634"/>
      <c r="AA32" s="634"/>
      <c r="AB32" s="634"/>
      <c r="AC32" s="634"/>
      <c r="AD32" s="634"/>
      <c r="AE32" s="634"/>
      <c r="AF32" s="634"/>
      <c r="AG32" s="634"/>
      <c r="AI32" s="634"/>
      <c r="AJ32" s="634"/>
      <c r="AK32" s="634"/>
      <c r="AL32" s="634"/>
      <c r="AM32" s="634"/>
      <c r="AN32" s="634"/>
      <c r="AO32" s="634"/>
      <c r="AP32" s="634"/>
      <c r="AQ32" s="634"/>
      <c r="AR32" s="634"/>
      <c r="AS32" s="634"/>
      <c r="AT32" s="634"/>
      <c r="AU32" s="634"/>
      <c r="AV32" s="634"/>
      <c r="AX32" s="634"/>
      <c r="AY32" s="634"/>
      <c r="AZ32" s="634"/>
      <c r="BA32" s="634"/>
      <c r="BB32" s="634"/>
      <c r="BC32" s="634"/>
      <c r="BD32" s="634"/>
      <c r="BE32" s="634"/>
      <c r="BF32" s="634"/>
      <c r="BG32" s="634"/>
      <c r="BH32" s="634"/>
      <c r="BI32" s="634"/>
      <c r="BJ32" s="634"/>
      <c r="BK32" s="634"/>
      <c r="BL32" s="634"/>
      <c r="BM32" s="634"/>
      <c r="BN32" s="634"/>
      <c r="BO32" s="634"/>
      <c r="BP32" s="634"/>
      <c r="BQ32" s="634"/>
      <c r="BR32" s="634"/>
      <c r="BT32" s="634"/>
      <c r="BU32" s="634"/>
      <c r="BV32" s="634"/>
      <c r="BX32" s="634"/>
      <c r="BY32" s="634"/>
      <c r="BZ32" s="634"/>
      <c r="CB32" s="634"/>
      <c r="CC32" s="634"/>
      <c r="CD32" s="634"/>
      <c r="CF32" s="634"/>
      <c r="CG32" s="634"/>
      <c r="CH32" s="634"/>
      <c r="CJ32" s="634"/>
      <c r="CK32" s="634"/>
      <c r="CM32" s="634"/>
      <c r="CO32" s="634"/>
      <c r="CP32" s="634"/>
      <c r="CQ32" s="634"/>
      <c r="CS32" s="634"/>
      <c r="CT32" s="634"/>
      <c r="CU32" s="634"/>
      <c r="CW32" s="634"/>
      <c r="CX32" s="634"/>
      <c r="CY32" s="634"/>
      <c r="DA32" s="634"/>
      <c r="DB32" s="634"/>
      <c r="DC32" s="634"/>
      <c r="DD32" s="634"/>
      <c r="DE32" s="634"/>
      <c r="DF32" s="634"/>
      <c r="DH32" s="634"/>
      <c r="DI32" s="634"/>
      <c r="DJ32" s="634"/>
      <c r="DL32" s="634"/>
      <c r="DM32" s="634"/>
      <c r="DN32" s="634"/>
      <c r="DO32" s="634"/>
      <c r="DP32" s="634"/>
      <c r="DR32" s="634"/>
      <c r="DS32" s="634"/>
      <c r="DT32" s="634"/>
      <c r="DV32" s="634"/>
      <c r="DW32" s="634"/>
      <c r="DX32" s="634"/>
      <c r="DZ32" s="634"/>
      <c r="EA32" s="634"/>
      <c r="EB32" s="634"/>
      <c r="ED32" s="634"/>
      <c r="EE32" s="634"/>
      <c r="EF32" s="634"/>
      <c r="EH32" s="634"/>
      <c r="EI32" s="634"/>
      <c r="EJ32" s="634"/>
      <c r="EK32" s="634"/>
      <c r="EL32" s="634"/>
      <c r="EN32" s="634"/>
      <c r="EO32" s="634"/>
      <c r="EP32" s="634"/>
      <c r="ER32" s="634"/>
      <c r="ES32" s="634"/>
      <c r="ET32" s="634"/>
      <c r="EV32" s="634"/>
      <c r="EW32" s="634"/>
      <c r="EY32" s="634"/>
      <c r="EZ32" s="634"/>
      <c r="FA32" s="634"/>
      <c r="FB32" s="634"/>
      <c r="FC32" s="634"/>
      <c r="FD32" s="634"/>
      <c r="FE32" s="634"/>
      <c r="FF32" s="634"/>
      <c r="FG32" s="634"/>
      <c r="FH32" s="634"/>
      <c r="FI32" s="634"/>
      <c r="FJ32" s="634"/>
      <c r="FK32" s="634"/>
      <c r="FL32" s="634"/>
      <c r="FM32" s="634"/>
      <c r="FN32" s="634"/>
      <c r="FO32" s="634"/>
      <c r="FP32" s="634"/>
      <c r="FQ32" s="634"/>
      <c r="FS32" s="634"/>
      <c r="FT32" s="634"/>
      <c r="FU32" s="634"/>
      <c r="FV32" s="634"/>
      <c r="FW32" s="634"/>
      <c r="FX32" s="634"/>
      <c r="FY32" s="634"/>
      <c r="FZ32" s="634"/>
    </row>
    <row r="33" ht="24.95" customHeight="1" spans="1:182">
      <c r="A33" s="576"/>
      <c r="B33" s="593" t="s">
        <v>497</v>
      </c>
      <c r="C33" s="599"/>
      <c r="D33" s="598" t="s">
        <v>501</v>
      </c>
      <c r="E33" s="577">
        <v>4</v>
      </c>
      <c r="F33" s="577">
        <v>1.65</v>
      </c>
      <c r="G33" s="581"/>
      <c r="H33" s="601"/>
      <c r="I33" s="583" t="s">
        <v>450</v>
      </c>
      <c r="J33" s="625">
        <v>0</v>
      </c>
      <c r="K33" s="630"/>
      <c r="L33" s="630"/>
      <c r="M33" s="634"/>
      <c r="N33" s="634"/>
      <c r="O33" s="634"/>
      <c r="P33" s="634"/>
      <c r="Q33" s="634"/>
      <c r="R33" s="634"/>
      <c r="S33" s="634"/>
      <c r="T33" s="634"/>
      <c r="U33" s="634"/>
      <c r="V33" s="634"/>
      <c r="W33" s="634"/>
      <c r="X33" s="634"/>
      <c r="Y33" s="634"/>
      <c r="Z33" s="634"/>
      <c r="AA33" s="634"/>
      <c r="AB33" s="634"/>
      <c r="AC33" s="634"/>
      <c r="AD33" s="634"/>
      <c r="AE33" s="634"/>
      <c r="AF33" s="634"/>
      <c r="AG33" s="634"/>
      <c r="AI33" s="634"/>
      <c r="AJ33" s="634"/>
      <c r="AK33" s="634"/>
      <c r="AL33" s="634"/>
      <c r="AM33" s="634"/>
      <c r="AN33" s="634"/>
      <c r="AO33" s="634"/>
      <c r="AP33" s="634"/>
      <c r="AQ33" s="634"/>
      <c r="AR33" s="634"/>
      <c r="AS33" s="634"/>
      <c r="AT33" s="634"/>
      <c r="AU33" s="634"/>
      <c r="AV33" s="634"/>
      <c r="AX33" s="634"/>
      <c r="AY33" s="634"/>
      <c r="AZ33" s="634"/>
      <c r="BA33" s="634"/>
      <c r="BB33" s="634"/>
      <c r="BC33" s="634"/>
      <c r="BD33" s="634"/>
      <c r="BE33" s="634"/>
      <c r="BF33" s="634"/>
      <c r="BG33" s="634"/>
      <c r="BH33" s="634"/>
      <c r="BI33" s="634"/>
      <c r="BJ33" s="634"/>
      <c r="BK33" s="634"/>
      <c r="BL33" s="634"/>
      <c r="BM33" s="634"/>
      <c r="BN33" s="634"/>
      <c r="BO33" s="634"/>
      <c r="BP33" s="634"/>
      <c r="BQ33" s="634"/>
      <c r="BR33" s="634"/>
      <c r="BT33" s="634"/>
      <c r="BU33" s="634"/>
      <c r="BV33" s="634"/>
      <c r="BX33" s="634"/>
      <c r="BY33" s="634"/>
      <c r="BZ33" s="634"/>
      <c r="CB33" s="634"/>
      <c r="CC33" s="634"/>
      <c r="CD33" s="634"/>
      <c r="CF33" s="634"/>
      <c r="CG33" s="634"/>
      <c r="CH33" s="634"/>
      <c r="CJ33" s="634"/>
      <c r="CK33" s="634"/>
      <c r="CM33" s="634"/>
      <c r="CO33" s="634"/>
      <c r="CP33" s="634"/>
      <c r="CQ33" s="634"/>
      <c r="CS33" s="634"/>
      <c r="CT33" s="634"/>
      <c r="CU33" s="634"/>
      <c r="CW33" s="634"/>
      <c r="CX33" s="634"/>
      <c r="CY33" s="634"/>
      <c r="DA33" s="634"/>
      <c r="DB33" s="634"/>
      <c r="DC33" s="634"/>
      <c r="DD33" s="634"/>
      <c r="DE33" s="634"/>
      <c r="DF33" s="634"/>
      <c r="DH33" s="634"/>
      <c r="DI33" s="634"/>
      <c r="DJ33" s="634"/>
      <c r="DL33" s="634"/>
      <c r="DM33" s="634"/>
      <c r="DN33" s="634"/>
      <c r="DO33" s="634"/>
      <c r="DP33" s="634"/>
      <c r="DR33" s="634"/>
      <c r="DS33" s="634"/>
      <c r="DT33" s="634"/>
      <c r="DV33" s="634"/>
      <c r="DW33" s="634"/>
      <c r="DX33" s="634"/>
      <c r="DZ33" s="634"/>
      <c r="EA33" s="634"/>
      <c r="EB33" s="634"/>
      <c r="ED33" s="634"/>
      <c r="EE33" s="634"/>
      <c r="EF33" s="634"/>
      <c r="EH33" s="634"/>
      <c r="EI33" s="634"/>
      <c r="EJ33" s="634"/>
      <c r="EK33" s="634"/>
      <c r="EL33" s="634"/>
      <c r="EN33" s="634"/>
      <c r="EO33" s="634"/>
      <c r="EP33" s="634"/>
      <c r="ER33" s="634"/>
      <c r="ES33" s="634"/>
      <c r="ET33" s="634"/>
      <c r="EV33" s="634"/>
      <c r="EW33" s="634"/>
      <c r="EY33" s="634"/>
      <c r="EZ33" s="634"/>
      <c r="FA33" s="634"/>
      <c r="FB33" s="634"/>
      <c r="FC33" s="634"/>
      <c r="FD33" s="634"/>
      <c r="FE33" s="634"/>
      <c r="FF33" s="634"/>
      <c r="FG33" s="634"/>
      <c r="FH33" s="634"/>
      <c r="FI33" s="634"/>
      <c r="FJ33" s="634"/>
      <c r="FK33" s="634"/>
      <c r="FL33" s="634"/>
      <c r="FM33" s="634"/>
      <c r="FN33" s="634"/>
      <c r="FO33" s="634"/>
      <c r="FP33" s="634"/>
      <c r="FQ33" s="634"/>
      <c r="FS33" s="634"/>
      <c r="FT33" s="634"/>
      <c r="FU33" s="634"/>
      <c r="FV33" s="634"/>
      <c r="FW33" s="634"/>
      <c r="FX33" s="634"/>
      <c r="FY33" s="634"/>
      <c r="FZ33" s="634"/>
    </row>
    <row r="34" ht="24.95" customHeight="1" spans="1:182">
      <c r="A34" s="576"/>
      <c r="B34" s="593" t="s">
        <v>502</v>
      </c>
      <c r="C34" s="602"/>
      <c r="D34" s="598" t="s">
        <v>503</v>
      </c>
      <c r="E34" s="577">
        <v>4</v>
      </c>
      <c r="F34" s="577">
        <v>2.45</v>
      </c>
      <c r="G34" s="581"/>
      <c r="H34" s="601"/>
      <c r="I34" s="583"/>
      <c r="J34" s="625"/>
      <c r="K34" s="630"/>
      <c r="L34" s="630"/>
      <c r="M34" s="634"/>
      <c r="N34" s="634"/>
      <c r="O34" s="634"/>
      <c r="P34" s="634"/>
      <c r="Q34" s="634"/>
      <c r="R34" s="634"/>
      <c r="S34" s="634"/>
      <c r="T34" s="634"/>
      <c r="U34" s="634"/>
      <c r="V34" s="634"/>
      <c r="W34" s="634"/>
      <c r="X34" s="634"/>
      <c r="Y34" s="634"/>
      <c r="Z34" s="634"/>
      <c r="AA34" s="634"/>
      <c r="AB34" s="634"/>
      <c r="AC34" s="634"/>
      <c r="AD34" s="634"/>
      <c r="AE34" s="634"/>
      <c r="AF34" s="634"/>
      <c r="AG34" s="634"/>
      <c r="AI34" s="634"/>
      <c r="AJ34" s="634"/>
      <c r="AK34" s="634"/>
      <c r="AL34" s="634"/>
      <c r="AM34" s="634"/>
      <c r="AN34" s="634"/>
      <c r="AO34" s="634"/>
      <c r="AP34" s="634"/>
      <c r="AQ34" s="634"/>
      <c r="AR34" s="634"/>
      <c r="AS34" s="634"/>
      <c r="AT34" s="634"/>
      <c r="AU34" s="634"/>
      <c r="AV34" s="634"/>
      <c r="AX34" s="634"/>
      <c r="AY34" s="634"/>
      <c r="AZ34" s="634"/>
      <c r="BA34" s="634"/>
      <c r="BB34" s="634"/>
      <c r="BC34" s="634"/>
      <c r="BD34" s="634"/>
      <c r="BE34" s="634"/>
      <c r="BF34" s="634"/>
      <c r="BG34" s="634"/>
      <c r="BH34" s="634"/>
      <c r="BI34" s="634"/>
      <c r="BJ34" s="634"/>
      <c r="BK34" s="634"/>
      <c r="BL34" s="634"/>
      <c r="BM34" s="634"/>
      <c r="BN34" s="634"/>
      <c r="BO34" s="634"/>
      <c r="BP34" s="634"/>
      <c r="BQ34" s="634"/>
      <c r="BR34" s="634"/>
      <c r="BT34" s="634"/>
      <c r="BU34" s="634"/>
      <c r="BV34" s="634"/>
      <c r="BX34" s="634"/>
      <c r="BY34" s="634"/>
      <c r="BZ34" s="634"/>
      <c r="CB34" s="634"/>
      <c r="CC34" s="634"/>
      <c r="CD34" s="634"/>
      <c r="CF34" s="634"/>
      <c r="CG34" s="634"/>
      <c r="CH34" s="634"/>
      <c r="CJ34" s="634"/>
      <c r="CK34" s="634"/>
      <c r="CM34" s="634"/>
      <c r="CO34" s="634"/>
      <c r="CP34" s="634"/>
      <c r="CQ34" s="634"/>
      <c r="CS34" s="634"/>
      <c r="CT34" s="634"/>
      <c r="CU34" s="634"/>
      <c r="CW34" s="634"/>
      <c r="CX34" s="634"/>
      <c r="CY34" s="634"/>
      <c r="DA34" s="634"/>
      <c r="DB34" s="634"/>
      <c r="DC34" s="634"/>
      <c r="DD34" s="634"/>
      <c r="DE34" s="634"/>
      <c r="DF34" s="634"/>
      <c r="DH34" s="634"/>
      <c r="DI34" s="634"/>
      <c r="DJ34" s="634"/>
      <c r="DL34" s="634"/>
      <c r="DM34" s="634"/>
      <c r="DN34" s="634"/>
      <c r="DO34" s="634"/>
      <c r="DP34" s="634"/>
      <c r="DR34" s="634"/>
      <c r="DS34" s="634"/>
      <c r="DT34" s="634"/>
      <c r="DV34" s="634"/>
      <c r="DW34" s="634"/>
      <c r="DX34" s="634"/>
      <c r="DZ34" s="634"/>
      <c r="EA34" s="634"/>
      <c r="EB34" s="634"/>
      <c r="ED34" s="634"/>
      <c r="EE34" s="634"/>
      <c r="EF34" s="634"/>
      <c r="EH34" s="634"/>
      <c r="EI34" s="634"/>
      <c r="EJ34" s="634"/>
      <c r="EK34" s="634"/>
      <c r="EL34" s="634"/>
      <c r="EN34" s="634"/>
      <c r="EO34" s="634"/>
      <c r="EP34" s="634"/>
      <c r="ER34" s="634"/>
      <c r="ES34" s="634"/>
      <c r="ET34" s="634"/>
      <c r="EV34" s="634"/>
      <c r="EW34" s="634"/>
      <c r="EY34" s="634"/>
      <c r="EZ34" s="634"/>
      <c r="FA34" s="634"/>
      <c r="FB34" s="634"/>
      <c r="FC34" s="634"/>
      <c r="FD34" s="634"/>
      <c r="FE34" s="634"/>
      <c r="FF34" s="634"/>
      <c r="FG34" s="634"/>
      <c r="FH34" s="634"/>
      <c r="FI34" s="634"/>
      <c r="FJ34" s="634"/>
      <c r="FK34" s="634"/>
      <c r="FL34" s="634"/>
      <c r="FM34" s="634"/>
      <c r="FN34" s="634"/>
      <c r="FO34" s="634"/>
      <c r="FP34" s="634"/>
      <c r="FQ34" s="634"/>
      <c r="FS34" s="634"/>
      <c r="FT34" s="634"/>
      <c r="FU34" s="634"/>
      <c r="FV34" s="634"/>
      <c r="FW34" s="634"/>
      <c r="FX34" s="634"/>
      <c r="FY34" s="634"/>
      <c r="FZ34" s="634"/>
    </row>
    <row r="35" ht="24.95" customHeight="1" spans="1:182">
      <c r="A35" s="581" t="s">
        <v>483</v>
      </c>
      <c r="B35" s="603" t="s">
        <v>493</v>
      </c>
      <c r="C35" s="582" t="s">
        <v>504</v>
      </c>
      <c r="D35" s="583" t="s">
        <v>505</v>
      </c>
      <c r="E35" s="577">
        <v>25</v>
      </c>
      <c r="F35" s="577">
        <v>1.5</v>
      </c>
      <c r="G35" s="581"/>
      <c r="H35" s="604"/>
      <c r="I35" s="639" t="s">
        <v>506</v>
      </c>
      <c r="J35" s="640">
        <v>100</v>
      </c>
      <c r="K35" s="630"/>
      <c r="L35" s="630"/>
      <c r="M35" s="634"/>
      <c r="N35" s="634"/>
      <c r="O35" s="634"/>
      <c r="P35" s="634"/>
      <c r="Q35" s="634"/>
      <c r="R35" s="634"/>
      <c r="S35" s="634"/>
      <c r="T35" s="634"/>
      <c r="U35" s="634"/>
      <c r="V35" s="634"/>
      <c r="W35" s="634"/>
      <c r="X35" s="634"/>
      <c r="Y35" s="634"/>
      <c r="Z35" s="634"/>
      <c r="AA35" s="634"/>
      <c r="AB35" s="634"/>
      <c r="AC35" s="634"/>
      <c r="AD35" s="634"/>
      <c r="AE35" s="634"/>
      <c r="AF35" s="634"/>
      <c r="AG35" s="634"/>
      <c r="AI35" s="634"/>
      <c r="AJ35" s="634"/>
      <c r="AK35" s="634"/>
      <c r="AL35" s="634"/>
      <c r="AM35" s="634"/>
      <c r="AN35" s="634"/>
      <c r="AO35" s="634"/>
      <c r="AP35" s="634"/>
      <c r="AQ35" s="634"/>
      <c r="AR35" s="634"/>
      <c r="AS35" s="634"/>
      <c r="AT35" s="634"/>
      <c r="AU35" s="634"/>
      <c r="AV35" s="634"/>
      <c r="AX35" s="634"/>
      <c r="AY35" s="634"/>
      <c r="AZ35" s="634"/>
      <c r="BA35" s="634"/>
      <c r="BB35" s="634"/>
      <c r="BC35" s="634"/>
      <c r="BD35" s="634"/>
      <c r="BE35" s="634"/>
      <c r="BF35" s="634"/>
      <c r="BG35" s="634"/>
      <c r="BH35" s="634"/>
      <c r="BI35" s="634"/>
      <c r="BJ35" s="634"/>
      <c r="BK35" s="634"/>
      <c r="BL35" s="634"/>
      <c r="BM35" s="634"/>
      <c r="BN35" s="634"/>
      <c r="BO35" s="634"/>
      <c r="BP35" s="634"/>
      <c r="BQ35" s="634"/>
      <c r="BR35" s="634"/>
      <c r="BT35" s="634"/>
      <c r="BU35" s="634"/>
      <c r="BV35" s="634"/>
      <c r="BX35" s="634"/>
      <c r="BY35" s="634"/>
      <c r="BZ35" s="634"/>
      <c r="CB35" s="634"/>
      <c r="CC35" s="634"/>
      <c r="CD35" s="634"/>
      <c r="CF35" s="634"/>
      <c r="CG35" s="634"/>
      <c r="CH35" s="634"/>
      <c r="CJ35" s="634"/>
      <c r="CK35" s="634"/>
      <c r="CM35" s="634"/>
      <c r="CO35" s="634"/>
      <c r="CP35" s="634"/>
      <c r="CQ35" s="634"/>
      <c r="CS35" s="634"/>
      <c r="CT35" s="634"/>
      <c r="CU35" s="634"/>
      <c r="CW35" s="634"/>
      <c r="CX35" s="634"/>
      <c r="CY35" s="634"/>
      <c r="DA35" s="634"/>
      <c r="DB35" s="634"/>
      <c r="DC35" s="634"/>
      <c r="DD35" s="634"/>
      <c r="DE35" s="634"/>
      <c r="DF35" s="634"/>
      <c r="DH35" s="634"/>
      <c r="DI35" s="634"/>
      <c r="DJ35" s="634"/>
      <c r="DL35" s="634"/>
      <c r="DM35" s="634"/>
      <c r="DN35" s="634"/>
      <c r="DO35" s="634"/>
      <c r="DP35" s="634"/>
      <c r="DR35" s="634"/>
      <c r="DS35" s="634"/>
      <c r="DT35" s="634"/>
      <c r="DV35" s="634"/>
      <c r="DW35" s="634"/>
      <c r="DX35" s="634"/>
      <c r="DZ35" s="634"/>
      <c r="EA35" s="634"/>
      <c r="EB35" s="634"/>
      <c r="ED35" s="634"/>
      <c r="EE35" s="634"/>
      <c r="EF35" s="634"/>
      <c r="EH35" s="634"/>
      <c r="EI35" s="634"/>
      <c r="EJ35" s="634"/>
      <c r="EK35" s="634"/>
      <c r="EL35" s="634"/>
      <c r="EN35" s="634"/>
      <c r="EO35" s="634"/>
      <c r="EP35" s="634"/>
      <c r="ER35" s="634"/>
      <c r="ES35" s="634"/>
      <c r="ET35" s="634"/>
      <c r="EV35" s="634"/>
      <c r="EW35" s="634"/>
      <c r="EY35" s="634"/>
      <c r="EZ35" s="634"/>
      <c r="FA35" s="634"/>
      <c r="FB35" s="634"/>
      <c r="FC35" s="634"/>
      <c r="FD35" s="634"/>
      <c r="FE35" s="634"/>
      <c r="FF35" s="634"/>
      <c r="FG35" s="634"/>
      <c r="FH35" s="634"/>
      <c r="FI35" s="634"/>
      <c r="FJ35" s="634"/>
      <c r="FK35" s="634"/>
      <c r="FL35" s="634"/>
      <c r="FM35" s="634"/>
      <c r="FN35" s="634"/>
      <c r="FO35" s="634"/>
      <c r="FP35" s="634"/>
      <c r="FQ35" s="634"/>
      <c r="FS35" s="634"/>
      <c r="FT35" s="634"/>
      <c r="FU35" s="634"/>
      <c r="FV35" s="634"/>
      <c r="FW35" s="634"/>
      <c r="FX35" s="634"/>
      <c r="FY35" s="634"/>
      <c r="FZ35" s="634"/>
    </row>
    <row r="36" ht="24.95" customHeight="1" spans="1:182">
      <c r="A36" s="581" t="s">
        <v>483</v>
      </c>
      <c r="B36" s="603" t="s">
        <v>507</v>
      </c>
      <c r="C36" s="584"/>
      <c r="D36" s="583" t="s">
        <v>508</v>
      </c>
      <c r="E36" s="577">
        <v>14</v>
      </c>
      <c r="F36" s="577">
        <v>1.36</v>
      </c>
      <c r="G36" s="581"/>
      <c r="H36" s="576"/>
      <c r="I36" s="576"/>
      <c r="J36" s="576"/>
      <c r="K36" s="630"/>
      <c r="L36" s="630"/>
      <c r="M36" s="544"/>
      <c r="N36" s="544"/>
      <c r="O36" s="544"/>
      <c r="P36" s="544"/>
      <c r="Q36" s="544"/>
      <c r="S36" s="634"/>
      <c r="T36" s="634"/>
      <c r="U36" s="634"/>
      <c r="V36" s="634"/>
      <c r="W36" s="634"/>
      <c r="X36" s="634"/>
      <c r="Y36" s="634"/>
      <c r="Z36" s="634"/>
      <c r="AA36" s="634"/>
      <c r="AB36" s="634"/>
      <c r="AC36" s="634"/>
      <c r="AD36" s="634"/>
      <c r="AE36" s="634"/>
      <c r="AF36" s="634"/>
      <c r="AG36" s="634"/>
      <c r="AI36" s="634"/>
      <c r="AJ36" s="634"/>
      <c r="AK36" s="634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X36" s="634"/>
      <c r="AY36" s="634"/>
      <c r="AZ36" s="634"/>
      <c r="BA36" s="634"/>
      <c r="BB36" s="634"/>
      <c r="BC36" s="634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T36" s="634"/>
      <c r="BU36" s="634"/>
      <c r="BV36" s="634"/>
      <c r="BX36" s="634"/>
      <c r="BY36" s="634"/>
      <c r="BZ36" s="634"/>
      <c r="CB36" s="634"/>
      <c r="CC36" s="634"/>
      <c r="CD36" s="634"/>
      <c r="CF36" s="634"/>
      <c r="CG36" s="634"/>
      <c r="CH36" s="634"/>
      <c r="CJ36" s="634"/>
      <c r="CK36" s="634"/>
      <c r="CM36" s="634"/>
      <c r="CO36" s="634"/>
      <c r="CP36" s="634"/>
      <c r="CQ36" s="634"/>
      <c r="CS36" s="634"/>
      <c r="CT36" s="634"/>
      <c r="CU36" s="634"/>
      <c r="CW36" s="634"/>
      <c r="CX36" s="634"/>
      <c r="CY36" s="634"/>
      <c r="DA36" s="634"/>
      <c r="DB36" s="634"/>
      <c r="DC36" s="634"/>
      <c r="DD36" s="634"/>
      <c r="DE36" s="634"/>
      <c r="DF36" s="634"/>
      <c r="DH36" s="634"/>
      <c r="DI36" s="634"/>
      <c r="DJ36" s="634"/>
      <c r="DL36" s="634"/>
      <c r="DM36" s="634"/>
      <c r="DN36" s="634"/>
      <c r="DO36" s="634"/>
      <c r="DP36" s="634"/>
      <c r="DR36" s="634"/>
      <c r="DS36" s="634"/>
      <c r="DT36" s="634"/>
      <c r="DV36" s="634"/>
      <c r="DW36" s="634"/>
      <c r="DX36" s="634"/>
      <c r="DZ36" s="634"/>
      <c r="EA36" s="634"/>
      <c r="EB36" s="634"/>
      <c r="ED36" s="634"/>
      <c r="EE36" s="634"/>
      <c r="EF36" s="634"/>
      <c r="EH36" s="634"/>
      <c r="EI36" s="634"/>
      <c r="EJ36" s="634"/>
      <c r="EK36" s="634"/>
      <c r="EL36" s="634"/>
      <c r="EN36" s="634"/>
      <c r="EO36" s="634"/>
      <c r="EP36" s="634"/>
      <c r="ER36" s="634"/>
      <c r="ES36" s="634"/>
      <c r="ET36" s="634"/>
      <c r="EV36" s="634"/>
      <c r="EW36" s="634"/>
      <c r="EY36" s="634"/>
      <c r="EZ36" s="634"/>
      <c r="FA36" s="634"/>
      <c r="FB36" s="634"/>
      <c r="FC36" s="634"/>
      <c r="FD36" s="634"/>
      <c r="FE36" s="634"/>
      <c r="FF36" s="634"/>
      <c r="FG36" s="634"/>
      <c r="FH36" s="634"/>
      <c r="FI36" s="634"/>
      <c r="FJ36" s="634"/>
      <c r="FK36" s="634"/>
      <c r="FL36" s="634"/>
      <c r="FM36" s="634"/>
      <c r="FN36" s="634"/>
      <c r="FO36" s="634"/>
      <c r="FP36" s="634"/>
      <c r="FQ36" s="634"/>
      <c r="FS36" s="634"/>
      <c r="FT36" s="634"/>
      <c r="FU36" s="634"/>
      <c r="FV36" s="634"/>
      <c r="FW36" s="634"/>
      <c r="FX36" s="634"/>
      <c r="FY36" s="634"/>
      <c r="FZ36" s="634"/>
    </row>
    <row r="37" ht="24.95" customHeight="1" spans="1:182">
      <c r="A37" s="581" t="s">
        <v>483</v>
      </c>
      <c r="B37" s="603" t="s">
        <v>509</v>
      </c>
      <c r="C37" s="584"/>
      <c r="D37" s="583" t="s">
        <v>510</v>
      </c>
      <c r="E37" s="577">
        <v>8.4</v>
      </c>
      <c r="F37" s="577">
        <v>1.36</v>
      </c>
      <c r="G37" s="581"/>
      <c r="H37" s="605" t="s">
        <v>511</v>
      </c>
      <c r="I37" s="641" t="s">
        <v>439</v>
      </c>
      <c r="J37" s="638">
        <v>0.995</v>
      </c>
      <c r="K37" s="630"/>
      <c r="L37" s="630"/>
      <c r="M37" s="544"/>
      <c r="N37" s="544"/>
      <c r="O37" s="544"/>
      <c r="P37" s="544"/>
      <c r="Q37" s="544"/>
      <c r="S37" s="634"/>
      <c r="T37" s="634"/>
      <c r="U37" s="634"/>
      <c r="V37" s="634"/>
      <c r="W37" s="634"/>
      <c r="X37" s="634"/>
      <c r="Y37" s="634"/>
      <c r="Z37" s="634"/>
      <c r="AA37" s="634"/>
      <c r="AB37" s="634"/>
      <c r="AC37" s="634"/>
      <c r="AD37" s="634"/>
      <c r="AE37" s="634"/>
      <c r="AF37" s="634"/>
      <c r="AG37" s="634"/>
      <c r="AI37" s="634"/>
      <c r="AJ37" s="634"/>
      <c r="AK37" s="634"/>
      <c r="AL37" s="634"/>
      <c r="AM37" s="634"/>
      <c r="AN37" s="634"/>
      <c r="AO37" s="634"/>
      <c r="AP37" s="634"/>
      <c r="AQ37" s="634"/>
      <c r="AR37" s="634"/>
      <c r="AS37" s="634"/>
      <c r="AT37" s="634"/>
      <c r="AU37" s="634"/>
      <c r="AV37" s="634"/>
      <c r="AX37" s="634"/>
      <c r="AY37" s="634"/>
      <c r="AZ37" s="634"/>
      <c r="BA37" s="634"/>
      <c r="BB37" s="634"/>
      <c r="BC37" s="634"/>
      <c r="BD37" s="634"/>
      <c r="BE37" s="634"/>
      <c r="BF37" s="634"/>
      <c r="BG37" s="634"/>
      <c r="BH37" s="634"/>
      <c r="BI37" s="634"/>
      <c r="BJ37" s="634"/>
      <c r="BK37" s="634"/>
      <c r="BL37" s="634"/>
      <c r="BM37" s="634"/>
      <c r="BN37" s="634"/>
      <c r="BO37" s="634"/>
      <c r="BP37" s="634"/>
      <c r="BQ37" s="634"/>
      <c r="BR37" s="634"/>
      <c r="BT37" s="634"/>
      <c r="BU37" s="634"/>
      <c r="BV37" s="634"/>
      <c r="BX37" s="634"/>
      <c r="BY37" s="634"/>
      <c r="BZ37" s="634"/>
      <c r="CB37" s="634"/>
      <c r="CC37" s="634"/>
      <c r="CD37" s="634"/>
      <c r="CF37" s="634"/>
      <c r="CG37" s="634"/>
      <c r="CH37" s="634"/>
      <c r="CJ37" s="634"/>
      <c r="CK37" s="634"/>
      <c r="CM37" s="634"/>
      <c r="CO37" s="634"/>
      <c r="CP37" s="634"/>
      <c r="CQ37" s="634"/>
      <c r="CS37" s="634"/>
      <c r="CT37" s="634"/>
      <c r="CU37" s="634"/>
      <c r="CW37" s="634"/>
      <c r="CX37" s="634"/>
      <c r="CY37" s="634"/>
      <c r="DA37" s="634"/>
      <c r="DB37" s="634"/>
      <c r="DC37" s="634"/>
      <c r="DD37" s="634"/>
      <c r="DE37" s="634"/>
      <c r="DF37" s="634"/>
      <c r="DH37" s="634"/>
      <c r="DI37" s="634"/>
      <c r="DJ37" s="634"/>
      <c r="DL37" s="634"/>
      <c r="DM37" s="634"/>
      <c r="DN37" s="634"/>
      <c r="DO37" s="634"/>
      <c r="DP37" s="634"/>
      <c r="DR37" s="634"/>
      <c r="DS37" s="634"/>
      <c r="DT37" s="634"/>
      <c r="DV37" s="634"/>
      <c r="DW37" s="634"/>
      <c r="DX37" s="634"/>
      <c r="DZ37" s="634"/>
      <c r="EA37" s="634"/>
      <c r="EB37" s="634"/>
      <c r="ED37" s="634"/>
      <c r="EE37" s="634"/>
      <c r="EF37" s="634"/>
      <c r="EH37" s="634"/>
      <c r="EI37" s="634"/>
      <c r="EJ37" s="634"/>
      <c r="EK37" s="634"/>
      <c r="EL37" s="634"/>
      <c r="EN37" s="634"/>
      <c r="EO37" s="634"/>
      <c r="EP37" s="634"/>
      <c r="ER37" s="634"/>
      <c r="ES37" s="634"/>
      <c r="ET37" s="634"/>
      <c r="EV37" s="634"/>
      <c r="EW37" s="634"/>
      <c r="EY37" s="634"/>
      <c r="EZ37" s="634"/>
      <c r="FA37" s="634"/>
      <c r="FB37" s="634"/>
      <c r="FC37" s="634"/>
      <c r="FD37" s="634"/>
      <c r="FE37" s="634"/>
      <c r="FF37" s="634"/>
      <c r="FG37" s="634"/>
      <c r="FH37" s="634"/>
      <c r="FI37" s="634"/>
      <c r="FJ37" s="634"/>
      <c r="FK37" s="634"/>
      <c r="FL37" s="634"/>
      <c r="FM37" s="634"/>
      <c r="FN37" s="634"/>
      <c r="FO37" s="634"/>
      <c r="FP37" s="634"/>
      <c r="FQ37" s="634"/>
      <c r="FS37" s="634"/>
      <c r="FT37" s="634"/>
      <c r="FU37" s="634"/>
      <c r="FV37" s="634"/>
      <c r="FW37" s="634"/>
      <c r="FX37" s="634"/>
      <c r="FY37" s="634"/>
      <c r="FZ37" s="634"/>
    </row>
    <row r="38" ht="24.95" customHeight="1" spans="1:182">
      <c r="A38" s="581" t="s">
        <v>483</v>
      </c>
      <c r="B38" s="603" t="s">
        <v>493</v>
      </c>
      <c r="C38" s="584"/>
      <c r="D38" s="583" t="s">
        <v>512</v>
      </c>
      <c r="E38" s="577">
        <v>5</v>
      </c>
      <c r="F38" s="577">
        <v>1.93</v>
      </c>
      <c r="G38" s="581"/>
      <c r="H38" s="606"/>
      <c r="I38" s="577" t="s">
        <v>446</v>
      </c>
      <c r="J38" s="642">
        <v>0.04</v>
      </c>
      <c r="K38" s="630"/>
      <c r="L38" s="630"/>
      <c r="M38" s="544"/>
      <c r="N38" s="544"/>
      <c r="O38" s="634"/>
      <c r="P38" s="634"/>
      <c r="Q38" s="634"/>
      <c r="R38" s="634"/>
      <c r="S38" s="634"/>
      <c r="T38" s="634"/>
      <c r="U38" s="634"/>
      <c r="V38" s="634"/>
      <c r="W38" s="634"/>
      <c r="X38" s="634"/>
      <c r="Y38" s="634"/>
      <c r="Z38" s="634"/>
      <c r="AA38" s="634"/>
      <c r="AB38" s="634"/>
      <c r="AC38" s="634"/>
      <c r="AD38" s="634"/>
      <c r="AE38" s="634"/>
      <c r="AF38" s="634"/>
      <c r="AG38" s="634"/>
      <c r="AI38" s="634"/>
      <c r="AJ38" s="634"/>
      <c r="AK38" s="634"/>
      <c r="AL38" s="634"/>
      <c r="AM38" s="634"/>
      <c r="AN38" s="634"/>
      <c r="AO38" s="634"/>
      <c r="AP38" s="634"/>
      <c r="AQ38" s="634"/>
      <c r="AR38" s="634"/>
      <c r="AS38" s="634"/>
      <c r="AT38" s="634"/>
      <c r="AU38" s="634"/>
      <c r="AV38" s="634"/>
      <c r="AX38" s="634"/>
      <c r="AY38" s="634"/>
      <c r="AZ38" s="634"/>
      <c r="BA38" s="634"/>
      <c r="BB38" s="634"/>
      <c r="BC38" s="634"/>
      <c r="BD38" s="634"/>
      <c r="BE38" s="634"/>
      <c r="BF38" s="634"/>
      <c r="BG38" s="634"/>
      <c r="BH38" s="634"/>
      <c r="BI38" s="634"/>
      <c r="BJ38" s="634"/>
      <c r="BK38" s="634"/>
      <c r="BL38" s="634"/>
      <c r="BM38" s="634"/>
      <c r="BN38" s="634"/>
      <c r="BO38" s="634"/>
      <c r="BP38" s="634"/>
      <c r="BQ38" s="634"/>
      <c r="BR38" s="634"/>
      <c r="BT38" s="634"/>
      <c r="BU38" s="634"/>
      <c r="BV38" s="634"/>
      <c r="BX38" s="634"/>
      <c r="BY38" s="634"/>
      <c r="BZ38" s="634"/>
      <c r="CB38" s="634"/>
      <c r="CC38" s="634"/>
      <c r="CD38" s="634"/>
      <c r="CF38" s="634"/>
      <c r="CG38" s="634"/>
      <c r="CH38" s="634"/>
      <c r="CJ38" s="634"/>
      <c r="CK38" s="634"/>
      <c r="CM38" s="634"/>
      <c r="CO38" s="634"/>
      <c r="CP38" s="634"/>
      <c r="CQ38" s="634"/>
      <c r="CS38" s="634"/>
      <c r="CT38" s="634"/>
      <c r="CU38" s="634"/>
      <c r="CW38" s="634"/>
      <c r="CX38" s="634"/>
      <c r="CY38" s="634"/>
      <c r="DA38" s="634"/>
      <c r="DB38" s="634"/>
      <c r="DC38" s="634"/>
      <c r="DD38" s="634"/>
      <c r="DE38" s="634"/>
      <c r="DF38" s="634"/>
      <c r="DH38" s="634"/>
      <c r="DI38" s="634"/>
      <c r="DJ38" s="634"/>
      <c r="DL38" s="634"/>
      <c r="DM38" s="634"/>
      <c r="DN38" s="634"/>
      <c r="DO38" s="634"/>
      <c r="DP38" s="634"/>
      <c r="DR38" s="634"/>
      <c r="DS38" s="634"/>
      <c r="DT38" s="634"/>
      <c r="DV38" s="634"/>
      <c r="DW38" s="634"/>
      <c r="DX38" s="634"/>
      <c r="DZ38" s="634"/>
      <c r="EA38" s="634"/>
      <c r="EB38" s="634"/>
      <c r="ED38" s="634"/>
      <c r="EE38" s="634"/>
      <c r="EF38" s="634"/>
      <c r="EH38" s="634"/>
      <c r="EI38" s="634"/>
      <c r="EJ38" s="634"/>
      <c r="EK38" s="634"/>
      <c r="EL38" s="634"/>
      <c r="EN38" s="634"/>
      <c r="EO38" s="634"/>
      <c r="EP38" s="634"/>
      <c r="ER38" s="634"/>
      <c r="ES38" s="634"/>
      <c r="ET38" s="634"/>
      <c r="EV38" s="634"/>
      <c r="EW38" s="634"/>
      <c r="EY38" s="634"/>
      <c r="EZ38" s="634"/>
      <c r="FA38" s="634"/>
      <c r="FB38" s="634"/>
      <c r="FC38" s="634"/>
      <c r="FD38" s="634"/>
      <c r="FE38" s="634"/>
      <c r="FF38" s="634"/>
      <c r="FG38" s="634"/>
      <c r="FH38" s="634"/>
      <c r="FI38" s="634"/>
      <c r="FJ38" s="634"/>
      <c r="FK38" s="634"/>
      <c r="FL38" s="634"/>
      <c r="FM38" s="634"/>
      <c r="FN38" s="634"/>
      <c r="FO38" s="634"/>
      <c r="FP38" s="634"/>
      <c r="FQ38" s="634"/>
      <c r="FS38" s="634"/>
      <c r="FT38" s="634"/>
      <c r="FU38" s="634"/>
      <c r="FV38" s="634"/>
      <c r="FW38" s="634"/>
      <c r="FX38" s="634"/>
      <c r="FY38" s="634"/>
      <c r="FZ38" s="634"/>
    </row>
    <row r="39" ht="24.95" customHeight="1" spans="1:182">
      <c r="A39" s="581" t="s">
        <v>483</v>
      </c>
      <c r="B39" s="577" t="s">
        <v>507</v>
      </c>
      <c r="C39" s="584"/>
      <c r="D39" s="583" t="s">
        <v>513</v>
      </c>
      <c r="E39" s="586">
        <f>E36+6</f>
        <v>20</v>
      </c>
      <c r="F39" s="577">
        <v>0.3</v>
      </c>
      <c r="G39" s="581"/>
      <c r="H39" s="606"/>
      <c r="I39" s="577" t="s">
        <v>450</v>
      </c>
      <c r="J39" s="642">
        <v>0</v>
      </c>
      <c r="K39" s="630"/>
      <c r="L39" s="630"/>
      <c r="M39" s="544"/>
      <c r="N39" s="544"/>
      <c r="O39" s="634"/>
      <c r="P39" s="634"/>
      <c r="Q39" s="634"/>
      <c r="R39" s="634"/>
      <c r="S39" s="634"/>
      <c r="T39" s="634"/>
      <c r="U39" s="634"/>
      <c r="V39" s="634"/>
      <c r="W39" s="634"/>
      <c r="X39" s="634"/>
      <c r="Y39" s="634"/>
      <c r="Z39" s="634"/>
      <c r="AA39" s="634"/>
      <c r="AB39" s="634"/>
      <c r="AC39" s="634"/>
      <c r="AD39" s="634"/>
      <c r="AE39" s="634"/>
      <c r="AF39" s="634"/>
      <c r="AG39" s="634"/>
      <c r="AI39" s="634"/>
      <c r="AJ39" s="634"/>
      <c r="AK39" s="634"/>
      <c r="AL39" s="634"/>
      <c r="AM39" s="634"/>
      <c r="AN39" s="634"/>
      <c r="AO39" s="634"/>
      <c r="AP39" s="634"/>
      <c r="AQ39" s="634"/>
      <c r="AR39" s="634"/>
      <c r="AS39" s="634"/>
      <c r="AT39" s="634"/>
      <c r="AU39" s="634"/>
      <c r="AV39" s="634"/>
      <c r="AX39" s="634"/>
      <c r="AY39" s="634"/>
      <c r="AZ39" s="634"/>
      <c r="BA39" s="634"/>
      <c r="BB39" s="634"/>
      <c r="BC39" s="634"/>
      <c r="BD39" s="634"/>
      <c r="BE39" s="634"/>
      <c r="BF39" s="634"/>
      <c r="BG39" s="634"/>
      <c r="BH39" s="634"/>
      <c r="BI39" s="634"/>
      <c r="BJ39" s="634"/>
      <c r="BK39" s="634"/>
      <c r="BL39" s="634"/>
      <c r="BM39" s="634"/>
      <c r="BN39" s="634"/>
      <c r="BO39" s="634"/>
      <c r="BP39" s="634"/>
      <c r="BQ39" s="634"/>
      <c r="BR39" s="634"/>
      <c r="BT39" s="634"/>
      <c r="BU39" s="634"/>
      <c r="BV39" s="634"/>
      <c r="BX39" s="634"/>
      <c r="BY39" s="634"/>
      <c r="BZ39" s="634"/>
      <c r="CB39" s="634"/>
      <c r="CC39" s="634"/>
      <c r="CD39" s="634"/>
      <c r="CF39" s="634"/>
      <c r="CG39" s="634"/>
      <c r="CH39" s="634"/>
      <c r="CJ39" s="634"/>
      <c r="CK39" s="634"/>
      <c r="CM39" s="634"/>
      <c r="CO39" s="634"/>
      <c r="CP39" s="634"/>
      <c r="CQ39" s="634"/>
      <c r="CS39" s="634"/>
      <c r="CT39" s="634"/>
      <c r="CU39" s="634"/>
      <c r="CW39" s="634"/>
      <c r="CX39" s="634"/>
      <c r="CY39" s="634"/>
      <c r="DA39" s="634"/>
      <c r="DB39" s="634"/>
      <c r="DC39" s="634"/>
      <c r="DD39" s="634"/>
      <c r="DE39" s="634"/>
      <c r="DF39" s="634"/>
      <c r="DH39" s="634"/>
      <c r="DI39" s="634"/>
      <c r="DJ39" s="634"/>
      <c r="DL39" s="634"/>
      <c r="DM39" s="634"/>
      <c r="DN39" s="634"/>
      <c r="DO39" s="634"/>
      <c r="DP39" s="634"/>
      <c r="DR39" s="634"/>
      <c r="DS39" s="634"/>
      <c r="DT39" s="634"/>
      <c r="DV39" s="634"/>
      <c r="DW39" s="634"/>
      <c r="DX39" s="634"/>
      <c r="DZ39" s="634"/>
      <c r="EA39" s="634"/>
      <c r="EB39" s="634"/>
      <c r="ED39" s="634"/>
      <c r="EE39" s="634"/>
      <c r="EF39" s="634"/>
      <c r="EH39" s="634"/>
      <c r="EI39" s="634"/>
      <c r="EJ39" s="634"/>
      <c r="EK39" s="634"/>
      <c r="EL39" s="634"/>
      <c r="EN39" s="634"/>
      <c r="EO39" s="634"/>
      <c r="EP39" s="634"/>
      <c r="ER39" s="634"/>
      <c r="ES39" s="634"/>
      <c r="ET39" s="634"/>
      <c r="EV39" s="634"/>
      <c r="EW39" s="634"/>
      <c r="EY39" s="634"/>
      <c r="EZ39" s="634"/>
      <c r="FA39" s="634"/>
      <c r="FB39" s="634"/>
      <c r="FC39" s="634"/>
      <c r="FD39" s="634"/>
      <c r="FE39" s="634"/>
      <c r="FF39" s="634"/>
      <c r="FG39" s="634"/>
      <c r="FH39" s="634"/>
      <c r="FI39" s="634"/>
      <c r="FJ39" s="634"/>
      <c r="FK39" s="634"/>
      <c r="FL39" s="634"/>
      <c r="FM39" s="634"/>
      <c r="FN39" s="634"/>
      <c r="FO39" s="634"/>
      <c r="FP39" s="634"/>
      <c r="FQ39" s="634"/>
      <c r="FS39" s="634"/>
      <c r="FT39" s="634"/>
      <c r="FU39" s="634"/>
      <c r="FV39" s="634"/>
      <c r="FW39" s="634"/>
      <c r="FX39" s="634"/>
      <c r="FY39" s="634"/>
      <c r="FZ39" s="634"/>
    </row>
    <row r="40" ht="24.95" customHeight="1" spans="1:182">
      <c r="A40" s="576"/>
      <c r="B40" s="576"/>
      <c r="C40" s="584"/>
      <c r="D40" s="583" t="s">
        <v>514</v>
      </c>
      <c r="E40" s="586">
        <f>E36-1.1</f>
        <v>12.9</v>
      </c>
      <c r="F40" s="577">
        <v>0.99</v>
      </c>
      <c r="G40" s="581"/>
      <c r="H40" s="606"/>
      <c r="I40" s="577"/>
      <c r="J40" s="642"/>
      <c r="K40" s="630"/>
      <c r="L40" s="630"/>
      <c r="M40" s="634"/>
      <c r="N40" s="634"/>
      <c r="O40" s="634"/>
      <c r="P40" s="634"/>
      <c r="Q40" s="634"/>
      <c r="R40" s="634"/>
      <c r="S40" s="634"/>
      <c r="T40" s="634"/>
      <c r="U40" s="634"/>
      <c r="V40" s="634"/>
      <c r="W40" s="634"/>
      <c r="X40" s="634"/>
      <c r="Y40" s="634"/>
      <c r="Z40" s="634"/>
      <c r="AA40" s="634"/>
      <c r="AB40" s="634"/>
      <c r="AC40" s="634"/>
      <c r="AD40" s="634"/>
      <c r="AE40" s="634"/>
      <c r="AF40" s="634"/>
      <c r="AG40" s="634"/>
      <c r="AI40" s="634"/>
      <c r="AJ40" s="634"/>
      <c r="AK40" s="634"/>
      <c r="AL40" s="634"/>
      <c r="AM40" s="634"/>
      <c r="AN40" s="634"/>
      <c r="AO40" s="634"/>
      <c r="AP40" s="634"/>
      <c r="AQ40" s="634"/>
      <c r="AR40" s="634"/>
      <c r="AS40" s="634"/>
      <c r="AT40" s="634"/>
      <c r="AU40" s="634"/>
      <c r="AV40" s="634"/>
      <c r="AX40" s="634"/>
      <c r="AY40" s="634"/>
      <c r="AZ40" s="634"/>
      <c r="BA40" s="634"/>
      <c r="BB40" s="634"/>
      <c r="BC40" s="634"/>
      <c r="BD40" s="634"/>
      <c r="BE40" s="634"/>
      <c r="BF40" s="634"/>
      <c r="BG40" s="634"/>
      <c r="BH40" s="634"/>
      <c r="BI40" s="634"/>
      <c r="BJ40" s="634"/>
      <c r="BK40" s="634"/>
      <c r="BL40" s="634"/>
      <c r="BM40" s="634"/>
      <c r="BN40" s="634"/>
      <c r="BO40" s="634"/>
      <c r="BP40" s="634"/>
      <c r="BQ40" s="634"/>
      <c r="BR40" s="634"/>
      <c r="BT40" s="634"/>
      <c r="BU40" s="634"/>
      <c r="BV40" s="634"/>
      <c r="BX40" s="634"/>
      <c r="BY40" s="634"/>
      <c r="BZ40" s="634"/>
      <c r="CB40" s="634"/>
      <c r="CC40" s="634"/>
      <c r="CD40" s="634"/>
      <c r="CF40" s="634"/>
      <c r="CG40" s="634"/>
      <c r="CH40" s="634"/>
      <c r="CJ40" s="634"/>
      <c r="CK40" s="634"/>
      <c r="CM40" s="634"/>
      <c r="CO40" s="634"/>
      <c r="CP40" s="634"/>
      <c r="CQ40" s="634"/>
      <c r="CS40" s="634"/>
      <c r="CT40" s="634"/>
      <c r="CU40" s="634"/>
      <c r="CW40" s="634"/>
      <c r="CX40" s="634"/>
      <c r="CY40" s="634"/>
      <c r="DA40" s="634"/>
      <c r="DB40" s="634"/>
      <c r="DC40" s="634"/>
      <c r="DD40" s="634"/>
      <c r="DE40" s="634"/>
      <c r="DF40" s="634"/>
      <c r="DH40" s="634"/>
      <c r="DI40" s="634"/>
      <c r="DJ40" s="634"/>
      <c r="DL40" s="634"/>
      <c r="DM40" s="634"/>
      <c r="DN40" s="634"/>
      <c r="DO40" s="634"/>
      <c r="DP40" s="634"/>
      <c r="DR40" s="634"/>
      <c r="DS40" s="634"/>
      <c r="DT40" s="634"/>
      <c r="DV40" s="634"/>
      <c r="DW40" s="634"/>
      <c r="DX40" s="634"/>
      <c r="DZ40" s="634"/>
      <c r="EA40" s="634"/>
      <c r="EB40" s="634"/>
      <c r="ED40" s="634"/>
      <c r="EE40" s="634"/>
      <c r="EF40" s="634"/>
      <c r="EH40" s="634"/>
      <c r="EI40" s="634"/>
      <c r="EJ40" s="634"/>
      <c r="EK40" s="634"/>
      <c r="EL40" s="634"/>
      <c r="EN40" s="634"/>
      <c r="EO40" s="634"/>
      <c r="EP40" s="634"/>
      <c r="ER40" s="634"/>
      <c r="ES40" s="634"/>
      <c r="ET40" s="634"/>
      <c r="EV40" s="634"/>
      <c r="EW40" s="634"/>
      <c r="EY40" s="634"/>
      <c r="EZ40" s="634"/>
      <c r="FA40" s="634"/>
      <c r="FB40" s="634"/>
      <c r="FC40" s="634"/>
      <c r="FD40" s="634"/>
      <c r="FE40" s="634"/>
      <c r="FF40" s="634"/>
      <c r="FG40" s="634"/>
      <c r="FH40" s="634"/>
      <c r="FI40" s="634"/>
      <c r="FJ40" s="634"/>
      <c r="FK40" s="634"/>
      <c r="FL40" s="634"/>
      <c r="FM40" s="634"/>
      <c r="FN40" s="634"/>
      <c r="FO40" s="634"/>
      <c r="FP40" s="634"/>
      <c r="FQ40" s="634"/>
      <c r="FS40" s="634"/>
      <c r="FT40" s="634"/>
      <c r="FU40" s="634"/>
      <c r="FV40" s="634"/>
      <c r="FW40" s="634"/>
      <c r="FX40" s="634"/>
      <c r="FY40" s="634"/>
      <c r="FZ40" s="634"/>
    </row>
    <row r="41" ht="24.95" customHeight="1" spans="1:182">
      <c r="A41" s="581" t="s">
        <v>483</v>
      </c>
      <c r="B41" s="577" t="s">
        <v>515</v>
      </c>
      <c r="C41" s="591"/>
      <c r="D41" s="583" t="s">
        <v>516</v>
      </c>
      <c r="E41" s="586">
        <f>E38-1.4</f>
        <v>3.6</v>
      </c>
      <c r="F41" s="577">
        <v>1.67</v>
      </c>
      <c r="G41" s="581"/>
      <c r="H41" s="607"/>
      <c r="I41" s="639" t="s">
        <v>506</v>
      </c>
      <c r="J41" s="640">
        <v>100</v>
      </c>
      <c r="K41" s="630"/>
      <c r="L41" s="630"/>
      <c r="M41" s="544"/>
      <c r="N41" s="544"/>
      <c r="O41" s="634"/>
      <c r="P41" s="634"/>
      <c r="Q41" s="634"/>
      <c r="R41" s="634"/>
      <c r="S41" s="634"/>
      <c r="T41" s="634"/>
      <c r="U41" s="634"/>
      <c r="V41" s="634"/>
      <c r="W41" s="634"/>
      <c r="X41" s="634"/>
      <c r="Y41" s="634"/>
      <c r="Z41" s="634"/>
      <c r="AA41" s="634"/>
      <c r="AB41" s="634"/>
      <c r="AC41" s="634"/>
      <c r="AD41" s="634"/>
      <c r="AE41" s="634"/>
      <c r="AF41" s="634"/>
      <c r="AG41" s="634"/>
      <c r="AI41" s="634"/>
      <c r="AJ41" s="634"/>
      <c r="AK41" s="634"/>
      <c r="AL41" s="634"/>
      <c r="AM41" s="634"/>
      <c r="AN41" s="634"/>
      <c r="AO41" s="634"/>
      <c r="AP41" s="634"/>
      <c r="AQ41" s="634"/>
      <c r="AR41" s="634"/>
      <c r="AS41" s="634"/>
      <c r="AT41" s="634"/>
      <c r="AU41" s="634"/>
      <c r="AV41" s="634"/>
      <c r="AX41" s="634"/>
      <c r="AY41" s="634"/>
      <c r="AZ41" s="634"/>
      <c r="BA41" s="634"/>
      <c r="BB41" s="634"/>
      <c r="BC41" s="634"/>
      <c r="BD41" s="634"/>
      <c r="BE41" s="634"/>
      <c r="BF41" s="634"/>
      <c r="BG41" s="634"/>
      <c r="BH41" s="634"/>
      <c r="BI41" s="634"/>
      <c r="BJ41" s="634"/>
      <c r="BK41" s="634"/>
      <c r="BL41" s="634"/>
      <c r="BM41" s="634"/>
      <c r="BN41" s="634"/>
      <c r="BO41" s="634"/>
      <c r="BP41" s="634"/>
      <c r="BQ41" s="634"/>
      <c r="BR41" s="634"/>
      <c r="BT41" s="634"/>
      <c r="BU41" s="634"/>
      <c r="BV41" s="634"/>
      <c r="BX41" s="634"/>
      <c r="BY41" s="634"/>
      <c r="BZ41" s="634"/>
      <c r="CB41" s="634"/>
      <c r="CC41" s="634"/>
      <c r="CD41" s="634"/>
      <c r="CF41" s="634"/>
      <c r="CG41" s="634"/>
      <c r="CH41" s="634"/>
      <c r="CJ41" s="634"/>
      <c r="CK41" s="634"/>
      <c r="CM41" s="634"/>
      <c r="CO41" s="634"/>
      <c r="CP41" s="634"/>
      <c r="CQ41" s="634"/>
      <c r="CS41" s="634"/>
      <c r="CT41" s="634"/>
      <c r="CU41" s="634"/>
      <c r="CW41" s="634"/>
      <c r="CX41" s="634"/>
      <c r="CY41" s="634"/>
      <c r="DA41" s="634"/>
      <c r="DB41" s="634"/>
      <c r="DC41" s="634"/>
      <c r="DD41" s="634"/>
      <c r="DE41" s="634"/>
      <c r="DF41" s="634"/>
      <c r="DH41" s="634"/>
      <c r="DI41" s="634"/>
      <c r="DJ41" s="634"/>
      <c r="DL41" s="634"/>
      <c r="DM41" s="634"/>
      <c r="DN41" s="634"/>
      <c r="DO41" s="634"/>
      <c r="DP41" s="634"/>
      <c r="DR41" s="634"/>
      <c r="DS41" s="634"/>
      <c r="DT41" s="634"/>
      <c r="DV41" s="634"/>
      <c r="DW41" s="634"/>
      <c r="DX41" s="634"/>
      <c r="DZ41" s="634"/>
      <c r="EA41" s="634"/>
      <c r="EB41" s="634"/>
      <c r="ED41" s="634"/>
      <c r="EE41" s="634"/>
      <c r="EF41" s="634"/>
      <c r="EH41" s="634"/>
      <c r="EI41" s="634"/>
      <c r="EJ41" s="634"/>
      <c r="EK41" s="634"/>
      <c r="EL41" s="634"/>
      <c r="EN41" s="634"/>
      <c r="EO41" s="634"/>
      <c r="EP41" s="634"/>
      <c r="ER41" s="634"/>
      <c r="ES41" s="634"/>
      <c r="ET41" s="634"/>
      <c r="EV41" s="634"/>
      <c r="EW41" s="634"/>
      <c r="EY41" s="634"/>
      <c r="EZ41" s="634"/>
      <c r="FA41" s="634"/>
      <c r="FB41" s="634"/>
      <c r="FC41" s="634"/>
      <c r="FD41" s="634"/>
      <c r="FE41" s="634"/>
      <c r="FF41" s="634"/>
      <c r="FG41" s="634"/>
      <c r="FH41" s="634"/>
      <c r="FI41" s="634"/>
      <c r="FJ41" s="634"/>
      <c r="FK41" s="634"/>
      <c r="FL41" s="634"/>
      <c r="FM41" s="634"/>
      <c r="FN41" s="634"/>
      <c r="FO41" s="634"/>
      <c r="FP41" s="634"/>
      <c r="FQ41" s="634"/>
      <c r="FS41" s="634"/>
      <c r="FT41" s="634"/>
      <c r="FU41" s="634"/>
      <c r="FV41" s="634"/>
      <c r="FW41" s="634"/>
      <c r="FX41" s="634"/>
      <c r="FY41" s="634"/>
      <c r="FZ41" s="634"/>
    </row>
    <row r="42" ht="24.95" customHeight="1" spans="1:182">
      <c r="A42" s="576"/>
      <c r="B42" s="603" t="s">
        <v>517</v>
      </c>
      <c r="C42" s="576"/>
      <c r="D42" s="576"/>
      <c r="E42" s="576"/>
      <c r="F42" s="576"/>
      <c r="G42" s="581"/>
      <c r="H42" s="576"/>
      <c r="I42" s="576"/>
      <c r="J42" s="576"/>
      <c r="K42" s="544"/>
      <c r="L42" s="544"/>
      <c r="M42" s="544"/>
      <c r="N42" s="544"/>
      <c r="O42" s="634"/>
      <c r="P42" s="634"/>
      <c r="Q42" s="634"/>
      <c r="R42" s="634"/>
      <c r="S42" s="634"/>
      <c r="T42" s="634"/>
      <c r="U42" s="634"/>
      <c r="V42" s="634"/>
      <c r="W42" s="634"/>
      <c r="X42" s="634"/>
      <c r="Y42" s="634"/>
      <c r="Z42" s="634"/>
      <c r="AA42" s="634"/>
      <c r="AB42" s="634"/>
      <c r="AD42" s="634"/>
      <c r="AE42" s="634"/>
      <c r="AG42" s="634"/>
      <c r="AI42" s="634"/>
      <c r="AJ42" s="634"/>
      <c r="AK42" s="634"/>
      <c r="AL42" s="634"/>
      <c r="AM42" s="634"/>
      <c r="AN42" s="634"/>
      <c r="AO42" s="634"/>
      <c r="AP42" s="634"/>
      <c r="AQ42" s="634"/>
      <c r="AR42" s="634"/>
      <c r="AS42" s="634"/>
      <c r="AT42" s="634"/>
      <c r="AU42" s="634"/>
      <c r="AV42" s="634"/>
      <c r="AX42" s="634"/>
      <c r="AY42" s="634"/>
      <c r="AZ42" s="634"/>
      <c r="BA42" s="634"/>
      <c r="BB42" s="634"/>
      <c r="BC42" s="634"/>
      <c r="BD42" s="634"/>
      <c r="BE42" s="634"/>
      <c r="BF42" s="634"/>
      <c r="BG42" s="634"/>
      <c r="BH42" s="634"/>
      <c r="BJ42" s="634"/>
      <c r="BK42" s="634"/>
      <c r="BL42" s="634"/>
      <c r="BN42" s="634"/>
      <c r="BO42" s="634"/>
      <c r="BP42" s="634"/>
      <c r="BQ42" s="634"/>
      <c r="BR42" s="634"/>
      <c r="BT42" s="634"/>
      <c r="BU42" s="634"/>
      <c r="BV42" s="634"/>
      <c r="BX42" s="634"/>
      <c r="BY42" s="634"/>
      <c r="BZ42" s="634"/>
      <c r="CB42" s="634"/>
      <c r="CC42" s="634"/>
      <c r="CD42" s="634"/>
      <c r="CF42" s="634"/>
      <c r="CG42" s="634"/>
      <c r="CH42" s="634"/>
      <c r="CJ42" s="634"/>
      <c r="CK42" s="634"/>
      <c r="CM42" s="634"/>
      <c r="CO42" s="634"/>
      <c r="CP42" s="634"/>
      <c r="CQ42" s="634"/>
      <c r="CS42" s="634"/>
      <c r="CT42" s="634"/>
      <c r="CU42" s="634"/>
      <c r="CW42" s="634"/>
      <c r="CX42" s="634"/>
      <c r="CY42" s="634"/>
      <c r="DA42" s="634"/>
      <c r="DB42" s="634"/>
      <c r="DC42" s="634"/>
      <c r="DD42" s="634"/>
      <c r="DE42" s="634"/>
      <c r="DF42" s="634"/>
      <c r="DH42" s="634"/>
      <c r="DI42" s="634"/>
      <c r="DJ42" s="634"/>
      <c r="DL42" s="634"/>
      <c r="DM42" s="634"/>
      <c r="DN42" s="634"/>
      <c r="DO42" s="634"/>
      <c r="DP42" s="634"/>
      <c r="DR42" s="634"/>
      <c r="DS42" s="634"/>
      <c r="DT42" s="634"/>
      <c r="DV42" s="634"/>
      <c r="DW42" s="634"/>
      <c r="DX42" s="634"/>
      <c r="DZ42" s="634"/>
      <c r="EA42" s="634"/>
      <c r="EB42" s="634"/>
      <c r="ED42" s="634"/>
      <c r="EE42" s="634"/>
      <c r="EF42" s="634"/>
      <c r="EH42" s="634"/>
      <c r="EI42" s="634"/>
      <c r="EJ42" s="634"/>
      <c r="EK42" s="634"/>
      <c r="EL42" s="634"/>
      <c r="EN42" s="634"/>
      <c r="EO42" s="634"/>
      <c r="EP42" s="634"/>
      <c r="ER42" s="634"/>
      <c r="ES42" s="634"/>
      <c r="ET42" s="634"/>
      <c r="EV42" s="634"/>
      <c r="EW42" s="634"/>
      <c r="EY42" s="634"/>
      <c r="EZ42" s="634"/>
      <c r="FA42" s="634"/>
      <c r="FB42" s="634"/>
      <c r="FC42" s="634"/>
      <c r="FD42" s="634"/>
      <c r="FE42" s="634"/>
      <c r="FF42" s="634"/>
      <c r="FG42" s="634"/>
      <c r="FH42" s="634"/>
      <c r="FI42" s="634"/>
      <c r="FJ42" s="634"/>
      <c r="FK42" s="634"/>
      <c r="FL42" s="634"/>
      <c r="FM42" s="634"/>
      <c r="FN42" s="634"/>
      <c r="FO42" s="634"/>
      <c r="FP42" s="634"/>
      <c r="FQ42" s="634"/>
      <c r="FS42" s="634"/>
      <c r="FT42" s="634"/>
      <c r="FU42" s="634"/>
      <c r="FV42" s="634"/>
      <c r="FW42" s="634"/>
      <c r="FX42" s="634"/>
      <c r="FY42" s="634"/>
      <c r="FZ42" s="634"/>
    </row>
    <row r="43" ht="24.95" customHeight="1" spans="1:182">
      <c r="A43" s="576"/>
      <c r="B43" s="608"/>
      <c r="C43" s="590" t="s">
        <v>518</v>
      </c>
      <c r="D43" s="583" t="s">
        <v>518</v>
      </c>
      <c r="E43" s="577">
        <v>5.8</v>
      </c>
      <c r="F43" s="577">
        <v>7.82</v>
      </c>
      <c r="G43" s="581"/>
      <c r="H43" s="605" t="s">
        <v>519</v>
      </c>
      <c r="I43" s="641" t="s">
        <v>439</v>
      </c>
      <c r="J43" s="638">
        <v>0.995</v>
      </c>
      <c r="K43" s="544"/>
      <c r="L43" s="544"/>
      <c r="M43" s="544"/>
      <c r="N43" s="544"/>
      <c r="O43" s="634"/>
      <c r="P43" s="634"/>
      <c r="Q43" s="634"/>
      <c r="R43" s="634"/>
      <c r="S43" s="634"/>
      <c r="T43" s="634"/>
      <c r="U43" s="634"/>
      <c r="V43" s="634"/>
      <c r="W43" s="634"/>
      <c r="X43" s="634"/>
      <c r="Y43" s="634"/>
      <c r="Z43" s="634"/>
      <c r="AA43" s="634"/>
      <c r="AB43" s="634"/>
      <c r="AD43" s="634"/>
      <c r="AE43" s="634"/>
      <c r="AG43" s="634"/>
      <c r="AI43" s="634"/>
      <c r="AJ43" s="634"/>
      <c r="AK43" s="634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X43" s="634"/>
      <c r="AY43" s="634"/>
      <c r="AZ43" s="634"/>
      <c r="BA43" s="634"/>
      <c r="BB43" s="634"/>
      <c r="BC43" s="634"/>
      <c r="BD43" s="634"/>
      <c r="BE43" s="634"/>
      <c r="BF43" s="634"/>
      <c r="BG43" s="634"/>
      <c r="BH43" s="634"/>
      <c r="BJ43" s="634"/>
      <c r="BK43" s="634"/>
      <c r="BL43" s="634"/>
      <c r="BN43" s="634"/>
      <c r="BO43" s="634"/>
      <c r="BP43" s="634"/>
      <c r="BQ43" s="634"/>
      <c r="BR43" s="634"/>
      <c r="BT43" s="634"/>
      <c r="BU43" s="634"/>
      <c r="BV43" s="634"/>
      <c r="BX43" s="634"/>
      <c r="BY43" s="634"/>
      <c r="BZ43" s="634"/>
      <c r="CB43" s="634"/>
      <c r="CC43" s="634"/>
      <c r="CD43" s="634"/>
      <c r="CF43" s="634"/>
      <c r="CG43" s="634"/>
      <c r="CH43" s="634"/>
      <c r="CJ43" s="634"/>
      <c r="CK43" s="634"/>
      <c r="CM43" s="634"/>
      <c r="CO43" s="634"/>
      <c r="CP43" s="634"/>
      <c r="CQ43" s="634"/>
      <c r="CS43" s="634"/>
      <c r="CT43" s="634"/>
      <c r="CU43" s="634"/>
      <c r="CW43" s="634"/>
      <c r="CX43" s="634"/>
      <c r="CY43" s="634"/>
      <c r="DA43" s="634"/>
      <c r="DB43" s="634"/>
      <c r="DC43" s="634"/>
      <c r="DD43" s="634"/>
      <c r="DE43" s="634"/>
      <c r="DF43" s="634"/>
      <c r="DH43" s="634"/>
      <c r="DI43" s="634"/>
      <c r="DJ43" s="634"/>
      <c r="DL43" s="634"/>
      <c r="DM43" s="634"/>
      <c r="DN43" s="634"/>
      <c r="DO43" s="634"/>
      <c r="DP43" s="634"/>
      <c r="DR43" s="634"/>
      <c r="DS43" s="634"/>
      <c r="DT43" s="634"/>
      <c r="DV43" s="634"/>
      <c r="DW43" s="634"/>
      <c r="DX43" s="634"/>
      <c r="DZ43" s="634"/>
      <c r="EA43" s="634"/>
      <c r="EB43" s="634"/>
      <c r="ED43" s="634"/>
      <c r="EE43" s="634"/>
      <c r="EF43" s="634"/>
      <c r="EH43" s="634"/>
      <c r="EI43" s="634"/>
      <c r="EJ43" s="634"/>
      <c r="EK43" s="634"/>
      <c r="EL43" s="634"/>
      <c r="EN43" s="634"/>
      <c r="EO43" s="634"/>
      <c r="EP43" s="634"/>
      <c r="ER43" s="634"/>
      <c r="ES43" s="634"/>
      <c r="ET43" s="634"/>
      <c r="EV43" s="634"/>
      <c r="EW43" s="634"/>
      <c r="EY43" s="634"/>
      <c r="EZ43" s="634"/>
      <c r="FA43" s="634"/>
      <c r="FB43" s="634"/>
      <c r="FC43" s="634"/>
      <c r="FD43" s="634"/>
      <c r="FE43" s="634"/>
      <c r="FF43" s="634"/>
      <c r="FG43" s="634"/>
      <c r="FH43" s="634"/>
      <c r="FI43" s="634"/>
      <c r="FJ43" s="634"/>
      <c r="FK43" s="634"/>
      <c r="FL43" s="634"/>
      <c r="FM43" s="634"/>
      <c r="FN43" s="634"/>
      <c r="FO43" s="634"/>
      <c r="FP43" s="634"/>
      <c r="FQ43" s="634"/>
      <c r="FS43" s="634"/>
      <c r="FT43" s="634"/>
      <c r="FU43" s="634"/>
      <c r="FV43" s="634"/>
      <c r="FW43" s="634"/>
      <c r="FX43" s="634"/>
      <c r="FY43" s="634"/>
      <c r="FZ43" s="634"/>
    </row>
    <row r="44" ht="24.95" customHeight="1" spans="1:182">
      <c r="A44" s="576"/>
      <c r="B44" s="603" t="s">
        <v>520</v>
      </c>
      <c r="C44" s="581"/>
      <c r="D44" s="583" t="s">
        <v>521</v>
      </c>
      <c r="E44" s="586">
        <f>E43+5</f>
        <v>10.8</v>
      </c>
      <c r="F44" s="577">
        <v>7.82</v>
      </c>
      <c r="G44" s="581"/>
      <c r="H44" s="606"/>
      <c r="I44" s="577" t="s">
        <v>446</v>
      </c>
      <c r="J44" s="642">
        <v>0.03</v>
      </c>
      <c r="K44" s="630"/>
      <c r="L44" s="630"/>
      <c r="M44" s="544"/>
      <c r="N44" s="544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4"/>
      <c r="Z44" s="634"/>
      <c r="AA44" s="634"/>
      <c r="AB44" s="634"/>
      <c r="AD44" s="634"/>
      <c r="AE44" s="634"/>
      <c r="AG44" s="634"/>
      <c r="AI44" s="634"/>
      <c r="AJ44" s="634"/>
      <c r="AK44" s="634"/>
      <c r="AL44" s="634"/>
      <c r="AM44" s="634"/>
      <c r="AN44" s="634"/>
      <c r="AO44" s="634"/>
      <c r="AP44" s="634"/>
      <c r="AQ44" s="634"/>
      <c r="AR44" s="634"/>
      <c r="AS44" s="634"/>
      <c r="AT44" s="634"/>
      <c r="AU44" s="634"/>
      <c r="AV44" s="634"/>
      <c r="AX44" s="634"/>
      <c r="AY44" s="634"/>
      <c r="AZ44" s="634"/>
      <c r="BA44" s="634"/>
      <c r="BB44" s="634"/>
      <c r="BC44" s="634"/>
      <c r="BD44" s="634"/>
      <c r="BE44" s="634"/>
      <c r="BF44" s="634"/>
      <c r="BG44" s="634"/>
      <c r="BH44" s="634"/>
      <c r="BJ44" s="634"/>
      <c r="BK44" s="634"/>
      <c r="BL44" s="634"/>
      <c r="BN44" s="634"/>
      <c r="BO44" s="634"/>
      <c r="BP44" s="634"/>
      <c r="BQ44" s="634"/>
      <c r="BR44" s="634"/>
      <c r="BT44" s="634"/>
      <c r="BU44" s="634"/>
      <c r="BV44" s="634"/>
      <c r="BX44" s="634"/>
      <c r="BY44" s="634"/>
      <c r="BZ44" s="634"/>
      <c r="CB44" s="634"/>
      <c r="CC44" s="634"/>
      <c r="CD44" s="634"/>
      <c r="CF44" s="634"/>
      <c r="CG44" s="634"/>
      <c r="CH44" s="634"/>
      <c r="CJ44" s="634"/>
      <c r="CK44" s="634"/>
      <c r="CM44" s="634"/>
      <c r="CO44" s="634"/>
      <c r="CP44" s="634"/>
      <c r="CQ44" s="634"/>
      <c r="CS44" s="634"/>
      <c r="CT44" s="634"/>
      <c r="CU44" s="634"/>
      <c r="CW44" s="634"/>
      <c r="CX44" s="634"/>
      <c r="CY44" s="634"/>
      <c r="DA44" s="634"/>
      <c r="DB44" s="634"/>
      <c r="DC44" s="634"/>
      <c r="DD44" s="634"/>
      <c r="DE44" s="634"/>
      <c r="DF44" s="634"/>
      <c r="DH44" s="634"/>
      <c r="DI44" s="634"/>
      <c r="DJ44" s="634"/>
      <c r="DL44" s="634"/>
      <c r="DM44" s="634"/>
      <c r="DN44" s="634"/>
      <c r="DO44" s="634"/>
      <c r="DP44" s="634"/>
      <c r="DR44" s="634"/>
      <c r="DS44" s="634"/>
      <c r="DT44" s="634"/>
      <c r="DV44" s="634"/>
      <c r="DW44" s="634"/>
      <c r="DX44" s="634"/>
      <c r="DZ44" s="634"/>
      <c r="EA44" s="634"/>
      <c r="EB44" s="634"/>
      <c r="ED44" s="634"/>
      <c r="EE44" s="634"/>
      <c r="EF44" s="634"/>
      <c r="EH44" s="634"/>
      <c r="EI44" s="634"/>
      <c r="EJ44" s="634"/>
      <c r="EK44" s="634"/>
      <c r="EL44" s="634"/>
      <c r="EN44" s="634"/>
      <c r="EO44" s="634"/>
      <c r="EP44" s="634"/>
      <c r="ER44" s="634"/>
      <c r="ES44" s="634"/>
      <c r="ET44" s="634"/>
      <c r="EV44" s="634"/>
      <c r="EW44" s="634"/>
      <c r="EY44" s="634"/>
      <c r="EZ44" s="634"/>
      <c r="FA44" s="634"/>
      <c r="FB44" s="634"/>
      <c r="FC44" s="634"/>
      <c r="FD44" s="634"/>
      <c r="FE44" s="634"/>
      <c r="FF44" s="634"/>
      <c r="FG44" s="634"/>
      <c r="FH44" s="634"/>
      <c r="FI44" s="634"/>
      <c r="FJ44" s="634"/>
      <c r="FK44" s="634"/>
      <c r="FL44" s="634"/>
      <c r="FM44" s="634"/>
      <c r="FN44" s="634"/>
      <c r="FO44" s="634"/>
      <c r="FP44" s="634"/>
      <c r="FQ44" s="634"/>
      <c r="FS44" s="634"/>
      <c r="FT44" s="634"/>
      <c r="FU44" s="634"/>
      <c r="FV44" s="634"/>
      <c r="FW44" s="634"/>
      <c r="FX44" s="634"/>
      <c r="FY44" s="634"/>
      <c r="FZ44" s="634"/>
    </row>
    <row r="45" ht="24.95" customHeight="1" spans="1:182">
      <c r="A45" s="576"/>
      <c r="B45" s="603" t="s">
        <v>522</v>
      </c>
      <c r="C45" s="581"/>
      <c r="D45" s="577" t="s">
        <v>523</v>
      </c>
      <c r="E45" s="577">
        <v>9.8</v>
      </c>
      <c r="F45" s="577">
        <v>0.91</v>
      </c>
      <c r="G45" s="581"/>
      <c r="H45" s="606"/>
      <c r="I45" s="577" t="s">
        <v>450</v>
      </c>
      <c r="J45" s="642">
        <v>0</v>
      </c>
      <c r="K45" s="630"/>
      <c r="L45" s="630"/>
      <c r="M45" s="634"/>
      <c r="N45" s="634"/>
      <c r="O45" s="634"/>
      <c r="P45" s="634"/>
      <c r="Q45" s="634"/>
      <c r="R45" s="634"/>
      <c r="S45" s="634"/>
      <c r="T45" s="634"/>
      <c r="U45" s="634"/>
      <c r="V45" s="634"/>
      <c r="W45" s="634"/>
      <c r="X45" s="634"/>
      <c r="Y45" s="634"/>
      <c r="Z45" s="634"/>
      <c r="AA45" s="634"/>
      <c r="AB45" s="634"/>
      <c r="AD45" s="634"/>
      <c r="AE45" s="634"/>
      <c r="AG45" s="634"/>
      <c r="AI45" s="634"/>
      <c r="AJ45" s="634"/>
      <c r="AK45" s="634"/>
      <c r="AL45" s="634"/>
      <c r="AM45" s="634"/>
      <c r="AN45" s="634"/>
      <c r="AO45" s="634"/>
      <c r="AP45" s="634"/>
      <c r="AQ45" s="634"/>
      <c r="AR45" s="634"/>
      <c r="AS45" s="634"/>
      <c r="AT45" s="634"/>
      <c r="AU45" s="634"/>
      <c r="AV45" s="634"/>
      <c r="AX45" s="634"/>
      <c r="AY45" s="634"/>
      <c r="AZ45" s="634"/>
      <c r="BA45" s="634"/>
      <c r="BB45" s="634"/>
      <c r="BC45" s="634"/>
      <c r="BD45" s="634"/>
      <c r="BE45" s="634"/>
      <c r="BF45" s="634"/>
      <c r="BG45" s="634"/>
      <c r="BH45" s="634"/>
      <c r="BJ45" s="634"/>
      <c r="BK45" s="634"/>
      <c r="BL45" s="634"/>
      <c r="BN45" s="634"/>
      <c r="BO45" s="634"/>
      <c r="BP45" s="634"/>
      <c r="BQ45" s="634"/>
      <c r="BR45" s="634"/>
      <c r="BT45" s="634"/>
      <c r="BU45" s="634"/>
      <c r="BV45" s="634"/>
      <c r="BX45" s="634"/>
      <c r="BY45" s="634"/>
      <c r="BZ45" s="634"/>
      <c r="CB45" s="634"/>
      <c r="CC45" s="634"/>
      <c r="CD45" s="634"/>
      <c r="CF45" s="634"/>
      <c r="CG45" s="634"/>
      <c r="CH45" s="634"/>
      <c r="CJ45" s="634"/>
      <c r="CK45" s="634"/>
      <c r="CM45" s="634"/>
      <c r="CO45" s="634"/>
      <c r="CP45" s="634"/>
      <c r="CQ45" s="634"/>
      <c r="CS45" s="634"/>
      <c r="CT45" s="634"/>
      <c r="CU45" s="634"/>
      <c r="CW45" s="634"/>
      <c r="CX45" s="634"/>
      <c r="CY45" s="634"/>
      <c r="DA45" s="634"/>
      <c r="DB45" s="634"/>
      <c r="DC45" s="634"/>
      <c r="DD45" s="634"/>
      <c r="DE45" s="634"/>
      <c r="DF45" s="634"/>
      <c r="DH45" s="634"/>
      <c r="DI45" s="634"/>
      <c r="DJ45" s="634"/>
      <c r="DL45" s="634"/>
      <c r="DM45" s="634"/>
      <c r="DN45" s="634"/>
      <c r="DO45" s="634"/>
      <c r="DP45" s="634"/>
      <c r="DR45" s="634"/>
      <c r="DS45" s="634"/>
      <c r="DT45" s="634"/>
      <c r="DV45" s="634"/>
      <c r="DW45" s="634"/>
      <c r="DX45" s="634"/>
      <c r="DZ45" s="634"/>
      <c r="EA45" s="634"/>
      <c r="EB45" s="634"/>
      <c r="ED45" s="634"/>
      <c r="EE45" s="634"/>
      <c r="EF45" s="634"/>
      <c r="EH45" s="634"/>
      <c r="EI45" s="634"/>
      <c r="EJ45" s="634"/>
      <c r="EK45" s="634"/>
      <c r="EL45" s="634"/>
      <c r="EN45" s="634"/>
      <c r="EO45" s="634"/>
      <c r="EP45" s="634"/>
      <c r="ER45" s="634"/>
      <c r="ES45" s="634"/>
      <c r="ET45" s="634"/>
      <c r="EV45" s="634"/>
      <c r="EW45" s="634"/>
      <c r="EY45" s="634"/>
      <c r="EZ45" s="634"/>
      <c r="FA45" s="634"/>
      <c r="FB45" s="634"/>
      <c r="FC45" s="634"/>
      <c r="FD45" s="634"/>
      <c r="FE45" s="634"/>
      <c r="FF45" s="634"/>
      <c r="FG45" s="634"/>
      <c r="FH45" s="634"/>
      <c r="FI45" s="634"/>
      <c r="FJ45" s="634"/>
      <c r="FK45" s="634"/>
      <c r="FL45" s="634"/>
      <c r="FM45" s="634"/>
      <c r="FN45" s="634"/>
      <c r="FO45" s="634"/>
      <c r="FP45" s="634"/>
      <c r="FQ45" s="634"/>
      <c r="FS45" s="634"/>
      <c r="FT45" s="634"/>
      <c r="FU45" s="634"/>
      <c r="FV45" s="634"/>
      <c r="FW45" s="634"/>
      <c r="FX45" s="634"/>
      <c r="FY45" s="634"/>
      <c r="FZ45" s="634"/>
    </row>
    <row r="46" ht="24.95" customHeight="1" spans="1:182">
      <c r="A46" s="576"/>
      <c r="B46" s="603" t="s">
        <v>524</v>
      </c>
      <c r="C46" s="581" t="s">
        <v>525</v>
      </c>
      <c r="D46" s="577" t="s">
        <v>525</v>
      </c>
      <c r="E46" s="586">
        <f>E5+2</f>
        <v>67.5</v>
      </c>
      <c r="F46" s="586">
        <f>F5</f>
        <v>8.89</v>
      </c>
      <c r="G46" s="581"/>
      <c r="H46" s="606"/>
      <c r="I46" s="577"/>
      <c r="J46" s="642"/>
      <c r="K46" s="630"/>
      <c r="L46" s="630"/>
      <c r="M46" s="634"/>
      <c r="N46" s="634"/>
      <c r="O46" s="634"/>
      <c r="P46" s="634"/>
      <c r="Q46" s="634"/>
      <c r="R46" s="634"/>
      <c r="S46" s="634"/>
      <c r="T46" s="634"/>
      <c r="U46" s="634"/>
      <c r="V46" s="634"/>
      <c r="W46" s="634"/>
      <c r="X46" s="634"/>
      <c r="Y46" s="634"/>
      <c r="Z46" s="634"/>
      <c r="AA46" s="634"/>
      <c r="AB46" s="634"/>
      <c r="AD46" s="634"/>
      <c r="AE46" s="634"/>
      <c r="AG46" s="634"/>
      <c r="AI46" s="634"/>
      <c r="AJ46" s="634"/>
      <c r="AK46" s="634"/>
      <c r="AL46" s="634"/>
      <c r="AM46" s="634"/>
      <c r="AN46" s="634"/>
      <c r="AO46" s="634"/>
      <c r="AP46" s="634"/>
      <c r="AQ46" s="634"/>
      <c r="AR46" s="634"/>
      <c r="AS46" s="634"/>
      <c r="AT46" s="634"/>
      <c r="AU46" s="634"/>
      <c r="AV46" s="634"/>
      <c r="AX46" s="634"/>
      <c r="AY46" s="634"/>
      <c r="AZ46" s="634"/>
      <c r="BA46" s="634"/>
      <c r="BB46" s="634"/>
      <c r="BC46" s="634"/>
      <c r="BD46" s="634"/>
      <c r="BE46" s="634"/>
      <c r="BF46" s="634"/>
      <c r="BG46" s="634"/>
      <c r="BH46" s="634"/>
      <c r="BJ46" s="634"/>
      <c r="BK46" s="634"/>
      <c r="BL46" s="634"/>
      <c r="BN46" s="634"/>
      <c r="BO46" s="634"/>
      <c r="BP46" s="634"/>
      <c r="BQ46" s="634"/>
      <c r="BR46" s="634"/>
      <c r="BT46" s="634"/>
      <c r="BU46" s="634"/>
      <c r="BV46" s="634"/>
      <c r="BX46" s="634"/>
      <c r="BY46" s="634"/>
      <c r="BZ46" s="634"/>
      <c r="CB46" s="634"/>
      <c r="CC46" s="634"/>
      <c r="CD46" s="634"/>
      <c r="CF46" s="634"/>
      <c r="CG46" s="634"/>
      <c r="CH46" s="634"/>
      <c r="CJ46" s="634"/>
      <c r="CK46" s="634"/>
      <c r="CM46" s="634"/>
      <c r="CO46" s="634"/>
      <c r="CP46" s="634"/>
      <c r="CQ46" s="634"/>
      <c r="CS46" s="634"/>
      <c r="CT46" s="634"/>
      <c r="CU46" s="634"/>
      <c r="CW46" s="634"/>
      <c r="CX46" s="634"/>
      <c r="CY46" s="634"/>
      <c r="DA46" s="634"/>
      <c r="DB46" s="634"/>
      <c r="DC46" s="634"/>
      <c r="DD46" s="634"/>
      <c r="DE46" s="634"/>
      <c r="DF46" s="634"/>
      <c r="DH46" s="634"/>
      <c r="DI46" s="634"/>
      <c r="DJ46" s="634"/>
      <c r="DL46" s="634"/>
      <c r="DM46" s="634"/>
      <c r="DN46" s="634"/>
      <c r="DO46" s="634"/>
      <c r="DP46" s="634"/>
      <c r="DR46" s="634"/>
      <c r="DS46" s="634"/>
      <c r="DT46" s="634"/>
      <c r="DV46" s="634"/>
      <c r="DW46" s="634"/>
      <c r="DX46" s="634"/>
      <c r="DZ46" s="634"/>
      <c r="EA46" s="634"/>
      <c r="EB46" s="634"/>
      <c r="ED46" s="634"/>
      <c r="EE46" s="634"/>
      <c r="EF46" s="634"/>
      <c r="EH46" s="634"/>
      <c r="EI46" s="634"/>
      <c r="EJ46" s="634"/>
      <c r="EK46" s="634"/>
      <c r="EL46" s="634"/>
      <c r="EN46" s="634"/>
      <c r="EO46" s="634"/>
      <c r="EP46" s="634"/>
      <c r="ER46" s="634"/>
      <c r="ES46" s="634"/>
      <c r="ET46" s="634"/>
      <c r="EV46" s="634"/>
      <c r="EW46" s="634"/>
      <c r="EY46" s="634"/>
      <c r="EZ46" s="634"/>
      <c r="FA46" s="634"/>
      <c r="FB46" s="634"/>
      <c r="FC46" s="634"/>
      <c r="FD46" s="634"/>
      <c r="FE46" s="634"/>
      <c r="FF46" s="634"/>
      <c r="FG46" s="634"/>
      <c r="FH46" s="634"/>
      <c r="FI46" s="634"/>
      <c r="FJ46" s="634"/>
      <c r="FK46" s="634"/>
      <c r="FL46" s="634"/>
      <c r="FM46" s="634"/>
      <c r="FN46" s="634"/>
      <c r="FO46" s="634"/>
      <c r="FP46" s="634"/>
      <c r="FQ46" s="634"/>
      <c r="FS46" s="634"/>
      <c r="FT46" s="634"/>
      <c r="FU46" s="634"/>
      <c r="FV46" s="634"/>
      <c r="FW46" s="634"/>
      <c r="FX46" s="634"/>
      <c r="FY46" s="634"/>
      <c r="FZ46" s="634"/>
    </row>
    <row r="47" ht="24.95" customHeight="1" spans="1:182">
      <c r="A47" s="576"/>
      <c r="B47" s="577" t="s">
        <v>526</v>
      </c>
      <c r="C47" s="581"/>
      <c r="D47" s="577" t="s">
        <v>527</v>
      </c>
      <c r="E47" s="586">
        <f>E11</f>
        <v>10.2</v>
      </c>
      <c r="F47" s="577">
        <v>0.91</v>
      </c>
      <c r="G47" s="581"/>
      <c r="H47" s="607"/>
      <c r="I47" s="639" t="s">
        <v>506</v>
      </c>
      <c r="J47" s="640">
        <v>100</v>
      </c>
      <c r="K47" s="630"/>
      <c r="L47" s="630"/>
      <c r="M47" s="634"/>
      <c r="N47" s="634"/>
      <c r="O47" s="634"/>
      <c r="P47" s="634"/>
      <c r="Q47" s="634"/>
      <c r="R47" s="634"/>
      <c r="S47" s="634"/>
      <c r="T47" s="634"/>
      <c r="U47" s="634"/>
      <c r="V47" s="634"/>
      <c r="W47" s="634"/>
      <c r="X47" s="634"/>
      <c r="Y47" s="634"/>
      <c r="Z47" s="634"/>
      <c r="AA47" s="634"/>
      <c r="AB47" s="634"/>
      <c r="AD47" s="634"/>
      <c r="AE47" s="634"/>
      <c r="AG47" s="634"/>
      <c r="AI47" s="634"/>
      <c r="AJ47" s="634"/>
      <c r="AK47" s="634"/>
      <c r="AL47" s="634"/>
      <c r="AM47" s="634"/>
      <c r="AN47" s="634"/>
      <c r="AO47" s="634"/>
      <c r="AP47" s="634"/>
      <c r="AQ47" s="634"/>
      <c r="AR47" s="634"/>
      <c r="AS47" s="634"/>
      <c r="AT47" s="634"/>
      <c r="AU47" s="634"/>
      <c r="AV47" s="634"/>
      <c r="AX47" s="634"/>
      <c r="AY47" s="634"/>
      <c r="AZ47" s="634"/>
      <c r="BA47" s="634"/>
      <c r="BB47" s="634"/>
      <c r="BC47" s="634"/>
      <c r="BD47" s="634"/>
      <c r="BE47" s="634"/>
      <c r="BF47" s="634"/>
      <c r="BG47" s="634"/>
      <c r="BH47" s="634"/>
      <c r="BJ47" s="634"/>
      <c r="BK47" s="634"/>
      <c r="BL47" s="634"/>
      <c r="BN47" s="634"/>
      <c r="BO47" s="634"/>
      <c r="BP47" s="634"/>
      <c r="BQ47" s="634"/>
      <c r="BR47" s="634"/>
      <c r="BT47" s="634"/>
      <c r="BU47" s="634"/>
      <c r="BV47" s="634"/>
      <c r="BX47" s="634"/>
      <c r="BY47" s="634"/>
      <c r="BZ47" s="634"/>
      <c r="CB47" s="634"/>
      <c r="CC47" s="634"/>
      <c r="CD47" s="634"/>
      <c r="CF47" s="634"/>
      <c r="CG47" s="634"/>
      <c r="CH47" s="634"/>
      <c r="CJ47" s="634"/>
      <c r="CK47" s="634"/>
      <c r="CM47" s="634"/>
      <c r="CO47" s="634"/>
      <c r="CP47" s="634"/>
      <c r="CQ47" s="634"/>
      <c r="CS47" s="634"/>
      <c r="CT47" s="634"/>
      <c r="CU47" s="634"/>
      <c r="CW47" s="634"/>
      <c r="CX47" s="634"/>
      <c r="CY47" s="634"/>
      <c r="DA47" s="634"/>
      <c r="DB47" s="634"/>
      <c r="DC47" s="634"/>
      <c r="DD47" s="634"/>
      <c r="DE47" s="634"/>
      <c r="DF47" s="634"/>
      <c r="DH47" s="634"/>
      <c r="DI47" s="634"/>
      <c r="DJ47" s="634"/>
      <c r="DL47" s="634"/>
      <c r="DM47" s="634"/>
      <c r="DN47" s="634"/>
      <c r="DO47" s="634"/>
      <c r="DP47" s="634"/>
      <c r="DR47" s="634"/>
      <c r="DS47" s="634"/>
      <c r="DT47" s="634"/>
      <c r="DV47" s="634"/>
      <c r="DW47" s="634"/>
      <c r="DX47" s="634"/>
      <c r="DZ47" s="634"/>
      <c r="EA47" s="634"/>
      <c r="EB47" s="634"/>
      <c r="ED47" s="634"/>
      <c r="EE47" s="634"/>
      <c r="EF47" s="634"/>
      <c r="EH47" s="634"/>
      <c r="EI47" s="634"/>
      <c r="EJ47" s="634"/>
      <c r="EK47" s="634"/>
      <c r="EL47" s="634"/>
      <c r="EN47" s="634"/>
      <c r="EO47" s="634"/>
      <c r="EP47" s="634"/>
      <c r="ER47" s="634"/>
      <c r="ES47" s="634"/>
      <c r="ET47" s="634"/>
      <c r="EV47" s="634"/>
      <c r="EW47" s="634"/>
      <c r="EY47" s="634"/>
      <c r="EZ47" s="634"/>
      <c r="FA47" s="634"/>
      <c r="FB47" s="634"/>
      <c r="FC47" s="634"/>
      <c r="FD47" s="634"/>
      <c r="FE47" s="634"/>
      <c r="FF47" s="634"/>
      <c r="FG47" s="634"/>
      <c r="FH47" s="634"/>
      <c r="FI47" s="634"/>
      <c r="FJ47" s="634"/>
      <c r="FK47" s="634"/>
      <c r="FL47" s="634"/>
      <c r="FM47" s="634"/>
      <c r="FN47" s="634"/>
      <c r="FO47" s="634"/>
      <c r="FP47" s="634"/>
      <c r="FQ47" s="634"/>
      <c r="FS47" s="634"/>
      <c r="FT47" s="634"/>
      <c r="FU47" s="634"/>
      <c r="FV47" s="634"/>
      <c r="FW47" s="634"/>
      <c r="FX47" s="634"/>
      <c r="FY47" s="634"/>
      <c r="FZ47" s="634"/>
    </row>
    <row r="48" ht="24.95" customHeight="1" spans="1:182">
      <c r="A48" s="576"/>
      <c r="B48" s="609"/>
      <c r="C48" s="610"/>
      <c r="D48" s="577" t="s">
        <v>528</v>
      </c>
      <c r="E48" s="586">
        <f>E5+3</f>
        <v>68.5</v>
      </c>
      <c r="F48" s="586">
        <f>F5</f>
        <v>8.89</v>
      </c>
      <c r="G48" s="581"/>
      <c r="H48" s="544"/>
      <c r="I48" s="544"/>
      <c r="J48" s="544"/>
      <c r="K48" s="630"/>
      <c r="L48" s="630"/>
      <c r="M48" s="634"/>
      <c r="N48" s="634"/>
      <c r="O48" s="634"/>
      <c r="P48" s="634"/>
      <c r="Q48" s="634"/>
      <c r="R48" s="634"/>
      <c r="S48" s="634"/>
      <c r="T48" s="634"/>
      <c r="U48" s="634"/>
      <c r="V48" s="634"/>
      <c r="W48" s="634"/>
      <c r="X48" s="634"/>
      <c r="Y48" s="634"/>
      <c r="Z48" s="634"/>
      <c r="AA48" s="634"/>
      <c r="AB48" s="634"/>
      <c r="AD48" s="634"/>
      <c r="AE48" s="634"/>
      <c r="AG48" s="634"/>
      <c r="AI48" s="634"/>
      <c r="AJ48" s="634"/>
      <c r="AK48" s="634"/>
      <c r="AL48" s="634"/>
      <c r="AM48" s="634"/>
      <c r="AN48" s="634"/>
      <c r="AO48" s="634"/>
      <c r="AP48" s="634"/>
      <c r="AQ48" s="634"/>
      <c r="AR48" s="634"/>
      <c r="AS48" s="634"/>
      <c r="AT48" s="634"/>
      <c r="AU48" s="634"/>
      <c r="AV48" s="634"/>
      <c r="AX48" s="634"/>
      <c r="AY48" s="634"/>
      <c r="AZ48" s="634"/>
      <c r="BA48" s="634"/>
      <c r="BB48" s="634"/>
      <c r="BC48" s="634"/>
      <c r="BD48" s="634"/>
      <c r="BE48" s="634"/>
      <c r="BF48" s="634"/>
      <c r="BG48" s="634"/>
      <c r="BH48" s="634"/>
      <c r="BJ48" s="634"/>
      <c r="BK48" s="634"/>
      <c r="BL48" s="634"/>
      <c r="BN48" s="634"/>
      <c r="BO48" s="634"/>
      <c r="BP48" s="634"/>
      <c r="BQ48" s="634"/>
      <c r="BR48" s="634"/>
      <c r="BT48" s="634"/>
      <c r="BU48" s="634"/>
      <c r="BV48" s="634"/>
      <c r="BX48" s="634"/>
      <c r="BY48" s="634"/>
      <c r="BZ48" s="634"/>
      <c r="CB48" s="634"/>
      <c r="CC48" s="634"/>
      <c r="CD48" s="634"/>
      <c r="CF48" s="634"/>
      <c r="CG48" s="634"/>
      <c r="CH48" s="634"/>
      <c r="CJ48" s="634"/>
      <c r="CK48" s="634"/>
      <c r="CM48" s="634"/>
      <c r="CO48" s="634"/>
      <c r="CP48" s="634"/>
      <c r="CQ48" s="634"/>
      <c r="CS48" s="634"/>
      <c r="CT48" s="634"/>
      <c r="CU48" s="634"/>
      <c r="CW48" s="634"/>
      <c r="CX48" s="634"/>
      <c r="CY48" s="634"/>
      <c r="DA48" s="634"/>
      <c r="DB48" s="634"/>
      <c r="DC48" s="634"/>
      <c r="DD48" s="634"/>
      <c r="DE48" s="634"/>
      <c r="DF48" s="634"/>
      <c r="DH48" s="634"/>
      <c r="DI48" s="634"/>
      <c r="DJ48" s="634"/>
      <c r="DL48" s="634"/>
      <c r="DM48" s="634"/>
      <c r="DN48" s="634"/>
      <c r="DO48" s="634"/>
      <c r="DP48" s="634"/>
      <c r="DR48" s="634"/>
      <c r="DS48" s="634"/>
      <c r="DT48" s="634"/>
      <c r="DV48" s="634"/>
      <c r="DW48" s="634"/>
      <c r="DX48" s="634"/>
      <c r="DZ48" s="634"/>
      <c r="EA48" s="634"/>
      <c r="EB48" s="634"/>
      <c r="ED48" s="634"/>
      <c r="EE48" s="634"/>
      <c r="EF48" s="634"/>
      <c r="EH48" s="634"/>
      <c r="EI48" s="634"/>
      <c r="EJ48" s="634"/>
      <c r="EK48" s="634"/>
      <c r="EL48" s="634"/>
      <c r="EN48" s="634"/>
      <c r="EO48" s="634"/>
      <c r="EP48" s="634"/>
      <c r="ER48" s="634"/>
      <c r="ES48" s="634"/>
      <c r="ET48" s="634"/>
      <c r="EV48" s="634"/>
      <c r="EW48" s="634"/>
      <c r="EY48" s="634"/>
      <c r="EZ48" s="634"/>
      <c r="FA48" s="634"/>
      <c r="FB48" s="634"/>
      <c r="FC48" s="634"/>
      <c r="FD48" s="634"/>
      <c r="FE48" s="634"/>
      <c r="FF48" s="634"/>
      <c r="FG48" s="634"/>
      <c r="FH48" s="634"/>
      <c r="FI48" s="634"/>
      <c r="FJ48" s="634"/>
      <c r="FK48" s="634"/>
      <c r="FL48" s="634"/>
      <c r="FM48" s="634"/>
      <c r="FN48" s="634"/>
      <c r="FO48" s="634"/>
      <c r="FP48" s="634"/>
      <c r="FQ48" s="634"/>
      <c r="FS48" s="634"/>
      <c r="FT48" s="634"/>
      <c r="FU48" s="634"/>
      <c r="FV48" s="634"/>
      <c r="FW48" s="634"/>
      <c r="FX48" s="634"/>
      <c r="FY48" s="634"/>
      <c r="FZ48" s="634"/>
    </row>
    <row r="49" ht="24.95" customHeight="1" spans="1:182">
      <c r="A49" s="576"/>
      <c r="B49" s="581"/>
      <c r="C49" s="587" t="s">
        <v>529</v>
      </c>
      <c r="D49" s="577" t="s">
        <v>529</v>
      </c>
      <c r="E49" s="586">
        <f>E43</f>
        <v>5.8</v>
      </c>
      <c r="F49" s="577">
        <v>7.82</v>
      </c>
      <c r="G49" s="581"/>
      <c r="H49" s="605" t="s">
        <v>530</v>
      </c>
      <c r="I49" s="641" t="s">
        <v>439</v>
      </c>
      <c r="J49" s="638">
        <v>0.995</v>
      </c>
      <c r="K49" s="630"/>
      <c r="L49" s="544"/>
      <c r="M49" s="544"/>
      <c r="N49" s="544"/>
      <c r="O49" s="634"/>
      <c r="P49" s="634"/>
      <c r="Q49" s="634"/>
      <c r="R49" s="634"/>
      <c r="S49" s="634"/>
      <c r="T49" s="634"/>
      <c r="U49" s="634"/>
      <c r="V49" s="634"/>
      <c r="W49" s="634"/>
      <c r="X49" s="634"/>
      <c r="Y49" s="634"/>
      <c r="Z49" s="634"/>
      <c r="AA49" s="634"/>
      <c r="AB49" s="634"/>
      <c r="AD49" s="634"/>
      <c r="AE49" s="634"/>
      <c r="AG49" s="634"/>
      <c r="AI49" s="634"/>
      <c r="AJ49" s="634"/>
      <c r="AK49" s="634"/>
      <c r="AL49" s="634"/>
      <c r="AM49" s="634"/>
      <c r="AN49" s="634"/>
      <c r="AO49" s="634"/>
      <c r="AP49" s="634"/>
      <c r="AQ49" s="634"/>
      <c r="AR49" s="634"/>
      <c r="AS49" s="634"/>
      <c r="AT49" s="634"/>
      <c r="AU49" s="634"/>
      <c r="AV49" s="634"/>
      <c r="AX49" s="634"/>
      <c r="AY49" s="634"/>
      <c r="AZ49" s="634"/>
      <c r="BA49" s="634"/>
      <c r="BB49" s="634"/>
      <c r="BC49" s="634"/>
      <c r="BD49" s="634"/>
      <c r="BE49" s="634"/>
      <c r="BF49" s="634"/>
      <c r="BG49" s="634"/>
      <c r="BH49" s="634"/>
      <c r="BJ49" s="634"/>
      <c r="BK49" s="634"/>
      <c r="BL49" s="634"/>
      <c r="BN49" s="634"/>
      <c r="BO49" s="634"/>
      <c r="BP49" s="634"/>
      <c r="BQ49" s="634"/>
      <c r="BR49" s="634"/>
      <c r="BT49" s="634"/>
      <c r="BU49" s="634"/>
      <c r="BV49" s="634"/>
      <c r="BX49" s="634"/>
      <c r="BY49" s="634"/>
      <c r="BZ49" s="634"/>
      <c r="CB49" s="634"/>
      <c r="CC49" s="634"/>
      <c r="CD49" s="634"/>
      <c r="CF49" s="634"/>
      <c r="CG49" s="634"/>
      <c r="CH49" s="634"/>
      <c r="CJ49" s="634"/>
      <c r="CK49" s="634"/>
      <c r="CM49" s="634"/>
      <c r="CO49" s="634"/>
      <c r="CP49" s="634"/>
      <c r="CQ49" s="634"/>
      <c r="CS49" s="634"/>
      <c r="CT49" s="634"/>
      <c r="CU49" s="634"/>
      <c r="CW49" s="634"/>
      <c r="CX49" s="634"/>
      <c r="CY49" s="634"/>
      <c r="DA49" s="634"/>
      <c r="DB49" s="634"/>
      <c r="DC49" s="634"/>
      <c r="DD49" s="634"/>
      <c r="DE49" s="634"/>
      <c r="DF49" s="634"/>
      <c r="DH49" s="634"/>
      <c r="DI49" s="634"/>
      <c r="DJ49" s="634"/>
      <c r="DL49" s="634"/>
      <c r="DM49" s="634"/>
      <c r="DN49" s="634"/>
      <c r="DO49" s="634"/>
      <c r="DP49" s="634"/>
      <c r="DR49" s="634"/>
      <c r="DS49" s="634"/>
      <c r="DT49" s="634"/>
      <c r="DV49" s="634"/>
      <c r="DW49" s="634"/>
      <c r="DX49" s="634"/>
      <c r="DZ49" s="634"/>
      <c r="EA49" s="634"/>
      <c r="EB49" s="634"/>
      <c r="ED49" s="634"/>
      <c r="EE49" s="634"/>
      <c r="EF49" s="634"/>
      <c r="EH49" s="634"/>
      <c r="EI49" s="634"/>
      <c r="EJ49" s="634"/>
      <c r="EK49" s="634"/>
      <c r="EL49" s="634"/>
      <c r="EN49" s="634"/>
      <c r="EO49" s="634"/>
      <c r="EP49" s="634"/>
      <c r="ER49" s="634"/>
      <c r="ES49" s="634"/>
      <c r="ET49" s="634"/>
      <c r="EV49" s="634"/>
      <c r="EW49" s="634"/>
      <c r="EY49" s="634"/>
      <c r="EZ49" s="634"/>
      <c r="FA49" s="634"/>
      <c r="FB49" s="634"/>
      <c r="FC49" s="634"/>
      <c r="FD49" s="634"/>
      <c r="FE49" s="634"/>
      <c r="FF49" s="634"/>
      <c r="FG49" s="634"/>
      <c r="FH49" s="634"/>
      <c r="FI49" s="634"/>
      <c r="FJ49" s="634"/>
      <c r="FK49" s="634"/>
      <c r="FL49" s="634"/>
      <c r="FM49" s="634"/>
      <c r="FN49" s="634"/>
      <c r="FO49" s="634"/>
      <c r="FP49" s="634"/>
      <c r="FQ49" s="634"/>
      <c r="FS49" s="634"/>
      <c r="FT49" s="634"/>
      <c r="FU49" s="634"/>
      <c r="FV49" s="634"/>
      <c r="FW49" s="634"/>
      <c r="FX49" s="634"/>
      <c r="FY49" s="634"/>
      <c r="FZ49" s="634"/>
    </row>
    <row r="50" ht="24.95" customHeight="1" spans="1:182">
      <c r="A50" s="576"/>
      <c r="B50" s="581"/>
      <c r="C50" s="581"/>
      <c r="D50" s="581"/>
      <c r="E50" s="581"/>
      <c r="F50" s="581"/>
      <c r="G50" s="581"/>
      <c r="H50" s="606"/>
      <c r="I50" s="577" t="s">
        <v>446</v>
      </c>
      <c r="J50" s="642">
        <v>0.04</v>
      </c>
      <c r="K50" s="630"/>
      <c r="L50" s="544"/>
      <c r="M50" s="544"/>
      <c r="N50" s="544"/>
      <c r="O50" s="634"/>
      <c r="P50" s="634"/>
      <c r="Q50" s="634"/>
      <c r="R50" s="634"/>
      <c r="S50" s="634"/>
      <c r="T50" s="634"/>
      <c r="U50" s="634"/>
      <c r="V50" s="634"/>
      <c r="W50" s="634"/>
      <c r="X50" s="634"/>
      <c r="Y50" s="634"/>
      <c r="Z50" s="634"/>
      <c r="AA50" s="634"/>
      <c r="AB50" s="634"/>
      <c r="AD50" s="634"/>
      <c r="AE50" s="634"/>
      <c r="AG50" s="634"/>
      <c r="AI50" s="634"/>
      <c r="AJ50" s="634"/>
      <c r="AK50" s="634"/>
      <c r="AL50" s="634"/>
      <c r="AM50" s="634"/>
      <c r="AN50" s="634"/>
      <c r="AO50" s="634"/>
      <c r="AP50" s="634"/>
      <c r="AQ50" s="634"/>
      <c r="AR50" s="634"/>
      <c r="AS50" s="634"/>
      <c r="AT50" s="634"/>
      <c r="AU50" s="634"/>
      <c r="AV50" s="634"/>
      <c r="AX50" s="634"/>
      <c r="AY50" s="634"/>
      <c r="AZ50" s="634"/>
      <c r="BA50" s="634"/>
      <c r="BB50" s="634"/>
      <c r="BC50" s="634"/>
      <c r="BD50" s="634"/>
      <c r="BE50" s="634"/>
      <c r="BF50" s="634"/>
      <c r="BG50" s="634"/>
      <c r="BH50" s="634"/>
      <c r="BJ50" s="634"/>
      <c r="BK50" s="634"/>
      <c r="BL50" s="634"/>
      <c r="BN50" s="634"/>
      <c r="BO50" s="634"/>
      <c r="BP50" s="634"/>
      <c r="BQ50" s="634"/>
      <c r="BR50" s="634"/>
      <c r="BT50" s="634"/>
      <c r="BU50" s="634"/>
      <c r="BV50" s="634"/>
      <c r="BX50" s="634"/>
      <c r="BY50" s="634"/>
      <c r="BZ50" s="634"/>
      <c r="CB50" s="634"/>
      <c r="CC50" s="634"/>
      <c r="CD50" s="634"/>
      <c r="CF50" s="634"/>
      <c r="CG50" s="634"/>
      <c r="CH50" s="634"/>
      <c r="CJ50" s="634"/>
      <c r="CK50" s="634"/>
      <c r="CM50" s="634"/>
      <c r="CO50" s="634"/>
      <c r="CP50" s="634"/>
      <c r="CQ50" s="634"/>
      <c r="CS50" s="634"/>
      <c r="CT50" s="634"/>
      <c r="CU50" s="634"/>
      <c r="CW50" s="634"/>
      <c r="CX50" s="634"/>
      <c r="CY50" s="634"/>
      <c r="DA50" s="634"/>
      <c r="DB50" s="634"/>
      <c r="DC50" s="634"/>
      <c r="DD50" s="634"/>
      <c r="DE50" s="634"/>
      <c r="DF50" s="634"/>
      <c r="DH50" s="634"/>
      <c r="DI50" s="634"/>
      <c r="DJ50" s="634"/>
      <c r="DL50" s="634"/>
      <c r="DM50" s="634"/>
      <c r="DN50" s="634"/>
      <c r="DO50" s="634"/>
      <c r="DP50" s="634"/>
      <c r="DR50" s="634"/>
      <c r="DS50" s="634"/>
      <c r="DT50" s="634"/>
      <c r="DV50" s="634"/>
      <c r="DW50" s="634"/>
      <c r="DX50" s="634"/>
      <c r="DZ50" s="634"/>
      <c r="EA50" s="634"/>
      <c r="EB50" s="634"/>
      <c r="ED50" s="634"/>
      <c r="EE50" s="634"/>
      <c r="EF50" s="634"/>
      <c r="EH50" s="634"/>
      <c r="EI50" s="634"/>
      <c r="EJ50" s="634"/>
      <c r="EK50" s="634"/>
      <c r="EL50" s="634"/>
      <c r="EN50" s="634"/>
      <c r="EO50" s="634"/>
      <c r="EP50" s="634"/>
      <c r="ER50" s="634"/>
      <c r="ES50" s="634"/>
      <c r="ET50" s="634"/>
      <c r="EV50" s="634"/>
      <c r="EW50" s="634"/>
      <c r="EY50" s="634"/>
      <c r="EZ50" s="634"/>
      <c r="FA50" s="634"/>
      <c r="FB50" s="634"/>
      <c r="FC50" s="634"/>
      <c r="FD50" s="634"/>
      <c r="FE50" s="634"/>
      <c r="FF50" s="634"/>
      <c r="FG50" s="634"/>
      <c r="FH50" s="634"/>
      <c r="FI50" s="634"/>
      <c r="FJ50" s="634"/>
      <c r="FK50" s="634"/>
      <c r="FL50" s="634"/>
      <c r="FM50" s="634"/>
      <c r="FN50" s="634"/>
      <c r="FO50" s="634"/>
      <c r="FP50" s="634"/>
      <c r="FQ50" s="634"/>
      <c r="FS50" s="634"/>
      <c r="FT50" s="634"/>
      <c r="FU50" s="634"/>
      <c r="FV50" s="634"/>
      <c r="FW50" s="634"/>
      <c r="FX50" s="634"/>
      <c r="FY50" s="634"/>
      <c r="FZ50" s="634"/>
    </row>
    <row r="51" ht="24.95" customHeight="1" spans="1:182">
      <c r="A51" s="576" t="s">
        <v>531</v>
      </c>
      <c r="B51" s="581" t="s">
        <v>532</v>
      </c>
      <c r="C51" s="611" t="s">
        <v>533</v>
      </c>
      <c r="D51" s="612" t="s">
        <v>534</v>
      </c>
      <c r="E51" s="613">
        <f>E22</f>
        <v>10</v>
      </c>
      <c r="F51" s="613">
        <f>F22</f>
        <v>1.47</v>
      </c>
      <c r="G51" s="581"/>
      <c r="H51" s="606"/>
      <c r="I51" s="577" t="s">
        <v>450</v>
      </c>
      <c r="J51" s="642">
        <v>0</v>
      </c>
      <c r="K51" s="630"/>
      <c r="L51" s="544"/>
      <c r="M51" s="544"/>
      <c r="N51" s="544"/>
      <c r="O51" s="634"/>
      <c r="P51" s="634"/>
      <c r="Q51" s="634"/>
      <c r="R51" s="634"/>
      <c r="S51" s="634"/>
      <c r="T51" s="634"/>
      <c r="U51" s="634"/>
      <c r="V51" s="634"/>
      <c r="W51" s="634"/>
      <c r="X51" s="634"/>
      <c r="Y51" s="634"/>
      <c r="Z51" s="634"/>
      <c r="AA51" s="634"/>
      <c r="AB51" s="634"/>
      <c r="AD51" s="634"/>
      <c r="AE51" s="634"/>
      <c r="AG51" s="634"/>
      <c r="AI51" s="634"/>
      <c r="AJ51" s="634"/>
      <c r="AK51" s="634"/>
      <c r="AL51" s="634"/>
      <c r="AM51" s="634"/>
      <c r="AN51" s="634"/>
      <c r="AO51" s="634"/>
      <c r="AP51" s="634"/>
      <c r="AQ51" s="634"/>
      <c r="AR51" s="634"/>
      <c r="AS51" s="634"/>
      <c r="AT51" s="634"/>
      <c r="AU51" s="634"/>
      <c r="AV51" s="634"/>
      <c r="AX51" s="634"/>
      <c r="AY51" s="634"/>
      <c r="AZ51" s="634"/>
      <c r="BA51" s="634"/>
      <c r="BB51" s="634"/>
      <c r="BC51" s="634"/>
      <c r="BD51" s="634"/>
      <c r="BE51" s="634"/>
      <c r="BF51" s="634"/>
      <c r="BG51" s="634"/>
      <c r="BH51" s="634"/>
      <c r="BJ51" s="634"/>
      <c r="BK51" s="634"/>
      <c r="BL51" s="634"/>
      <c r="BN51" s="634"/>
      <c r="BO51" s="634"/>
      <c r="BP51" s="634"/>
      <c r="BQ51" s="634"/>
      <c r="BR51" s="634"/>
      <c r="BT51" s="634"/>
      <c r="BU51" s="634"/>
      <c r="BV51" s="634"/>
      <c r="BX51" s="634"/>
      <c r="BY51" s="634"/>
      <c r="BZ51" s="634"/>
      <c r="CB51" s="634"/>
      <c r="CC51" s="634"/>
      <c r="CD51" s="634"/>
      <c r="CF51" s="634"/>
      <c r="CG51" s="634"/>
      <c r="CH51" s="634"/>
      <c r="CJ51" s="634"/>
      <c r="CK51" s="634"/>
      <c r="CM51" s="634"/>
      <c r="CO51" s="634"/>
      <c r="CP51" s="634"/>
      <c r="CQ51" s="634"/>
      <c r="CS51" s="634"/>
      <c r="CT51" s="634"/>
      <c r="CU51" s="634"/>
      <c r="CW51" s="634"/>
      <c r="CX51" s="634"/>
      <c r="CY51" s="634"/>
      <c r="DA51" s="634"/>
      <c r="DB51" s="634"/>
      <c r="DC51" s="634"/>
      <c r="DD51" s="634"/>
      <c r="DE51" s="634"/>
      <c r="DF51" s="634"/>
      <c r="DH51" s="634"/>
      <c r="DI51" s="634"/>
      <c r="DJ51" s="634"/>
      <c r="DL51" s="634"/>
      <c r="DM51" s="634"/>
      <c r="DN51" s="634"/>
      <c r="DO51" s="634"/>
      <c r="DP51" s="634"/>
      <c r="DR51" s="634"/>
      <c r="DS51" s="634"/>
      <c r="DT51" s="634"/>
      <c r="DV51" s="634"/>
      <c r="DW51" s="634"/>
      <c r="DX51" s="634"/>
      <c r="DZ51" s="634"/>
      <c r="EA51" s="634"/>
      <c r="EB51" s="634"/>
      <c r="ED51" s="634"/>
      <c r="EE51" s="634"/>
      <c r="EF51" s="634"/>
      <c r="EH51" s="634"/>
      <c r="EI51" s="634"/>
      <c r="EJ51" s="634"/>
      <c r="EK51" s="634"/>
      <c r="EL51" s="634"/>
      <c r="EN51" s="634"/>
      <c r="EO51" s="634"/>
      <c r="EP51" s="634"/>
      <c r="ER51" s="634"/>
      <c r="ES51" s="634"/>
      <c r="ET51" s="634"/>
      <c r="EV51" s="634"/>
      <c r="EW51" s="634"/>
      <c r="EY51" s="634"/>
      <c r="EZ51" s="634"/>
      <c r="FA51" s="634"/>
      <c r="FB51" s="634"/>
      <c r="FC51" s="634"/>
      <c r="FD51" s="634"/>
      <c r="FE51" s="634"/>
      <c r="FF51" s="634"/>
      <c r="FG51" s="634"/>
      <c r="FH51" s="634"/>
      <c r="FI51" s="634"/>
      <c r="FJ51" s="634"/>
      <c r="FK51" s="634"/>
      <c r="FL51" s="634"/>
      <c r="FM51" s="634"/>
      <c r="FN51" s="634"/>
      <c r="FO51" s="634"/>
      <c r="FP51" s="634"/>
      <c r="FQ51" s="634"/>
      <c r="FS51" s="634"/>
      <c r="FT51" s="634"/>
      <c r="FU51" s="634"/>
      <c r="FV51" s="634"/>
      <c r="FW51" s="634"/>
      <c r="FX51" s="634"/>
      <c r="FY51" s="634"/>
      <c r="FZ51" s="634"/>
    </row>
    <row r="52" ht="24.95" customHeight="1" spans="1:182">
      <c r="A52" s="576">
        <v>1</v>
      </c>
      <c r="B52" s="581">
        <v>1</v>
      </c>
      <c r="C52" s="614"/>
      <c r="D52" s="612" t="s">
        <v>535</v>
      </c>
      <c r="E52" s="613">
        <f>E23</f>
        <v>7.6</v>
      </c>
      <c r="F52" s="613">
        <f>F23</f>
        <v>1.47</v>
      </c>
      <c r="G52" s="581"/>
      <c r="H52" s="606"/>
      <c r="I52" s="577"/>
      <c r="J52" s="642"/>
      <c r="K52" s="630"/>
      <c r="L52" s="544"/>
      <c r="M52" s="544"/>
      <c r="N52" s="544"/>
      <c r="O52" s="544"/>
      <c r="P52" s="634"/>
      <c r="Q52" s="634"/>
      <c r="R52" s="634"/>
      <c r="S52" s="634"/>
      <c r="T52" s="634"/>
      <c r="U52" s="634"/>
      <c r="V52" s="634"/>
      <c r="W52" s="634"/>
      <c r="X52" s="634"/>
      <c r="Y52" s="634"/>
      <c r="Z52" s="634"/>
      <c r="AA52" s="634"/>
      <c r="AB52" s="634"/>
      <c r="AD52" s="634"/>
      <c r="AE52" s="634"/>
      <c r="AG52" s="634"/>
      <c r="AI52" s="634"/>
      <c r="AJ52" s="634"/>
      <c r="AK52" s="634"/>
      <c r="AL52" s="634"/>
      <c r="AM52" s="634"/>
      <c r="AN52" s="634"/>
      <c r="AO52" s="634"/>
      <c r="AP52" s="634"/>
      <c r="AQ52" s="634"/>
      <c r="AR52" s="634"/>
      <c r="AS52" s="634"/>
      <c r="AT52" s="634"/>
      <c r="AU52" s="634"/>
      <c r="AV52" s="634"/>
      <c r="AX52" s="634"/>
      <c r="AY52" s="634"/>
      <c r="AZ52" s="634"/>
      <c r="BA52" s="634"/>
      <c r="BB52" s="634"/>
      <c r="BC52" s="634"/>
      <c r="BD52" s="634"/>
      <c r="BE52" s="634"/>
      <c r="BF52" s="634"/>
      <c r="BG52" s="634"/>
      <c r="BH52" s="634"/>
      <c r="BJ52" s="634"/>
      <c r="BK52" s="634"/>
      <c r="BL52" s="634"/>
      <c r="BN52" s="634"/>
      <c r="BO52" s="634"/>
      <c r="BP52" s="634"/>
      <c r="BQ52" s="634"/>
      <c r="BR52" s="634"/>
      <c r="BT52" s="634"/>
      <c r="BU52" s="634"/>
      <c r="BV52" s="634"/>
      <c r="BX52" s="634"/>
      <c r="BY52" s="634"/>
      <c r="BZ52" s="634"/>
      <c r="CB52" s="634"/>
      <c r="CC52" s="634"/>
      <c r="CD52" s="634"/>
      <c r="CF52" s="634"/>
      <c r="CG52" s="634"/>
      <c r="CH52" s="634"/>
      <c r="CJ52" s="634"/>
      <c r="CK52" s="634"/>
      <c r="CM52" s="634"/>
      <c r="CO52" s="634"/>
      <c r="CP52" s="634"/>
      <c r="CQ52" s="634"/>
      <c r="CS52" s="634"/>
      <c r="CT52" s="634"/>
      <c r="CU52" s="634"/>
      <c r="CW52" s="634"/>
      <c r="CX52" s="634"/>
      <c r="CY52" s="634"/>
      <c r="DA52" s="634"/>
      <c r="DB52" s="634"/>
      <c r="DC52" s="634"/>
      <c r="DD52" s="634"/>
      <c r="DE52" s="634"/>
      <c r="DF52" s="634"/>
      <c r="DH52" s="634"/>
      <c r="DI52" s="634"/>
      <c r="DJ52" s="634"/>
      <c r="DL52" s="634"/>
      <c r="DM52" s="634"/>
      <c r="DN52" s="634"/>
      <c r="DO52" s="634"/>
      <c r="DP52" s="634"/>
      <c r="DR52" s="634"/>
      <c r="DS52" s="634"/>
      <c r="DT52" s="634"/>
      <c r="DV52" s="634"/>
      <c r="DW52" s="634"/>
      <c r="DX52" s="634"/>
      <c r="DZ52" s="634"/>
      <c r="EA52" s="634"/>
      <c r="EB52" s="634"/>
      <c r="ED52" s="634"/>
      <c r="EE52" s="634"/>
      <c r="EF52" s="634"/>
      <c r="EH52" s="634"/>
      <c r="EI52" s="634"/>
      <c r="EJ52" s="634"/>
      <c r="EK52" s="634"/>
      <c r="EL52" s="634"/>
      <c r="EN52" s="634"/>
      <c r="EO52" s="634"/>
      <c r="EP52" s="634"/>
      <c r="ER52" s="634"/>
      <c r="ES52" s="634"/>
      <c r="ET52" s="634"/>
      <c r="EV52" s="634"/>
      <c r="EW52" s="634"/>
      <c r="EY52" s="634"/>
      <c r="EZ52" s="634"/>
      <c r="FA52" s="634"/>
      <c r="FB52" s="634"/>
      <c r="FC52" s="634"/>
      <c r="FD52" s="634"/>
      <c r="FE52" s="634"/>
      <c r="FF52" s="634"/>
      <c r="FG52" s="634"/>
      <c r="FH52" s="634"/>
      <c r="FI52" s="634"/>
      <c r="FJ52" s="634"/>
      <c r="FK52" s="634"/>
      <c r="FL52" s="634"/>
      <c r="FM52" s="634"/>
      <c r="FN52" s="634"/>
      <c r="FO52" s="634"/>
      <c r="FP52" s="634"/>
      <c r="FQ52" s="634"/>
      <c r="FS52" s="634"/>
      <c r="FT52" s="634"/>
      <c r="FU52" s="634"/>
      <c r="FV52" s="634"/>
      <c r="FW52" s="634"/>
      <c r="FX52" s="634"/>
      <c r="FY52" s="634"/>
      <c r="FZ52" s="634"/>
    </row>
    <row r="53" ht="24.95" customHeight="1" spans="1:182">
      <c r="A53" s="576">
        <v>2</v>
      </c>
      <c r="B53" s="581">
        <v>2</v>
      </c>
      <c r="C53" s="614"/>
      <c r="D53" s="615" t="s">
        <v>536</v>
      </c>
      <c r="E53" s="85">
        <v>4</v>
      </c>
      <c r="F53" s="577">
        <v>2</v>
      </c>
      <c r="G53" s="581" t="s">
        <v>537</v>
      </c>
      <c r="H53" s="607"/>
      <c r="I53" s="639" t="s">
        <v>506</v>
      </c>
      <c r="J53" s="640">
        <v>100</v>
      </c>
      <c r="K53" s="630"/>
      <c r="L53" s="544"/>
      <c r="M53" s="544"/>
      <c r="N53" s="544"/>
      <c r="O53" s="544"/>
      <c r="P53" s="634"/>
      <c r="Q53" s="634"/>
      <c r="R53" s="634"/>
      <c r="S53" s="634"/>
      <c r="T53" s="634"/>
      <c r="U53" s="634"/>
      <c r="V53" s="634"/>
      <c r="W53" s="634"/>
      <c r="X53" s="634"/>
      <c r="Y53" s="634"/>
      <c r="Z53" s="634"/>
      <c r="AA53" s="634"/>
      <c r="AB53" s="634"/>
      <c r="AD53" s="634"/>
      <c r="AE53" s="634"/>
      <c r="AG53" s="634"/>
      <c r="AI53" s="634"/>
      <c r="AJ53" s="634"/>
      <c r="AK53" s="634"/>
      <c r="AL53" s="634"/>
      <c r="AM53" s="634"/>
      <c r="AN53" s="634"/>
      <c r="AO53" s="634"/>
      <c r="AP53" s="634"/>
      <c r="AQ53" s="634"/>
      <c r="AR53" s="634"/>
      <c r="AS53" s="634"/>
      <c r="AT53" s="634"/>
      <c r="AU53" s="634"/>
      <c r="AV53" s="634"/>
      <c r="AX53" s="634"/>
      <c r="AY53" s="634"/>
      <c r="AZ53" s="634"/>
      <c r="BA53" s="634"/>
      <c r="BB53" s="634"/>
      <c r="BC53" s="634"/>
      <c r="BD53" s="634"/>
      <c r="BE53" s="634"/>
      <c r="BF53" s="634"/>
      <c r="BG53" s="634"/>
      <c r="BH53" s="634"/>
      <c r="BJ53" s="634"/>
      <c r="BK53" s="634"/>
      <c r="BL53" s="634"/>
      <c r="BN53" s="634"/>
      <c r="BO53" s="634"/>
      <c r="BP53" s="634"/>
      <c r="BQ53" s="634"/>
      <c r="BR53" s="634"/>
      <c r="BT53" s="634"/>
      <c r="BU53" s="634"/>
      <c r="BV53" s="634"/>
      <c r="BX53" s="634"/>
      <c r="BY53" s="634"/>
      <c r="BZ53" s="634"/>
      <c r="CB53" s="634"/>
      <c r="CC53" s="634"/>
      <c r="CD53" s="634"/>
      <c r="CF53" s="634"/>
      <c r="CG53" s="634"/>
      <c r="CH53" s="634"/>
      <c r="CJ53" s="634"/>
      <c r="CK53" s="634"/>
      <c r="CM53" s="634"/>
      <c r="CO53" s="634"/>
      <c r="CP53" s="634"/>
      <c r="CQ53" s="634"/>
      <c r="CS53" s="634"/>
      <c r="CT53" s="634"/>
      <c r="CU53" s="634"/>
      <c r="CW53" s="634"/>
      <c r="CX53" s="634"/>
      <c r="CY53" s="634"/>
      <c r="DA53" s="634"/>
      <c r="DB53" s="634"/>
      <c r="DC53" s="634"/>
      <c r="DD53" s="634"/>
      <c r="DE53" s="634"/>
      <c r="DF53" s="634"/>
      <c r="DH53" s="634"/>
      <c r="DI53" s="634"/>
      <c r="DJ53" s="634"/>
      <c r="DL53" s="634"/>
      <c r="DM53" s="634"/>
      <c r="DN53" s="634"/>
      <c r="DO53" s="634"/>
      <c r="DP53" s="634"/>
      <c r="DR53" s="634"/>
      <c r="DS53" s="634"/>
      <c r="DT53" s="634"/>
      <c r="DV53" s="634"/>
      <c r="DW53" s="634"/>
      <c r="DX53" s="634"/>
      <c r="DZ53" s="634"/>
      <c r="EA53" s="634"/>
      <c r="EB53" s="634"/>
      <c r="ED53" s="634"/>
      <c r="EE53" s="634"/>
      <c r="EF53" s="634"/>
      <c r="EH53" s="634"/>
      <c r="EI53" s="634"/>
      <c r="EJ53" s="634"/>
      <c r="EK53" s="634"/>
      <c r="EL53" s="634"/>
      <c r="EN53" s="634"/>
      <c r="EO53" s="634"/>
      <c r="EP53" s="634"/>
      <c r="ER53" s="634"/>
      <c r="ES53" s="634"/>
      <c r="ET53" s="634"/>
      <c r="EV53" s="634"/>
      <c r="EW53" s="634"/>
      <c r="EY53" s="634"/>
      <c r="EZ53" s="634"/>
      <c r="FA53" s="634"/>
      <c r="FB53" s="634"/>
      <c r="FC53" s="634"/>
      <c r="FD53" s="634"/>
      <c r="FE53" s="634"/>
      <c r="FF53" s="634"/>
      <c r="FG53" s="634"/>
      <c r="FH53" s="634"/>
      <c r="FI53" s="634"/>
      <c r="FJ53" s="634"/>
      <c r="FK53" s="634"/>
      <c r="FL53" s="634"/>
      <c r="FM53" s="634"/>
      <c r="FN53" s="634"/>
      <c r="FO53" s="634"/>
      <c r="FP53" s="634"/>
      <c r="FQ53" s="634"/>
      <c r="FS53" s="634"/>
      <c r="FT53" s="634"/>
      <c r="FU53" s="634"/>
      <c r="FV53" s="634"/>
      <c r="FW53" s="634"/>
      <c r="FX53" s="634"/>
      <c r="FY53" s="634"/>
      <c r="FZ53" s="634"/>
    </row>
    <row r="54" ht="24.95" customHeight="1" spans="1:182">
      <c r="A54" s="576">
        <v>3</v>
      </c>
      <c r="B54" s="581">
        <v>2.1547</v>
      </c>
      <c r="C54" s="614"/>
      <c r="D54" s="616"/>
      <c r="E54" s="617"/>
      <c r="F54" s="617"/>
      <c r="G54" s="581"/>
      <c r="H54" s="544"/>
      <c r="I54" s="544"/>
      <c r="J54" s="544"/>
      <c r="K54" s="630"/>
      <c r="L54" s="544"/>
      <c r="M54" s="544"/>
      <c r="N54" s="544"/>
      <c r="O54" s="544"/>
      <c r="P54" s="634"/>
      <c r="Q54" s="634"/>
      <c r="R54" s="634"/>
      <c r="S54" s="634"/>
      <c r="T54" s="634"/>
      <c r="U54" s="634"/>
      <c r="V54" s="634"/>
      <c r="W54" s="634"/>
      <c r="X54" s="634"/>
      <c r="Y54" s="634"/>
      <c r="Z54" s="634"/>
      <c r="AA54" s="634"/>
      <c r="AB54" s="634"/>
      <c r="AD54" s="634"/>
      <c r="AE54" s="634"/>
      <c r="AG54" s="634"/>
      <c r="AI54" s="634"/>
      <c r="AJ54" s="634"/>
      <c r="AK54" s="634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X54" s="634"/>
      <c r="AY54" s="634"/>
      <c r="AZ54" s="634"/>
      <c r="BA54" s="634"/>
      <c r="BB54" s="634"/>
      <c r="BC54" s="634"/>
      <c r="BD54" s="634"/>
      <c r="BE54" s="634"/>
      <c r="BF54" s="634"/>
      <c r="BG54" s="634"/>
      <c r="BH54" s="634"/>
      <c r="BJ54" s="634"/>
      <c r="BK54" s="634"/>
      <c r="BL54" s="634"/>
      <c r="BN54" s="634"/>
      <c r="BO54" s="634"/>
      <c r="BP54" s="634"/>
      <c r="BQ54" s="634"/>
      <c r="BR54" s="634"/>
      <c r="BT54" s="634"/>
      <c r="BU54" s="634"/>
      <c r="BV54" s="634"/>
      <c r="BX54" s="634"/>
      <c r="BY54" s="634"/>
      <c r="BZ54" s="634"/>
      <c r="CB54" s="634"/>
      <c r="CC54" s="634"/>
      <c r="CD54" s="634"/>
      <c r="CF54" s="634"/>
      <c r="CG54" s="634"/>
      <c r="CH54" s="634"/>
      <c r="CJ54" s="634"/>
      <c r="CK54" s="634"/>
      <c r="CM54" s="634"/>
      <c r="CO54" s="634"/>
      <c r="CP54" s="634"/>
      <c r="CQ54" s="634"/>
      <c r="CS54" s="634"/>
      <c r="CT54" s="634"/>
      <c r="CU54" s="634"/>
      <c r="CW54" s="634"/>
      <c r="CX54" s="634"/>
      <c r="CY54" s="634"/>
      <c r="DA54" s="634"/>
      <c r="DB54" s="634"/>
      <c r="DC54" s="634"/>
      <c r="DD54" s="634"/>
      <c r="DE54" s="634"/>
      <c r="DF54" s="634"/>
      <c r="DH54" s="634"/>
      <c r="DI54" s="634"/>
      <c r="DJ54" s="634"/>
      <c r="DL54" s="634"/>
      <c r="DM54" s="634"/>
      <c r="DN54" s="634"/>
      <c r="DO54" s="634"/>
      <c r="DP54" s="634"/>
      <c r="DR54" s="634"/>
      <c r="DS54" s="634"/>
      <c r="DT54" s="634"/>
      <c r="DV54" s="634"/>
      <c r="DW54" s="634"/>
      <c r="DX54" s="634"/>
      <c r="DZ54" s="634"/>
      <c r="EA54" s="634"/>
      <c r="EB54" s="634"/>
      <c r="ED54" s="634"/>
      <c r="EE54" s="634"/>
      <c r="EF54" s="634"/>
      <c r="EH54" s="634"/>
      <c r="EI54" s="634"/>
      <c r="EJ54" s="634"/>
      <c r="EK54" s="634"/>
      <c r="EL54" s="634"/>
      <c r="EN54" s="634"/>
      <c r="EO54" s="634"/>
      <c r="EP54" s="634"/>
      <c r="ER54" s="634"/>
      <c r="ES54" s="634"/>
      <c r="ET54" s="634"/>
      <c r="EV54" s="634"/>
      <c r="EW54" s="634"/>
      <c r="EY54" s="634"/>
      <c r="EZ54" s="634"/>
      <c r="FA54" s="634"/>
      <c r="FB54" s="634"/>
      <c r="FC54" s="634"/>
      <c r="FD54" s="634"/>
      <c r="FE54" s="634"/>
      <c r="FF54" s="634"/>
      <c r="FG54" s="634"/>
      <c r="FH54" s="634"/>
      <c r="FI54" s="634"/>
      <c r="FJ54" s="634"/>
      <c r="FK54" s="634"/>
      <c r="FL54" s="634"/>
      <c r="FM54" s="634"/>
      <c r="FN54" s="634"/>
      <c r="FO54" s="634"/>
      <c r="FP54" s="634"/>
      <c r="FQ54" s="634"/>
      <c r="FS54" s="634"/>
      <c r="FT54" s="634"/>
      <c r="FU54" s="634"/>
      <c r="FV54" s="634"/>
      <c r="FW54" s="634"/>
      <c r="FX54" s="634"/>
      <c r="FY54" s="634"/>
      <c r="FZ54" s="634"/>
    </row>
    <row r="55" ht="24.95" customHeight="1" spans="1:182">
      <c r="A55" s="576">
        <v>4</v>
      </c>
      <c r="B55" s="581">
        <v>2.4198125</v>
      </c>
      <c r="C55" s="614"/>
      <c r="D55" s="616" t="s">
        <v>538</v>
      </c>
      <c r="E55" s="618">
        <f>E11</f>
        <v>10.2</v>
      </c>
      <c r="F55" s="618">
        <f>F11</f>
        <v>1.1</v>
      </c>
      <c r="G55" s="581"/>
      <c r="H55" s="577" t="s">
        <v>539</v>
      </c>
      <c r="I55" s="577" t="s">
        <v>540</v>
      </c>
      <c r="J55" s="577">
        <v>0.995</v>
      </c>
      <c r="K55" s="630"/>
      <c r="L55" s="544"/>
      <c r="M55" s="544"/>
      <c r="N55" s="544"/>
      <c r="O55" s="544"/>
      <c r="P55" s="634"/>
      <c r="Q55" s="634"/>
      <c r="R55" s="634"/>
      <c r="S55" s="634"/>
      <c r="T55" s="634"/>
      <c r="U55" s="634"/>
      <c r="V55" s="634"/>
      <c r="W55" s="634"/>
      <c r="X55" s="634"/>
      <c r="Y55" s="634"/>
      <c r="Z55" s="634"/>
      <c r="AA55" s="634"/>
      <c r="AB55" s="634"/>
      <c r="AD55" s="634"/>
      <c r="AE55" s="634"/>
      <c r="AG55" s="634"/>
      <c r="AI55" s="634"/>
      <c r="AJ55" s="634"/>
      <c r="AK55" s="634"/>
      <c r="AL55" s="634"/>
      <c r="AM55" s="634"/>
      <c r="AN55" s="634"/>
      <c r="AO55" s="634"/>
      <c r="AP55" s="634"/>
      <c r="AQ55" s="634"/>
      <c r="AR55" s="634"/>
      <c r="AS55" s="634"/>
      <c r="AT55" s="634"/>
      <c r="AU55" s="634"/>
      <c r="AV55" s="634"/>
      <c r="AX55" s="634"/>
      <c r="AY55" s="634"/>
      <c r="AZ55" s="634"/>
      <c r="BA55" s="634"/>
      <c r="BB55" s="634"/>
      <c r="BC55" s="634"/>
      <c r="BD55" s="634"/>
      <c r="BE55" s="634"/>
      <c r="BF55" s="634"/>
      <c r="BG55" s="634"/>
      <c r="BH55" s="634"/>
      <c r="BJ55" s="634"/>
      <c r="BK55" s="634"/>
      <c r="BL55" s="634"/>
      <c r="BN55" s="634"/>
      <c r="BO55" s="634"/>
      <c r="BP55" s="634"/>
      <c r="BQ55" s="634"/>
      <c r="BR55" s="634"/>
      <c r="BT55" s="634"/>
      <c r="BU55" s="634"/>
      <c r="BV55" s="634"/>
      <c r="BX55" s="634"/>
      <c r="BY55" s="634"/>
      <c r="BZ55" s="634"/>
      <c r="CB55" s="634"/>
      <c r="CC55" s="634"/>
      <c r="CD55" s="634"/>
      <c r="CF55" s="634"/>
      <c r="CG55" s="634"/>
      <c r="CH55" s="634"/>
      <c r="CJ55" s="634"/>
      <c r="CK55" s="634"/>
      <c r="CM55" s="634"/>
      <c r="CO55" s="634"/>
      <c r="CP55" s="634"/>
      <c r="CQ55" s="634"/>
      <c r="CS55" s="634"/>
      <c r="CT55" s="634"/>
      <c r="CU55" s="634"/>
      <c r="CW55" s="634"/>
      <c r="CX55" s="634"/>
      <c r="CY55" s="634"/>
      <c r="DA55" s="634"/>
      <c r="DB55" s="634"/>
      <c r="DC55" s="634"/>
      <c r="DD55" s="634"/>
      <c r="DE55" s="634"/>
      <c r="DF55" s="634"/>
      <c r="DH55" s="634"/>
      <c r="DI55" s="634"/>
      <c r="DJ55" s="634"/>
      <c r="DL55" s="634"/>
      <c r="DM55" s="634"/>
      <c r="DN55" s="634"/>
      <c r="DO55" s="634"/>
      <c r="DP55" s="634"/>
      <c r="DR55" s="634"/>
      <c r="DS55" s="634"/>
      <c r="DT55" s="634"/>
      <c r="DV55" s="634"/>
      <c r="DW55" s="634"/>
      <c r="DX55" s="634"/>
      <c r="DZ55" s="634"/>
      <c r="EA55" s="634"/>
      <c r="EB55" s="634"/>
      <c r="ED55" s="634"/>
      <c r="EE55" s="634"/>
      <c r="EF55" s="634"/>
      <c r="EH55" s="634"/>
      <c r="EI55" s="634"/>
      <c r="EJ55" s="634"/>
      <c r="EK55" s="634"/>
      <c r="EL55" s="634"/>
      <c r="EN55" s="634"/>
      <c r="EO55" s="634"/>
      <c r="EP55" s="634"/>
      <c r="ER55" s="634"/>
      <c r="ES55" s="634"/>
      <c r="ET55" s="634"/>
      <c r="EV55" s="634"/>
      <c r="EW55" s="634"/>
      <c r="EY55" s="634"/>
      <c r="EZ55" s="634"/>
      <c r="FA55" s="634"/>
      <c r="FB55" s="634"/>
      <c r="FC55" s="634"/>
      <c r="FD55" s="634"/>
      <c r="FE55" s="634"/>
      <c r="FF55" s="634"/>
      <c r="FG55" s="634"/>
      <c r="FH55" s="634"/>
      <c r="FI55" s="634"/>
      <c r="FJ55" s="634"/>
      <c r="FK55" s="634"/>
      <c r="FL55" s="634"/>
      <c r="FM55" s="634"/>
      <c r="FN55" s="634"/>
      <c r="FO55" s="634"/>
      <c r="FP55" s="634"/>
      <c r="FQ55" s="634"/>
      <c r="FS55" s="634"/>
      <c r="FT55" s="634"/>
      <c r="FU55" s="634"/>
      <c r="FV55" s="634"/>
      <c r="FW55" s="634"/>
      <c r="FX55" s="634"/>
      <c r="FY55" s="634"/>
      <c r="FZ55" s="634"/>
    </row>
    <row r="56" ht="24.95" customHeight="1" spans="1:182">
      <c r="A56" s="576">
        <v>5</v>
      </c>
      <c r="B56" s="581">
        <v>2.7159</v>
      </c>
      <c r="C56" s="614"/>
      <c r="D56" s="619" t="s">
        <v>541</v>
      </c>
      <c r="E56" s="617">
        <f>E32</f>
        <v>5</v>
      </c>
      <c r="F56" s="617">
        <f>F32</f>
        <v>2</v>
      </c>
      <c r="G56" s="581" t="s">
        <v>542</v>
      </c>
      <c r="H56" s="577"/>
      <c r="I56" s="577" t="s">
        <v>446</v>
      </c>
      <c r="J56" s="625">
        <v>0.07</v>
      </c>
      <c r="K56" s="630"/>
      <c r="L56" s="544"/>
      <c r="M56" s="544"/>
      <c r="N56" s="544"/>
      <c r="O56" s="544"/>
      <c r="P56" s="634"/>
      <c r="Q56" s="634"/>
      <c r="R56" s="634"/>
      <c r="S56" s="634"/>
      <c r="T56" s="634"/>
      <c r="U56" s="634"/>
      <c r="V56" s="634"/>
      <c r="W56" s="634"/>
      <c r="X56" s="634"/>
      <c r="Y56" s="634"/>
      <c r="Z56" s="634"/>
      <c r="AA56" s="634"/>
      <c r="AB56" s="634"/>
      <c r="AD56" s="634"/>
      <c r="AE56" s="634"/>
      <c r="AG56" s="634"/>
      <c r="AI56" s="634"/>
      <c r="AJ56" s="634"/>
      <c r="AK56" s="634"/>
      <c r="AL56" s="634"/>
      <c r="AM56" s="634"/>
      <c r="AN56" s="634"/>
      <c r="AO56" s="634"/>
      <c r="AP56" s="634"/>
      <c r="AQ56" s="634"/>
      <c r="AR56" s="634"/>
      <c r="AS56" s="634"/>
      <c r="AT56" s="634"/>
      <c r="AU56" s="634"/>
      <c r="AV56" s="634"/>
      <c r="AX56" s="634"/>
      <c r="AY56" s="634"/>
      <c r="AZ56" s="634"/>
      <c r="BA56" s="634"/>
      <c r="BB56" s="634"/>
      <c r="BC56" s="634"/>
      <c r="BD56" s="634"/>
      <c r="BE56" s="634"/>
      <c r="BF56" s="634"/>
      <c r="BG56" s="634"/>
      <c r="BH56" s="634"/>
      <c r="BJ56" s="634"/>
      <c r="BK56" s="634"/>
      <c r="BL56" s="634"/>
      <c r="BN56" s="634"/>
      <c r="BO56" s="634"/>
      <c r="BP56" s="634"/>
      <c r="BQ56" s="634"/>
      <c r="BR56" s="634"/>
      <c r="BT56" s="634"/>
      <c r="BU56" s="634"/>
      <c r="BV56" s="634"/>
      <c r="BX56" s="634"/>
      <c r="BY56" s="634"/>
      <c r="BZ56" s="634"/>
      <c r="CB56" s="634"/>
      <c r="CC56" s="634"/>
      <c r="CD56" s="634"/>
      <c r="CF56" s="634"/>
      <c r="CG56" s="634"/>
      <c r="CH56" s="634"/>
      <c r="CJ56" s="634"/>
      <c r="CK56" s="634"/>
      <c r="CM56" s="634"/>
      <c r="CO56" s="634"/>
      <c r="CP56" s="634"/>
      <c r="CQ56" s="634"/>
      <c r="CS56" s="634"/>
      <c r="CT56" s="634"/>
      <c r="CU56" s="634"/>
      <c r="CW56" s="634"/>
      <c r="CX56" s="634"/>
      <c r="CY56" s="634"/>
      <c r="DA56" s="634"/>
      <c r="DB56" s="634"/>
      <c r="DC56" s="634"/>
      <c r="DD56" s="634"/>
      <c r="DE56" s="634"/>
      <c r="DF56" s="634"/>
      <c r="DH56" s="634"/>
      <c r="DI56" s="634"/>
      <c r="DJ56" s="634"/>
      <c r="DL56" s="634"/>
      <c r="DM56" s="634"/>
      <c r="DN56" s="634"/>
      <c r="DO56" s="634"/>
      <c r="DP56" s="634"/>
      <c r="DR56" s="634"/>
      <c r="DS56" s="634"/>
      <c r="DT56" s="634"/>
      <c r="DV56" s="634"/>
      <c r="DW56" s="634"/>
      <c r="DX56" s="634"/>
      <c r="DZ56" s="634"/>
      <c r="EA56" s="634"/>
      <c r="EB56" s="634"/>
      <c r="ED56" s="634"/>
      <c r="EE56" s="634"/>
      <c r="EF56" s="634"/>
      <c r="EH56" s="634"/>
      <c r="EI56" s="634"/>
      <c r="EJ56" s="634"/>
      <c r="EK56" s="634"/>
      <c r="EL56" s="634"/>
      <c r="EN56" s="634"/>
      <c r="EO56" s="634"/>
      <c r="EP56" s="634"/>
      <c r="ER56" s="634"/>
      <c r="ES56" s="634"/>
      <c r="ET56" s="634"/>
      <c r="EV56" s="634"/>
      <c r="EW56" s="634"/>
      <c r="EY56" s="634"/>
      <c r="EZ56" s="634"/>
      <c r="FA56" s="634"/>
      <c r="FB56" s="634"/>
      <c r="FC56" s="634"/>
      <c r="FD56" s="634"/>
      <c r="FE56" s="634"/>
      <c r="FF56" s="634"/>
      <c r="FG56" s="634"/>
      <c r="FH56" s="634"/>
      <c r="FI56" s="634"/>
      <c r="FJ56" s="634"/>
      <c r="FK56" s="634"/>
      <c r="FL56" s="634"/>
      <c r="FM56" s="634"/>
      <c r="FN56" s="634"/>
      <c r="FO56" s="634"/>
      <c r="FP56" s="634"/>
      <c r="FQ56" s="634"/>
      <c r="FS56" s="634"/>
      <c r="FT56" s="634"/>
      <c r="FU56" s="634"/>
      <c r="FV56" s="634"/>
      <c r="FW56" s="634"/>
      <c r="FX56" s="634"/>
      <c r="FY56" s="634"/>
      <c r="FZ56" s="634"/>
    </row>
    <row r="57" ht="24.95" customHeight="1" spans="1:182">
      <c r="A57" s="576">
        <v>6</v>
      </c>
      <c r="B57" s="581">
        <v>3</v>
      </c>
      <c r="C57" s="614"/>
      <c r="D57" s="620"/>
      <c r="E57" s="577"/>
      <c r="F57" s="577"/>
      <c r="G57" s="581"/>
      <c r="H57" s="577"/>
      <c r="I57" s="577" t="s">
        <v>450</v>
      </c>
      <c r="J57" s="625">
        <v>0</v>
      </c>
      <c r="K57" s="630"/>
      <c r="L57" s="544"/>
      <c r="M57" s="544"/>
      <c r="N57" s="544"/>
      <c r="O57" s="634"/>
      <c r="P57" s="634"/>
      <c r="Q57" s="634"/>
      <c r="R57" s="634"/>
      <c r="S57" s="634"/>
      <c r="T57" s="634"/>
      <c r="U57" s="634"/>
      <c r="V57" s="634"/>
      <c r="W57" s="634"/>
      <c r="X57" s="634"/>
      <c r="Y57" s="634"/>
      <c r="Z57" s="634"/>
      <c r="AA57" s="634"/>
      <c r="AB57" s="634"/>
      <c r="AD57" s="634"/>
      <c r="AE57" s="634"/>
      <c r="AG57" s="634"/>
      <c r="AI57" s="634"/>
      <c r="AJ57" s="634"/>
      <c r="AK57" s="634"/>
      <c r="AL57" s="634"/>
      <c r="AM57" s="634"/>
      <c r="AN57" s="634"/>
      <c r="AO57" s="634"/>
      <c r="AP57" s="634"/>
      <c r="AQ57" s="634"/>
      <c r="AR57" s="634"/>
      <c r="AS57" s="634"/>
      <c r="AT57" s="634"/>
      <c r="AU57" s="634"/>
      <c r="AV57" s="634"/>
      <c r="AX57" s="634"/>
      <c r="AY57" s="634"/>
      <c r="AZ57" s="634"/>
      <c r="BA57" s="634"/>
      <c r="BB57" s="634"/>
      <c r="BC57" s="634"/>
      <c r="BD57" s="634"/>
      <c r="BE57" s="634"/>
      <c r="BF57" s="634"/>
      <c r="BG57" s="634"/>
      <c r="BH57" s="634"/>
      <c r="BJ57" s="634"/>
      <c r="BK57" s="634"/>
      <c r="BL57" s="634"/>
      <c r="BN57" s="634"/>
      <c r="BO57" s="634"/>
      <c r="BP57" s="634"/>
      <c r="BQ57" s="634"/>
      <c r="BR57" s="634"/>
      <c r="BT57" s="634"/>
      <c r="BU57" s="634"/>
      <c r="BV57" s="634"/>
      <c r="BX57" s="634"/>
      <c r="BY57" s="634"/>
      <c r="BZ57" s="634"/>
      <c r="CB57" s="634"/>
      <c r="CC57" s="634"/>
      <c r="CD57" s="634"/>
      <c r="CF57" s="634"/>
      <c r="CG57" s="634"/>
      <c r="CH57" s="634"/>
      <c r="CJ57" s="634"/>
      <c r="CK57" s="634"/>
      <c r="CM57" s="634"/>
      <c r="CO57" s="634"/>
      <c r="CP57" s="634"/>
      <c r="CQ57" s="634"/>
      <c r="CS57" s="634"/>
      <c r="CT57" s="634"/>
      <c r="CU57" s="634"/>
      <c r="CW57" s="634"/>
      <c r="CX57" s="634"/>
      <c r="CY57" s="634"/>
      <c r="DA57" s="634"/>
      <c r="DB57" s="634"/>
      <c r="DC57" s="634"/>
      <c r="DD57" s="634"/>
      <c r="DE57" s="634"/>
      <c r="DF57" s="634"/>
      <c r="DH57" s="634"/>
      <c r="DI57" s="634"/>
      <c r="DJ57" s="634"/>
      <c r="DL57" s="634"/>
      <c r="DM57" s="634"/>
      <c r="DN57" s="634"/>
      <c r="DO57" s="634"/>
      <c r="DP57" s="634"/>
      <c r="DR57" s="634"/>
      <c r="DS57" s="634"/>
      <c r="DT57" s="634"/>
      <c r="DV57" s="634"/>
      <c r="DW57" s="634"/>
      <c r="DX57" s="634"/>
      <c r="DZ57" s="634"/>
      <c r="EA57" s="634"/>
      <c r="EB57" s="634"/>
      <c r="ED57" s="634"/>
      <c r="EE57" s="634"/>
      <c r="EF57" s="634"/>
      <c r="EH57" s="634"/>
      <c r="EI57" s="634"/>
      <c r="EJ57" s="634"/>
      <c r="EK57" s="634"/>
      <c r="EL57" s="634"/>
      <c r="EN57" s="634"/>
      <c r="EO57" s="634"/>
      <c r="EP57" s="634"/>
      <c r="ER57" s="634"/>
      <c r="ES57" s="634"/>
      <c r="ET57" s="634"/>
      <c r="EV57" s="634"/>
      <c r="EW57" s="634"/>
      <c r="EY57" s="634"/>
      <c r="EZ57" s="634"/>
      <c r="FA57" s="634"/>
      <c r="FB57" s="634"/>
      <c r="FC57" s="634"/>
      <c r="FD57" s="634"/>
      <c r="FE57" s="634"/>
      <c r="FF57" s="634"/>
      <c r="FG57" s="634"/>
      <c r="FH57" s="634"/>
      <c r="FI57" s="634"/>
      <c r="FJ57" s="634"/>
      <c r="FK57" s="634"/>
      <c r="FL57" s="634"/>
      <c r="FM57" s="634"/>
      <c r="FN57" s="634"/>
      <c r="FO57" s="634"/>
      <c r="FP57" s="634"/>
      <c r="FQ57" s="634"/>
      <c r="FS57" s="634"/>
      <c r="FT57" s="634"/>
      <c r="FU57" s="634"/>
      <c r="FV57" s="634"/>
      <c r="FW57" s="634"/>
      <c r="FX57" s="634"/>
      <c r="FY57" s="634"/>
      <c r="FZ57" s="634"/>
    </row>
    <row r="58" ht="24.95" customHeight="1" spans="1:182">
      <c r="A58" s="576">
        <v>7</v>
      </c>
      <c r="B58" s="581">
        <v>3</v>
      </c>
      <c r="C58" s="614"/>
      <c r="D58" s="619" t="s">
        <v>543</v>
      </c>
      <c r="E58" s="617">
        <f>E39</f>
        <v>20</v>
      </c>
      <c r="F58" s="617">
        <f>F39</f>
        <v>0.3</v>
      </c>
      <c r="G58" s="581"/>
      <c r="H58" s="577"/>
      <c r="I58" s="577"/>
      <c r="J58" s="625"/>
      <c r="K58" s="630"/>
      <c r="L58" s="544"/>
      <c r="M58" s="544"/>
      <c r="N58" s="544"/>
      <c r="O58" s="634"/>
      <c r="P58" s="634"/>
      <c r="Q58" s="634"/>
      <c r="R58" s="634"/>
      <c r="S58" s="634"/>
      <c r="T58" s="634"/>
      <c r="U58" s="634"/>
      <c r="V58" s="634"/>
      <c r="W58" s="634"/>
      <c r="X58" s="634"/>
      <c r="Y58" s="634"/>
      <c r="Z58" s="634"/>
      <c r="AA58" s="634"/>
      <c r="AB58" s="634"/>
      <c r="AD58" s="634"/>
      <c r="AE58" s="634"/>
      <c r="AG58" s="634"/>
      <c r="AI58" s="634"/>
      <c r="AJ58" s="634"/>
      <c r="AK58" s="634"/>
      <c r="AL58" s="634"/>
      <c r="AM58" s="634"/>
      <c r="AN58" s="634"/>
      <c r="AO58" s="634"/>
      <c r="AP58" s="634"/>
      <c r="AQ58" s="634"/>
      <c r="AR58" s="634"/>
      <c r="AS58" s="634"/>
      <c r="AT58" s="634"/>
      <c r="AU58" s="634"/>
      <c r="AV58" s="634"/>
      <c r="AX58" s="634"/>
      <c r="AY58" s="634"/>
      <c r="AZ58" s="634"/>
      <c r="BA58" s="634"/>
      <c r="BB58" s="634"/>
      <c r="BC58" s="634"/>
      <c r="BD58" s="634"/>
      <c r="BE58" s="634"/>
      <c r="BF58" s="634"/>
      <c r="BG58" s="634"/>
      <c r="BH58" s="634"/>
      <c r="BJ58" s="634"/>
      <c r="BK58" s="634"/>
      <c r="BL58" s="634"/>
      <c r="BN58" s="634"/>
      <c r="BO58" s="634"/>
      <c r="BP58" s="634"/>
      <c r="BQ58" s="634"/>
      <c r="BR58" s="634"/>
      <c r="BT58" s="634"/>
      <c r="BU58" s="634"/>
      <c r="BV58" s="634"/>
      <c r="BX58" s="634"/>
      <c r="BY58" s="634"/>
      <c r="BZ58" s="634"/>
      <c r="CB58" s="634"/>
      <c r="CC58" s="634"/>
      <c r="CD58" s="634"/>
      <c r="CF58" s="634"/>
      <c r="CG58" s="634"/>
      <c r="CH58" s="634"/>
      <c r="CJ58" s="634"/>
      <c r="CK58" s="634"/>
      <c r="CM58" s="634"/>
      <c r="CO58" s="634"/>
      <c r="CP58" s="634"/>
      <c r="CQ58" s="634"/>
      <c r="CS58" s="634"/>
      <c r="CT58" s="634"/>
      <c r="CU58" s="634"/>
      <c r="CW58" s="634"/>
      <c r="CX58" s="634"/>
      <c r="CY58" s="634"/>
      <c r="DA58" s="634"/>
      <c r="DB58" s="634"/>
      <c r="DC58" s="634"/>
      <c r="DD58" s="634"/>
      <c r="DE58" s="634"/>
      <c r="DF58" s="634"/>
      <c r="DH58" s="634"/>
      <c r="DI58" s="634"/>
      <c r="DJ58" s="634"/>
      <c r="DL58" s="634"/>
      <c r="DM58" s="634"/>
      <c r="DN58" s="634"/>
      <c r="DO58" s="634"/>
      <c r="DP58" s="634"/>
      <c r="DR58" s="634"/>
      <c r="DS58" s="634"/>
      <c r="DT58" s="634"/>
      <c r="DV58" s="634"/>
      <c r="DW58" s="634"/>
      <c r="DX58" s="634"/>
      <c r="DZ58" s="634"/>
      <c r="EA58" s="634"/>
      <c r="EB58" s="634"/>
      <c r="ED58" s="634"/>
      <c r="EE58" s="634"/>
      <c r="EF58" s="634"/>
      <c r="EH58" s="634"/>
      <c r="EI58" s="634"/>
      <c r="EJ58" s="634"/>
      <c r="EK58" s="634"/>
      <c r="EL58" s="634"/>
      <c r="EN58" s="634"/>
      <c r="EO58" s="634"/>
      <c r="EP58" s="634"/>
      <c r="ER58" s="634"/>
      <c r="ES58" s="634"/>
      <c r="ET58" s="634"/>
      <c r="EV58" s="634"/>
      <c r="EW58" s="634"/>
      <c r="EY58" s="634"/>
      <c r="EZ58" s="634"/>
      <c r="FA58" s="634"/>
      <c r="FB58" s="634"/>
      <c r="FC58" s="634"/>
      <c r="FD58" s="634"/>
      <c r="FE58" s="634"/>
      <c r="FF58" s="634"/>
      <c r="FG58" s="634"/>
      <c r="FH58" s="634"/>
      <c r="FI58" s="634"/>
      <c r="FJ58" s="634"/>
      <c r="FK58" s="634"/>
      <c r="FL58" s="634"/>
      <c r="FM58" s="634"/>
      <c r="FN58" s="634"/>
      <c r="FO58" s="634"/>
      <c r="FP58" s="634"/>
      <c r="FQ58" s="634"/>
      <c r="FS58" s="634"/>
      <c r="FT58" s="634"/>
      <c r="FU58" s="634"/>
      <c r="FV58" s="634"/>
      <c r="FW58" s="634"/>
      <c r="FX58" s="634"/>
      <c r="FY58" s="634"/>
      <c r="FZ58" s="634"/>
    </row>
    <row r="59" ht="24.95" customHeight="1" spans="1:182">
      <c r="A59" s="576">
        <v>10</v>
      </c>
      <c r="B59" s="581">
        <v>3.828</v>
      </c>
      <c r="C59" s="614"/>
      <c r="D59" s="619" t="s">
        <v>544</v>
      </c>
      <c r="E59" s="617">
        <f>E22</f>
        <v>10</v>
      </c>
      <c r="F59" s="617">
        <f>F22</f>
        <v>1.47</v>
      </c>
      <c r="G59" s="581"/>
      <c r="H59" s="576"/>
      <c r="I59" s="576"/>
      <c r="J59" s="576"/>
      <c r="K59" s="630"/>
      <c r="L59" s="544"/>
      <c r="M59" s="544"/>
      <c r="N59" s="544"/>
      <c r="O59" s="634"/>
      <c r="P59" s="634"/>
      <c r="Q59" s="634"/>
      <c r="R59" s="634"/>
      <c r="S59" s="634"/>
      <c r="T59" s="634"/>
      <c r="U59" s="634"/>
      <c r="V59" s="634"/>
      <c r="W59" s="634"/>
      <c r="X59" s="634"/>
      <c r="Y59" s="634"/>
      <c r="Z59" s="634"/>
      <c r="AA59" s="634"/>
      <c r="AB59" s="634"/>
      <c r="AD59" s="634"/>
      <c r="AE59" s="634"/>
      <c r="AG59" s="634"/>
      <c r="AI59" s="634"/>
      <c r="AJ59" s="634"/>
      <c r="AK59" s="634"/>
      <c r="AL59" s="634"/>
      <c r="AM59" s="634"/>
      <c r="AN59" s="634"/>
      <c r="AO59" s="634"/>
      <c r="AP59" s="634"/>
      <c r="AQ59" s="634"/>
      <c r="AR59" s="634"/>
      <c r="AS59" s="634"/>
      <c r="AT59" s="634"/>
      <c r="AU59" s="634"/>
      <c r="AV59" s="634"/>
      <c r="AX59" s="634"/>
      <c r="AY59" s="634"/>
      <c r="AZ59" s="634"/>
      <c r="BA59" s="634"/>
      <c r="BB59" s="634"/>
      <c r="BC59" s="634"/>
      <c r="BD59" s="634"/>
      <c r="BE59" s="634"/>
      <c r="BF59" s="634"/>
      <c r="BG59" s="634"/>
      <c r="BH59" s="634"/>
      <c r="BJ59" s="634"/>
      <c r="BK59" s="634"/>
      <c r="BL59" s="634"/>
      <c r="BN59" s="634"/>
      <c r="BO59" s="634"/>
      <c r="BP59" s="634"/>
      <c r="BQ59" s="634"/>
      <c r="BR59" s="634"/>
      <c r="BT59" s="634"/>
      <c r="BU59" s="634"/>
      <c r="BV59" s="634"/>
      <c r="BX59" s="634"/>
      <c r="BY59" s="634"/>
      <c r="BZ59" s="634"/>
      <c r="CB59" s="634"/>
      <c r="CC59" s="634"/>
      <c r="CD59" s="634"/>
      <c r="CF59" s="634"/>
      <c r="CG59" s="634"/>
      <c r="CH59" s="634"/>
      <c r="CJ59" s="634"/>
      <c r="CK59" s="634"/>
      <c r="CM59" s="634"/>
      <c r="CO59" s="634"/>
      <c r="CP59" s="634"/>
      <c r="CQ59" s="634"/>
      <c r="CS59" s="634"/>
      <c r="CT59" s="634"/>
      <c r="CU59" s="634"/>
      <c r="CW59" s="634"/>
      <c r="CX59" s="634"/>
      <c r="CY59" s="634"/>
      <c r="DA59" s="634"/>
      <c r="DB59" s="634"/>
      <c r="DC59" s="634"/>
      <c r="DD59" s="634"/>
      <c r="DE59" s="634"/>
      <c r="DF59" s="634"/>
      <c r="DH59" s="634"/>
      <c r="DI59" s="634"/>
      <c r="DJ59" s="634"/>
      <c r="DL59" s="634"/>
      <c r="DM59" s="634"/>
      <c r="DN59" s="634"/>
      <c r="DO59" s="634"/>
      <c r="DP59" s="634"/>
      <c r="DR59" s="634"/>
      <c r="DS59" s="634"/>
      <c r="DT59" s="634"/>
      <c r="DV59" s="634"/>
      <c r="DW59" s="634"/>
      <c r="DX59" s="634"/>
      <c r="DZ59" s="634"/>
      <c r="EA59" s="634"/>
      <c r="EB59" s="634"/>
      <c r="ED59" s="634"/>
      <c r="EE59" s="634"/>
      <c r="EF59" s="634"/>
      <c r="EH59" s="634"/>
      <c r="EI59" s="634"/>
      <c r="EJ59" s="634"/>
      <c r="EK59" s="634"/>
      <c r="EL59" s="634"/>
      <c r="EN59" s="634"/>
      <c r="EO59" s="634"/>
      <c r="EP59" s="634"/>
      <c r="ER59" s="634"/>
      <c r="ES59" s="634"/>
      <c r="ET59" s="634"/>
      <c r="EV59" s="634"/>
      <c r="EW59" s="634"/>
      <c r="EY59" s="634"/>
      <c r="EZ59" s="634"/>
      <c r="FA59" s="634"/>
      <c r="FB59" s="634"/>
      <c r="FC59" s="634"/>
      <c r="FD59" s="634"/>
      <c r="FE59" s="634"/>
      <c r="FF59" s="634"/>
      <c r="FG59" s="634"/>
      <c r="FH59" s="634"/>
      <c r="FI59" s="634"/>
      <c r="FJ59" s="634"/>
      <c r="FK59" s="634"/>
      <c r="FL59" s="634"/>
      <c r="FM59" s="634"/>
      <c r="FN59" s="634"/>
      <c r="FO59" s="634"/>
      <c r="FP59" s="634"/>
      <c r="FQ59" s="634"/>
      <c r="FS59" s="634"/>
      <c r="FT59" s="634"/>
      <c r="FU59" s="634"/>
      <c r="FV59" s="634"/>
      <c r="FW59" s="634"/>
      <c r="FX59" s="634"/>
      <c r="FY59" s="634"/>
      <c r="FZ59" s="634"/>
    </row>
    <row r="60" ht="24.95" customHeight="1" spans="1:182">
      <c r="A60" s="576">
        <v>14</v>
      </c>
      <c r="B60" s="581">
        <v>4.3739</v>
      </c>
      <c r="C60" s="614"/>
      <c r="D60" s="621" t="s">
        <v>545</v>
      </c>
      <c r="E60" s="577">
        <f>E32</f>
        <v>5</v>
      </c>
      <c r="F60" s="577">
        <f>F32</f>
        <v>2</v>
      </c>
      <c r="G60" s="576"/>
      <c r="H60" s="582" t="s">
        <v>546</v>
      </c>
      <c r="I60" s="577" t="s">
        <v>540</v>
      </c>
      <c r="J60" s="577">
        <v>0.995</v>
      </c>
      <c r="K60" s="630"/>
      <c r="L60" s="544"/>
      <c r="M60" s="544"/>
      <c r="N60" s="544"/>
      <c r="O60" s="634"/>
      <c r="P60" s="634"/>
      <c r="Q60" s="634"/>
      <c r="R60" s="634"/>
      <c r="S60" s="634"/>
      <c r="T60" s="634"/>
      <c r="U60" s="634"/>
      <c r="V60" s="634"/>
      <c r="W60" s="634"/>
      <c r="X60" s="634"/>
      <c r="Y60" s="634"/>
      <c r="Z60" s="634"/>
      <c r="AA60" s="634"/>
      <c r="AB60" s="634"/>
      <c r="AD60" s="634"/>
      <c r="AE60" s="634"/>
      <c r="AG60" s="634"/>
      <c r="AI60" s="634"/>
      <c r="AJ60" s="634"/>
      <c r="AK60" s="634"/>
      <c r="AL60" s="634"/>
      <c r="AM60" s="634"/>
      <c r="AN60" s="634"/>
      <c r="AO60" s="634"/>
      <c r="AP60" s="634"/>
      <c r="AQ60" s="634"/>
      <c r="AR60" s="634"/>
      <c r="AS60" s="634"/>
      <c r="AT60" s="634"/>
      <c r="AU60" s="634"/>
      <c r="AV60" s="634"/>
      <c r="AX60" s="634"/>
      <c r="AY60" s="634"/>
      <c r="AZ60" s="634"/>
      <c r="BA60" s="634"/>
      <c r="BB60" s="634"/>
      <c r="BC60" s="634"/>
      <c r="BD60" s="634"/>
      <c r="BE60" s="634"/>
      <c r="BF60" s="634"/>
      <c r="BG60" s="634"/>
      <c r="BH60" s="634"/>
      <c r="BJ60" s="634"/>
      <c r="BK60" s="634"/>
      <c r="BL60" s="634"/>
      <c r="BN60" s="634"/>
      <c r="BO60" s="634"/>
      <c r="BP60" s="634"/>
      <c r="BQ60" s="634"/>
      <c r="BR60" s="634"/>
      <c r="BT60" s="634"/>
      <c r="BU60" s="634"/>
      <c r="BV60" s="634"/>
      <c r="BX60" s="634"/>
      <c r="BY60" s="634"/>
      <c r="BZ60" s="634"/>
      <c r="CB60" s="634"/>
      <c r="CC60" s="634"/>
      <c r="CD60" s="634"/>
      <c r="CF60" s="634"/>
      <c r="CG60" s="634"/>
      <c r="CH60" s="634"/>
      <c r="CJ60" s="634"/>
      <c r="CK60" s="634"/>
      <c r="CM60" s="634"/>
      <c r="CO60" s="634"/>
      <c r="CP60" s="634"/>
      <c r="CQ60" s="634"/>
      <c r="CS60" s="634"/>
      <c r="CT60" s="634"/>
      <c r="CU60" s="634"/>
      <c r="CW60" s="634"/>
      <c r="CX60" s="634"/>
      <c r="CY60" s="634"/>
      <c r="DA60" s="634"/>
      <c r="DB60" s="634"/>
      <c r="DC60" s="634"/>
      <c r="DD60" s="634"/>
      <c r="DE60" s="634"/>
      <c r="DF60" s="634"/>
      <c r="DH60" s="634"/>
      <c r="DI60" s="634"/>
      <c r="DJ60" s="634"/>
      <c r="DL60" s="634"/>
      <c r="DM60" s="634"/>
      <c r="DN60" s="634"/>
      <c r="DO60" s="634"/>
      <c r="DP60" s="634"/>
      <c r="DR60" s="634"/>
      <c r="DS60" s="634"/>
      <c r="DT60" s="634"/>
      <c r="DV60" s="634"/>
      <c r="DW60" s="634"/>
      <c r="DX60" s="634"/>
      <c r="DZ60" s="634"/>
      <c r="EA60" s="634"/>
      <c r="EB60" s="634"/>
      <c r="ED60" s="634"/>
      <c r="EE60" s="634"/>
      <c r="EF60" s="634"/>
      <c r="EH60" s="634"/>
      <c r="EI60" s="634"/>
      <c r="EJ60" s="634"/>
      <c r="EK60" s="634"/>
      <c r="EL60" s="634"/>
      <c r="EN60" s="634"/>
      <c r="EO60" s="634"/>
      <c r="EP60" s="634"/>
      <c r="ER60" s="634"/>
      <c r="ES60" s="634"/>
      <c r="ET60" s="634"/>
      <c r="EV60" s="634"/>
      <c r="EW60" s="634"/>
      <c r="EY60" s="634"/>
      <c r="EZ60" s="634"/>
      <c r="FA60" s="634"/>
      <c r="FB60" s="634"/>
      <c r="FC60" s="634"/>
      <c r="FD60" s="634"/>
      <c r="FE60" s="634"/>
      <c r="FF60" s="634"/>
      <c r="FG60" s="634"/>
      <c r="FH60" s="634"/>
      <c r="FI60" s="634"/>
      <c r="FJ60" s="634"/>
      <c r="FK60" s="634"/>
      <c r="FL60" s="634"/>
      <c r="FM60" s="634"/>
      <c r="FN60" s="634"/>
      <c r="FO60" s="634"/>
      <c r="FP60" s="634"/>
      <c r="FQ60" s="634"/>
      <c r="FS60" s="634"/>
      <c r="FT60" s="634"/>
      <c r="FU60" s="634"/>
      <c r="FV60" s="634"/>
      <c r="FW60" s="634"/>
      <c r="FX60" s="634"/>
      <c r="FY60" s="634"/>
      <c r="FZ60" s="634"/>
    </row>
    <row r="61" ht="24.95" customHeight="1" spans="1:182">
      <c r="A61" s="576">
        <v>19</v>
      </c>
      <c r="B61" s="609">
        <v>4.8637</v>
      </c>
      <c r="C61" s="614"/>
      <c r="D61" s="581"/>
      <c r="E61" s="577"/>
      <c r="F61" s="577"/>
      <c r="G61" s="576"/>
      <c r="H61" s="584"/>
      <c r="I61" s="577" t="s">
        <v>446</v>
      </c>
      <c r="J61" s="625">
        <v>0.08</v>
      </c>
      <c r="K61" s="630"/>
      <c r="L61" s="544"/>
      <c r="M61" s="544"/>
      <c r="N61" s="544"/>
      <c r="O61" s="634"/>
      <c r="P61" s="634"/>
      <c r="Q61" s="634"/>
      <c r="R61" s="634"/>
      <c r="S61" s="634"/>
      <c r="T61" s="634"/>
      <c r="U61" s="634"/>
      <c r="V61" s="634"/>
      <c r="W61" s="634"/>
      <c r="X61" s="634"/>
      <c r="Y61" s="634"/>
      <c r="Z61" s="634"/>
      <c r="AA61" s="634"/>
      <c r="AB61" s="634"/>
      <c r="AD61" s="634"/>
      <c r="AE61" s="634"/>
      <c r="AG61" s="634"/>
      <c r="AI61" s="634"/>
      <c r="AJ61" s="634"/>
      <c r="AK61" s="634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X61" s="634"/>
      <c r="AY61" s="634"/>
      <c r="AZ61" s="634"/>
      <c r="BA61" s="634"/>
      <c r="BB61" s="634"/>
      <c r="BC61" s="634"/>
      <c r="BD61" s="634"/>
      <c r="BE61" s="634"/>
      <c r="BF61" s="634"/>
      <c r="BG61" s="634"/>
      <c r="BH61" s="634"/>
      <c r="BJ61" s="634"/>
      <c r="BK61" s="634"/>
      <c r="BL61" s="634"/>
      <c r="BN61" s="634"/>
      <c r="BO61" s="634"/>
      <c r="BP61" s="634"/>
      <c r="BQ61" s="634"/>
      <c r="BR61" s="634"/>
      <c r="BT61" s="634"/>
      <c r="BU61" s="634"/>
      <c r="BV61" s="634"/>
      <c r="BX61" s="634"/>
      <c r="BY61" s="634"/>
      <c r="BZ61" s="634"/>
      <c r="CB61" s="634"/>
      <c r="CC61" s="634"/>
      <c r="CD61" s="634"/>
      <c r="CF61" s="634"/>
      <c r="CG61" s="634"/>
      <c r="CH61" s="634"/>
      <c r="CJ61" s="634"/>
      <c r="CK61" s="634"/>
      <c r="CM61" s="634"/>
      <c r="CO61" s="634"/>
      <c r="CP61" s="634"/>
      <c r="CQ61" s="634"/>
      <c r="CS61" s="634"/>
      <c r="CT61" s="634"/>
      <c r="CU61" s="634"/>
      <c r="CW61" s="634"/>
      <c r="CX61" s="634"/>
      <c r="CY61" s="634"/>
      <c r="DA61" s="634"/>
      <c r="DB61" s="634"/>
      <c r="DC61" s="634"/>
      <c r="DD61" s="634"/>
      <c r="DE61" s="634"/>
      <c r="DF61" s="634"/>
      <c r="DH61" s="634"/>
      <c r="DI61" s="634"/>
      <c r="DJ61" s="634"/>
      <c r="DL61" s="634"/>
      <c r="DM61" s="634"/>
      <c r="DN61" s="634"/>
      <c r="DO61" s="634"/>
      <c r="DP61" s="634"/>
      <c r="DR61" s="634"/>
      <c r="DS61" s="634"/>
      <c r="DT61" s="634"/>
      <c r="DV61" s="634"/>
      <c r="DW61" s="634"/>
      <c r="DX61" s="634"/>
      <c r="DZ61" s="634"/>
      <c r="EA61" s="634"/>
      <c r="EB61" s="634"/>
      <c r="ED61" s="634"/>
      <c r="EE61" s="634"/>
      <c r="EF61" s="634"/>
      <c r="EH61" s="634"/>
      <c r="EI61" s="634"/>
      <c r="EJ61" s="634"/>
      <c r="EK61" s="634"/>
      <c r="EL61" s="634"/>
      <c r="EN61" s="634"/>
      <c r="EO61" s="634"/>
      <c r="EP61" s="634"/>
      <c r="ER61" s="634"/>
      <c r="ES61" s="634"/>
      <c r="ET61" s="634"/>
      <c r="EV61" s="634"/>
      <c r="EW61" s="634"/>
      <c r="EY61" s="634"/>
      <c r="EZ61" s="634"/>
      <c r="FA61" s="634"/>
      <c r="FB61" s="634"/>
      <c r="FC61" s="634"/>
      <c r="FD61" s="634"/>
      <c r="FE61" s="634"/>
      <c r="FF61" s="634"/>
      <c r="FG61" s="634"/>
      <c r="FH61" s="634"/>
      <c r="FI61" s="634"/>
      <c r="FJ61" s="634"/>
      <c r="FK61" s="634"/>
      <c r="FL61" s="634"/>
      <c r="FM61" s="634"/>
      <c r="FN61" s="634"/>
      <c r="FO61" s="634"/>
      <c r="FP61" s="634"/>
      <c r="FQ61" s="634"/>
      <c r="FS61" s="634"/>
      <c r="FT61" s="634"/>
      <c r="FU61" s="634"/>
      <c r="FV61" s="634"/>
      <c r="FW61" s="634"/>
      <c r="FX61" s="634"/>
      <c r="FY61" s="634"/>
      <c r="FZ61" s="634"/>
    </row>
    <row r="62" ht="24.95" customHeight="1" spans="1:182">
      <c r="A62" s="576">
        <v>24</v>
      </c>
      <c r="B62" s="609">
        <v>5.77</v>
      </c>
      <c r="C62" s="614"/>
      <c r="D62" s="615" t="s">
        <v>547</v>
      </c>
      <c r="E62" s="85">
        <v>7.9</v>
      </c>
      <c r="F62" s="577">
        <v>3.58</v>
      </c>
      <c r="G62" s="576"/>
      <c r="H62" s="584"/>
      <c r="I62" s="577" t="s">
        <v>450</v>
      </c>
      <c r="J62" s="636">
        <v>0</v>
      </c>
      <c r="K62" s="630"/>
      <c r="L62" s="544"/>
      <c r="M62" s="544"/>
      <c r="N62" s="544"/>
      <c r="O62" s="634"/>
      <c r="P62" s="634"/>
      <c r="Q62" s="634"/>
      <c r="R62" s="634"/>
      <c r="S62" s="634"/>
      <c r="T62" s="634"/>
      <c r="U62" s="634"/>
      <c r="V62" s="634"/>
      <c r="W62" s="634"/>
      <c r="X62" s="634"/>
      <c r="Y62" s="634"/>
      <c r="Z62" s="634"/>
      <c r="AA62" s="634"/>
      <c r="AB62" s="634"/>
      <c r="AD62" s="634"/>
      <c r="AE62" s="634"/>
      <c r="AG62" s="634"/>
      <c r="AI62" s="634"/>
      <c r="AJ62" s="634"/>
      <c r="AK62" s="634"/>
      <c r="AL62" s="634"/>
      <c r="AM62" s="634"/>
      <c r="AN62" s="634"/>
      <c r="AO62" s="634"/>
      <c r="AP62" s="634"/>
      <c r="AQ62" s="634"/>
      <c r="AR62" s="634"/>
      <c r="AS62" s="634"/>
      <c r="AT62" s="634"/>
      <c r="AU62" s="634"/>
      <c r="AV62" s="634"/>
      <c r="AX62" s="634"/>
      <c r="AY62" s="634"/>
      <c r="AZ62" s="634"/>
      <c r="BA62" s="634"/>
      <c r="BB62" s="634"/>
      <c r="BC62" s="634"/>
      <c r="BD62" s="634"/>
      <c r="BE62" s="634"/>
      <c r="BF62" s="634"/>
      <c r="BG62" s="634"/>
      <c r="BH62" s="634"/>
      <c r="BJ62" s="634"/>
      <c r="BK62" s="634"/>
      <c r="BL62" s="634"/>
      <c r="BN62" s="634"/>
      <c r="BO62" s="634"/>
      <c r="BP62" s="634"/>
      <c r="BQ62" s="634"/>
      <c r="BR62" s="634"/>
      <c r="BT62" s="634"/>
      <c r="BU62" s="634"/>
      <c r="BV62" s="634"/>
      <c r="BX62" s="634"/>
      <c r="BY62" s="634"/>
      <c r="BZ62" s="634"/>
      <c r="CB62" s="634"/>
      <c r="CC62" s="634"/>
      <c r="CD62" s="634"/>
      <c r="CF62" s="634"/>
      <c r="CG62" s="634"/>
      <c r="CH62" s="634"/>
      <c r="CJ62" s="634"/>
      <c r="CK62" s="634"/>
      <c r="CM62" s="634"/>
      <c r="CO62" s="634"/>
      <c r="CP62" s="634"/>
      <c r="CQ62" s="634"/>
      <c r="CS62" s="634"/>
      <c r="CT62" s="634"/>
      <c r="CU62" s="634"/>
      <c r="CW62" s="634"/>
      <c r="CX62" s="634"/>
      <c r="CY62" s="634"/>
      <c r="DA62" s="634"/>
      <c r="DB62" s="634"/>
      <c r="DC62" s="634"/>
      <c r="DD62" s="634"/>
      <c r="DE62" s="634"/>
      <c r="DF62" s="634"/>
      <c r="DH62" s="634"/>
      <c r="DI62" s="634"/>
      <c r="DJ62" s="634"/>
      <c r="DL62" s="634"/>
      <c r="DM62" s="634"/>
      <c r="DN62" s="634"/>
      <c r="DO62" s="634"/>
      <c r="DP62" s="634"/>
      <c r="DR62" s="634"/>
      <c r="DS62" s="634"/>
      <c r="DT62" s="634"/>
      <c r="DV62" s="634"/>
      <c r="DW62" s="634"/>
      <c r="DX62" s="634"/>
      <c r="DZ62" s="634"/>
      <c r="EA62" s="634"/>
      <c r="EB62" s="634"/>
      <c r="ED62" s="634"/>
      <c r="EE62" s="634"/>
      <c r="EF62" s="634"/>
      <c r="EH62" s="634"/>
      <c r="EI62" s="634"/>
      <c r="EJ62" s="634"/>
      <c r="EK62" s="634"/>
      <c r="EL62" s="634"/>
      <c r="EN62" s="634"/>
      <c r="EO62" s="634"/>
      <c r="EP62" s="634"/>
      <c r="ER62" s="634"/>
      <c r="ES62" s="634"/>
      <c r="ET62" s="634"/>
      <c r="EV62" s="634"/>
      <c r="EW62" s="634"/>
      <c r="EY62" s="634"/>
      <c r="EZ62" s="634"/>
      <c r="FA62" s="634"/>
      <c r="FB62" s="634"/>
      <c r="FC62" s="634"/>
      <c r="FD62" s="634"/>
      <c r="FE62" s="634"/>
      <c r="FF62" s="634"/>
      <c r="FG62" s="634"/>
      <c r="FH62" s="634"/>
      <c r="FI62" s="634"/>
      <c r="FJ62" s="634"/>
      <c r="FK62" s="634"/>
      <c r="FL62" s="634"/>
      <c r="FM62" s="634"/>
      <c r="FN62" s="634"/>
      <c r="FO62" s="634"/>
      <c r="FP62" s="634"/>
      <c r="FQ62" s="634"/>
      <c r="FS62" s="634"/>
      <c r="FT62" s="634"/>
      <c r="FU62" s="634"/>
      <c r="FV62" s="634"/>
      <c r="FW62" s="634"/>
      <c r="FX62" s="634"/>
      <c r="FY62" s="634"/>
      <c r="FZ62" s="634"/>
    </row>
    <row r="63" ht="24.95" customHeight="1" spans="1:182">
      <c r="A63" s="576">
        <v>30</v>
      </c>
      <c r="B63" s="609">
        <v>6.37</v>
      </c>
      <c r="C63" s="581"/>
      <c r="D63" s="581"/>
      <c r="E63" s="581"/>
      <c r="F63" s="581"/>
      <c r="G63" s="576"/>
      <c r="H63" s="591"/>
      <c r="I63" s="577"/>
      <c r="J63" s="636"/>
      <c r="K63" s="634"/>
      <c r="L63" s="544"/>
      <c r="M63" s="544"/>
      <c r="N63" s="544"/>
      <c r="O63" s="634"/>
      <c r="P63" s="634"/>
      <c r="Q63" s="634"/>
      <c r="R63" s="634"/>
      <c r="S63" s="634"/>
      <c r="T63" s="634"/>
      <c r="U63" s="634"/>
      <c r="V63" s="634"/>
      <c r="W63" s="634"/>
      <c r="X63" s="634"/>
      <c r="Y63" s="634"/>
      <c r="Z63" s="634"/>
      <c r="AA63" s="634"/>
      <c r="AB63" s="634"/>
      <c r="AD63" s="634"/>
      <c r="AE63" s="634"/>
      <c r="AG63" s="634"/>
      <c r="AI63" s="634"/>
      <c r="AJ63" s="634"/>
      <c r="AK63" s="634"/>
      <c r="AM63" s="634"/>
      <c r="AN63" s="634"/>
      <c r="AO63" s="634"/>
      <c r="AQ63" s="634"/>
      <c r="AR63" s="634"/>
      <c r="AS63" s="634"/>
      <c r="AT63" s="634"/>
      <c r="AU63" s="634"/>
      <c r="AV63" s="634"/>
      <c r="AX63" s="634"/>
      <c r="AY63" s="634"/>
      <c r="AZ63" s="634"/>
      <c r="BB63" s="634"/>
      <c r="BC63" s="634"/>
      <c r="BD63" s="634"/>
      <c r="BF63" s="634"/>
      <c r="BG63" s="634"/>
      <c r="BH63" s="634"/>
      <c r="BJ63" s="634"/>
      <c r="BK63" s="634"/>
      <c r="BL63" s="634"/>
      <c r="BN63" s="634"/>
      <c r="BO63" s="634"/>
      <c r="BP63" s="634"/>
      <c r="BQ63" s="634"/>
      <c r="BR63" s="634"/>
      <c r="BT63" s="634"/>
      <c r="BU63" s="634"/>
      <c r="BV63" s="634"/>
      <c r="BX63" s="634"/>
      <c r="BY63" s="634"/>
      <c r="BZ63" s="634"/>
      <c r="CB63" s="634"/>
      <c r="CC63" s="634"/>
      <c r="CD63" s="634"/>
      <c r="CF63" s="634"/>
      <c r="CG63" s="634"/>
      <c r="CH63" s="634"/>
      <c r="CJ63" s="634"/>
      <c r="CK63" s="634"/>
      <c r="CM63" s="634"/>
      <c r="CO63" s="634"/>
      <c r="CP63" s="634"/>
      <c r="CQ63" s="634"/>
      <c r="CS63" s="634"/>
      <c r="CT63" s="634"/>
      <c r="CU63" s="634"/>
      <c r="CW63" s="634"/>
      <c r="CX63" s="634"/>
      <c r="CY63" s="634"/>
      <c r="DA63" s="634"/>
      <c r="DB63" s="634"/>
      <c r="DC63" s="634"/>
      <c r="DD63" s="634"/>
      <c r="DE63" s="634"/>
      <c r="DF63" s="634"/>
      <c r="DH63" s="634"/>
      <c r="DI63" s="634"/>
      <c r="DJ63" s="634"/>
      <c r="DL63" s="634"/>
      <c r="DM63" s="634"/>
      <c r="DN63" s="634"/>
      <c r="DO63" s="634"/>
      <c r="DP63" s="634"/>
      <c r="DR63" s="634"/>
      <c r="DS63" s="634"/>
      <c r="DT63" s="634"/>
      <c r="DV63" s="634"/>
      <c r="DW63" s="634"/>
      <c r="DX63" s="634"/>
      <c r="DZ63" s="634"/>
      <c r="EA63" s="634"/>
      <c r="EB63" s="634"/>
      <c r="ED63" s="634"/>
      <c r="EE63" s="634"/>
      <c r="EF63" s="634"/>
      <c r="EH63" s="634"/>
      <c r="EI63" s="634"/>
      <c r="EJ63" s="634"/>
      <c r="EK63" s="634"/>
      <c r="EL63" s="634"/>
      <c r="EN63" s="634"/>
      <c r="EO63" s="634"/>
      <c r="EP63" s="634"/>
      <c r="ER63" s="634"/>
      <c r="ES63" s="634"/>
      <c r="ET63" s="634"/>
      <c r="EV63" s="634"/>
      <c r="EW63" s="634"/>
      <c r="EY63" s="634"/>
      <c r="EZ63" s="634"/>
      <c r="FA63" s="634"/>
      <c r="FB63" s="634"/>
      <c r="FC63" s="634"/>
      <c r="FD63" s="634"/>
      <c r="FE63" s="634"/>
      <c r="FF63" s="634"/>
      <c r="FG63" s="634"/>
      <c r="FH63" s="634"/>
      <c r="FI63" s="634"/>
      <c r="FJ63" s="634"/>
      <c r="FK63" s="634"/>
      <c r="FL63" s="634"/>
      <c r="FM63" s="634"/>
      <c r="FN63" s="634"/>
      <c r="FO63" s="634"/>
      <c r="FP63" s="634"/>
      <c r="FQ63" s="634"/>
      <c r="FS63" s="634"/>
      <c r="FT63" s="634"/>
      <c r="FU63" s="634"/>
      <c r="FV63" s="634"/>
      <c r="FW63" s="634"/>
      <c r="FX63" s="634"/>
      <c r="FY63" s="634"/>
      <c r="FZ63" s="634"/>
    </row>
    <row r="64" ht="24.95" customHeight="1" spans="1:182">
      <c r="A64" s="576">
        <v>37</v>
      </c>
      <c r="B64" s="609">
        <v>6.818626</v>
      </c>
      <c r="C64" s="544"/>
      <c r="D64" s="544"/>
      <c r="E64" s="544"/>
      <c r="F64" s="544"/>
      <c r="G64" s="576"/>
      <c r="H64" s="576"/>
      <c r="I64" s="576"/>
      <c r="J64" s="576"/>
      <c r="K64" s="634"/>
      <c r="L64" s="544"/>
      <c r="M64" s="544"/>
      <c r="N64" s="544"/>
      <c r="O64" s="634"/>
      <c r="P64" s="634"/>
      <c r="Q64" s="634"/>
      <c r="R64" s="634"/>
      <c r="S64" s="634"/>
      <c r="T64" s="634"/>
      <c r="U64" s="634"/>
      <c r="V64" s="634"/>
      <c r="W64" s="634"/>
      <c r="X64" s="634"/>
      <c r="Y64" s="634"/>
      <c r="Z64" s="634"/>
      <c r="AA64" s="634"/>
      <c r="AB64" s="634"/>
      <c r="AD64" s="634"/>
      <c r="AE64" s="634"/>
      <c r="AG64" s="634"/>
      <c r="AI64" s="634"/>
      <c r="AJ64" s="634"/>
      <c r="AK64" s="634"/>
      <c r="AM64" s="634"/>
      <c r="AN64" s="634"/>
      <c r="AO64" s="634"/>
      <c r="AQ64" s="634"/>
      <c r="AR64" s="634"/>
      <c r="AS64" s="634"/>
      <c r="AT64" s="634"/>
      <c r="AU64" s="634"/>
      <c r="AV64" s="634"/>
      <c r="AX64" s="634"/>
      <c r="AY64" s="634"/>
      <c r="AZ64" s="634"/>
      <c r="BB64" s="634"/>
      <c r="BC64" s="634"/>
      <c r="BD64" s="634"/>
      <c r="BF64" s="634"/>
      <c r="BG64" s="634"/>
      <c r="BH64" s="634"/>
      <c r="BJ64" s="634"/>
      <c r="BK64" s="634"/>
      <c r="BL64" s="634"/>
      <c r="BN64" s="634"/>
      <c r="BO64" s="634"/>
      <c r="BP64" s="634"/>
      <c r="BQ64" s="634"/>
      <c r="BR64" s="634"/>
      <c r="BT64" s="634"/>
      <c r="BU64" s="634"/>
      <c r="BV64" s="634"/>
      <c r="BX64" s="634"/>
      <c r="BY64" s="634"/>
      <c r="BZ64" s="634"/>
      <c r="CB64" s="634"/>
      <c r="CC64" s="634"/>
      <c r="CD64" s="634"/>
      <c r="CF64" s="634"/>
      <c r="CG64" s="634"/>
      <c r="CH64" s="634"/>
      <c r="CJ64" s="634"/>
      <c r="CK64" s="634"/>
      <c r="CM64" s="634"/>
      <c r="CO64" s="634"/>
      <c r="CP64" s="634"/>
      <c r="CQ64" s="634"/>
      <c r="CS64" s="634"/>
      <c r="CT64" s="634"/>
      <c r="CU64" s="634"/>
      <c r="CW64" s="634"/>
      <c r="CX64" s="634"/>
      <c r="CY64" s="634"/>
      <c r="DA64" s="634"/>
      <c r="DB64" s="634"/>
      <c r="DC64" s="634"/>
      <c r="DD64" s="634"/>
      <c r="DE64" s="634"/>
      <c r="DF64" s="634"/>
      <c r="DH64" s="634"/>
      <c r="DI64" s="634"/>
      <c r="DJ64" s="634"/>
      <c r="DL64" s="634"/>
      <c r="DM64" s="634"/>
      <c r="DN64" s="634"/>
      <c r="DO64" s="634"/>
      <c r="DP64" s="634"/>
      <c r="DR64" s="634"/>
      <c r="DS64" s="634"/>
      <c r="DT64" s="634"/>
      <c r="DV64" s="634"/>
      <c r="DW64" s="634"/>
      <c r="DX64" s="634"/>
      <c r="DZ64" s="634"/>
      <c r="EA64" s="634"/>
      <c r="EB64" s="634"/>
      <c r="ED64" s="634"/>
      <c r="EE64" s="634"/>
      <c r="EF64" s="634"/>
      <c r="EH64" s="634"/>
      <c r="EI64" s="634"/>
      <c r="EJ64" s="634"/>
      <c r="EK64" s="634"/>
      <c r="EL64" s="634"/>
      <c r="EN64" s="634"/>
      <c r="EO64" s="634"/>
      <c r="EP64" s="634"/>
      <c r="ER64" s="634"/>
      <c r="ES64" s="634"/>
      <c r="ET64" s="634"/>
      <c r="EV64" s="634"/>
      <c r="EW64" s="634"/>
      <c r="EY64" s="634"/>
      <c r="EZ64" s="634"/>
      <c r="FA64" s="634"/>
      <c r="FB64" s="634"/>
      <c r="FC64" s="634"/>
      <c r="FD64" s="634"/>
      <c r="FE64" s="634"/>
      <c r="FF64" s="634"/>
      <c r="FG64" s="634"/>
      <c r="FH64" s="634"/>
      <c r="FI64" s="634"/>
      <c r="FJ64" s="634"/>
      <c r="FK64" s="634"/>
      <c r="FL64" s="634"/>
      <c r="FM64" s="634"/>
      <c r="FN64" s="634"/>
      <c r="FO64" s="634"/>
      <c r="FP64" s="634"/>
      <c r="FQ64" s="634"/>
      <c r="FS64" s="634"/>
      <c r="FT64" s="634"/>
      <c r="FU64" s="634"/>
      <c r="FV64" s="634"/>
      <c r="FW64" s="634"/>
      <c r="FX64" s="634"/>
      <c r="FY64" s="634"/>
      <c r="FZ64" s="634"/>
    </row>
    <row r="65" ht="24.95" customHeight="1" spans="1:182">
      <c r="A65" s="576">
        <v>48</v>
      </c>
      <c r="B65" s="609">
        <v>7.8658</v>
      </c>
      <c r="C65" s="544"/>
      <c r="D65" s="544"/>
      <c r="E65" s="544"/>
      <c r="F65" s="544"/>
      <c r="G65" s="576"/>
      <c r="H65" s="577" t="s">
        <v>548</v>
      </c>
      <c r="I65" s="577" t="s">
        <v>549</v>
      </c>
      <c r="J65" s="577">
        <v>0.995</v>
      </c>
      <c r="K65" s="634"/>
      <c r="L65" s="544"/>
      <c r="M65" s="544"/>
      <c r="N65" s="544"/>
      <c r="O65" s="634"/>
      <c r="P65" s="634"/>
      <c r="Q65" s="634"/>
      <c r="R65" s="634"/>
      <c r="S65" s="634"/>
      <c r="T65" s="634"/>
      <c r="U65" s="634"/>
      <c r="V65" s="634"/>
      <c r="W65" s="634"/>
      <c r="X65" s="634"/>
      <c r="Y65" s="634"/>
      <c r="Z65" s="634"/>
      <c r="AA65" s="634"/>
      <c r="AB65" s="634"/>
      <c r="AD65" s="634"/>
      <c r="AE65" s="634"/>
      <c r="AG65" s="634"/>
      <c r="AI65" s="634"/>
      <c r="AJ65" s="634"/>
      <c r="AK65" s="634"/>
      <c r="AM65" s="634"/>
      <c r="AN65" s="634"/>
      <c r="AO65" s="634"/>
      <c r="AQ65" s="634"/>
      <c r="AR65" s="634"/>
      <c r="AS65" s="634"/>
      <c r="AT65" s="634"/>
      <c r="AU65" s="634"/>
      <c r="AV65" s="634"/>
      <c r="AX65" s="634"/>
      <c r="AY65" s="634"/>
      <c r="AZ65" s="634"/>
      <c r="BB65" s="634"/>
      <c r="BC65" s="634"/>
      <c r="BD65" s="634"/>
      <c r="BF65" s="634"/>
      <c r="BG65" s="634"/>
      <c r="BH65" s="634"/>
      <c r="BJ65" s="634"/>
      <c r="BK65" s="634"/>
      <c r="BL65" s="634"/>
      <c r="BN65" s="634"/>
      <c r="BO65" s="634"/>
      <c r="BP65" s="634"/>
      <c r="BQ65" s="634"/>
      <c r="BR65" s="634"/>
      <c r="BT65" s="634"/>
      <c r="BU65" s="634"/>
      <c r="BV65" s="634"/>
      <c r="BX65" s="634"/>
      <c r="BY65" s="634"/>
      <c r="BZ65" s="634"/>
      <c r="CB65" s="634"/>
      <c r="CC65" s="634"/>
      <c r="CD65" s="634"/>
      <c r="CF65" s="634"/>
      <c r="CG65" s="634"/>
      <c r="CH65" s="634"/>
      <c r="CJ65" s="634"/>
      <c r="CK65" s="634"/>
      <c r="CM65" s="634"/>
      <c r="CO65" s="634"/>
      <c r="CP65" s="634"/>
      <c r="CQ65" s="634"/>
      <c r="CS65" s="634"/>
      <c r="CT65" s="634"/>
      <c r="CU65" s="634"/>
      <c r="CW65" s="634"/>
      <c r="CX65" s="634"/>
      <c r="CY65" s="634"/>
      <c r="DA65" s="634"/>
      <c r="DB65" s="634"/>
      <c r="DC65" s="634"/>
      <c r="DD65" s="634"/>
      <c r="DE65" s="634"/>
      <c r="DF65" s="634"/>
      <c r="DH65" s="634"/>
      <c r="DI65" s="634"/>
      <c r="DJ65" s="634"/>
      <c r="DL65" s="634"/>
      <c r="DM65" s="634"/>
      <c r="DN65" s="634"/>
      <c r="DO65" s="634"/>
      <c r="DP65" s="634"/>
      <c r="DR65" s="634"/>
      <c r="DS65" s="634"/>
      <c r="DT65" s="634"/>
      <c r="DV65" s="634"/>
      <c r="DW65" s="634"/>
      <c r="DX65" s="634"/>
      <c r="DZ65" s="634"/>
      <c r="EA65" s="634"/>
      <c r="EB65" s="634"/>
      <c r="ED65" s="634"/>
      <c r="EE65" s="634"/>
      <c r="EF65" s="634"/>
      <c r="EH65" s="634"/>
      <c r="EI65" s="634"/>
      <c r="EJ65" s="634"/>
      <c r="EK65" s="634"/>
      <c r="EL65" s="634"/>
      <c r="EN65" s="634"/>
      <c r="EO65" s="634"/>
      <c r="EP65" s="634"/>
      <c r="ER65" s="634"/>
      <c r="ES65" s="634"/>
      <c r="ET65" s="634"/>
      <c r="EV65" s="634"/>
      <c r="EW65" s="634"/>
      <c r="EY65" s="634"/>
      <c r="EZ65" s="634"/>
      <c r="FA65" s="634"/>
      <c r="FB65" s="634"/>
      <c r="FC65" s="634"/>
      <c r="FD65" s="634"/>
      <c r="FE65" s="634"/>
      <c r="FF65" s="634"/>
      <c r="FG65" s="634"/>
      <c r="FH65" s="634"/>
      <c r="FI65" s="634"/>
      <c r="FJ65" s="634"/>
      <c r="FK65" s="634"/>
      <c r="FL65" s="634"/>
      <c r="FM65" s="634"/>
      <c r="FN65" s="634"/>
      <c r="FO65" s="634"/>
      <c r="FP65" s="634"/>
      <c r="FQ65" s="634"/>
      <c r="FS65" s="634"/>
      <c r="FT65" s="634"/>
      <c r="FU65" s="634"/>
      <c r="FV65" s="634"/>
      <c r="FW65" s="634"/>
      <c r="FX65" s="634"/>
      <c r="FY65" s="634"/>
      <c r="FZ65" s="634"/>
    </row>
    <row r="66" ht="24.95" customHeight="1" spans="1:182">
      <c r="A66" s="576">
        <v>61</v>
      </c>
      <c r="B66" s="609">
        <v>8.706</v>
      </c>
      <c r="C66" s="544"/>
      <c r="D66" s="544"/>
      <c r="E66" s="544"/>
      <c r="F66" s="544"/>
      <c r="G66" s="576"/>
      <c r="H66" s="577"/>
      <c r="I66" s="577" t="s">
        <v>446</v>
      </c>
      <c r="J66" s="625">
        <v>0.07</v>
      </c>
      <c r="K66" s="634"/>
      <c r="L66" s="544"/>
      <c r="M66" s="544"/>
      <c r="N66" s="544"/>
      <c r="O66" s="634"/>
      <c r="P66" s="634"/>
      <c r="Q66" s="634"/>
      <c r="R66" s="634"/>
      <c r="S66" s="634"/>
      <c r="T66" s="634"/>
      <c r="U66" s="634"/>
      <c r="V66" s="634"/>
      <c r="W66" s="634"/>
      <c r="X66" s="634"/>
      <c r="Y66" s="634"/>
      <c r="Z66" s="634"/>
      <c r="AA66" s="634"/>
      <c r="AB66" s="634"/>
      <c r="AD66" s="634"/>
      <c r="AE66" s="634"/>
      <c r="AG66" s="634"/>
      <c r="AI66" s="634"/>
      <c r="AJ66" s="634"/>
      <c r="AK66" s="634"/>
      <c r="AM66" s="634"/>
      <c r="AN66" s="634"/>
      <c r="AO66" s="634"/>
      <c r="AQ66" s="634"/>
      <c r="AR66" s="634"/>
      <c r="AS66" s="634"/>
      <c r="AT66" s="634"/>
      <c r="AU66" s="634"/>
      <c r="AV66" s="634"/>
      <c r="AX66" s="634"/>
      <c r="AY66" s="634"/>
      <c r="AZ66" s="634"/>
      <c r="BB66" s="634"/>
      <c r="BC66" s="634"/>
      <c r="BD66" s="634"/>
      <c r="BF66" s="634"/>
      <c r="BG66" s="634"/>
      <c r="BH66" s="634"/>
      <c r="BJ66" s="634"/>
      <c r="BK66" s="634"/>
      <c r="BL66" s="634"/>
      <c r="BN66" s="634"/>
      <c r="BO66" s="634"/>
      <c r="BP66" s="634"/>
      <c r="BQ66" s="634"/>
      <c r="BR66" s="634"/>
      <c r="BT66" s="634"/>
      <c r="BU66" s="634"/>
      <c r="BV66" s="634"/>
      <c r="BX66" s="634"/>
      <c r="BY66" s="634"/>
      <c r="BZ66" s="634"/>
      <c r="CB66" s="634"/>
      <c r="CC66" s="634"/>
      <c r="CD66" s="634"/>
      <c r="CF66" s="634"/>
      <c r="CG66" s="634"/>
      <c r="CH66" s="634"/>
      <c r="CJ66" s="634"/>
      <c r="CK66" s="634"/>
      <c r="CM66" s="634"/>
      <c r="CO66" s="634"/>
      <c r="CP66" s="634"/>
      <c r="CQ66" s="634"/>
      <c r="CS66" s="634"/>
      <c r="CT66" s="634"/>
      <c r="CU66" s="634"/>
      <c r="CW66" s="634"/>
      <c r="CX66" s="634"/>
      <c r="CY66" s="634"/>
      <c r="DA66" s="634"/>
      <c r="DB66" s="634"/>
      <c r="DC66" s="634"/>
      <c r="DD66" s="634"/>
      <c r="DE66" s="634"/>
      <c r="DF66" s="634"/>
      <c r="DH66" s="634"/>
      <c r="DI66" s="634"/>
      <c r="DJ66" s="634"/>
      <c r="DL66" s="634"/>
      <c r="DM66" s="634"/>
      <c r="DN66" s="634"/>
      <c r="DO66" s="634"/>
      <c r="DP66" s="634"/>
      <c r="DR66" s="634"/>
      <c r="DS66" s="634"/>
      <c r="DT66" s="634"/>
      <c r="DV66" s="634"/>
      <c r="DW66" s="634"/>
      <c r="DX66" s="634"/>
      <c r="DZ66" s="634"/>
      <c r="EA66" s="634"/>
      <c r="EB66" s="634"/>
      <c r="ED66" s="634"/>
      <c r="EE66" s="634"/>
      <c r="EF66" s="634"/>
      <c r="EH66" s="634"/>
      <c r="EI66" s="634"/>
      <c r="EJ66" s="634"/>
      <c r="EK66" s="634"/>
      <c r="EL66" s="634"/>
      <c r="EN66" s="634"/>
      <c r="EO66" s="634"/>
      <c r="EP66" s="634"/>
      <c r="ER66" s="634"/>
      <c r="ES66" s="634"/>
      <c r="ET66" s="634"/>
      <c r="EV66" s="634"/>
      <c r="EW66" s="634"/>
      <c r="EY66" s="634"/>
      <c r="EZ66" s="634"/>
      <c r="FA66" s="634"/>
      <c r="FB66" s="634"/>
      <c r="FC66" s="634"/>
      <c r="FD66" s="634"/>
      <c r="FE66" s="634"/>
      <c r="FF66" s="634"/>
      <c r="FG66" s="634"/>
      <c r="FH66" s="634"/>
      <c r="FI66" s="634"/>
      <c r="FJ66" s="634"/>
      <c r="FK66" s="634"/>
      <c r="FL66" s="634"/>
      <c r="FM66" s="634"/>
      <c r="FN66" s="634"/>
      <c r="FO66" s="634"/>
      <c r="FP66" s="634"/>
      <c r="FQ66" s="634"/>
      <c r="FS66" s="634"/>
      <c r="FT66" s="634"/>
      <c r="FU66" s="634"/>
      <c r="FV66" s="634"/>
      <c r="FW66" s="634"/>
      <c r="FX66" s="634"/>
      <c r="FY66" s="634"/>
      <c r="FZ66" s="634"/>
    </row>
    <row r="67" ht="24.95" customHeight="1" spans="1:182">
      <c r="A67" s="576"/>
      <c r="B67" s="544"/>
      <c r="C67" s="544"/>
      <c r="D67" s="544"/>
      <c r="E67" s="544"/>
      <c r="F67" s="544"/>
      <c r="G67" s="576"/>
      <c r="H67" s="577"/>
      <c r="I67" s="577" t="s">
        <v>450</v>
      </c>
      <c r="J67" s="625">
        <v>0</v>
      </c>
      <c r="K67" s="634"/>
      <c r="L67" s="544"/>
      <c r="M67" s="544"/>
      <c r="N67" s="544"/>
      <c r="O67" s="634"/>
      <c r="P67" s="634"/>
      <c r="Q67" s="634"/>
      <c r="R67" s="634"/>
      <c r="S67" s="634"/>
      <c r="T67" s="634"/>
      <c r="U67" s="634"/>
      <c r="V67" s="634"/>
      <c r="W67" s="634"/>
      <c r="X67" s="634"/>
      <c r="Y67" s="634"/>
      <c r="Z67" s="634"/>
      <c r="AA67" s="634"/>
      <c r="AB67" s="634"/>
      <c r="AD67" s="634"/>
      <c r="AE67" s="634"/>
      <c r="AG67" s="634"/>
      <c r="AI67" s="634"/>
      <c r="AJ67" s="634"/>
      <c r="AK67" s="634"/>
      <c r="AL67" s="634"/>
      <c r="AM67" s="634"/>
      <c r="AN67" s="634"/>
      <c r="AO67" s="634"/>
      <c r="AQ67" s="634"/>
      <c r="AR67" s="634"/>
      <c r="AS67" s="634"/>
      <c r="AT67" s="634"/>
      <c r="AU67" s="634"/>
      <c r="AV67" s="634"/>
      <c r="AX67" s="634"/>
      <c r="AY67" s="634"/>
      <c r="AZ67" s="634"/>
      <c r="BB67" s="634"/>
      <c r="BC67" s="634"/>
      <c r="BD67" s="634"/>
      <c r="BF67" s="634"/>
      <c r="BG67" s="634"/>
      <c r="BH67" s="634"/>
      <c r="BJ67" s="634"/>
      <c r="BK67" s="634"/>
      <c r="BL67" s="634"/>
      <c r="BN67" s="634"/>
      <c r="BO67" s="634"/>
      <c r="BP67" s="634"/>
      <c r="BQ67" s="634"/>
      <c r="BR67" s="634"/>
      <c r="BT67" s="634"/>
      <c r="BU67" s="634"/>
      <c r="BV67" s="634"/>
      <c r="BX67" s="634"/>
      <c r="BY67" s="634"/>
      <c r="BZ67" s="634"/>
      <c r="CB67" s="634"/>
      <c r="CC67" s="634"/>
      <c r="CD67" s="634"/>
      <c r="CF67" s="634"/>
      <c r="CG67" s="634"/>
      <c r="CH67" s="634"/>
      <c r="CJ67" s="634"/>
      <c r="CK67" s="634"/>
      <c r="CM67" s="634"/>
      <c r="CO67" s="634"/>
      <c r="CP67" s="634"/>
      <c r="CQ67" s="634"/>
      <c r="CS67" s="634"/>
      <c r="CT67" s="634"/>
      <c r="CU67" s="634"/>
      <c r="CW67" s="634"/>
      <c r="CX67" s="634"/>
      <c r="CY67" s="634"/>
      <c r="DA67" s="634"/>
      <c r="DB67" s="634"/>
      <c r="DC67" s="634"/>
      <c r="DD67" s="634"/>
      <c r="DE67" s="634"/>
      <c r="DF67" s="634"/>
      <c r="DH67" s="634"/>
      <c r="DI67" s="634"/>
      <c r="DJ67" s="634"/>
      <c r="DL67" s="634"/>
      <c r="DM67" s="634"/>
      <c r="DN67" s="634"/>
      <c r="DO67" s="634"/>
      <c r="DP67" s="634"/>
      <c r="DR67" s="634"/>
      <c r="DS67" s="634"/>
      <c r="DT67" s="634"/>
      <c r="DV67" s="634"/>
      <c r="DW67" s="634"/>
      <c r="DX67" s="634"/>
      <c r="DZ67" s="634"/>
      <c r="EA67" s="634"/>
      <c r="EB67" s="634"/>
      <c r="ED67" s="634"/>
      <c r="EE67" s="634"/>
      <c r="EF67" s="634"/>
      <c r="EH67" s="634"/>
      <c r="EI67" s="634"/>
      <c r="EJ67" s="634"/>
      <c r="EK67" s="634"/>
      <c r="EL67" s="634"/>
      <c r="EN67" s="634"/>
      <c r="EO67" s="634"/>
      <c r="EP67" s="634"/>
      <c r="ER67" s="634"/>
      <c r="ES67" s="634"/>
      <c r="ET67" s="634"/>
      <c r="EV67" s="634"/>
      <c r="EW67" s="634"/>
      <c r="EY67" s="634"/>
      <c r="EZ67" s="634"/>
      <c r="FA67" s="634"/>
      <c r="FB67" s="634"/>
      <c r="FC67" s="634"/>
      <c r="FD67" s="634"/>
      <c r="FE67" s="634"/>
      <c r="FF67" s="634"/>
      <c r="FG67" s="634"/>
      <c r="FH67" s="634"/>
      <c r="FI67" s="634"/>
      <c r="FJ67" s="634"/>
      <c r="FK67" s="634"/>
      <c r="FL67" s="634"/>
      <c r="FM67" s="634"/>
      <c r="FN67" s="634"/>
      <c r="FO67" s="634"/>
      <c r="FP67" s="634"/>
      <c r="FQ67" s="634"/>
      <c r="FS67" s="634"/>
      <c r="FT67" s="634"/>
      <c r="FU67" s="634"/>
      <c r="FV67" s="634"/>
      <c r="FW67" s="634"/>
      <c r="FX67" s="634"/>
      <c r="FY67" s="634"/>
      <c r="FZ67" s="634"/>
    </row>
    <row r="68" ht="24.95" customHeight="1" spans="1:182">
      <c r="A68" s="576"/>
      <c r="B68" s="544"/>
      <c r="C68" s="544"/>
      <c r="D68" s="544"/>
      <c r="E68" s="544"/>
      <c r="F68" s="544"/>
      <c r="G68" s="576"/>
      <c r="H68" s="577"/>
      <c r="I68" s="577"/>
      <c r="J68" s="625"/>
      <c r="K68" s="634"/>
      <c r="L68" s="544"/>
      <c r="M68" s="544"/>
      <c r="N68" s="544"/>
      <c r="O68" s="634"/>
      <c r="P68" s="634"/>
      <c r="Q68" s="634"/>
      <c r="R68" s="634"/>
      <c r="S68" s="634"/>
      <c r="T68" s="634"/>
      <c r="U68" s="634"/>
      <c r="V68" s="634"/>
      <c r="W68" s="634"/>
      <c r="X68" s="634"/>
      <c r="Y68" s="634"/>
      <c r="Z68" s="634"/>
      <c r="AA68" s="634"/>
      <c r="AB68" s="634"/>
      <c r="AD68" s="634"/>
      <c r="AE68" s="634"/>
      <c r="AG68" s="634"/>
      <c r="AI68" s="634"/>
      <c r="AJ68" s="634"/>
      <c r="AK68" s="634"/>
      <c r="AM68" s="634"/>
      <c r="AN68" s="634"/>
      <c r="AO68" s="634"/>
      <c r="AQ68" s="634"/>
      <c r="AR68" s="634"/>
      <c r="AS68" s="634"/>
      <c r="AT68" s="634"/>
      <c r="AU68" s="634"/>
      <c r="AV68" s="634"/>
      <c r="AX68" s="634"/>
      <c r="AY68" s="634"/>
      <c r="AZ68" s="634"/>
      <c r="BB68" s="634"/>
      <c r="BC68" s="634"/>
      <c r="BD68" s="634"/>
      <c r="BF68" s="634"/>
      <c r="BG68" s="634"/>
      <c r="BH68" s="634"/>
      <c r="BJ68" s="634"/>
      <c r="BK68" s="634"/>
      <c r="BL68" s="634"/>
      <c r="BN68" s="634"/>
      <c r="BO68" s="634"/>
      <c r="BP68" s="634"/>
      <c r="BQ68" s="634"/>
      <c r="BR68" s="634"/>
      <c r="BT68" s="634"/>
      <c r="BU68" s="634"/>
      <c r="BV68" s="634"/>
      <c r="BX68" s="634"/>
      <c r="BY68" s="634"/>
      <c r="BZ68" s="634"/>
      <c r="CB68" s="634"/>
      <c r="CC68" s="634"/>
      <c r="CD68" s="634"/>
      <c r="CF68" s="634"/>
      <c r="CG68" s="634"/>
      <c r="CH68" s="634"/>
      <c r="CJ68" s="634"/>
      <c r="CK68" s="634"/>
      <c r="CM68" s="634"/>
      <c r="CO68" s="634"/>
      <c r="CP68" s="634"/>
      <c r="CQ68" s="634"/>
      <c r="CS68" s="634"/>
      <c r="CT68" s="634"/>
      <c r="CU68" s="634"/>
      <c r="CW68" s="634"/>
      <c r="CX68" s="634"/>
      <c r="CY68" s="634"/>
      <c r="DA68" s="634"/>
      <c r="DB68" s="634"/>
      <c r="DC68" s="634"/>
      <c r="DD68" s="634"/>
      <c r="DE68" s="634"/>
      <c r="DF68" s="634"/>
      <c r="DH68" s="634"/>
      <c r="DI68" s="634"/>
      <c r="DJ68" s="634"/>
      <c r="DL68" s="634"/>
      <c r="DM68" s="634"/>
      <c r="DN68" s="634"/>
      <c r="DO68" s="634"/>
      <c r="DP68" s="634"/>
      <c r="DR68" s="634"/>
      <c r="DS68" s="634"/>
      <c r="DT68" s="634"/>
      <c r="DV68" s="634"/>
      <c r="DW68" s="634"/>
      <c r="DX68" s="634"/>
      <c r="DZ68" s="634"/>
      <c r="EA68" s="634"/>
      <c r="EB68" s="634"/>
      <c r="ED68" s="634"/>
      <c r="EE68" s="634"/>
      <c r="EF68" s="634"/>
      <c r="EH68" s="634"/>
      <c r="EI68" s="634"/>
      <c r="EJ68" s="634"/>
      <c r="EK68" s="634"/>
      <c r="EL68" s="634"/>
      <c r="EN68" s="634"/>
      <c r="EO68" s="634"/>
      <c r="EP68" s="634"/>
      <c r="ER68" s="634"/>
      <c r="ES68" s="634"/>
      <c r="ET68" s="634"/>
      <c r="EV68" s="634"/>
      <c r="EW68" s="634"/>
      <c r="EY68" s="634"/>
      <c r="EZ68" s="634"/>
      <c r="FA68" s="634"/>
      <c r="FB68" s="634"/>
      <c r="FC68" s="634"/>
      <c r="FD68" s="634"/>
      <c r="FE68" s="634"/>
      <c r="FF68" s="634"/>
      <c r="FG68" s="634"/>
      <c r="FH68" s="634"/>
      <c r="FI68" s="634"/>
      <c r="FJ68" s="634"/>
      <c r="FK68" s="634"/>
      <c r="FL68" s="634"/>
      <c r="FM68" s="634"/>
      <c r="FN68" s="634"/>
      <c r="FO68" s="634"/>
      <c r="FP68" s="634"/>
      <c r="FQ68" s="634"/>
      <c r="FS68" s="634"/>
      <c r="FT68" s="634"/>
      <c r="FU68" s="634"/>
      <c r="FV68" s="634"/>
      <c r="FW68" s="634"/>
      <c r="FX68" s="634"/>
      <c r="FY68" s="634"/>
      <c r="FZ68" s="634"/>
    </row>
    <row r="69" ht="24.95" customHeight="1" spans="1:182">
      <c r="A69" s="576"/>
      <c r="B69" s="544"/>
      <c r="C69" s="544"/>
      <c r="D69" s="544"/>
      <c r="E69" s="544"/>
      <c r="F69" s="544"/>
      <c r="G69" s="576"/>
      <c r="H69" s="576"/>
      <c r="I69" s="576"/>
      <c r="J69" s="576"/>
      <c r="K69" s="634"/>
      <c r="L69" s="544"/>
      <c r="M69" s="544"/>
      <c r="N69" s="544"/>
      <c r="O69" s="634"/>
      <c r="P69" s="634"/>
      <c r="Q69" s="634"/>
      <c r="R69" s="634"/>
      <c r="S69" s="634"/>
      <c r="T69" s="634"/>
      <c r="U69" s="634"/>
      <c r="V69" s="634"/>
      <c r="W69" s="634"/>
      <c r="X69" s="634"/>
      <c r="Y69" s="634"/>
      <c r="Z69" s="634"/>
      <c r="AA69" s="634"/>
      <c r="AB69" s="634"/>
      <c r="AD69" s="634"/>
      <c r="AE69" s="634"/>
      <c r="AG69" s="634"/>
      <c r="AI69" s="634"/>
      <c r="AJ69" s="634"/>
      <c r="AK69" s="634"/>
      <c r="AM69" s="634"/>
      <c r="AN69" s="634"/>
      <c r="AO69" s="634"/>
      <c r="AQ69" s="634"/>
      <c r="AR69" s="634"/>
      <c r="AS69" s="634"/>
      <c r="AT69" s="634"/>
      <c r="AU69" s="634"/>
      <c r="AV69" s="634"/>
      <c r="AX69" s="634"/>
      <c r="AY69" s="634"/>
      <c r="AZ69" s="634"/>
      <c r="BB69" s="634"/>
      <c r="BC69" s="634"/>
      <c r="BD69" s="634"/>
      <c r="BF69" s="634"/>
      <c r="BG69" s="634"/>
      <c r="BH69" s="634"/>
      <c r="BJ69" s="634"/>
      <c r="BK69" s="634"/>
      <c r="BL69" s="634"/>
      <c r="BN69" s="634"/>
      <c r="BO69" s="634"/>
      <c r="BP69" s="634"/>
      <c r="BQ69" s="634"/>
      <c r="BR69" s="634"/>
      <c r="BT69" s="634"/>
      <c r="BU69" s="634"/>
      <c r="BV69" s="634"/>
      <c r="BX69" s="634"/>
      <c r="BY69" s="634"/>
      <c r="BZ69" s="634"/>
      <c r="CB69" s="634"/>
      <c r="CC69" s="634"/>
      <c r="CD69" s="634"/>
      <c r="CF69" s="634"/>
      <c r="CG69" s="634"/>
      <c r="CH69" s="634"/>
      <c r="CJ69" s="634"/>
      <c r="CK69" s="634"/>
      <c r="CM69" s="634"/>
      <c r="CO69" s="634"/>
      <c r="CP69" s="634"/>
      <c r="CQ69" s="634"/>
      <c r="CS69" s="634"/>
      <c r="CT69" s="634"/>
      <c r="CU69" s="634"/>
      <c r="CW69" s="634"/>
      <c r="CX69" s="634"/>
      <c r="CY69" s="634"/>
      <c r="DA69" s="634"/>
      <c r="DB69" s="634"/>
      <c r="DC69" s="634"/>
      <c r="DD69" s="634"/>
      <c r="DE69" s="634"/>
      <c r="DF69" s="634"/>
      <c r="DH69" s="634"/>
      <c r="DI69" s="634"/>
      <c r="DJ69" s="634"/>
      <c r="DL69" s="634"/>
      <c r="DM69" s="634"/>
      <c r="DN69" s="634"/>
      <c r="DO69" s="634"/>
      <c r="DP69" s="634"/>
      <c r="DR69" s="634"/>
      <c r="DS69" s="634"/>
      <c r="DT69" s="634"/>
      <c r="DV69" s="634"/>
      <c r="DW69" s="634"/>
      <c r="DX69" s="634"/>
      <c r="DZ69" s="634"/>
      <c r="EA69" s="634"/>
      <c r="EB69" s="634"/>
      <c r="ED69" s="634"/>
      <c r="EE69" s="634"/>
      <c r="EF69" s="634"/>
      <c r="EH69" s="634"/>
      <c r="EI69" s="634"/>
      <c r="EJ69" s="634"/>
      <c r="EK69" s="634"/>
      <c r="EL69" s="634"/>
      <c r="EN69" s="634"/>
      <c r="EO69" s="634"/>
      <c r="EP69" s="634"/>
      <c r="ER69" s="634"/>
      <c r="ES69" s="634"/>
      <c r="ET69" s="634"/>
      <c r="EV69" s="634"/>
      <c r="EW69" s="634"/>
      <c r="EY69" s="634"/>
      <c r="EZ69" s="634"/>
      <c r="FA69" s="634"/>
      <c r="FB69" s="634"/>
      <c r="FC69" s="634"/>
      <c r="FD69" s="634"/>
      <c r="FE69" s="634"/>
      <c r="FF69" s="634"/>
      <c r="FG69" s="634"/>
      <c r="FH69" s="634"/>
      <c r="FI69" s="634"/>
      <c r="FJ69" s="634"/>
      <c r="FK69" s="634"/>
      <c r="FL69" s="634"/>
      <c r="FM69" s="634"/>
      <c r="FN69" s="634"/>
      <c r="FO69" s="634"/>
      <c r="FP69" s="634"/>
      <c r="FQ69" s="634"/>
      <c r="FS69" s="634"/>
      <c r="FT69" s="634"/>
      <c r="FU69" s="634"/>
      <c r="FV69" s="634"/>
      <c r="FW69" s="634"/>
      <c r="FX69" s="634"/>
      <c r="FY69" s="634"/>
      <c r="FZ69" s="634"/>
    </row>
    <row r="70" ht="24.95" customHeight="1" spans="1:182">
      <c r="A70" s="544" t="s">
        <v>550</v>
      </c>
      <c r="B70" s="544" t="s">
        <v>551</v>
      </c>
      <c r="C70" s="544"/>
      <c r="D70" s="544"/>
      <c r="E70" s="544"/>
      <c r="F70" s="544"/>
      <c r="G70" s="576"/>
      <c r="H70" s="605" t="s">
        <v>552</v>
      </c>
      <c r="I70" s="641" t="s">
        <v>540</v>
      </c>
      <c r="J70" s="638">
        <v>0.995</v>
      </c>
      <c r="K70" s="634"/>
      <c r="L70" s="544"/>
      <c r="M70" s="544"/>
      <c r="N70" s="544"/>
      <c r="O70" s="634"/>
      <c r="P70" s="634"/>
      <c r="Q70" s="634"/>
      <c r="R70" s="634"/>
      <c r="S70" s="634"/>
      <c r="T70" s="634"/>
      <c r="U70" s="634"/>
      <c r="V70" s="634"/>
      <c r="W70" s="634"/>
      <c r="X70" s="634"/>
      <c r="Y70" s="634"/>
      <c r="Z70" s="634"/>
      <c r="AA70" s="634"/>
      <c r="AB70" s="634"/>
      <c r="AD70" s="634"/>
      <c r="AE70" s="634"/>
      <c r="AG70" s="634"/>
      <c r="AI70" s="634"/>
      <c r="AJ70" s="634"/>
      <c r="AK70" s="634"/>
      <c r="AM70" s="634"/>
      <c r="AN70" s="634"/>
      <c r="AO70" s="634"/>
      <c r="AQ70" s="634"/>
      <c r="AR70" s="634"/>
      <c r="AS70" s="634"/>
      <c r="AT70" s="634"/>
      <c r="AU70" s="634"/>
      <c r="AV70" s="634"/>
      <c r="AX70" s="634"/>
      <c r="AY70" s="634"/>
      <c r="AZ70" s="634"/>
      <c r="BB70" s="634"/>
      <c r="BC70" s="634"/>
      <c r="BD70" s="634"/>
      <c r="BF70" s="634"/>
      <c r="BG70" s="634"/>
      <c r="BH70" s="634"/>
      <c r="BJ70" s="634"/>
      <c r="BK70" s="634"/>
      <c r="BL70" s="634"/>
      <c r="BN70" s="634"/>
      <c r="BO70" s="634"/>
      <c r="BP70" s="634"/>
      <c r="BQ70" s="634"/>
      <c r="BR70" s="634"/>
      <c r="BT70" s="634"/>
      <c r="BU70" s="634"/>
      <c r="BV70" s="634"/>
      <c r="BX70" s="634"/>
      <c r="BY70" s="634"/>
      <c r="BZ70" s="634"/>
      <c r="CB70" s="634"/>
      <c r="CC70" s="634"/>
      <c r="CD70" s="634"/>
      <c r="CF70" s="634"/>
      <c r="CG70" s="634"/>
      <c r="CH70" s="634"/>
      <c r="CJ70" s="634"/>
      <c r="CK70" s="634"/>
      <c r="CM70" s="634"/>
      <c r="CO70" s="634"/>
      <c r="CP70" s="634"/>
      <c r="CQ70" s="634"/>
      <c r="CS70" s="634"/>
      <c r="CT70" s="634"/>
      <c r="CU70" s="634"/>
      <c r="CW70" s="634"/>
      <c r="CX70" s="634"/>
      <c r="CY70" s="634"/>
      <c r="DA70" s="634"/>
      <c r="DB70" s="634"/>
      <c r="DC70" s="634"/>
      <c r="DD70" s="634"/>
      <c r="DE70" s="634"/>
      <c r="DF70" s="634"/>
      <c r="DH70" s="634"/>
      <c r="DI70" s="634"/>
      <c r="DJ70" s="634"/>
      <c r="DL70" s="634"/>
      <c r="DM70" s="634"/>
      <c r="DN70" s="634"/>
      <c r="DO70" s="634"/>
      <c r="DP70" s="634"/>
      <c r="DR70" s="634"/>
      <c r="DS70" s="634"/>
      <c r="DT70" s="634"/>
      <c r="DV70" s="634"/>
      <c r="DW70" s="634"/>
      <c r="DX70" s="634"/>
      <c r="DZ70" s="634"/>
      <c r="EA70" s="634"/>
      <c r="EB70" s="634"/>
      <c r="ED70" s="634"/>
      <c r="EE70" s="634"/>
      <c r="EF70" s="634"/>
      <c r="EH70" s="634"/>
      <c r="EI70" s="634"/>
      <c r="EJ70" s="634"/>
      <c r="EK70" s="634"/>
      <c r="EL70" s="634"/>
      <c r="EN70" s="634"/>
      <c r="EO70" s="634"/>
      <c r="EP70" s="634"/>
      <c r="ER70" s="634"/>
      <c r="ES70" s="634"/>
      <c r="ET70" s="634"/>
      <c r="EV70" s="634"/>
      <c r="EW70" s="634"/>
      <c r="EY70" s="634"/>
      <c r="EZ70" s="634"/>
      <c r="FA70" s="634"/>
      <c r="FB70" s="634"/>
      <c r="FC70" s="634"/>
      <c r="FD70" s="634"/>
      <c r="FE70" s="634"/>
      <c r="FF70" s="634"/>
      <c r="FG70" s="634"/>
      <c r="FH70" s="634"/>
      <c r="FI70" s="634"/>
      <c r="FJ70" s="634"/>
      <c r="FK70" s="634"/>
      <c r="FL70" s="634"/>
      <c r="FM70" s="634"/>
      <c r="FN70" s="634"/>
      <c r="FO70" s="634"/>
      <c r="FP70" s="634"/>
      <c r="FQ70" s="634"/>
      <c r="FS70" s="634"/>
      <c r="FT70" s="634"/>
      <c r="FU70" s="634"/>
      <c r="FV70" s="634"/>
      <c r="FW70" s="634"/>
      <c r="FX70" s="634"/>
      <c r="FY70" s="634"/>
      <c r="FZ70" s="634"/>
    </row>
    <row r="71" ht="24.95" customHeight="1" spans="1:182">
      <c r="A71" s="544">
        <v>3</v>
      </c>
      <c r="B71" s="544">
        <v>0.154701</v>
      </c>
      <c r="C71" s="544"/>
      <c r="D71" s="544"/>
      <c r="E71" s="544"/>
      <c r="F71" s="544"/>
      <c r="G71" s="576"/>
      <c r="H71" s="606"/>
      <c r="I71" s="577" t="s">
        <v>446</v>
      </c>
      <c r="J71" s="642">
        <v>0.07</v>
      </c>
      <c r="K71" s="634"/>
      <c r="L71" s="544"/>
      <c r="M71" s="544"/>
      <c r="N71" s="544"/>
      <c r="O71" s="634"/>
      <c r="P71" s="634"/>
      <c r="Q71" s="634"/>
      <c r="R71" s="634"/>
      <c r="S71" s="634"/>
      <c r="T71" s="634"/>
      <c r="U71" s="634"/>
      <c r="V71" s="634"/>
      <c r="W71" s="634"/>
      <c r="X71" s="634"/>
      <c r="Y71" s="634"/>
      <c r="Z71" s="634"/>
      <c r="AA71" s="634"/>
      <c r="AB71" s="634"/>
      <c r="AD71" s="634"/>
      <c r="AE71" s="634"/>
      <c r="AG71" s="634"/>
      <c r="AI71" s="634"/>
      <c r="AJ71" s="634"/>
      <c r="AK71" s="634"/>
      <c r="AM71" s="634"/>
      <c r="AN71" s="634"/>
      <c r="AO71" s="634"/>
      <c r="AQ71" s="634"/>
      <c r="AR71" s="634"/>
      <c r="AS71" s="634"/>
      <c r="AT71" s="634"/>
      <c r="AU71" s="634"/>
      <c r="AV71" s="634"/>
      <c r="AX71" s="634"/>
      <c r="AY71" s="634"/>
      <c r="AZ71" s="634"/>
      <c r="BB71" s="634"/>
      <c r="BC71" s="634"/>
      <c r="BD71" s="634"/>
      <c r="BF71" s="634"/>
      <c r="BG71" s="634"/>
      <c r="BH71" s="634"/>
      <c r="BJ71" s="634"/>
      <c r="BK71" s="634"/>
      <c r="BL71" s="634"/>
      <c r="BN71" s="634"/>
      <c r="BO71" s="634"/>
      <c r="BP71" s="634"/>
      <c r="BQ71" s="634"/>
      <c r="BR71" s="634"/>
      <c r="BT71" s="634"/>
      <c r="BU71" s="634"/>
      <c r="BV71" s="634"/>
      <c r="BX71" s="634"/>
      <c r="BY71" s="634"/>
      <c r="BZ71" s="634"/>
      <c r="CB71" s="634"/>
      <c r="CC71" s="634"/>
      <c r="CD71" s="634"/>
      <c r="CF71" s="634"/>
      <c r="CG71" s="634"/>
      <c r="CH71" s="634"/>
      <c r="CJ71" s="634"/>
      <c r="CK71" s="634"/>
      <c r="CM71" s="634"/>
      <c r="CO71" s="634"/>
      <c r="CP71" s="634"/>
      <c r="CQ71" s="634"/>
      <c r="CS71" s="634"/>
      <c r="CT71" s="634"/>
      <c r="CU71" s="634"/>
      <c r="CW71" s="634"/>
      <c r="CX71" s="634"/>
      <c r="CY71" s="634"/>
      <c r="DA71" s="634"/>
      <c r="DB71" s="634"/>
      <c r="DC71" s="634"/>
      <c r="DD71" s="634"/>
      <c r="DE71" s="634"/>
      <c r="DF71" s="634"/>
      <c r="DH71" s="634"/>
      <c r="DI71" s="634"/>
      <c r="DJ71" s="634"/>
      <c r="DL71" s="634"/>
      <c r="DM71" s="634"/>
      <c r="DN71" s="634"/>
      <c r="DO71" s="634"/>
      <c r="DP71" s="634"/>
      <c r="DR71" s="634"/>
      <c r="DS71" s="634"/>
      <c r="DT71" s="634"/>
      <c r="DV71" s="634"/>
      <c r="DW71" s="634"/>
      <c r="DX71" s="634"/>
      <c r="DZ71" s="634"/>
      <c r="EA71" s="634"/>
      <c r="EB71" s="634"/>
      <c r="ED71" s="634"/>
      <c r="EE71" s="634"/>
      <c r="EF71" s="634"/>
      <c r="EH71" s="634"/>
      <c r="EI71" s="634"/>
      <c r="EJ71" s="634"/>
      <c r="EK71" s="634"/>
      <c r="EL71" s="634"/>
      <c r="EN71" s="634"/>
      <c r="EO71" s="634"/>
      <c r="EP71" s="634"/>
      <c r="ER71" s="634"/>
      <c r="ES71" s="634"/>
      <c r="ET71" s="634"/>
      <c r="EV71" s="634"/>
      <c r="EW71" s="634"/>
      <c r="EY71" s="634"/>
      <c r="EZ71" s="634"/>
      <c r="FA71" s="634"/>
      <c r="FB71" s="634"/>
      <c r="FC71" s="634"/>
      <c r="FD71" s="634"/>
      <c r="FE71" s="634"/>
      <c r="FF71" s="634"/>
      <c r="FG71" s="634"/>
      <c r="FH71" s="634"/>
      <c r="FI71" s="634"/>
      <c r="FJ71" s="634"/>
      <c r="FK71" s="634"/>
      <c r="FL71" s="634"/>
      <c r="FM71" s="634"/>
      <c r="FN71" s="634"/>
      <c r="FO71" s="634"/>
      <c r="FP71" s="634"/>
      <c r="FQ71" s="634"/>
      <c r="FS71" s="634"/>
      <c r="FT71" s="634"/>
      <c r="FU71" s="634"/>
      <c r="FV71" s="634"/>
      <c r="FW71" s="634"/>
      <c r="FX71" s="634"/>
      <c r="FY71" s="634"/>
      <c r="FZ71" s="634"/>
    </row>
    <row r="72" ht="24.95" customHeight="1" spans="1:182">
      <c r="A72" s="544">
        <v>4</v>
      </c>
      <c r="B72" s="544">
        <v>0.414214</v>
      </c>
      <c r="C72" s="544"/>
      <c r="D72" s="544"/>
      <c r="E72" s="544"/>
      <c r="F72" s="544"/>
      <c r="G72" s="576"/>
      <c r="H72" s="606"/>
      <c r="I72" s="577" t="s">
        <v>450</v>
      </c>
      <c r="J72" s="642">
        <v>0</v>
      </c>
      <c r="K72" s="634"/>
      <c r="L72" s="544"/>
      <c r="M72" s="544"/>
      <c r="N72" s="544"/>
      <c r="O72" s="634"/>
      <c r="P72" s="634"/>
      <c r="Q72" s="634"/>
      <c r="R72" s="634"/>
      <c r="S72" s="634"/>
      <c r="T72" s="634"/>
      <c r="U72" s="634"/>
      <c r="V72" s="634"/>
      <c r="W72" s="634"/>
      <c r="X72" s="634"/>
      <c r="Y72" s="634"/>
      <c r="Z72" s="634"/>
      <c r="AA72" s="634"/>
      <c r="AB72" s="634"/>
      <c r="AD72" s="634"/>
      <c r="AE72" s="634"/>
      <c r="AG72" s="634"/>
      <c r="AI72" s="634"/>
      <c r="AJ72" s="634"/>
      <c r="AK72" s="634"/>
      <c r="AM72" s="634"/>
      <c r="AN72" s="634"/>
      <c r="AO72" s="634"/>
      <c r="AQ72" s="634"/>
      <c r="AR72" s="634"/>
      <c r="AS72" s="634"/>
      <c r="AT72" s="634"/>
      <c r="AU72" s="634"/>
      <c r="AV72" s="634"/>
      <c r="AX72" s="634"/>
      <c r="AY72" s="634"/>
      <c r="AZ72" s="634"/>
      <c r="BB72" s="634"/>
      <c r="BC72" s="634"/>
      <c r="BD72" s="634"/>
      <c r="BF72" s="634"/>
      <c r="BG72" s="634"/>
      <c r="BH72" s="634"/>
      <c r="BJ72" s="634"/>
      <c r="BK72" s="634"/>
      <c r="BL72" s="634"/>
      <c r="BN72" s="634"/>
      <c r="BO72" s="634"/>
      <c r="BP72" s="634"/>
      <c r="BQ72" s="634"/>
      <c r="BR72" s="634"/>
      <c r="BT72" s="634"/>
      <c r="BU72" s="634"/>
      <c r="BV72" s="634"/>
      <c r="BX72" s="634"/>
      <c r="BY72" s="634"/>
      <c r="BZ72" s="634"/>
      <c r="CB72" s="634"/>
      <c r="CC72" s="634"/>
      <c r="CD72" s="634"/>
      <c r="CF72" s="634"/>
      <c r="CG72" s="634"/>
      <c r="CH72" s="634"/>
      <c r="CJ72" s="634"/>
      <c r="CK72" s="634"/>
      <c r="CM72" s="634"/>
      <c r="CO72" s="634"/>
      <c r="CP72" s="634"/>
      <c r="CQ72" s="634"/>
      <c r="CS72" s="634"/>
      <c r="CT72" s="634"/>
      <c r="CU72" s="634"/>
      <c r="CW72" s="634"/>
      <c r="CX72" s="634"/>
      <c r="CY72" s="634"/>
      <c r="DA72" s="634"/>
      <c r="DB72" s="634"/>
      <c r="DC72" s="634"/>
      <c r="DD72" s="634"/>
      <c r="DE72" s="634"/>
      <c r="DF72" s="634"/>
      <c r="DH72" s="634"/>
      <c r="DI72" s="634"/>
      <c r="DJ72" s="634"/>
      <c r="DL72" s="634"/>
      <c r="DM72" s="634"/>
      <c r="DN72" s="634"/>
      <c r="DO72" s="634"/>
      <c r="DP72" s="634"/>
      <c r="DR72" s="634"/>
      <c r="DS72" s="634"/>
      <c r="DT72" s="634"/>
      <c r="DV72" s="634"/>
      <c r="DW72" s="634"/>
      <c r="DX72" s="634"/>
      <c r="DZ72" s="634"/>
      <c r="EA72" s="634"/>
      <c r="EB72" s="634"/>
      <c r="ED72" s="634"/>
      <c r="EE72" s="634"/>
      <c r="EF72" s="634"/>
      <c r="EH72" s="634"/>
      <c r="EI72" s="634"/>
      <c r="EJ72" s="634"/>
      <c r="EK72" s="634"/>
      <c r="EL72" s="634"/>
      <c r="EN72" s="634"/>
      <c r="EO72" s="634"/>
      <c r="EP72" s="634"/>
      <c r="ER72" s="634"/>
      <c r="ES72" s="634"/>
      <c r="ET72" s="634"/>
      <c r="EV72" s="634"/>
      <c r="EW72" s="634"/>
      <c r="EY72" s="634"/>
      <c r="EZ72" s="634"/>
      <c r="FA72" s="634"/>
      <c r="FB72" s="634"/>
      <c r="FC72" s="634"/>
      <c r="FD72" s="634"/>
      <c r="FE72" s="634"/>
      <c r="FF72" s="634"/>
      <c r="FG72" s="634"/>
      <c r="FH72" s="634"/>
      <c r="FI72" s="634"/>
      <c r="FJ72" s="634"/>
      <c r="FK72" s="634"/>
      <c r="FL72" s="634"/>
      <c r="FM72" s="634"/>
      <c r="FN72" s="634"/>
      <c r="FO72" s="634"/>
      <c r="FP72" s="634"/>
      <c r="FQ72" s="634"/>
      <c r="FS72" s="634"/>
      <c r="FT72" s="634"/>
      <c r="FU72" s="634"/>
      <c r="FV72" s="634"/>
      <c r="FW72" s="634"/>
      <c r="FX72" s="634"/>
      <c r="FY72" s="634"/>
      <c r="FZ72" s="634"/>
    </row>
    <row r="73" ht="24.95" customHeight="1" spans="1:182">
      <c r="A73" s="544">
        <v>5</v>
      </c>
      <c r="B73" s="544">
        <v>0.701302</v>
      </c>
      <c r="C73" s="544"/>
      <c r="D73" s="544"/>
      <c r="E73" s="544"/>
      <c r="F73" s="544"/>
      <c r="G73" s="576"/>
      <c r="H73" s="606"/>
      <c r="I73" s="577"/>
      <c r="J73" s="642"/>
      <c r="K73" s="634"/>
      <c r="L73" s="544"/>
      <c r="M73" s="544"/>
      <c r="N73" s="544"/>
      <c r="O73" s="634"/>
      <c r="P73" s="634"/>
      <c r="Q73" s="634"/>
      <c r="R73" s="634"/>
      <c r="S73" s="634"/>
      <c r="T73" s="634"/>
      <c r="U73" s="634"/>
      <c r="V73" s="634"/>
      <c r="W73" s="634"/>
      <c r="X73" s="634"/>
      <c r="Y73" s="634"/>
      <c r="Z73" s="634"/>
      <c r="AA73" s="634"/>
      <c r="AB73" s="634"/>
      <c r="AD73" s="634"/>
      <c r="AE73" s="634"/>
      <c r="AG73" s="634"/>
      <c r="AI73" s="634"/>
      <c r="AJ73" s="634"/>
      <c r="AK73" s="634"/>
      <c r="AM73" s="634"/>
      <c r="AN73" s="634"/>
      <c r="AO73" s="634"/>
      <c r="AQ73" s="634"/>
      <c r="AR73" s="634"/>
      <c r="AS73" s="634"/>
      <c r="AT73" s="634"/>
      <c r="AU73" s="634"/>
      <c r="AV73" s="634"/>
      <c r="AX73" s="634"/>
      <c r="AY73" s="634"/>
      <c r="AZ73" s="634"/>
      <c r="BB73" s="634"/>
      <c r="BC73" s="634"/>
      <c r="BD73" s="634"/>
      <c r="BF73" s="634"/>
      <c r="BG73" s="634"/>
      <c r="BH73" s="634"/>
      <c r="BJ73" s="634"/>
      <c r="BK73" s="634"/>
      <c r="BL73" s="634"/>
      <c r="BN73" s="634"/>
      <c r="BO73" s="634"/>
      <c r="BP73" s="634"/>
      <c r="BQ73" s="634"/>
      <c r="BR73" s="634"/>
      <c r="BT73" s="634"/>
      <c r="BU73" s="634"/>
      <c r="BV73" s="634"/>
      <c r="BX73" s="634"/>
      <c r="BY73" s="634"/>
      <c r="BZ73" s="634"/>
      <c r="CB73" s="634"/>
      <c r="CC73" s="634"/>
      <c r="CD73" s="634"/>
      <c r="CF73" s="634"/>
      <c r="CG73" s="634"/>
      <c r="CH73" s="634"/>
      <c r="CJ73" s="634"/>
      <c r="CK73" s="634"/>
      <c r="CM73" s="634"/>
      <c r="CO73" s="634"/>
      <c r="CP73" s="634"/>
      <c r="CQ73" s="634"/>
      <c r="CS73" s="634"/>
      <c r="CT73" s="634"/>
      <c r="CU73" s="634"/>
      <c r="CW73" s="634"/>
      <c r="CX73" s="634"/>
      <c r="CY73" s="634"/>
      <c r="DA73" s="634"/>
      <c r="DB73" s="634"/>
      <c r="DC73" s="634"/>
      <c r="DD73" s="634"/>
      <c r="DE73" s="634"/>
      <c r="DF73" s="634"/>
      <c r="DH73" s="634"/>
      <c r="DI73" s="634"/>
      <c r="DJ73" s="634"/>
      <c r="DL73" s="634"/>
      <c r="DM73" s="634"/>
      <c r="DN73" s="634"/>
      <c r="DO73" s="634"/>
      <c r="DP73" s="634"/>
      <c r="DR73" s="634"/>
      <c r="DS73" s="634"/>
      <c r="DT73" s="634"/>
      <c r="DV73" s="634"/>
      <c r="DW73" s="634"/>
      <c r="DX73" s="634"/>
      <c r="DZ73" s="634"/>
      <c r="EA73" s="634"/>
      <c r="EB73" s="634"/>
      <c r="ED73" s="634"/>
      <c r="EE73" s="634"/>
      <c r="EF73" s="634"/>
      <c r="EH73" s="634"/>
      <c r="EI73" s="634"/>
      <c r="EJ73" s="634"/>
      <c r="EK73" s="634"/>
      <c r="EL73" s="634"/>
      <c r="EN73" s="634"/>
      <c r="EO73" s="634"/>
      <c r="EP73" s="634"/>
      <c r="ER73" s="634"/>
      <c r="ES73" s="634"/>
      <c r="ET73" s="634"/>
      <c r="EV73" s="634"/>
      <c r="EW73" s="634"/>
      <c r="EY73" s="634"/>
      <c r="EZ73" s="634"/>
      <c r="FA73" s="634"/>
      <c r="FB73" s="634"/>
      <c r="FC73" s="634"/>
      <c r="FD73" s="634"/>
      <c r="FE73" s="634"/>
      <c r="FF73" s="634"/>
      <c r="FG73" s="634"/>
      <c r="FH73" s="634"/>
      <c r="FI73" s="634"/>
      <c r="FJ73" s="634"/>
      <c r="FK73" s="634"/>
      <c r="FL73" s="634"/>
      <c r="FM73" s="634"/>
      <c r="FN73" s="634"/>
      <c r="FO73" s="634"/>
      <c r="FP73" s="634"/>
      <c r="FQ73" s="634"/>
      <c r="FS73" s="634"/>
      <c r="FT73" s="634"/>
      <c r="FU73" s="634"/>
      <c r="FV73" s="634"/>
      <c r="FW73" s="634"/>
      <c r="FX73" s="634"/>
      <c r="FY73" s="634"/>
      <c r="FZ73" s="634"/>
    </row>
    <row r="74" ht="24.95" customHeight="1" spans="1:182">
      <c r="A74" s="576"/>
      <c r="B74" s="544"/>
      <c r="C74" s="544"/>
      <c r="D74" s="544"/>
      <c r="E74" s="544"/>
      <c r="F74" s="544"/>
      <c r="G74" s="576"/>
      <c r="H74" s="607"/>
      <c r="I74" s="639" t="s">
        <v>506</v>
      </c>
      <c r="J74" s="640">
        <v>100</v>
      </c>
      <c r="K74" s="634"/>
      <c r="L74" s="544"/>
      <c r="M74" s="544"/>
      <c r="N74" s="544"/>
      <c r="O74" s="634"/>
      <c r="P74" s="634"/>
      <c r="Q74" s="634"/>
      <c r="R74" s="634"/>
      <c r="S74" s="634"/>
      <c r="T74" s="634"/>
      <c r="U74" s="634"/>
      <c r="V74" s="634"/>
      <c r="W74" s="634"/>
      <c r="X74" s="634"/>
      <c r="Y74" s="634"/>
      <c r="Z74" s="634"/>
      <c r="AA74" s="634"/>
      <c r="AB74" s="634"/>
      <c r="AD74" s="634"/>
      <c r="AE74" s="634"/>
      <c r="AG74" s="634"/>
      <c r="AI74" s="634"/>
      <c r="AJ74" s="634"/>
      <c r="AK74" s="634"/>
      <c r="AM74" s="634"/>
      <c r="AN74" s="634"/>
      <c r="AO74" s="634"/>
      <c r="AQ74" s="634"/>
      <c r="AR74" s="634"/>
      <c r="AS74" s="634"/>
      <c r="AT74" s="634"/>
      <c r="AU74" s="634"/>
      <c r="AV74" s="634"/>
      <c r="AX74" s="634"/>
      <c r="AY74" s="634"/>
      <c r="AZ74" s="634"/>
      <c r="BB74" s="634"/>
      <c r="BC74" s="634"/>
      <c r="BD74" s="634"/>
      <c r="BF74" s="634"/>
      <c r="BG74" s="634"/>
      <c r="BH74" s="634"/>
      <c r="BJ74" s="634"/>
      <c r="BK74" s="634"/>
      <c r="BL74" s="634"/>
      <c r="BN74" s="634"/>
      <c r="BO74" s="634"/>
      <c r="BP74" s="634"/>
      <c r="BQ74" s="634"/>
      <c r="BR74" s="634"/>
      <c r="BT74" s="634"/>
      <c r="BU74" s="634"/>
      <c r="BV74" s="634"/>
      <c r="BX74" s="634"/>
      <c r="BY74" s="634"/>
      <c r="BZ74" s="634"/>
      <c r="CB74" s="634"/>
      <c r="CC74" s="634"/>
      <c r="CD74" s="634"/>
      <c r="CF74" s="634"/>
      <c r="CG74" s="634"/>
      <c r="CH74" s="634"/>
      <c r="CJ74" s="634"/>
      <c r="CK74" s="634"/>
      <c r="CM74" s="634"/>
      <c r="CO74" s="634"/>
      <c r="CP74" s="634"/>
      <c r="CQ74" s="634"/>
      <c r="CS74" s="634"/>
      <c r="CT74" s="634"/>
      <c r="CU74" s="634"/>
      <c r="CW74" s="634"/>
      <c r="CX74" s="634"/>
      <c r="CY74" s="634"/>
      <c r="DA74" s="634"/>
      <c r="DB74" s="634"/>
      <c r="DC74" s="634"/>
      <c r="DD74" s="634"/>
      <c r="DE74" s="634"/>
      <c r="DF74" s="634"/>
      <c r="DH74" s="634"/>
      <c r="DI74" s="634"/>
      <c r="DJ74" s="634"/>
      <c r="DL74" s="634"/>
      <c r="DM74" s="634"/>
      <c r="DN74" s="634"/>
      <c r="DO74" s="634"/>
      <c r="DP74" s="634"/>
      <c r="DR74" s="634"/>
      <c r="DS74" s="634"/>
      <c r="DT74" s="634"/>
      <c r="DV74" s="634"/>
      <c r="DW74" s="634"/>
      <c r="DX74" s="634"/>
      <c r="DZ74" s="634"/>
      <c r="EA74" s="634"/>
      <c r="EB74" s="634"/>
      <c r="ED74" s="634"/>
      <c r="EE74" s="634"/>
      <c r="EF74" s="634"/>
      <c r="EH74" s="634"/>
      <c r="EI74" s="634"/>
      <c r="EJ74" s="634"/>
      <c r="EK74" s="634"/>
      <c r="EL74" s="634"/>
      <c r="EN74" s="634"/>
      <c r="EO74" s="634"/>
      <c r="EP74" s="634"/>
      <c r="ER74" s="634"/>
      <c r="ES74" s="634"/>
      <c r="ET74" s="634"/>
      <c r="EV74" s="634"/>
      <c r="EW74" s="634"/>
      <c r="EY74" s="634"/>
      <c r="EZ74" s="634"/>
      <c r="FA74" s="634"/>
      <c r="FB74" s="634"/>
      <c r="FC74" s="634"/>
      <c r="FD74" s="634"/>
      <c r="FE74" s="634"/>
      <c r="FF74" s="634"/>
      <c r="FG74" s="634"/>
      <c r="FH74" s="634"/>
      <c r="FI74" s="634"/>
      <c r="FJ74" s="634"/>
      <c r="FK74" s="634"/>
      <c r="FL74" s="634"/>
      <c r="FM74" s="634"/>
      <c r="FN74" s="634"/>
      <c r="FO74" s="634"/>
      <c r="FP74" s="634"/>
      <c r="FQ74" s="634"/>
      <c r="FS74" s="634"/>
      <c r="FT74" s="634"/>
      <c r="FU74" s="634"/>
      <c r="FV74" s="634"/>
      <c r="FW74" s="634"/>
      <c r="FX74" s="634"/>
      <c r="FY74" s="634"/>
      <c r="FZ74" s="634"/>
    </row>
    <row r="75" ht="24.95" customHeight="1" spans="1:182">
      <c r="A75" s="576"/>
      <c r="B75" s="544"/>
      <c r="C75" s="544"/>
      <c r="D75" s="544"/>
      <c r="E75" s="544"/>
      <c r="F75" s="544"/>
      <c r="G75" s="576"/>
      <c r="H75" s="581"/>
      <c r="I75" s="581"/>
      <c r="J75" s="670"/>
      <c r="K75" s="634"/>
      <c r="L75" s="634"/>
      <c r="M75" s="634"/>
      <c r="N75" s="634"/>
      <c r="O75" s="634"/>
      <c r="P75" s="634"/>
      <c r="Q75" s="634"/>
      <c r="R75" s="634"/>
      <c r="S75" s="634"/>
      <c r="T75" s="634"/>
      <c r="U75" s="634"/>
      <c r="V75" s="634"/>
      <c r="W75" s="634"/>
      <c r="X75" s="634"/>
      <c r="Y75" s="634"/>
      <c r="Z75" s="634"/>
      <c r="AA75" s="634"/>
      <c r="AB75" s="634"/>
      <c r="AD75" s="634"/>
      <c r="AE75" s="634"/>
      <c r="AG75" s="634"/>
      <c r="AI75" s="634"/>
      <c r="AJ75" s="634"/>
      <c r="AK75" s="634"/>
      <c r="AM75" s="634"/>
      <c r="AN75" s="634"/>
      <c r="AO75" s="634"/>
      <c r="AQ75" s="634"/>
      <c r="AR75" s="634"/>
      <c r="AS75" s="634"/>
      <c r="AT75" s="634"/>
      <c r="AU75" s="634"/>
      <c r="AV75" s="634"/>
      <c r="AX75" s="634"/>
      <c r="AY75" s="634"/>
      <c r="AZ75" s="634"/>
      <c r="BB75" s="634"/>
      <c r="BC75" s="634"/>
      <c r="BD75" s="634"/>
      <c r="BF75" s="634"/>
      <c r="BG75" s="634"/>
      <c r="BH75" s="634"/>
      <c r="BJ75" s="634"/>
      <c r="BK75" s="634"/>
      <c r="BL75" s="634"/>
      <c r="BN75" s="634"/>
      <c r="BO75" s="634"/>
      <c r="BP75" s="634"/>
      <c r="BQ75" s="634"/>
      <c r="BR75" s="634"/>
      <c r="BT75" s="634"/>
      <c r="BU75" s="634"/>
      <c r="BV75" s="634"/>
      <c r="BX75" s="634"/>
      <c r="BY75" s="634"/>
      <c r="BZ75" s="634"/>
      <c r="CB75" s="634"/>
      <c r="CC75" s="634"/>
      <c r="CD75" s="634"/>
      <c r="CF75" s="634"/>
      <c r="CG75" s="634"/>
      <c r="CH75" s="634"/>
      <c r="CJ75" s="634"/>
      <c r="CK75" s="634"/>
      <c r="CM75" s="634"/>
      <c r="CO75" s="634"/>
      <c r="CP75" s="634"/>
      <c r="CQ75" s="634"/>
      <c r="CS75" s="634"/>
      <c r="CT75" s="634"/>
      <c r="CU75" s="634"/>
      <c r="CW75" s="634"/>
      <c r="CX75" s="634"/>
      <c r="CY75" s="634"/>
      <c r="DA75" s="634"/>
      <c r="DB75" s="634"/>
      <c r="DC75" s="634"/>
      <c r="DD75" s="634"/>
      <c r="DE75" s="634"/>
      <c r="DF75" s="634"/>
      <c r="DH75" s="634"/>
      <c r="DI75" s="634"/>
      <c r="DJ75" s="634"/>
      <c r="DL75" s="634"/>
      <c r="DM75" s="634"/>
      <c r="DN75" s="634"/>
      <c r="DO75" s="634"/>
      <c r="DP75" s="634"/>
      <c r="DR75" s="634"/>
      <c r="DS75" s="634"/>
      <c r="DT75" s="634"/>
      <c r="DV75" s="634"/>
      <c r="DW75" s="634"/>
      <c r="DX75" s="634"/>
      <c r="DZ75" s="634"/>
      <c r="EA75" s="634"/>
      <c r="EB75" s="634"/>
      <c r="ED75" s="634"/>
      <c r="EE75" s="634"/>
      <c r="EF75" s="634"/>
      <c r="EH75" s="634"/>
      <c r="EI75" s="634"/>
      <c r="EJ75" s="634"/>
      <c r="EK75" s="634"/>
      <c r="EL75" s="634"/>
      <c r="EN75" s="634"/>
      <c r="EO75" s="634"/>
      <c r="EP75" s="634"/>
      <c r="ER75" s="634"/>
      <c r="ES75" s="634"/>
      <c r="ET75" s="634"/>
      <c r="EV75" s="634"/>
      <c r="EW75" s="634"/>
      <c r="EY75" s="634"/>
      <c r="EZ75" s="634"/>
      <c r="FA75" s="634"/>
      <c r="FB75" s="634"/>
      <c r="FC75" s="634"/>
      <c r="FD75" s="634"/>
      <c r="FE75" s="634"/>
      <c r="FF75" s="634"/>
      <c r="FG75" s="634"/>
      <c r="FH75" s="634"/>
      <c r="FI75" s="634"/>
      <c r="FJ75" s="634"/>
      <c r="FK75" s="634"/>
      <c r="FL75" s="634"/>
      <c r="FM75" s="634"/>
      <c r="FN75" s="634"/>
      <c r="FO75" s="634"/>
      <c r="FP75" s="634"/>
      <c r="FQ75" s="634"/>
      <c r="FS75" s="634"/>
      <c r="FT75" s="634"/>
      <c r="FU75" s="634"/>
      <c r="FV75" s="634"/>
      <c r="FW75" s="634"/>
      <c r="FX75" s="634"/>
      <c r="FY75" s="634"/>
      <c r="FZ75" s="634"/>
    </row>
    <row r="76" ht="24.95" customHeight="1" spans="1:182">
      <c r="A76" s="576"/>
      <c r="B76" s="544"/>
      <c r="C76" s="544"/>
      <c r="D76" s="577" t="s">
        <v>553</v>
      </c>
      <c r="E76" s="577" t="s">
        <v>554</v>
      </c>
      <c r="F76" s="577">
        <f>PI()</f>
        <v>3.14159265358979</v>
      </c>
      <c r="G76" s="576"/>
      <c r="H76" s="577" t="s">
        <v>555</v>
      </c>
      <c r="I76" s="577" t="s">
        <v>439</v>
      </c>
      <c r="J76" s="577">
        <v>0.995</v>
      </c>
      <c r="K76" s="634"/>
      <c r="L76" s="634"/>
      <c r="M76" s="634"/>
      <c r="N76" s="634"/>
      <c r="O76" s="634"/>
      <c r="P76" s="634"/>
      <c r="Q76" s="634"/>
      <c r="R76" s="634"/>
      <c r="S76" s="634"/>
      <c r="T76" s="634"/>
      <c r="U76" s="634"/>
      <c r="V76" s="634"/>
      <c r="W76" s="634"/>
      <c r="X76" s="634"/>
      <c r="Y76" s="634"/>
      <c r="Z76" s="634"/>
      <c r="AA76" s="634"/>
      <c r="AB76" s="634"/>
      <c r="AD76" s="634"/>
      <c r="AE76" s="634"/>
      <c r="AG76" s="634"/>
      <c r="AI76" s="634"/>
      <c r="AJ76" s="634"/>
      <c r="AK76" s="634"/>
      <c r="AM76" s="634"/>
      <c r="AN76" s="634"/>
      <c r="AO76" s="634"/>
      <c r="AQ76" s="634"/>
      <c r="AR76" s="634"/>
      <c r="AS76" s="634"/>
      <c r="AT76" s="634"/>
      <c r="AU76" s="634"/>
      <c r="AV76" s="634"/>
      <c r="AX76" s="634"/>
      <c r="AY76" s="634"/>
      <c r="AZ76" s="634"/>
      <c r="BB76" s="634"/>
      <c r="BC76" s="634"/>
      <c r="BD76" s="634"/>
      <c r="BF76" s="634"/>
      <c r="BG76" s="634"/>
      <c r="BH76" s="634"/>
      <c r="BJ76" s="634"/>
      <c r="BK76" s="634"/>
      <c r="BL76" s="634"/>
      <c r="BN76" s="634"/>
      <c r="BO76" s="634"/>
      <c r="BP76" s="634"/>
      <c r="BQ76" s="634"/>
      <c r="BR76" s="634"/>
      <c r="BT76" s="634"/>
      <c r="BU76" s="634"/>
      <c r="BV76" s="634"/>
      <c r="BX76" s="634"/>
      <c r="BY76" s="634"/>
      <c r="BZ76" s="634"/>
      <c r="CB76" s="634"/>
      <c r="CC76" s="634"/>
      <c r="CD76" s="634"/>
      <c r="CF76" s="634"/>
      <c r="CG76" s="634"/>
      <c r="CH76" s="634"/>
      <c r="CJ76" s="634"/>
      <c r="CK76" s="634"/>
      <c r="CM76" s="634"/>
      <c r="CO76" s="634"/>
      <c r="CP76" s="634"/>
      <c r="CQ76" s="634"/>
      <c r="CS76" s="634"/>
      <c r="CT76" s="634"/>
      <c r="CU76" s="634"/>
      <c r="CW76" s="634"/>
      <c r="CX76" s="634"/>
      <c r="CY76" s="634"/>
      <c r="DA76" s="634"/>
      <c r="DB76" s="634"/>
      <c r="DC76" s="634"/>
      <c r="DD76" s="634"/>
      <c r="DE76" s="634"/>
      <c r="DF76" s="634"/>
      <c r="DH76" s="634"/>
      <c r="DI76" s="634"/>
      <c r="DJ76" s="634"/>
      <c r="DL76" s="634"/>
      <c r="DM76" s="634"/>
      <c r="DN76" s="634"/>
      <c r="DO76" s="634"/>
      <c r="DP76" s="634"/>
      <c r="DR76" s="634"/>
      <c r="DS76" s="634"/>
      <c r="DT76" s="634"/>
      <c r="DV76" s="634"/>
      <c r="DW76" s="634"/>
      <c r="DX76" s="634"/>
      <c r="DZ76" s="634"/>
      <c r="EA76" s="634"/>
      <c r="EB76" s="634"/>
      <c r="ED76" s="634"/>
      <c r="EE76" s="634"/>
      <c r="EF76" s="634"/>
      <c r="EH76" s="634"/>
      <c r="EI76" s="634"/>
      <c r="EJ76" s="634"/>
      <c r="EK76" s="634"/>
      <c r="EL76" s="634"/>
      <c r="EN76" s="634"/>
      <c r="EO76" s="634"/>
      <c r="EP76" s="634"/>
      <c r="ER76" s="634"/>
      <c r="ES76" s="634"/>
      <c r="ET76" s="634"/>
      <c r="EV76" s="634"/>
      <c r="EW76" s="634"/>
      <c r="EY76" s="634"/>
      <c r="EZ76" s="634"/>
      <c r="FA76" s="634"/>
      <c r="FB76" s="634"/>
      <c r="FC76" s="634"/>
      <c r="FD76" s="634"/>
      <c r="FE76" s="634"/>
      <c r="FF76" s="634"/>
      <c r="FG76" s="634"/>
      <c r="FH76" s="634"/>
      <c r="FI76" s="634"/>
      <c r="FJ76" s="634"/>
      <c r="FK76" s="634"/>
      <c r="FL76" s="634"/>
      <c r="FM76" s="634"/>
      <c r="FN76" s="634"/>
      <c r="FO76" s="634"/>
      <c r="FP76" s="634"/>
      <c r="FQ76" s="634"/>
      <c r="FS76" s="634"/>
      <c r="FT76" s="634"/>
      <c r="FU76" s="634"/>
      <c r="FV76" s="634"/>
      <c r="FW76" s="634"/>
      <c r="FX76" s="634"/>
      <c r="FY76" s="634"/>
      <c r="FZ76" s="634"/>
    </row>
    <row r="77" ht="24.95" customHeight="1" spans="1:182">
      <c r="A77" s="576"/>
      <c r="B77" s="544"/>
      <c r="C77" s="544"/>
      <c r="D77" s="577"/>
      <c r="E77" s="577" t="s">
        <v>556</v>
      </c>
      <c r="F77" s="586">
        <f>F76/4</f>
        <v>0.785398163397448</v>
      </c>
      <c r="G77" s="576"/>
      <c r="H77" s="577"/>
      <c r="I77" s="577" t="s">
        <v>446</v>
      </c>
      <c r="J77" s="625">
        <v>0.04</v>
      </c>
      <c r="K77" s="634"/>
      <c r="L77" s="634"/>
      <c r="M77" s="634"/>
      <c r="N77" s="634"/>
      <c r="O77" s="634"/>
      <c r="P77" s="634"/>
      <c r="Q77" s="634"/>
      <c r="R77" s="634"/>
      <c r="S77" s="634"/>
      <c r="T77" s="634"/>
      <c r="U77" s="634"/>
      <c r="V77" s="634"/>
      <c r="W77" s="634"/>
      <c r="X77" s="634"/>
      <c r="Y77" s="634"/>
      <c r="Z77" s="634"/>
      <c r="AA77" s="634"/>
      <c r="AB77" s="634"/>
      <c r="AD77" s="634"/>
      <c r="AE77" s="634"/>
      <c r="AG77" s="634"/>
      <c r="AI77" s="634"/>
      <c r="AJ77" s="634"/>
      <c r="AK77" s="634"/>
      <c r="AM77" s="634"/>
      <c r="AN77" s="634"/>
      <c r="AO77" s="634"/>
      <c r="AQ77" s="634"/>
      <c r="AR77" s="634"/>
      <c r="AS77" s="634"/>
      <c r="AT77" s="634"/>
      <c r="AU77" s="634"/>
      <c r="AV77" s="634"/>
      <c r="AX77" s="634"/>
      <c r="AY77" s="634"/>
      <c r="AZ77" s="634"/>
      <c r="BB77" s="634"/>
      <c r="BC77" s="634"/>
      <c r="BD77" s="634"/>
      <c r="BF77" s="634"/>
      <c r="BG77" s="634"/>
      <c r="BH77" s="634"/>
      <c r="BJ77" s="634"/>
      <c r="BK77" s="634"/>
      <c r="BL77" s="634"/>
      <c r="BN77" s="634"/>
      <c r="BO77" s="634"/>
      <c r="BP77" s="634"/>
      <c r="BQ77" s="634"/>
      <c r="BR77" s="634"/>
      <c r="BT77" s="634"/>
      <c r="BU77" s="634"/>
      <c r="BV77" s="634"/>
      <c r="BX77" s="634"/>
      <c r="BY77" s="634"/>
      <c r="BZ77" s="634"/>
      <c r="CB77" s="634"/>
      <c r="CC77" s="634"/>
      <c r="CD77" s="634"/>
      <c r="CF77" s="634"/>
      <c r="CG77" s="634"/>
      <c r="CH77" s="634"/>
      <c r="CJ77" s="634"/>
      <c r="CK77" s="634"/>
      <c r="CM77" s="634"/>
      <c r="CO77" s="634"/>
      <c r="CP77" s="634"/>
      <c r="CQ77" s="634"/>
      <c r="CS77" s="634"/>
      <c r="CT77" s="634"/>
      <c r="CU77" s="634"/>
      <c r="CW77" s="634"/>
      <c r="CX77" s="634"/>
      <c r="CY77" s="634"/>
      <c r="DA77" s="634"/>
      <c r="DB77" s="634"/>
      <c r="DC77" s="634"/>
      <c r="DD77" s="634"/>
      <c r="DE77" s="634"/>
      <c r="DF77" s="634"/>
      <c r="DH77" s="634"/>
      <c r="DI77" s="634"/>
      <c r="DJ77" s="634"/>
      <c r="DL77" s="634"/>
      <c r="DM77" s="634"/>
      <c r="DN77" s="634"/>
      <c r="DO77" s="634"/>
      <c r="DP77" s="634"/>
      <c r="DR77" s="634"/>
      <c r="DS77" s="634"/>
      <c r="DT77" s="634"/>
      <c r="DV77" s="634"/>
      <c r="DW77" s="634"/>
      <c r="DX77" s="634"/>
      <c r="DZ77" s="634"/>
      <c r="EA77" s="634"/>
      <c r="EB77" s="634"/>
      <c r="ED77" s="634"/>
      <c r="EE77" s="634"/>
      <c r="EF77" s="634"/>
      <c r="EH77" s="634"/>
      <c r="EI77" s="634"/>
      <c r="EJ77" s="634"/>
      <c r="EK77" s="634"/>
      <c r="EL77" s="634"/>
      <c r="EN77" s="634"/>
      <c r="EO77" s="634"/>
      <c r="EP77" s="634"/>
      <c r="ER77" s="634"/>
      <c r="ES77" s="634"/>
      <c r="ET77" s="634"/>
      <c r="EV77" s="634"/>
      <c r="EW77" s="634"/>
      <c r="EY77" s="634"/>
      <c r="EZ77" s="634"/>
      <c r="FA77" s="634"/>
      <c r="FB77" s="634"/>
      <c r="FC77" s="634"/>
      <c r="FD77" s="634"/>
      <c r="FE77" s="634"/>
      <c r="FF77" s="634"/>
      <c r="FG77" s="634"/>
      <c r="FH77" s="634"/>
      <c r="FI77" s="634"/>
      <c r="FJ77" s="634"/>
      <c r="FK77" s="634"/>
      <c r="FL77" s="634"/>
      <c r="FM77" s="634"/>
      <c r="FN77" s="634"/>
      <c r="FO77" s="634"/>
      <c r="FP77" s="634"/>
      <c r="FQ77" s="634"/>
      <c r="FS77" s="634"/>
      <c r="FT77" s="634"/>
      <c r="FU77" s="634"/>
      <c r="FV77" s="634"/>
      <c r="FW77" s="634"/>
      <c r="FX77" s="634"/>
      <c r="FY77" s="634"/>
      <c r="FZ77" s="634"/>
    </row>
    <row r="78" ht="24.95" customHeight="1" spans="1:182">
      <c r="A78" s="576"/>
      <c r="B78" s="544"/>
      <c r="C78" s="544"/>
      <c r="D78" s="577" t="s">
        <v>557</v>
      </c>
      <c r="E78" s="643">
        <v>0.1</v>
      </c>
      <c r="F78" s="577"/>
      <c r="G78" s="576"/>
      <c r="H78" s="577"/>
      <c r="I78" s="577" t="s">
        <v>450</v>
      </c>
      <c r="J78" s="625">
        <v>0</v>
      </c>
      <c r="K78" s="634"/>
      <c r="L78" s="634"/>
      <c r="M78" s="634"/>
      <c r="N78" s="634"/>
      <c r="O78" s="634"/>
      <c r="P78" s="634"/>
      <c r="Q78" s="634"/>
      <c r="R78" s="634"/>
      <c r="S78" s="634"/>
      <c r="T78" s="634"/>
      <c r="U78" s="634"/>
      <c r="V78" s="634"/>
      <c r="W78" s="634"/>
      <c r="X78" s="634"/>
      <c r="Y78" s="634"/>
      <c r="Z78" s="634"/>
      <c r="AA78" s="634"/>
      <c r="AB78" s="634"/>
      <c r="AD78" s="634"/>
      <c r="AE78" s="634"/>
      <c r="AG78" s="634"/>
      <c r="AI78" s="634"/>
      <c r="AJ78" s="634"/>
      <c r="AK78" s="634"/>
      <c r="AM78" s="634"/>
      <c r="AN78" s="634"/>
      <c r="AO78" s="634"/>
      <c r="AQ78" s="634"/>
      <c r="AR78" s="634"/>
      <c r="AS78" s="634"/>
      <c r="AT78" s="634"/>
      <c r="AU78" s="634"/>
      <c r="AV78" s="634"/>
      <c r="AX78" s="634"/>
      <c r="AY78" s="634"/>
      <c r="AZ78" s="634"/>
      <c r="BB78" s="634"/>
      <c r="BC78" s="634"/>
      <c r="BD78" s="634"/>
      <c r="BF78" s="634"/>
      <c r="BG78" s="634"/>
      <c r="BH78" s="634"/>
      <c r="BJ78" s="634"/>
      <c r="BK78" s="634"/>
      <c r="BL78" s="634"/>
      <c r="BN78" s="634"/>
      <c r="BO78" s="634"/>
      <c r="BP78" s="634"/>
      <c r="BQ78" s="634"/>
      <c r="BR78" s="634"/>
      <c r="BT78" s="634"/>
      <c r="BU78" s="634"/>
      <c r="BV78" s="634"/>
      <c r="BX78" s="634"/>
      <c r="BY78" s="634"/>
      <c r="BZ78" s="634"/>
      <c r="CB78" s="634"/>
      <c r="CC78" s="634"/>
      <c r="CD78" s="634"/>
      <c r="CF78" s="634"/>
      <c r="CG78" s="634"/>
      <c r="CH78" s="634"/>
      <c r="CJ78" s="634"/>
      <c r="CK78" s="634"/>
      <c r="CM78" s="634"/>
      <c r="CO78" s="634"/>
      <c r="CP78" s="634"/>
      <c r="CQ78" s="634"/>
      <c r="CS78" s="634"/>
      <c r="CT78" s="634"/>
      <c r="CU78" s="634"/>
      <c r="CW78" s="634"/>
      <c r="CX78" s="634"/>
      <c r="CY78" s="634"/>
      <c r="DA78" s="634"/>
      <c r="DB78" s="634"/>
      <c r="DC78" s="634"/>
      <c r="DD78" s="634"/>
      <c r="DE78" s="634"/>
      <c r="DF78" s="634"/>
      <c r="DH78" s="634"/>
      <c r="DI78" s="634"/>
      <c r="DJ78" s="634"/>
      <c r="DL78" s="634"/>
      <c r="DM78" s="634"/>
      <c r="DN78" s="634"/>
      <c r="DO78" s="634"/>
      <c r="DP78" s="634"/>
      <c r="DR78" s="634"/>
      <c r="DS78" s="634"/>
      <c r="DT78" s="634"/>
      <c r="DV78" s="634"/>
      <c r="DW78" s="634"/>
      <c r="DX78" s="634"/>
      <c r="DZ78" s="634"/>
      <c r="EA78" s="634"/>
      <c r="EB78" s="634"/>
      <c r="ED78" s="634"/>
      <c r="EE78" s="634"/>
      <c r="EF78" s="634"/>
      <c r="EH78" s="634"/>
      <c r="EI78" s="634"/>
      <c r="EJ78" s="634"/>
      <c r="EK78" s="634"/>
      <c r="EL78" s="634"/>
      <c r="EN78" s="634"/>
      <c r="EO78" s="634"/>
      <c r="EP78" s="634"/>
      <c r="ER78" s="634"/>
      <c r="ES78" s="634"/>
      <c r="ET78" s="634"/>
      <c r="EV78" s="634"/>
      <c r="EW78" s="634"/>
      <c r="EY78" s="634"/>
      <c r="EZ78" s="634"/>
      <c r="FA78" s="634"/>
      <c r="FB78" s="634"/>
      <c r="FC78" s="634"/>
      <c r="FD78" s="634"/>
      <c r="FE78" s="634"/>
      <c r="FF78" s="634"/>
      <c r="FG78" s="634"/>
      <c r="FH78" s="634"/>
      <c r="FI78" s="634"/>
      <c r="FJ78" s="634"/>
      <c r="FK78" s="634"/>
      <c r="FL78" s="634"/>
      <c r="FM78" s="634"/>
      <c r="FN78" s="634"/>
      <c r="FO78" s="634"/>
      <c r="FP78" s="634"/>
      <c r="FQ78" s="634"/>
      <c r="FS78" s="634"/>
      <c r="FT78" s="634"/>
      <c r="FU78" s="634"/>
      <c r="FV78" s="634"/>
      <c r="FW78" s="634"/>
      <c r="FX78" s="634"/>
      <c r="FY78" s="634"/>
      <c r="FZ78" s="634"/>
    </row>
    <row r="79" ht="24.95" customHeight="1" spans="1:182">
      <c r="A79" s="576"/>
      <c r="B79" s="544"/>
      <c r="C79" s="544"/>
      <c r="D79" s="577" t="s">
        <v>558</v>
      </c>
      <c r="E79" s="643">
        <v>0.1</v>
      </c>
      <c r="F79" s="581"/>
      <c r="G79" s="576"/>
      <c r="H79" s="577"/>
      <c r="I79" s="577"/>
      <c r="J79" s="625"/>
      <c r="K79" s="634"/>
      <c r="L79" s="634"/>
      <c r="M79" s="634"/>
      <c r="N79" s="634"/>
      <c r="O79" s="634"/>
      <c r="P79" s="634"/>
      <c r="Q79" s="634"/>
      <c r="R79" s="634"/>
      <c r="S79" s="634"/>
      <c r="T79" s="634"/>
      <c r="U79" s="634"/>
      <c r="V79" s="634"/>
      <c r="W79" s="634"/>
      <c r="X79" s="634"/>
      <c r="Y79" s="634"/>
      <c r="Z79" s="634"/>
      <c r="AA79" s="634"/>
      <c r="AB79" s="634"/>
      <c r="AD79" s="634"/>
      <c r="AE79" s="634"/>
      <c r="AG79" s="634"/>
      <c r="AI79" s="634"/>
      <c r="AJ79" s="634"/>
      <c r="AK79" s="634"/>
      <c r="AM79" s="634"/>
      <c r="AN79" s="634"/>
      <c r="AO79" s="634"/>
      <c r="AQ79" s="634"/>
      <c r="AR79" s="634"/>
      <c r="AS79" s="634"/>
      <c r="AT79" s="634"/>
      <c r="AU79" s="634"/>
      <c r="AV79" s="634"/>
      <c r="AX79" s="634"/>
      <c r="AY79" s="634"/>
      <c r="AZ79" s="634"/>
      <c r="BB79" s="634"/>
      <c r="BC79" s="634"/>
      <c r="BD79" s="634"/>
      <c r="BF79" s="634"/>
      <c r="BG79" s="634"/>
      <c r="BH79" s="634"/>
      <c r="BJ79" s="634"/>
      <c r="BK79" s="634"/>
      <c r="BL79" s="634"/>
      <c r="BN79" s="634"/>
      <c r="BO79" s="634"/>
      <c r="BP79" s="634"/>
      <c r="BQ79" s="634"/>
      <c r="BR79" s="634"/>
      <c r="BT79" s="634"/>
      <c r="BU79" s="634"/>
      <c r="BV79" s="634"/>
      <c r="BX79" s="634"/>
      <c r="BY79" s="634"/>
      <c r="BZ79" s="634"/>
      <c r="CB79" s="634"/>
      <c r="CC79" s="634"/>
      <c r="CD79" s="634"/>
      <c r="CF79" s="634"/>
      <c r="CG79" s="634"/>
      <c r="CH79" s="634"/>
      <c r="CJ79" s="634"/>
      <c r="CK79" s="634"/>
      <c r="CM79" s="634"/>
      <c r="CO79" s="634"/>
      <c r="CP79" s="634"/>
      <c r="CQ79" s="634"/>
      <c r="CS79" s="634"/>
      <c r="CT79" s="634"/>
      <c r="CU79" s="634"/>
      <c r="CW79" s="634"/>
      <c r="CX79" s="634"/>
      <c r="CY79" s="634"/>
      <c r="DA79" s="634"/>
      <c r="DB79" s="634"/>
      <c r="DC79" s="634"/>
      <c r="DD79" s="634"/>
      <c r="DE79" s="634"/>
      <c r="DF79" s="634"/>
      <c r="DH79" s="634"/>
      <c r="DI79" s="634"/>
      <c r="DJ79" s="634"/>
      <c r="DL79" s="634"/>
      <c r="DM79" s="634"/>
      <c r="DN79" s="634"/>
      <c r="DO79" s="634"/>
      <c r="DP79" s="634"/>
      <c r="DR79" s="634"/>
      <c r="DS79" s="634"/>
      <c r="DT79" s="634"/>
      <c r="DV79" s="634"/>
      <c r="DW79" s="634"/>
      <c r="DX79" s="634"/>
      <c r="DZ79" s="634"/>
      <c r="EA79" s="634"/>
      <c r="EB79" s="634"/>
      <c r="ED79" s="634"/>
      <c r="EE79" s="634"/>
      <c r="EF79" s="634"/>
      <c r="EH79" s="634"/>
      <c r="EI79" s="634"/>
      <c r="EJ79" s="634"/>
      <c r="EK79" s="634"/>
      <c r="EL79" s="634"/>
      <c r="EN79" s="634"/>
      <c r="EO79" s="634"/>
      <c r="EP79" s="634"/>
      <c r="ER79" s="634"/>
      <c r="ES79" s="634"/>
      <c r="ET79" s="634"/>
      <c r="EV79" s="634"/>
      <c r="EW79" s="634"/>
      <c r="EY79" s="634"/>
      <c r="EZ79" s="634"/>
      <c r="FA79" s="634"/>
      <c r="FB79" s="634"/>
      <c r="FC79" s="634"/>
      <c r="FD79" s="634"/>
      <c r="FE79" s="634"/>
      <c r="FF79" s="634"/>
      <c r="FG79" s="634"/>
      <c r="FH79" s="634"/>
      <c r="FI79" s="634"/>
      <c r="FJ79" s="634"/>
      <c r="FK79" s="634"/>
      <c r="FL79" s="634"/>
      <c r="FM79" s="634"/>
      <c r="FN79" s="634"/>
      <c r="FO79" s="634"/>
      <c r="FP79" s="634"/>
      <c r="FQ79" s="634"/>
      <c r="FS79" s="634"/>
      <c r="FT79" s="634"/>
      <c r="FU79" s="634"/>
      <c r="FV79" s="634"/>
      <c r="FW79" s="634"/>
      <c r="FX79" s="634"/>
      <c r="FY79" s="634"/>
      <c r="FZ79" s="634"/>
    </row>
    <row r="80" spans="1:182">
      <c r="A80" s="576"/>
      <c r="B80" s="544"/>
      <c r="C80" s="544"/>
      <c r="D80" s="581"/>
      <c r="E80" s="581"/>
      <c r="F80" s="581"/>
      <c r="G80" s="576"/>
      <c r="H80" s="581"/>
      <c r="I80" s="581"/>
      <c r="J80" s="670"/>
      <c r="K80" s="634"/>
      <c r="L80" s="634"/>
      <c r="M80" s="634"/>
      <c r="N80" s="634"/>
      <c r="O80" s="634"/>
      <c r="P80" s="634"/>
      <c r="Q80" s="634"/>
      <c r="R80" s="634"/>
      <c r="S80" s="634"/>
      <c r="T80" s="634"/>
      <c r="U80" s="634"/>
      <c r="V80" s="634"/>
      <c r="W80" s="634"/>
      <c r="X80" s="634"/>
      <c r="Y80" s="634"/>
      <c r="Z80" s="634"/>
      <c r="AA80" s="634"/>
      <c r="AB80" s="634"/>
      <c r="AD80" s="634"/>
      <c r="AE80" s="634"/>
      <c r="AG80" s="634"/>
      <c r="AI80" s="634"/>
      <c r="AJ80" s="634"/>
      <c r="AK80" s="634"/>
      <c r="AM80" s="634"/>
      <c r="AN80" s="634"/>
      <c r="AO80" s="634"/>
      <c r="AQ80" s="634"/>
      <c r="AR80" s="634"/>
      <c r="AS80" s="634"/>
      <c r="AT80" s="634"/>
      <c r="AU80" s="634"/>
      <c r="AV80" s="634"/>
      <c r="AX80" s="634"/>
      <c r="AY80" s="634"/>
      <c r="AZ80" s="634"/>
      <c r="BB80" s="634"/>
      <c r="BC80" s="634"/>
      <c r="BD80" s="634"/>
      <c r="BF80" s="634"/>
      <c r="BG80" s="634"/>
      <c r="BH80" s="634"/>
      <c r="BJ80" s="634"/>
      <c r="BK80" s="634"/>
      <c r="BL80" s="634"/>
      <c r="BN80" s="634"/>
      <c r="BO80" s="634"/>
      <c r="BP80" s="634"/>
      <c r="BQ80" s="634"/>
      <c r="BR80" s="634"/>
      <c r="BT80" s="634"/>
      <c r="BU80" s="634"/>
      <c r="BV80" s="634"/>
      <c r="BX80" s="634"/>
      <c r="BY80" s="634"/>
      <c r="BZ80" s="634"/>
      <c r="CB80" s="634"/>
      <c r="CC80" s="634"/>
      <c r="CD80" s="634"/>
      <c r="CF80" s="634"/>
      <c r="CG80" s="634"/>
      <c r="CH80" s="634"/>
      <c r="CJ80" s="634"/>
      <c r="CK80" s="634"/>
      <c r="CM80" s="634"/>
      <c r="CO80" s="634"/>
      <c r="CP80" s="634"/>
      <c r="CQ80" s="634"/>
      <c r="CS80" s="634"/>
      <c r="CT80" s="634"/>
      <c r="CU80" s="634"/>
      <c r="CW80" s="634"/>
      <c r="CX80" s="634"/>
      <c r="CY80" s="634"/>
      <c r="DA80" s="634"/>
      <c r="DB80" s="634"/>
      <c r="DC80" s="634"/>
      <c r="DD80" s="634"/>
      <c r="DE80" s="634"/>
      <c r="DF80" s="634"/>
      <c r="DH80" s="634"/>
      <c r="DI80" s="634"/>
      <c r="DJ80" s="634"/>
      <c r="DL80" s="634"/>
      <c r="DM80" s="634"/>
      <c r="DN80" s="634"/>
      <c r="DO80" s="634"/>
      <c r="DP80" s="634"/>
      <c r="DR80" s="634"/>
      <c r="DS80" s="634"/>
      <c r="DT80" s="634"/>
      <c r="DV80" s="634"/>
      <c r="DW80" s="634"/>
      <c r="DX80" s="634"/>
      <c r="DZ80" s="634"/>
      <c r="EA80" s="634"/>
      <c r="EB80" s="634"/>
      <c r="ED80" s="634"/>
      <c r="EE80" s="634"/>
      <c r="EF80" s="634"/>
      <c r="EH80" s="634"/>
      <c r="EI80" s="634"/>
      <c r="EJ80" s="634"/>
      <c r="EK80" s="634"/>
      <c r="EL80" s="634"/>
      <c r="EN80" s="634"/>
      <c r="EO80" s="634"/>
      <c r="EP80" s="634"/>
      <c r="ER80" s="634"/>
      <c r="ES80" s="634"/>
      <c r="ET80" s="634"/>
      <c r="EV80" s="634"/>
      <c r="EW80" s="634"/>
      <c r="EY80" s="634"/>
      <c r="EZ80" s="634"/>
      <c r="FA80" s="634"/>
      <c r="FB80" s="634"/>
      <c r="FC80" s="634"/>
      <c r="FD80" s="634"/>
      <c r="FE80" s="634"/>
      <c r="FF80" s="634"/>
      <c r="FG80" s="634"/>
      <c r="FH80" s="634"/>
      <c r="FI80" s="634"/>
      <c r="FJ80" s="634"/>
      <c r="FK80" s="634"/>
      <c r="FL80" s="634"/>
      <c r="FM80" s="634"/>
      <c r="FN80" s="634"/>
      <c r="FO80" s="634"/>
      <c r="FP80" s="634"/>
      <c r="FQ80" s="634"/>
      <c r="FS80" s="634"/>
      <c r="FT80" s="634"/>
      <c r="FU80" s="634"/>
      <c r="FV80" s="634"/>
      <c r="FW80" s="634"/>
      <c r="FX80" s="634"/>
      <c r="FY80" s="634"/>
      <c r="FZ80" s="634"/>
    </row>
    <row r="81" spans="1:182">
      <c r="A81" s="576"/>
      <c r="B81" s="544"/>
      <c r="C81" s="544"/>
      <c r="D81" s="581"/>
      <c r="E81" s="581"/>
      <c r="F81" s="581"/>
      <c r="G81" s="576"/>
      <c r="H81" s="581"/>
      <c r="I81" s="581"/>
      <c r="J81" s="670"/>
      <c r="K81" s="634"/>
      <c r="L81" s="634"/>
      <c r="M81" s="634"/>
      <c r="N81" s="634"/>
      <c r="O81" s="634"/>
      <c r="P81" s="634"/>
      <c r="Q81" s="634"/>
      <c r="R81" s="634"/>
      <c r="S81" s="634"/>
      <c r="T81" s="634"/>
      <c r="U81" s="634"/>
      <c r="V81" s="634"/>
      <c r="W81" s="634"/>
      <c r="X81" s="634"/>
      <c r="Y81" s="634"/>
      <c r="Z81" s="634"/>
      <c r="AA81" s="634"/>
      <c r="AB81" s="634"/>
      <c r="AD81" s="634"/>
      <c r="AE81" s="634"/>
      <c r="AG81" s="634"/>
      <c r="AI81" s="634"/>
      <c r="AJ81" s="634"/>
      <c r="AK81" s="634"/>
      <c r="AM81" s="634"/>
      <c r="AN81" s="634"/>
      <c r="AO81" s="634"/>
      <c r="AQ81" s="634"/>
      <c r="AR81" s="634"/>
      <c r="AS81" s="634"/>
      <c r="AT81" s="634"/>
      <c r="AU81" s="634"/>
      <c r="AV81" s="634"/>
      <c r="AX81" s="634"/>
      <c r="AY81" s="634"/>
      <c r="AZ81" s="634"/>
      <c r="BB81" s="634"/>
      <c r="BC81" s="634"/>
      <c r="BD81" s="634"/>
      <c r="BF81" s="634"/>
      <c r="BG81" s="634"/>
      <c r="BH81" s="634"/>
      <c r="BJ81" s="634"/>
      <c r="BK81" s="634"/>
      <c r="BL81" s="634"/>
      <c r="BN81" s="634"/>
      <c r="BO81" s="634"/>
      <c r="BP81" s="634"/>
      <c r="BQ81" s="634"/>
      <c r="BR81" s="634"/>
      <c r="BT81" s="634"/>
      <c r="BU81" s="634"/>
      <c r="BV81" s="634"/>
      <c r="BX81" s="634"/>
      <c r="BY81" s="634"/>
      <c r="BZ81" s="634"/>
      <c r="CB81" s="634"/>
      <c r="CC81" s="634"/>
      <c r="CD81" s="634"/>
      <c r="CF81" s="634"/>
      <c r="CG81" s="634"/>
      <c r="CH81" s="634"/>
      <c r="CJ81" s="634"/>
      <c r="CK81" s="634"/>
      <c r="CM81" s="634"/>
      <c r="CO81" s="634"/>
      <c r="CP81" s="634"/>
      <c r="CQ81" s="634"/>
      <c r="CS81" s="634"/>
      <c r="CT81" s="634"/>
      <c r="CU81" s="634"/>
      <c r="CW81" s="634"/>
      <c r="CX81" s="634"/>
      <c r="CY81" s="634"/>
      <c r="DA81" s="634"/>
      <c r="DB81" s="634"/>
      <c r="DC81" s="634"/>
      <c r="DD81" s="634"/>
      <c r="DE81" s="634"/>
      <c r="DF81" s="634"/>
      <c r="DH81" s="634"/>
      <c r="DI81" s="634"/>
      <c r="DJ81" s="634"/>
      <c r="DL81" s="634"/>
      <c r="DM81" s="634"/>
      <c r="DN81" s="634"/>
      <c r="DO81" s="634"/>
      <c r="DP81" s="634"/>
      <c r="DR81" s="634"/>
      <c r="DS81" s="634"/>
      <c r="DT81" s="634"/>
      <c r="DV81" s="634"/>
      <c r="DW81" s="634"/>
      <c r="DX81" s="634"/>
      <c r="DZ81" s="634"/>
      <c r="EA81" s="634"/>
      <c r="EB81" s="634"/>
      <c r="ED81" s="634"/>
      <c r="EE81" s="634"/>
      <c r="EF81" s="634"/>
      <c r="EH81" s="634"/>
      <c r="EI81" s="634"/>
      <c r="EJ81" s="634"/>
      <c r="EK81" s="634"/>
      <c r="EL81" s="634"/>
      <c r="EN81" s="634"/>
      <c r="EO81" s="634"/>
      <c r="EP81" s="634"/>
      <c r="ER81" s="634"/>
      <c r="ES81" s="634"/>
      <c r="ET81" s="634"/>
      <c r="EV81" s="634"/>
      <c r="EW81" s="634"/>
      <c r="EY81" s="634"/>
      <c r="EZ81" s="634"/>
      <c r="FA81" s="634"/>
      <c r="FB81" s="634"/>
      <c r="FC81" s="634"/>
      <c r="FD81" s="634"/>
      <c r="FE81" s="634"/>
      <c r="FF81" s="634"/>
      <c r="FG81" s="634"/>
      <c r="FH81" s="634"/>
      <c r="FI81" s="634"/>
      <c r="FJ81" s="634"/>
      <c r="FK81" s="634"/>
      <c r="FL81" s="634"/>
      <c r="FM81" s="634"/>
      <c r="FN81" s="634"/>
      <c r="FO81" s="634"/>
      <c r="FP81" s="634"/>
      <c r="FQ81" s="634"/>
      <c r="FS81" s="634"/>
      <c r="FT81" s="634"/>
      <c r="FU81" s="634"/>
      <c r="FV81" s="634"/>
      <c r="FW81" s="634"/>
      <c r="FX81" s="634"/>
      <c r="FY81" s="634"/>
      <c r="FZ81" s="634"/>
    </row>
    <row r="82" spans="1:182">
      <c r="A82" s="576"/>
      <c r="B82" s="544"/>
      <c r="C82" s="544"/>
      <c r="D82" s="544"/>
      <c r="E82" s="544"/>
      <c r="F82" s="544"/>
      <c r="G82" s="576"/>
      <c r="H82" s="581"/>
      <c r="I82" s="581"/>
      <c r="J82" s="670"/>
      <c r="K82" s="634"/>
      <c r="L82" s="634"/>
      <c r="M82" s="634"/>
      <c r="N82" s="634"/>
      <c r="O82" s="634"/>
      <c r="P82" s="634"/>
      <c r="Q82" s="634"/>
      <c r="R82" s="634"/>
      <c r="S82" s="634"/>
      <c r="T82" s="634"/>
      <c r="U82" s="634"/>
      <c r="V82" s="634"/>
      <c r="W82" s="634"/>
      <c r="X82" s="634"/>
      <c r="Y82" s="634"/>
      <c r="Z82" s="634"/>
      <c r="AA82" s="634"/>
      <c r="AB82" s="634"/>
      <c r="AD82" s="634"/>
      <c r="AE82" s="634"/>
      <c r="AG82" s="634"/>
      <c r="AI82" s="634"/>
      <c r="AJ82" s="634"/>
      <c r="AK82" s="634"/>
      <c r="AM82" s="634"/>
      <c r="AN82" s="634"/>
      <c r="AO82" s="634"/>
      <c r="AQ82" s="634"/>
      <c r="AR82" s="634"/>
      <c r="AS82" s="634"/>
      <c r="AT82" s="634"/>
      <c r="AU82" s="634"/>
      <c r="AV82" s="634"/>
      <c r="AX82" s="634"/>
      <c r="AY82" s="634"/>
      <c r="AZ82" s="634"/>
      <c r="BB82" s="634"/>
      <c r="BC82" s="634"/>
      <c r="BD82" s="634"/>
      <c r="BF82" s="634"/>
      <c r="BG82" s="634"/>
      <c r="BH82" s="634"/>
      <c r="BJ82" s="634"/>
      <c r="BK82" s="634"/>
      <c r="BL82" s="634"/>
      <c r="BN82" s="634"/>
      <c r="BO82" s="634"/>
      <c r="BP82" s="634"/>
      <c r="BQ82" s="634"/>
      <c r="BR82" s="634"/>
      <c r="BT82" s="634"/>
      <c r="BU82" s="634"/>
      <c r="BV82" s="634"/>
      <c r="BX82" s="634"/>
      <c r="BY82" s="634"/>
      <c r="BZ82" s="634"/>
      <c r="CB82" s="634"/>
      <c r="CC82" s="634"/>
      <c r="CD82" s="634"/>
      <c r="CF82" s="634"/>
      <c r="CG82" s="634"/>
      <c r="CH82" s="634"/>
      <c r="CJ82" s="634"/>
      <c r="CK82" s="634"/>
      <c r="CM82" s="634"/>
      <c r="CO82" s="634"/>
      <c r="CP82" s="634"/>
      <c r="CQ82" s="634"/>
      <c r="CS82" s="634"/>
      <c r="CT82" s="634"/>
      <c r="CU82" s="634"/>
      <c r="CW82" s="634"/>
      <c r="CX82" s="634"/>
      <c r="CY82" s="634"/>
      <c r="DA82" s="634"/>
      <c r="DB82" s="634"/>
      <c r="DC82" s="634"/>
      <c r="DD82" s="634"/>
      <c r="DE82" s="634"/>
      <c r="DF82" s="634"/>
      <c r="DH82" s="634"/>
      <c r="DI82" s="634"/>
      <c r="DJ82" s="634"/>
      <c r="DL82" s="634"/>
      <c r="DM82" s="634"/>
      <c r="DN82" s="634"/>
      <c r="DO82" s="634"/>
      <c r="DP82" s="634"/>
      <c r="DR82" s="634"/>
      <c r="DS82" s="634"/>
      <c r="DT82" s="634"/>
      <c r="DV82" s="634"/>
      <c r="DW82" s="634"/>
      <c r="DX82" s="634"/>
      <c r="DZ82" s="634"/>
      <c r="EA82" s="634"/>
      <c r="EB82" s="634"/>
      <c r="ED82" s="634"/>
      <c r="EE82" s="634"/>
      <c r="EF82" s="634"/>
      <c r="EH82" s="634"/>
      <c r="EI82" s="634"/>
      <c r="EJ82" s="634"/>
      <c r="EK82" s="634"/>
      <c r="EL82" s="634"/>
      <c r="EN82" s="634"/>
      <c r="EO82" s="634"/>
      <c r="EP82" s="634"/>
      <c r="ER82" s="634"/>
      <c r="ES82" s="634"/>
      <c r="ET82" s="634"/>
      <c r="EV82" s="634"/>
      <c r="EW82" s="634"/>
      <c r="EY82" s="634"/>
      <c r="EZ82" s="634"/>
      <c r="FA82" s="634"/>
      <c r="FB82" s="634"/>
      <c r="FC82" s="634"/>
      <c r="FD82" s="634"/>
      <c r="FE82" s="634"/>
      <c r="FF82" s="634"/>
      <c r="FG82" s="634"/>
      <c r="FH82" s="634"/>
      <c r="FI82" s="634"/>
      <c r="FJ82" s="634"/>
      <c r="FK82" s="634"/>
      <c r="FL82" s="634"/>
      <c r="FM82" s="634"/>
      <c r="FN82" s="634"/>
      <c r="FO82" s="634"/>
      <c r="FP82" s="634"/>
      <c r="FQ82" s="634"/>
      <c r="FS82" s="634"/>
      <c r="FT82" s="634"/>
      <c r="FU82" s="634"/>
      <c r="FV82" s="634"/>
      <c r="FW82" s="634"/>
      <c r="FX82" s="634"/>
      <c r="FY82" s="634"/>
      <c r="FZ82" s="634"/>
    </row>
    <row r="83" spans="1:182">
      <c r="A83" s="576"/>
      <c r="B83" s="544"/>
      <c r="C83" s="544"/>
      <c r="D83" s="544"/>
      <c r="E83" s="544"/>
      <c r="F83" s="544"/>
      <c r="G83" s="576"/>
      <c r="H83" s="581"/>
      <c r="I83" s="581"/>
      <c r="J83" s="670"/>
      <c r="K83" s="634"/>
      <c r="L83" s="634"/>
      <c r="M83" s="634"/>
      <c r="N83" s="634"/>
      <c r="O83" s="634"/>
      <c r="P83" s="634"/>
      <c r="Q83" s="634"/>
      <c r="R83" s="634"/>
      <c r="S83" s="634"/>
      <c r="T83" s="634"/>
      <c r="U83" s="634"/>
      <c r="V83" s="634"/>
      <c r="W83" s="634"/>
      <c r="X83" s="634"/>
      <c r="Y83" s="634"/>
      <c r="Z83" s="634"/>
      <c r="AA83" s="634"/>
      <c r="AB83" s="634"/>
      <c r="AD83" s="634"/>
      <c r="AE83" s="634"/>
      <c r="AG83" s="634"/>
      <c r="AI83" s="634"/>
      <c r="AJ83" s="634"/>
      <c r="AK83" s="634"/>
      <c r="AM83" s="634"/>
      <c r="AN83" s="634"/>
      <c r="AO83" s="634"/>
      <c r="AQ83" s="634"/>
      <c r="AR83" s="634"/>
      <c r="AS83" s="634"/>
      <c r="AT83" s="634"/>
      <c r="AU83" s="634"/>
      <c r="AV83" s="634"/>
      <c r="AX83" s="634"/>
      <c r="AY83" s="634"/>
      <c r="AZ83" s="634"/>
      <c r="BB83" s="634"/>
      <c r="BC83" s="634"/>
      <c r="BD83" s="634"/>
      <c r="BF83" s="634"/>
      <c r="BG83" s="634"/>
      <c r="BH83" s="634"/>
      <c r="BJ83" s="634"/>
      <c r="BK83" s="634"/>
      <c r="BL83" s="634"/>
      <c r="BN83" s="634"/>
      <c r="BO83" s="634"/>
      <c r="BP83" s="634"/>
      <c r="BQ83" s="634"/>
      <c r="BR83" s="634"/>
      <c r="BT83" s="634"/>
      <c r="BU83" s="634"/>
      <c r="BV83" s="634"/>
      <c r="BX83" s="634"/>
      <c r="BY83" s="634"/>
      <c r="BZ83" s="634"/>
      <c r="CB83" s="634"/>
      <c r="CC83" s="634"/>
      <c r="CD83" s="634"/>
      <c r="CF83" s="634"/>
      <c r="CG83" s="634"/>
      <c r="CH83" s="634"/>
      <c r="CJ83" s="634"/>
      <c r="CK83" s="634"/>
      <c r="CM83" s="634"/>
      <c r="CO83" s="634"/>
      <c r="CP83" s="634"/>
      <c r="CQ83" s="634"/>
      <c r="CS83" s="634"/>
      <c r="CT83" s="634"/>
      <c r="CU83" s="634"/>
      <c r="CW83" s="634"/>
      <c r="CX83" s="634"/>
      <c r="CY83" s="634"/>
      <c r="DA83" s="634"/>
      <c r="DB83" s="634"/>
      <c r="DC83" s="634"/>
      <c r="DD83" s="634"/>
      <c r="DE83" s="634"/>
      <c r="DF83" s="634"/>
      <c r="DH83" s="634"/>
      <c r="DI83" s="634"/>
      <c r="DJ83" s="634"/>
      <c r="DL83" s="634"/>
      <c r="DM83" s="634"/>
      <c r="DN83" s="634"/>
      <c r="DO83" s="634"/>
      <c r="DP83" s="634"/>
      <c r="DR83" s="634"/>
      <c r="DS83" s="634"/>
      <c r="DT83" s="634"/>
      <c r="DV83" s="634"/>
      <c r="DW83" s="634"/>
      <c r="DX83" s="634"/>
      <c r="DZ83" s="634"/>
      <c r="EA83" s="634"/>
      <c r="EB83" s="634"/>
      <c r="ED83" s="634"/>
      <c r="EE83" s="634"/>
      <c r="EF83" s="634"/>
      <c r="EH83" s="634"/>
      <c r="EI83" s="634"/>
      <c r="EJ83" s="634"/>
      <c r="EK83" s="634"/>
      <c r="EL83" s="634"/>
      <c r="EN83" s="634"/>
      <c r="EO83" s="634"/>
      <c r="EP83" s="634"/>
      <c r="ER83" s="634"/>
      <c r="ES83" s="634"/>
      <c r="ET83" s="634"/>
      <c r="EV83" s="634"/>
      <c r="EW83" s="634"/>
      <c r="EY83" s="634"/>
      <c r="EZ83" s="634"/>
      <c r="FA83" s="634"/>
      <c r="FB83" s="634"/>
      <c r="FC83" s="634"/>
      <c r="FD83" s="634"/>
      <c r="FE83" s="634"/>
      <c r="FF83" s="634"/>
      <c r="FG83" s="634"/>
      <c r="FH83" s="634"/>
      <c r="FI83" s="634"/>
      <c r="FJ83" s="634"/>
      <c r="FK83" s="634"/>
      <c r="FL83" s="634"/>
      <c r="FM83" s="634"/>
      <c r="FN83" s="634"/>
      <c r="FO83" s="634"/>
      <c r="FP83" s="634"/>
      <c r="FQ83" s="634"/>
      <c r="FS83" s="634"/>
      <c r="FT83" s="634"/>
      <c r="FU83" s="634"/>
      <c r="FV83" s="634"/>
      <c r="FW83" s="634"/>
      <c r="FX83" s="634"/>
      <c r="FY83" s="634"/>
      <c r="FZ83" s="634"/>
    </row>
    <row r="84" spans="1:182">
      <c r="A84" s="544"/>
      <c r="B84" s="644"/>
      <c r="C84" s="645"/>
      <c r="D84" s="634"/>
      <c r="E84" s="634"/>
      <c r="F84" s="634"/>
      <c r="G84" s="544"/>
      <c r="H84" s="634"/>
      <c r="I84" s="634"/>
      <c r="J84" s="671"/>
      <c r="K84" s="634"/>
      <c r="L84" s="634"/>
      <c r="M84" s="634"/>
      <c r="N84" s="634"/>
      <c r="O84" s="634"/>
      <c r="P84" s="634"/>
      <c r="Q84" s="634"/>
      <c r="R84" s="634"/>
      <c r="S84" s="634"/>
      <c r="T84" s="634"/>
      <c r="U84" s="634"/>
      <c r="V84" s="634"/>
      <c r="W84" s="634"/>
      <c r="X84" s="634"/>
      <c r="Y84" s="634"/>
      <c r="Z84" s="634"/>
      <c r="AA84" s="634"/>
      <c r="AB84" s="634"/>
      <c r="AD84" s="634"/>
      <c r="AE84" s="634"/>
      <c r="AG84" s="634"/>
      <c r="AI84" s="634"/>
      <c r="AJ84" s="634"/>
      <c r="AK84" s="634"/>
      <c r="AM84" s="634"/>
      <c r="AN84" s="634"/>
      <c r="AO84" s="634"/>
      <c r="AQ84" s="634"/>
      <c r="AR84" s="634"/>
      <c r="AS84" s="634"/>
      <c r="AT84" s="634"/>
      <c r="AU84" s="634"/>
      <c r="AV84" s="634"/>
      <c r="AX84" s="634"/>
      <c r="AY84" s="634"/>
      <c r="AZ84" s="634"/>
      <c r="BB84" s="634"/>
      <c r="BC84" s="634"/>
      <c r="BD84" s="634"/>
      <c r="BF84" s="634"/>
      <c r="BG84" s="634"/>
      <c r="BH84" s="634"/>
      <c r="BJ84" s="634"/>
      <c r="BK84" s="634"/>
      <c r="BL84" s="634"/>
      <c r="BN84" s="634"/>
      <c r="BO84" s="634"/>
      <c r="BP84" s="634"/>
      <c r="BQ84" s="634"/>
      <c r="BR84" s="634"/>
      <c r="BT84" s="634"/>
      <c r="BU84" s="634"/>
      <c r="BV84" s="634"/>
      <c r="BX84" s="634"/>
      <c r="BY84" s="634"/>
      <c r="BZ84" s="634"/>
      <c r="CB84" s="634"/>
      <c r="CC84" s="634"/>
      <c r="CD84" s="634"/>
      <c r="CF84" s="634"/>
      <c r="CG84" s="634"/>
      <c r="CH84" s="634"/>
      <c r="CJ84" s="634"/>
      <c r="CK84" s="634"/>
      <c r="CM84" s="634"/>
      <c r="CO84" s="634"/>
      <c r="CP84" s="634"/>
      <c r="CQ84" s="634"/>
      <c r="CS84" s="634"/>
      <c r="CT84" s="634"/>
      <c r="CU84" s="634"/>
      <c r="CW84" s="634"/>
      <c r="CX84" s="634"/>
      <c r="CY84" s="634"/>
      <c r="DA84" s="634"/>
      <c r="DB84" s="634"/>
      <c r="DC84" s="634"/>
      <c r="DD84" s="634"/>
      <c r="DE84" s="634"/>
      <c r="DF84" s="634"/>
      <c r="DH84" s="634"/>
      <c r="DI84" s="634"/>
      <c r="DJ84" s="634"/>
      <c r="DL84" s="634"/>
      <c r="DM84" s="634"/>
      <c r="DN84" s="634"/>
      <c r="DO84" s="634"/>
      <c r="DP84" s="634"/>
      <c r="DR84" s="634"/>
      <c r="DS84" s="634"/>
      <c r="DT84" s="634"/>
      <c r="DV84" s="634"/>
      <c r="DW84" s="634"/>
      <c r="DX84" s="634"/>
      <c r="DZ84" s="634"/>
      <c r="EA84" s="634"/>
      <c r="EB84" s="634"/>
      <c r="ED84" s="634"/>
      <c r="EE84" s="634"/>
      <c r="EF84" s="634"/>
      <c r="EH84" s="634"/>
      <c r="EI84" s="634"/>
      <c r="EJ84" s="634"/>
      <c r="EK84" s="634"/>
      <c r="EL84" s="634"/>
      <c r="EN84" s="634"/>
      <c r="EO84" s="634"/>
      <c r="EP84" s="634"/>
      <c r="ER84" s="634"/>
      <c r="ES84" s="634"/>
      <c r="ET84" s="634"/>
      <c r="EV84" s="634"/>
      <c r="EW84" s="634"/>
      <c r="EY84" s="634"/>
      <c r="EZ84" s="634"/>
      <c r="FA84" s="634"/>
      <c r="FB84" s="634"/>
      <c r="FC84" s="634"/>
      <c r="FD84" s="634"/>
      <c r="FE84" s="634"/>
      <c r="FF84" s="634"/>
      <c r="FG84" s="634"/>
      <c r="FH84" s="634"/>
      <c r="FI84" s="634"/>
      <c r="FJ84" s="634"/>
      <c r="FK84" s="634"/>
      <c r="FL84" s="634"/>
      <c r="FM84" s="634"/>
      <c r="FN84" s="634"/>
      <c r="FO84" s="634"/>
      <c r="FP84" s="634"/>
      <c r="FQ84" s="634"/>
      <c r="FS84" s="634"/>
      <c r="FT84" s="634"/>
      <c r="FU84" s="634"/>
      <c r="FV84" s="634"/>
      <c r="FW84" s="634"/>
      <c r="FX84" s="634"/>
      <c r="FY84" s="634"/>
      <c r="FZ84" s="634"/>
    </row>
    <row r="85" spans="1:182">
      <c r="A85" s="544"/>
      <c r="B85" s="644"/>
      <c r="C85" s="645"/>
      <c r="D85" s="634"/>
      <c r="E85" s="634"/>
      <c r="F85" s="634"/>
      <c r="G85" s="544"/>
      <c r="H85" s="634"/>
      <c r="I85" s="634"/>
      <c r="J85" s="671"/>
      <c r="K85" s="634"/>
      <c r="L85" s="634"/>
      <c r="M85" s="634"/>
      <c r="N85" s="634"/>
      <c r="O85" s="634"/>
      <c r="P85" s="634"/>
      <c r="Q85" s="634"/>
      <c r="R85" s="634"/>
      <c r="S85" s="634"/>
      <c r="T85" s="634"/>
      <c r="U85" s="634"/>
      <c r="V85" s="634"/>
      <c r="W85" s="634"/>
      <c r="X85" s="634"/>
      <c r="Y85" s="634"/>
      <c r="Z85" s="634"/>
      <c r="AA85" s="634"/>
      <c r="AB85" s="634"/>
      <c r="AD85" s="634"/>
      <c r="AE85" s="634"/>
      <c r="AG85" s="634"/>
      <c r="AI85" s="634"/>
      <c r="AJ85" s="634"/>
      <c r="AK85" s="634"/>
      <c r="AM85" s="634"/>
      <c r="AN85" s="634"/>
      <c r="AO85" s="634"/>
      <c r="AQ85" s="634"/>
      <c r="AR85" s="634"/>
      <c r="AS85" s="634"/>
      <c r="AT85" s="634"/>
      <c r="AU85" s="634"/>
      <c r="AV85" s="634"/>
      <c r="AX85" s="634"/>
      <c r="AY85" s="634"/>
      <c r="AZ85" s="634"/>
      <c r="BB85" s="634"/>
      <c r="BC85" s="634"/>
      <c r="BD85" s="634"/>
      <c r="BF85" s="634"/>
      <c r="BG85" s="634"/>
      <c r="BH85" s="634"/>
      <c r="BJ85" s="634"/>
      <c r="BK85" s="634"/>
      <c r="BL85" s="634"/>
      <c r="BN85" s="634"/>
      <c r="BO85" s="634"/>
      <c r="BP85" s="634"/>
      <c r="BQ85" s="634"/>
      <c r="BR85" s="634"/>
      <c r="BT85" s="634"/>
      <c r="BU85" s="634"/>
      <c r="BV85" s="634"/>
      <c r="BX85" s="634"/>
      <c r="BY85" s="634"/>
      <c r="BZ85" s="634"/>
      <c r="CB85" s="634"/>
      <c r="CC85" s="634"/>
      <c r="CD85" s="634"/>
      <c r="CF85" s="634"/>
      <c r="CG85" s="634"/>
      <c r="CH85" s="634"/>
      <c r="CJ85" s="634"/>
      <c r="CK85" s="634"/>
      <c r="CM85" s="634"/>
      <c r="CO85" s="634"/>
      <c r="CP85" s="634"/>
      <c r="CQ85" s="634"/>
      <c r="CS85" s="634"/>
      <c r="CT85" s="634"/>
      <c r="CU85" s="634"/>
      <c r="CW85" s="634"/>
      <c r="CX85" s="634"/>
      <c r="CY85" s="634"/>
      <c r="DA85" s="634"/>
      <c r="DB85" s="634"/>
      <c r="DC85" s="634"/>
      <c r="DD85" s="634"/>
      <c r="DE85" s="634"/>
      <c r="DF85" s="634"/>
      <c r="DH85" s="634"/>
      <c r="DI85" s="634"/>
      <c r="DJ85" s="634"/>
      <c r="DL85" s="634"/>
      <c r="DM85" s="634"/>
      <c r="DN85" s="634"/>
      <c r="DO85" s="634"/>
      <c r="DP85" s="634"/>
      <c r="DR85" s="634"/>
      <c r="DS85" s="634"/>
      <c r="DT85" s="634"/>
      <c r="DV85" s="634"/>
      <c r="DW85" s="634"/>
      <c r="DX85" s="634"/>
      <c r="DZ85" s="634"/>
      <c r="EA85" s="634"/>
      <c r="EB85" s="634"/>
      <c r="ED85" s="634"/>
      <c r="EE85" s="634"/>
      <c r="EF85" s="634"/>
      <c r="EH85" s="634"/>
      <c r="EI85" s="634"/>
      <c r="EJ85" s="634"/>
      <c r="EK85" s="634"/>
      <c r="EL85" s="634"/>
      <c r="EN85" s="634"/>
      <c r="EO85" s="634"/>
      <c r="EP85" s="634"/>
      <c r="ER85" s="634"/>
      <c r="ES85" s="634"/>
      <c r="ET85" s="634"/>
      <c r="EV85" s="634"/>
      <c r="EW85" s="634"/>
      <c r="EY85" s="634"/>
      <c r="EZ85" s="634"/>
      <c r="FA85" s="634"/>
      <c r="FB85" s="634"/>
      <c r="FC85" s="634"/>
      <c r="FD85" s="634"/>
      <c r="FE85" s="634"/>
      <c r="FF85" s="634"/>
      <c r="FG85" s="634"/>
      <c r="FH85" s="634"/>
      <c r="FI85" s="634"/>
      <c r="FJ85" s="634"/>
      <c r="FK85" s="634"/>
      <c r="FL85" s="634"/>
      <c r="FM85" s="634"/>
      <c r="FN85" s="634"/>
      <c r="FO85" s="634"/>
      <c r="FP85" s="634"/>
      <c r="FQ85" s="634"/>
      <c r="FS85" s="634"/>
      <c r="FT85" s="634"/>
      <c r="FU85" s="634"/>
      <c r="FV85" s="634"/>
      <c r="FW85" s="634"/>
      <c r="FX85" s="634"/>
      <c r="FY85" s="634"/>
      <c r="FZ85" s="634"/>
    </row>
    <row r="86" ht="28.5" spans="1:182">
      <c r="A86" s="544"/>
      <c r="B86" s="646" t="s">
        <v>102</v>
      </c>
      <c r="C86" s="647" t="s">
        <v>14</v>
      </c>
      <c r="D86" s="648" t="s">
        <v>559</v>
      </c>
      <c r="E86" s="649" t="s">
        <v>560</v>
      </c>
      <c r="F86" s="650" t="s">
        <v>561</v>
      </c>
      <c r="G86" s="651" t="s">
        <v>562</v>
      </c>
      <c r="H86" s="652" t="s">
        <v>563</v>
      </c>
      <c r="I86" s="652" t="s">
        <v>564</v>
      </c>
      <c r="J86" s="672" t="s">
        <v>565</v>
      </c>
      <c r="K86" s="650" t="s">
        <v>561</v>
      </c>
      <c r="L86" s="646" t="s">
        <v>102</v>
      </c>
      <c r="M86" s="575" t="s">
        <v>566</v>
      </c>
      <c r="N86" s="634"/>
      <c r="O86" s="634"/>
      <c r="P86" s="634"/>
      <c r="Q86" s="634"/>
      <c r="R86" s="634"/>
      <c r="S86" s="634"/>
      <c r="T86" s="634"/>
      <c r="U86" s="634"/>
      <c r="V86" s="634"/>
      <c r="W86" s="634"/>
      <c r="X86" s="634"/>
      <c r="Y86" s="634"/>
      <c r="Z86" s="634"/>
      <c r="AA86" s="634"/>
      <c r="AB86" s="634"/>
      <c r="AD86" s="634"/>
      <c r="AE86" s="634"/>
      <c r="AG86" s="634"/>
      <c r="AI86" s="634"/>
      <c r="AJ86" s="634"/>
      <c r="AK86" s="634"/>
      <c r="AM86" s="634"/>
      <c r="AN86" s="634"/>
      <c r="AO86" s="634"/>
      <c r="AQ86" s="634"/>
      <c r="AR86" s="634"/>
      <c r="AS86" s="634"/>
      <c r="AT86" s="634"/>
      <c r="AU86" s="634"/>
      <c r="AV86" s="634"/>
      <c r="AX86" s="634"/>
      <c r="AY86" s="634"/>
      <c r="AZ86" s="634"/>
      <c r="BB86" s="634"/>
      <c r="BC86" s="634"/>
      <c r="BD86" s="634"/>
      <c r="BF86" s="634"/>
      <c r="BG86" s="634"/>
      <c r="BH86" s="634"/>
      <c r="BJ86" s="634"/>
      <c r="BK86" s="634"/>
      <c r="BL86" s="634"/>
      <c r="BN86" s="634"/>
      <c r="BO86" s="634"/>
      <c r="BP86" s="634"/>
      <c r="BQ86" s="634"/>
      <c r="BR86" s="634"/>
      <c r="BT86" s="634"/>
      <c r="BU86" s="634"/>
      <c r="BV86" s="634"/>
      <c r="BX86" s="634"/>
      <c r="BY86" s="634"/>
      <c r="BZ86" s="634"/>
      <c r="CB86" s="634"/>
      <c r="CC86" s="634"/>
      <c r="CD86" s="634"/>
      <c r="CF86" s="634"/>
      <c r="CG86" s="634"/>
      <c r="CH86" s="634"/>
      <c r="CJ86" s="634"/>
      <c r="CK86" s="634"/>
      <c r="CM86" s="634"/>
      <c r="CO86" s="634"/>
      <c r="CP86" s="634"/>
      <c r="CQ86" s="634"/>
      <c r="CS86" s="634"/>
      <c r="CT86" s="634"/>
      <c r="CU86" s="634"/>
      <c r="CW86" s="634"/>
      <c r="CX86" s="634"/>
      <c r="CY86" s="634"/>
      <c r="DA86" s="634"/>
      <c r="DB86" s="634"/>
      <c r="DC86" s="634"/>
      <c r="DD86" s="634"/>
      <c r="DE86" s="634"/>
      <c r="DF86" s="634"/>
      <c r="DH86" s="634"/>
      <c r="DI86" s="634"/>
      <c r="DJ86" s="634"/>
      <c r="DL86" s="634"/>
      <c r="DM86" s="634"/>
      <c r="DN86" s="634"/>
      <c r="DO86" s="634"/>
      <c r="DP86" s="634"/>
      <c r="DR86" s="634"/>
      <c r="DS86" s="634"/>
      <c r="DT86" s="634"/>
      <c r="DV86" s="634"/>
      <c r="DW86" s="634"/>
      <c r="DX86" s="634"/>
      <c r="DZ86" s="634"/>
      <c r="EA86" s="634"/>
      <c r="EB86" s="634"/>
      <c r="ED86" s="634"/>
      <c r="EE86" s="634"/>
      <c r="EF86" s="634"/>
      <c r="EH86" s="634"/>
      <c r="EI86" s="634"/>
      <c r="EJ86" s="634"/>
      <c r="EK86" s="634"/>
      <c r="EL86" s="634"/>
      <c r="EN86" s="634"/>
      <c r="EO86" s="634"/>
      <c r="EP86" s="634"/>
      <c r="ER86" s="634"/>
      <c r="ES86" s="634"/>
      <c r="ET86" s="634"/>
      <c r="EV86" s="634"/>
      <c r="EW86" s="634"/>
      <c r="EY86" s="634"/>
      <c r="EZ86" s="634"/>
      <c r="FA86" s="634"/>
      <c r="FB86" s="634"/>
      <c r="FC86" s="634"/>
      <c r="FD86" s="634"/>
      <c r="FE86" s="634"/>
      <c r="FF86" s="634"/>
      <c r="FG86" s="634"/>
      <c r="FH86" s="634"/>
      <c r="FI86" s="634"/>
      <c r="FJ86" s="634"/>
      <c r="FK86" s="634"/>
      <c r="FL86" s="634"/>
      <c r="FM86" s="634"/>
      <c r="FN86" s="634"/>
      <c r="FO86" s="634"/>
      <c r="FP86" s="634"/>
      <c r="FQ86" s="634"/>
      <c r="FS86" s="634"/>
      <c r="FT86" s="634"/>
      <c r="FU86" s="634"/>
      <c r="FV86" s="634"/>
      <c r="FW86" s="634"/>
      <c r="FX86" s="634"/>
      <c r="FY86" s="634"/>
      <c r="FZ86" s="634"/>
    </row>
    <row r="87" ht="15.75" spans="1:182">
      <c r="A87" s="544"/>
      <c r="B87" s="653">
        <v>0.3</v>
      </c>
      <c r="C87" s="654">
        <v>1</v>
      </c>
      <c r="D87" s="655">
        <f t="shared" ref="D87:D101" si="0">(4*B87/PI()/C87)^(1/2)*100</f>
        <v>61.8038723237103</v>
      </c>
      <c r="E87" s="2">
        <f>TA!F12</f>
        <v>56.418892388858</v>
      </c>
      <c r="F87" s="650">
        <f>PI()*E87*E87/10000/4*C87</f>
        <v>0.249999415392618</v>
      </c>
      <c r="G87" s="656">
        <f>TA!AA12</f>
        <v>1</v>
      </c>
      <c r="H87" s="575">
        <f>TA!EU12/TA!EG12</f>
        <v>0.00221138232882617</v>
      </c>
      <c r="I87" s="575">
        <f>H87/0.995</f>
        <v>0.00222249480284037</v>
      </c>
      <c r="J87" s="672">
        <f>POWER(I87*4/(C87*各项系数!$F$5*PI())*10000000,0.5)</f>
        <v>56.418892388858</v>
      </c>
      <c r="K87" s="650">
        <f t="shared" ref="K87:K110" si="1">PI()*J87*J87/10000/4*C87</f>
        <v>0.249999415392618</v>
      </c>
      <c r="L87" s="653">
        <v>0.3</v>
      </c>
      <c r="M87" s="575">
        <f t="shared" ref="M87:M110" si="2">K87-L87</f>
        <v>-0.0500005846073821</v>
      </c>
      <c r="N87" s="634"/>
      <c r="O87" s="634"/>
      <c r="P87" s="634"/>
      <c r="Q87" s="634"/>
      <c r="R87" s="634"/>
      <c r="S87" s="634"/>
      <c r="T87" s="634"/>
      <c r="U87" s="634"/>
      <c r="V87" s="634"/>
      <c r="W87" s="634"/>
      <c r="X87" s="634"/>
      <c r="Y87" s="634"/>
      <c r="Z87" s="634"/>
      <c r="AA87" s="634"/>
      <c r="AB87" s="634"/>
      <c r="AD87" s="634"/>
      <c r="AE87" s="634"/>
      <c r="AG87" s="634"/>
      <c r="AI87" s="634"/>
      <c r="AJ87" s="634"/>
      <c r="AK87" s="634"/>
      <c r="AM87" s="634"/>
      <c r="AN87" s="634"/>
      <c r="AO87" s="634"/>
      <c r="AQ87" s="634"/>
      <c r="AR87" s="634"/>
      <c r="AS87" s="634"/>
      <c r="AT87" s="634"/>
      <c r="AU87" s="634"/>
      <c r="AV87" s="634"/>
      <c r="AX87" s="634"/>
      <c r="AY87" s="634"/>
      <c r="AZ87" s="634"/>
      <c r="BB87" s="634"/>
      <c r="BC87" s="634"/>
      <c r="BD87" s="634"/>
      <c r="BF87" s="634"/>
      <c r="BG87" s="634"/>
      <c r="BH87" s="634"/>
      <c r="BJ87" s="634"/>
      <c r="BK87" s="634"/>
      <c r="BL87" s="634"/>
      <c r="BN87" s="634"/>
      <c r="BO87" s="634"/>
      <c r="BP87" s="634"/>
      <c r="BQ87" s="634"/>
      <c r="BR87" s="634"/>
      <c r="BT87" s="634"/>
      <c r="BU87" s="634"/>
      <c r="BV87" s="634"/>
      <c r="BX87" s="634"/>
      <c r="BY87" s="634"/>
      <c r="BZ87" s="634"/>
      <c r="CB87" s="634"/>
      <c r="CC87" s="634"/>
      <c r="CD87" s="634"/>
      <c r="CF87" s="634"/>
      <c r="CG87" s="634"/>
      <c r="CH87" s="634"/>
      <c r="CJ87" s="634"/>
      <c r="CK87" s="634"/>
      <c r="CM87" s="634"/>
      <c r="CO87" s="634"/>
      <c r="CP87" s="634"/>
      <c r="CQ87" s="634"/>
      <c r="CS87" s="634"/>
      <c r="CT87" s="634"/>
      <c r="CU87" s="634"/>
      <c r="CW87" s="634"/>
      <c r="CX87" s="634"/>
      <c r="CY87" s="634"/>
      <c r="DA87" s="634"/>
      <c r="DB87" s="634"/>
      <c r="DC87" s="634"/>
      <c r="DD87" s="634"/>
      <c r="DE87" s="634"/>
      <c r="DF87" s="634"/>
      <c r="DH87" s="634"/>
      <c r="DI87" s="634"/>
      <c r="DJ87" s="634"/>
      <c r="DL87" s="634"/>
      <c r="DM87" s="634"/>
      <c r="DN87" s="634"/>
      <c r="DO87" s="634"/>
      <c r="DP87" s="634"/>
      <c r="DR87" s="634"/>
      <c r="DS87" s="634"/>
      <c r="DT87" s="634"/>
      <c r="DV87" s="634"/>
      <c r="DW87" s="634"/>
      <c r="DX87" s="634"/>
      <c r="DZ87" s="634"/>
      <c r="EA87" s="634"/>
      <c r="EB87" s="634"/>
      <c r="ED87" s="634"/>
      <c r="EE87" s="634"/>
      <c r="EF87" s="634"/>
      <c r="EH87" s="634"/>
      <c r="EI87" s="634"/>
      <c r="EJ87" s="634"/>
      <c r="EK87" s="634"/>
      <c r="EL87" s="634"/>
      <c r="EN87" s="634"/>
      <c r="EO87" s="634"/>
      <c r="EP87" s="634"/>
      <c r="ER87" s="634"/>
      <c r="ES87" s="634"/>
      <c r="ET87" s="634"/>
      <c r="EV87" s="634"/>
      <c r="EW87" s="634"/>
      <c r="EY87" s="634"/>
      <c r="EZ87" s="634"/>
      <c r="FA87" s="634"/>
      <c r="FB87" s="634"/>
      <c r="FC87" s="634"/>
      <c r="FD87" s="634"/>
      <c r="FE87" s="634"/>
      <c r="FF87" s="634"/>
      <c r="FG87" s="634"/>
      <c r="FH87" s="634"/>
      <c r="FI87" s="634"/>
      <c r="FJ87" s="634"/>
      <c r="FK87" s="634"/>
      <c r="FL87" s="634"/>
      <c r="FM87" s="634"/>
      <c r="FN87" s="634"/>
      <c r="FO87" s="634"/>
      <c r="FP87" s="634"/>
      <c r="FQ87" s="634"/>
      <c r="FS87" s="634"/>
      <c r="FT87" s="634"/>
      <c r="FU87" s="634"/>
      <c r="FV87" s="634"/>
      <c r="FW87" s="634"/>
      <c r="FX87" s="634"/>
      <c r="FY87" s="634"/>
      <c r="FZ87" s="634"/>
    </row>
    <row r="88" ht="15.75" spans="1:182">
      <c r="A88" s="544"/>
      <c r="B88" s="653">
        <v>0.5</v>
      </c>
      <c r="C88" s="654">
        <v>1</v>
      </c>
      <c r="D88" s="655">
        <f t="shared" si="0"/>
        <v>79.7884560802865</v>
      </c>
      <c r="E88" s="2">
        <f>TA!F13</f>
        <v>78.2215383368643</v>
      </c>
      <c r="F88" s="650">
        <f t="shared" ref="F88:F110" si="3">PI()*E88*E88/10000/4*C88</f>
        <v>0.480554431810254</v>
      </c>
      <c r="G88" s="656">
        <f>TA!AA13</f>
        <v>1</v>
      </c>
      <c r="H88" s="575">
        <f>TA!EU13/TA!EG13</f>
        <v>0.00425076825429919</v>
      </c>
      <c r="I88" s="575">
        <f t="shared" ref="I88:I110" si="4">H88/0.995</f>
        <v>0.00427212889879316</v>
      </c>
      <c r="J88" s="672">
        <f>POWER(I88*4/(C88*各项系数!$F$5*PI())*10000000,0.5)</f>
        <v>78.2215383368643</v>
      </c>
      <c r="K88" s="650">
        <f t="shared" si="1"/>
        <v>0.480554431810254</v>
      </c>
      <c r="L88" s="653">
        <v>0.5</v>
      </c>
      <c r="M88" s="575">
        <f t="shared" si="2"/>
        <v>-0.0194455681897461</v>
      </c>
      <c r="N88" s="634"/>
      <c r="O88" s="634"/>
      <c r="P88" s="634"/>
      <c r="Q88" s="634"/>
      <c r="R88" s="634"/>
      <c r="S88" s="634"/>
      <c r="T88" s="634"/>
      <c r="U88" s="634"/>
      <c r="V88" s="634"/>
      <c r="W88" s="634"/>
      <c r="X88" s="634"/>
      <c r="Y88" s="634"/>
      <c r="Z88" s="634"/>
      <c r="AA88" s="634"/>
      <c r="AB88" s="634"/>
      <c r="AD88" s="634"/>
      <c r="AE88" s="634"/>
      <c r="AG88" s="634"/>
      <c r="AI88" s="634"/>
      <c r="AJ88" s="634"/>
      <c r="AK88" s="634"/>
      <c r="AM88" s="634"/>
      <c r="AN88" s="634"/>
      <c r="AO88" s="634"/>
      <c r="AQ88" s="634"/>
      <c r="AR88" s="634"/>
      <c r="AS88" s="634"/>
      <c r="AT88" s="634"/>
      <c r="AU88" s="634"/>
      <c r="AV88" s="634"/>
      <c r="AX88" s="634"/>
      <c r="AY88" s="634"/>
      <c r="AZ88" s="634"/>
      <c r="BB88" s="634"/>
      <c r="BC88" s="634"/>
      <c r="BD88" s="634"/>
      <c r="BF88" s="634"/>
      <c r="BG88" s="634"/>
      <c r="BH88" s="634"/>
      <c r="BJ88" s="634"/>
      <c r="BK88" s="634"/>
      <c r="BL88" s="634"/>
      <c r="BN88" s="634"/>
      <c r="BO88" s="634"/>
      <c r="BP88" s="634"/>
      <c r="BQ88" s="634"/>
      <c r="BR88" s="634"/>
      <c r="BT88" s="634"/>
      <c r="BU88" s="634"/>
      <c r="BV88" s="634"/>
      <c r="BX88" s="634"/>
      <c r="BY88" s="634"/>
      <c r="BZ88" s="634"/>
      <c r="CB88" s="634"/>
      <c r="CC88" s="634"/>
      <c r="CD88" s="634"/>
      <c r="CF88" s="634"/>
      <c r="CG88" s="634"/>
      <c r="CH88" s="634"/>
      <c r="CJ88" s="634"/>
      <c r="CK88" s="634"/>
      <c r="CM88" s="634"/>
      <c r="CO88" s="634"/>
      <c r="CP88" s="634"/>
      <c r="CQ88" s="634"/>
      <c r="CS88" s="634"/>
      <c r="CT88" s="634"/>
      <c r="CU88" s="634"/>
      <c r="CW88" s="634"/>
      <c r="CX88" s="634"/>
      <c r="CY88" s="634"/>
      <c r="DA88" s="634"/>
      <c r="DB88" s="634"/>
      <c r="DC88" s="634"/>
      <c r="DD88" s="634"/>
      <c r="DE88" s="634"/>
      <c r="DF88" s="634"/>
      <c r="DH88" s="634"/>
      <c r="DI88" s="634"/>
      <c r="DJ88" s="634"/>
      <c r="DL88" s="634"/>
      <c r="DM88" s="634"/>
      <c r="DN88" s="634"/>
      <c r="DO88" s="634"/>
      <c r="DP88" s="634"/>
      <c r="DR88" s="634"/>
      <c r="DS88" s="634"/>
      <c r="DT88" s="634"/>
      <c r="DV88" s="634"/>
      <c r="DW88" s="634"/>
      <c r="DX88" s="634"/>
      <c r="DZ88" s="634"/>
      <c r="EA88" s="634"/>
      <c r="EB88" s="634"/>
      <c r="ED88" s="634"/>
      <c r="EE88" s="634"/>
      <c r="EF88" s="634"/>
      <c r="EH88" s="634"/>
      <c r="EI88" s="634"/>
      <c r="EJ88" s="634"/>
      <c r="EK88" s="634"/>
      <c r="EL88" s="634"/>
      <c r="EN88" s="634"/>
      <c r="EO88" s="634"/>
      <c r="EP88" s="634"/>
      <c r="ER88" s="634"/>
      <c r="ES88" s="634"/>
      <c r="ET88" s="634"/>
      <c r="EV88" s="634"/>
      <c r="EW88" s="634"/>
      <c r="EY88" s="634"/>
      <c r="EZ88" s="634"/>
      <c r="FA88" s="634"/>
      <c r="FB88" s="634"/>
      <c r="FC88" s="634"/>
      <c r="FD88" s="634"/>
      <c r="FE88" s="634"/>
      <c r="FF88" s="634"/>
      <c r="FG88" s="634"/>
      <c r="FH88" s="634"/>
      <c r="FI88" s="634"/>
      <c r="FJ88" s="634"/>
      <c r="FK88" s="634"/>
      <c r="FL88" s="634"/>
      <c r="FM88" s="634"/>
      <c r="FN88" s="634"/>
      <c r="FO88" s="634"/>
      <c r="FP88" s="634"/>
      <c r="FQ88" s="634"/>
      <c r="FS88" s="634"/>
      <c r="FT88" s="634"/>
      <c r="FU88" s="634"/>
      <c r="FV88" s="634"/>
      <c r="FW88" s="634"/>
      <c r="FX88" s="634"/>
      <c r="FY88" s="634"/>
      <c r="FZ88" s="634"/>
    </row>
    <row r="89" ht="15.75" spans="1:182">
      <c r="A89" s="544"/>
      <c r="B89" s="653">
        <v>0.75</v>
      </c>
      <c r="C89" s="654">
        <v>1</v>
      </c>
      <c r="D89" s="655">
        <f t="shared" si="0"/>
        <v>97.720502380584</v>
      </c>
      <c r="E89" s="2">
        <f>TA!F14</f>
        <v>94.8188231877261</v>
      </c>
      <c r="F89" s="650">
        <f t="shared" si="3"/>
        <v>0.706120797762006</v>
      </c>
      <c r="G89" s="656">
        <f>TA!AA14</f>
        <v>1</v>
      </c>
      <c r="H89" s="575">
        <f>TA!EU14/TA!EG14</f>
        <v>0.0062460268226437</v>
      </c>
      <c r="I89" s="575">
        <f t="shared" si="4"/>
        <v>0.00627741389210423</v>
      </c>
      <c r="J89" s="672">
        <f>POWER(I89*4/(C89*各项系数!$F$5*PI())*10000000,0.5)</f>
        <v>94.8188231877261</v>
      </c>
      <c r="K89" s="650">
        <f t="shared" si="1"/>
        <v>0.706120797762005</v>
      </c>
      <c r="L89" s="653">
        <v>0.75</v>
      </c>
      <c r="M89" s="575">
        <f t="shared" si="2"/>
        <v>-0.0438792022379947</v>
      </c>
      <c r="N89" s="634"/>
      <c r="O89" s="634"/>
      <c r="P89" s="634"/>
      <c r="Q89" s="634"/>
      <c r="R89" s="634"/>
      <c r="S89" s="634"/>
      <c r="T89" s="634"/>
      <c r="U89" s="634"/>
      <c r="V89" s="634"/>
      <c r="W89" s="634"/>
      <c r="X89" s="634"/>
      <c r="Y89" s="634"/>
      <c r="Z89" s="634"/>
      <c r="AA89" s="634"/>
      <c r="AB89" s="634"/>
      <c r="AD89" s="634"/>
      <c r="AE89" s="634"/>
      <c r="AG89" s="634"/>
      <c r="AI89" s="634"/>
      <c r="AJ89" s="634"/>
      <c r="AK89" s="634"/>
      <c r="AM89" s="634"/>
      <c r="AN89" s="634"/>
      <c r="AO89" s="634"/>
      <c r="AQ89" s="634"/>
      <c r="AR89" s="634"/>
      <c r="AS89" s="634"/>
      <c r="AT89" s="634"/>
      <c r="AU89" s="634"/>
      <c r="AV89" s="634"/>
      <c r="AX89" s="634"/>
      <c r="AY89" s="634"/>
      <c r="AZ89" s="634"/>
      <c r="BB89" s="634"/>
      <c r="BC89" s="634"/>
      <c r="BD89" s="634"/>
      <c r="BF89" s="634"/>
      <c r="BG89" s="634"/>
      <c r="BH89" s="634"/>
      <c r="BJ89" s="634"/>
      <c r="BK89" s="634"/>
      <c r="BL89" s="634"/>
      <c r="BN89" s="634"/>
      <c r="BO89" s="634"/>
      <c r="BP89" s="634"/>
      <c r="BQ89" s="634"/>
      <c r="BR89" s="634"/>
      <c r="BT89" s="634"/>
      <c r="BU89" s="634"/>
      <c r="BV89" s="634"/>
      <c r="BX89" s="634"/>
      <c r="BY89" s="634"/>
      <c r="BZ89" s="634"/>
      <c r="CB89" s="634"/>
      <c r="CC89" s="634"/>
      <c r="CD89" s="634"/>
      <c r="CF89" s="634"/>
      <c r="CG89" s="634"/>
      <c r="CH89" s="634"/>
      <c r="CJ89" s="634"/>
      <c r="CK89" s="634"/>
      <c r="CM89" s="634"/>
      <c r="CO89" s="634"/>
      <c r="CP89" s="634"/>
      <c r="CQ89" s="634"/>
      <c r="CS89" s="634"/>
      <c r="CT89" s="634"/>
      <c r="CU89" s="634"/>
      <c r="CW89" s="634"/>
      <c r="CX89" s="634"/>
      <c r="CY89" s="634"/>
      <c r="DA89" s="634"/>
      <c r="DB89" s="634"/>
      <c r="DC89" s="634"/>
      <c r="DD89" s="634"/>
      <c r="DE89" s="634"/>
      <c r="DF89" s="634"/>
      <c r="DH89" s="634"/>
      <c r="DI89" s="634"/>
      <c r="DJ89" s="634"/>
      <c r="DL89" s="634"/>
      <c r="DM89" s="634"/>
      <c r="DN89" s="634"/>
      <c r="DO89" s="634"/>
      <c r="DP89" s="634"/>
      <c r="DR89" s="634"/>
      <c r="DS89" s="634"/>
      <c r="DT89" s="634"/>
      <c r="DV89" s="634"/>
      <c r="DW89" s="634"/>
      <c r="DX89" s="634"/>
      <c r="DZ89" s="634"/>
      <c r="EA89" s="634"/>
      <c r="EB89" s="634"/>
      <c r="ED89" s="634"/>
      <c r="EE89" s="634"/>
      <c r="EF89" s="634"/>
      <c r="EH89" s="634"/>
      <c r="EI89" s="634"/>
      <c r="EJ89" s="634"/>
      <c r="EK89" s="634"/>
      <c r="EL89" s="634"/>
      <c r="EN89" s="634"/>
      <c r="EO89" s="634"/>
      <c r="EP89" s="634"/>
      <c r="ER89" s="634"/>
      <c r="ES89" s="634"/>
      <c r="ET89" s="634"/>
      <c r="EV89" s="634"/>
      <c r="EW89" s="634"/>
      <c r="EY89" s="634"/>
      <c r="EZ89" s="634"/>
      <c r="FA89" s="634"/>
      <c r="FB89" s="634"/>
      <c r="FC89" s="634"/>
      <c r="FD89" s="634"/>
      <c r="FE89" s="634"/>
      <c r="FF89" s="634"/>
      <c r="FG89" s="634"/>
      <c r="FH89" s="634"/>
      <c r="FI89" s="634"/>
      <c r="FJ89" s="634"/>
      <c r="FK89" s="634"/>
      <c r="FL89" s="634"/>
      <c r="FM89" s="634"/>
      <c r="FN89" s="634"/>
      <c r="FO89" s="634"/>
      <c r="FP89" s="634"/>
      <c r="FQ89" s="634"/>
      <c r="FS89" s="634"/>
      <c r="FT89" s="634"/>
      <c r="FU89" s="634"/>
      <c r="FV89" s="634"/>
      <c r="FW89" s="634"/>
      <c r="FX89" s="634"/>
      <c r="FY89" s="634"/>
      <c r="FZ89" s="634"/>
    </row>
    <row r="90" ht="15.75" spans="1:182">
      <c r="A90" s="544"/>
      <c r="B90" s="653">
        <v>1</v>
      </c>
      <c r="C90" s="654">
        <v>1</v>
      </c>
      <c r="D90" s="655">
        <f t="shared" si="0"/>
        <v>112.837916709551</v>
      </c>
      <c r="E90" s="2">
        <f>TA!F15</f>
        <v>110.31595161029</v>
      </c>
      <c r="F90" s="650">
        <f t="shared" si="3"/>
        <v>0.955798869898842</v>
      </c>
      <c r="G90" s="656">
        <f>TA!AA15</f>
        <v>1</v>
      </c>
      <c r="H90" s="575">
        <f>TA!EU15/TA!EG15</f>
        <v>0.00845456669363369</v>
      </c>
      <c r="I90" s="575">
        <f t="shared" si="4"/>
        <v>0.0084970519534007</v>
      </c>
      <c r="J90" s="672">
        <f>POWER(I90*4/(C90*各项系数!$F$5*PI())*10000000,0.5)</f>
        <v>110.31595161029</v>
      </c>
      <c r="K90" s="650">
        <f t="shared" si="1"/>
        <v>0.955798869898841</v>
      </c>
      <c r="L90" s="653">
        <v>1</v>
      </c>
      <c r="M90" s="575">
        <f t="shared" si="2"/>
        <v>-0.0442011301011591</v>
      </c>
      <c r="N90" s="634"/>
      <c r="O90" s="634"/>
      <c r="P90" s="634"/>
      <c r="Q90" s="634"/>
      <c r="R90" s="634"/>
      <c r="S90" s="634"/>
      <c r="T90" s="634"/>
      <c r="U90" s="634"/>
      <c r="V90" s="634"/>
      <c r="W90" s="634"/>
      <c r="X90" s="634"/>
      <c r="Y90" s="634"/>
      <c r="Z90" s="634"/>
      <c r="AA90" s="634"/>
      <c r="AB90" s="634"/>
      <c r="AD90" s="634"/>
      <c r="AE90" s="634"/>
      <c r="AG90" s="634"/>
      <c r="AI90" s="634"/>
      <c r="AJ90" s="634"/>
      <c r="AK90" s="634"/>
      <c r="AM90" s="634"/>
      <c r="AN90" s="634"/>
      <c r="AO90" s="634"/>
      <c r="AQ90" s="634"/>
      <c r="AR90" s="634"/>
      <c r="AS90" s="634"/>
      <c r="AT90" s="634"/>
      <c r="AU90" s="634"/>
      <c r="AV90" s="634"/>
      <c r="AX90" s="634"/>
      <c r="AY90" s="634"/>
      <c r="AZ90" s="634"/>
      <c r="BB90" s="634"/>
      <c r="BC90" s="634"/>
      <c r="BD90" s="634"/>
      <c r="BF90" s="634"/>
      <c r="BG90" s="634"/>
      <c r="BH90" s="634"/>
      <c r="BJ90" s="634"/>
      <c r="BK90" s="634"/>
      <c r="BL90" s="634"/>
      <c r="BN90" s="634"/>
      <c r="BO90" s="634"/>
      <c r="BP90" s="634"/>
      <c r="BQ90" s="634"/>
      <c r="BR90" s="634"/>
      <c r="BT90" s="634"/>
      <c r="BU90" s="634"/>
      <c r="BV90" s="634"/>
      <c r="BX90" s="634"/>
      <c r="BY90" s="634"/>
      <c r="BZ90" s="634"/>
      <c r="CB90" s="634"/>
      <c r="CC90" s="634"/>
      <c r="CD90" s="634"/>
      <c r="CF90" s="634"/>
      <c r="CG90" s="634"/>
      <c r="CH90" s="634"/>
      <c r="CJ90" s="634"/>
      <c r="CK90" s="634"/>
      <c r="CM90" s="634"/>
      <c r="CO90" s="634"/>
      <c r="CP90" s="634"/>
      <c r="CQ90" s="634"/>
      <c r="CS90" s="634"/>
      <c r="CT90" s="634"/>
      <c r="CU90" s="634"/>
      <c r="CW90" s="634"/>
      <c r="CX90" s="634"/>
      <c r="CY90" s="634"/>
      <c r="DA90" s="634"/>
      <c r="DB90" s="634"/>
      <c r="DC90" s="634"/>
      <c r="DD90" s="634"/>
      <c r="DE90" s="634"/>
      <c r="DF90" s="634"/>
      <c r="DH90" s="634"/>
      <c r="DI90" s="634"/>
      <c r="DJ90" s="634"/>
      <c r="DL90" s="634"/>
      <c r="DM90" s="634"/>
      <c r="DN90" s="634"/>
      <c r="DO90" s="634"/>
      <c r="DP90" s="634"/>
      <c r="DR90" s="634"/>
      <c r="DS90" s="634"/>
      <c r="DT90" s="634"/>
      <c r="DV90" s="634"/>
      <c r="DW90" s="634"/>
      <c r="DX90" s="634"/>
      <c r="DZ90" s="634"/>
      <c r="EA90" s="634"/>
      <c r="EB90" s="634"/>
      <c r="ED90" s="634"/>
      <c r="EE90" s="634"/>
      <c r="EF90" s="634"/>
      <c r="EH90" s="634"/>
      <c r="EI90" s="634"/>
      <c r="EJ90" s="634"/>
      <c r="EK90" s="634"/>
      <c r="EL90" s="634"/>
      <c r="EN90" s="634"/>
      <c r="EO90" s="634"/>
      <c r="EP90" s="634"/>
      <c r="ER90" s="634"/>
      <c r="ES90" s="634"/>
      <c r="ET90" s="634"/>
      <c r="EV90" s="634"/>
      <c r="EW90" s="634"/>
      <c r="EY90" s="634"/>
      <c r="EZ90" s="634"/>
      <c r="FA90" s="634"/>
      <c r="FB90" s="634"/>
      <c r="FC90" s="634"/>
      <c r="FD90" s="634"/>
      <c r="FE90" s="634"/>
      <c r="FF90" s="634"/>
      <c r="FG90" s="634"/>
      <c r="FH90" s="634"/>
      <c r="FI90" s="634"/>
      <c r="FJ90" s="634"/>
      <c r="FK90" s="634"/>
      <c r="FL90" s="634"/>
      <c r="FM90" s="634"/>
      <c r="FN90" s="634"/>
      <c r="FO90" s="634"/>
      <c r="FP90" s="634"/>
      <c r="FQ90" s="634"/>
      <c r="FS90" s="634"/>
      <c r="FT90" s="634"/>
      <c r="FU90" s="634"/>
      <c r="FV90" s="634"/>
      <c r="FW90" s="634"/>
      <c r="FX90" s="634"/>
      <c r="FY90" s="634"/>
      <c r="FZ90" s="634"/>
    </row>
    <row r="91" ht="15.75" spans="1:182">
      <c r="A91" s="544"/>
      <c r="B91" s="653">
        <v>1.5</v>
      </c>
      <c r="C91" s="654">
        <v>1</v>
      </c>
      <c r="D91" s="655">
        <f t="shared" si="0"/>
        <v>138.197659788534</v>
      </c>
      <c r="E91" s="2">
        <f>TA!F16</f>
        <v>134.922667214547</v>
      </c>
      <c r="F91" s="650">
        <f t="shared" si="3"/>
        <v>1.42974872274124</v>
      </c>
      <c r="G91" s="656">
        <f>TA!AA16</f>
        <v>1</v>
      </c>
      <c r="H91" s="575">
        <f>TA!EU16/TA!EG16</f>
        <v>0.0126469138144438</v>
      </c>
      <c r="I91" s="575">
        <f t="shared" si="4"/>
        <v>0.0127104661451696</v>
      </c>
      <c r="J91" s="672">
        <f>POWER(I91*4/(C91*各项系数!$F$5*PI())*10000000,0.5)</f>
        <v>134.922667214547</v>
      </c>
      <c r="K91" s="650">
        <f t="shared" si="1"/>
        <v>1.42974872274124</v>
      </c>
      <c r="L91" s="653">
        <v>1.5</v>
      </c>
      <c r="M91" s="575">
        <f t="shared" si="2"/>
        <v>-0.0702512772587589</v>
      </c>
      <c r="N91" s="634"/>
      <c r="O91" s="634"/>
      <c r="P91" s="634"/>
      <c r="Q91" s="634"/>
      <c r="R91" s="634"/>
      <c r="S91" s="634"/>
      <c r="T91" s="634"/>
      <c r="U91" s="634"/>
      <c r="V91" s="634"/>
      <c r="W91" s="634"/>
      <c r="X91" s="634"/>
      <c r="Y91" s="634"/>
      <c r="Z91" s="634"/>
      <c r="AA91" s="634"/>
      <c r="AB91" s="634"/>
      <c r="AD91" s="634"/>
      <c r="AE91" s="634"/>
      <c r="AG91" s="634"/>
      <c r="AI91" s="634"/>
      <c r="AJ91" s="634"/>
      <c r="AK91" s="634"/>
      <c r="AM91" s="634"/>
      <c r="AN91" s="634"/>
      <c r="AO91" s="634"/>
      <c r="AQ91" s="634"/>
      <c r="AR91" s="634"/>
      <c r="AS91" s="634"/>
      <c r="AT91" s="634"/>
      <c r="AU91" s="634"/>
      <c r="AV91" s="634"/>
      <c r="AX91" s="634"/>
      <c r="AY91" s="634"/>
      <c r="AZ91" s="634"/>
      <c r="BB91" s="634"/>
      <c r="BC91" s="634"/>
      <c r="BD91" s="634"/>
      <c r="BF91" s="634"/>
      <c r="BG91" s="634"/>
      <c r="BH91" s="634"/>
      <c r="BJ91" s="634"/>
      <c r="BK91" s="634"/>
      <c r="BL91" s="634"/>
      <c r="BN91" s="634"/>
      <c r="BO91" s="634"/>
      <c r="BP91" s="634"/>
      <c r="BQ91" s="634"/>
      <c r="BR91" s="634"/>
      <c r="BT91" s="634"/>
      <c r="BU91" s="634"/>
      <c r="BV91" s="634"/>
      <c r="BX91" s="634"/>
      <c r="BY91" s="634"/>
      <c r="BZ91" s="634"/>
      <c r="CB91" s="634"/>
      <c r="CC91" s="634"/>
      <c r="CD91" s="634"/>
      <c r="CF91" s="634"/>
      <c r="CG91" s="634"/>
      <c r="CH91" s="634"/>
      <c r="CJ91" s="634"/>
      <c r="CK91" s="634"/>
      <c r="CM91" s="634"/>
      <c r="CO91" s="634"/>
      <c r="CP91" s="634"/>
      <c r="CQ91" s="634"/>
      <c r="CS91" s="634"/>
      <c r="CT91" s="634"/>
      <c r="CU91" s="634"/>
      <c r="CW91" s="634"/>
      <c r="CX91" s="634"/>
      <c r="CY91" s="634"/>
      <c r="DA91" s="634"/>
      <c r="DB91" s="634"/>
      <c r="DC91" s="634"/>
      <c r="DD91" s="634"/>
      <c r="DE91" s="634"/>
      <c r="DF91" s="634"/>
      <c r="DH91" s="634"/>
      <c r="DI91" s="634"/>
      <c r="DJ91" s="634"/>
      <c r="DL91" s="634"/>
      <c r="DM91" s="634"/>
      <c r="DN91" s="634"/>
      <c r="DO91" s="634"/>
      <c r="DP91" s="634"/>
      <c r="DR91" s="634"/>
      <c r="DS91" s="634"/>
      <c r="DT91" s="634"/>
      <c r="DV91" s="634"/>
      <c r="DW91" s="634"/>
      <c r="DX91" s="634"/>
      <c r="DZ91" s="634"/>
      <c r="EA91" s="634"/>
      <c r="EB91" s="634"/>
      <c r="ED91" s="634"/>
      <c r="EE91" s="634"/>
      <c r="EF91" s="634"/>
      <c r="EH91" s="634"/>
      <c r="EI91" s="634"/>
      <c r="EJ91" s="634"/>
      <c r="EK91" s="634"/>
      <c r="EL91" s="634"/>
      <c r="EN91" s="634"/>
      <c r="EO91" s="634"/>
      <c r="EP91" s="634"/>
      <c r="ER91" s="634"/>
      <c r="ES91" s="634"/>
      <c r="ET91" s="634"/>
      <c r="EV91" s="634"/>
      <c r="EW91" s="634"/>
      <c r="EY91" s="634"/>
      <c r="EZ91" s="634"/>
      <c r="FA91" s="634"/>
      <c r="FB91" s="634"/>
      <c r="FC91" s="634"/>
      <c r="FD91" s="634"/>
      <c r="FE91" s="634"/>
      <c r="FF91" s="634"/>
      <c r="FG91" s="634"/>
      <c r="FH91" s="634"/>
      <c r="FI91" s="634"/>
      <c r="FJ91" s="634"/>
      <c r="FK91" s="634"/>
      <c r="FL91" s="634"/>
      <c r="FM91" s="634"/>
      <c r="FN91" s="634"/>
      <c r="FO91" s="634"/>
      <c r="FP91" s="634"/>
      <c r="FQ91" s="634"/>
      <c r="FS91" s="634"/>
      <c r="FT91" s="634"/>
      <c r="FU91" s="634"/>
      <c r="FV91" s="634"/>
      <c r="FW91" s="634"/>
      <c r="FX91" s="634"/>
      <c r="FY91" s="634"/>
      <c r="FZ91" s="634"/>
    </row>
    <row r="92" ht="15.75" spans="1:182">
      <c r="A92" s="544"/>
      <c r="B92" s="653">
        <v>2.5</v>
      </c>
      <c r="C92" s="654">
        <v>1</v>
      </c>
      <c r="D92" s="655">
        <f t="shared" si="0"/>
        <v>178.412411615277</v>
      </c>
      <c r="E92" s="2">
        <f>TA!F17</f>
        <v>172.412400708262</v>
      </c>
      <c r="F92" s="650">
        <f t="shared" si="3"/>
        <v>2.3346774015073</v>
      </c>
      <c r="G92" s="656">
        <f>TA!AA17</f>
        <v>1</v>
      </c>
      <c r="H92" s="575">
        <f>TA!EU17/TA!EG17</f>
        <v>0.0206515056889029</v>
      </c>
      <c r="I92" s="575">
        <f t="shared" si="4"/>
        <v>0.0207552820993999</v>
      </c>
      <c r="J92" s="672">
        <f>POWER(I92*4/(C92*各项系数!$F$5*PI())*10000000,0.5)</f>
        <v>172.412400708262</v>
      </c>
      <c r="K92" s="650">
        <f t="shared" si="1"/>
        <v>2.3346774015073</v>
      </c>
      <c r="L92" s="653">
        <v>2.5</v>
      </c>
      <c r="M92" s="575">
        <f t="shared" si="2"/>
        <v>-0.1653225984927</v>
      </c>
      <c r="N92" s="634"/>
      <c r="O92" s="634"/>
      <c r="P92" s="634"/>
      <c r="Q92" s="634"/>
      <c r="R92" s="634"/>
      <c r="S92" s="634"/>
      <c r="T92" s="634"/>
      <c r="U92" s="634"/>
      <c r="V92" s="634"/>
      <c r="W92" s="634"/>
      <c r="X92" s="634"/>
      <c r="Y92" s="634"/>
      <c r="Z92" s="634"/>
      <c r="AA92" s="634"/>
      <c r="AB92" s="634"/>
      <c r="AD92" s="634"/>
      <c r="AE92" s="634"/>
      <c r="AG92" s="634"/>
      <c r="AI92" s="634"/>
      <c r="AJ92" s="634"/>
      <c r="AK92" s="634"/>
      <c r="AM92" s="634"/>
      <c r="AN92" s="634"/>
      <c r="AO92" s="634"/>
      <c r="AQ92" s="634"/>
      <c r="AR92" s="634"/>
      <c r="AS92" s="634"/>
      <c r="AT92" s="634"/>
      <c r="AU92" s="634"/>
      <c r="AV92" s="634"/>
      <c r="AX92" s="634"/>
      <c r="AY92" s="634"/>
      <c r="AZ92" s="634"/>
      <c r="BB92" s="634"/>
      <c r="BC92" s="634"/>
      <c r="BD92" s="634"/>
      <c r="BF92" s="634"/>
      <c r="BG92" s="634"/>
      <c r="BH92" s="634"/>
      <c r="BJ92" s="634"/>
      <c r="BK92" s="634"/>
      <c r="BL92" s="634"/>
      <c r="BN92" s="634"/>
      <c r="BO92" s="634"/>
      <c r="BP92" s="634"/>
      <c r="BQ92" s="634"/>
      <c r="BR92" s="634"/>
      <c r="BT92" s="634"/>
      <c r="BU92" s="634"/>
      <c r="BV92" s="634"/>
      <c r="BX92" s="634"/>
      <c r="BY92" s="634"/>
      <c r="BZ92" s="634"/>
      <c r="CB92" s="634"/>
      <c r="CC92" s="634"/>
      <c r="CD92" s="634"/>
      <c r="CF92" s="634"/>
      <c r="CG92" s="634"/>
      <c r="CH92" s="634"/>
      <c r="CJ92" s="634"/>
      <c r="CK92" s="634"/>
      <c r="CM92" s="634"/>
      <c r="CO92" s="634"/>
      <c r="CP92" s="634"/>
      <c r="CQ92" s="634"/>
      <c r="CS92" s="634"/>
      <c r="CT92" s="634"/>
      <c r="CU92" s="634"/>
      <c r="CW92" s="634"/>
      <c r="CX92" s="634"/>
      <c r="CY92" s="634"/>
      <c r="DA92" s="634"/>
      <c r="DB92" s="634"/>
      <c r="DC92" s="634"/>
      <c r="DD92" s="634"/>
      <c r="DE92" s="634"/>
      <c r="DF92" s="634"/>
      <c r="DH92" s="634"/>
      <c r="DI92" s="634"/>
      <c r="DJ92" s="634"/>
      <c r="DL92" s="634"/>
      <c r="DM92" s="634"/>
      <c r="DN92" s="634"/>
      <c r="DO92" s="634"/>
      <c r="DP92" s="634"/>
      <c r="DR92" s="634"/>
      <c r="DS92" s="634"/>
      <c r="DT92" s="634"/>
      <c r="DV92" s="634"/>
      <c r="DW92" s="634"/>
      <c r="DX92" s="634"/>
      <c r="DZ92" s="634"/>
      <c r="EA92" s="634"/>
      <c r="EB92" s="634"/>
      <c r="ED92" s="634"/>
      <c r="EE92" s="634"/>
      <c r="EF92" s="634"/>
      <c r="EH92" s="634"/>
      <c r="EI92" s="634"/>
      <c r="EJ92" s="634"/>
      <c r="EK92" s="634"/>
      <c r="EL92" s="634"/>
      <c r="EN92" s="634"/>
      <c r="EO92" s="634"/>
      <c r="EP92" s="634"/>
      <c r="ER92" s="634"/>
      <c r="ES92" s="634"/>
      <c r="ET92" s="634"/>
      <c r="EV92" s="634"/>
      <c r="EW92" s="634"/>
      <c r="EY92" s="634"/>
      <c r="EZ92" s="634"/>
      <c r="FA92" s="634"/>
      <c r="FB92" s="634"/>
      <c r="FC92" s="634"/>
      <c r="FD92" s="634"/>
      <c r="FE92" s="634"/>
      <c r="FF92" s="634"/>
      <c r="FG92" s="634"/>
      <c r="FH92" s="634"/>
      <c r="FI92" s="634"/>
      <c r="FJ92" s="634"/>
      <c r="FK92" s="634"/>
      <c r="FL92" s="634"/>
      <c r="FM92" s="634"/>
      <c r="FN92" s="634"/>
      <c r="FO92" s="634"/>
      <c r="FP92" s="634"/>
      <c r="FQ92" s="634"/>
      <c r="FS92" s="634"/>
      <c r="FT92" s="634"/>
      <c r="FU92" s="634"/>
      <c r="FV92" s="634"/>
      <c r="FW92" s="634"/>
      <c r="FX92" s="634"/>
      <c r="FY92" s="634"/>
      <c r="FZ92" s="634"/>
    </row>
    <row r="93" ht="15.75" spans="1:182">
      <c r="A93" s="544"/>
      <c r="B93" s="653">
        <v>4</v>
      </c>
      <c r="C93" s="654">
        <v>1</v>
      </c>
      <c r="D93" s="655">
        <f t="shared" si="0"/>
        <v>225.675833419103</v>
      </c>
      <c r="E93" s="2">
        <f>TA!F18</f>
        <v>218.588414706449</v>
      </c>
      <c r="F93" s="650">
        <f t="shared" si="3"/>
        <v>3.75270272129484</v>
      </c>
      <c r="G93" s="656">
        <f>TA!AA18</f>
        <v>1</v>
      </c>
      <c r="H93" s="575">
        <f>TA!EU18/TA!EG18</f>
        <v>0.0331947195563496</v>
      </c>
      <c r="I93" s="575">
        <f t="shared" si="4"/>
        <v>0.0333615271923111</v>
      </c>
      <c r="J93" s="672">
        <f>POWER(I93*4/(C93*各项系数!$F$5*PI())*10000000,0.5)</f>
        <v>218.588414706449</v>
      </c>
      <c r="K93" s="650">
        <f t="shared" si="1"/>
        <v>3.75270272129484</v>
      </c>
      <c r="L93" s="653">
        <v>4</v>
      </c>
      <c r="M93" s="575">
        <f t="shared" si="2"/>
        <v>-0.247297278705161</v>
      </c>
      <c r="N93" s="634"/>
      <c r="O93" s="634"/>
      <c r="P93" s="634"/>
      <c r="Q93" s="634"/>
      <c r="R93" s="634"/>
      <c r="S93" s="634"/>
      <c r="T93" s="634"/>
      <c r="U93" s="634"/>
      <c r="V93" s="634"/>
      <c r="W93" s="634"/>
      <c r="X93" s="634"/>
      <c r="Y93" s="634"/>
      <c r="Z93" s="634"/>
      <c r="AA93" s="634"/>
      <c r="AB93" s="634"/>
      <c r="AD93" s="634"/>
      <c r="AE93" s="634"/>
      <c r="AG93" s="634"/>
      <c r="AI93" s="634"/>
      <c r="AJ93" s="634"/>
      <c r="AK93" s="634"/>
      <c r="AM93" s="634"/>
      <c r="AN93" s="634"/>
      <c r="AO93" s="634"/>
      <c r="AQ93" s="634"/>
      <c r="AR93" s="634"/>
      <c r="AS93" s="634"/>
      <c r="AT93" s="634"/>
      <c r="AU93" s="634"/>
      <c r="AV93" s="634"/>
      <c r="AX93" s="634"/>
      <c r="AY93" s="634"/>
      <c r="AZ93" s="634"/>
      <c r="BB93" s="634"/>
      <c r="BC93" s="634"/>
      <c r="BD93" s="634"/>
      <c r="BF93" s="634"/>
      <c r="BG93" s="634"/>
      <c r="BH93" s="634"/>
      <c r="BJ93" s="634"/>
      <c r="BK93" s="634"/>
      <c r="BL93" s="634"/>
      <c r="BN93" s="634"/>
      <c r="BO93" s="634"/>
      <c r="BP93" s="634"/>
      <c r="BQ93" s="634"/>
      <c r="BR93" s="634"/>
      <c r="BT93" s="634"/>
      <c r="BU93" s="634"/>
      <c r="BV93" s="634"/>
      <c r="BX93" s="634"/>
      <c r="BY93" s="634"/>
      <c r="BZ93" s="634"/>
      <c r="CB93" s="634"/>
      <c r="CC93" s="634"/>
      <c r="CD93" s="634"/>
      <c r="CF93" s="634"/>
      <c r="CG93" s="634"/>
      <c r="CH93" s="634"/>
      <c r="CJ93" s="634"/>
      <c r="CK93" s="634"/>
      <c r="CM93" s="634"/>
      <c r="CO93" s="634"/>
      <c r="CP93" s="634"/>
      <c r="CQ93" s="634"/>
      <c r="CS93" s="634"/>
      <c r="CT93" s="634"/>
      <c r="CU93" s="634"/>
      <c r="CW93" s="634"/>
      <c r="CX93" s="634"/>
      <c r="CY93" s="634"/>
      <c r="DA93" s="634"/>
      <c r="DB93" s="634"/>
      <c r="DC93" s="634"/>
      <c r="DD93" s="634"/>
      <c r="DE93" s="634"/>
      <c r="DF93" s="634"/>
      <c r="DH93" s="634"/>
      <c r="DI93" s="634"/>
      <c r="DJ93" s="634"/>
      <c r="DL93" s="634"/>
      <c r="DM93" s="634"/>
      <c r="DN93" s="634"/>
      <c r="DO93" s="634"/>
      <c r="DP93" s="634"/>
      <c r="DR93" s="634"/>
      <c r="DS93" s="634"/>
      <c r="DT93" s="634"/>
      <c r="DV93" s="634"/>
      <c r="DW93" s="634"/>
      <c r="DX93" s="634"/>
      <c r="DZ93" s="634"/>
      <c r="EA93" s="634"/>
      <c r="EB93" s="634"/>
      <c r="ED93" s="634"/>
      <c r="EE93" s="634"/>
      <c r="EF93" s="634"/>
      <c r="EH93" s="634"/>
      <c r="EI93" s="634"/>
      <c r="EJ93" s="634"/>
      <c r="EK93" s="634"/>
      <c r="EL93" s="634"/>
      <c r="EN93" s="634"/>
      <c r="EO93" s="634"/>
      <c r="EP93" s="634"/>
      <c r="ER93" s="634"/>
      <c r="ES93" s="634"/>
      <c r="ET93" s="634"/>
      <c r="EV93" s="634"/>
      <c r="EW93" s="634"/>
      <c r="EY93" s="634"/>
      <c r="EZ93" s="634"/>
      <c r="FA93" s="634"/>
      <c r="FB93" s="634"/>
      <c r="FC93" s="634"/>
      <c r="FD93" s="634"/>
      <c r="FE93" s="634"/>
      <c r="FF93" s="634"/>
      <c r="FG93" s="634"/>
      <c r="FH93" s="634"/>
      <c r="FI93" s="634"/>
      <c r="FJ93" s="634"/>
      <c r="FK93" s="634"/>
      <c r="FL93" s="634"/>
      <c r="FM93" s="634"/>
      <c r="FN93" s="634"/>
      <c r="FO93" s="634"/>
      <c r="FP93" s="634"/>
      <c r="FQ93" s="634"/>
      <c r="FS93" s="634"/>
      <c r="FT93" s="634"/>
      <c r="FU93" s="634"/>
      <c r="FV93" s="634"/>
      <c r="FW93" s="634"/>
      <c r="FX93" s="634"/>
      <c r="FY93" s="634"/>
      <c r="FZ93" s="634"/>
    </row>
    <row r="94" ht="15.75" spans="1:182">
      <c r="A94" s="544"/>
      <c r="B94" s="653">
        <v>6</v>
      </c>
      <c r="C94" s="654">
        <v>1</v>
      </c>
      <c r="D94" s="655">
        <f t="shared" si="0"/>
        <v>276.395319577068</v>
      </c>
      <c r="E94" s="2">
        <f>TA!F19</f>
        <v>267.425148012862</v>
      </c>
      <c r="F94" s="650">
        <f t="shared" si="3"/>
        <v>5.61686998219779</v>
      </c>
      <c r="G94" s="656">
        <f>TA!AA19</f>
        <v>1</v>
      </c>
      <c r="H94" s="575">
        <f>TA!EU19/TA!EG19</f>
        <v>0.0496843042710296</v>
      </c>
      <c r="I94" s="575">
        <f t="shared" si="4"/>
        <v>0.0499339741417383</v>
      </c>
      <c r="J94" s="672">
        <f>POWER(I94*4/(C94*各项系数!$F$5*PI())*10000000,0.5)</f>
        <v>267.425148012862</v>
      </c>
      <c r="K94" s="650">
        <f t="shared" si="1"/>
        <v>5.61686998219778</v>
      </c>
      <c r="L94" s="653">
        <v>6</v>
      </c>
      <c r="M94" s="575">
        <f t="shared" si="2"/>
        <v>-0.383130017802218</v>
      </c>
      <c r="N94" s="634"/>
      <c r="O94" s="634"/>
      <c r="P94" s="634"/>
      <c r="Q94" s="634"/>
      <c r="R94" s="634"/>
      <c r="S94" s="634"/>
      <c r="T94" s="634"/>
      <c r="U94" s="634"/>
      <c r="V94" s="634"/>
      <c r="W94" s="634"/>
      <c r="X94" s="634"/>
      <c r="Y94" s="634"/>
      <c r="Z94" s="634"/>
      <c r="AA94" s="634"/>
      <c r="AB94" s="634"/>
      <c r="AD94" s="634"/>
      <c r="AE94" s="634"/>
      <c r="AG94" s="634"/>
      <c r="AI94" s="634"/>
      <c r="AJ94" s="634"/>
      <c r="AK94" s="634"/>
      <c r="AM94" s="634"/>
      <c r="AN94" s="634"/>
      <c r="AO94" s="634"/>
      <c r="AQ94" s="634"/>
      <c r="AR94" s="634"/>
      <c r="AS94" s="634"/>
      <c r="AT94" s="634"/>
      <c r="AU94" s="634"/>
      <c r="AV94" s="634"/>
      <c r="AX94" s="634"/>
      <c r="AY94" s="634"/>
      <c r="AZ94" s="634"/>
      <c r="BB94" s="634"/>
      <c r="BC94" s="634"/>
      <c r="BD94" s="634"/>
      <c r="BF94" s="634"/>
      <c r="BG94" s="634"/>
      <c r="BH94" s="634"/>
      <c r="BJ94" s="634"/>
      <c r="BK94" s="634"/>
      <c r="BL94" s="634"/>
      <c r="BN94" s="634"/>
      <c r="BO94" s="634"/>
      <c r="BP94" s="634"/>
      <c r="BQ94" s="634"/>
      <c r="BR94" s="634"/>
      <c r="BT94" s="634"/>
      <c r="BU94" s="634"/>
      <c r="BV94" s="634"/>
      <c r="BX94" s="634"/>
      <c r="BY94" s="634"/>
      <c r="BZ94" s="634"/>
      <c r="CB94" s="634"/>
      <c r="CC94" s="634"/>
      <c r="CD94" s="634"/>
      <c r="CF94" s="634"/>
      <c r="CG94" s="634"/>
      <c r="CH94" s="634"/>
      <c r="CJ94" s="634"/>
      <c r="CK94" s="634"/>
      <c r="CM94" s="634"/>
      <c r="CO94" s="634"/>
      <c r="CP94" s="634"/>
      <c r="CQ94" s="634"/>
      <c r="CS94" s="634"/>
      <c r="CT94" s="634"/>
      <c r="CU94" s="634"/>
      <c r="CW94" s="634"/>
      <c r="CX94" s="634"/>
      <c r="CY94" s="634"/>
      <c r="DA94" s="634"/>
      <c r="DB94" s="634"/>
      <c r="DC94" s="634"/>
      <c r="DD94" s="634"/>
      <c r="DE94" s="634"/>
      <c r="DF94" s="634"/>
      <c r="DH94" s="634"/>
      <c r="DI94" s="634"/>
      <c r="DJ94" s="634"/>
      <c r="DL94" s="634"/>
      <c r="DM94" s="634"/>
      <c r="DN94" s="634"/>
      <c r="DO94" s="634"/>
      <c r="DP94" s="634"/>
      <c r="DR94" s="634"/>
      <c r="DS94" s="634"/>
      <c r="DT94" s="634"/>
      <c r="DV94" s="634"/>
      <c r="DW94" s="634"/>
      <c r="DX94" s="634"/>
      <c r="DZ94" s="634"/>
      <c r="EA94" s="634"/>
      <c r="EB94" s="634"/>
      <c r="ED94" s="634"/>
      <c r="EE94" s="634"/>
      <c r="EF94" s="634"/>
      <c r="EH94" s="634"/>
      <c r="EI94" s="634"/>
      <c r="EJ94" s="634"/>
      <c r="EK94" s="634"/>
      <c r="EL94" s="634"/>
      <c r="EN94" s="634"/>
      <c r="EO94" s="634"/>
      <c r="EP94" s="634"/>
      <c r="ER94" s="634"/>
      <c r="ES94" s="634"/>
      <c r="ET94" s="634"/>
      <c r="EV94" s="634"/>
      <c r="EW94" s="634"/>
      <c r="EY94" s="634"/>
      <c r="EZ94" s="634"/>
      <c r="FA94" s="634"/>
      <c r="FB94" s="634"/>
      <c r="FC94" s="634"/>
      <c r="FD94" s="634"/>
      <c r="FE94" s="634"/>
      <c r="FF94" s="634"/>
      <c r="FG94" s="634"/>
      <c r="FH94" s="634"/>
      <c r="FI94" s="634"/>
      <c r="FJ94" s="634"/>
      <c r="FK94" s="634"/>
      <c r="FL94" s="634"/>
      <c r="FM94" s="634"/>
      <c r="FN94" s="634"/>
      <c r="FO94" s="634"/>
      <c r="FP94" s="634"/>
      <c r="FQ94" s="634"/>
      <c r="FS94" s="634"/>
      <c r="FT94" s="634"/>
      <c r="FU94" s="634"/>
      <c r="FV94" s="634"/>
      <c r="FW94" s="634"/>
      <c r="FX94" s="634"/>
      <c r="FY94" s="634"/>
      <c r="FZ94" s="634"/>
    </row>
    <row r="95" ht="15.75" spans="1:182">
      <c r="A95" s="544"/>
      <c r="B95" s="653">
        <v>10</v>
      </c>
      <c r="C95" s="654">
        <v>7</v>
      </c>
      <c r="D95" s="655">
        <f t="shared" si="0"/>
        <v>134.867106268947</v>
      </c>
      <c r="E95" s="2">
        <f>TA!F20</f>
        <v>131.130294998433</v>
      </c>
      <c r="F95" s="650">
        <f t="shared" si="3"/>
        <v>9.45352980610329</v>
      </c>
      <c r="G95" s="656">
        <f>TA!AA20</f>
        <v>1.011</v>
      </c>
      <c r="H95" s="575">
        <f>TA!EU20/TA!EG20</f>
        <v>0.084541508952717</v>
      </c>
      <c r="I95" s="575">
        <f t="shared" si="4"/>
        <v>0.084966340655997</v>
      </c>
      <c r="J95" s="672">
        <f>POWER(I95*4/(C95*各项系数!$F$5*PI())*10000000,0.5)</f>
        <v>131.849539109191</v>
      </c>
      <c r="K95" s="650">
        <f t="shared" si="1"/>
        <v>9.55751863397041</v>
      </c>
      <c r="L95" s="653">
        <v>10</v>
      </c>
      <c r="M95" s="575">
        <f t="shared" si="2"/>
        <v>-0.442481366029586</v>
      </c>
      <c r="N95" s="634"/>
      <c r="O95" s="634"/>
      <c r="P95" s="634"/>
      <c r="Q95" s="634"/>
      <c r="R95" s="634"/>
      <c r="S95" s="634"/>
      <c r="T95" s="634"/>
      <c r="U95" s="634"/>
      <c r="V95" s="634"/>
      <c r="W95" s="634"/>
      <c r="X95" s="634"/>
      <c r="Y95" s="634"/>
      <c r="Z95" s="634"/>
      <c r="AA95" s="634"/>
      <c r="AB95" s="634"/>
      <c r="AD95" s="634"/>
      <c r="AE95" s="634"/>
      <c r="AG95" s="634"/>
      <c r="AI95" s="634"/>
      <c r="AJ95" s="634"/>
      <c r="AK95" s="634"/>
      <c r="AM95" s="634"/>
      <c r="AN95" s="634"/>
      <c r="AO95" s="634"/>
      <c r="AQ95" s="634"/>
      <c r="AR95" s="634"/>
      <c r="AS95" s="634"/>
      <c r="AT95" s="634"/>
      <c r="AU95" s="634"/>
      <c r="AV95" s="634"/>
      <c r="AX95" s="634"/>
      <c r="AY95" s="634"/>
      <c r="AZ95" s="634"/>
      <c r="BB95" s="634"/>
      <c r="BC95" s="634"/>
      <c r="BD95" s="634"/>
      <c r="BF95" s="634"/>
      <c r="BG95" s="634"/>
      <c r="BH95" s="634"/>
      <c r="BJ95" s="634"/>
      <c r="BK95" s="634"/>
      <c r="BL95" s="634"/>
      <c r="BN95" s="634"/>
      <c r="BO95" s="634"/>
      <c r="BP95" s="634"/>
      <c r="BQ95" s="634"/>
      <c r="BR95" s="634"/>
      <c r="BT95" s="634"/>
      <c r="BU95" s="634"/>
      <c r="BV95" s="634"/>
      <c r="BX95" s="634"/>
      <c r="BY95" s="634"/>
      <c r="BZ95" s="634"/>
      <c r="CB95" s="634"/>
      <c r="CC95" s="634"/>
      <c r="CD95" s="634"/>
      <c r="CF95" s="634"/>
      <c r="CG95" s="634"/>
      <c r="CH95" s="634"/>
      <c r="CJ95" s="634"/>
      <c r="CK95" s="634"/>
      <c r="CM95" s="634"/>
      <c r="CO95" s="634"/>
      <c r="CP95" s="634"/>
      <c r="CQ95" s="634"/>
      <c r="CS95" s="634"/>
      <c r="CT95" s="634"/>
      <c r="CU95" s="634"/>
      <c r="CW95" s="634"/>
      <c r="CX95" s="634"/>
      <c r="CY95" s="634"/>
      <c r="DA95" s="634"/>
      <c r="DB95" s="634"/>
      <c r="DC95" s="634"/>
      <c r="DD95" s="634"/>
      <c r="DE95" s="634"/>
      <c r="DF95" s="634"/>
      <c r="DH95" s="634"/>
      <c r="DI95" s="634"/>
      <c r="DJ95" s="634"/>
      <c r="DL95" s="634"/>
      <c r="DM95" s="634"/>
      <c r="DN95" s="634"/>
      <c r="DO95" s="634"/>
      <c r="DP95" s="634"/>
      <c r="DR95" s="634"/>
      <c r="DS95" s="634"/>
      <c r="DT95" s="634"/>
      <c r="DV95" s="634"/>
      <c r="DW95" s="634"/>
      <c r="DX95" s="634"/>
      <c r="DZ95" s="634"/>
      <c r="EA95" s="634"/>
      <c r="EB95" s="634"/>
      <c r="ED95" s="634"/>
      <c r="EE95" s="634"/>
      <c r="EF95" s="634"/>
      <c r="EH95" s="634"/>
      <c r="EI95" s="634"/>
      <c r="EJ95" s="634"/>
      <c r="EK95" s="634"/>
      <c r="EL95" s="634"/>
      <c r="EN95" s="634"/>
      <c r="EO95" s="634"/>
      <c r="EP95" s="634"/>
      <c r="ER95" s="634"/>
      <c r="ES95" s="634"/>
      <c r="ET95" s="634"/>
      <c r="EV95" s="634"/>
      <c r="EW95" s="634"/>
      <c r="EY95" s="634"/>
      <c r="EZ95" s="634"/>
      <c r="FA95" s="634"/>
      <c r="FB95" s="634"/>
      <c r="FC95" s="634"/>
      <c r="FD95" s="634"/>
      <c r="FE95" s="634"/>
      <c r="FF95" s="634"/>
      <c r="FG95" s="634"/>
      <c r="FH95" s="634"/>
      <c r="FI95" s="634"/>
      <c r="FJ95" s="634"/>
      <c r="FK95" s="634"/>
      <c r="FL95" s="634"/>
      <c r="FM95" s="634"/>
      <c r="FN95" s="634"/>
      <c r="FO95" s="634"/>
      <c r="FP95" s="634"/>
      <c r="FQ95" s="634"/>
      <c r="FS95" s="634"/>
      <c r="FT95" s="634"/>
      <c r="FU95" s="634"/>
      <c r="FV95" s="634"/>
      <c r="FW95" s="634"/>
      <c r="FX95" s="634"/>
      <c r="FY95" s="634"/>
      <c r="FZ95" s="634"/>
    </row>
    <row r="96" ht="15.75" spans="1:182">
      <c r="A96" s="544"/>
      <c r="B96" s="653">
        <v>16</v>
      </c>
      <c r="C96" s="654">
        <v>7</v>
      </c>
      <c r="D96" s="655">
        <f t="shared" si="0"/>
        <v>170.594894898338</v>
      </c>
      <c r="E96" s="2">
        <f>TA!F21</f>
        <v>165.416818206689</v>
      </c>
      <c r="F96" s="650">
        <f t="shared" si="3"/>
        <v>15.0434430827558</v>
      </c>
      <c r="G96" s="656">
        <f>TA!AA21</f>
        <v>1.011</v>
      </c>
      <c r="H96" s="575">
        <f>TA!EU21/TA!EG21</f>
        <v>0.134531270768238</v>
      </c>
      <c r="I96" s="575">
        <f t="shared" si="4"/>
        <v>0.135207307304762</v>
      </c>
      <c r="J96" s="672">
        <f>POWER(I96*4/(C96*各项系数!$F$5*PI())*10000000,0.5)</f>
        <v>166.32412244418</v>
      </c>
      <c r="K96" s="650">
        <f t="shared" si="1"/>
        <v>15.2089209566661</v>
      </c>
      <c r="L96" s="653">
        <v>16</v>
      </c>
      <c r="M96" s="575">
        <f t="shared" si="2"/>
        <v>-0.791079043333884</v>
      </c>
      <c r="N96" s="634"/>
      <c r="O96" s="634"/>
      <c r="P96" s="634"/>
      <c r="Q96" s="634"/>
      <c r="R96" s="634"/>
      <c r="S96" s="634"/>
      <c r="T96" s="634"/>
      <c r="U96" s="634"/>
      <c r="V96" s="634"/>
      <c r="W96" s="634"/>
      <c r="X96" s="634"/>
      <c r="Y96" s="634"/>
      <c r="Z96" s="634"/>
      <c r="AA96" s="634"/>
      <c r="AB96" s="634"/>
      <c r="AD96" s="634"/>
      <c r="AE96" s="634"/>
      <c r="AG96" s="634"/>
      <c r="AI96" s="634"/>
      <c r="AJ96" s="634"/>
      <c r="AK96" s="634"/>
      <c r="AM96" s="634"/>
      <c r="AN96" s="634"/>
      <c r="AO96" s="634"/>
      <c r="AQ96" s="634"/>
      <c r="AR96" s="634"/>
      <c r="AS96" s="634"/>
      <c r="AT96" s="634"/>
      <c r="AU96" s="634"/>
      <c r="AV96" s="634"/>
      <c r="AX96" s="634"/>
      <c r="AY96" s="634"/>
      <c r="AZ96" s="634"/>
      <c r="BB96" s="634"/>
      <c r="BC96" s="634"/>
      <c r="BD96" s="634"/>
      <c r="BF96" s="634"/>
      <c r="BG96" s="634"/>
      <c r="BH96" s="634"/>
      <c r="BJ96" s="634"/>
      <c r="BK96" s="634"/>
      <c r="BL96" s="634"/>
      <c r="BN96" s="634"/>
      <c r="BO96" s="634"/>
      <c r="BP96" s="634"/>
      <c r="BQ96" s="634"/>
      <c r="BR96" s="634"/>
      <c r="BT96" s="634"/>
      <c r="BU96" s="634"/>
      <c r="BV96" s="634"/>
      <c r="BX96" s="634"/>
      <c r="BY96" s="634"/>
      <c r="BZ96" s="634"/>
      <c r="CB96" s="634"/>
      <c r="CC96" s="634"/>
      <c r="CD96" s="634"/>
      <c r="CF96" s="634"/>
      <c r="CG96" s="634"/>
      <c r="CH96" s="634"/>
      <c r="CJ96" s="634"/>
      <c r="CK96" s="634"/>
      <c r="CM96" s="634"/>
      <c r="CO96" s="634"/>
      <c r="CP96" s="634"/>
      <c r="CQ96" s="634"/>
      <c r="CS96" s="634"/>
      <c r="CT96" s="634"/>
      <c r="CU96" s="634"/>
      <c r="CW96" s="634"/>
      <c r="CX96" s="634"/>
      <c r="CY96" s="634"/>
      <c r="DA96" s="634"/>
      <c r="DB96" s="634"/>
      <c r="DC96" s="634"/>
      <c r="DD96" s="634"/>
      <c r="DE96" s="634"/>
      <c r="DF96" s="634"/>
      <c r="DH96" s="634"/>
      <c r="DI96" s="634"/>
      <c r="DJ96" s="634"/>
      <c r="DL96" s="634"/>
      <c r="DM96" s="634"/>
      <c r="DN96" s="634"/>
      <c r="DO96" s="634"/>
      <c r="DP96" s="634"/>
      <c r="DR96" s="634"/>
      <c r="DS96" s="634"/>
      <c r="DT96" s="634"/>
      <c r="DV96" s="634"/>
      <c r="DW96" s="634"/>
      <c r="DX96" s="634"/>
      <c r="DZ96" s="634"/>
      <c r="EA96" s="634"/>
      <c r="EB96" s="634"/>
      <c r="ED96" s="634"/>
      <c r="EE96" s="634"/>
      <c r="EF96" s="634"/>
      <c r="EH96" s="634"/>
      <c r="EI96" s="634"/>
      <c r="EJ96" s="634"/>
      <c r="EK96" s="634"/>
      <c r="EL96" s="634"/>
      <c r="EN96" s="634"/>
      <c r="EO96" s="634"/>
      <c r="EP96" s="634"/>
      <c r="ER96" s="634"/>
      <c r="ES96" s="634"/>
      <c r="ET96" s="634"/>
      <c r="EV96" s="634"/>
      <c r="EW96" s="634"/>
      <c r="EY96" s="634"/>
      <c r="EZ96" s="634"/>
      <c r="FA96" s="634"/>
      <c r="FB96" s="634"/>
      <c r="FC96" s="634"/>
      <c r="FD96" s="634"/>
      <c r="FE96" s="634"/>
      <c r="FF96" s="634"/>
      <c r="FG96" s="634"/>
      <c r="FH96" s="634"/>
      <c r="FI96" s="634"/>
      <c r="FJ96" s="634"/>
      <c r="FK96" s="634"/>
      <c r="FL96" s="634"/>
      <c r="FM96" s="634"/>
      <c r="FN96" s="634"/>
      <c r="FO96" s="634"/>
      <c r="FP96" s="634"/>
      <c r="FQ96" s="634"/>
      <c r="FS96" s="634"/>
      <c r="FT96" s="634"/>
      <c r="FU96" s="634"/>
      <c r="FV96" s="634"/>
      <c r="FW96" s="634"/>
      <c r="FX96" s="634"/>
      <c r="FY96" s="634"/>
      <c r="FZ96" s="634"/>
    </row>
    <row r="97" ht="15.75" spans="1:182">
      <c r="A97" s="544"/>
      <c r="B97" s="653">
        <v>25</v>
      </c>
      <c r="C97" s="654">
        <v>7</v>
      </c>
      <c r="D97" s="655">
        <f t="shared" si="0"/>
        <v>213.243618622923</v>
      </c>
      <c r="E97" s="2">
        <f>TA!F22</f>
        <v>208.046961644752</v>
      </c>
      <c r="F97" s="650">
        <f t="shared" si="3"/>
        <v>23.7963680126124</v>
      </c>
      <c r="G97" s="656">
        <f>TA!AA22</f>
        <v>1.011</v>
      </c>
      <c r="H97" s="575">
        <f>TA!EU22/TA!EG22</f>
        <v>0.212807374667777</v>
      </c>
      <c r="I97" s="575">
        <f t="shared" si="4"/>
        <v>0.213876758460078</v>
      </c>
      <c r="J97" s="672">
        <f>POWER(I97*4/(C97*各项系数!$F$5*PI())*10000000,0.5)</f>
        <v>209.188090412333</v>
      </c>
      <c r="K97" s="650">
        <f t="shared" si="1"/>
        <v>24.0581280607511</v>
      </c>
      <c r="L97" s="653">
        <v>25</v>
      </c>
      <c r="M97" s="575">
        <f t="shared" si="2"/>
        <v>-0.941871939248859</v>
      </c>
      <c r="N97" s="634"/>
      <c r="O97" s="634"/>
      <c r="P97" s="634"/>
      <c r="Q97" s="634"/>
      <c r="R97" s="634"/>
      <c r="S97" s="634"/>
      <c r="T97" s="634"/>
      <c r="U97" s="634"/>
      <c r="V97" s="634"/>
      <c r="W97" s="634"/>
      <c r="X97" s="634"/>
      <c r="Y97" s="634"/>
      <c r="Z97" s="634"/>
      <c r="AA97" s="634"/>
      <c r="AB97" s="634"/>
      <c r="AD97" s="634"/>
      <c r="AE97" s="634"/>
      <c r="AG97" s="634"/>
      <c r="AI97" s="634"/>
      <c r="AJ97" s="634"/>
      <c r="AK97" s="634"/>
      <c r="AM97" s="634"/>
      <c r="AN97" s="634"/>
      <c r="AO97" s="634"/>
      <c r="AQ97" s="634"/>
      <c r="AR97" s="634"/>
      <c r="AS97" s="634"/>
      <c r="AT97" s="634"/>
      <c r="AU97" s="634"/>
      <c r="AV97" s="634"/>
      <c r="AX97" s="634"/>
      <c r="AY97" s="634"/>
      <c r="AZ97" s="634"/>
      <c r="BB97" s="634"/>
      <c r="BC97" s="634"/>
      <c r="BD97" s="634"/>
      <c r="BF97" s="634"/>
      <c r="BG97" s="634"/>
      <c r="BH97" s="634"/>
      <c r="BJ97" s="634"/>
      <c r="BK97" s="634"/>
      <c r="BL97" s="634"/>
      <c r="BN97" s="634"/>
      <c r="BO97" s="634"/>
      <c r="BP97" s="634"/>
      <c r="BQ97" s="634"/>
      <c r="BR97" s="634"/>
      <c r="BT97" s="634"/>
      <c r="BU97" s="634"/>
      <c r="BV97" s="634"/>
      <c r="BX97" s="634"/>
      <c r="BY97" s="634"/>
      <c r="BZ97" s="634"/>
      <c r="CB97" s="634"/>
      <c r="CC97" s="634"/>
      <c r="CD97" s="634"/>
      <c r="CF97" s="634"/>
      <c r="CG97" s="634"/>
      <c r="CH97" s="634"/>
      <c r="CJ97" s="634"/>
      <c r="CK97" s="634"/>
      <c r="CM97" s="634"/>
      <c r="CO97" s="634"/>
      <c r="CP97" s="634"/>
      <c r="CQ97" s="634"/>
      <c r="CS97" s="634"/>
      <c r="CT97" s="634"/>
      <c r="CU97" s="634"/>
      <c r="CW97" s="634"/>
      <c r="CX97" s="634"/>
      <c r="CY97" s="634"/>
      <c r="DA97" s="634"/>
      <c r="DB97" s="634"/>
      <c r="DC97" s="634"/>
      <c r="DD97" s="634"/>
      <c r="DE97" s="634"/>
      <c r="DF97" s="634"/>
      <c r="DH97" s="634"/>
      <c r="DI97" s="634"/>
      <c r="DJ97" s="634"/>
      <c r="DL97" s="634"/>
      <c r="DM97" s="634"/>
      <c r="DN97" s="634"/>
      <c r="DO97" s="634"/>
      <c r="DP97" s="634"/>
      <c r="DR97" s="634"/>
      <c r="DS97" s="634"/>
      <c r="DT97" s="634"/>
      <c r="DV97" s="634"/>
      <c r="DW97" s="634"/>
      <c r="DX97" s="634"/>
      <c r="DZ97" s="634"/>
      <c r="EA97" s="634"/>
      <c r="EB97" s="634"/>
      <c r="ED97" s="634"/>
      <c r="EE97" s="634"/>
      <c r="EF97" s="634"/>
      <c r="EH97" s="634"/>
      <c r="EI97" s="634"/>
      <c r="EJ97" s="634"/>
      <c r="EK97" s="634"/>
      <c r="EL97" s="634"/>
      <c r="EN97" s="634"/>
      <c r="EO97" s="634"/>
      <c r="EP97" s="634"/>
      <c r="ER97" s="634"/>
      <c r="ES97" s="634"/>
      <c r="ET97" s="634"/>
      <c r="EV97" s="634"/>
      <c r="EW97" s="634"/>
      <c r="EY97" s="634"/>
      <c r="EZ97" s="634"/>
      <c r="FA97" s="634"/>
      <c r="FB97" s="634"/>
      <c r="FC97" s="634"/>
      <c r="FD97" s="634"/>
      <c r="FE97" s="634"/>
      <c r="FF97" s="634"/>
      <c r="FG97" s="634"/>
      <c r="FH97" s="634"/>
      <c r="FI97" s="634"/>
      <c r="FJ97" s="634"/>
      <c r="FK97" s="634"/>
      <c r="FL97" s="634"/>
      <c r="FM97" s="634"/>
      <c r="FN97" s="634"/>
      <c r="FO97" s="634"/>
      <c r="FP97" s="634"/>
      <c r="FQ97" s="634"/>
      <c r="FS97" s="634"/>
      <c r="FT97" s="634"/>
      <c r="FU97" s="634"/>
      <c r="FV97" s="634"/>
      <c r="FW97" s="634"/>
      <c r="FX97" s="634"/>
      <c r="FY97" s="634"/>
      <c r="FZ97" s="634"/>
    </row>
    <row r="98" ht="15.75" spans="1:182">
      <c r="A98" s="544"/>
      <c r="B98" s="653">
        <v>35</v>
      </c>
      <c r="C98" s="654">
        <v>7</v>
      </c>
      <c r="D98" s="655">
        <f t="shared" si="0"/>
        <v>252.313252202016</v>
      </c>
      <c r="E98" s="2">
        <f>TA!F23</f>
        <v>245.05464536043</v>
      </c>
      <c r="F98" s="650">
        <f t="shared" si="3"/>
        <v>33.0151899716969</v>
      </c>
      <c r="G98" s="656">
        <f>TA!AA23</f>
        <v>1.011</v>
      </c>
      <c r="H98" s="575">
        <f>TA!EU23/TA!EG23</f>
        <v>0.295249926304339</v>
      </c>
      <c r="I98" s="575">
        <f t="shared" si="4"/>
        <v>0.296733594275717</v>
      </c>
      <c r="J98" s="672">
        <f>POWER(I98*4/(C98*各项系数!$F$5*PI())*10000000,0.5)</f>
        <v>246.398759704805</v>
      </c>
      <c r="K98" s="650">
        <f t="shared" si="1"/>
        <v>33.3783570613855</v>
      </c>
      <c r="L98" s="653">
        <v>35</v>
      </c>
      <c r="M98" s="575">
        <f t="shared" si="2"/>
        <v>-1.62164293861446</v>
      </c>
      <c r="N98" s="634"/>
      <c r="O98" s="634"/>
      <c r="P98" s="634"/>
      <c r="Q98" s="634"/>
      <c r="R98" s="634"/>
      <c r="S98" s="634"/>
      <c r="T98" s="634"/>
      <c r="U98" s="634"/>
      <c r="V98" s="634"/>
      <c r="W98" s="634"/>
      <c r="X98" s="634"/>
      <c r="Y98" s="634"/>
      <c r="Z98" s="634"/>
      <c r="AA98" s="634"/>
      <c r="AB98" s="634"/>
      <c r="AD98" s="634"/>
      <c r="AE98" s="634"/>
      <c r="AG98" s="634"/>
      <c r="AI98" s="634"/>
      <c r="AJ98" s="634"/>
      <c r="AK98" s="634"/>
      <c r="AM98" s="634"/>
      <c r="AN98" s="634"/>
      <c r="AO98" s="634"/>
      <c r="AQ98" s="634"/>
      <c r="AR98" s="634"/>
      <c r="AS98" s="634"/>
      <c r="AT98" s="634"/>
      <c r="AU98" s="634"/>
      <c r="AV98" s="634"/>
      <c r="AX98" s="634"/>
      <c r="AY98" s="634"/>
      <c r="AZ98" s="634"/>
      <c r="BB98" s="634"/>
      <c r="BC98" s="634"/>
      <c r="BD98" s="634"/>
      <c r="BF98" s="634"/>
      <c r="BG98" s="634"/>
      <c r="BH98" s="634"/>
      <c r="BJ98" s="634"/>
      <c r="BK98" s="634"/>
      <c r="BL98" s="634"/>
      <c r="BN98" s="634"/>
      <c r="BO98" s="634"/>
      <c r="BP98" s="634"/>
      <c r="BQ98" s="634"/>
      <c r="BR98" s="634"/>
      <c r="BT98" s="634"/>
      <c r="BU98" s="634"/>
      <c r="BV98" s="634"/>
      <c r="BX98" s="634"/>
      <c r="BY98" s="634"/>
      <c r="BZ98" s="634"/>
      <c r="CB98" s="634"/>
      <c r="CC98" s="634"/>
      <c r="CD98" s="634"/>
      <c r="CF98" s="634"/>
      <c r="CG98" s="634"/>
      <c r="CH98" s="634"/>
      <c r="CJ98" s="634"/>
      <c r="CK98" s="634"/>
      <c r="CM98" s="634"/>
      <c r="CO98" s="634"/>
      <c r="CP98" s="634"/>
      <c r="CQ98" s="634"/>
      <c r="CS98" s="634"/>
      <c r="CT98" s="634"/>
      <c r="CU98" s="634"/>
      <c r="CW98" s="634"/>
      <c r="CX98" s="634"/>
      <c r="CY98" s="634"/>
      <c r="DA98" s="634"/>
      <c r="DB98" s="634"/>
      <c r="DC98" s="634"/>
      <c r="DD98" s="634"/>
      <c r="DE98" s="634"/>
      <c r="DF98" s="634"/>
      <c r="DH98" s="634"/>
      <c r="DI98" s="634"/>
      <c r="DJ98" s="634"/>
      <c r="DL98" s="634"/>
      <c r="DM98" s="634"/>
      <c r="DN98" s="634"/>
      <c r="DO98" s="634"/>
      <c r="DP98" s="634"/>
      <c r="DR98" s="634"/>
      <c r="DS98" s="634"/>
      <c r="DT98" s="634"/>
      <c r="DV98" s="634"/>
      <c r="DW98" s="634"/>
      <c r="DX98" s="634"/>
      <c r="DZ98" s="634"/>
      <c r="EA98" s="634"/>
      <c r="EB98" s="634"/>
      <c r="ED98" s="634"/>
      <c r="EE98" s="634"/>
      <c r="EF98" s="634"/>
      <c r="EH98" s="634"/>
      <c r="EI98" s="634"/>
      <c r="EJ98" s="634"/>
      <c r="EK98" s="634"/>
      <c r="EL98" s="634"/>
      <c r="EN98" s="634"/>
      <c r="EO98" s="634"/>
      <c r="EP98" s="634"/>
      <c r="ER98" s="634"/>
      <c r="ES98" s="634"/>
      <c r="ET98" s="634"/>
      <c r="EV98" s="634"/>
      <c r="EW98" s="634"/>
      <c r="EY98" s="634"/>
      <c r="EZ98" s="634"/>
      <c r="FA98" s="634"/>
      <c r="FB98" s="634"/>
      <c r="FC98" s="634"/>
      <c r="FD98" s="634"/>
      <c r="FE98" s="634"/>
      <c r="FF98" s="634"/>
      <c r="FG98" s="634"/>
      <c r="FH98" s="634"/>
      <c r="FI98" s="634"/>
      <c r="FJ98" s="634"/>
      <c r="FK98" s="634"/>
      <c r="FL98" s="634"/>
      <c r="FM98" s="634"/>
      <c r="FN98" s="634"/>
      <c r="FO98" s="634"/>
      <c r="FP98" s="634"/>
      <c r="FQ98" s="634"/>
      <c r="FS98" s="634"/>
      <c r="FT98" s="634"/>
      <c r="FU98" s="634"/>
      <c r="FV98" s="634"/>
      <c r="FW98" s="634"/>
      <c r="FX98" s="634"/>
      <c r="FY98" s="634"/>
      <c r="FZ98" s="634"/>
    </row>
    <row r="99" ht="15.75" spans="1:182">
      <c r="A99" s="544"/>
      <c r="B99" s="653">
        <v>50</v>
      </c>
      <c r="C99" s="654">
        <v>10</v>
      </c>
      <c r="D99" s="655">
        <f t="shared" si="0"/>
        <v>252.313252202016</v>
      </c>
      <c r="E99" s="2">
        <f>TA!F24</f>
        <v>238.573455311777</v>
      </c>
      <c r="F99" s="650">
        <f t="shared" si="3"/>
        <v>44.7027378428145</v>
      </c>
      <c r="G99" s="656">
        <f>TA!AA24</f>
        <v>1.011</v>
      </c>
      <c r="H99" s="575">
        <f>TA!EU24/TA!EG24</f>
        <v>0.399769926055488</v>
      </c>
      <c r="I99" s="575">
        <f t="shared" si="4"/>
        <v>0.401778820156269</v>
      </c>
      <c r="J99" s="672">
        <f>POWER(I99*4/(C99*各项系数!$F$5*PI())*10000000,0.5)</f>
        <v>239.882020603408</v>
      </c>
      <c r="K99" s="650">
        <f t="shared" si="1"/>
        <v>45.1944679590854</v>
      </c>
      <c r="L99" s="653">
        <v>50</v>
      </c>
      <c r="M99" s="575">
        <f t="shared" si="2"/>
        <v>-4.8055320409146</v>
      </c>
      <c r="N99" s="634"/>
      <c r="O99" s="634"/>
      <c r="P99" s="634"/>
      <c r="Q99" s="634"/>
      <c r="R99" s="634"/>
      <c r="S99" s="634"/>
      <c r="T99" s="634"/>
      <c r="U99" s="634"/>
      <c r="V99" s="634"/>
      <c r="W99" s="634"/>
      <c r="X99" s="634"/>
      <c r="Y99" s="634"/>
      <c r="Z99" s="634"/>
      <c r="AA99" s="634"/>
      <c r="AB99" s="634"/>
      <c r="AD99" s="634"/>
      <c r="AE99" s="634"/>
      <c r="AG99" s="634"/>
      <c r="AI99" s="634"/>
      <c r="AJ99" s="634"/>
      <c r="AK99" s="634"/>
      <c r="AM99" s="634"/>
      <c r="AN99" s="634"/>
      <c r="AO99" s="634"/>
      <c r="AQ99" s="634"/>
      <c r="AR99" s="634"/>
      <c r="AS99" s="634"/>
      <c r="AT99" s="634"/>
      <c r="AU99" s="634"/>
      <c r="AV99" s="634"/>
      <c r="AX99" s="634"/>
      <c r="AY99" s="634"/>
      <c r="AZ99" s="634"/>
      <c r="BB99" s="634"/>
      <c r="BC99" s="634"/>
      <c r="BD99" s="634"/>
      <c r="BF99" s="634"/>
      <c r="BG99" s="634"/>
      <c r="BH99" s="634"/>
      <c r="BJ99" s="634"/>
      <c r="BK99" s="634"/>
      <c r="BL99" s="634"/>
      <c r="BN99" s="634"/>
      <c r="BO99" s="634"/>
      <c r="BP99" s="634"/>
      <c r="BQ99" s="634"/>
      <c r="BR99" s="634"/>
      <c r="BT99" s="634"/>
      <c r="BU99" s="634"/>
      <c r="BV99" s="634"/>
      <c r="BX99" s="634"/>
      <c r="BY99" s="634"/>
      <c r="BZ99" s="634"/>
      <c r="CB99" s="634"/>
      <c r="CC99" s="634"/>
      <c r="CD99" s="634"/>
      <c r="CF99" s="634"/>
      <c r="CG99" s="634"/>
      <c r="CH99" s="634"/>
      <c r="CJ99" s="634"/>
      <c r="CK99" s="634"/>
      <c r="CM99" s="634"/>
      <c r="CO99" s="634"/>
      <c r="CP99" s="634"/>
      <c r="CQ99" s="634"/>
      <c r="CS99" s="634"/>
      <c r="CT99" s="634"/>
      <c r="CU99" s="634"/>
      <c r="CW99" s="634"/>
      <c r="CX99" s="634"/>
      <c r="CY99" s="634"/>
      <c r="DA99" s="634"/>
      <c r="DB99" s="634"/>
      <c r="DC99" s="634"/>
      <c r="DD99" s="634"/>
      <c r="DE99" s="634"/>
      <c r="DF99" s="634"/>
      <c r="DH99" s="634"/>
      <c r="DI99" s="634"/>
      <c r="DJ99" s="634"/>
      <c r="DL99" s="634"/>
      <c r="DM99" s="634"/>
      <c r="DN99" s="634"/>
      <c r="DO99" s="634"/>
      <c r="DP99" s="634"/>
      <c r="DR99" s="634"/>
      <c r="DS99" s="634"/>
      <c r="DT99" s="634"/>
      <c r="DV99" s="634"/>
      <c r="DW99" s="634"/>
      <c r="DX99" s="634"/>
      <c r="DZ99" s="634"/>
      <c r="EA99" s="634"/>
      <c r="EB99" s="634"/>
      <c r="ED99" s="634"/>
      <c r="EE99" s="634"/>
      <c r="EF99" s="634"/>
      <c r="EH99" s="634"/>
      <c r="EI99" s="634"/>
      <c r="EJ99" s="634"/>
      <c r="EK99" s="634"/>
      <c r="EL99" s="634"/>
      <c r="EN99" s="634"/>
      <c r="EO99" s="634"/>
      <c r="EP99" s="634"/>
      <c r="ER99" s="634"/>
      <c r="ES99" s="634"/>
      <c r="ET99" s="634"/>
      <c r="EV99" s="634"/>
      <c r="EW99" s="634"/>
      <c r="EY99" s="634"/>
      <c r="EZ99" s="634"/>
      <c r="FA99" s="634"/>
      <c r="FB99" s="634"/>
      <c r="FC99" s="634"/>
      <c r="FD99" s="634"/>
      <c r="FE99" s="634"/>
      <c r="FF99" s="634"/>
      <c r="FG99" s="634"/>
      <c r="FH99" s="634"/>
      <c r="FI99" s="634"/>
      <c r="FJ99" s="634"/>
      <c r="FK99" s="634"/>
      <c r="FL99" s="634"/>
      <c r="FM99" s="634"/>
      <c r="FN99" s="634"/>
      <c r="FO99" s="634"/>
      <c r="FP99" s="634"/>
      <c r="FQ99" s="634"/>
      <c r="FS99" s="634"/>
      <c r="FT99" s="634"/>
      <c r="FU99" s="634"/>
      <c r="FV99" s="634"/>
      <c r="FW99" s="634"/>
      <c r="FX99" s="634"/>
      <c r="FY99" s="634"/>
      <c r="FZ99" s="634"/>
    </row>
    <row r="100" ht="15.75" spans="1:182">
      <c r="A100" s="544"/>
      <c r="B100" s="653">
        <v>70</v>
      </c>
      <c r="C100" s="654">
        <v>14</v>
      </c>
      <c r="D100" s="655">
        <f t="shared" si="0"/>
        <v>252.313252202016</v>
      </c>
      <c r="E100" s="2">
        <f>TA!F25</f>
        <v>242.295968589101</v>
      </c>
      <c r="F100" s="650">
        <f t="shared" si="3"/>
        <v>64.5520878551087</v>
      </c>
      <c r="G100" s="656">
        <f>TA!AA25</f>
        <v>1.013</v>
      </c>
      <c r="H100" s="575">
        <f>TA!EU25/TA!EG25</f>
        <v>0.578421704096204</v>
      </c>
      <c r="I100" s="575">
        <f t="shared" si="4"/>
        <v>0.581328345825331</v>
      </c>
      <c r="J100" s="672">
        <f>POWER(I100*4/(C100*各项系数!$F$5*PI())*10000000,0.5)</f>
        <v>243.865806884974</v>
      </c>
      <c r="K100" s="650">
        <f t="shared" si="1"/>
        <v>65.3912649972251</v>
      </c>
      <c r="L100" s="653">
        <v>70</v>
      </c>
      <c r="M100" s="575">
        <f t="shared" si="2"/>
        <v>-4.60873500277494</v>
      </c>
      <c r="N100" s="634"/>
      <c r="O100" s="634"/>
      <c r="P100" s="634"/>
      <c r="Q100" s="634"/>
      <c r="R100" s="634"/>
      <c r="S100" s="634"/>
      <c r="T100" s="634"/>
      <c r="U100" s="634"/>
      <c r="V100" s="634"/>
      <c r="W100" s="634"/>
      <c r="X100" s="634"/>
      <c r="Y100" s="634"/>
      <c r="Z100" s="634"/>
      <c r="AA100" s="634"/>
      <c r="AB100" s="634"/>
      <c r="AD100" s="634"/>
      <c r="AE100" s="634"/>
      <c r="AG100" s="634"/>
      <c r="AI100" s="634"/>
      <c r="AJ100" s="634"/>
      <c r="AK100" s="634"/>
      <c r="AM100" s="634"/>
      <c r="AN100" s="634"/>
      <c r="AO100" s="634"/>
      <c r="AQ100" s="634"/>
      <c r="AR100" s="634"/>
      <c r="AS100" s="634"/>
      <c r="AT100" s="634"/>
      <c r="AU100" s="634"/>
      <c r="AV100" s="634"/>
      <c r="AX100" s="634"/>
      <c r="AY100" s="634"/>
      <c r="AZ100" s="634"/>
      <c r="BB100" s="634"/>
      <c r="BC100" s="634"/>
      <c r="BD100" s="634"/>
      <c r="BF100" s="634"/>
      <c r="BG100" s="634"/>
      <c r="BH100" s="634"/>
      <c r="BJ100" s="634"/>
      <c r="BK100" s="634"/>
      <c r="BL100" s="634"/>
      <c r="BN100" s="634"/>
      <c r="BO100" s="634"/>
      <c r="BP100" s="634"/>
      <c r="BQ100" s="634"/>
      <c r="BR100" s="634"/>
      <c r="BT100" s="634"/>
      <c r="BU100" s="634"/>
      <c r="BV100" s="634"/>
      <c r="BX100" s="634"/>
      <c r="BY100" s="634"/>
      <c r="BZ100" s="634"/>
      <c r="CB100" s="634"/>
      <c r="CC100" s="634"/>
      <c r="CD100" s="634"/>
      <c r="CF100" s="634"/>
      <c r="CG100" s="634"/>
      <c r="CH100" s="634"/>
      <c r="CJ100" s="634"/>
      <c r="CK100" s="634"/>
      <c r="CM100" s="634"/>
      <c r="CO100" s="634"/>
      <c r="CP100" s="634"/>
      <c r="CQ100" s="634"/>
      <c r="CS100" s="634"/>
      <c r="CT100" s="634"/>
      <c r="CU100" s="634"/>
      <c r="CW100" s="634"/>
      <c r="CX100" s="634"/>
      <c r="CY100" s="634"/>
      <c r="DA100" s="634"/>
      <c r="DB100" s="634"/>
      <c r="DC100" s="634"/>
      <c r="DD100" s="634"/>
      <c r="DE100" s="634"/>
      <c r="DF100" s="634"/>
      <c r="DH100" s="634"/>
      <c r="DI100" s="634"/>
      <c r="DJ100" s="634"/>
      <c r="DL100" s="634"/>
      <c r="DM100" s="634"/>
      <c r="DN100" s="634"/>
      <c r="DO100" s="634"/>
      <c r="DP100" s="634"/>
      <c r="DR100" s="634"/>
      <c r="DS100" s="634"/>
      <c r="DT100" s="634"/>
      <c r="DV100" s="634"/>
      <c r="DW100" s="634"/>
      <c r="DX100" s="634"/>
      <c r="DZ100" s="634"/>
      <c r="EA100" s="634"/>
      <c r="EB100" s="634"/>
      <c r="ED100" s="634"/>
      <c r="EE100" s="634"/>
      <c r="EF100" s="634"/>
      <c r="EH100" s="634"/>
      <c r="EI100" s="634"/>
      <c r="EJ100" s="634"/>
      <c r="EK100" s="634"/>
      <c r="EL100" s="634"/>
      <c r="EN100" s="634"/>
      <c r="EO100" s="634"/>
      <c r="EP100" s="634"/>
      <c r="ER100" s="634"/>
      <c r="ES100" s="634"/>
      <c r="ET100" s="634"/>
      <c r="EV100" s="634"/>
      <c r="EW100" s="634"/>
      <c r="EY100" s="634"/>
      <c r="EZ100" s="634"/>
      <c r="FA100" s="634"/>
      <c r="FB100" s="634"/>
      <c r="FC100" s="634"/>
      <c r="FD100" s="634"/>
      <c r="FE100" s="634"/>
      <c r="FF100" s="634"/>
      <c r="FG100" s="634"/>
      <c r="FH100" s="634"/>
      <c r="FI100" s="634"/>
      <c r="FJ100" s="634"/>
      <c r="FK100" s="634"/>
      <c r="FL100" s="634"/>
      <c r="FM100" s="634"/>
      <c r="FN100" s="634"/>
      <c r="FO100" s="634"/>
      <c r="FP100" s="634"/>
      <c r="FQ100" s="634"/>
      <c r="FS100" s="634"/>
      <c r="FT100" s="634"/>
      <c r="FU100" s="634"/>
      <c r="FV100" s="634"/>
      <c r="FW100" s="634"/>
      <c r="FX100" s="634"/>
      <c r="FY100" s="634"/>
      <c r="FZ100" s="634"/>
    </row>
    <row r="101" ht="15.75" spans="1:182">
      <c r="A101" s="544"/>
      <c r="B101" s="653">
        <v>95</v>
      </c>
      <c r="C101" s="654">
        <v>19</v>
      </c>
      <c r="D101" s="655">
        <f t="shared" si="0"/>
        <v>252.313252202016</v>
      </c>
      <c r="E101" s="2">
        <f>TA!F26</f>
        <v>245.088056587712</v>
      </c>
      <c r="F101" s="650">
        <f t="shared" si="3"/>
        <v>89.6370960889596</v>
      </c>
      <c r="G101" s="656">
        <f>TA!AA26</f>
        <v>1.013</v>
      </c>
      <c r="H101" s="575">
        <f>TA!EU26/TA!EG26</f>
        <v>0.803196977708721</v>
      </c>
      <c r="I101" s="575">
        <f t="shared" si="4"/>
        <v>0.807233143425851</v>
      </c>
      <c r="J101" s="672">
        <f>POWER(I101*4/(C101*各项系数!$F$5*PI())*10000000,0.5)</f>
        <v>246.675984853019</v>
      </c>
      <c r="K101" s="650">
        <f t="shared" si="1"/>
        <v>90.8023783381159</v>
      </c>
      <c r="L101" s="653">
        <v>95</v>
      </c>
      <c r="M101" s="575">
        <f t="shared" si="2"/>
        <v>-4.19762166188409</v>
      </c>
      <c r="N101" s="634"/>
      <c r="O101" s="634"/>
      <c r="P101" s="634"/>
      <c r="Q101" s="634"/>
      <c r="R101" s="634"/>
      <c r="S101" s="634"/>
      <c r="T101" s="634"/>
      <c r="U101" s="634"/>
      <c r="V101" s="634"/>
      <c r="W101" s="634"/>
      <c r="X101" s="634"/>
      <c r="Y101" s="634"/>
      <c r="Z101" s="634"/>
      <c r="AA101" s="634"/>
      <c r="AB101" s="634"/>
      <c r="AD101" s="634"/>
      <c r="AE101" s="634"/>
      <c r="AG101" s="634"/>
      <c r="AI101" s="634"/>
      <c r="AJ101" s="634"/>
      <c r="AK101" s="634"/>
      <c r="AM101" s="634"/>
      <c r="AN101" s="634"/>
      <c r="AO101" s="634"/>
      <c r="AQ101" s="634"/>
      <c r="AR101" s="634"/>
      <c r="AS101" s="634"/>
      <c r="AT101" s="634"/>
      <c r="AU101" s="634"/>
      <c r="AV101" s="634"/>
      <c r="AX101" s="634"/>
      <c r="AY101" s="634"/>
      <c r="AZ101" s="634"/>
      <c r="BB101" s="634"/>
      <c r="BC101" s="634"/>
      <c r="BD101" s="634"/>
      <c r="BF101" s="634"/>
      <c r="BG101" s="634"/>
      <c r="BH101" s="634"/>
      <c r="BJ101" s="634"/>
      <c r="BK101" s="634"/>
      <c r="BL101" s="634"/>
      <c r="BN101" s="634"/>
      <c r="BO101" s="634"/>
      <c r="BP101" s="634"/>
      <c r="BQ101" s="634"/>
      <c r="BR101" s="634"/>
      <c r="BT101" s="634"/>
      <c r="BU101" s="634"/>
      <c r="BV101" s="634"/>
      <c r="BX101" s="634"/>
      <c r="BY101" s="634"/>
      <c r="BZ101" s="634"/>
      <c r="CB101" s="634"/>
      <c r="CC101" s="634"/>
      <c r="CD101" s="634"/>
      <c r="CF101" s="634"/>
      <c r="CG101" s="634"/>
      <c r="CH101" s="634"/>
      <c r="CJ101" s="634"/>
      <c r="CK101" s="634"/>
      <c r="CM101" s="634"/>
      <c r="CO101" s="634"/>
      <c r="CP101" s="634"/>
      <c r="CQ101" s="634"/>
      <c r="CS101" s="634"/>
      <c r="CT101" s="634"/>
      <c r="CU101" s="634"/>
      <c r="CW101" s="634"/>
      <c r="CX101" s="634"/>
      <c r="CY101" s="634"/>
      <c r="DA101" s="634"/>
      <c r="DB101" s="634"/>
      <c r="DC101" s="634"/>
      <c r="DD101" s="634"/>
      <c r="DE101" s="634"/>
      <c r="DF101" s="634"/>
      <c r="DH101" s="634"/>
      <c r="DI101" s="634"/>
      <c r="DJ101" s="634"/>
      <c r="DL101" s="634"/>
      <c r="DM101" s="634"/>
      <c r="DN101" s="634"/>
      <c r="DO101" s="634"/>
      <c r="DP101" s="634"/>
      <c r="DR101" s="634"/>
      <c r="DS101" s="634"/>
      <c r="DT101" s="634"/>
      <c r="DV101" s="634"/>
      <c r="DW101" s="634"/>
      <c r="DX101" s="634"/>
      <c r="DZ101" s="634"/>
      <c r="EA101" s="634"/>
      <c r="EB101" s="634"/>
      <c r="ED101" s="634"/>
      <c r="EE101" s="634"/>
      <c r="EF101" s="634"/>
      <c r="EH101" s="634"/>
      <c r="EI101" s="634"/>
      <c r="EJ101" s="634"/>
      <c r="EK101" s="634"/>
      <c r="EL101" s="634"/>
      <c r="EN101" s="634"/>
      <c r="EO101" s="634"/>
      <c r="EP101" s="634"/>
      <c r="ER101" s="634"/>
      <c r="ES101" s="634"/>
      <c r="ET101" s="634"/>
      <c r="EV101" s="634"/>
      <c r="EW101" s="634"/>
      <c r="EY101" s="634"/>
      <c r="EZ101" s="634"/>
      <c r="FA101" s="634"/>
      <c r="FB101" s="634"/>
      <c r="FC101" s="634"/>
      <c r="FD101" s="634"/>
      <c r="FE101" s="634"/>
      <c r="FF101" s="634"/>
      <c r="FG101" s="634"/>
      <c r="FH101" s="634"/>
      <c r="FI101" s="634"/>
      <c r="FJ101" s="634"/>
      <c r="FK101" s="634"/>
      <c r="FL101" s="634"/>
      <c r="FM101" s="634"/>
      <c r="FN101" s="634"/>
      <c r="FO101" s="634"/>
      <c r="FP101" s="634"/>
      <c r="FQ101" s="634"/>
      <c r="FS101" s="634"/>
      <c r="FT101" s="634"/>
      <c r="FU101" s="634"/>
      <c r="FV101" s="634"/>
      <c r="FW101" s="634"/>
      <c r="FX101" s="634"/>
      <c r="FY101" s="634"/>
      <c r="FZ101" s="634"/>
    </row>
    <row r="102" ht="15.75" spans="1:182">
      <c r="A102" s="544"/>
      <c r="B102" s="657">
        <v>120</v>
      </c>
      <c r="C102" s="654">
        <v>24</v>
      </c>
      <c r="D102" s="658">
        <f t="shared" ref="D102:D110" si="5">(4*B102/PI()/C102)^(1/2)*100</f>
        <v>252.313252202016</v>
      </c>
      <c r="E102" s="2">
        <f>TA!F27</f>
        <v>244.921136962963</v>
      </c>
      <c r="F102" s="650">
        <f t="shared" si="3"/>
        <v>113.071631014177</v>
      </c>
      <c r="G102" s="656">
        <f>TA!AA27</f>
        <v>1.013</v>
      </c>
      <c r="H102" s="575">
        <f>TA!EU27/TA!EG27</f>
        <v>1.01318311567178</v>
      </c>
      <c r="I102" s="575">
        <f t="shared" si="4"/>
        <v>1.01827448811234</v>
      </c>
      <c r="J102" s="672">
        <f>POWER(I102*4/(C102*各项系数!$F$5*PI())*10000000,0.5)</f>
        <v>246.50798375415</v>
      </c>
      <c r="K102" s="650">
        <f t="shared" si="1"/>
        <v>114.541562217361</v>
      </c>
      <c r="L102" s="657">
        <v>120</v>
      </c>
      <c r="M102" s="575">
        <f t="shared" si="2"/>
        <v>-5.45843778263873</v>
      </c>
      <c r="N102" s="634"/>
      <c r="O102" s="634"/>
      <c r="P102" s="634"/>
      <c r="Q102" s="634"/>
      <c r="R102" s="634"/>
      <c r="S102" s="634"/>
      <c r="T102" s="634"/>
      <c r="U102" s="634"/>
      <c r="V102" s="634"/>
      <c r="W102" s="634"/>
      <c r="X102" s="634"/>
      <c r="Y102" s="634"/>
      <c r="Z102" s="634"/>
      <c r="AA102" s="634"/>
      <c r="AB102" s="634"/>
      <c r="AD102" s="634"/>
      <c r="AE102" s="634"/>
      <c r="AG102" s="634"/>
      <c r="AI102" s="634"/>
      <c r="AJ102" s="634"/>
      <c r="AK102" s="634"/>
      <c r="AM102" s="634"/>
      <c r="AN102" s="634"/>
      <c r="AO102" s="634"/>
      <c r="AQ102" s="634"/>
      <c r="AR102" s="634"/>
      <c r="AS102" s="634"/>
      <c r="AT102" s="634"/>
      <c r="AU102" s="634"/>
      <c r="AV102" s="634"/>
      <c r="AX102" s="634"/>
      <c r="AY102" s="634"/>
      <c r="AZ102" s="634"/>
      <c r="BB102" s="634"/>
      <c r="BC102" s="634"/>
      <c r="BD102" s="634"/>
      <c r="BF102" s="634"/>
      <c r="BG102" s="634"/>
      <c r="BH102" s="634"/>
      <c r="BJ102" s="634"/>
      <c r="BK102" s="634"/>
      <c r="BL102" s="634"/>
      <c r="BN102" s="634"/>
      <c r="BO102" s="634"/>
      <c r="BP102" s="634"/>
      <c r="BQ102" s="634"/>
      <c r="BR102" s="634"/>
      <c r="BT102" s="634"/>
      <c r="BU102" s="634"/>
      <c r="BV102" s="634"/>
      <c r="BX102" s="634"/>
      <c r="BY102" s="634"/>
      <c r="BZ102" s="634"/>
      <c r="CB102" s="634"/>
      <c r="CC102" s="634"/>
      <c r="CD102" s="634"/>
      <c r="CF102" s="634"/>
      <c r="CG102" s="634"/>
      <c r="CH102" s="634"/>
      <c r="CJ102" s="634"/>
      <c r="CK102" s="634"/>
      <c r="CM102" s="634"/>
      <c r="CO102" s="634"/>
      <c r="CP102" s="634"/>
      <c r="CQ102" s="634"/>
      <c r="CS102" s="634"/>
      <c r="CT102" s="634"/>
      <c r="CU102" s="634"/>
      <c r="CW102" s="634"/>
      <c r="CX102" s="634"/>
      <c r="CY102" s="634"/>
      <c r="DA102" s="634"/>
      <c r="DB102" s="634"/>
      <c r="DC102" s="634"/>
      <c r="DD102" s="634"/>
      <c r="DE102" s="634"/>
      <c r="DF102" s="634"/>
      <c r="DH102" s="634"/>
      <c r="DI102" s="634"/>
      <c r="DJ102" s="634"/>
      <c r="DL102" s="634"/>
      <c r="DM102" s="634"/>
      <c r="DN102" s="634"/>
      <c r="DO102" s="634"/>
      <c r="DP102" s="634"/>
      <c r="DR102" s="634"/>
      <c r="DS102" s="634"/>
      <c r="DT102" s="634"/>
      <c r="DV102" s="634"/>
      <c r="DW102" s="634"/>
      <c r="DX102" s="634"/>
      <c r="DZ102" s="634"/>
      <c r="EA102" s="634"/>
      <c r="EB102" s="634"/>
      <c r="ED102" s="634"/>
      <c r="EE102" s="634"/>
      <c r="EF102" s="634"/>
      <c r="EH102" s="634"/>
      <c r="EI102" s="634"/>
      <c r="EJ102" s="634"/>
      <c r="EK102" s="634"/>
      <c r="EL102" s="634"/>
      <c r="EN102" s="634"/>
      <c r="EO102" s="634"/>
      <c r="EP102" s="634"/>
      <c r="ER102" s="634"/>
      <c r="ES102" s="634"/>
      <c r="ET102" s="634"/>
      <c r="EV102" s="634"/>
      <c r="EW102" s="634"/>
      <c r="EY102" s="634"/>
      <c r="EZ102" s="634"/>
      <c r="FA102" s="634"/>
      <c r="FB102" s="634"/>
      <c r="FC102" s="634"/>
      <c r="FD102" s="634"/>
      <c r="FE102" s="634"/>
      <c r="FF102" s="634"/>
      <c r="FG102" s="634"/>
      <c r="FH102" s="634"/>
      <c r="FI102" s="634"/>
      <c r="FJ102" s="634"/>
      <c r="FK102" s="634"/>
      <c r="FL102" s="634"/>
      <c r="FM102" s="634"/>
      <c r="FN102" s="634"/>
      <c r="FO102" s="634"/>
      <c r="FP102" s="634"/>
      <c r="FQ102" s="634"/>
      <c r="FS102" s="634"/>
      <c r="FT102" s="634"/>
      <c r="FU102" s="634"/>
      <c r="FV102" s="634"/>
      <c r="FW102" s="634"/>
      <c r="FX102" s="634"/>
      <c r="FY102" s="634"/>
      <c r="FZ102" s="634"/>
    </row>
    <row r="103" ht="15.75" spans="1:182">
      <c r="A103" s="544"/>
      <c r="B103" s="657">
        <v>150</v>
      </c>
      <c r="C103" s="654">
        <v>30</v>
      </c>
      <c r="D103" s="658">
        <f t="shared" si="5"/>
        <v>252.313252202016</v>
      </c>
      <c r="E103" s="2">
        <f>TA!F28</f>
        <v>243.335870228497</v>
      </c>
      <c r="F103" s="650">
        <f t="shared" si="3"/>
        <v>139.515802783622</v>
      </c>
      <c r="G103" s="656">
        <f>TA!AA28</f>
        <v>1.015</v>
      </c>
      <c r="H103" s="575">
        <f>TA!EU28/TA!EG28</f>
        <v>1.25260541945236</v>
      </c>
      <c r="I103" s="575">
        <f t="shared" si="4"/>
        <v>1.2588999190476</v>
      </c>
      <c r="J103" s="672">
        <f>POWER(I103*4/(C103*各项系数!$F$5*PI())*10000000,0.5)</f>
        <v>245.154096286311</v>
      </c>
      <c r="K103" s="650">
        <f t="shared" si="1"/>
        <v>141.608539825376</v>
      </c>
      <c r="L103" s="657">
        <v>150</v>
      </c>
      <c r="M103" s="575">
        <f t="shared" si="2"/>
        <v>-8.39146017462375</v>
      </c>
      <c r="N103" s="634"/>
      <c r="O103" s="634"/>
      <c r="P103" s="634"/>
      <c r="Q103" s="634"/>
      <c r="R103" s="634"/>
      <c r="S103" s="634"/>
      <c r="T103" s="634"/>
      <c r="U103" s="634"/>
      <c r="V103" s="634"/>
      <c r="W103" s="634"/>
      <c r="X103" s="634"/>
      <c r="Y103" s="634"/>
      <c r="Z103" s="634"/>
      <c r="AA103" s="634"/>
      <c r="AB103" s="634"/>
      <c r="AD103" s="634"/>
      <c r="AE103" s="634"/>
      <c r="AG103" s="634"/>
      <c r="AI103" s="634"/>
      <c r="AJ103" s="634"/>
      <c r="AK103" s="634"/>
      <c r="AM103" s="634"/>
      <c r="AN103" s="634"/>
      <c r="AO103" s="634"/>
      <c r="AQ103" s="634"/>
      <c r="AR103" s="634"/>
      <c r="AS103" s="634"/>
      <c r="AT103" s="634"/>
      <c r="AU103" s="634"/>
      <c r="AV103" s="634"/>
      <c r="AX103" s="634"/>
      <c r="AY103" s="634"/>
      <c r="AZ103" s="634"/>
      <c r="BB103" s="634"/>
      <c r="BC103" s="634"/>
      <c r="BD103" s="634"/>
      <c r="BF103" s="634"/>
      <c r="BG103" s="634"/>
      <c r="BH103" s="634"/>
      <c r="BJ103" s="634"/>
      <c r="BK103" s="634"/>
      <c r="BL103" s="634"/>
      <c r="BN103" s="634"/>
      <c r="BO103" s="634"/>
      <c r="BP103" s="634"/>
      <c r="BQ103" s="634"/>
      <c r="BR103" s="634"/>
      <c r="BT103" s="634"/>
      <c r="BU103" s="634"/>
      <c r="BV103" s="634"/>
      <c r="BX103" s="634"/>
      <c r="BY103" s="634"/>
      <c r="BZ103" s="634"/>
      <c r="CB103" s="634"/>
      <c r="CC103" s="634"/>
      <c r="CD103" s="634"/>
      <c r="CF103" s="634"/>
      <c r="CG103" s="634"/>
      <c r="CH103" s="634"/>
      <c r="CJ103" s="634"/>
      <c r="CK103" s="634"/>
      <c r="CM103" s="634"/>
      <c r="CO103" s="634"/>
      <c r="CP103" s="634"/>
      <c r="CQ103" s="634"/>
      <c r="CS103" s="634"/>
      <c r="CT103" s="634"/>
      <c r="CU103" s="634"/>
      <c r="CW103" s="634"/>
      <c r="CX103" s="634"/>
      <c r="CY103" s="634"/>
      <c r="DA103" s="634"/>
      <c r="DB103" s="634"/>
      <c r="DC103" s="634"/>
      <c r="DD103" s="634"/>
      <c r="DE103" s="634"/>
      <c r="DF103" s="634"/>
      <c r="DH103" s="634"/>
      <c r="DI103" s="634"/>
      <c r="DJ103" s="634"/>
      <c r="DL103" s="634"/>
      <c r="DM103" s="634"/>
      <c r="DN103" s="634"/>
      <c r="DO103" s="634"/>
      <c r="DP103" s="634"/>
      <c r="DR103" s="634"/>
      <c r="DS103" s="634"/>
      <c r="DT103" s="634"/>
      <c r="DV103" s="634"/>
      <c r="DW103" s="634"/>
      <c r="DX103" s="634"/>
      <c r="DZ103" s="634"/>
      <c r="EA103" s="634"/>
      <c r="EB103" s="634"/>
      <c r="ED103" s="634"/>
      <c r="EE103" s="634"/>
      <c r="EF103" s="634"/>
      <c r="EH103" s="634"/>
      <c r="EI103" s="634"/>
      <c r="EJ103" s="634"/>
      <c r="EK103" s="634"/>
      <c r="EL103" s="634"/>
      <c r="EN103" s="634"/>
      <c r="EO103" s="634"/>
      <c r="EP103" s="634"/>
      <c r="ER103" s="634"/>
      <c r="ES103" s="634"/>
      <c r="ET103" s="634"/>
      <c r="EV103" s="634"/>
      <c r="EW103" s="634"/>
      <c r="EY103" s="634"/>
      <c r="EZ103" s="634"/>
      <c r="FA103" s="634"/>
      <c r="FB103" s="634"/>
      <c r="FC103" s="634"/>
      <c r="FD103" s="634"/>
      <c r="FE103" s="634"/>
      <c r="FF103" s="634"/>
      <c r="FG103" s="634"/>
      <c r="FH103" s="634"/>
      <c r="FI103" s="634"/>
      <c r="FJ103" s="634"/>
      <c r="FK103" s="634"/>
      <c r="FL103" s="634"/>
      <c r="FM103" s="634"/>
      <c r="FN103" s="634"/>
      <c r="FO103" s="634"/>
      <c r="FP103" s="634"/>
      <c r="FQ103" s="634"/>
      <c r="FS103" s="634"/>
      <c r="FT103" s="634"/>
      <c r="FU103" s="634"/>
      <c r="FV103" s="634"/>
      <c r="FW103" s="634"/>
      <c r="FX103" s="634"/>
      <c r="FY103" s="634"/>
      <c r="FZ103" s="634"/>
    </row>
    <row r="104" ht="15.75" spans="1:182">
      <c r="A104" s="544"/>
      <c r="B104" s="657">
        <v>185</v>
      </c>
      <c r="C104" s="654">
        <v>37</v>
      </c>
      <c r="D104" s="658">
        <f t="shared" si="5"/>
        <v>252.313252202016</v>
      </c>
      <c r="E104" s="2">
        <f>TA!F29</f>
        <v>245.09808262108</v>
      </c>
      <c r="F104" s="650">
        <f t="shared" si="3"/>
        <v>174.570732040052</v>
      </c>
      <c r="G104" s="656">
        <f>TA!AA29</f>
        <v>1.015</v>
      </c>
      <c r="H104" s="575">
        <f>TA!EU29/TA!EG29</f>
        <v>1.56733675087884</v>
      </c>
      <c r="I104" s="575">
        <f t="shared" si="4"/>
        <v>1.5752128149536</v>
      </c>
      <c r="J104" s="672">
        <f>POWER(I104*4/(C104*各项系数!$F$5*PI())*10000000,0.5)</f>
        <v>246.929476077883</v>
      </c>
      <c r="K104" s="650">
        <f t="shared" si="1"/>
        <v>177.189293020653</v>
      </c>
      <c r="L104" s="657">
        <v>185</v>
      </c>
      <c r="M104" s="575">
        <f t="shared" si="2"/>
        <v>-7.81070697934723</v>
      </c>
      <c r="N104" s="634"/>
      <c r="O104" s="634"/>
      <c r="P104" s="634"/>
      <c r="Q104" s="634"/>
      <c r="R104" s="634"/>
      <c r="S104" s="634"/>
      <c r="T104" s="634"/>
      <c r="U104" s="634"/>
      <c r="V104" s="634"/>
      <c r="W104" s="634"/>
      <c r="X104" s="634"/>
      <c r="Y104" s="634"/>
      <c r="Z104" s="634"/>
      <c r="AA104" s="634"/>
      <c r="AB104" s="634"/>
      <c r="AD104" s="634"/>
      <c r="AE104" s="634"/>
      <c r="AG104" s="634"/>
      <c r="AI104" s="634"/>
      <c r="AJ104" s="634"/>
      <c r="AK104" s="634"/>
      <c r="AM104" s="634"/>
      <c r="AN104" s="634"/>
      <c r="AO104" s="634"/>
      <c r="AQ104" s="634"/>
      <c r="AR104" s="634"/>
      <c r="AS104" s="634"/>
      <c r="AT104" s="634"/>
      <c r="AU104" s="634"/>
      <c r="AV104" s="634"/>
      <c r="AX104" s="634"/>
      <c r="AY104" s="634"/>
      <c r="AZ104" s="634"/>
      <c r="BB104" s="634"/>
      <c r="BC104" s="634"/>
      <c r="BD104" s="634"/>
      <c r="BF104" s="634"/>
      <c r="BG104" s="634"/>
      <c r="BH104" s="634"/>
      <c r="BJ104" s="634"/>
      <c r="BK104" s="634"/>
      <c r="BL104" s="634"/>
      <c r="BN104" s="634"/>
      <c r="BO104" s="634"/>
      <c r="BP104" s="634"/>
      <c r="BQ104" s="634"/>
      <c r="BR104" s="634"/>
      <c r="BT104" s="634"/>
      <c r="BU104" s="634"/>
      <c r="BV104" s="634"/>
      <c r="BX104" s="634"/>
      <c r="BY104" s="634"/>
      <c r="BZ104" s="634"/>
      <c r="CB104" s="634"/>
      <c r="CC104" s="634"/>
      <c r="CD104" s="634"/>
      <c r="CF104" s="634"/>
      <c r="CG104" s="634"/>
      <c r="CH104" s="634"/>
      <c r="CJ104" s="634"/>
      <c r="CK104" s="634"/>
      <c r="CM104" s="634"/>
      <c r="CO104" s="634"/>
      <c r="CP104" s="634"/>
      <c r="CQ104" s="634"/>
      <c r="CS104" s="634"/>
      <c r="CT104" s="634"/>
      <c r="CU104" s="634"/>
      <c r="CW104" s="634"/>
      <c r="CX104" s="634"/>
      <c r="CY104" s="634"/>
      <c r="DA104" s="634"/>
      <c r="DB104" s="634"/>
      <c r="DC104" s="634"/>
      <c r="DD104" s="634"/>
      <c r="DE104" s="634"/>
      <c r="DF104" s="634"/>
      <c r="DH104" s="634"/>
      <c r="DI104" s="634"/>
      <c r="DJ104" s="634"/>
      <c r="DL104" s="634"/>
      <c r="DM104" s="634"/>
      <c r="DN104" s="634"/>
      <c r="DO104" s="634"/>
      <c r="DP104" s="634"/>
      <c r="DR104" s="634"/>
      <c r="DS104" s="634"/>
      <c r="DT104" s="634"/>
      <c r="DV104" s="634"/>
      <c r="DW104" s="634"/>
      <c r="DX104" s="634"/>
      <c r="DZ104" s="634"/>
      <c r="EA104" s="634"/>
      <c r="EB104" s="634"/>
      <c r="ED104" s="634"/>
      <c r="EE104" s="634"/>
      <c r="EF104" s="634"/>
      <c r="EH104" s="634"/>
      <c r="EI104" s="634"/>
      <c r="EJ104" s="634"/>
      <c r="EK104" s="634"/>
      <c r="EL104" s="634"/>
      <c r="EN104" s="634"/>
      <c r="EO104" s="634"/>
      <c r="EP104" s="634"/>
      <c r="ER104" s="634"/>
      <c r="ES104" s="634"/>
      <c r="ET104" s="634"/>
      <c r="EV104" s="634"/>
      <c r="EW104" s="634"/>
      <c r="EY104" s="634"/>
      <c r="EZ104" s="634"/>
      <c r="FA104" s="634"/>
      <c r="FB104" s="634"/>
      <c r="FC104" s="634"/>
      <c r="FD104" s="634"/>
      <c r="FE104" s="634"/>
      <c r="FF104" s="634"/>
      <c r="FG104" s="634"/>
      <c r="FH104" s="634"/>
      <c r="FI104" s="634"/>
      <c r="FJ104" s="634"/>
      <c r="FK104" s="634"/>
      <c r="FL104" s="634"/>
      <c r="FM104" s="634"/>
      <c r="FN104" s="634"/>
      <c r="FO104" s="634"/>
      <c r="FP104" s="634"/>
      <c r="FQ104" s="634"/>
      <c r="FS104" s="634"/>
      <c r="FT104" s="634"/>
      <c r="FU104" s="634"/>
      <c r="FV104" s="634"/>
      <c r="FW104" s="634"/>
      <c r="FX104" s="634"/>
      <c r="FY104" s="634"/>
      <c r="FZ104" s="634"/>
    </row>
    <row r="105" ht="15.75" spans="1:182">
      <c r="A105" s="544"/>
      <c r="B105" s="659">
        <v>240</v>
      </c>
      <c r="C105" s="654">
        <v>48</v>
      </c>
      <c r="D105" s="658">
        <f t="shared" si="5"/>
        <v>252.313252202016</v>
      </c>
      <c r="E105" s="2">
        <f>TA!F30</f>
        <v>246.701228113631</v>
      </c>
      <c r="F105" s="650">
        <f t="shared" si="3"/>
        <v>229.442434286063</v>
      </c>
      <c r="G105" s="656">
        <f>TA!AA30</f>
        <v>1.015</v>
      </c>
      <c r="H105" s="575">
        <f>TA!EU30/TA!EG30</f>
        <v>2.05998769246807</v>
      </c>
      <c r="I105" s="575">
        <f t="shared" si="4"/>
        <v>2.07033938941514</v>
      </c>
      <c r="J105" s="672">
        <f>POWER(I105*4/(C105*各项系数!$F$5*PI())*10000000,0.5)</f>
        <v>248.544600408187</v>
      </c>
      <c r="K105" s="650">
        <f t="shared" si="1"/>
        <v>232.884070800354</v>
      </c>
      <c r="L105" s="659">
        <v>240</v>
      </c>
      <c r="M105" s="575">
        <f t="shared" si="2"/>
        <v>-7.11592919964636</v>
      </c>
      <c r="N105" s="634"/>
      <c r="O105" s="634"/>
      <c r="P105" s="634"/>
      <c r="Q105" s="634"/>
      <c r="R105" s="634"/>
      <c r="S105" s="634"/>
      <c r="T105" s="634"/>
      <c r="U105" s="634"/>
      <c r="V105" s="634"/>
      <c r="W105" s="634"/>
      <c r="X105" s="634"/>
      <c r="Y105" s="634"/>
      <c r="Z105" s="634"/>
      <c r="AA105" s="634"/>
      <c r="AB105" s="634"/>
      <c r="AD105" s="634"/>
      <c r="AE105" s="634"/>
      <c r="AG105" s="634"/>
      <c r="AI105" s="634"/>
      <c r="AJ105" s="634"/>
      <c r="AK105" s="634"/>
      <c r="AM105" s="634"/>
      <c r="AN105" s="634"/>
      <c r="AO105" s="634"/>
      <c r="AQ105" s="634"/>
      <c r="AR105" s="634"/>
      <c r="AS105" s="634"/>
      <c r="AT105" s="634"/>
      <c r="AU105" s="634"/>
      <c r="AV105" s="634"/>
      <c r="AX105" s="634"/>
      <c r="AY105" s="634"/>
      <c r="AZ105" s="634"/>
      <c r="BB105" s="634"/>
      <c r="BC105" s="634"/>
      <c r="BD105" s="634"/>
      <c r="BF105" s="634"/>
      <c r="BG105" s="634"/>
      <c r="BH105" s="634"/>
      <c r="BJ105" s="634"/>
      <c r="BK105" s="634"/>
      <c r="BL105" s="634"/>
      <c r="BN105" s="634"/>
      <c r="BO105" s="634"/>
      <c r="BP105" s="634"/>
      <c r="BQ105" s="634"/>
      <c r="BR105" s="634"/>
      <c r="BT105" s="634"/>
      <c r="BU105" s="634"/>
      <c r="BV105" s="634"/>
      <c r="BX105" s="634"/>
      <c r="BY105" s="634"/>
      <c r="BZ105" s="634"/>
      <c r="CB105" s="634"/>
      <c r="CC105" s="634"/>
      <c r="CD105" s="634"/>
      <c r="CF105" s="634"/>
      <c r="CG105" s="634"/>
      <c r="CH105" s="634"/>
      <c r="CJ105" s="634"/>
      <c r="CK105" s="634"/>
      <c r="CM105" s="634"/>
      <c r="CO105" s="634"/>
      <c r="CP105" s="634"/>
      <c r="CQ105" s="634"/>
      <c r="CS105" s="634"/>
      <c r="CT105" s="634"/>
      <c r="CU105" s="634"/>
      <c r="CW105" s="634"/>
      <c r="CX105" s="634"/>
      <c r="CY105" s="634"/>
      <c r="DA105" s="634"/>
      <c r="DB105" s="634"/>
      <c r="DC105" s="634"/>
      <c r="DD105" s="634"/>
      <c r="DE105" s="634"/>
      <c r="DF105" s="634"/>
      <c r="DH105" s="634"/>
      <c r="DI105" s="634"/>
      <c r="DJ105" s="634"/>
      <c r="DL105" s="634"/>
      <c r="DM105" s="634"/>
      <c r="DN105" s="634"/>
      <c r="DO105" s="634"/>
      <c r="DP105" s="634"/>
      <c r="DR105" s="634"/>
      <c r="DS105" s="634"/>
      <c r="DT105" s="634"/>
      <c r="DV105" s="634"/>
      <c r="DW105" s="634"/>
      <c r="DX105" s="634"/>
      <c r="DZ105" s="634"/>
      <c r="EA105" s="634"/>
      <c r="EB105" s="634"/>
      <c r="ED105" s="634"/>
      <c r="EE105" s="634"/>
      <c r="EF105" s="634"/>
      <c r="EH105" s="634"/>
      <c r="EI105" s="634"/>
      <c r="EJ105" s="634"/>
      <c r="EK105" s="634"/>
      <c r="EL105" s="634"/>
      <c r="EN105" s="634"/>
      <c r="EO105" s="634"/>
      <c r="EP105" s="634"/>
      <c r="ER105" s="634"/>
      <c r="ES105" s="634"/>
      <c r="ET105" s="634"/>
      <c r="EV105" s="634"/>
      <c r="EW105" s="634"/>
      <c r="EY105" s="634"/>
      <c r="EZ105" s="634"/>
      <c r="FA105" s="634"/>
      <c r="FB105" s="634"/>
      <c r="FC105" s="634"/>
      <c r="FD105" s="634"/>
      <c r="FE105" s="634"/>
      <c r="FF105" s="634"/>
      <c r="FG105" s="634"/>
      <c r="FH105" s="634"/>
      <c r="FI105" s="634"/>
      <c r="FJ105" s="634"/>
      <c r="FK105" s="634"/>
      <c r="FL105" s="634"/>
      <c r="FM105" s="634"/>
      <c r="FN105" s="634"/>
      <c r="FO105" s="634"/>
      <c r="FP105" s="634"/>
      <c r="FQ105" s="634"/>
      <c r="FS105" s="634"/>
      <c r="FT105" s="634"/>
      <c r="FU105" s="634"/>
      <c r="FV105" s="634"/>
      <c r="FW105" s="634"/>
      <c r="FX105" s="634"/>
      <c r="FY105" s="634"/>
      <c r="FZ105" s="634"/>
    </row>
    <row r="106" ht="15.75" spans="1:182">
      <c r="A106" s="544"/>
      <c r="B106" s="657">
        <v>300</v>
      </c>
      <c r="C106" s="660">
        <v>61</v>
      </c>
      <c r="D106" s="658">
        <f t="shared" si="5"/>
        <v>250.236564605702</v>
      </c>
      <c r="E106" s="2">
        <f>TA!F31</f>
        <v>245.118138379664</v>
      </c>
      <c r="F106" s="650">
        <f t="shared" si="3"/>
        <v>287.852904245743</v>
      </c>
      <c r="G106" s="656">
        <f>TA!AA31</f>
        <v>1.02</v>
      </c>
      <c r="H106" s="575">
        <f>TA!EU31/TA!EG31</f>
        <v>2.59714160229395</v>
      </c>
      <c r="I106" s="575">
        <f t="shared" si="4"/>
        <v>2.61019256511954</v>
      </c>
      <c r="J106" s="672">
        <f>POWER(I106*4/(C106*各项系数!$F$5*PI())*10000000,0.5)</f>
        <v>247.557184904753</v>
      </c>
      <c r="K106" s="650">
        <f t="shared" si="1"/>
        <v>293.609962330657</v>
      </c>
      <c r="L106" s="657">
        <v>300</v>
      </c>
      <c r="M106" s="575">
        <f t="shared" si="2"/>
        <v>-6.39003766934269</v>
      </c>
      <c r="N106" s="634"/>
      <c r="O106" s="634"/>
      <c r="P106" s="634"/>
      <c r="Q106" s="634"/>
      <c r="R106" s="634"/>
      <c r="S106" s="634"/>
      <c r="T106" s="634"/>
      <c r="U106" s="634"/>
      <c r="V106" s="634"/>
      <c r="W106" s="634"/>
      <c r="X106" s="634"/>
      <c r="Y106" s="634"/>
      <c r="Z106" s="634"/>
      <c r="AA106" s="634"/>
      <c r="AB106" s="634"/>
      <c r="AD106" s="634"/>
      <c r="AE106" s="634"/>
      <c r="AG106" s="634"/>
      <c r="AI106" s="634"/>
      <c r="AJ106" s="634"/>
      <c r="AK106" s="634"/>
      <c r="AM106" s="634"/>
      <c r="AN106" s="634"/>
      <c r="AO106" s="634"/>
      <c r="AQ106" s="634"/>
      <c r="AR106" s="634"/>
      <c r="AS106" s="634"/>
      <c r="AT106" s="634"/>
      <c r="AU106" s="634"/>
      <c r="AV106" s="634"/>
      <c r="AX106" s="634"/>
      <c r="AY106" s="634"/>
      <c r="AZ106" s="634"/>
      <c r="BB106" s="634"/>
      <c r="BC106" s="634"/>
      <c r="BD106" s="634"/>
      <c r="BF106" s="634"/>
      <c r="BG106" s="634"/>
      <c r="BH106" s="634"/>
      <c r="BJ106" s="634"/>
      <c r="BK106" s="634"/>
      <c r="BL106" s="634"/>
      <c r="BN106" s="634"/>
      <c r="BO106" s="634"/>
      <c r="BP106" s="634"/>
      <c r="BQ106" s="634"/>
      <c r="BR106" s="634"/>
      <c r="BT106" s="634"/>
      <c r="BU106" s="634"/>
      <c r="BV106" s="634"/>
      <c r="BX106" s="634"/>
      <c r="BY106" s="634"/>
      <c r="BZ106" s="634"/>
      <c r="CB106" s="634"/>
      <c r="CC106" s="634"/>
      <c r="CD106" s="634"/>
      <c r="CF106" s="634"/>
      <c r="CG106" s="634"/>
      <c r="CH106" s="634"/>
      <c r="CJ106" s="634"/>
      <c r="CK106" s="634"/>
      <c r="CM106" s="634"/>
      <c r="CO106" s="634"/>
      <c r="CP106" s="634"/>
      <c r="CQ106" s="634"/>
      <c r="CS106" s="634"/>
      <c r="CT106" s="634"/>
      <c r="CU106" s="634"/>
      <c r="CW106" s="634"/>
      <c r="CX106" s="634"/>
      <c r="CY106" s="634"/>
      <c r="DA106" s="634"/>
      <c r="DB106" s="634"/>
      <c r="DC106" s="634"/>
      <c r="DD106" s="634"/>
      <c r="DE106" s="634"/>
      <c r="DF106" s="634"/>
      <c r="DH106" s="634"/>
      <c r="DI106" s="634"/>
      <c r="DJ106" s="634"/>
      <c r="DL106" s="634"/>
      <c r="DM106" s="634"/>
      <c r="DN106" s="634"/>
      <c r="DO106" s="634"/>
      <c r="DP106" s="634"/>
      <c r="DR106" s="634"/>
      <c r="DS106" s="634"/>
      <c r="DT106" s="634"/>
      <c r="DV106" s="634"/>
      <c r="DW106" s="634"/>
      <c r="DX106" s="634"/>
      <c r="DZ106" s="634"/>
      <c r="EA106" s="634"/>
      <c r="EB106" s="634"/>
      <c r="ED106" s="634"/>
      <c r="EE106" s="634"/>
      <c r="EF106" s="634"/>
      <c r="EH106" s="634"/>
      <c r="EI106" s="634"/>
      <c r="EJ106" s="634"/>
      <c r="EK106" s="634"/>
      <c r="EL106" s="634"/>
      <c r="EN106" s="634"/>
      <c r="EO106" s="634"/>
      <c r="EP106" s="634"/>
      <c r="ER106" s="634"/>
      <c r="ES106" s="634"/>
      <c r="ET106" s="634"/>
      <c r="EV106" s="634"/>
      <c r="EW106" s="634"/>
      <c r="EY106" s="634"/>
      <c r="EZ106" s="634"/>
      <c r="FA106" s="634"/>
      <c r="FB106" s="634"/>
      <c r="FC106" s="634"/>
      <c r="FD106" s="634"/>
      <c r="FE106" s="634"/>
      <c r="FF106" s="634"/>
      <c r="FG106" s="634"/>
      <c r="FH106" s="634"/>
      <c r="FI106" s="634"/>
      <c r="FJ106" s="634"/>
      <c r="FK106" s="634"/>
      <c r="FL106" s="634"/>
      <c r="FM106" s="634"/>
      <c r="FN106" s="634"/>
      <c r="FO106" s="634"/>
      <c r="FP106" s="634"/>
      <c r="FQ106" s="634"/>
      <c r="FS106" s="634"/>
      <c r="FT106" s="634"/>
      <c r="FU106" s="634"/>
      <c r="FV106" s="634"/>
      <c r="FW106" s="634"/>
      <c r="FX106" s="634"/>
      <c r="FY106" s="634"/>
      <c r="FZ106" s="634"/>
    </row>
    <row r="107" ht="15.75" spans="1:182">
      <c r="A107" s="544"/>
      <c r="B107" s="657">
        <v>400</v>
      </c>
      <c r="C107" s="660">
        <v>61</v>
      </c>
      <c r="D107" s="658">
        <f t="shared" si="5"/>
        <v>288.948295872379</v>
      </c>
      <c r="E107" s="2">
        <f>TA!F32</f>
        <v>277.181191063812</v>
      </c>
      <c r="F107" s="650">
        <f t="shared" si="3"/>
        <v>368.084245641898</v>
      </c>
      <c r="G107" s="656">
        <f>TA!AA32</f>
        <v>1.02</v>
      </c>
      <c r="H107" s="575">
        <f>TA!EU32/TA!EG32</f>
        <v>3.32102575101844</v>
      </c>
      <c r="I107" s="575">
        <f t="shared" si="4"/>
        <v>3.3377143226316</v>
      </c>
      <c r="J107" s="672">
        <f>POWER(I107*4/(C107*各项系数!$F$5*PI())*10000000,0.5)</f>
        <v>279.939280797005</v>
      </c>
      <c r="K107" s="650">
        <f t="shared" si="1"/>
        <v>375.445930554735</v>
      </c>
      <c r="L107" s="657">
        <v>400</v>
      </c>
      <c r="M107" s="575">
        <f t="shared" si="2"/>
        <v>-24.5540694452646</v>
      </c>
      <c r="N107" s="634"/>
      <c r="O107" s="634"/>
      <c r="P107" s="634"/>
      <c r="Q107" s="634"/>
      <c r="R107" s="634"/>
      <c r="S107" s="634"/>
      <c r="T107" s="634"/>
      <c r="U107" s="634"/>
      <c r="V107" s="634"/>
      <c r="W107" s="634"/>
      <c r="X107" s="634"/>
      <c r="Y107" s="634"/>
      <c r="Z107" s="634"/>
      <c r="AA107" s="634"/>
      <c r="AB107" s="634"/>
      <c r="AD107" s="634"/>
      <c r="AE107" s="634"/>
      <c r="AG107" s="634"/>
      <c r="AI107" s="634"/>
      <c r="AJ107" s="634"/>
      <c r="AK107" s="634"/>
      <c r="AM107" s="634"/>
      <c r="AN107" s="634"/>
      <c r="AO107" s="634"/>
      <c r="AQ107" s="634"/>
      <c r="AR107" s="634"/>
      <c r="AS107" s="634"/>
      <c r="AT107" s="634"/>
      <c r="AU107" s="634"/>
      <c r="AV107" s="634"/>
      <c r="AX107" s="634"/>
      <c r="AY107" s="634"/>
      <c r="AZ107" s="634"/>
      <c r="BB107" s="634"/>
      <c r="BC107" s="634"/>
      <c r="BD107" s="634"/>
      <c r="BF107" s="634"/>
      <c r="BG107" s="634"/>
      <c r="BH107" s="634"/>
      <c r="BJ107" s="634"/>
      <c r="BK107" s="634"/>
      <c r="BL107" s="634"/>
      <c r="BN107" s="634"/>
      <c r="BO107" s="634"/>
      <c r="BP107" s="634"/>
      <c r="BQ107" s="634"/>
      <c r="BR107" s="634"/>
      <c r="BT107" s="634"/>
      <c r="BU107" s="634"/>
      <c r="BV107" s="634"/>
      <c r="BX107" s="634"/>
      <c r="BY107" s="634"/>
      <c r="BZ107" s="634"/>
      <c r="CB107" s="634"/>
      <c r="CC107" s="634"/>
      <c r="CD107" s="634"/>
      <c r="CF107" s="634"/>
      <c r="CG107" s="634"/>
      <c r="CH107" s="634"/>
      <c r="CJ107" s="634"/>
      <c r="CK107" s="634"/>
      <c r="CM107" s="634"/>
      <c r="CO107" s="634"/>
      <c r="CP107" s="634"/>
      <c r="CQ107" s="634"/>
      <c r="CS107" s="634"/>
      <c r="CT107" s="634"/>
      <c r="CU107" s="634"/>
      <c r="CW107" s="634"/>
      <c r="CX107" s="634"/>
      <c r="CY107" s="634"/>
      <c r="DA107" s="634"/>
      <c r="DB107" s="634"/>
      <c r="DC107" s="634"/>
      <c r="DD107" s="634"/>
      <c r="DE107" s="634"/>
      <c r="DF107" s="634"/>
      <c r="DH107" s="634"/>
      <c r="DI107" s="634"/>
      <c r="DJ107" s="634"/>
      <c r="DL107" s="634"/>
      <c r="DM107" s="634"/>
      <c r="DN107" s="634"/>
      <c r="DO107" s="634"/>
      <c r="DP107" s="634"/>
      <c r="DR107" s="634"/>
      <c r="DS107" s="634"/>
      <c r="DT107" s="634"/>
      <c r="DV107" s="634"/>
      <c r="DW107" s="634"/>
      <c r="DX107" s="634"/>
      <c r="DZ107" s="634"/>
      <c r="EA107" s="634"/>
      <c r="EB107" s="634"/>
      <c r="ED107" s="634"/>
      <c r="EE107" s="634"/>
      <c r="EF107" s="634"/>
      <c r="EH107" s="634"/>
      <c r="EI107" s="634"/>
      <c r="EJ107" s="634"/>
      <c r="EK107" s="634"/>
      <c r="EL107" s="634"/>
      <c r="EN107" s="634"/>
      <c r="EO107" s="634"/>
      <c r="EP107" s="634"/>
      <c r="ER107" s="634"/>
      <c r="ES107" s="634"/>
      <c r="ET107" s="634"/>
      <c r="EV107" s="634"/>
      <c r="EW107" s="634"/>
      <c r="EY107" s="634"/>
      <c r="EZ107" s="634"/>
      <c r="FA107" s="634"/>
      <c r="FB107" s="634"/>
      <c r="FC107" s="634"/>
      <c r="FD107" s="634"/>
      <c r="FE107" s="634"/>
      <c r="FF107" s="634"/>
      <c r="FG107" s="634"/>
      <c r="FH107" s="634"/>
      <c r="FI107" s="634"/>
      <c r="FJ107" s="634"/>
      <c r="FK107" s="634"/>
      <c r="FL107" s="634"/>
      <c r="FM107" s="634"/>
      <c r="FN107" s="634"/>
      <c r="FO107" s="634"/>
      <c r="FP107" s="634"/>
      <c r="FQ107" s="634"/>
      <c r="FS107" s="634"/>
      <c r="FT107" s="634"/>
      <c r="FU107" s="634"/>
      <c r="FV107" s="634"/>
      <c r="FW107" s="634"/>
      <c r="FX107" s="634"/>
      <c r="FY107" s="634"/>
      <c r="FZ107" s="634"/>
    </row>
    <row r="108" ht="15.75" spans="1:182">
      <c r="A108" s="544"/>
      <c r="B108" s="661">
        <v>500</v>
      </c>
      <c r="C108" s="660">
        <v>61</v>
      </c>
      <c r="D108" s="658">
        <f t="shared" si="5"/>
        <v>323.05401577668</v>
      </c>
      <c r="E108" s="2">
        <f>TA!F33</f>
        <v>314.103042329295</v>
      </c>
      <c r="F108" s="650">
        <f t="shared" si="3"/>
        <v>472.676490305167</v>
      </c>
      <c r="G108" s="656">
        <f>TA!AA33</f>
        <v>1.02</v>
      </c>
      <c r="H108" s="575">
        <f>TA!EU33/TA!EG33</f>
        <v>4.26470519939524</v>
      </c>
      <c r="I108" s="575">
        <f t="shared" si="4"/>
        <v>4.28613587878919</v>
      </c>
      <c r="J108" s="672">
        <f>POWER(I108*4/(C108*各项系数!$F$5*PI())*10000000,0.5)</f>
        <v>317.228522715927</v>
      </c>
      <c r="K108" s="650">
        <f t="shared" si="1"/>
        <v>482.13002011127</v>
      </c>
      <c r="L108" s="661">
        <v>500</v>
      </c>
      <c r="M108" s="575">
        <f t="shared" si="2"/>
        <v>-17.8699798887301</v>
      </c>
      <c r="N108" s="634"/>
      <c r="O108" s="634"/>
      <c r="P108" s="634"/>
      <c r="Q108" s="634"/>
      <c r="R108" s="634"/>
      <c r="S108" s="634"/>
      <c r="T108" s="634"/>
      <c r="U108" s="634"/>
      <c r="V108" s="634"/>
      <c r="W108" s="634"/>
      <c r="X108" s="634"/>
      <c r="Y108" s="634"/>
      <c r="Z108" s="634"/>
      <c r="AA108" s="634"/>
      <c r="AB108" s="634"/>
      <c r="AD108" s="634"/>
      <c r="AE108" s="634"/>
      <c r="AG108" s="634"/>
      <c r="AI108" s="634"/>
      <c r="AJ108" s="634"/>
      <c r="AK108" s="634"/>
      <c r="AM108" s="634"/>
      <c r="AN108" s="634"/>
      <c r="AO108" s="634"/>
      <c r="AQ108" s="634"/>
      <c r="AR108" s="634"/>
      <c r="AS108" s="634"/>
      <c r="AT108" s="634"/>
      <c r="AU108" s="634"/>
      <c r="AV108" s="634"/>
      <c r="AX108" s="634"/>
      <c r="AY108" s="634"/>
      <c r="AZ108" s="634"/>
      <c r="BB108" s="634"/>
      <c r="BC108" s="634"/>
      <c r="BD108" s="634"/>
      <c r="BF108" s="634"/>
      <c r="BG108" s="634"/>
      <c r="BH108" s="634"/>
      <c r="BJ108" s="634"/>
      <c r="BK108" s="634"/>
      <c r="BL108" s="634"/>
      <c r="BN108" s="634"/>
      <c r="BO108" s="634"/>
      <c r="BP108" s="634"/>
      <c r="BQ108" s="634"/>
      <c r="BR108" s="634"/>
      <c r="BT108" s="634"/>
      <c r="BU108" s="634"/>
      <c r="BV108" s="634"/>
      <c r="BX108" s="634"/>
      <c r="BY108" s="634"/>
      <c r="BZ108" s="634"/>
      <c r="CB108" s="634"/>
      <c r="CC108" s="634"/>
      <c r="CD108" s="634"/>
      <c r="CF108" s="634"/>
      <c r="CG108" s="634"/>
      <c r="CH108" s="634"/>
      <c r="CJ108" s="634"/>
      <c r="CK108" s="634"/>
      <c r="CM108" s="634"/>
      <c r="CO108" s="634"/>
      <c r="CP108" s="634"/>
      <c r="CQ108" s="634"/>
      <c r="CS108" s="634"/>
      <c r="CT108" s="634"/>
      <c r="CU108" s="634"/>
      <c r="CW108" s="634"/>
      <c r="CX108" s="634"/>
      <c r="CY108" s="634"/>
      <c r="DA108" s="634"/>
      <c r="DB108" s="634"/>
      <c r="DC108" s="634"/>
      <c r="DD108" s="634"/>
      <c r="DE108" s="634"/>
      <c r="DF108" s="634"/>
      <c r="DH108" s="634"/>
      <c r="DI108" s="634"/>
      <c r="DJ108" s="634"/>
      <c r="DL108" s="634"/>
      <c r="DM108" s="634"/>
      <c r="DN108" s="634"/>
      <c r="DO108" s="634"/>
      <c r="DP108" s="634"/>
      <c r="DR108" s="634"/>
      <c r="DS108" s="634"/>
      <c r="DT108" s="634"/>
      <c r="DV108" s="634"/>
      <c r="DW108" s="634"/>
      <c r="DX108" s="634"/>
      <c r="DZ108" s="634"/>
      <c r="EA108" s="634"/>
      <c r="EB108" s="634"/>
      <c r="ED108" s="634"/>
      <c r="EE108" s="634"/>
      <c r="EF108" s="634"/>
      <c r="EH108" s="634"/>
      <c r="EI108" s="634"/>
      <c r="EJ108" s="634"/>
      <c r="EK108" s="634"/>
      <c r="EL108" s="634"/>
      <c r="EN108" s="634"/>
      <c r="EO108" s="634"/>
      <c r="EP108" s="634"/>
      <c r="ER108" s="634"/>
      <c r="ES108" s="634"/>
      <c r="ET108" s="634"/>
      <c r="EV108" s="634"/>
      <c r="EW108" s="634"/>
      <c r="EY108" s="634"/>
      <c r="EZ108" s="634"/>
      <c r="FA108" s="634"/>
      <c r="FB108" s="634"/>
      <c r="FC108" s="634"/>
      <c r="FD108" s="634"/>
      <c r="FE108" s="634"/>
      <c r="FF108" s="634"/>
      <c r="FG108" s="634"/>
      <c r="FH108" s="634"/>
      <c r="FI108" s="634"/>
      <c r="FJ108" s="634"/>
      <c r="FK108" s="634"/>
      <c r="FL108" s="634"/>
      <c r="FM108" s="634"/>
      <c r="FN108" s="634"/>
      <c r="FO108" s="634"/>
      <c r="FP108" s="634"/>
      <c r="FQ108" s="634"/>
      <c r="FS108" s="634"/>
      <c r="FT108" s="634"/>
      <c r="FU108" s="634"/>
      <c r="FV108" s="634"/>
      <c r="FW108" s="634"/>
      <c r="FX108" s="634"/>
      <c r="FY108" s="634"/>
      <c r="FZ108" s="634"/>
    </row>
    <row r="109" ht="15.75" spans="1:182">
      <c r="A109" s="544"/>
      <c r="B109" s="661">
        <v>630</v>
      </c>
      <c r="C109" s="660">
        <v>61</v>
      </c>
      <c r="D109" s="658">
        <f t="shared" si="5"/>
        <v>362.62723333734</v>
      </c>
      <c r="E109" s="2">
        <f>TA!F34</f>
        <v>357.206594414564</v>
      </c>
      <c r="F109" s="650">
        <f t="shared" si="3"/>
        <v>611.305990995376</v>
      </c>
      <c r="G109" s="656">
        <f>TA!AA34</f>
        <v>1.03</v>
      </c>
      <c r="H109" s="575">
        <f>TA!EU34/TA!EG34</f>
        <v>5.56955783990862</v>
      </c>
      <c r="I109" s="575">
        <f t="shared" si="4"/>
        <v>5.59754556774735</v>
      </c>
      <c r="J109" s="672">
        <f>POWER(I109*4/(C109*各项系数!$F$5*PI())*10000000,0.5)</f>
        <v>362.525099304928</v>
      </c>
      <c r="K109" s="650">
        <f t="shared" si="1"/>
        <v>629.645170725237</v>
      </c>
      <c r="L109" s="661">
        <v>630</v>
      </c>
      <c r="M109" s="575">
        <f t="shared" si="2"/>
        <v>-0.354829274763347</v>
      </c>
      <c r="N109" s="634"/>
      <c r="O109" s="634"/>
      <c r="P109" s="634"/>
      <c r="Q109" s="634"/>
      <c r="R109" s="634"/>
      <c r="S109" s="634"/>
      <c r="T109" s="634"/>
      <c r="U109" s="634"/>
      <c r="V109" s="634"/>
      <c r="W109" s="634"/>
      <c r="X109" s="634"/>
      <c r="Y109" s="634"/>
      <c r="Z109" s="634"/>
      <c r="AA109" s="634"/>
      <c r="AB109" s="634"/>
      <c r="AD109" s="634"/>
      <c r="AE109" s="634"/>
      <c r="AG109" s="634"/>
      <c r="AI109" s="634"/>
      <c r="AJ109" s="634"/>
      <c r="AK109" s="634"/>
      <c r="AM109" s="634"/>
      <c r="AN109" s="634"/>
      <c r="AO109" s="634"/>
      <c r="AQ109" s="634"/>
      <c r="AR109" s="634"/>
      <c r="AS109" s="634"/>
      <c r="AT109" s="634"/>
      <c r="AU109" s="634"/>
      <c r="AV109" s="634"/>
      <c r="AX109" s="634"/>
      <c r="AY109" s="634"/>
      <c r="AZ109" s="634"/>
      <c r="BB109" s="634"/>
      <c r="BC109" s="634"/>
      <c r="BD109" s="634"/>
      <c r="BF109" s="634"/>
      <c r="BG109" s="634"/>
      <c r="BH109" s="634"/>
      <c r="BJ109" s="634"/>
      <c r="BK109" s="634"/>
      <c r="BL109" s="634"/>
      <c r="BN109" s="634"/>
      <c r="BO109" s="634"/>
      <c r="BP109" s="634"/>
      <c r="BQ109" s="634"/>
      <c r="BR109" s="634"/>
      <c r="BT109" s="634"/>
      <c r="BU109" s="634"/>
      <c r="BV109" s="634"/>
      <c r="BX109" s="634"/>
      <c r="BY109" s="634"/>
      <c r="BZ109" s="634"/>
      <c r="CB109" s="634"/>
      <c r="CC109" s="634"/>
      <c r="CD109" s="634"/>
      <c r="CF109" s="634"/>
      <c r="CG109" s="634"/>
      <c r="CH109" s="634"/>
      <c r="CJ109" s="634"/>
      <c r="CK109" s="634"/>
      <c r="CM109" s="634"/>
      <c r="CO109" s="634"/>
      <c r="CP109" s="634"/>
      <c r="CQ109" s="634"/>
      <c r="CS109" s="634"/>
      <c r="CT109" s="634"/>
      <c r="CU109" s="634"/>
      <c r="CW109" s="634"/>
      <c r="CX109" s="634"/>
      <c r="CY109" s="634"/>
      <c r="DA109" s="634"/>
      <c r="DB109" s="634"/>
      <c r="DC109" s="634"/>
      <c r="DD109" s="634"/>
      <c r="DE109" s="634"/>
      <c r="DF109" s="634"/>
      <c r="DH109" s="634"/>
      <c r="DI109" s="634"/>
      <c r="DJ109" s="634"/>
      <c r="DL109" s="634"/>
      <c r="DM109" s="634"/>
      <c r="DN109" s="634"/>
      <c r="DO109" s="634"/>
      <c r="DP109" s="634"/>
      <c r="DR109" s="634"/>
      <c r="DS109" s="634"/>
      <c r="DT109" s="634"/>
      <c r="DV109" s="634"/>
      <c r="DW109" s="634"/>
      <c r="DX109" s="634"/>
      <c r="DZ109" s="634"/>
      <c r="EA109" s="634"/>
      <c r="EB109" s="634"/>
      <c r="ED109" s="634"/>
      <c r="EE109" s="634"/>
      <c r="EF109" s="634"/>
      <c r="EH109" s="634"/>
      <c r="EI109" s="634"/>
      <c r="EJ109" s="634"/>
      <c r="EK109" s="634"/>
      <c r="EL109" s="634"/>
      <c r="EN109" s="634"/>
      <c r="EO109" s="634"/>
      <c r="EP109" s="634"/>
      <c r="ER109" s="634"/>
      <c r="ES109" s="634"/>
      <c r="ET109" s="634"/>
      <c r="EV109" s="634"/>
      <c r="EW109" s="634"/>
      <c r="EY109" s="634"/>
      <c r="EZ109" s="634"/>
      <c r="FA109" s="634"/>
      <c r="FB109" s="634"/>
      <c r="FC109" s="634"/>
      <c r="FD109" s="634"/>
      <c r="FE109" s="634"/>
      <c r="FF109" s="634"/>
      <c r="FG109" s="634"/>
      <c r="FH109" s="634"/>
      <c r="FI109" s="634"/>
      <c r="FJ109" s="634"/>
      <c r="FK109" s="634"/>
      <c r="FL109" s="634"/>
      <c r="FM109" s="634"/>
      <c r="FN109" s="634"/>
      <c r="FO109" s="634"/>
      <c r="FP109" s="634"/>
      <c r="FQ109" s="634"/>
      <c r="FS109" s="634"/>
      <c r="FT109" s="634"/>
      <c r="FU109" s="634"/>
      <c r="FV109" s="634"/>
      <c r="FW109" s="634"/>
      <c r="FX109" s="634"/>
      <c r="FY109" s="634"/>
      <c r="FZ109" s="634"/>
    </row>
    <row r="110" ht="15.75" spans="1:182">
      <c r="A110" s="544"/>
      <c r="B110" s="661">
        <v>800</v>
      </c>
      <c r="C110" s="660">
        <v>61</v>
      </c>
      <c r="D110" s="658">
        <f t="shared" si="5"/>
        <v>408.634598847312</v>
      </c>
      <c r="E110" s="2">
        <f>TA!F35</f>
        <v>404.218837505781</v>
      </c>
      <c r="F110" s="650">
        <f t="shared" si="3"/>
        <v>782.803599328921</v>
      </c>
      <c r="G110" s="656">
        <f>TA!AA35</f>
        <v>1.03</v>
      </c>
      <c r="H110" s="575">
        <f>TA!EU35/TA!EG35</f>
        <v>7.13205822938525</v>
      </c>
      <c r="I110" s="575">
        <f t="shared" si="4"/>
        <v>7.16789771797513</v>
      </c>
      <c r="J110" s="672">
        <f>POWER(I110*4/(C110*各项系数!$F$5*PI())*10000000,0.5)</f>
        <v>410.23731504138</v>
      </c>
      <c r="K110" s="650">
        <f t="shared" si="1"/>
        <v>806.287707308788</v>
      </c>
      <c r="L110" s="661">
        <v>800</v>
      </c>
      <c r="M110" s="575">
        <f t="shared" si="2"/>
        <v>6.28770730878796</v>
      </c>
      <c r="N110" s="634"/>
      <c r="O110" s="634"/>
      <c r="P110" s="634"/>
      <c r="Q110" s="634"/>
      <c r="R110" s="634"/>
      <c r="S110" s="634"/>
      <c r="T110" s="634"/>
      <c r="U110" s="634"/>
      <c r="V110" s="634"/>
      <c r="W110" s="634"/>
      <c r="X110" s="634"/>
      <c r="Y110" s="634"/>
      <c r="Z110" s="634"/>
      <c r="AA110" s="634"/>
      <c r="AB110" s="634"/>
      <c r="AD110" s="634"/>
      <c r="AE110" s="634"/>
      <c r="AG110" s="634"/>
      <c r="AI110" s="634"/>
      <c r="AJ110" s="634"/>
      <c r="AK110" s="634"/>
      <c r="AM110" s="634"/>
      <c r="AN110" s="634"/>
      <c r="AO110" s="634"/>
      <c r="AQ110" s="634"/>
      <c r="AR110" s="634"/>
      <c r="AS110" s="634"/>
      <c r="AT110" s="634"/>
      <c r="AU110" s="634"/>
      <c r="AV110" s="634"/>
      <c r="AX110" s="634"/>
      <c r="AY110" s="634"/>
      <c r="AZ110" s="634"/>
      <c r="BB110" s="634"/>
      <c r="BC110" s="634"/>
      <c r="BD110" s="634"/>
      <c r="BF110" s="634"/>
      <c r="BG110" s="634"/>
      <c r="BH110" s="634"/>
      <c r="BJ110" s="634"/>
      <c r="BK110" s="634"/>
      <c r="BL110" s="634"/>
      <c r="BN110" s="634"/>
      <c r="BO110" s="634"/>
      <c r="BP110" s="634"/>
      <c r="BQ110" s="634"/>
      <c r="BR110" s="634"/>
      <c r="BT110" s="634"/>
      <c r="BU110" s="634"/>
      <c r="BV110" s="634"/>
      <c r="BX110" s="634"/>
      <c r="BY110" s="634"/>
      <c r="BZ110" s="634"/>
      <c r="CB110" s="634"/>
      <c r="CC110" s="634"/>
      <c r="CD110" s="634"/>
      <c r="CF110" s="634"/>
      <c r="CG110" s="634"/>
      <c r="CH110" s="634"/>
      <c r="CJ110" s="634"/>
      <c r="CK110" s="634"/>
      <c r="CM110" s="634"/>
      <c r="CO110" s="634"/>
      <c r="CP110" s="634"/>
      <c r="CQ110" s="634"/>
      <c r="CS110" s="634"/>
      <c r="CT110" s="634"/>
      <c r="CU110" s="634"/>
      <c r="CW110" s="634"/>
      <c r="CX110" s="634"/>
      <c r="CY110" s="634"/>
      <c r="DA110" s="634"/>
      <c r="DB110" s="634"/>
      <c r="DC110" s="634"/>
      <c r="DD110" s="634"/>
      <c r="DE110" s="634"/>
      <c r="DF110" s="634"/>
      <c r="DH110" s="634"/>
      <c r="DI110" s="634"/>
      <c r="DJ110" s="634"/>
      <c r="DL110" s="634"/>
      <c r="DM110" s="634"/>
      <c r="DN110" s="634"/>
      <c r="DO110" s="634"/>
      <c r="DP110" s="634"/>
      <c r="DR110" s="634"/>
      <c r="DS110" s="634"/>
      <c r="DT110" s="634"/>
      <c r="DV110" s="634"/>
      <c r="DW110" s="634"/>
      <c r="DX110" s="634"/>
      <c r="DZ110" s="634"/>
      <c r="EA110" s="634"/>
      <c r="EB110" s="634"/>
      <c r="ED110" s="634"/>
      <c r="EE110" s="634"/>
      <c r="EF110" s="634"/>
      <c r="EH110" s="634"/>
      <c r="EI110" s="634"/>
      <c r="EJ110" s="634"/>
      <c r="EK110" s="634"/>
      <c r="EL110" s="634"/>
      <c r="EN110" s="634"/>
      <c r="EO110" s="634"/>
      <c r="EP110" s="634"/>
      <c r="ER110" s="634"/>
      <c r="ES110" s="634"/>
      <c r="ET110" s="634"/>
      <c r="EV110" s="634"/>
      <c r="EW110" s="634"/>
      <c r="EY110" s="634"/>
      <c r="EZ110" s="634"/>
      <c r="FA110" s="634"/>
      <c r="FB110" s="634"/>
      <c r="FC110" s="634"/>
      <c r="FD110" s="634"/>
      <c r="FE110" s="634"/>
      <c r="FF110" s="634"/>
      <c r="FG110" s="634"/>
      <c r="FH110" s="634"/>
      <c r="FI110" s="634"/>
      <c r="FJ110" s="634"/>
      <c r="FK110" s="634"/>
      <c r="FL110" s="634"/>
      <c r="FM110" s="634"/>
      <c r="FN110" s="634"/>
      <c r="FO110" s="634"/>
      <c r="FP110" s="634"/>
      <c r="FQ110" s="634"/>
      <c r="FS110" s="634"/>
      <c r="FT110" s="634"/>
      <c r="FU110" s="634"/>
      <c r="FV110" s="634"/>
      <c r="FW110" s="634"/>
      <c r="FX110" s="634"/>
      <c r="FY110" s="634"/>
      <c r="FZ110" s="634"/>
    </row>
    <row r="111" ht="15.75" spans="1:182">
      <c r="A111" s="544"/>
      <c r="B111" s="662"/>
      <c r="C111" s="663"/>
      <c r="D111" s="2"/>
      <c r="E111" s="2"/>
      <c r="F111" s="650"/>
      <c r="G111" s="656"/>
      <c r="H111" s="575"/>
      <c r="I111" s="575"/>
      <c r="J111" s="672"/>
      <c r="K111" s="650"/>
      <c r="L111" s="575"/>
      <c r="M111" s="575"/>
      <c r="N111" s="634"/>
      <c r="O111" s="634"/>
      <c r="P111" s="634"/>
      <c r="Q111" s="634"/>
      <c r="R111" s="634"/>
      <c r="S111" s="634"/>
      <c r="T111" s="634"/>
      <c r="U111" s="634"/>
      <c r="V111" s="634"/>
      <c r="W111" s="634"/>
      <c r="X111" s="634"/>
      <c r="Y111" s="634"/>
      <c r="Z111" s="634"/>
      <c r="AA111" s="634"/>
      <c r="AB111" s="634"/>
      <c r="AD111" s="634"/>
      <c r="AE111" s="634"/>
      <c r="AG111" s="634"/>
      <c r="AI111" s="634"/>
      <c r="AJ111" s="634"/>
      <c r="AK111" s="634"/>
      <c r="AM111" s="634"/>
      <c r="AN111" s="634"/>
      <c r="AO111" s="634"/>
      <c r="AQ111" s="634"/>
      <c r="AR111" s="634"/>
      <c r="AS111" s="634"/>
      <c r="AT111" s="634"/>
      <c r="AU111" s="634"/>
      <c r="AV111" s="634"/>
      <c r="AX111" s="634"/>
      <c r="AY111" s="634"/>
      <c r="AZ111" s="634"/>
      <c r="BB111" s="634"/>
      <c r="BC111" s="634"/>
      <c r="BD111" s="634"/>
      <c r="BF111" s="634"/>
      <c r="BG111" s="634"/>
      <c r="BH111" s="634"/>
      <c r="BJ111" s="634"/>
      <c r="BK111" s="634"/>
      <c r="BL111" s="634"/>
      <c r="BN111" s="634"/>
      <c r="BO111" s="634"/>
      <c r="BP111" s="634"/>
      <c r="BQ111" s="634"/>
      <c r="BR111" s="634"/>
      <c r="BT111" s="634"/>
      <c r="BU111" s="634"/>
      <c r="BV111" s="634"/>
      <c r="BX111" s="634"/>
      <c r="BY111" s="634"/>
      <c r="BZ111" s="634"/>
      <c r="CB111" s="634"/>
      <c r="CC111" s="634"/>
      <c r="CD111" s="634"/>
      <c r="CF111" s="634"/>
      <c r="CG111" s="634"/>
      <c r="CH111" s="634"/>
      <c r="CJ111" s="634"/>
      <c r="CK111" s="634"/>
      <c r="CM111" s="634"/>
      <c r="CO111" s="634"/>
      <c r="CP111" s="634"/>
      <c r="CQ111" s="634"/>
      <c r="CS111" s="634"/>
      <c r="CT111" s="634"/>
      <c r="CU111" s="634"/>
      <c r="CW111" s="634"/>
      <c r="CX111" s="634"/>
      <c r="CY111" s="634"/>
      <c r="DA111" s="634"/>
      <c r="DB111" s="634"/>
      <c r="DC111" s="634"/>
      <c r="DD111" s="634"/>
      <c r="DE111" s="634"/>
      <c r="DF111" s="634"/>
      <c r="DH111" s="634"/>
      <c r="DI111" s="634"/>
      <c r="DJ111" s="634"/>
      <c r="DL111" s="634"/>
      <c r="DM111" s="634"/>
      <c r="DN111" s="634"/>
      <c r="DO111" s="634"/>
      <c r="DP111" s="634"/>
      <c r="DR111" s="634"/>
      <c r="DS111" s="634"/>
      <c r="DT111" s="634"/>
      <c r="DV111" s="634"/>
      <c r="DW111" s="634"/>
      <c r="DX111" s="634"/>
      <c r="DZ111" s="634"/>
      <c r="EA111" s="634"/>
      <c r="EB111" s="634"/>
      <c r="ED111" s="634"/>
      <c r="EE111" s="634"/>
      <c r="EF111" s="634"/>
      <c r="EH111" s="634"/>
      <c r="EI111" s="634"/>
      <c r="EJ111" s="634"/>
      <c r="EK111" s="634"/>
      <c r="EL111" s="634"/>
      <c r="EN111" s="634"/>
      <c r="EO111" s="634"/>
      <c r="EP111" s="634"/>
      <c r="ER111" s="634"/>
      <c r="ES111" s="634"/>
      <c r="ET111" s="634"/>
      <c r="EV111" s="634"/>
      <c r="EW111" s="634"/>
      <c r="EY111" s="634"/>
      <c r="EZ111" s="634"/>
      <c r="FA111" s="634"/>
      <c r="FB111" s="634"/>
      <c r="FC111" s="634"/>
      <c r="FD111" s="634"/>
      <c r="FE111" s="634"/>
      <c r="FF111" s="634"/>
      <c r="FG111" s="634"/>
      <c r="FH111" s="634"/>
      <c r="FI111" s="634"/>
      <c r="FJ111" s="634"/>
      <c r="FK111" s="634"/>
      <c r="FL111" s="634"/>
      <c r="FM111" s="634"/>
      <c r="FN111" s="634"/>
      <c r="FO111" s="634"/>
      <c r="FP111" s="634"/>
      <c r="FQ111" s="634"/>
      <c r="FS111" s="634"/>
      <c r="FT111" s="634"/>
      <c r="FU111" s="634"/>
      <c r="FV111" s="634"/>
      <c r="FW111" s="634"/>
      <c r="FX111" s="634"/>
      <c r="FY111" s="634"/>
      <c r="FZ111" s="634"/>
    </row>
    <row r="112" ht="15.75" spans="1:182">
      <c r="A112" s="544"/>
      <c r="B112" s="662"/>
      <c r="C112" s="663"/>
      <c r="D112" s="2"/>
      <c r="E112" s="2"/>
      <c r="F112" s="650"/>
      <c r="G112" s="656"/>
      <c r="H112" s="575"/>
      <c r="I112" s="575"/>
      <c r="J112" s="672"/>
      <c r="K112" s="650"/>
      <c r="L112" s="575"/>
      <c r="M112" s="575"/>
      <c r="N112" s="634"/>
      <c r="O112" s="634"/>
      <c r="P112" s="634"/>
      <c r="Q112" s="634"/>
      <c r="R112" s="634"/>
      <c r="S112" s="634"/>
      <c r="T112" s="634"/>
      <c r="U112" s="634"/>
      <c r="V112" s="634"/>
      <c r="W112" s="634"/>
      <c r="X112" s="634"/>
      <c r="Y112" s="634"/>
      <c r="Z112" s="634"/>
      <c r="AA112" s="634"/>
      <c r="AB112" s="634"/>
      <c r="AD112" s="634"/>
      <c r="AE112" s="634"/>
      <c r="AG112" s="634"/>
      <c r="AI112" s="634"/>
      <c r="AJ112" s="634"/>
      <c r="AK112" s="634"/>
      <c r="AM112" s="634"/>
      <c r="AN112" s="634"/>
      <c r="AO112" s="634"/>
      <c r="AQ112" s="634"/>
      <c r="AR112" s="634"/>
      <c r="AS112" s="634"/>
      <c r="AT112" s="634"/>
      <c r="AU112" s="634"/>
      <c r="AV112" s="634"/>
      <c r="AX112" s="634"/>
      <c r="AY112" s="634"/>
      <c r="AZ112" s="634"/>
      <c r="BB112" s="634"/>
      <c r="BC112" s="634"/>
      <c r="BD112" s="634"/>
      <c r="BF112" s="634"/>
      <c r="BG112" s="634"/>
      <c r="BH112" s="634"/>
      <c r="BJ112" s="634"/>
      <c r="BK112" s="634"/>
      <c r="BL112" s="634"/>
      <c r="BN112" s="634"/>
      <c r="BO112" s="634"/>
      <c r="BP112" s="634"/>
      <c r="BQ112" s="634"/>
      <c r="BR112" s="634"/>
      <c r="BT112" s="634"/>
      <c r="BU112" s="634"/>
      <c r="BV112" s="634"/>
      <c r="BX112" s="634"/>
      <c r="BY112" s="634"/>
      <c r="BZ112" s="634"/>
      <c r="CB112" s="634"/>
      <c r="CC112" s="634"/>
      <c r="CD112" s="634"/>
      <c r="CF112" s="634"/>
      <c r="CG112" s="634"/>
      <c r="CH112" s="634"/>
      <c r="CJ112" s="634"/>
      <c r="CK112" s="634"/>
      <c r="CM112" s="634"/>
      <c r="CO112" s="634"/>
      <c r="CP112" s="634"/>
      <c r="CQ112" s="634"/>
      <c r="CS112" s="634"/>
      <c r="CT112" s="634"/>
      <c r="CU112" s="634"/>
      <c r="CW112" s="634"/>
      <c r="CX112" s="634"/>
      <c r="CY112" s="634"/>
      <c r="DA112" s="634"/>
      <c r="DB112" s="634"/>
      <c r="DC112" s="634"/>
      <c r="DD112" s="634"/>
      <c r="DE112" s="634"/>
      <c r="DF112" s="634"/>
      <c r="DH112" s="634"/>
      <c r="DI112" s="634"/>
      <c r="DJ112" s="634"/>
      <c r="DL112" s="634"/>
      <c r="DM112" s="634"/>
      <c r="DN112" s="634"/>
      <c r="DO112" s="634"/>
      <c r="DP112" s="634"/>
      <c r="DR112" s="634"/>
      <c r="DS112" s="634"/>
      <c r="DT112" s="634"/>
      <c r="DV112" s="634"/>
      <c r="DW112" s="634"/>
      <c r="DX112" s="634"/>
      <c r="DZ112" s="634"/>
      <c r="EA112" s="634"/>
      <c r="EB112" s="634"/>
      <c r="ED112" s="634"/>
      <c r="EE112" s="634"/>
      <c r="EF112" s="634"/>
      <c r="EH112" s="634"/>
      <c r="EI112" s="634"/>
      <c r="EJ112" s="634"/>
      <c r="EK112" s="634"/>
      <c r="EL112" s="634"/>
      <c r="EN112" s="634"/>
      <c r="EO112" s="634"/>
      <c r="EP112" s="634"/>
      <c r="ER112" s="634"/>
      <c r="ES112" s="634"/>
      <c r="ET112" s="634"/>
      <c r="EV112" s="634"/>
      <c r="EW112" s="634"/>
      <c r="EY112" s="634"/>
      <c r="EZ112" s="634"/>
      <c r="FA112" s="634"/>
      <c r="FB112" s="634"/>
      <c r="FC112" s="634"/>
      <c r="FD112" s="634"/>
      <c r="FE112" s="634"/>
      <c r="FF112" s="634"/>
      <c r="FG112" s="634"/>
      <c r="FH112" s="634"/>
      <c r="FI112" s="634"/>
      <c r="FJ112" s="634"/>
      <c r="FK112" s="634"/>
      <c r="FL112" s="634"/>
      <c r="FM112" s="634"/>
      <c r="FN112" s="634"/>
      <c r="FO112" s="634"/>
      <c r="FP112" s="634"/>
      <c r="FQ112" s="634"/>
      <c r="FS112" s="634"/>
      <c r="FT112" s="634"/>
      <c r="FU112" s="634"/>
      <c r="FV112" s="634"/>
      <c r="FW112" s="634"/>
      <c r="FX112" s="634"/>
      <c r="FY112" s="634"/>
      <c r="FZ112" s="634"/>
    </row>
    <row r="113" ht="15.75" spans="1:182">
      <c r="A113" s="544"/>
      <c r="B113" s="662"/>
      <c r="C113" s="663"/>
      <c r="D113" s="2"/>
      <c r="E113" s="2"/>
      <c r="F113" s="650"/>
      <c r="G113" s="656"/>
      <c r="H113" s="575"/>
      <c r="I113" s="575"/>
      <c r="J113" s="672"/>
      <c r="K113" s="650"/>
      <c r="L113" s="575"/>
      <c r="M113" s="575"/>
      <c r="N113" s="634"/>
      <c r="O113" s="634"/>
      <c r="P113" s="634"/>
      <c r="Q113" s="634"/>
      <c r="R113" s="634"/>
      <c r="S113" s="634"/>
      <c r="T113" s="634"/>
      <c r="U113" s="634"/>
      <c r="V113" s="634"/>
      <c r="W113" s="634"/>
      <c r="X113" s="634"/>
      <c r="Y113" s="634"/>
      <c r="Z113" s="634"/>
      <c r="AA113" s="634"/>
      <c r="AB113" s="634"/>
      <c r="AD113" s="634"/>
      <c r="AE113" s="634"/>
      <c r="AG113" s="634"/>
      <c r="AI113" s="634"/>
      <c r="AJ113" s="634"/>
      <c r="AK113" s="634"/>
      <c r="AM113" s="634"/>
      <c r="AN113" s="634"/>
      <c r="AO113" s="634"/>
      <c r="AQ113" s="634"/>
      <c r="AR113" s="634"/>
      <c r="AS113" s="634"/>
      <c r="AT113" s="634"/>
      <c r="AU113" s="634"/>
      <c r="AV113" s="634"/>
      <c r="AX113" s="634"/>
      <c r="AY113" s="634"/>
      <c r="AZ113" s="634"/>
      <c r="BB113" s="634"/>
      <c r="BC113" s="634"/>
      <c r="BD113" s="634"/>
      <c r="BF113" s="634"/>
      <c r="BG113" s="634"/>
      <c r="BH113" s="634"/>
      <c r="BJ113" s="634"/>
      <c r="BK113" s="634"/>
      <c r="BL113" s="634"/>
      <c r="BN113" s="634"/>
      <c r="BO113" s="634"/>
      <c r="BP113" s="634"/>
      <c r="BQ113" s="634"/>
      <c r="BR113" s="634"/>
      <c r="BT113" s="634"/>
      <c r="BU113" s="634"/>
      <c r="BV113" s="634"/>
      <c r="BX113" s="634"/>
      <c r="BY113" s="634"/>
      <c r="BZ113" s="634"/>
      <c r="CB113" s="634"/>
      <c r="CC113" s="634"/>
      <c r="CD113" s="634"/>
      <c r="CF113" s="634"/>
      <c r="CG113" s="634"/>
      <c r="CH113" s="634"/>
      <c r="CJ113" s="634"/>
      <c r="CK113" s="634"/>
      <c r="CM113" s="634"/>
      <c r="CO113" s="634"/>
      <c r="CP113" s="634"/>
      <c r="CQ113" s="634"/>
      <c r="CS113" s="634"/>
      <c r="CT113" s="634"/>
      <c r="CU113" s="634"/>
      <c r="CW113" s="634"/>
      <c r="CX113" s="634"/>
      <c r="CY113" s="634"/>
      <c r="DA113" s="634"/>
      <c r="DB113" s="634"/>
      <c r="DC113" s="634"/>
      <c r="DD113" s="634"/>
      <c r="DE113" s="634"/>
      <c r="DF113" s="634"/>
      <c r="DH113" s="634"/>
      <c r="DI113" s="634"/>
      <c r="DJ113" s="634"/>
      <c r="DL113" s="634"/>
      <c r="DM113" s="634"/>
      <c r="DN113" s="634"/>
      <c r="DO113" s="634"/>
      <c r="DP113" s="634"/>
      <c r="DR113" s="634"/>
      <c r="DS113" s="634"/>
      <c r="DT113" s="634"/>
      <c r="DV113" s="634"/>
      <c r="DW113" s="634"/>
      <c r="DX113" s="634"/>
      <c r="DZ113" s="634"/>
      <c r="EA113" s="634"/>
      <c r="EB113" s="634"/>
      <c r="ED113" s="634"/>
      <c r="EE113" s="634"/>
      <c r="EF113" s="634"/>
      <c r="EH113" s="634"/>
      <c r="EI113" s="634"/>
      <c r="EJ113" s="634"/>
      <c r="EK113" s="634"/>
      <c r="EL113" s="634"/>
      <c r="EN113" s="634"/>
      <c r="EO113" s="634"/>
      <c r="EP113" s="634"/>
      <c r="ER113" s="634"/>
      <c r="ES113" s="634"/>
      <c r="ET113" s="634"/>
      <c r="EV113" s="634"/>
      <c r="EW113" s="634"/>
      <c r="EY113" s="634"/>
      <c r="EZ113" s="634"/>
      <c r="FA113" s="634"/>
      <c r="FB113" s="634"/>
      <c r="FC113" s="634"/>
      <c r="FD113" s="634"/>
      <c r="FE113" s="634"/>
      <c r="FF113" s="634"/>
      <c r="FG113" s="634"/>
      <c r="FH113" s="634"/>
      <c r="FI113" s="634"/>
      <c r="FJ113" s="634"/>
      <c r="FK113" s="634"/>
      <c r="FL113" s="634"/>
      <c r="FM113" s="634"/>
      <c r="FN113" s="634"/>
      <c r="FO113" s="634"/>
      <c r="FP113" s="634"/>
      <c r="FQ113" s="634"/>
      <c r="FS113" s="634"/>
      <c r="FT113" s="634"/>
      <c r="FU113" s="634"/>
      <c r="FV113" s="634"/>
      <c r="FW113" s="634"/>
      <c r="FX113" s="634"/>
      <c r="FY113" s="634"/>
      <c r="FZ113" s="634"/>
    </row>
    <row r="114" spans="1:182">
      <c r="A114" s="544"/>
      <c r="B114" s="575" t="s">
        <v>567</v>
      </c>
      <c r="C114" s="575"/>
      <c r="D114" s="575"/>
      <c r="E114" s="664"/>
      <c r="F114" s="634"/>
      <c r="G114" s="544"/>
      <c r="H114" s="575" t="s">
        <v>568</v>
      </c>
      <c r="I114" s="575"/>
      <c r="J114" s="575"/>
      <c r="K114" s="634"/>
      <c r="L114" s="634"/>
      <c r="M114" s="634"/>
      <c r="N114" s="634"/>
      <c r="O114" s="634"/>
      <c r="P114" s="634"/>
      <c r="Q114" s="634"/>
      <c r="R114" s="634"/>
      <c r="S114" s="634"/>
      <c r="T114" s="634"/>
      <c r="U114" s="634"/>
      <c r="V114" s="634"/>
      <c r="W114" s="634"/>
      <c r="X114" s="634"/>
      <c r="Y114" s="634"/>
      <c r="Z114" s="634"/>
      <c r="AA114" s="634"/>
      <c r="AB114" s="634"/>
      <c r="AD114" s="634"/>
      <c r="AE114" s="634"/>
      <c r="AG114" s="634"/>
      <c r="AI114" s="634"/>
      <c r="AJ114" s="634"/>
      <c r="AK114" s="634"/>
      <c r="AM114" s="634"/>
      <c r="AN114" s="634"/>
      <c r="AO114" s="634"/>
      <c r="AQ114" s="634"/>
      <c r="AR114" s="634"/>
      <c r="AS114" s="634"/>
      <c r="AT114" s="634"/>
      <c r="AU114" s="634"/>
      <c r="AV114" s="634"/>
      <c r="AX114" s="634"/>
      <c r="AY114" s="634"/>
      <c r="AZ114" s="634"/>
      <c r="BB114" s="634"/>
      <c r="BC114" s="634"/>
      <c r="BD114" s="634"/>
      <c r="BF114" s="634"/>
      <c r="BG114" s="634"/>
      <c r="BH114" s="634"/>
      <c r="BJ114" s="634"/>
      <c r="BK114" s="634"/>
      <c r="BL114" s="634"/>
      <c r="BN114" s="634"/>
      <c r="BO114" s="634"/>
      <c r="BP114" s="634"/>
      <c r="BQ114" s="634"/>
      <c r="BR114" s="634"/>
      <c r="BT114" s="634"/>
      <c r="BU114" s="634"/>
      <c r="BV114" s="634"/>
      <c r="BX114" s="634"/>
      <c r="BY114" s="634"/>
      <c r="BZ114" s="634"/>
      <c r="CB114" s="634"/>
      <c r="CC114" s="634"/>
      <c r="CD114" s="634"/>
      <c r="CF114" s="634"/>
      <c r="CG114" s="634"/>
      <c r="CH114" s="634"/>
      <c r="CJ114" s="634"/>
      <c r="CK114" s="634"/>
      <c r="CM114" s="634"/>
      <c r="CO114" s="634"/>
      <c r="CP114" s="634"/>
      <c r="CQ114" s="634"/>
      <c r="CS114" s="634"/>
      <c r="CT114" s="634"/>
      <c r="CU114" s="634"/>
      <c r="CW114" s="634"/>
      <c r="CX114" s="634"/>
      <c r="CY114" s="634"/>
      <c r="DA114" s="634"/>
      <c r="DB114" s="634"/>
      <c r="DC114" s="634"/>
      <c r="DD114" s="634"/>
      <c r="DE114" s="634"/>
      <c r="DF114" s="634"/>
      <c r="DH114" s="634"/>
      <c r="DI114" s="634"/>
      <c r="DJ114" s="634"/>
      <c r="DL114" s="634"/>
      <c r="DM114" s="634"/>
      <c r="DN114" s="634"/>
      <c r="DO114" s="634"/>
      <c r="DP114" s="634"/>
      <c r="DR114" s="634"/>
      <c r="DS114" s="634"/>
      <c r="DT114" s="634"/>
      <c r="DV114" s="634"/>
      <c r="DW114" s="634"/>
      <c r="DX114" s="634"/>
      <c r="DZ114" s="634"/>
      <c r="EA114" s="634"/>
      <c r="EB114" s="634"/>
      <c r="ED114" s="634"/>
      <c r="EE114" s="634"/>
      <c r="EF114" s="634"/>
      <c r="EH114" s="634"/>
      <c r="EI114" s="634"/>
      <c r="EJ114" s="634"/>
      <c r="EK114" s="634"/>
      <c r="EL114" s="634"/>
      <c r="EN114" s="634"/>
      <c r="EO114" s="634"/>
      <c r="EP114" s="634"/>
      <c r="ER114" s="634"/>
      <c r="ES114" s="634"/>
      <c r="ET114" s="634"/>
      <c r="EV114" s="634"/>
      <c r="EW114" s="634"/>
      <c r="EY114" s="634"/>
      <c r="EZ114" s="634"/>
      <c r="FA114" s="634"/>
      <c r="FB114" s="634"/>
      <c r="FC114" s="634"/>
      <c r="FD114" s="634"/>
      <c r="FE114" s="634"/>
      <c r="FF114" s="634"/>
      <c r="FG114" s="634"/>
      <c r="FH114" s="634"/>
      <c r="FI114" s="634"/>
      <c r="FJ114" s="634"/>
      <c r="FK114" s="634"/>
      <c r="FL114" s="634"/>
      <c r="FM114" s="634"/>
      <c r="FN114" s="634"/>
      <c r="FO114" s="634"/>
      <c r="FP114" s="634"/>
      <c r="FQ114" s="634"/>
      <c r="FS114" s="634"/>
      <c r="FT114" s="634"/>
      <c r="FU114" s="634"/>
      <c r="FV114" s="634"/>
      <c r="FW114" s="634"/>
      <c r="FX114" s="634"/>
      <c r="FY114" s="634"/>
      <c r="FZ114" s="634"/>
    </row>
    <row r="115" spans="1:182">
      <c r="A115" s="544"/>
      <c r="B115" s="665" t="s">
        <v>102</v>
      </c>
      <c r="C115" s="2" t="s">
        <v>14</v>
      </c>
      <c r="D115" s="652" t="s">
        <v>569</v>
      </c>
      <c r="E115" s="2" t="s">
        <v>570</v>
      </c>
      <c r="F115" s="666"/>
      <c r="G115" s="6"/>
      <c r="H115" s="2" t="s">
        <v>14</v>
      </c>
      <c r="I115" s="2" t="s">
        <v>4</v>
      </c>
      <c r="J115" t="s">
        <v>571</v>
      </c>
      <c r="K115" s="634"/>
      <c r="L115" s="634"/>
      <c r="M115" s="634"/>
      <c r="N115" s="634"/>
      <c r="O115" s="634"/>
      <c r="P115" s="634"/>
      <c r="Q115" s="634"/>
      <c r="R115" s="634"/>
      <c r="S115" s="634"/>
      <c r="T115" s="634"/>
      <c r="U115" s="634"/>
      <c r="V115" s="634"/>
      <c r="W115" s="634"/>
      <c r="X115" s="634"/>
      <c r="Y115" s="634"/>
      <c r="Z115" s="634"/>
      <c r="AA115" s="634"/>
      <c r="AB115" s="634"/>
      <c r="AD115" s="634"/>
      <c r="AE115" s="634"/>
      <c r="AG115" s="634"/>
      <c r="AI115" s="634"/>
      <c r="AJ115" s="634"/>
      <c r="AK115" s="634"/>
      <c r="AM115" s="634"/>
      <c r="AN115" s="634"/>
      <c r="AO115" s="634"/>
      <c r="AQ115" s="634"/>
      <c r="AR115" s="634"/>
      <c r="AS115" s="634"/>
      <c r="AT115" s="634"/>
      <c r="AU115" s="634"/>
      <c r="AV115" s="634"/>
      <c r="AX115" s="634"/>
      <c r="AY115" s="634"/>
      <c r="AZ115" s="634"/>
      <c r="BB115" s="634"/>
      <c r="BC115" s="634"/>
      <c r="BD115" s="634"/>
      <c r="BF115" s="634"/>
      <c r="BG115" s="634"/>
      <c r="BH115" s="634"/>
      <c r="BJ115" s="634"/>
      <c r="BK115" s="634"/>
      <c r="BL115" s="634"/>
      <c r="BN115" s="634"/>
      <c r="BO115" s="634"/>
      <c r="BP115" s="634"/>
      <c r="BQ115" s="634"/>
      <c r="BR115" s="634"/>
      <c r="BT115" s="634"/>
      <c r="BU115" s="634"/>
      <c r="BV115" s="634"/>
      <c r="BX115" s="634"/>
      <c r="BY115" s="634"/>
      <c r="BZ115" s="634"/>
      <c r="CB115" s="634"/>
      <c r="CC115" s="634"/>
      <c r="CD115" s="634"/>
      <c r="CF115" s="634"/>
      <c r="CG115" s="634"/>
      <c r="CH115" s="634"/>
      <c r="CJ115" s="634"/>
      <c r="CK115" s="634"/>
      <c r="CM115" s="634"/>
      <c r="CO115" s="634"/>
      <c r="CP115" s="634"/>
      <c r="CQ115" s="634"/>
      <c r="CS115" s="634"/>
      <c r="CT115" s="634"/>
      <c r="CU115" s="634"/>
      <c r="CW115" s="634"/>
      <c r="CX115" s="634"/>
      <c r="CY115" s="634"/>
      <c r="DA115" s="634"/>
      <c r="DB115" s="634"/>
      <c r="DC115" s="634"/>
      <c r="DD115" s="634"/>
      <c r="DE115" s="634"/>
      <c r="DF115" s="634"/>
      <c r="DH115" s="634"/>
      <c r="DI115" s="634"/>
      <c r="DJ115" s="634"/>
      <c r="DL115" s="634"/>
      <c r="DM115" s="634"/>
      <c r="DN115" s="634"/>
      <c r="DO115" s="634"/>
      <c r="DP115" s="634"/>
      <c r="DR115" s="634"/>
      <c r="DS115" s="634"/>
      <c r="DT115" s="634"/>
      <c r="DV115" s="634"/>
      <c r="DW115" s="634"/>
      <c r="DX115" s="634"/>
      <c r="DZ115" s="634"/>
      <c r="EA115" s="634"/>
      <c r="EB115" s="634"/>
      <c r="ED115" s="634"/>
      <c r="EE115" s="634"/>
      <c r="EF115" s="634"/>
      <c r="EH115" s="634"/>
      <c r="EI115" s="634"/>
      <c r="EJ115" s="634"/>
      <c r="EK115" s="634"/>
      <c r="EL115" s="634"/>
      <c r="EN115" s="634"/>
      <c r="EO115" s="634"/>
      <c r="EP115" s="634"/>
      <c r="ER115" s="634"/>
      <c r="ES115" s="634"/>
      <c r="ET115" s="634"/>
      <c r="EV115" s="634"/>
      <c r="EW115" s="634"/>
      <c r="EY115" s="634"/>
      <c r="EZ115" s="634"/>
      <c r="FA115" s="634"/>
      <c r="FB115" s="634"/>
      <c r="FC115" s="634"/>
      <c r="FD115" s="634"/>
      <c r="FE115" s="634"/>
      <c r="FF115" s="634"/>
      <c r="FG115" s="634"/>
      <c r="FH115" s="634"/>
      <c r="FI115" s="634"/>
      <c r="FJ115" s="634"/>
      <c r="FK115" s="634"/>
      <c r="FL115" s="634"/>
      <c r="FM115" s="634"/>
      <c r="FN115" s="634"/>
      <c r="FO115" s="634"/>
      <c r="FP115" s="634"/>
      <c r="FQ115" s="634"/>
      <c r="FS115" s="634"/>
      <c r="FT115" s="634"/>
      <c r="FU115" s="634"/>
      <c r="FV115" s="634"/>
      <c r="FW115" s="634"/>
      <c r="FX115" s="634"/>
      <c r="FY115" s="634"/>
      <c r="FZ115" s="634"/>
    </row>
    <row r="116" spans="1:182">
      <c r="A116" s="544"/>
      <c r="B116" s="667">
        <v>0.3</v>
      </c>
      <c r="C116" s="2">
        <v>1</v>
      </c>
      <c r="D116">
        <f t="shared" ref="D116:D137" si="6">(B116/C116*4/PI())^(1/2)*100</f>
        <v>61.8038723237103</v>
      </c>
      <c r="E116">
        <f t="shared" ref="E116:E137" si="7">PI()*D116*D116/4*C116/10000</f>
        <v>0.3</v>
      </c>
      <c r="F116" s="666"/>
      <c r="G116" s="668"/>
      <c r="H116" s="2">
        <v>1</v>
      </c>
      <c r="I116">
        <v>2</v>
      </c>
      <c r="J116">
        <f t="shared" ref="J116:J137" si="8">PI()*I116*I116/4*H116/10000</f>
        <v>0.000314159265358979</v>
      </c>
      <c r="K116" s="634"/>
      <c r="L116" s="634"/>
      <c r="M116" s="634"/>
      <c r="N116" s="634"/>
      <c r="O116" s="634"/>
      <c r="P116" s="634"/>
      <c r="Q116" s="634"/>
      <c r="R116" s="634"/>
      <c r="S116" s="634"/>
      <c r="T116" s="634"/>
      <c r="U116" s="634"/>
      <c r="V116" s="634"/>
      <c r="W116" s="634"/>
      <c r="X116" s="634"/>
      <c r="Y116" s="634"/>
      <c r="Z116" s="634"/>
      <c r="AA116" s="634"/>
      <c r="AB116" s="634"/>
      <c r="AD116" s="634"/>
      <c r="AE116" s="634"/>
      <c r="AG116" s="634"/>
      <c r="AI116" s="634"/>
      <c r="AJ116" s="634"/>
      <c r="AK116" s="634"/>
      <c r="AM116" s="634"/>
      <c r="AN116" s="634"/>
      <c r="AO116" s="634"/>
      <c r="AQ116" s="634"/>
      <c r="AR116" s="634"/>
      <c r="AS116" s="634"/>
      <c r="AT116" s="634"/>
      <c r="AU116" s="634"/>
      <c r="AV116" s="634"/>
      <c r="AX116" s="634"/>
      <c r="AY116" s="634"/>
      <c r="AZ116" s="634"/>
      <c r="BB116" s="634"/>
      <c r="BC116" s="634"/>
      <c r="BD116" s="634"/>
      <c r="BF116" s="634"/>
      <c r="BG116" s="634"/>
      <c r="BH116" s="634"/>
      <c r="BJ116" s="634"/>
      <c r="BK116" s="634"/>
      <c r="BL116" s="634"/>
      <c r="BN116" s="634"/>
      <c r="BO116" s="634"/>
      <c r="BP116" s="634"/>
      <c r="BQ116" s="634"/>
      <c r="BR116" s="634"/>
      <c r="BT116" s="634"/>
      <c r="BU116" s="634"/>
      <c r="BV116" s="634"/>
      <c r="BX116" s="634"/>
      <c r="BY116" s="634"/>
      <c r="BZ116" s="634"/>
      <c r="CB116" s="634"/>
      <c r="CC116" s="634"/>
      <c r="CD116" s="634"/>
      <c r="CF116" s="634"/>
      <c r="CG116" s="634"/>
      <c r="CH116" s="634"/>
      <c r="CJ116" s="634"/>
      <c r="CK116" s="634"/>
      <c r="CM116" s="634"/>
      <c r="CO116" s="634"/>
      <c r="CP116" s="634"/>
      <c r="CQ116" s="634"/>
      <c r="CS116" s="634"/>
      <c r="CT116" s="634"/>
      <c r="CU116" s="634"/>
      <c r="CW116" s="634"/>
      <c r="CX116" s="634"/>
      <c r="CY116" s="634"/>
      <c r="DA116" s="634"/>
      <c r="DB116" s="634"/>
      <c r="DC116" s="634"/>
      <c r="DD116" s="634"/>
      <c r="DE116" s="634"/>
      <c r="DF116" s="634"/>
      <c r="DH116" s="634"/>
      <c r="DI116" s="634"/>
      <c r="DJ116" s="634"/>
      <c r="DL116" s="634"/>
      <c r="DM116" s="634"/>
      <c r="DN116" s="634"/>
      <c r="DO116" s="634"/>
      <c r="DP116" s="634"/>
      <c r="DR116" s="634"/>
      <c r="DS116" s="634"/>
      <c r="DT116" s="634"/>
      <c r="DV116" s="634"/>
      <c r="DW116" s="634"/>
      <c r="DX116" s="634"/>
      <c r="DZ116" s="634"/>
      <c r="EA116" s="634"/>
      <c r="EB116" s="634"/>
      <c r="ED116" s="634"/>
      <c r="EE116" s="634"/>
      <c r="EF116" s="634"/>
      <c r="EH116" s="634"/>
      <c r="EI116" s="634"/>
      <c r="EJ116" s="634"/>
      <c r="EK116" s="634"/>
      <c r="EL116" s="634"/>
      <c r="EN116" s="634"/>
      <c r="EO116" s="634"/>
      <c r="EP116" s="634"/>
      <c r="ER116" s="634"/>
      <c r="ES116" s="634"/>
      <c r="ET116" s="634"/>
      <c r="EV116" s="634"/>
      <c r="EW116" s="634"/>
      <c r="EY116" s="634"/>
      <c r="EZ116" s="634"/>
      <c r="FA116" s="634"/>
      <c r="FB116" s="634"/>
      <c r="FC116" s="634"/>
      <c r="FD116" s="634"/>
      <c r="FE116" s="634"/>
      <c r="FF116" s="634"/>
      <c r="FG116" s="634"/>
      <c r="FH116" s="634"/>
      <c r="FI116" s="634"/>
      <c r="FJ116" s="634"/>
      <c r="FK116" s="634"/>
      <c r="FL116" s="634"/>
      <c r="FM116" s="634"/>
      <c r="FN116" s="634"/>
      <c r="FO116" s="634"/>
      <c r="FP116" s="634"/>
      <c r="FQ116" s="634"/>
      <c r="FS116" s="634"/>
      <c r="FT116" s="634"/>
      <c r="FU116" s="634"/>
      <c r="FV116" s="634"/>
      <c r="FW116" s="634"/>
      <c r="FX116" s="634"/>
      <c r="FY116" s="634"/>
      <c r="FZ116" s="634"/>
    </row>
    <row r="117" spans="1:182">
      <c r="A117" s="544"/>
      <c r="B117" s="667">
        <v>0.5</v>
      </c>
      <c r="C117" s="2">
        <v>1</v>
      </c>
      <c r="D117">
        <f t="shared" si="6"/>
        <v>79.7884560802865</v>
      </c>
      <c r="E117">
        <f t="shared" si="7"/>
        <v>0.5</v>
      </c>
      <c r="F117" s="666"/>
      <c r="G117" s="668"/>
      <c r="H117" s="2">
        <v>1</v>
      </c>
      <c r="J117">
        <f t="shared" si="8"/>
        <v>0</v>
      </c>
      <c r="K117" s="634"/>
      <c r="L117" s="634"/>
      <c r="M117" s="634"/>
      <c r="N117" s="634"/>
      <c r="O117" s="634"/>
      <c r="P117" s="634"/>
      <c r="Q117" s="634"/>
      <c r="R117" s="634"/>
      <c r="S117" s="634"/>
      <c r="T117" s="634"/>
      <c r="U117" s="634"/>
      <c r="V117" s="634"/>
      <c r="W117" s="634"/>
      <c r="X117" s="634"/>
      <c r="Y117" s="634"/>
      <c r="Z117" s="634"/>
      <c r="AA117" s="634"/>
      <c r="AB117" s="634"/>
      <c r="AD117" s="634"/>
      <c r="AE117" s="634"/>
      <c r="AG117" s="634"/>
      <c r="AI117" s="634"/>
      <c r="AJ117" s="634"/>
      <c r="AK117" s="634"/>
      <c r="AM117" s="634"/>
      <c r="AN117" s="634"/>
      <c r="AO117" s="634"/>
      <c r="AQ117" s="634"/>
      <c r="AR117" s="634"/>
      <c r="AS117" s="634"/>
      <c r="AT117" s="634"/>
      <c r="AU117" s="634"/>
      <c r="AV117" s="634"/>
      <c r="AX117" s="634"/>
      <c r="AY117" s="634"/>
      <c r="AZ117" s="634"/>
      <c r="BB117" s="634"/>
      <c r="BC117" s="634"/>
      <c r="BD117" s="634"/>
      <c r="BF117" s="634"/>
      <c r="BG117" s="634"/>
      <c r="BH117" s="634"/>
      <c r="BJ117" s="634"/>
      <c r="BK117" s="634"/>
      <c r="BL117" s="634"/>
      <c r="BN117" s="634"/>
      <c r="BO117" s="634"/>
      <c r="BP117" s="634"/>
      <c r="BQ117" s="634"/>
      <c r="BR117" s="634"/>
      <c r="BT117" s="634"/>
      <c r="BU117" s="634"/>
      <c r="BV117" s="634"/>
      <c r="BX117" s="634"/>
      <c r="BY117" s="634"/>
      <c r="BZ117" s="634"/>
      <c r="CB117" s="634"/>
      <c r="CC117" s="634"/>
      <c r="CD117" s="634"/>
      <c r="CF117" s="634"/>
      <c r="CG117" s="634"/>
      <c r="CH117" s="634"/>
      <c r="CJ117" s="634"/>
      <c r="CK117" s="634"/>
      <c r="CM117" s="634"/>
      <c r="CO117" s="634"/>
      <c r="CP117" s="634"/>
      <c r="CQ117" s="634"/>
      <c r="CS117" s="634"/>
      <c r="CT117" s="634"/>
      <c r="CU117" s="634"/>
      <c r="CW117" s="634"/>
      <c r="CX117" s="634"/>
      <c r="CY117" s="634"/>
      <c r="DA117" s="634"/>
      <c r="DB117" s="634"/>
      <c r="DC117" s="634"/>
      <c r="DD117" s="634"/>
      <c r="DE117" s="634"/>
      <c r="DF117" s="634"/>
      <c r="DH117" s="634"/>
      <c r="DI117" s="634"/>
      <c r="DJ117" s="634"/>
      <c r="DL117" s="634"/>
      <c r="DM117" s="634"/>
      <c r="DN117" s="634"/>
      <c r="DO117" s="634"/>
      <c r="DP117" s="634"/>
      <c r="DR117" s="634"/>
      <c r="DS117" s="634"/>
      <c r="DT117" s="634"/>
      <c r="DV117" s="634"/>
      <c r="DW117" s="634"/>
      <c r="DX117" s="634"/>
      <c r="DZ117" s="634"/>
      <c r="EA117" s="634"/>
      <c r="EB117" s="634"/>
      <c r="ED117" s="634"/>
      <c r="EE117" s="634"/>
      <c r="EF117" s="634"/>
      <c r="EH117" s="634"/>
      <c r="EI117" s="634"/>
      <c r="EJ117" s="634"/>
      <c r="EK117" s="634"/>
      <c r="EL117" s="634"/>
      <c r="EN117" s="634"/>
      <c r="EO117" s="634"/>
      <c r="EP117" s="634"/>
      <c r="ER117" s="634"/>
      <c r="ES117" s="634"/>
      <c r="ET117" s="634"/>
      <c r="EV117" s="634"/>
      <c r="EW117" s="634"/>
      <c r="EY117" s="634"/>
      <c r="EZ117" s="634"/>
      <c r="FA117" s="634"/>
      <c r="FB117" s="634"/>
      <c r="FC117" s="634"/>
      <c r="FD117" s="634"/>
      <c r="FE117" s="634"/>
      <c r="FF117" s="634"/>
      <c r="FG117" s="634"/>
      <c r="FH117" s="634"/>
      <c r="FI117" s="634"/>
      <c r="FJ117" s="634"/>
      <c r="FK117" s="634"/>
      <c r="FL117" s="634"/>
      <c r="FM117" s="634"/>
      <c r="FN117" s="634"/>
      <c r="FO117" s="634"/>
      <c r="FP117" s="634"/>
      <c r="FQ117" s="634"/>
      <c r="FS117" s="634"/>
      <c r="FT117" s="634"/>
      <c r="FU117" s="634"/>
      <c r="FV117" s="634"/>
      <c r="FW117" s="634"/>
      <c r="FX117" s="634"/>
      <c r="FY117" s="634"/>
      <c r="FZ117" s="634"/>
    </row>
    <row r="118" spans="1:182">
      <c r="A118" s="544"/>
      <c r="B118" s="667">
        <v>0.75</v>
      </c>
      <c r="C118" s="2">
        <v>1</v>
      </c>
      <c r="D118">
        <f t="shared" si="6"/>
        <v>97.720502380584</v>
      </c>
      <c r="E118">
        <f t="shared" si="7"/>
        <v>0.75</v>
      </c>
      <c r="F118" s="666"/>
      <c r="G118" s="668"/>
      <c r="H118" s="2">
        <v>1</v>
      </c>
      <c r="J118">
        <f t="shared" si="8"/>
        <v>0</v>
      </c>
      <c r="K118" s="634"/>
      <c r="L118" s="634"/>
      <c r="M118" s="634"/>
      <c r="N118" s="634"/>
      <c r="O118" s="634"/>
      <c r="P118" s="634"/>
      <c r="Q118" s="634"/>
      <c r="R118" s="634"/>
      <c r="S118" s="634"/>
      <c r="T118" s="634"/>
      <c r="U118" s="634"/>
      <c r="V118" s="634"/>
      <c r="W118" s="634"/>
      <c r="X118" s="634"/>
      <c r="Y118" s="634"/>
      <c r="Z118" s="634"/>
      <c r="AA118" s="634"/>
      <c r="AB118" s="634"/>
      <c r="AD118" s="634"/>
      <c r="AE118" s="634"/>
      <c r="AG118" s="634"/>
      <c r="AI118" s="634"/>
      <c r="AJ118" s="634"/>
      <c r="AK118" s="634"/>
      <c r="AM118" s="634"/>
      <c r="AN118" s="634"/>
      <c r="AO118" s="634"/>
      <c r="AQ118" s="634"/>
      <c r="AR118" s="634"/>
      <c r="AS118" s="634"/>
      <c r="AT118" s="634"/>
      <c r="AU118" s="634"/>
      <c r="AV118" s="634"/>
      <c r="AX118" s="634"/>
      <c r="AY118" s="634"/>
      <c r="AZ118" s="634"/>
      <c r="BB118" s="634"/>
      <c r="BC118" s="634"/>
      <c r="BD118" s="634"/>
      <c r="BF118" s="634"/>
      <c r="BG118" s="634"/>
      <c r="BH118" s="634"/>
      <c r="BJ118" s="634"/>
      <c r="BK118" s="634"/>
      <c r="BL118" s="634"/>
      <c r="BN118" s="634"/>
      <c r="BO118" s="634"/>
      <c r="BP118" s="634"/>
      <c r="BQ118" s="634"/>
      <c r="BR118" s="634"/>
      <c r="BT118" s="634"/>
      <c r="BU118" s="634"/>
      <c r="BV118" s="634"/>
      <c r="BX118" s="634"/>
      <c r="BY118" s="634"/>
      <c r="BZ118" s="634"/>
      <c r="CB118" s="634"/>
      <c r="CC118" s="634"/>
      <c r="CD118" s="634"/>
      <c r="CF118" s="634"/>
      <c r="CG118" s="634"/>
      <c r="CH118" s="634"/>
      <c r="CJ118" s="634"/>
      <c r="CK118" s="634"/>
      <c r="CM118" s="634"/>
      <c r="CO118" s="634"/>
      <c r="CP118" s="634"/>
      <c r="CQ118" s="634"/>
      <c r="CS118" s="634"/>
      <c r="CT118" s="634"/>
      <c r="CU118" s="634"/>
      <c r="CW118" s="634"/>
      <c r="CX118" s="634"/>
      <c r="CY118" s="634"/>
      <c r="DA118" s="634"/>
      <c r="DB118" s="634"/>
      <c r="DC118" s="634"/>
      <c r="DD118" s="634"/>
      <c r="DE118" s="634"/>
      <c r="DF118" s="634"/>
      <c r="DH118" s="634"/>
      <c r="DI118" s="634"/>
      <c r="DJ118" s="634"/>
      <c r="DL118" s="634"/>
      <c r="DM118" s="634"/>
      <c r="DN118" s="634"/>
      <c r="DO118" s="634"/>
      <c r="DP118" s="634"/>
      <c r="DR118" s="634"/>
      <c r="DS118" s="634"/>
      <c r="DT118" s="634"/>
      <c r="DV118" s="634"/>
      <c r="DW118" s="634"/>
      <c r="DX118" s="634"/>
      <c r="DZ118" s="634"/>
      <c r="EA118" s="634"/>
      <c r="EB118" s="634"/>
      <c r="ED118" s="634"/>
      <c r="EE118" s="634"/>
      <c r="EF118" s="634"/>
      <c r="EH118" s="634"/>
      <c r="EI118" s="634"/>
      <c r="EJ118" s="634"/>
      <c r="EK118" s="634"/>
      <c r="EL118" s="634"/>
      <c r="EN118" s="634"/>
      <c r="EO118" s="634"/>
      <c r="EP118" s="634"/>
      <c r="ER118" s="634"/>
      <c r="ES118" s="634"/>
      <c r="ET118" s="634"/>
      <c r="EV118" s="634"/>
      <c r="EW118" s="634"/>
      <c r="EY118" s="634"/>
      <c r="EZ118" s="634"/>
      <c r="FA118" s="634"/>
      <c r="FB118" s="634"/>
      <c r="FC118" s="634"/>
      <c r="FD118" s="634"/>
      <c r="FE118" s="634"/>
      <c r="FF118" s="634"/>
      <c r="FG118" s="634"/>
      <c r="FH118" s="634"/>
      <c r="FI118" s="634"/>
      <c r="FJ118" s="634"/>
      <c r="FK118" s="634"/>
      <c r="FL118" s="634"/>
      <c r="FM118" s="634"/>
      <c r="FN118" s="634"/>
      <c r="FO118" s="634"/>
      <c r="FP118" s="634"/>
      <c r="FQ118" s="634"/>
      <c r="FS118" s="634"/>
      <c r="FT118" s="634"/>
      <c r="FU118" s="634"/>
      <c r="FV118" s="634"/>
      <c r="FW118" s="634"/>
      <c r="FX118" s="634"/>
      <c r="FY118" s="634"/>
      <c r="FZ118" s="634"/>
    </row>
    <row r="119" spans="1:182">
      <c r="A119" s="544"/>
      <c r="B119" s="667">
        <v>1</v>
      </c>
      <c r="C119" s="2">
        <v>1</v>
      </c>
      <c r="D119">
        <f t="shared" si="6"/>
        <v>112.837916709551</v>
      </c>
      <c r="E119">
        <f t="shared" si="7"/>
        <v>1</v>
      </c>
      <c r="F119" s="669"/>
      <c r="G119" s="668"/>
      <c r="H119" s="2">
        <v>1</v>
      </c>
      <c r="J119">
        <f t="shared" si="8"/>
        <v>0</v>
      </c>
      <c r="K119" s="634"/>
      <c r="L119" s="634"/>
      <c r="M119" s="634"/>
      <c r="N119" s="634"/>
      <c r="O119" s="634"/>
      <c r="P119" s="634"/>
      <c r="Q119" s="634"/>
      <c r="R119" s="634"/>
      <c r="S119" s="634"/>
      <c r="T119" s="634"/>
      <c r="U119" s="634"/>
      <c r="V119" s="634"/>
      <c r="W119" s="634"/>
      <c r="X119" s="634"/>
      <c r="Y119" s="634"/>
      <c r="Z119" s="634"/>
      <c r="AA119" s="634"/>
      <c r="AB119" s="634"/>
      <c r="AD119" s="634"/>
      <c r="AE119" s="634"/>
      <c r="AG119" s="634"/>
      <c r="AI119" s="634"/>
      <c r="AJ119" s="634"/>
      <c r="AK119" s="634"/>
      <c r="AM119" s="634"/>
      <c r="AN119" s="634"/>
      <c r="AO119" s="634"/>
      <c r="AQ119" s="634"/>
      <c r="AR119" s="634"/>
      <c r="AS119" s="634"/>
      <c r="AT119" s="634"/>
      <c r="AU119" s="634"/>
      <c r="AV119" s="634"/>
      <c r="AX119" s="634"/>
      <c r="AY119" s="634"/>
      <c r="AZ119" s="634"/>
      <c r="BB119" s="634"/>
      <c r="BC119" s="634"/>
      <c r="BD119" s="634"/>
      <c r="BF119" s="634"/>
      <c r="BG119" s="634"/>
      <c r="BH119" s="634"/>
      <c r="BJ119" s="634"/>
      <c r="BK119" s="634"/>
      <c r="BL119" s="634"/>
      <c r="BN119" s="634"/>
      <c r="BO119" s="634"/>
      <c r="BP119" s="634"/>
      <c r="BQ119" s="634"/>
      <c r="BR119" s="634"/>
      <c r="BT119" s="634"/>
      <c r="BU119" s="634"/>
      <c r="BV119" s="634"/>
      <c r="BX119" s="634"/>
      <c r="BY119" s="634"/>
      <c r="BZ119" s="634"/>
      <c r="CB119" s="634"/>
      <c r="CC119" s="634"/>
      <c r="CD119" s="634"/>
      <c r="CF119" s="634"/>
      <c r="CG119" s="634"/>
      <c r="CH119" s="634"/>
      <c r="CJ119" s="634"/>
      <c r="CK119" s="634"/>
      <c r="CM119" s="634"/>
      <c r="CO119" s="634"/>
      <c r="CP119" s="634"/>
      <c r="CQ119" s="634"/>
      <c r="CS119" s="634"/>
      <c r="CT119" s="634"/>
      <c r="CU119" s="634"/>
      <c r="CW119" s="634"/>
      <c r="CX119" s="634"/>
      <c r="CY119" s="634"/>
      <c r="DA119" s="634"/>
      <c r="DB119" s="634"/>
      <c r="DC119" s="634"/>
      <c r="DD119" s="634"/>
      <c r="DE119" s="634"/>
      <c r="DF119" s="634"/>
      <c r="DH119" s="634"/>
      <c r="DI119" s="634"/>
      <c r="DJ119" s="634"/>
      <c r="DL119" s="634"/>
      <c r="DM119" s="634"/>
      <c r="DN119" s="634"/>
      <c r="DO119" s="634"/>
      <c r="DP119" s="634"/>
      <c r="DR119" s="634"/>
      <c r="DS119" s="634"/>
      <c r="DT119" s="634"/>
      <c r="DV119" s="634"/>
      <c r="DW119" s="634"/>
      <c r="DX119" s="634"/>
      <c r="DZ119" s="634"/>
      <c r="EA119" s="634"/>
      <c r="EB119" s="634"/>
      <c r="ED119" s="634"/>
      <c r="EE119" s="634"/>
      <c r="EF119" s="634"/>
      <c r="EH119" s="634"/>
      <c r="EI119" s="634"/>
      <c r="EJ119" s="634"/>
      <c r="EK119" s="634"/>
      <c r="EL119" s="634"/>
      <c r="EN119" s="634"/>
      <c r="EO119" s="634"/>
      <c r="EP119" s="634"/>
      <c r="ER119" s="634"/>
      <c r="ES119" s="634"/>
      <c r="ET119" s="634"/>
      <c r="EV119" s="634"/>
      <c r="EW119" s="634"/>
      <c r="EY119" s="634"/>
      <c r="EZ119" s="634"/>
      <c r="FA119" s="634"/>
      <c r="FB119" s="634"/>
      <c r="FC119" s="634"/>
      <c r="FD119" s="634"/>
      <c r="FE119" s="634"/>
      <c r="FF119" s="634"/>
      <c r="FG119" s="634"/>
      <c r="FH119" s="634"/>
      <c r="FI119" s="634"/>
      <c r="FJ119" s="634"/>
      <c r="FK119" s="634"/>
      <c r="FL119" s="634"/>
      <c r="FM119" s="634"/>
      <c r="FN119" s="634"/>
      <c r="FO119" s="634"/>
      <c r="FP119" s="634"/>
      <c r="FQ119" s="634"/>
      <c r="FS119" s="634"/>
      <c r="FT119" s="634"/>
      <c r="FU119" s="634"/>
      <c r="FV119" s="634"/>
      <c r="FW119" s="634"/>
      <c r="FX119" s="634"/>
      <c r="FY119" s="634"/>
      <c r="FZ119" s="634"/>
    </row>
    <row r="120" spans="1:182">
      <c r="A120" s="544"/>
      <c r="B120" s="667">
        <v>1.5</v>
      </c>
      <c r="C120" s="2">
        <v>1</v>
      </c>
      <c r="D120">
        <f t="shared" si="6"/>
        <v>138.197659788534</v>
      </c>
      <c r="E120">
        <f t="shared" si="7"/>
        <v>1.5</v>
      </c>
      <c r="F120" s="669"/>
      <c r="G120" s="668"/>
      <c r="H120" s="2">
        <v>1</v>
      </c>
      <c r="J120">
        <f t="shared" si="8"/>
        <v>0</v>
      </c>
      <c r="K120" s="673"/>
      <c r="L120" s="634"/>
      <c r="M120" s="634"/>
      <c r="N120" s="634"/>
      <c r="O120" s="634"/>
      <c r="P120" s="634"/>
      <c r="Q120" s="634"/>
      <c r="R120" s="634"/>
      <c r="S120" s="634"/>
      <c r="T120" s="634"/>
      <c r="U120" s="634"/>
      <c r="V120" s="634"/>
      <c r="W120" s="634"/>
      <c r="X120" s="634"/>
      <c r="Y120" s="634"/>
      <c r="Z120" s="634"/>
      <c r="AA120" s="634"/>
      <c r="AB120" s="634"/>
      <c r="AD120" s="634"/>
      <c r="AE120" s="634"/>
      <c r="AG120" s="634"/>
      <c r="AI120" s="634"/>
      <c r="AJ120" s="634"/>
      <c r="AK120" s="634"/>
      <c r="AM120" s="634"/>
      <c r="AN120" s="634"/>
      <c r="AO120" s="634"/>
      <c r="AQ120" s="634"/>
      <c r="AR120" s="634"/>
      <c r="AS120" s="634"/>
      <c r="AT120" s="634"/>
      <c r="AU120" s="634"/>
      <c r="AV120" s="634"/>
      <c r="AX120" s="634"/>
      <c r="AY120" s="634"/>
      <c r="AZ120" s="634"/>
      <c r="BB120" s="634"/>
      <c r="BC120" s="634"/>
      <c r="BD120" s="634"/>
      <c r="BF120" s="634"/>
      <c r="BG120" s="634"/>
      <c r="BH120" s="634"/>
      <c r="BJ120" s="634"/>
      <c r="BK120" s="634"/>
      <c r="BL120" s="634"/>
      <c r="BN120" s="634"/>
      <c r="BO120" s="634"/>
      <c r="BP120" s="634"/>
      <c r="BQ120" s="634"/>
      <c r="BR120" s="634"/>
      <c r="BT120" s="634"/>
      <c r="BU120" s="634"/>
      <c r="BV120" s="634"/>
      <c r="BX120" s="634"/>
      <c r="BY120" s="634"/>
      <c r="BZ120" s="634"/>
      <c r="CB120" s="634"/>
      <c r="CC120" s="634"/>
      <c r="CD120" s="634"/>
      <c r="CF120" s="634"/>
      <c r="CG120" s="634"/>
      <c r="CH120" s="634"/>
      <c r="CJ120" s="634"/>
      <c r="CK120" s="634"/>
      <c r="CM120" s="634"/>
      <c r="CO120" s="634"/>
      <c r="CP120" s="634"/>
      <c r="CQ120" s="634"/>
      <c r="CS120" s="634"/>
      <c r="CT120" s="634"/>
      <c r="CU120" s="634"/>
      <c r="CW120" s="634"/>
      <c r="CX120" s="634"/>
      <c r="CY120" s="634"/>
      <c r="DA120" s="634"/>
      <c r="DB120" s="634"/>
      <c r="DC120" s="634"/>
      <c r="DD120" s="634"/>
      <c r="DE120" s="634"/>
      <c r="DF120" s="634"/>
      <c r="DH120" s="634"/>
      <c r="DI120" s="634"/>
      <c r="DJ120" s="634"/>
      <c r="DL120" s="634"/>
      <c r="DM120" s="634"/>
      <c r="DN120" s="634"/>
      <c r="DO120" s="634"/>
      <c r="DP120" s="634"/>
      <c r="DR120" s="634"/>
      <c r="DS120" s="634"/>
      <c r="DT120" s="634"/>
      <c r="DV120" s="634"/>
      <c r="DW120" s="634"/>
      <c r="DX120" s="634"/>
      <c r="DZ120" s="634"/>
      <c r="EA120" s="634"/>
      <c r="EB120" s="634"/>
      <c r="ED120" s="634"/>
      <c r="EE120" s="634"/>
      <c r="EF120" s="634"/>
      <c r="EH120" s="634"/>
      <c r="EI120" s="634"/>
      <c r="EJ120" s="634"/>
      <c r="EK120" s="634"/>
      <c r="EL120" s="634"/>
      <c r="EN120" s="634"/>
      <c r="EO120" s="634"/>
      <c r="EP120" s="634"/>
      <c r="ER120" s="634"/>
      <c r="ES120" s="634"/>
      <c r="ET120" s="634"/>
      <c r="EV120" s="634"/>
      <c r="EW120" s="634"/>
      <c r="EY120" s="634"/>
      <c r="EZ120" s="634"/>
      <c r="FA120" s="634"/>
      <c r="FB120" s="634"/>
      <c r="FC120" s="634"/>
      <c r="FD120" s="634"/>
      <c r="FE120" s="634"/>
      <c r="FF120" s="634"/>
      <c r="FG120" s="634"/>
      <c r="FH120" s="634"/>
      <c r="FI120" s="634"/>
      <c r="FJ120" s="634"/>
      <c r="FK120" s="634"/>
      <c r="FL120" s="634"/>
      <c r="FM120" s="634"/>
      <c r="FN120" s="634"/>
      <c r="FO120" s="634"/>
      <c r="FP120" s="634"/>
      <c r="FQ120" s="634"/>
      <c r="FS120" s="634"/>
      <c r="FT120" s="634"/>
      <c r="FU120" s="634"/>
      <c r="FV120" s="634"/>
      <c r="FW120" s="634"/>
      <c r="FX120" s="634"/>
      <c r="FY120" s="634"/>
      <c r="FZ120" s="634"/>
    </row>
    <row r="121" spans="1:182">
      <c r="A121" s="544"/>
      <c r="B121" s="667">
        <v>2.5</v>
      </c>
      <c r="C121" s="2">
        <v>1</v>
      </c>
      <c r="D121">
        <f t="shared" si="6"/>
        <v>178.412411615277</v>
      </c>
      <c r="E121">
        <f t="shared" si="7"/>
        <v>2.5</v>
      </c>
      <c r="F121" s="669"/>
      <c r="G121" s="668"/>
      <c r="H121" s="2">
        <v>1</v>
      </c>
      <c r="J121">
        <f t="shared" si="8"/>
        <v>0</v>
      </c>
      <c r="K121" s="673"/>
      <c r="L121" s="673"/>
      <c r="M121" s="634"/>
      <c r="N121" s="634"/>
      <c r="O121" s="634"/>
      <c r="P121" s="634"/>
      <c r="Q121" s="634"/>
      <c r="R121" s="634"/>
      <c r="S121" s="634"/>
      <c r="T121" s="634"/>
      <c r="U121" s="634"/>
      <c r="V121" s="634"/>
      <c r="W121" s="634"/>
      <c r="X121" s="634"/>
      <c r="Y121" s="634"/>
      <c r="Z121" s="634"/>
      <c r="AA121" s="634"/>
      <c r="AB121" s="634"/>
      <c r="AD121" s="634"/>
      <c r="AE121" s="634"/>
      <c r="AG121" s="634"/>
      <c r="AI121" s="634"/>
      <c r="AJ121" s="634"/>
      <c r="AK121" s="634"/>
      <c r="AM121" s="634"/>
      <c r="AN121" s="634"/>
      <c r="AO121" s="634"/>
      <c r="AQ121" s="634"/>
      <c r="AR121" s="634"/>
      <c r="AS121" s="634"/>
      <c r="AT121" s="634"/>
      <c r="AU121" s="634"/>
      <c r="AV121" s="634"/>
      <c r="AX121" s="634"/>
      <c r="AY121" s="634"/>
      <c r="AZ121" s="634"/>
      <c r="BB121" s="634"/>
      <c r="BC121" s="634"/>
      <c r="BD121" s="634"/>
      <c r="BF121" s="634"/>
      <c r="BG121" s="634"/>
      <c r="BH121" s="634"/>
      <c r="BJ121" s="634"/>
      <c r="BK121" s="634"/>
      <c r="BL121" s="634"/>
      <c r="BN121" s="634"/>
      <c r="BO121" s="634"/>
      <c r="BP121" s="634"/>
      <c r="BQ121" s="634"/>
      <c r="BR121" s="634"/>
      <c r="BT121" s="634"/>
      <c r="BU121" s="634"/>
      <c r="BV121" s="634"/>
      <c r="BX121" s="634"/>
      <c r="BY121" s="634"/>
      <c r="BZ121" s="634"/>
      <c r="CB121" s="634"/>
      <c r="CC121" s="634"/>
      <c r="CD121" s="634"/>
      <c r="CF121" s="634"/>
      <c r="CG121" s="634"/>
      <c r="CH121" s="634"/>
      <c r="CJ121" s="634"/>
      <c r="CK121" s="634"/>
      <c r="CM121" s="634"/>
      <c r="CO121" s="634"/>
      <c r="CP121" s="634"/>
      <c r="CQ121" s="634"/>
      <c r="CS121" s="634"/>
      <c r="CT121" s="634"/>
      <c r="CU121" s="634"/>
      <c r="CW121" s="634"/>
      <c r="CX121" s="634"/>
      <c r="CY121" s="634"/>
      <c r="DA121" s="634"/>
      <c r="DB121" s="634"/>
      <c r="DC121" s="634"/>
      <c r="DD121" s="634"/>
      <c r="DE121" s="634"/>
      <c r="DF121" s="634"/>
      <c r="DH121" s="634"/>
      <c r="DI121" s="634"/>
      <c r="DJ121" s="634"/>
      <c r="DL121" s="634"/>
      <c r="DM121" s="634"/>
      <c r="DN121" s="634"/>
      <c r="DO121" s="634"/>
      <c r="DP121" s="634"/>
      <c r="DR121" s="634"/>
      <c r="DS121" s="634"/>
      <c r="DT121" s="634"/>
      <c r="DV121" s="634"/>
      <c r="DW121" s="634"/>
      <c r="DX121" s="634"/>
      <c r="DZ121" s="634"/>
      <c r="EA121" s="634"/>
      <c r="EB121" s="634"/>
      <c r="ED121" s="634"/>
      <c r="EE121" s="634"/>
      <c r="EF121" s="634"/>
      <c r="EH121" s="634"/>
      <c r="EI121" s="634"/>
      <c r="EJ121" s="634"/>
      <c r="EK121" s="634"/>
      <c r="EL121" s="634"/>
      <c r="EN121" s="634"/>
      <c r="EO121" s="634"/>
      <c r="EP121" s="634"/>
      <c r="ER121" s="634"/>
      <c r="ES121" s="634"/>
      <c r="ET121" s="634"/>
      <c r="EV121" s="634"/>
      <c r="EW121" s="634"/>
      <c r="EY121" s="634"/>
      <c r="EZ121" s="634"/>
      <c r="FA121" s="634"/>
      <c r="FB121" s="634"/>
      <c r="FC121" s="634"/>
      <c r="FD121" s="634"/>
      <c r="FE121" s="634"/>
      <c r="FF121" s="634"/>
      <c r="FG121" s="634"/>
      <c r="FH121" s="634"/>
      <c r="FI121" s="634"/>
      <c r="FJ121" s="634"/>
      <c r="FK121" s="634"/>
      <c r="FL121" s="634"/>
      <c r="FM121" s="634"/>
      <c r="FN121" s="634"/>
      <c r="FO121" s="634"/>
      <c r="FP121" s="634"/>
      <c r="FQ121" s="634"/>
      <c r="FS121" s="634"/>
      <c r="FT121" s="634"/>
      <c r="FU121" s="634"/>
      <c r="FV121" s="634"/>
      <c r="FW121" s="634"/>
      <c r="FX121" s="634"/>
      <c r="FY121" s="634"/>
      <c r="FZ121" s="634"/>
    </row>
    <row r="122" spans="1:182">
      <c r="A122" s="544"/>
      <c r="B122" s="667">
        <v>4</v>
      </c>
      <c r="C122" s="2">
        <v>1</v>
      </c>
      <c r="D122">
        <f t="shared" si="6"/>
        <v>225.675833419103</v>
      </c>
      <c r="E122">
        <f t="shared" si="7"/>
        <v>4</v>
      </c>
      <c r="F122" s="669"/>
      <c r="G122" s="668"/>
      <c r="H122" s="2">
        <v>1</v>
      </c>
      <c r="J122">
        <f t="shared" si="8"/>
        <v>0</v>
      </c>
      <c r="K122" s="673"/>
      <c r="L122" s="673"/>
      <c r="M122" s="634"/>
      <c r="N122" s="634"/>
      <c r="O122" s="634"/>
      <c r="P122" s="634"/>
      <c r="Q122" s="634"/>
      <c r="R122" s="634"/>
      <c r="S122" s="634"/>
      <c r="T122" s="634"/>
      <c r="U122" s="634"/>
      <c r="V122" s="634"/>
      <c r="W122" s="634"/>
      <c r="X122" s="634"/>
      <c r="Y122" s="634"/>
      <c r="Z122" s="634"/>
      <c r="AA122" s="634"/>
      <c r="AB122" s="634"/>
      <c r="AD122" s="634"/>
      <c r="AE122" s="634"/>
      <c r="AG122" s="634"/>
      <c r="AI122" s="634"/>
      <c r="AJ122" s="634"/>
      <c r="AK122" s="634"/>
      <c r="AM122" s="634"/>
      <c r="AN122" s="634"/>
      <c r="AO122" s="634"/>
      <c r="AQ122" s="634"/>
      <c r="AR122" s="634"/>
      <c r="AS122" s="634"/>
      <c r="AT122" s="634"/>
      <c r="AU122" s="634"/>
      <c r="AV122" s="634"/>
      <c r="AX122" s="634"/>
      <c r="AY122" s="634"/>
      <c r="AZ122" s="634"/>
      <c r="BB122" s="634"/>
      <c r="BC122" s="634"/>
      <c r="BD122" s="634"/>
      <c r="BF122" s="634"/>
      <c r="BG122" s="634"/>
      <c r="BH122" s="634"/>
      <c r="BJ122" s="634"/>
      <c r="BK122" s="634"/>
      <c r="BL122" s="634"/>
      <c r="BN122" s="634"/>
      <c r="BO122" s="634"/>
      <c r="BP122" s="634"/>
      <c r="BQ122" s="634"/>
      <c r="BR122" s="634"/>
      <c r="BT122" s="634"/>
      <c r="BU122" s="634"/>
      <c r="BV122" s="634"/>
      <c r="BX122" s="634"/>
      <c r="BY122" s="634"/>
      <c r="BZ122" s="634"/>
      <c r="CB122" s="634"/>
      <c r="CC122" s="634"/>
      <c r="CD122" s="634"/>
      <c r="CF122" s="634"/>
      <c r="CG122" s="634"/>
      <c r="CH122" s="634"/>
      <c r="CJ122" s="634"/>
      <c r="CK122" s="634"/>
      <c r="CM122" s="634"/>
      <c r="CO122" s="634"/>
      <c r="CP122" s="634"/>
      <c r="CQ122" s="634"/>
      <c r="CS122" s="634"/>
      <c r="CT122" s="634"/>
      <c r="CU122" s="634"/>
      <c r="CW122" s="634"/>
      <c r="CX122" s="634"/>
      <c r="CY122" s="634"/>
      <c r="DA122" s="634"/>
      <c r="DB122" s="634"/>
      <c r="DC122" s="634"/>
      <c r="DD122" s="634"/>
      <c r="DE122" s="634"/>
      <c r="DF122" s="634"/>
      <c r="DH122" s="634"/>
      <c r="DI122" s="634"/>
      <c r="DJ122" s="634"/>
      <c r="DL122" s="634"/>
      <c r="DM122" s="634"/>
      <c r="DN122" s="634"/>
      <c r="DO122" s="634"/>
      <c r="DP122" s="634"/>
      <c r="DR122" s="634"/>
      <c r="DS122" s="634"/>
      <c r="DT122" s="634"/>
      <c r="DV122" s="634"/>
      <c r="DW122" s="634"/>
      <c r="DX122" s="634"/>
      <c r="DZ122" s="634"/>
      <c r="EA122" s="634"/>
      <c r="EB122" s="634"/>
      <c r="ED122" s="634"/>
      <c r="EE122" s="634"/>
      <c r="EF122" s="634"/>
      <c r="EH122" s="634"/>
      <c r="EI122" s="634"/>
      <c r="EJ122" s="634"/>
      <c r="EK122" s="634"/>
      <c r="EL122" s="634"/>
      <c r="EN122" s="634"/>
      <c r="EO122" s="634"/>
      <c r="EP122" s="634"/>
      <c r="ER122" s="634"/>
      <c r="ES122" s="634"/>
      <c r="ET122" s="634"/>
      <c r="EV122" s="634"/>
      <c r="EW122" s="634"/>
      <c r="EY122" s="634"/>
      <c r="EZ122" s="634"/>
      <c r="FA122" s="634"/>
      <c r="FB122" s="634"/>
      <c r="FC122" s="634"/>
      <c r="FD122" s="634"/>
      <c r="FE122" s="634"/>
      <c r="FF122" s="634"/>
      <c r="FG122" s="634"/>
      <c r="FH122" s="634"/>
      <c r="FI122" s="634"/>
      <c r="FJ122" s="634"/>
      <c r="FK122" s="634"/>
      <c r="FL122" s="634"/>
      <c r="FM122" s="634"/>
      <c r="FN122" s="634"/>
      <c r="FO122" s="634"/>
      <c r="FP122" s="634"/>
      <c r="FQ122" s="634"/>
      <c r="FS122" s="634"/>
      <c r="FT122" s="634"/>
      <c r="FU122" s="634"/>
      <c r="FV122" s="634"/>
      <c r="FW122" s="634"/>
      <c r="FX122" s="634"/>
      <c r="FY122" s="634"/>
      <c r="FZ122" s="634"/>
    </row>
    <row r="123" spans="1:182">
      <c r="A123" s="544"/>
      <c r="B123" s="667">
        <v>6</v>
      </c>
      <c r="C123" s="2">
        <v>1</v>
      </c>
      <c r="D123">
        <f t="shared" si="6"/>
        <v>276.395319577068</v>
      </c>
      <c r="E123">
        <f t="shared" si="7"/>
        <v>6</v>
      </c>
      <c r="F123" s="669"/>
      <c r="G123" s="668"/>
      <c r="H123" s="2">
        <v>1</v>
      </c>
      <c r="J123">
        <f t="shared" si="8"/>
        <v>0</v>
      </c>
      <c r="K123" s="673"/>
      <c r="L123" s="673"/>
      <c r="M123" s="634"/>
      <c r="N123" s="634"/>
      <c r="O123" s="634"/>
      <c r="P123" s="634"/>
      <c r="Q123" s="634"/>
      <c r="R123" s="634"/>
      <c r="S123" s="634"/>
      <c r="T123" s="634"/>
      <c r="U123" s="634"/>
      <c r="V123" s="634"/>
      <c r="W123" s="634"/>
      <c r="X123" s="634"/>
      <c r="Y123" s="634"/>
      <c r="Z123" s="634"/>
      <c r="AA123" s="634"/>
      <c r="AB123" s="634"/>
      <c r="AD123" s="634"/>
      <c r="AE123" s="634"/>
      <c r="AG123" s="634"/>
      <c r="AI123" s="634"/>
      <c r="AJ123" s="634"/>
      <c r="AK123" s="634"/>
      <c r="AM123" s="634"/>
      <c r="AN123" s="634"/>
      <c r="AO123" s="634"/>
      <c r="AQ123" s="634"/>
      <c r="AR123" s="634"/>
      <c r="AS123" s="634"/>
      <c r="AT123" s="634"/>
      <c r="AU123" s="634"/>
      <c r="AV123" s="634"/>
      <c r="AX123" s="634"/>
      <c r="AY123" s="634"/>
      <c r="AZ123" s="634"/>
      <c r="BB123" s="634"/>
      <c r="BC123" s="634"/>
      <c r="BD123" s="634"/>
      <c r="BF123" s="634"/>
      <c r="BG123" s="634"/>
      <c r="BH123" s="634"/>
      <c r="BJ123" s="634"/>
      <c r="BK123" s="634"/>
      <c r="BL123" s="634"/>
      <c r="BN123" s="634"/>
      <c r="BO123" s="634"/>
      <c r="BP123" s="634"/>
      <c r="BQ123" s="634"/>
      <c r="BR123" s="634"/>
      <c r="BT123" s="634"/>
      <c r="BU123" s="634"/>
      <c r="BV123" s="634"/>
      <c r="BX123" s="634"/>
      <c r="BY123" s="634"/>
      <c r="BZ123" s="634"/>
      <c r="CB123" s="634"/>
      <c r="CC123" s="634"/>
      <c r="CD123" s="634"/>
      <c r="CF123" s="634"/>
      <c r="CG123" s="634"/>
      <c r="CH123" s="634"/>
      <c r="CJ123" s="634"/>
      <c r="CK123" s="634"/>
      <c r="CM123" s="634"/>
      <c r="CO123" s="634"/>
      <c r="CP123" s="634"/>
      <c r="CQ123" s="634"/>
      <c r="CS123" s="634"/>
      <c r="CT123" s="634"/>
      <c r="CU123" s="634"/>
      <c r="CW123" s="634"/>
      <c r="CX123" s="634"/>
      <c r="CY123" s="634"/>
      <c r="DA123" s="634"/>
      <c r="DB123" s="634"/>
      <c r="DC123" s="634"/>
      <c r="DD123" s="634"/>
      <c r="DE123" s="634"/>
      <c r="DF123" s="634"/>
      <c r="DH123" s="634"/>
      <c r="DI123" s="634"/>
      <c r="DJ123" s="634"/>
      <c r="DL123" s="634"/>
      <c r="DM123" s="634"/>
      <c r="DN123" s="634"/>
      <c r="DO123" s="634"/>
      <c r="DP123" s="634"/>
      <c r="DR123" s="634"/>
      <c r="DS123" s="634"/>
      <c r="DT123" s="634"/>
      <c r="DV123" s="634"/>
      <c r="DW123" s="634"/>
      <c r="DX123" s="634"/>
      <c r="DZ123" s="634"/>
      <c r="EA123" s="634"/>
      <c r="EB123" s="634"/>
      <c r="ED123" s="634"/>
      <c r="EE123" s="634"/>
      <c r="EF123" s="634"/>
      <c r="EH123" s="634"/>
      <c r="EI123" s="634"/>
      <c r="EJ123" s="634"/>
      <c r="EK123" s="634"/>
      <c r="EL123" s="634"/>
      <c r="EN123" s="634"/>
      <c r="EO123" s="634"/>
      <c r="EP123" s="634"/>
      <c r="ER123" s="634"/>
      <c r="ES123" s="634"/>
      <c r="ET123" s="634"/>
      <c r="EV123" s="634"/>
      <c r="EW123" s="634"/>
      <c r="EY123" s="634"/>
      <c r="EZ123" s="634"/>
      <c r="FA123" s="634"/>
      <c r="FB123" s="634"/>
      <c r="FC123" s="634"/>
      <c r="FD123" s="634"/>
      <c r="FE123" s="634"/>
      <c r="FF123" s="634"/>
      <c r="FG123" s="634"/>
      <c r="FH123" s="634"/>
      <c r="FI123" s="634"/>
      <c r="FJ123" s="634"/>
      <c r="FK123" s="634"/>
      <c r="FL123" s="634"/>
      <c r="FM123" s="634"/>
      <c r="FN123" s="634"/>
      <c r="FO123" s="634"/>
      <c r="FP123" s="634"/>
      <c r="FQ123" s="634"/>
      <c r="FS123" s="634"/>
      <c r="FT123" s="634"/>
      <c r="FU123" s="634"/>
      <c r="FV123" s="634"/>
      <c r="FW123" s="634"/>
      <c r="FX123" s="634"/>
      <c r="FY123" s="634"/>
      <c r="FZ123" s="634"/>
    </row>
    <row r="124" spans="1:182">
      <c r="A124" s="544"/>
      <c r="B124" s="667">
        <v>10</v>
      </c>
      <c r="C124" s="2">
        <v>7</v>
      </c>
      <c r="D124">
        <f t="shared" si="6"/>
        <v>134.867106268947</v>
      </c>
      <c r="E124">
        <f t="shared" si="7"/>
        <v>10</v>
      </c>
      <c r="F124" s="669"/>
      <c r="G124" s="668"/>
      <c r="H124" s="2">
        <v>7</v>
      </c>
      <c r="I124">
        <v>225</v>
      </c>
      <c r="J124">
        <f t="shared" si="8"/>
        <v>27.8325474153971</v>
      </c>
      <c r="K124" s="673"/>
      <c r="L124" s="673"/>
      <c r="M124" s="634"/>
      <c r="N124" s="634"/>
      <c r="O124" s="634"/>
      <c r="P124" s="634"/>
      <c r="Q124" s="634"/>
      <c r="R124" s="634"/>
      <c r="S124" s="634"/>
      <c r="T124" s="634"/>
      <c r="U124" s="634"/>
      <c r="V124" s="634"/>
      <c r="W124" s="634"/>
      <c r="X124" s="634"/>
      <c r="Y124" s="634"/>
      <c r="Z124" s="634"/>
      <c r="AA124" s="634"/>
      <c r="AB124" s="634"/>
      <c r="AD124" s="634"/>
      <c r="AE124" s="634"/>
      <c r="AG124" s="634"/>
      <c r="AI124" s="634"/>
      <c r="AJ124" s="634"/>
      <c r="AK124" s="634"/>
      <c r="AM124" s="634"/>
      <c r="AN124" s="634"/>
      <c r="AO124" s="634"/>
      <c r="AQ124" s="634"/>
      <c r="AR124" s="634"/>
      <c r="AS124" s="634"/>
      <c r="AT124" s="634"/>
      <c r="AU124" s="634"/>
      <c r="AV124" s="634"/>
      <c r="AX124" s="634"/>
      <c r="AY124" s="634"/>
      <c r="AZ124" s="634"/>
      <c r="BB124" s="634"/>
      <c r="BC124" s="634"/>
      <c r="BD124" s="634"/>
      <c r="BF124" s="634"/>
      <c r="BG124" s="634"/>
      <c r="BH124" s="634"/>
      <c r="BJ124" s="634"/>
      <c r="BK124" s="634"/>
      <c r="BL124" s="634"/>
      <c r="BN124" s="634"/>
      <c r="BO124" s="634"/>
      <c r="BP124" s="634"/>
      <c r="BQ124" s="634"/>
      <c r="BR124" s="634"/>
      <c r="BT124" s="634"/>
      <c r="BU124" s="634"/>
      <c r="BV124" s="634"/>
      <c r="BX124" s="634"/>
      <c r="BY124" s="634"/>
      <c r="BZ124" s="634"/>
      <c r="CB124" s="634"/>
      <c r="CC124" s="634"/>
      <c r="CD124" s="634"/>
      <c r="CF124" s="634"/>
      <c r="CG124" s="634"/>
      <c r="CH124" s="634"/>
      <c r="CJ124" s="634"/>
      <c r="CK124" s="634"/>
      <c r="CM124" s="634"/>
      <c r="CO124" s="634"/>
      <c r="CP124" s="634"/>
      <c r="CQ124" s="634"/>
      <c r="CS124" s="634"/>
      <c r="CT124" s="634"/>
      <c r="CU124" s="634"/>
      <c r="CW124" s="634"/>
      <c r="CX124" s="634"/>
      <c r="CY124" s="634"/>
      <c r="DA124" s="634"/>
      <c r="DB124" s="634"/>
      <c r="DC124" s="634"/>
      <c r="DD124" s="634"/>
      <c r="DE124" s="634"/>
      <c r="DF124" s="634"/>
      <c r="DH124" s="634"/>
      <c r="DI124" s="634"/>
      <c r="DJ124" s="634"/>
      <c r="DL124" s="634"/>
      <c r="DM124" s="634"/>
      <c r="DN124" s="634"/>
      <c r="DO124" s="634"/>
      <c r="DP124" s="634"/>
      <c r="DR124" s="634"/>
      <c r="DS124" s="634"/>
      <c r="DT124" s="634"/>
      <c r="DV124" s="634"/>
      <c r="DW124" s="634"/>
      <c r="DX124" s="634"/>
      <c r="DZ124" s="634"/>
      <c r="EA124" s="634"/>
      <c r="EB124" s="634"/>
      <c r="ED124" s="634"/>
      <c r="EE124" s="634"/>
      <c r="EF124" s="634"/>
      <c r="EH124" s="634"/>
      <c r="EI124" s="634"/>
      <c r="EJ124" s="634"/>
      <c r="EK124" s="634"/>
      <c r="EL124" s="634"/>
      <c r="EN124" s="634"/>
      <c r="EO124" s="634"/>
      <c r="EP124" s="634"/>
      <c r="ER124" s="634"/>
      <c r="ES124" s="634"/>
      <c r="ET124" s="634"/>
      <c r="EV124" s="634"/>
      <c r="EW124" s="634"/>
      <c r="EY124" s="634"/>
      <c r="EZ124" s="634"/>
      <c r="FA124" s="634"/>
      <c r="FB124" s="634"/>
      <c r="FC124" s="634"/>
      <c r="FD124" s="634"/>
      <c r="FE124" s="634"/>
      <c r="FF124" s="634"/>
      <c r="FG124" s="634"/>
      <c r="FH124" s="634"/>
      <c r="FI124" s="634"/>
      <c r="FJ124" s="634"/>
      <c r="FK124" s="634"/>
      <c r="FL124" s="634"/>
      <c r="FM124" s="634"/>
      <c r="FN124" s="634"/>
      <c r="FO124" s="634"/>
      <c r="FP124" s="634"/>
      <c r="FQ124" s="634"/>
      <c r="FS124" s="634"/>
      <c r="FT124" s="634"/>
      <c r="FU124" s="634"/>
      <c r="FV124" s="634"/>
      <c r="FW124" s="634"/>
      <c r="FX124" s="634"/>
      <c r="FY124" s="634"/>
      <c r="FZ124" s="634"/>
    </row>
    <row r="125" spans="1:182">
      <c r="A125" s="544"/>
      <c r="B125" s="667">
        <v>16</v>
      </c>
      <c r="C125" s="2">
        <v>7</v>
      </c>
      <c r="D125">
        <f t="shared" si="6"/>
        <v>170.594894898338</v>
      </c>
      <c r="E125">
        <f t="shared" si="7"/>
        <v>16</v>
      </c>
      <c r="F125" s="669"/>
      <c r="G125" s="668"/>
      <c r="H125" s="2">
        <v>7</v>
      </c>
      <c r="I125">
        <v>156</v>
      </c>
      <c r="J125">
        <f t="shared" si="8"/>
        <v>13.3794147931082</v>
      </c>
      <c r="K125" s="673"/>
      <c r="L125" s="673"/>
      <c r="M125" s="634"/>
      <c r="N125" s="634"/>
      <c r="O125" s="634"/>
      <c r="P125" s="634"/>
      <c r="Q125" s="634"/>
      <c r="R125" s="634"/>
      <c r="S125" s="634"/>
      <c r="T125" s="634"/>
      <c r="U125" s="634"/>
      <c r="V125" s="634"/>
      <c r="W125" s="634"/>
      <c r="X125" s="634"/>
      <c r="Y125" s="634"/>
      <c r="Z125" s="634"/>
      <c r="AA125" s="634"/>
      <c r="AB125" s="634"/>
      <c r="AD125" s="634"/>
      <c r="AE125" s="634"/>
      <c r="AG125" s="634"/>
      <c r="AI125" s="634"/>
      <c r="AJ125" s="634"/>
      <c r="AK125" s="634"/>
      <c r="AM125" s="634"/>
      <c r="AN125" s="634"/>
      <c r="AO125" s="634"/>
      <c r="AQ125" s="634"/>
      <c r="AR125" s="634"/>
      <c r="AS125" s="634"/>
      <c r="AT125" s="634"/>
      <c r="AU125" s="634"/>
      <c r="AV125" s="634"/>
      <c r="AX125" s="634"/>
      <c r="AY125" s="634"/>
      <c r="AZ125" s="634"/>
      <c r="BB125" s="634"/>
      <c r="BC125" s="634"/>
      <c r="BD125" s="634"/>
      <c r="BF125" s="634"/>
      <c r="BG125" s="634"/>
      <c r="BH125" s="634"/>
      <c r="BJ125" s="634"/>
      <c r="BK125" s="634"/>
      <c r="BL125" s="634"/>
      <c r="BN125" s="634"/>
      <c r="BO125" s="634"/>
      <c r="BP125" s="634"/>
      <c r="BQ125" s="634"/>
      <c r="BR125" s="634"/>
      <c r="BT125" s="634"/>
      <c r="BU125" s="634"/>
      <c r="BV125" s="634"/>
      <c r="BX125" s="634"/>
      <c r="BY125" s="634"/>
      <c r="BZ125" s="634"/>
      <c r="CB125" s="634"/>
      <c r="CC125" s="634"/>
      <c r="CD125" s="634"/>
      <c r="CF125" s="634"/>
      <c r="CG125" s="634"/>
      <c r="CH125" s="634"/>
      <c r="CJ125" s="634"/>
      <c r="CK125" s="634"/>
      <c r="CM125" s="634"/>
      <c r="CO125" s="634"/>
      <c r="CP125" s="634"/>
      <c r="CQ125" s="634"/>
      <c r="CS125" s="634"/>
      <c r="CT125" s="634"/>
      <c r="CU125" s="634"/>
      <c r="CW125" s="634"/>
      <c r="CX125" s="634"/>
      <c r="CY125" s="634"/>
      <c r="DA125" s="634"/>
      <c r="DB125" s="634"/>
      <c r="DC125" s="634"/>
      <c r="DD125" s="634"/>
      <c r="DE125" s="634"/>
      <c r="DF125" s="634"/>
      <c r="DH125" s="634"/>
      <c r="DI125" s="634"/>
      <c r="DJ125" s="634"/>
      <c r="DL125" s="634"/>
      <c r="DM125" s="634"/>
      <c r="DN125" s="634"/>
      <c r="DO125" s="634"/>
      <c r="DP125" s="634"/>
      <c r="DR125" s="634"/>
      <c r="DS125" s="634"/>
      <c r="DT125" s="634"/>
      <c r="DV125" s="634"/>
      <c r="DW125" s="634"/>
      <c r="DX125" s="634"/>
      <c r="DZ125" s="634"/>
      <c r="EA125" s="634"/>
      <c r="EB125" s="634"/>
      <c r="ED125" s="634"/>
      <c r="EE125" s="634"/>
      <c r="EF125" s="634"/>
      <c r="EH125" s="634"/>
      <c r="EI125" s="634"/>
      <c r="EJ125" s="634"/>
      <c r="EK125" s="634"/>
      <c r="EL125" s="634"/>
      <c r="EN125" s="634"/>
      <c r="EO125" s="634"/>
      <c r="EP125" s="634"/>
      <c r="ER125" s="634"/>
      <c r="ES125" s="634"/>
      <c r="ET125" s="634"/>
      <c r="EV125" s="634"/>
      <c r="EW125" s="634"/>
      <c r="EY125" s="634"/>
      <c r="EZ125" s="634"/>
      <c r="FA125" s="634"/>
      <c r="FB125" s="634"/>
      <c r="FC125" s="634"/>
      <c r="FD125" s="634"/>
      <c r="FE125" s="634"/>
      <c r="FF125" s="634"/>
      <c r="FG125" s="634"/>
      <c r="FH125" s="634"/>
      <c r="FI125" s="634"/>
      <c r="FJ125" s="634"/>
      <c r="FK125" s="634"/>
      <c r="FL125" s="634"/>
      <c r="FM125" s="634"/>
      <c r="FN125" s="634"/>
      <c r="FO125" s="634"/>
      <c r="FP125" s="634"/>
      <c r="FQ125" s="634"/>
      <c r="FS125" s="634"/>
      <c r="FT125" s="634"/>
      <c r="FU125" s="634"/>
      <c r="FV125" s="634"/>
      <c r="FW125" s="634"/>
      <c r="FX125" s="634"/>
      <c r="FY125" s="634"/>
      <c r="FZ125" s="634"/>
    </row>
    <row r="126" spans="1:182">
      <c r="A126" s="544"/>
      <c r="B126" s="667">
        <v>25</v>
      </c>
      <c r="C126" s="2">
        <v>7</v>
      </c>
      <c r="D126">
        <f t="shared" si="6"/>
        <v>213.243618622923</v>
      </c>
      <c r="E126">
        <f t="shared" si="7"/>
        <v>25</v>
      </c>
      <c r="F126" s="669"/>
      <c r="G126" s="668"/>
      <c r="H126" s="2">
        <v>7</v>
      </c>
      <c r="J126">
        <f t="shared" si="8"/>
        <v>0</v>
      </c>
      <c r="K126" s="673"/>
      <c r="L126" s="673"/>
      <c r="M126" s="634"/>
      <c r="N126" s="634"/>
      <c r="O126" s="634"/>
      <c r="P126" s="634"/>
      <c r="Q126" s="634"/>
      <c r="R126" s="634"/>
      <c r="S126" s="634"/>
      <c r="T126" s="634"/>
      <c r="U126" s="634"/>
      <c r="V126" s="634"/>
      <c r="W126" s="634"/>
      <c r="X126" s="634"/>
      <c r="Y126" s="634"/>
      <c r="Z126" s="634"/>
      <c r="AA126" s="634"/>
      <c r="AB126" s="634"/>
      <c r="AD126" s="634"/>
      <c r="AE126" s="634"/>
      <c r="AG126" s="634"/>
      <c r="AI126" s="634"/>
      <c r="AJ126" s="634"/>
      <c r="AK126" s="634"/>
      <c r="AM126" s="634"/>
      <c r="AN126" s="634"/>
      <c r="AO126" s="634"/>
      <c r="AQ126" s="634"/>
      <c r="AR126" s="634"/>
      <c r="AS126" s="634"/>
      <c r="AT126" s="634"/>
      <c r="AU126" s="634"/>
      <c r="AV126" s="634"/>
      <c r="AX126" s="634"/>
      <c r="AY126" s="634"/>
      <c r="AZ126" s="634"/>
      <c r="BB126" s="634"/>
      <c r="BC126" s="634"/>
      <c r="BD126" s="634"/>
      <c r="BF126" s="634"/>
      <c r="BG126" s="634"/>
      <c r="BH126" s="634"/>
      <c r="BJ126" s="634"/>
      <c r="BK126" s="634"/>
      <c r="BL126" s="634"/>
      <c r="BN126" s="634"/>
      <c r="BO126" s="634"/>
      <c r="BP126" s="634"/>
      <c r="BQ126" s="634"/>
      <c r="BR126" s="634"/>
      <c r="BT126" s="634"/>
      <c r="BU126" s="634"/>
      <c r="BV126" s="634"/>
      <c r="BX126" s="634"/>
      <c r="BY126" s="634"/>
      <c r="BZ126" s="634"/>
      <c r="CB126" s="634"/>
      <c r="CC126" s="634"/>
      <c r="CD126" s="634"/>
      <c r="CF126" s="634"/>
      <c r="CG126" s="634"/>
      <c r="CH126" s="634"/>
      <c r="CJ126" s="634"/>
      <c r="CK126" s="634"/>
      <c r="CM126" s="634"/>
      <c r="CO126" s="634"/>
      <c r="CP126" s="634"/>
      <c r="CQ126" s="634"/>
      <c r="CS126" s="634"/>
      <c r="CT126" s="634"/>
      <c r="CU126" s="634"/>
      <c r="CW126" s="634"/>
      <c r="CX126" s="634"/>
      <c r="CY126" s="634"/>
      <c r="DA126" s="634"/>
      <c r="DB126" s="634"/>
      <c r="DC126" s="634"/>
      <c r="DD126" s="634"/>
      <c r="DE126" s="634"/>
      <c r="DF126" s="634"/>
      <c r="DH126" s="634"/>
      <c r="DI126" s="634"/>
      <c r="DJ126" s="634"/>
      <c r="DL126" s="634"/>
      <c r="DM126" s="634"/>
      <c r="DN126" s="634"/>
      <c r="DO126" s="634"/>
      <c r="DP126" s="634"/>
      <c r="DR126" s="634"/>
      <c r="DS126" s="634"/>
      <c r="DT126" s="634"/>
      <c r="DV126" s="634"/>
      <c r="DW126" s="634"/>
      <c r="DX126" s="634"/>
      <c r="DZ126" s="634"/>
      <c r="EA126" s="634"/>
      <c r="EB126" s="634"/>
      <c r="ED126" s="634"/>
      <c r="EE126" s="634"/>
      <c r="EF126" s="634"/>
      <c r="EH126" s="634"/>
      <c r="EI126" s="634"/>
      <c r="EJ126" s="634"/>
      <c r="EK126" s="634"/>
      <c r="EL126" s="634"/>
      <c r="EN126" s="634"/>
      <c r="EO126" s="634"/>
      <c r="EP126" s="634"/>
      <c r="ER126" s="634"/>
      <c r="ES126" s="634"/>
      <c r="ET126" s="634"/>
      <c r="EV126" s="634"/>
      <c r="EW126" s="634"/>
      <c r="EY126" s="634"/>
      <c r="EZ126" s="634"/>
      <c r="FA126" s="634"/>
      <c r="FB126" s="634"/>
      <c r="FC126" s="634"/>
      <c r="FD126" s="634"/>
      <c r="FE126" s="634"/>
      <c r="FF126" s="634"/>
      <c r="FG126" s="634"/>
      <c r="FH126" s="634"/>
      <c r="FI126" s="634"/>
      <c r="FJ126" s="634"/>
      <c r="FK126" s="634"/>
      <c r="FL126" s="634"/>
      <c r="FM126" s="634"/>
      <c r="FN126" s="634"/>
      <c r="FO126" s="634"/>
      <c r="FP126" s="634"/>
      <c r="FQ126" s="634"/>
      <c r="FS126" s="634"/>
      <c r="FT126" s="634"/>
      <c r="FU126" s="634"/>
      <c r="FV126" s="634"/>
      <c r="FW126" s="634"/>
      <c r="FX126" s="634"/>
      <c r="FY126" s="634"/>
      <c r="FZ126" s="634"/>
    </row>
    <row r="127" spans="1:182">
      <c r="A127" s="544"/>
      <c r="B127" s="667">
        <v>35</v>
      </c>
      <c r="C127" s="2">
        <v>7</v>
      </c>
      <c r="D127">
        <f t="shared" si="6"/>
        <v>252.313252202016</v>
      </c>
      <c r="E127">
        <f t="shared" si="7"/>
        <v>35</v>
      </c>
      <c r="F127" s="669"/>
      <c r="G127" s="668"/>
      <c r="H127" s="2">
        <v>7</v>
      </c>
      <c r="J127">
        <f t="shared" si="8"/>
        <v>0</v>
      </c>
      <c r="K127" s="673"/>
      <c r="L127" s="673"/>
      <c r="M127" s="634"/>
      <c r="N127" s="634"/>
      <c r="O127" s="634"/>
      <c r="P127" s="634"/>
      <c r="Q127" s="634"/>
      <c r="R127" s="634"/>
      <c r="S127" s="634"/>
      <c r="T127" s="634"/>
      <c r="U127" s="634"/>
      <c r="V127" s="634"/>
      <c r="W127" s="634"/>
      <c r="X127" s="634"/>
      <c r="Y127" s="634"/>
      <c r="Z127" s="634"/>
      <c r="AA127" s="634"/>
      <c r="AB127" s="634"/>
      <c r="AD127" s="634"/>
      <c r="AE127" s="634"/>
      <c r="AG127" s="634"/>
      <c r="AI127" s="634"/>
      <c r="AJ127" s="634"/>
      <c r="AK127" s="634"/>
      <c r="AM127" s="634"/>
      <c r="AN127" s="634"/>
      <c r="AO127" s="634"/>
      <c r="AQ127" s="634"/>
      <c r="AR127" s="634"/>
      <c r="AS127" s="634"/>
      <c r="AT127" s="634"/>
      <c r="AU127" s="634"/>
      <c r="AV127" s="634"/>
      <c r="AX127" s="634"/>
      <c r="AY127" s="634"/>
      <c r="AZ127" s="634"/>
      <c r="BB127" s="634"/>
      <c r="BC127" s="634"/>
      <c r="BD127" s="634"/>
      <c r="BF127" s="634"/>
      <c r="BG127" s="634"/>
      <c r="BH127" s="634"/>
      <c r="BJ127" s="634"/>
      <c r="BK127" s="634"/>
      <c r="BL127" s="634"/>
      <c r="BN127" s="634"/>
      <c r="BO127" s="634"/>
      <c r="BP127" s="634"/>
      <c r="BQ127" s="634"/>
      <c r="BR127" s="634"/>
      <c r="BT127" s="634"/>
      <c r="BU127" s="634"/>
      <c r="BV127" s="634"/>
      <c r="BX127" s="634"/>
      <c r="BY127" s="634"/>
      <c r="BZ127" s="634"/>
      <c r="CB127" s="634"/>
      <c r="CC127" s="634"/>
      <c r="CD127" s="634"/>
      <c r="CF127" s="634"/>
      <c r="CG127" s="634"/>
      <c r="CH127" s="634"/>
      <c r="CJ127" s="634"/>
      <c r="CK127" s="634"/>
      <c r="CM127" s="634"/>
      <c r="CO127" s="634"/>
      <c r="CP127" s="634"/>
      <c r="CQ127" s="634"/>
      <c r="CS127" s="634"/>
      <c r="CT127" s="634"/>
      <c r="CU127" s="634"/>
      <c r="CW127" s="634"/>
      <c r="CX127" s="634"/>
      <c r="CY127" s="634"/>
      <c r="DA127" s="634"/>
      <c r="DB127" s="634"/>
      <c r="DC127" s="634"/>
      <c r="DD127" s="634"/>
      <c r="DE127" s="634"/>
      <c r="DF127" s="634"/>
      <c r="DH127" s="634"/>
      <c r="DI127" s="634"/>
      <c r="DJ127" s="634"/>
      <c r="DL127" s="634"/>
      <c r="DM127" s="634"/>
      <c r="DN127" s="634"/>
      <c r="DO127" s="634"/>
      <c r="DP127" s="634"/>
      <c r="DR127" s="634"/>
      <c r="DS127" s="634"/>
      <c r="DT127" s="634"/>
      <c r="DV127" s="634"/>
      <c r="DW127" s="634"/>
      <c r="DX127" s="634"/>
      <c r="DZ127" s="634"/>
      <c r="EA127" s="634"/>
      <c r="EB127" s="634"/>
      <c r="ED127" s="634"/>
      <c r="EE127" s="634"/>
      <c r="EF127" s="634"/>
      <c r="EH127" s="634"/>
      <c r="EI127" s="634"/>
      <c r="EJ127" s="634"/>
      <c r="EK127" s="634"/>
      <c r="EL127" s="634"/>
      <c r="EN127" s="634"/>
      <c r="EO127" s="634"/>
      <c r="EP127" s="634"/>
      <c r="ER127" s="634"/>
      <c r="ES127" s="634"/>
      <c r="ET127" s="634"/>
      <c r="EV127" s="634"/>
      <c r="EW127" s="634"/>
      <c r="EY127" s="634"/>
      <c r="EZ127" s="634"/>
      <c r="FA127" s="634"/>
      <c r="FB127" s="634"/>
      <c r="FC127" s="634"/>
      <c r="FD127" s="634"/>
      <c r="FE127" s="634"/>
      <c r="FF127" s="634"/>
      <c r="FG127" s="634"/>
      <c r="FH127" s="634"/>
      <c r="FI127" s="634"/>
      <c r="FJ127" s="634"/>
      <c r="FK127" s="634"/>
      <c r="FL127" s="634"/>
      <c r="FM127" s="634"/>
      <c r="FN127" s="634"/>
      <c r="FO127" s="634"/>
      <c r="FP127" s="634"/>
      <c r="FQ127" s="634"/>
      <c r="FS127" s="634"/>
      <c r="FT127" s="634"/>
      <c r="FU127" s="634"/>
      <c r="FV127" s="634"/>
      <c r="FW127" s="634"/>
      <c r="FX127" s="634"/>
      <c r="FY127" s="634"/>
      <c r="FZ127" s="634"/>
    </row>
    <row r="128" spans="1:182">
      <c r="A128" s="544"/>
      <c r="B128" s="667">
        <v>50</v>
      </c>
      <c r="C128" s="2">
        <v>10</v>
      </c>
      <c r="D128">
        <f t="shared" si="6"/>
        <v>252.313252202016</v>
      </c>
      <c r="E128">
        <f t="shared" si="7"/>
        <v>50</v>
      </c>
      <c r="F128" s="669"/>
      <c r="G128" s="668"/>
      <c r="H128" s="2">
        <v>10</v>
      </c>
      <c r="J128">
        <f t="shared" si="8"/>
        <v>0</v>
      </c>
      <c r="K128" s="673"/>
      <c r="L128" s="673"/>
      <c r="M128" s="634"/>
      <c r="N128" s="634"/>
      <c r="O128" s="634"/>
      <c r="P128" s="634"/>
      <c r="Q128" s="634"/>
      <c r="R128" s="634"/>
      <c r="S128" s="634"/>
      <c r="T128" s="634"/>
      <c r="U128" s="634"/>
      <c r="V128" s="634"/>
      <c r="W128" s="634"/>
      <c r="X128" s="634"/>
      <c r="Y128" s="634"/>
      <c r="Z128" s="634"/>
      <c r="AA128" s="634"/>
      <c r="AB128" s="634"/>
      <c r="AD128" s="634"/>
      <c r="AE128" s="634"/>
      <c r="AG128" s="634"/>
      <c r="AI128" s="634"/>
      <c r="AJ128" s="634"/>
      <c r="AK128" s="634"/>
      <c r="AM128" s="634"/>
      <c r="AN128" s="634"/>
      <c r="AO128" s="634"/>
      <c r="AQ128" s="634"/>
      <c r="AR128" s="634"/>
      <c r="AS128" s="634"/>
      <c r="AT128" s="634"/>
      <c r="AU128" s="634"/>
      <c r="AV128" s="634"/>
      <c r="AX128" s="634"/>
      <c r="AY128" s="634"/>
      <c r="AZ128" s="634"/>
      <c r="BB128" s="634"/>
      <c r="BC128" s="634"/>
      <c r="BD128" s="634"/>
      <c r="BF128" s="634"/>
      <c r="BG128" s="634"/>
      <c r="BH128" s="634"/>
      <c r="BJ128" s="634"/>
      <c r="BK128" s="634"/>
      <c r="BL128" s="634"/>
      <c r="BN128" s="634"/>
      <c r="BO128" s="634"/>
      <c r="BP128" s="634"/>
      <c r="BQ128" s="634"/>
      <c r="BR128" s="634"/>
      <c r="BT128" s="634"/>
      <c r="BU128" s="634"/>
      <c r="BV128" s="634"/>
      <c r="BX128" s="634"/>
      <c r="BY128" s="634"/>
      <c r="BZ128" s="634"/>
      <c r="CB128" s="634"/>
      <c r="CC128" s="634"/>
      <c r="CD128" s="634"/>
      <c r="CF128" s="634"/>
      <c r="CG128" s="634"/>
      <c r="CH128" s="634"/>
      <c r="CJ128" s="634"/>
      <c r="CK128" s="634"/>
      <c r="CM128" s="634"/>
      <c r="CO128" s="634"/>
      <c r="CP128" s="634"/>
      <c r="CQ128" s="634"/>
      <c r="CS128" s="634"/>
      <c r="CT128" s="634"/>
      <c r="CU128" s="634"/>
      <c r="CW128" s="634"/>
      <c r="CX128" s="634"/>
      <c r="CY128" s="634"/>
      <c r="DA128" s="634"/>
      <c r="DB128" s="634"/>
      <c r="DC128" s="634"/>
      <c r="DD128" s="634"/>
      <c r="DE128" s="634"/>
      <c r="DF128" s="634"/>
      <c r="DH128" s="634"/>
      <c r="DI128" s="634"/>
      <c r="DJ128" s="634"/>
      <c r="DL128" s="634"/>
      <c r="DM128" s="634"/>
      <c r="DN128" s="634"/>
      <c r="DO128" s="634"/>
      <c r="DP128" s="634"/>
      <c r="DR128" s="634"/>
      <c r="DS128" s="634"/>
      <c r="DT128" s="634"/>
      <c r="DV128" s="634"/>
      <c r="DW128" s="634"/>
      <c r="DX128" s="634"/>
      <c r="DZ128" s="634"/>
      <c r="EA128" s="634"/>
      <c r="EB128" s="634"/>
      <c r="ED128" s="634"/>
      <c r="EE128" s="634"/>
      <c r="EF128" s="634"/>
      <c r="EH128" s="634"/>
      <c r="EI128" s="634"/>
      <c r="EJ128" s="634"/>
      <c r="EK128" s="634"/>
      <c r="EL128" s="634"/>
      <c r="EN128" s="634"/>
      <c r="EO128" s="634"/>
      <c r="EP128" s="634"/>
      <c r="ER128" s="634"/>
      <c r="ES128" s="634"/>
      <c r="ET128" s="634"/>
      <c r="EV128" s="634"/>
      <c r="EW128" s="634"/>
      <c r="EY128" s="634"/>
      <c r="EZ128" s="634"/>
      <c r="FA128" s="634"/>
      <c r="FB128" s="634"/>
      <c r="FC128" s="634"/>
      <c r="FD128" s="634"/>
      <c r="FE128" s="634"/>
      <c r="FF128" s="634"/>
      <c r="FG128" s="634"/>
      <c r="FH128" s="634"/>
      <c r="FI128" s="634"/>
      <c r="FJ128" s="634"/>
      <c r="FK128" s="634"/>
      <c r="FL128" s="634"/>
      <c r="FM128" s="634"/>
      <c r="FN128" s="634"/>
      <c r="FO128" s="634"/>
      <c r="FP128" s="634"/>
      <c r="FQ128" s="634"/>
      <c r="FS128" s="634"/>
      <c r="FT128" s="634"/>
      <c r="FU128" s="634"/>
      <c r="FV128" s="634"/>
      <c r="FW128" s="634"/>
      <c r="FX128" s="634"/>
      <c r="FY128" s="634"/>
      <c r="FZ128" s="634"/>
    </row>
    <row r="129" spans="1:182">
      <c r="A129" s="544"/>
      <c r="B129" s="667">
        <v>70</v>
      </c>
      <c r="C129" s="2">
        <v>14</v>
      </c>
      <c r="D129">
        <f t="shared" si="6"/>
        <v>252.313252202016</v>
      </c>
      <c r="E129">
        <f t="shared" si="7"/>
        <v>70</v>
      </c>
      <c r="F129" s="669"/>
      <c r="G129" s="668"/>
      <c r="H129" s="2">
        <v>14</v>
      </c>
      <c r="J129">
        <f t="shared" si="8"/>
        <v>0</v>
      </c>
      <c r="K129" s="673"/>
      <c r="L129" s="673"/>
      <c r="M129" s="634"/>
      <c r="N129" s="634"/>
      <c r="O129" s="634"/>
      <c r="P129" s="634"/>
      <c r="Q129" s="634"/>
      <c r="R129" s="634"/>
      <c r="S129" s="634"/>
      <c r="T129" s="634"/>
      <c r="U129" s="634"/>
      <c r="V129" s="634"/>
      <c r="W129" s="634"/>
      <c r="X129" s="634"/>
      <c r="Y129" s="634"/>
      <c r="Z129" s="634"/>
      <c r="AA129" s="634"/>
      <c r="AB129" s="634"/>
      <c r="AD129" s="634"/>
      <c r="AE129" s="634"/>
      <c r="AG129" s="634"/>
      <c r="AI129" s="634"/>
      <c r="AJ129" s="634"/>
      <c r="AK129" s="634"/>
      <c r="AM129" s="634"/>
      <c r="AN129" s="634"/>
      <c r="AO129" s="634"/>
      <c r="AQ129" s="634"/>
      <c r="AR129" s="634"/>
      <c r="AS129" s="634"/>
      <c r="AT129" s="634"/>
      <c r="AU129" s="634"/>
      <c r="AV129" s="634"/>
      <c r="AX129" s="634"/>
      <c r="AY129" s="634"/>
      <c r="AZ129" s="634"/>
      <c r="BB129" s="634"/>
      <c r="BC129" s="634"/>
      <c r="BD129" s="634"/>
      <c r="BF129" s="634"/>
      <c r="BG129" s="634"/>
      <c r="BH129" s="634"/>
      <c r="BJ129" s="634"/>
      <c r="BK129" s="634"/>
      <c r="BL129" s="634"/>
      <c r="BN129" s="634"/>
      <c r="BO129" s="634"/>
      <c r="BP129" s="634"/>
      <c r="BQ129" s="634"/>
      <c r="BR129" s="634"/>
      <c r="BT129" s="634"/>
      <c r="BU129" s="634"/>
      <c r="BV129" s="634"/>
      <c r="BX129" s="634"/>
      <c r="BY129" s="634"/>
      <c r="BZ129" s="634"/>
      <c r="CB129" s="634"/>
      <c r="CC129" s="634"/>
      <c r="CD129" s="634"/>
      <c r="CF129" s="634"/>
      <c r="CG129" s="634"/>
      <c r="CH129" s="634"/>
      <c r="CJ129" s="634"/>
      <c r="CK129" s="634"/>
      <c r="CM129" s="634"/>
      <c r="CO129" s="634"/>
      <c r="CP129" s="634"/>
      <c r="CQ129" s="634"/>
      <c r="CS129" s="634"/>
      <c r="CT129" s="634"/>
      <c r="CU129" s="634"/>
      <c r="CW129" s="634"/>
      <c r="CX129" s="634"/>
      <c r="CY129" s="634"/>
      <c r="DA129" s="634"/>
      <c r="DB129" s="634"/>
      <c r="DC129" s="634"/>
      <c r="DD129" s="634"/>
      <c r="DE129" s="634"/>
      <c r="DF129" s="634"/>
      <c r="DH129" s="634"/>
      <c r="DI129" s="634"/>
      <c r="DJ129" s="634"/>
      <c r="DL129" s="634"/>
      <c r="DM129" s="634"/>
      <c r="DN129" s="634"/>
      <c r="DO129" s="634"/>
      <c r="DP129" s="634"/>
      <c r="DR129" s="634"/>
      <c r="DS129" s="634"/>
      <c r="DT129" s="634"/>
      <c r="DV129" s="634"/>
      <c r="DW129" s="634"/>
      <c r="DX129" s="634"/>
      <c r="DZ129" s="634"/>
      <c r="EA129" s="634"/>
      <c r="EB129" s="634"/>
      <c r="ED129" s="634"/>
      <c r="EE129" s="634"/>
      <c r="EF129" s="634"/>
      <c r="EH129" s="634"/>
      <c r="EI129" s="634"/>
      <c r="EJ129" s="634"/>
      <c r="EK129" s="634"/>
      <c r="EL129" s="634"/>
      <c r="EN129" s="634"/>
      <c r="EO129" s="634"/>
      <c r="EP129" s="634"/>
      <c r="ER129" s="634"/>
      <c r="ES129" s="634"/>
      <c r="ET129" s="634"/>
      <c r="EV129" s="634"/>
      <c r="EW129" s="634"/>
      <c r="EY129" s="634"/>
      <c r="EZ129" s="634"/>
      <c r="FA129" s="634"/>
      <c r="FB129" s="634"/>
      <c r="FC129" s="634"/>
      <c r="FD129" s="634"/>
      <c r="FE129" s="634"/>
      <c r="FF129" s="634"/>
      <c r="FG129" s="634"/>
      <c r="FH129" s="634"/>
      <c r="FI129" s="634"/>
      <c r="FJ129" s="634"/>
      <c r="FK129" s="634"/>
      <c r="FL129" s="634"/>
      <c r="FM129" s="634"/>
      <c r="FN129" s="634"/>
      <c r="FO129" s="634"/>
      <c r="FP129" s="634"/>
      <c r="FQ129" s="634"/>
      <c r="FS129" s="634"/>
      <c r="FT129" s="634"/>
      <c r="FU129" s="634"/>
      <c r="FV129" s="634"/>
      <c r="FW129" s="634"/>
      <c r="FX129" s="634"/>
      <c r="FY129" s="634"/>
      <c r="FZ129" s="634"/>
    </row>
    <row r="130" spans="1:182">
      <c r="A130" s="544"/>
      <c r="B130" s="667">
        <v>95</v>
      </c>
      <c r="C130" s="2">
        <v>19</v>
      </c>
      <c r="D130">
        <f t="shared" si="6"/>
        <v>252.313252202016</v>
      </c>
      <c r="E130">
        <f t="shared" si="7"/>
        <v>95</v>
      </c>
      <c r="F130" s="669"/>
      <c r="G130" s="668"/>
      <c r="H130" s="2">
        <v>19</v>
      </c>
      <c r="J130">
        <f t="shared" si="8"/>
        <v>0</v>
      </c>
      <c r="K130" s="673"/>
      <c r="L130" s="673"/>
      <c r="M130" s="634"/>
      <c r="N130" s="634"/>
      <c r="O130" s="634"/>
      <c r="P130" s="634"/>
      <c r="Q130" s="634"/>
      <c r="R130" s="634"/>
      <c r="S130" s="634"/>
      <c r="T130" s="634"/>
      <c r="U130" s="634"/>
      <c r="V130" s="634"/>
      <c r="W130" s="634"/>
      <c r="X130" s="634"/>
      <c r="Y130" s="634"/>
      <c r="Z130" s="634"/>
      <c r="AA130" s="634"/>
      <c r="AB130" s="634"/>
      <c r="AD130" s="634"/>
      <c r="AE130" s="634"/>
      <c r="AG130" s="634"/>
      <c r="AI130" s="634"/>
      <c r="AJ130" s="634"/>
      <c r="AK130" s="634"/>
      <c r="AM130" s="634"/>
      <c r="AN130" s="634"/>
      <c r="AO130" s="634"/>
      <c r="AQ130" s="634"/>
      <c r="AR130" s="634"/>
      <c r="AS130" s="634"/>
      <c r="AT130" s="634"/>
      <c r="AU130" s="634"/>
      <c r="AV130" s="634"/>
      <c r="AX130" s="634"/>
      <c r="AY130" s="634"/>
      <c r="AZ130" s="634"/>
      <c r="BB130" s="634"/>
      <c r="BC130" s="634"/>
      <c r="BD130" s="634"/>
      <c r="BF130" s="634"/>
      <c r="BG130" s="634"/>
      <c r="BH130" s="634"/>
      <c r="BJ130" s="634"/>
      <c r="BK130" s="634"/>
      <c r="BL130" s="634"/>
      <c r="BN130" s="634"/>
      <c r="BO130" s="634"/>
      <c r="BP130" s="634"/>
      <c r="BQ130" s="634"/>
      <c r="BR130" s="634"/>
      <c r="BT130" s="634"/>
      <c r="BU130" s="634"/>
      <c r="BV130" s="634"/>
      <c r="BX130" s="634"/>
      <c r="BY130" s="634"/>
      <c r="BZ130" s="634"/>
      <c r="CB130" s="634"/>
      <c r="CC130" s="634"/>
      <c r="CD130" s="634"/>
      <c r="CF130" s="634"/>
      <c r="CG130" s="634"/>
      <c r="CH130" s="634"/>
      <c r="CJ130" s="634"/>
      <c r="CK130" s="634"/>
      <c r="CM130" s="634"/>
      <c r="CO130" s="634"/>
      <c r="CP130" s="634"/>
      <c r="CQ130" s="634"/>
      <c r="CS130" s="634"/>
      <c r="CT130" s="634"/>
      <c r="CU130" s="634"/>
      <c r="CW130" s="634"/>
      <c r="CX130" s="634"/>
      <c r="CY130" s="634"/>
      <c r="DA130" s="634"/>
      <c r="DB130" s="634"/>
      <c r="DC130" s="634"/>
      <c r="DD130" s="634"/>
      <c r="DE130" s="634"/>
      <c r="DF130" s="634"/>
      <c r="DH130" s="634"/>
      <c r="DI130" s="634"/>
      <c r="DJ130" s="634"/>
      <c r="DL130" s="634"/>
      <c r="DM130" s="634"/>
      <c r="DN130" s="634"/>
      <c r="DO130" s="634"/>
      <c r="DP130" s="634"/>
      <c r="DR130" s="634"/>
      <c r="DS130" s="634"/>
      <c r="DT130" s="634"/>
      <c r="DV130" s="634"/>
      <c r="DW130" s="634"/>
      <c r="DX130" s="634"/>
      <c r="DZ130" s="634"/>
      <c r="EA130" s="634"/>
      <c r="EB130" s="634"/>
      <c r="ED130" s="634"/>
      <c r="EE130" s="634"/>
      <c r="EF130" s="634"/>
      <c r="EH130" s="634"/>
      <c r="EI130" s="634"/>
      <c r="EJ130" s="634"/>
      <c r="EK130" s="634"/>
      <c r="EL130" s="634"/>
      <c r="EN130" s="634"/>
      <c r="EO130" s="634"/>
      <c r="EP130" s="634"/>
      <c r="ER130" s="634"/>
      <c r="ES130" s="634"/>
      <c r="ET130" s="634"/>
      <c r="EV130" s="634"/>
      <c r="EW130" s="634"/>
      <c r="EY130" s="634"/>
      <c r="EZ130" s="634"/>
      <c r="FA130" s="634"/>
      <c r="FB130" s="634"/>
      <c r="FC130" s="634"/>
      <c r="FD130" s="634"/>
      <c r="FE130" s="634"/>
      <c r="FF130" s="634"/>
      <c r="FG130" s="634"/>
      <c r="FH130" s="634"/>
      <c r="FI130" s="634"/>
      <c r="FJ130" s="634"/>
      <c r="FK130" s="634"/>
      <c r="FL130" s="634"/>
      <c r="FM130" s="634"/>
      <c r="FN130" s="634"/>
      <c r="FO130" s="634"/>
      <c r="FP130" s="634"/>
      <c r="FQ130" s="634"/>
      <c r="FS130" s="634"/>
      <c r="FT130" s="634"/>
      <c r="FU130" s="634"/>
      <c r="FV130" s="634"/>
      <c r="FW130" s="634"/>
      <c r="FX130" s="634"/>
      <c r="FY130" s="634"/>
      <c r="FZ130" s="634"/>
    </row>
    <row r="131" spans="1:182">
      <c r="A131" s="544"/>
      <c r="B131" s="667">
        <v>120</v>
      </c>
      <c r="C131" s="2">
        <v>24</v>
      </c>
      <c r="D131">
        <f t="shared" si="6"/>
        <v>252.313252202016</v>
      </c>
      <c r="E131">
        <f t="shared" si="7"/>
        <v>120</v>
      </c>
      <c r="F131" s="669"/>
      <c r="G131" s="668"/>
      <c r="H131" s="2">
        <v>24</v>
      </c>
      <c r="J131">
        <f t="shared" si="8"/>
        <v>0</v>
      </c>
      <c r="K131" s="673"/>
      <c r="L131" s="673"/>
      <c r="M131" s="634"/>
      <c r="N131" s="634"/>
      <c r="O131" s="634"/>
      <c r="P131" s="634"/>
      <c r="Q131" s="634"/>
      <c r="R131" s="634"/>
      <c r="S131" s="634"/>
      <c r="T131" s="634"/>
      <c r="U131" s="634"/>
      <c r="V131" s="634"/>
      <c r="W131" s="634"/>
      <c r="X131" s="634"/>
      <c r="Y131" s="634"/>
      <c r="Z131" s="634"/>
      <c r="AA131" s="634"/>
      <c r="AB131" s="634"/>
      <c r="AD131" s="634"/>
      <c r="AE131" s="634"/>
      <c r="AG131" s="634"/>
      <c r="AI131" s="634"/>
      <c r="AJ131" s="634"/>
      <c r="AK131" s="634"/>
      <c r="AM131" s="634"/>
      <c r="AN131" s="634"/>
      <c r="AO131" s="634"/>
      <c r="AQ131" s="634"/>
      <c r="AR131" s="634"/>
      <c r="AS131" s="634"/>
      <c r="AT131" s="634"/>
      <c r="AU131" s="634"/>
      <c r="AV131" s="634"/>
      <c r="AX131" s="634"/>
      <c r="AY131" s="634"/>
      <c r="AZ131" s="634"/>
      <c r="BB131" s="634"/>
      <c r="BC131" s="634"/>
      <c r="BD131" s="634"/>
      <c r="BF131" s="634"/>
      <c r="BG131" s="634"/>
      <c r="BH131" s="634"/>
      <c r="BJ131" s="634"/>
      <c r="BK131" s="634"/>
      <c r="BL131" s="634"/>
      <c r="BN131" s="634"/>
      <c r="BO131" s="634"/>
      <c r="BP131" s="634"/>
      <c r="BQ131" s="634"/>
      <c r="BR131" s="634"/>
      <c r="BT131" s="634"/>
      <c r="BU131" s="634"/>
      <c r="BV131" s="634"/>
      <c r="BX131" s="634"/>
      <c r="BY131" s="634"/>
      <c r="BZ131" s="634"/>
      <c r="CB131" s="634"/>
      <c r="CC131" s="634"/>
      <c r="CD131" s="634"/>
      <c r="CF131" s="634"/>
      <c r="CG131" s="634"/>
      <c r="CH131" s="634"/>
      <c r="CJ131" s="634"/>
      <c r="CK131" s="634"/>
      <c r="CM131" s="634"/>
      <c r="CO131" s="634"/>
      <c r="CP131" s="634"/>
      <c r="CQ131" s="634"/>
      <c r="CS131" s="634"/>
      <c r="CT131" s="634"/>
      <c r="CU131" s="634"/>
      <c r="CW131" s="634"/>
      <c r="CX131" s="634"/>
      <c r="CY131" s="634"/>
      <c r="DA131" s="634"/>
      <c r="DB131" s="634"/>
      <c r="DC131" s="634"/>
      <c r="DD131" s="634"/>
      <c r="DE131" s="634"/>
      <c r="DF131" s="634"/>
      <c r="DH131" s="634"/>
      <c r="DI131" s="634"/>
      <c r="DJ131" s="634"/>
      <c r="DL131" s="634"/>
      <c r="DM131" s="634"/>
      <c r="DN131" s="634"/>
      <c r="DO131" s="634"/>
      <c r="DP131" s="634"/>
      <c r="DR131" s="634"/>
      <c r="DS131" s="634"/>
      <c r="DT131" s="634"/>
      <c r="DV131" s="634"/>
      <c r="DW131" s="634"/>
      <c r="DX131" s="634"/>
      <c r="DZ131" s="634"/>
      <c r="EA131" s="634"/>
      <c r="EB131" s="634"/>
      <c r="ED131" s="634"/>
      <c r="EE131" s="634"/>
      <c r="EF131" s="634"/>
      <c r="EH131" s="634"/>
      <c r="EI131" s="634"/>
      <c r="EJ131" s="634"/>
      <c r="EK131" s="634"/>
      <c r="EL131" s="634"/>
      <c r="EN131" s="634"/>
      <c r="EO131" s="634"/>
      <c r="EP131" s="634"/>
      <c r="ER131" s="634"/>
      <c r="ES131" s="634"/>
      <c r="ET131" s="634"/>
      <c r="EV131" s="634"/>
      <c r="EW131" s="634"/>
      <c r="EY131" s="634"/>
      <c r="EZ131" s="634"/>
      <c r="FA131" s="634"/>
      <c r="FB131" s="634"/>
      <c r="FC131" s="634"/>
      <c r="FD131" s="634"/>
      <c r="FE131" s="634"/>
      <c r="FF131" s="634"/>
      <c r="FG131" s="634"/>
      <c r="FH131" s="634"/>
      <c r="FI131" s="634"/>
      <c r="FJ131" s="634"/>
      <c r="FK131" s="634"/>
      <c r="FL131" s="634"/>
      <c r="FM131" s="634"/>
      <c r="FN131" s="634"/>
      <c r="FO131" s="634"/>
      <c r="FP131" s="634"/>
      <c r="FQ131" s="634"/>
      <c r="FS131" s="634"/>
      <c r="FT131" s="634"/>
      <c r="FU131" s="634"/>
      <c r="FV131" s="634"/>
      <c r="FW131" s="634"/>
      <c r="FX131" s="634"/>
      <c r="FY131" s="634"/>
      <c r="FZ131" s="634"/>
    </row>
    <row r="132" spans="1:182">
      <c r="A132" s="544"/>
      <c r="B132" s="667">
        <v>150</v>
      </c>
      <c r="C132" s="2">
        <v>30</v>
      </c>
      <c r="D132">
        <f t="shared" si="6"/>
        <v>252.313252202016</v>
      </c>
      <c r="E132">
        <f t="shared" si="7"/>
        <v>150</v>
      </c>
      <c r="F132" s="669"/>
      <c r="G132" s="668"/>
      <c r="H132" s="2">
        <v>30</v>
      </c>
      <c r="J132">
        <f t="shared" si="8"/>
        <v>0</v>
      </c>
      <c r="K132" s="673"/>
      <c r="L132" s="673"/>
      <c r="M132" s="634"/>
      <c r="N132" s="634"/>
      <c r="O132" s="634"/>
      <c r="P132" s="634"/>
      <c r="Q132" s="634"/>
      <c r="R132" s="634"/>
      <c r="S132" s="634"/>
      <c r="T132" s="634"/>
      <c r="U132" s="634"/>
      <c r="V132" s="634"/>
      <c r="W132" s="634"/>
      <c r="X132" s="634"/>
      <c r="Y132" s="634"/>
      <c r="Z132" s="634"/>
      <c r="AA132" s="634"/>
      <c r="AB132" s="634"/>
      <c r="AD132" s="634"/>
      <c r="AE132" s="634"/>
      <c r="AG132" s="634"/>
      <c r="AI132" s="634"/>
      <c r="AJ132" s="634"/>
      <c r="AK132" s="634"/>
      <c r="AM132" s="634"/>
      <c r="AN132" s="634"/>
      <c r="AO132" s="634"/>
      <c r="AQ132" s="634"/>
      <c r="AR132" s="634"/>
      <c r="AS132" s="634"/>
      <c r="AT132" s="634"/>
      <c r="AU132" s="634"/>
      <c r="AV132" s="634"/>
      <c r="AX132" s="634"/>
      <c r="AY132" s="634"/>
      <c r="AZ132" s="634"/>
      <c r="BB132" s="634"/>
      <c r="BC132" s="634"/>
      <c r="BD132" s="634"/>
      <c r="BF132" s="634"/>
      <c r="BG132" s="634"/>
      <c r="BH132" s="634"/>
      <c r="BJ132" s="634"/>
      <c r="BK132" s="634"/>
      <c r="BL132" s="634"/>
      <c r="BN132" s="634"/>
      <c r="BO132" s="634"/>
      <c r="BP132" s="634"/>
      <c r="BQ132" s="634"/>
      <c r="BR132" s="634"/>
      <c r="BT132" s="634"/>
      <c r="BU132" s="634"/>
      <c r="BV132" s="634"/>
      <c r="BX132" s="634"/>
      <c r="BY132" s="634"/>
      <c r="BZ132" s="634"/>
      <c r="CB132" s="634"/>
      <c r="CC132" s="634"/>
      <c r="CD132" s="634"/>
      <c r="CF132" s="634"/>
      <c r="CG132" s="634"/>
      <c r="CH132" s="634"/>
      <c r="CJ132" s="634"/>
      <c r="CK132" s="634"/>
      <c r="CM132" s="634"/>
      <c r="CO132" s="634"/>
      <c r="CP132" s="634"/>
      <c r="CQ132" s="634"/>
      <c r="CS132" s="634"/>
      <c r="CT132" s="634"/>
      <c r="CU132" s="634"/>
      <c r="CW132" s="634"/>
      <c r="CX132" s="634"/>
      <c r="CY132" s="634"/>
      <c r="DA132" s="634"/>
      <c r="DB132" s="634"/>
      <c r="DC132" s="634"/>
      <c r="DD132" s="634"/>
      <c r="DE132" s="634"/>
      <c r="DF132" s="634"/>
      <c r="DH132" s="634"/>
      <c r="DI132" s="634"/>
      <c r="DJ132" s="634"/>
      <c r="DL132" s="634"/>
      <c r="DM132" s="634"/>
      <c r="DN132" s="634"/>
      <c r="DO132" s="634"/>
      <c r="DP132" s="634"/>
      <c r="DR132" s="634"/>
      <c r="DS132" s="634"/>
      <c r="DT132" s="634"/>
      <c r="DV132" s="634"/>
      <c r="DW132" s="634"/>
      <c r="DX132" s="634"/>
      <c r="DZ132" s="634"/>
      <c r="EA132" s="634"/>
      <c r="EB132" s="634"/>
      <c r="ED132" s="634"/>
      <c r="EE132" s="634"/>
      <c r="EF132" s="634"/>
      <c r="EH132" s="634"/>
      <c r="EI132" s="634"/>
      <c r="EJ132" s="634"/>
      <c r="EK132" s="634"/>
      <c r="EL132" s="634"/>
      <c r="EN132" s="634"/>
      <c r="EO132" s="634"/>
      <c r="EP132" s="634"/>
      <c r="ER132" s="634"/>
      <c r="ES132" s="634"/>
      <c r="ET132" s="634"/>
      <c r="EV132" s="634"/>
      <c r="EW132" s="634"/>
      <c r="EY132" s="634"/>
      <c r="EZ132" s="634"/>
      <c r="FA132" s="634"/>
      <c r="FB132" s="634"/>
      <c r="FC132" s="634"/>
      <c r="FD132" s="634"/>
      <c r="FE132" s="634"/>
      <c r="FF132" s="634"/>
      <c r="FG132" s="634"/>
      <c r="FH132" s="634"/>
      <c r="FI132" s="634"/>
      <c r="FJ132" s="634"/>
      <c r="FK132" s="634"/>
      <c r="FL132" s="634"/>
      <c r="FM132" s="634"/>
      <c r="FN132" s="634"/>
      <c r="FO132" s="634"/>
      <c r="FP132" s="634"/>
      <c r="FQ132" s="634"/>
      <c r="FS132" s="634"/>
      <c r="FT132" s="634"/>
      <c r="FU132" s="634"/>
      <c r="FV132" s="634"/>
      <c r="FW132" s="634"/>
      <c r="FX132" s="634"/>
      <c r="FY132" s="634"/>
      <c r="FZ132" s="634"/>
    </row>
    <row r="133" spans="1:17">
      <c r="A133" s="544"/>
      <c r="B133" s="667">
        <v>185</v>
      </c>
      <c r="C133" s="2">
        <v>37</v>
      </c>
      <c r="D133">
        <f t="shared" si="6"/>
        <v>252.313252202016</v>
      </c>
      <c r="E133">
        <f t="shared" si="7"/>
        <v>185</v>
      </c>
      <c r="F133" s="669"/>
      <c r="G133" s="668"/>
      <c r="H133" s="2">
        <v>37</v>
      </c>
      <c r="J133">
        <f t="shared" si="8"/>
        <v>0</v>
      </c>
      <c r="K133" s="673"/>
      <c r="L133" s="673"/>
      <c r="M133" s="544"/>
      <c r="N133" s="544"/>
      <c r="O133" s="544"/>
      <c r="P133" s="544"/>
      <c r="Q133" s="544"/>
    </row>
    <row r="134" spans="1:17">
      <c r="A134" s="544"/>
      <c r="B134" s="667">
        <v>240</v>
      </c>
      <c r="C134" s="2">
        <v>48</v>
      </c>
      <c r="D134">
        <f t="shared" si="6"/>
        <v>252.313252202016</v>
      </c>
      <c r="E134">
        <f t="shared" si="7"/>
        <v>240</v>
      </c>
      <c r="F134" s="669"/>
      <c r="G134" s="668"/>
      <c r="H134" s="2">
        <v>48</v>
      </c>
      <c r="J134">
        <f t="shared" si="8"/>
        <v>0</v>
      </c>
      <c r="K134" s="673"/>
      <c r="L134" s="673"/>
      <c r="M134" s="544"/>
      <c r="N134" s="544"/>
      <c r="O134" s="544"/>
      <c r="P134" s="544"/>
      <c r="Q134" s="544"/>
    </row>
    <row r="135" spans="1:17">
      <c r="A135" s="544"/>
      <c r="B135" s="667">
        <v>300</v>
      </c>
      <c r="C135" s="2">
        <v>61</v>
      </c>
      <c r="D135">
        <f t="shared" si="6"/>
        <v>250.236564605702</v>
      </c>
      <c r="E135">
        <f t="shared" si="7"/>
        <v>300</v>
      </c>
      <c r="F135" s="669"/>
      <c r="G135" s="668"/>
      <c r="H135" s="2">
        <v>61</v>
      </c>
      <c r="J135">
        <f t="shared" si="8"/>
        <v>0</v>
      </c>
      <c r="K135" s="673"/>
      <c r="L135" s="673"/>
      <c r="M135" s="544"/>
      <c r="N135" s="544"/>
      <c r="O135" s="544"/>
      <c r="P135" s="544"/>
      <c r="Q135" s="544"/>
    </row>
    <row r="136" spans="2:10">
      <c r="B136" s="667">
        <v>400</v>
      </c>
      <c r="C136" s="2">
        <v>61</v>
      </c>
      <c r="D136">
        <f t="shared" si="6"/>
        <v>288.948295872379</v>
      </c>
      <c r="E136">
        <f t="shared" si="7"/>
        <v>400</v>
      </c>
      <c r="F136" s="669"/>
      <c r="G136" s="668"/>
      <c r="H136" s="2">
        <v>61</v>
      </c>
      <c r="J136">
        <f t="shared" si="8"/>
        <v>0</v>
      </c>
    </row>
    <row r="137" spans="2:10">
      <c r="B137" s="667">
        <v>500</v>
      </c>
      <c r="C137" s="2">
        <v>61</v>
      </c>
      <c r="D137">
        <f t="shared" si="6"/>
        <v>323.05401577668</v>
      </c>
      <c r="E137">
        <f t="shared" si="7"/>
        <v>500</v>
      </c>
      <c r="F137" s="669"/>
      <c r="G137" s="668"/>
      <c r="H137" s="2">
        <v>61</v>
      </c>
      <c r="J137">
        <f t="shared" si="8"/>
        <v>0</v>
      </c>
    </row>
    <row r="141" spans="4:7">
      <c r="D141" s="2" t="s">
        <v>14</v>
      </c>
      <c r="E141" s="2" t="s">
        <v>572</v>
      </c>
      <c r="F141" s="2"/>
      <c r="G141" s="2" t="s">
        <v>573</v>
      </c>
    </row>
    <row r="142" ht="15.75" spans="4:7">
      <c r="D142" s="674">
        <v>1</v>
      </c>
      <c r="E142" s="91">
        <v>1</v>
      </c>
      <c r="F142" s="2">
        <v>1</v>
      </c>
      <c r="G142" s="2">
        <v>1</v>
      </c>
    </row>
    <row r="143" ht="15.75" spans="4:7">
      <c r="D143" s="674">
        <v>2</v>
      </c>
      <c r="E143" s="91">
        <v>2</v>
      </c>
      <c r="F143" s="2">
        <v>2</v>
      </c>
      <c r="G143" s="2">
        <v>2</v>
      </c>
    </row>
    <row r="144" ht="15.75" spans="4:7">
      <c r="D144" s="674">
        <v>3</v>
      </c>
      <c r="E144" s="91">
        <v>2.16</v>
      </c>
      <c r="F144" s="2">
        <v>2.16</v>
      </c>
      <c r="G144" s="2">
        <v>2.1547</v>
      </c>
    </row>
    <row r="145" ht="15.75" spans="4:7">
      <c r="D145" s="674">
        <v>4</v>
      </c>
      <c r="E145" s="91">
        <v>2.42</v>
      </c>
      <c r="F145" s="2">
        <v>2.42</v>
      </c>
      <c r="G145" s="2">
        <v>2.4198125</v>
      </c>
    </row>
    <row r="146" ht="15.75" spans="4:7">
      <c r="D146" s="674">
        <v>5</v>
      </c>
      <c r="E146" s="91">
        <v>2.7</v>
      </c>
      <c r="F146" s="2"/>
      <c r="G146" s="2">
        <v>2.7159</v>
      </c>
    </row>
    <row r="147" ht="15.75" spans="4:7">
      <c r="D147" s="674">
        <v>6</v>
      </c>
      <c r="E147" s="91">
        <v>3</v>
      </c>
      <c r="F147" s="2"/>
      <c r="G147" s="2">
        <v>3</v>
      </c>
    </row>
    <row r="148" ht="15.75" spans="4:7">
      <c r="D148" s="674">
        <v>7</v>
      </c>
      <c r="E148" s="91">
        <v>3</v>
      </c>
      <c r="F148" s="2"/>
      <c r="G148" s="2">
        <v>3</v>
      </c>
    </row>
    <row r="149" ht="15.75" spans="4:7">
      <c r="D149" s="674">
        <v>8</v>
      </c>
      <c r="E149" s="91">
        <v>3.45</v>
      </c>
      <c r="F149" s="2" t="s">
        <v>574</v>
      </c>
      <c r="G149" s="2">
        <v>3.304765</v>
      </c>
    </row>
    <row r="150" ht="15.75" spans="4:7">
      <c r="D150" s="674">
        <v>9</v>
      </c>
      <c r="E150" s="91">
        <v>3.8</v>
      </c>
      <c r="F150" s="2" t="s">
        <v>575</v>
      </c>
      <c r="G150" s="2">
        <v>3.613126</v>
      </c>
    </row>
    <row r="151" ht="15.75" spans="4:7">
      <c r="D151" s="674">
        <v>10</v>
      </c>
      <c r="E151" s="91">
        <v>4</v>
      </c>
      <c r="F151" s="2" t="s">
        <v>22</v>
      </c>
      <c r="G151" s="2">
        <v>3.828</v>
      </c>
    </row>
    <row r="152" ht="15.75" spans="4:7">
      <c r="D152" s="674">
        <v>11</v>
      </c>
      <c r="E152" s="91">
        <v>4</v>
      </c>
      <c r="F152" s="2" t="s">
        <v>576</v>
      </c>
      <c r="G152" s="2">
        <v>3.923804</v>
      </c>
    </row>
    <row r="153" ht="15.75" spans="4:7">
      <c r="D153" s="674">
        <v>12</v>
      </c>
      <c r="E153" s="91">
        <v>4.16</v>
      </c>
      <c r="F153" s="2" t="s">
        <v>577</v>
      </c>
      <c r="G153" s="2">
        <v>4.037216</v>
      </c>
    </row>
    <row r="154" ht="15.75" spans="4:7">
      <c r="D154" s="674">
        <v>13</v>
      </c>
      <c r="E154" s="91">
        <v>4.41</v>
      </c>
      <c r="F154" s="2" t="s">
        <v>578</v>
      </c>
      <c r="G154" s="2">
        <v>4.391329</v>
      </c>
    </row>
    <row r="155" spans="4:7">
      <c r="D155" s="90">
        <v>14</v>
      </c>
      <c r="E155" s="91">
        <v>4.41</v>
      </c>
      <c r="F155" s="2" t="s">
        <v>24</v>
      </c>
      <c r="G155" s="2">
        <v>4.3739</v>
      </c>
    </row>
    <row r="156" ht="15.75" spans="4:7">
      <c r="D156" s="674">
        <v>15</v>
      </c>
      <c r="E156" s="91">
        <v>4.7</v>
      </c>
      <c r="F156" s="2"/>
      <c r="G156" s="2"/>
    </row>
    <row r="157" spans="4:7">
      <c r="D157" s="675">
        <v>16</v>
      </c>
      <c r="E157" s="91">
        <v>4.7</v>
      </c>
      <c r="F157" s="2" t="s">
        <v>579</v>
      </c>
      <c r="G157" s="2">
        <v>4.645549</v>
      </c>
    </row>
    <row r="158" ht="15.75" spans="4:7">
      <c r="D158" s="674">
        <v>17</v>
      </c>
      <c r="E158" s="91">
        <v>5</v>
      </c>
      <c r="F158" s="2"/>
      <c r="G158" s="2"/>
    </row>
    <row r="159" spans="4:7">
      <c r="D159" s="90">
        <v>18</v>
      </c>
      <c r="E159" s="91">
        <v>5</v>
      </c>
      <c r="F159" s="2"/>
      <c r="G159" s="2"/>
    </row>
    <row r="160" ht="15.75" spans="4:7">
      <c r="D160" s="674">
        <v>19</v>
      </c>
      <c r="E160" s="91">
        <v>5</v>
      </c>
      <c r="F160" s="2" t="s">
        <v>26</v>
      </c>
      <c r="G160" s="2">
        <v>4.8637</v>
      </c>
    </row>
    <row r="161" spans="4:7">
      <c r="D161" s="675">
        <v>20</v>
      </c>
      <c r="E161" s="91">
        <v>5.33</v>
      </c>
      <c r="F161" s="2" t="s">
        <v>580</v>
      </c>
      <c r="G161" s="2">
        <v>5.178581</v>
      </c>
    </row>
    <row r="162" ht="15.75" spans="4:7">
      <c r="D162" s="674">
        <v>21</v>
      </c>
      <c r="E162" s="91">
        <v>5.33</v>
      </c>
      <c r="F162" s="2"/>
      <c r="G162" s="2"/>
    </row>
    <row r="163" spans="4:7">
      <c r="D163" s="90">
        <v>22</v>
      </c>
      <c r="E163" s="91">
        <v>5.67</v>
      </c>
      <c r="F163" s="2"/>
      <c r="G163" s="2"/>
    </row>
    <row r="164" spans="4:7">
      <c r="D164" s="90">
        <v>23</v>
      </c>
      <c r="E164" s="91">
        <v>5.67</v>
      </c>
      <c r="F164" s="2"/>
      <c r="G164" s="2"/>
    </row>
    <row r="165" spans="4:7">
      <c r="D165" s="675">
        <v>24</v>
      </c>
      <c r="E165" s="91">
        <v>6</v>
      </c>
      <c r="F165" s="2" t="s">
        <v>28</v>
      </c>
      <c r="G165" s="2">
        <v>5.77</v>
      </c>
    </row>
    <row r="166" spans="4:7">
      <c r="D166" s="90">
        <v>25</v>
      </c>
      <c r="E166" s="91">
        <v>6</v>
      </c>
      <c r="F166" s="2"/>
      <c r="G166" s="2"/>
    </row>
    <row r="167" spans="4:7">
      <c r="D167" s="90">
        <v>26</v>
      </c>
      <c r="E167" s="91">
        <v>6</v>
      </c>
      <c r="F167" s="2"/>
      <c r="G167" s="2"/>
    </row>
    <row r="168" spans="4:7">
      <c r="D168" s="675">
        <v>27</v>
      </c>
      <c r="E168" s="91">
        <v>6.15</v>
      </c>
      <c r="F168" s="2" t="s">
        <v>581</v>
      </c>
      <c r="G168" s="2">
        <v>5.8519605</v>
      </c>
    </row>
    <row r="169" spans="4:7">
      <c r="D169" s="90">
        <v>28</v>
      </c>
      <c r="E169" s="91">
        <v>6.41</v>
      </c>
      <c r="F169" s="2"/>
      <c r="G169" s="2"/>
    </row>
    <row r="170" spans="4:7">
      <c r="D170" s="90">
        <v>29</v>
      </c>
      <c r="E170" s="91">
        <v>6.41</v>
      </c>
      <c r="F170" s="2"/>
      <c r="G170" s="2"/>
    </row>
    <row r="171" spans="4:7">
      <c r="D171" s="90">
        <v>30</v>
      </c>
      <c r="E171" s="91">
        <v>6.41</v>
      </c>
      <c r="F171" s="2" t="s">
        <v>30</v>
      </c>
      <c r="G171" s="2">
        <v>6.37</v>
      </c>
    </row>
    <row r="172" spans="4:7">
      <c r="D172" s="90">
        <v>31</v>
      </c>
      <c r="E172" s="91">
        <v>6.7</v>
      </c>
      <c r="F172" s="2"/>
      <c r="G172" s="2"/>
    </row>
    <row r="173" spans="4:7">
      <c r="D173" s="90">
        <v>32</v>
      </c>
      <c r="E173" s="91">
        <v>6.7</v>
      </c>
      <c r="F173" s="2"/>
      <c r="G173" s="2"/>
    </row>
    <row r="174" spans="4:7">
      <c r="D174" s="90">
        <v>33</v>
      </c>
      <c r="E174" s="91">
        <v>6.7</v>
      </c>
      <c r="F174" s="2"/>
      <c r="G174" s="2"/>
    </row>
    <row r="175" spans="4:7">
      <c r="D175" s="90">
        <v>34</v>
      </c>
      <c r="E175" s="91">
        <v>7</v>
      </c>
      <c r="F175" s="2"/>
      <c r="G175" s="2"/>
    </row>
    <row r="176" spans="4:7">
      <c r="D176" s="90">
        <v>35</v>
      </c>
      <c r="E176" s="91">
        <v>7</v>
      </c>
      <c r="F176" s="2"/>
      <c r="G176" s="2"/>
    </row>
    <row r="177" spans="4:7">
      <c r="D177" s="90">
        <v>36</v>
      </c>
      <c r="E177" s="91">
        <v>7</v>
      </c>
      <c r="F177" s="2"/>
      <c r="G177" s="2"/>
    </row>
    <row r="178" spans="4:7">
      <c r="D178" s="90">
        <v>37</v>
      </c>
      <c r="E178" s="91">
        <v>7</v>
      </c>
      <c r="F178" s="2" t="s">
        <v>32</v>
      </c>
      <c r="G178" s="2">
        <v>6.818626</v>
      </c>
    </row>
    <row r="179" ht="15.75" spans="4:7">
      <c r="D179" s="674">
        <v>38</v>
      </c>
      <c r="E179" s="91">
        <v>7.33</v>
      </c>
      <c r="F179" s="2" t="s">
        <v>34</v>
      </c>
      <c r="G179" s="2">
        <v>7.8658</v>
      </c>
    </row>
    <row r="180" spans="4:7">
      <c r="D180" s="91">
        <v>39</v>
      </c>
      <c r="E180" s="91">
        <v>7.33</v>
      </c>
      <c r="F180" s="2" t="s">
        <v>36</v>
      </c>
      <c r="G180" s="2">
        <v>8.706</v>
      </c>
    </row>
    <row r="181" spans="4:7">
      <c r="D181" s="2">
        <v>40</v>
      </c>
      <c r="E181" s="2">
        <v>7.33</v>
      </c>
      <c r="F181" s="2"/>
      <c r="G181" s="2"/>
    </row>
    <row r="182" spans="4:7">
      <c r="D182" s="2">
        <v>41</v>
      </c>
      <c r="E182" s="2">
        <v>7.67</v>
      </c>
      <c r="F182" s="2"/>
      <c r="G182" s="2"/>
    </row>
    <row r="183" spans="4:7">
      <c r="D183" s="2">
        <v>42</v>
      </c>
      <c r="E183" s="2">
        <v>7.67</v>
      </c>
      <c r="F183" s="2"/>
      <c r="G183" s="2"/>
    </row>
    <row r="184" spans="4:7">
      <c r="D184" s="2">
        <v>43</v>
      </c>
      <c r="E184" s="2">
        <v>7.67</v>
      </c>
      <c r="F184" s="2"/>
      <c r="G184" s="2"/>
    </row>
    <row r="185" spans="4:7">
      <c r="D185" s="2">
        <v>44</v>
      </c>
      <c r="E185" s="2">
        <v>8</v>
      </c>
      <c r="F185" s="2"/>
      <c r="G185" s="2"/>
    </row>
    <row r="186" spans="4:7">
      <c r="D186" s="2">
        <v>45</v>
      </c>
      <c r="E186" s="2">
        <v>8</v>
      </c>
      <c r="F186" s="2"/>
      <c r="G186" s="2"/>
    </row>
    <row r="187" spans="4:7">
      <c r="D187" s="2">
        <v>46</v>
      </c>
      <c r="E187" s="2">
        <v>8</v>
      </c>
      <c r="F187" s="2"/>
      <c r="G187" s="2"/>
    </row>
    <row r="188" spans="4:7">
      <c r="D188" s="2">
        <v>47</v>
      </c>
      <c r="E188" s="2">
        <v>8</v>
      </c>
      <c r="F188" s="2"/>
      <c r="G188" s="2"/>
    </row>
    <row r="189" spans="4:7">
      <c r="D189" s="2">
        <v>48</v>
      </c>
      <c r="E189" s="2">
        <v>8.15</v>
      </c>
      <c r="F189" s="2" t="s">
        <v>34</v>
      </c>
      <c r="G189" s="2">
        <v>7.8658</v>
      </c>
    </row>
    <row r="190" spans="4:7">
      <c r="D190" s="2">
        <v>52</v>
      </c>
      <c r="E190" s="2">
        <v>8.41</v>
      </c>
      <c r="F190" s="2"/>
      <c r="G190" s="2">
        <v>8.41</v>
      </c>
    </row>
    <row r="191" spans="4:7">
      <c r="D191" s="2">
        <v>61</v>
      </c>
      <c r="E191" s="2">
        <v>9</v>
      </c>
      <c r="F191" s="2"/>
      <c r="G191" s="2">
        <v>8.706</v>
      </c>
    </row>
  </sheetData>
  <mergeCells count="24">
    <mergeCell ref="D3:F3"/>
    <mergeCell ref="H3:J3"/>
    <mergeCell ref="B114:E114"/>
    <mergeCell ref="H114:J114"/>
    <mergeCell ref="C5:C10"/>
    <mergeCell ref="C11:C19"/>
    <mergeCell ref="C20:C28"/>
    <mergeCell ref="C29:C34"/>
    <mergeCell ref="C35:C41"/>
    <mergeCell ref="C43:C44"/>
    <mergeCell ref="C51:C62"/>
    <mergeCell ref="H4:H7"/>
    <mergeCell ref="H10:H16"/>
    <mergeCell ref="H18:H24"/>
    <mergeCell ref="H26:H29"/>
    <mergeCell ref="H31:H35"/>
    <mergeCell ref="H37:H41"/>
    <mergeCell ref="H43:H47"/>
    <mergeCell ref="H49:H53"/>
    <mergeCell ref="H55:H58"/>
    <mergeCell ref="H60:H63"/>
    <mergeCell ref="H65:H68"/>
    <mergeCell ref="H70:H74"/>
    <mergeCell ref="H76:H79"/>
  </mergeCells>
  <pageMargins left="0.75" right="0.75" top="1" bottom="1" header="0.509027777777778" footer="0.509027777777778"/>
  <pageSetup paperSize="9" orientation="portrait" horizontalDpi="300" verticalDpi="300"/>
  <headerFooter/>
  <ignoredErrors>
    <ignoredError sqref="D87:D110 D83:D85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0">
    <tabColor rgb="FFFF0000"/>
  </sheetPr>
  <dimension ref="A1:OH217"/>
  <sheetViews>
    <sheetView zoomScale="85" zoomScaleNormal="85" workbookViewId="0">
      <pane xSplit="12" ySplit="21" topLeftCell="LC203" activePane="bottomRight" state="frozen"/>
      <selection/>
      <selection pane="topRight"/>
      <selection pane="bottomLeft"/>
      <selection pane="bottomRight" activeCell="MX1" sqref="MX$1:OI$1048576"/>
    </sheetView>
  </sheetViews>
  <sheetFormatPr defaultColWidth="9" defaultRowHeight="15" customHeight="1"/>
  <cols>
    <col min="1" max="1" width="9.75" customWidth="1"/>
    <col min="2" max="2" width="10.625" style="14" customWidth="1"/>
    <col min="3" max="3" width="10.625" style="15" customWidth="1"/>
    <col min="4" max="4" width="15.625" customWidth="1"/>
    <col min="5" max="5" width="10.625" customWidth="1"/>
    <col min="6" max="6" width="17.35" style="15" customWidth="1"/>
    <col min="7" max="7" width="6.125" customWidth="1"/>
    <col min="8" max="8" width="5.375" customWidth="1"/>
    <col min="9" max="9" width="8.375" customWidth="1"/>
    <col min="10" max="11" width="6.125" customWidth="1"/>
    <col min="12" max="12" width="10" style="16" customWidth="1"/>
    <col min="13" max="14" width="5.875" customWidth="1"/>
    <col min="15" max="15" width="7.875" customWidth="1"/>
    <col min="16" max="16" width="7.625" style="17" customWidth="1"/>
    <col min="17" max="17" width="6.125" customWidth="1"/>
    <col min="18" max="18" width="7.5" style="1" customWidth="1"/>
    <col min="19" max="19" width="13.25" style="18" customWidth="1"/>
    <col min="20" max="21" width="6.125" customWidth="1"/>
    <col min="22" max="22" width="6.125" style="1" customWidth="1"/>
    <col min="23" max="24" width="6.125" customWidth="1"/>
    <col min="25" max="25" width="6.125" customWidth="1"/>
    <col min="26" max="26" width="11.475" style="1" customWidth="1"/>
    <col min="27" max="27" width="9.25" style="19" customWidth="1"/>
    <col min="28" max="28" width="14.75" style="20" customWidth="1"/>
    <col min="29" max="29" width="10.625" style="20" customWidth="1"/>
    <col min="30" max="30" width="11.375" style="20" customWidth="1"/>
    <col min="31" max="31" width="16.625" style="20" customWidth="1"/>
    <col min="32" max="32" width="9.625" style="15" customWidth="1"/>
    <col min="33" max="33" width="11.75" customWidth="1"/>
    <col min="34" max="34" width="11.425" customWidth="1"/>
    <col min="35" max="35" width="16.5" customWidth="1"/>
    <col min="36" max="36" width="14.125" customWidth="1"/>
    <col min="37" max="37" width="9.375" customWidth="1"/>
    <col min="38" max="38" width="16.125" customWidth="1"/>
    <col min="39" max="39" width="10.625" customWidth="1"/>
    <col min="40" max="40" width="16.875" style="16" customWidth="1"/>
    <col min="41" max="42" width="12.625" customWidth="1"/>
    <col min="43" max="43" width="10.75" customWidth="1"/>
    <col min="44" max="44" width="9" customWidth="1"/>
    <col min="45" max="45" width="8.5" customWidth="1"/>
    <col min="46" max="47" width="12.625" customWidth="1"/>
    <col min="48" max="48" width="10.75" customWidth="1"/>
    <col min="49" max="49" width="9" customWidth="1"/>
    <col min="50" max="50" width="8.5" customWidth="1"/>
    <col min="51" max="51" width="14.25" customWidth="1"/>
    <col min="52" max="52" width="12.25" customWidth="1"/>
    <col min="53" max="54" width="10.875" customWidth="1"/>
    <col min="55" max="55" width="8.5" customWidth="1"/>
    <col min="56" max="56" width="14.25" customWidth="1"/>
    <col min="57" max="57" width="14" customWidth="1"/>
    <col min="58" max="58" width="14.875" customWidth="1"/>
    <col min="59" max="59" width="10.875" customWidth="1"/>
    <col min="60" max="60" width="8.5" customWidth="1"/>
    <col min="61" max="61" width="7.5" customWidth="1"/>
    <col min="62" max="62" width="6.875" customWidth="1"/>
    <col min="63" max="63" width="13.375" customWidth="1"/>
    <col min="64" max="73" width="9" customWidth="1"/>
    <col min="74" max="74" width="14.25" customWidth="1"/>
    <col min="75" max="75" width="12.25" customWidth="1"/>
    <col min="76" max="77" width="10.875" customWidth="1"/>
    <col min="78" max="78" width="8.5" customWidth="1"/>
    <col min="79" max="79" width="14.25" customWidth="1"/>
    <col min="80" max="80" width="12.25" customWidth="1"/>
    <col min="81" max="82" width="10.875" customWidth="1"/>
    <col min="83" max="83" width="8.5" customWidth="1"/>
    <col min="84" max="84" width="6.875" customWidth="1"/>
    <col min="85" max="85" width="7.125" customWidth="1"/>
    <col min="86" max="86" width="7" customWidth="1"/>
    <col min="87" max="96" width="9" customWidth="1"/>
    <col min="97" max="97" width="14.25" customWidth="1"/>
    <col min="98" max="98" width="12.25" customWidth="1"/>
    <col min="99" max="100" width="10.875" customWidth="1"/>
    <col min="101" max="101" width="8.5" customWidth="1"/>
    <col min="102" max="102" width="14.25" customWidth="1"/>
    <col min="103" max="103" width="12.25" customWidth="1"/>
    <col min="104" max="105" width="10.875" customWidth="1"/>
    <col min="106" max="106" width="8.5" customWidth="1"/>
    <col min="107" max="107" width="6.875" customWidth="1"/>
    <col min="108" max="108" width="7.125" customWidth="1"/>
    <col min="109" max="109" width="13.375" customWidth="1"/>
    <col min="110" max="110" width="7.875" customWidth="1"/>
    <col min="111" max="112" width="8.25" customWidth="1"/>
    <col min="113" max="115" width="9" customWidth="1"/>
    <col min="116" max="117" width="8.25" customWidth="1"/>
    <col min="118" max="120" width="9" customWidth="1"/>
    <col min="121" max="121" width="13.5" customWidth="1"/>
    <col min="122" max="122" width="12.25" customWidth="1"/>
    <col min="123" max="124" width="10.875" customWidth="1"/>
    <col min="125" max="125" width="8.5" customWidth="1"/>
    <col min="126" max="126" width="13.5" customWidth="1"/>
    <col min="127" max="127" width="12.25" customWidth="1"/>
    <col min="128" max="129" width="10.875" customWidth="1"/>
    <col min="130" max="130" width="8.5" customWidth="1"/>
    <col min="131" max="131" width="6.875" customWidth="1"/>
    <col min="132" max="132" width="8.375" customWidth="1"/>
    <col min="133" max="134" width="8.5" customWidth="1"/>
    <col min="135" max="135" width="6" customWidth="1"/>
    <col min="136" max="136" width="13.125" customWidth="1"/>
    <col min="137" max="138" width="8.375" customWidth="1"/>
    <col min="139" max="139" width="13.125" customWidth="1"/>
    <col min="140" max="140" width="19.125" customWidth="1"/>
    <col min="141" max="141" width="10.375" customWidth="1"/>
    <col min="142" max="142" width="7.375" customWidth="1"/>
    <col min="143" max="143" width="8.125" customWidth="1"/>
    <col min="144" max="144" width="12" customWidth="1"/>
    <col min="145" max="146" width="7.375" customWidth="1"/>
    <col min="147" max="147" width="9.25" customWidth="1"/>
    <col min="148" max="148" width="8.375" customWidth="1"/>
    <col min="149" max="149" width="8.875" customWidth="1"/>
    <col min="150" max="154" width="10.375" customWidth="1"/>
    <col min="155" max="155" width="16.25" customWidth="1"/>
    <col min="156" max="156" width="8.375" customWidth="1"/>
    <col min="157" max="157" width="8.625" customWidth="1"/>
    <col min="158" max="159" width="11" customWidth="1"/>
    <col min="160" max="160" width="11.125" customWidth="1"/>
    <col min="161" max="161" width="6.125" customWidth="1"/>
    <col min="162" max="162" width="9.375" customWidth="1"/>
    <col min="163" max="163" width="9" customWidth="1"/>
    <col min="164" max="164" width="11.375" customWidth="1"/>
    <col min="165" max="165" width="5.875" customWidth="1"/>
    <col min="166" max="166" width="9.25" customWidth="1"/>
    <col min="167" max="167" width="8.5" customWidth="1"/>
    <col min="168" max="168" width="13.125" customWidth="1"/>
    <col min="169" max="169" width="10.625" customWidth="1"/>
    <col min="170" max="170" width="10.75" customWidth="1"/>
    <col min="171" max="171" width="8.875" customWidth="1"/>
    <col min="172" max="172" width="23.875" customWidth="1"/>
    <col min="173" max="173" width="11.375" customWidth="1"/>
    <col min="174" max="174" width="11.375" style="21" customWidth="1"/>
    <col min="175" max="175" width="11.625" style="1" customWidth="1"/>
    <col min="176" max="176" width="10.625" style="22" customWidth="1"/>
    <col min="177" max="177" width="11" style="22" customWidth="1"/>
    <col min="178" max="178" width="8.375" style="22" customWidth="1"/>
    <col min="179" max="179" width="9.625" style="22" customWidth="1"/>
    <col min="180" max="180" width="10.5" style="22" customWidth="1"/>
    <col min="181" max="181" width="9" style="22" customWidth="1"/>
    <col min="182" max="182" width="6.125" style="22" customWidth="1"/>
    <col min="183" max="183" width="11.125" style="22" customWidth="1"/>
    <col min="184" max="184" width="8.25" style="22" customWidth="1"/>
    <col min="185" max="185" width="12.5" style="22" customWidth="1"/>
    <col min="186" max="186" width="8.375" style="22" customWidth="1"/>
    <col min="187" max="187" width="9.625" style="22" customWidth="1"/>
    <col min="188" max="188" width="10.75" style="22" customWidth="1"/>
    <col min="189" max="189" width="10" style="22" customWidth="1"/>
    <col min="190" max="190" width="6.125" style="22" customWidth="1"/>
    <col min="191" max="191" width="8.375" style="22" customWidth="1"/>
    <col min="192" max="192" width="9" style="22" customWidth="1"/>
    <col min="193" max="193" width="9.25" style="22" customWidth="1"/>
    <col min="194" max="194" width="6.125" style="22" customWidth="1"/>
    <col min="195" max="195" width="9" style="22" customWidth="1"/>
    <col min="196" max="196" width="10.625" style="22" customWidth="1"/>
    <col min="197" max="197" width="9.25" style="22" customWidth="1"/>
    <col min="198" max="198" width="10.625" style="22" customWidth="1"/>
    <col min="199" max="199" width="8.125" style="22" customWidth="1"/>
    <col min="200" max="200" width="6.125" style="22" customWidth="1"/>
    <col min="201" max="201" width="10.5" style="22" customWidth="1"/>
    <col min="202" max="202" width="8" style="22" customWidth="1"/>
    <col min="203" max="203" width="13.375" style="22" customWidth="1"/>
    <col min="204" max="204" width="8.125" style="22" customWidth="1"/>
    <col min="205" max="205" width="6.125" style="22" customWidth="1"/>
    <col min="206" max="207" width="13.375" style="22" customWidth="1"/>
    <col min="208" max="208" width="10.375" style="22" customWidth="1"/>
    <col min="209" max="209" width="6.125" style="22" customWidth="1"/>
    <col min="210" max="210" width="9.75" style="22" customWidth="1"/>
    <col min="211" max="212" width="10.375" style="22" customWidth="1"/>
    <col min="213" max="213" width="6.125" style="22" customWidth="1"/>
    <col min="214" max="214" width="9.75" style="22" customWidth="1"/>
    <col min="215" max="216" width="10.375" style="22" customWidth="1"/>
    <col min="217" max="217" width="5.375" style="22" customWidth="1"/>
    <col min="218" max="220" width="10.375" style="22" customWidth="1"/>
    <col min="221" max="221" width="6.125" style="22" customWidth="1"/>
    <col min="222" max="222" width="9.75" style="22" customWidth="1"/>
    <col min="223" max="224" width="10.375" style="22" customWidth="1"/>
    <col min="225" max="225" width="6.125" style="22" customWidth="1"/>
    <col min="226" max="226" width="9.75" style="22" customWidth="1"/>
    <col min="227" max="228" width="10.375" style="22" customWidth="1"/>
    <col min="229" max="229" width="6.125" style="22" customWidth="1"/>
    <col min="230" max="230" width="9.75" style="22" customWidth="1"/>
    <col min="231" max="232" width="10.375" style="22" customWidth="1"/>
    <col min="233" max="233" width="8" style="22" customWidth="1"/>
    <col min="234" max="236" width="10.375" style="22" customWidth="1"/>
    <col min="237" max="237" width="6.125" style="22" customWidth="1"/>
    <col min="238" max="238" width="9.75" style="22" customWidth="1"/>
    <col min="239" max="240" width="10.375" style="22" customWidth="1"/>
    <col min="241" max="244" width="7.375" style="22" customWidth="1"/>
    <col min="245" max="245" width="7.875" style="22" customWidth="1"/>
    <col min="246" max="246" width="6.125" style="22" customWidth="1"/>
    <col min="247" max="247" width="9.375" style="22" customWidth="1"/>
    <col min="248" max="248" width="8.375" style="22" customWidth="1"/>
    <col min="249" max="249" width="6.125" style="22" customWidth="1"/>
    <col min="250" max="250" width="5.875" style="22" customWidth="1"/>
    <col min="251" max="251" width="9.25" style="22" customWidth="1"/>
    <col min="252" max="252" width="8.5" style="22" customWidth="1"/>
    <col min="253" max="253" width="10.5" style="22" customWidth="1"/>
    <col min="254" max="254" width="10.625" style="22" customWidth="1"/>
    <col min="255" max="255" width="10.75" style="22" customWidth="1"/>
    <col min="256" max="256" width="8.875" style="22" customWidth="1"/>
    <col min="257" max="257" width="10.75" style="22" customWidth="1"/>
    <col min="258" max="260" width="11.375" style="22" customWidth="1"/>
    <col min="261" max="261" width="10.5" style="22" customWidth="1"/>
    <col min="262" max="262" width="10.375" customWidth="1"/>
    <col min="263" max="263" width="6.375" customWidth="1"/>
    <col min="264" max="264" width="13.375" customWidth="1"/>
    <col min="265" max="265" width="9.75" customWidth="1"/>
    <col min="266" max="266" width="11" customWidth="1"/>
    <col min="267" max="267" width="7" customWidth="1"/>
    <col min="268" max="268" width="10" customWidth="1"/>
    <col min="269" max="269" width="11.125" customWidth="1"/>
    <col min="270" max="270" width="8.625" customWidth="1"/>
    <col min="271" max="271" width="10" customWidth="1"/>
    <col min="272" max="272" width="9" customWidth="1"/>
    <col min="273" max="273" width="6.125" customWidth="1"/>
    <col min="274" max="274" width="11.125" customWidth="1"/>
    <col min="275" max="275" width="8.25" customWidth="1"/>
    <col min="276" max="276" width="9" customWidth="1"/>
    <col min="277" max="277" width="6.125" customWidth="1"/>
    <col min="278" max="278" width="11.125" customWidth="1"/>
    <col min="279" max="279" width="8.25" customWidth="1"/>
    <col min="280" max="280" width="12.5" customWidth="1"/>
    <col min="281" max="281" width="8.375" customWidth="1"/>
    <col min="282" max="282" width="9.625" customWidth="1"/>
    <col min="283" max="283" width="11.5" customWidth="1"/>
    <col min="284" max="284" width="10" customWidth="1"/>
    <col min="285" max="285" width="6.125" customWidth="1"/>
    <col min="286" max="286" width="8.375" customWidth="1"/>
    <col min="287" max="287" width="9" customWidth="1"/>
    <col min="288" max="288" width="9.25" customWidth="1"/>
    <col min="289" max="289" width="6.125" customWidth="1"/>
    <col min="290" max="290" width="9" customWidth="1"/>
    <col min="291" max="291" width="10.625" customWidth="1"/>
    <col min="292" max="292" width="9.25" customWidth="1"/>
    <col min="293" max="293" width="10.625" customWidth="1"/>
    <col min="294" max="294" width="12.125" customWidth="1"/>
    <col min="295" max="295" width="6.125" customWidth="1"/>
    <col min="296" max="297" width="13.375" customWidth="1"/>
    <col min="298" max="298" width="8.125" customWidth="1"/>
    <col min="299" max="299" width="6.125" customWidth="1"/>
    <col min="300" max="301" width="13.375" customWidth="1"/>
    <col min="302" max="302" width="10.375" customWidth="1"/>
    <col min="303" max="303" width="6.125" customWidth="1"/>
    <col min="304" max="304" width="9.75" customWidth="1"/>
    <col min="305" max="306" width="10.375" customWidth="1"/>
    <col min="307" max="307" width="6.125" customWidth="1"/>
    <col min="308" max="308" width="9.75" customWidth="1"/>
    <col min="309" max="310" width="10.375" customWidth="1"/>
    <col min="311" max="311" width="6.5" customWidth="1"/>
    <col min="312" max="312" width="10.375" customWidth="1"/>
    <col min="313" max="313" width="9.5" customWidth="1"/>
    <col min="314" max="314" width="10.375" customWidth="1"/>
    <col min="315" max="315" width="6.5" customWidth="1"/>
    <col min="316" max="316" width="10.375" customWidth="1"/>
    <col min="317" max="317" width="9.5" customWidth="1"/>
    <col min="318" max="318" width="10.375" customWidth="1"/>
    <col min="319" max="319" width="6.125" customWidth="1"/>
    <col min="320" max="320" width="9.75" customWidth="1"/>
    <col min="321" max="322" width="10.375" customWidth="1"/>
    <col min="323" max="323" width="6.125" customWidth="1"/>
    <col min="324" max="324" width="9.75" customWidth="1"/>
    <col min="325" max="326" width="10.375" customWidth="1"/>
    <col min="327" max="327" width="6.5" customWidth="1"/>
    <col min="328" max="328" width="10.375" customWidth="1"/>
    <col min="329" max="329" width="9.5" customWidth="1"/>
    <col min="330" max="330" width="10.375" customWidth="1"/>
    <col min="331" max="331" width="6.5" customWidth="1"/>
    <col min="332" max="332" width="10.375" customWidth="1"/>
    <col min="333" max="333" width="9.5" customWidth="1"/>
    <col min="334" max="334" width="20.5" customWidth="1"/>
    <col min="335" max="335" width="17.625" customWidth="1"/>
    <col min="336" max="336" width="15.125" customWidth="1"/>
    <col min="337" max="337" width="15.5" style="15" customWidth="1"/>
    <col min="338" max="338" width="13.375" customWidth="1"/>
    <col min="339" max="339" width="13.125" customWidth="1"/>
    <col min="340" max="340" width="18.625" customWidth="1"/>
    <col min="341" max="347" width="9" customWidth="1"/>
    <col min="348" max="348" width="18.125" customWidth="1"/>
    <col min="349" max="349" width="18.625" customWidth="1"/>
    <col min="350" max="351" width="11.25" customWidth="1"/>
    <col min="352" max="352" width="17.125" customWidth="1"/>
    <col min="353" max="353" width="9.125" customWidth="1"/>
    <col min="354" max="354" width="13.5" customWidth="1"/>
    <col min="355" max="355" width="18.375" customWidth="1"/>
    <col min="356" max="356" width="16.625" customWidth="1"/>
    <col min="357" max="361" width="11.375" customWidth="1"/>
    <col min="362" max="365" width="9.125" hidden="1" customWidth="1"/>
    <col min="366" max="366" width="13.5" hidden="1" customWidth="1"/>
    <col min="367" max="368" width="16.5" hidden="1" customWidth="1"/>
    <col min="369" max="373" width="11.375" hidden="1" customWidth="1"/>
    <col min="374" max="374" width="9" hidden="1" customWidth="1"/>
    <col min="375" max="375" width="15" hidden="1" customWidth="1"/>
    <col min="376" max="376" width="10.5" hidden="1" customWidth="1"/>
    <col min="377" max="377" width="14.125" hidden="1" customWidth="1"/>
    <col min="378" max="378" width="15.625" hidden="1" customWidth="1"/>
    <col min="379" max="379" width="17.125" hidden="1" customWidth="1"/>
    <col min="380" max="380" width="15.875" hidden="1" customWidth="1"/>
    <col min="381" max="381" width="17.375" hidden="1" customWidth="1"/>
    <col min="382" max="382" width="15.5" hidden="1" customWidth="1"/>
    <col min="383" max="383" width="15" hidden="1" customWidth="1"/>
    <col min="384" max="384" width="14.125" hidden="1" customWidth="1"/>
    <col min="385" max="385" width="17.125" hidden="1" customWidth="1"/>
    <col min="386" max="386" width="17.375" hidden="1" customWidth="1"/>
    <col min="387" max="392" width="9" hidden="1" customWidth="1"/>
    <col min="393" max="393" width="15.875" hidden="1" customWidth="1"/>
    <col min="394" max="394" width="20.25" hidden="1" customWidth="1"/>
    <col min="395" max="395" width="18.25" hidden="1" customWidth="1"/>
    <col min="396" max="396" width="22.25" hidden="1" customWidth="1"/>
    <col min="397" max="397" width="8.625" hidden="1" customWidth="1"/>
    <col min="398" max="398" width="21.5" hidden="1" customWidth="1"/>
    <col min="399" max="399" width="9" hidden="1" customWidth="1"/>
  </cols>
  <sheetData>
    <row r="1" customHeight="1" spans="4:398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</row>
    <row r="2" customHeight="1" spans="1:386">
      <c r="A2" s="23"/>
      <c r="B2" s="24" t="s">
        <v>582</v>
      </c>
      <c r="C2" s="24"/>
      <c r="D2" s="24"/>
      <c r="E2" s="25">
        <v>-0.02</v>
      </c>
      <c r="F2" s="26"/>
      <c r="G2" s="27"/>
      <c r="H2" s="27"/>
      <c r="I2" s="27"/>
      <c r="J2" s="27"/>
      <c r="K2" s="27"/>
      <c r="L2" s="99"/>
      <c r="M2" s="27"/>
      <c r="N2" s="27"/>
      <c r="O2" s="27"/>
      <c r="P2" s="100"/>
      <c r="Q2" s="27"/>
      <c r="R2" s="130"/>
      <c r="S2" s="99"/>
      <c r="T2" s="27"/>
      <c r="U2" s="27"/>
      <c r="V2" s="130"/>
      <c r="W2" s="27"/>
      <c r="X2" s="131"/>
      <c r="Y2" s="183"/>
      <c r="Z2" s="184"/>
      <c r="AA2" s="185"/>
      <c r="AB2" s="186" t="s">
        <v>583</v>
      </c>
      <c r="AC2" s="186" t="s">
        <v>584</v>
      </c>
      <c r="AD2" s="187"/>
      <c r="AE2" s="188" t="s">
        <v>585</v>
      </c>
      <c r="AF2" s="189"/>
      <c r="AG2" s="81"/>
      <c r="AH2" s="81"/>
      <c r="AI2" s="81"/>
      <c r="AJ2" s="81"/>
      <c r="AK2" s="81"/>
      <c r="AL2" s="81"/>
      <c r="AM2" s="81"/>
      <c r="AN2" s="232"/>
      <c r="AO2" s="81"/>
      <c r="AP2" s="81" t="str">
        <f>$FB10</f>
        <v>导体金额</v>
      </c>
      <c r="AQ2" s="81"/>
      <c r="AR2" s="81" t="str">
        <f>$FQ9</f>
        <v>绝缘金额</v>
      </c>
      <c r="AS2" s="81" t="str">
        <f>$FX10</f>
        <v>填充绳(无阻燃)使用金额</v>
      </c>
      <c r="AT2" s="81" t="str">
        <f>$GP9</f>
        <v>包带金额</v>
      </c>
      <c r="AU2" s="81" t="str">
        <f>$HS10</f>
        <v>护套金额</v>
      </c>
      <c r="AV2" s="81"/>
      <c r="AW2" s="81"/>
      <c r="AX2" s="81"/>
      <c r="AY2" s="81"/>
      <c r="AZ2" s="81"/>
      <c r="BA2" s="263"/>
      <c r="BB2" s="263"/>
      <c r="BC2" s="264"/>
      <c r="BD2" s="81"/>
      <c r="BE2" s="81"/>
      <c r="BF2" s="263"/>
      <c r="BG2" s="263"/>
      <c r="BH2" s="264"/>
      <c r="BI2" s="265"/>
      <c r="BJ2" s="266"/>
      <c r="BK2" s="27"/>
      <c r="BL2" s="267"/>
      <c r="BM2" s="267"/>
      <c r="BN2" s="267"/>
      <c r="BO2" s="267"/>
      <c r="BP2" s="264"/>
      <c r="BQ2" s="267"/>
      <c r="BR2" s="267"/>
      <c r="BS2" s="267"/>
      <c r="BT2" s="267"/>
      <c r="BU2" s="264"/>
      <c r="BV2" s="81"/>
      <c r="BW2" s="81"/>
      <c r="BX2" s="263"/>
      <c r="BY2" s="263"/>
      <c r="BZ2" s="264"/>
      <c r="CA2" s="81"/>
      <c r="CB2" s="81"/>
      <c r="CC2" s="263"/>
      <c r="CD2" s="263"/>
      <c r="CE2" s="282"/>
      <c r="CF2" s="283"/>
      <c r="CG2" s="265"/>
      <c r="CH2" s="27"/>
      <c r="CI2" s="267"/>
      <c r="CJ2" s="267"/>
      <c r="CK2" s="267"/>
      <c r="CL2" s="267"/>
      <c r="CM2" s="264"/>
      <c r="CN2" s="267"/>
      <c r="CO2" s="267"/>
      <c r="CP2" s="267"/>
      <c r="CQ2" s="267"/>
      <c r="CR2" s="264"/>
      <c r="CS2" s="81"/>
      <c r="CT2" s="81"/>
      <c r="CU2" s="263"/>
      <c r="CV2" s="263"/>
      <c r="CW2" s="264"/>
      <c r="CX2" s="81"/>
      <c r="CY2" s="81"/>
      <c r="CZ2" s="263"/>
      <c r="DA2" s="263"/>
      <c r="DB2" s="282"/>
      <c r="DC2" s="283"/>
      <c r="DD2" s="265"/>
      <c r="DE2" s="27"/>
      <c r="DF2" s="27"/>
      <c r="DG2" s="267"/>
      <c r="DH2" s="267"/>
      <c r="DI2" s="267"/>
      <c r="DJ2" s="267"/>
      <c r="DK2" s="264"/>
      <c r="DL2" s="267"/>
      <c r="DM2" s="267"/>
      <c r="DN2" s="267"/>
      <c r="DO2" s="267"/>
      <c r="DP2" s="264"/>
      <c r="DQ2" s="81"/>
      <c r="DR2" s="81"/>
      <c r="DS2" s="263"/>
      <c r="DT2" s="263"/>
      <c r="DU2" s="264"/>
      <c r="DV2" s="81"/>
      <c r="DW2" s="81"/>
      <c r="DX2" s="263"/>
      <c r="DY2" s="263"/>
      <c r="DZ2" s="282"/>
      <c r="EA2" s="283"/>
      <c r="EB2" s="265"/>
      <c r="EC2" s="264"/>
      <c r="ED2" s="264"/>
      <c r="EE2" s="264"/>
      <c r="EF2" s="264"/>
      <c r="EG2" s="264"/>
      <c r="EH2" s="264"/>
      <c r="EI2" s="264"/>
      <c r="EJ2" s="264"/>
      <c r="EK2" s="264"/>
      <c r="EL2" s="264"/>
      <c r="EM2" s="264"/>
      <c r="EN2" s="264"/>
      <c r="EO2" s="264"/>
      <c r="EP2" s="264"/>
      <c r="EQ2" s="264"/>
      <c r="ER2" s="264"/>
      <c r="ES2" s="264"/>
      <c r="ET2" s="308"/>
      <c r="EU2" s="308"/>
      <c r="EV2" s="308"/>
      <c r="EW2" s="308"/>
      <c r="EX2" s="308"/>
      <c r="EY2" s="264"/>
      <c r="EZ2" s="264"/>
      <c r="FA2" s="264"/>
      <c r="FB2" s="264"/>
      <c r="FC2" s="264"/>
      <c r="FD2" s="264"/>
      <c r="FE2" s="264"/>
      <c r="FF2" s="264"/>
      <c r="FG2" s="264"/>
      <c r="FH2" s="264"/>
      <c r="FI2" s="264"/>
      <c r="FJ2" s="264"/>
      <c r="FK2" s="264"/>
      <c r="FL2" s="264"/>
      <c r="FM2" s="264"/>
      <c r="FN2" s="264"/>
      <c r="FO2" s="264"/>
      <c r="FP2" s="264"/>
      <c r="FQ2" s="264"/>
      <c r="FR2" s="342"/>
      <c r="FS2" s="343"/>
      <c r="FT2" s="344"/>
      <c r="FU2" s="344"/>
      <c r="FV2" s="344"/>
      <c r="FW2" s="344"/>
      <c r="FX2" s="344"/>
      <c r="FY2" s="344"/>
      <c r="FZ2" s="344"/>
      <c r="GA2" s="344"/>
      <c r="GB2" s="344"/>
      <c r="GC2" s="344"/>
      <c r="GD2" s="344"/>
      <c r="GE2" s="344"/>
      <c r="GF2" s="344"/>
      <c r="GG2" s="344"/>
      <c r="GH2" s="344"/>
      <c r="GI2" s="344"/>
      <c r="GJ2" s="344"/>
      <c r="GK2" s="344"/>
      <c r="GL2" s="344"/>
      <c r="GM2" s="344"/>
      <c r="GN2" s="344"/>
      <c r="GO2" s="344"/>
      <c r="GP2" s="398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344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344"/>
      <c r="HY2" s="344"/>
      <c r="HZ2" s="344"/>
      <c r="IA2" s="344"/>
      <c r="IB2" s="344"/>
      <c r="IC2" s="344"/>
      <c r="ID2" s="344"/>
      <c r="IE2" s="344"/>
      <c r="IF2" s="344"/>
      <c r="IG2" s="344"/>
      <c r="IH2" s="344"/>
      <c r="II2" s="344"/>
      <c r="IJ2" s="344"/>
      <c r="IK2" s="344"/>
      <c r="IL2" s="344"/>
      <c r="IM2" s="344"/>
      <c r="IN2" s="344"/>
      <c r="IO2" s="344"/>
      <c r="IP2" s="344"/>
      <c r="IQ2" s="344"/>
      <c r="IR2" s="344"/>
      <c r="IS2" s="344"/>
      <c r="IT2" s="344"/>
      <c r="IU2" s="344"/>
      <c r="IV2" s="344"/>
      <c r="IW2" s="344"/>
      <c r="IX2" s="344"/>
      <c r="IY2" s="344"/>
      <c r="IZ2" s="344"/>
      <c r="JA2" s="344"/>
      <c r="JB2" s="264"/>
      <c r="JC2" s="264"/>
      <c r="JD2" s="264"/>
      <c r="JE2" s="264"/>
      <c r="JF2" s="264"/>
      <c r="JG2" s="264"/>
      <c r="JH2" s="264"/>
      <c r="JI2" s="264"/>
      <c r="JJ2" s="264"/>
      <c r="JK2" s="264"/>
      <c r="JL2" s="264"/>
      <c r="JM2" s="264"/>
      <c r="JN2" s="264"/>
      <c r="JO2" s="264"/>
      <c r="JP2" s="264"/>
      <c r="JQ2" s="264"/>
      <c r="JR2" s="264"/>
      <c r="JS2" s="264"/>
      <c r="JT2" s="264"/>
      <c r="JU2" s="264"/>
      <c r="JV2" s="264"/>
      <c r="JW2" s="264"/>
      <c r="JX2" s="264"/>
      <c r="JY2" s="264"/>
      <c r="JZ2" s="264"/>
      <c r="KA2" s="264"/>
      <c r="KB2" s="264"/>
      <c r="KC2" s="264"/>
      <c r="KD2" s="264"/>
      <c r="KE2" s="264"/>
      <c r="KF2" s="264"/>
      <c r="KG2" s="90"/>
      <c r="KH2" s="264"/>
      <c r="KI2" s="264"/>
      <c r="KJ2" s="264"/>
      <c r="KK2" s="264"/>
      <c r="KL2" s="264"/>
      <c r="KM2" s="264"/>
      <c r="KN2" s="264"/>
      <c r="KO2" s="264"/>
      <c r="KP2" s="264"/>
      <c r="KQ2" s="264"/>
      <c r="KR2" s="264"/>
      <c r="KS2" s="264"/>
      <c r="KT2" s="264"/>
      <c r="KU2" s="264"/>
      <c r="KV2" s="264"/>
      <c r="KW2" s="264"/>
      <c r="KX2" s="264"/>
      <c r="KY2" s="264"/>
      <c r="KZ2" s="264"/>
      <c r="LA2" s="264"/>
      <c r="LB2" s="264"/>
      <c r="LC2" s="264"/>
      <c r="LD2" s="264"/>
      <c r="LE2" s="264"/>
      <c r="LF2" s="264"/>
      <c r="LG2" s="264"/>
      <c r="LH2" s="264"/>
      <c r="LI2" s="264"/>
      <c r="LJ2" s="264"/>
      <c r="LK2" s="264"/>
      <c r="LL2" s="264"/>
      <c r="LM2" s="264"/>
      <c r="LN2" s="264"/>
      <c r="LO2" s="264"/>
      <c r="LP2" s="264"/>
      <c r="LQ2" s="264"/>
      <c r="LR2" s="264"/>
      <c r="LS2" s="264"/>
      <c r="LT2" s="264"/>
      <c r="LU2" s="264"/>
      <c r="LV2" s="492"/>
      <c r="LW2" s="492"/>
      <c r="LX2" s="492"/>
      <c r="LY2" s="502"/>
      <c r="LZ2" s="503"/>
      <c r="MA2" s="492"/>
      <c r="MB2" s="492"/>
      <c r="MC2" s="492"/>
      <c r="MD2" s="492"/>
      <c r="ME2" s="492"/>
      <c r="MF2" s="492"/>
      <c r="MG2" s="503"/>
      <c r="MH2" s="492"/>
      <c r="MI2" s="492"/>
      <c r="MJ2" s="264"/>
      <c r="MK2" s="264"/>
      <c r="ML2" s="264"/>
      <c r="MM2" s="264"/>
      <c r="MN2" s="264"/>
      <c r="MO2" s="264"/>
      <c r="MP2" s="264"/>
      <c r="MQ2" s="264"/>
      <c r="MR2" s="264"/>
      <c r="MS2" s="264"/>
      <c r="MT2" s="264"/>
      <c r="MU2" s="264"/>
      <c r="MV2" s="264"/>
      <c r="MW2" s="264"/>
      <c r="MX2" s="264"/>
      <c r="MY2" s="264"/>
      <c r="MZ2" s="264"/>
      <c r="NA2" s="264"/>
      <c r="NB2" s="264"/>
      <c r="NC2" s="264"/>
      <c r="ND2" s="264"/>
      <c r="NE2" s="264"/>
      <c r="NF2" s="264"/>
      <c r="NG2" s="264"/>
      <c r="NH2" s="264"/>
      <c r="NI2" s="264"/>
      <c r="NN2" s="499"/>
      <c r="NO2" s="499"/>
      <c r="NP2" s="499"/>
      <c r="NQ2" s="499"/>
      <c r="NR2" s="499"/>
      <c r="NU2" s="499"/>
      <c r="NV2" s="499"/>
    </row>
    <row r="3" customHeight="1" spans="1:348">
      <c r="A3" s="28"/>
      <c r="B3" s="24" t="s">
        <v>586</v>
      </c>
      <c r="C3" s="24"/>
      <c r="D3" s="24"/>
      <c r="E3" s="29"/>
      <c r="F3" s="30" t="s">
        <v>587</v>
      </c>
      <c r="G3" s="31"/>
      <c r="H3" s="31"/>
      <c r="I3" s="31"/>
      <c r="J3" s="31"/>
      <c r="K3" s="31"/>
      <c r="L3" s="31"/>
      <c r="M3" s="31"/>
      <c r="N3" s="31"/>
      <c r="O3" s="31"/>
      <c r="P3" s="101"/>
      <c r="Q3" s="31"/>
      <c r="R3" s="132"/>
      <c r="S3" s="133"/>
      <c r="T3" s="31"/>
      <c r="U3" s="31"/>
      <c r="V3" s="132"/>
      <c r="W3" s="134"/>
      <c r="X3" s="135"/>
      <c r="Y3" s="190"/>
      <c r="Z3" s="191"/>
      <c r="AA3" s="192"/>
      <c r="AB3" s="12">
        <v>19</v>
      </c>
      <c r="AC3" s="186">
        <v>1</v>
      </c>
      <c r="AD3" s="186"/>
      <c r="AE3" s="186" t="s">
        <v>588</v>
      </c>
      <c r="AF3" s="193"/>
      <c r="AG3" s="90"/>
      <c r="AH3" s="90"/>
      <c r="AI3" s="90"/>
      <c r="AJ3" s="90"/>
      <c r="AK3" s="90"/>
      <c r="AL3" s="90"/>
      <c r="AM3" s="90"/>
      <c r="AN3" s="233"/>
      <c r="AO3" s="252" t="s">
        <v>589</v>
      </c>
      <c r="AP3" s="252">
        <f>$FB144</f>
        <v>972.769303949395</v>
      </c>
      <c r="AQ3" s="252"/>
      <c r="AR3" s="252">
        <f>$FQ144</f>
        <v>8.61313703406209</v>
      </c>
      <c r="AS3" s="90">
        <f>$FX144</f>
        <v>4.61029750997776</v>
      </c>
      <c r="AT3" s="252">
        <f>$GP144</f>
        <v>0.258574837617994</v>
      </c>
      <c r="AU3" s="252">
        <f>$HS144</f>
        <v>12.785904073932</v>
      </c>
      <c r="AV3" s="252">
        <f>SUM(AP3:AU3)</f>
        <v>999.037217404985</v>
      </c>
      <c r="AW3" s="252"/>
      <c r="AX3" s="90"/>
      <c r="AY3" s="252"/>
      <c r="AZ3" s="252"/>
      <c r="BA3" s="135" t="s">
        <v>590</v>
      </c>
      <c r="BB3" s="135"/>
      <c r="BC3" s="135"/>
      <c r="BD3" s="252"/>
      <c r="BE3" s="252"/>
      <c r="BF3" s="135" t="s">
        <v>590</v>
      </c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49"/>
      <c r="BW3" s="149"/>
      <c r="BX3" s="135"/>
      <c r="BY3" s="135" t="s">
        <v>590</v>
      </c>
      <c r="BZ3" s="135"/>
      <c r="CA3" s="149"/>
      <c r="CB3" s="149"/>
      <c r="CC3" s="135"/>
      <c r="CD3" s="135" t="s">
        <v>590</v>
      </c>
      <c r="CE3" s="135"/>
      <c r="CF3" s="135"/>
      <c r="CG3" s="135"/>
      <c r="CH3" s="135"/>
      <c r="CI3" s="135"/>
      <c r="CJ3" s="135"/>
      <c r="CK3" s="135"/>
      <c r="CL3" s="135"/>
      <c r="CM3" s="135"/>
      <c r="CN3" s="135"/>
      <c r="CO3" s="135"/>
      <c r="CP3" s="135"/>
      <c r="CQ3" s="135"/>
      <c r="CR3" s="135"/>
      <c r="CS3" s="149"/>
      <c r="CT3" s="149"/>
      <c r="CU3" s="135"/>
      <c r="CV3" s="135" t="s">
        <v>590</v>
      </c>
      <c r="CW3" s="135"/>
      <c r="CX3" s="149"/>
      <c r="CY3" s="149"/>
      <c r="CZ3" s="135"/>
      <c r="DA3" s="135" t="s">
        <v>590</v>
      </c>
      <c r="DB3" s="135"/>
      <c r="DC3" s="135"/>
      <c r="DD3" s="135"/>
      <c r="DE3" s="135"/>
      <c r="DF3" s="135"/>
      <c r="DG3" s="135"/>
      <c r="DH3" s="135"/>
      <c r="DI3" s="135"/>
      <c r="DJ3" s="135"/>
      <c r="DK3" s="135"/>
      <c r="DL3" s="135"/>
      <c r="DM3" s="135"/>
      <c r="DN3" s="135"/>
      <c r="DO3" s="135"/>
      <c r="DP3" s="135"/>
      <c r="DQ3" s="149"/>
      <c r="DR3" s="149"/>
      <c r="DS3" s="135"/>
      <c r="DT3" s="135" t="s">
        <v>590</v>
      </c>
      <c r="DU3" s="135"/>
      <c r="DV3" s="149"/>
      <c r="DW3" s="149"/>
      <c r="DX3" s="135"/>
      <c r="DY3" s="135" t="s">
        <v>590</v>
      </c>
      <c r="DZ3" s="135"/>
      <c r="EA3" s="135"/>
      <c r="EB3" s="268"/>
      <c r="EC3" s="294"/>
      <c r="ED3" s="30" t="s">
        <v>591</v>
      </c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134"/>
      <c r="FC3" s="31"/>
      <c r="FD3" s="30" t="s">
        <v>592</v>
      </c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134"/>
      <c r="IB3" s="346"/>
      <c r="IC3" s="346"/>
      <c r="ID3" s="346"/>
      <c r="IE3" s="346"/>
      <c r="IF3" s="346"/>
      <c r="IG3" s="430" t="s">
        <v>593</v>
      </c>
      <c r="IH3" s="431"/>
      <c r="II3" s="431"/>
      <c r="IJ3" s="431"/>
      <c r="IK3" s="431"/>
      <c r="IL3" s="431"/>
      <c r="IM3" s="431"/>
      <c r="IN3" s="431"/>
      <c r="IO3" s="431"/>
      <c r="IP3" s="431"/>
      <c r="IQ3" s="431"/>
      <c r="IR3" s="431"/>
      <c r="IS3" s="431"/>
      <c r="IT3" s="431"/>
      <c r="IU3" s="431"/>
      <c r="IV3" s="431"/>
      <c r="IW3" s="431"/>
      <c r="IX3" s="431"/>
      <c r="IY3" s="431"/>
      <c r="IZ3" s="431"/>
      <c r="JA3" s="431"/>
      <c r="JB3" s="431"/>
      <c r="JC3" s="431"/>
      <c r="JD3" s="431"/>
      <c r="JE3" s="431"/>
      <c r="JF3" s="431"/>
      <c r="JG3" s="431"/>
      <c r="JH3" s="431"/>
      <c r="JI3" s="431"/>
      <c r="JJ3" s="431"/>
      <c r="JK3" s="431"/>
      <c r="JL3" s="431"/>
      <c r="JM3" s="431"/>
      <c r="JN3" s="431"/>
      <c r="JO3" s="431"/>
      <c r="JP3" s="431"/>
      <c r="JQ3" s="431"/>
      <c r="JR3" s="431"/>
      <c r="JS3" s="431"/>
      <c r="JT3" s="431"/>
      <c r="JU3" s="431"/>
      <c r="JV3" s="431"/>
      <c r="JW3" s="431"/>
      <c r="JX3" s="431"/>
      <c r="JY3" s="431"/>
      <c r="JZ3" s="431"/>
      <c r="KA3" s="431"/>
      <c r="KB3" s="431"/>
      <c r="KC3" s="431"/>
      <c r="KD3" s="431"/>
      <c r="KE3" s="431"/>
      <c r="KF3" s="431"/>
      <c r="KG3" s="431"/>
      <c r="KH3" s="431"/>
      <c r="KI3" s="431"/>
      <c r="KJ3" s="431"/>
      <c r="KK3" s="431"/>
      <c r="KL3" s="31"/>
      <c r="KM3" s="31"/>
      <c r="KN3" s="31"/>
      <c r="KO3" s="31"/>
      <c r="KP3" s="31"/>
      <c r="KQ3" s="31"/>
      <c r="KR3" s="31"/>
      <c r="KS3" s="31"/>
      <c r="KT3" s="31"/>
      <c r="KU3" s="31"/>
      <c r="KV3" s="31"/>
      <c r="KW3" s="31"/>
      <c r="KX3" s="31"/>
      <c r="KY3" s="31"/>
      <c r="KZ3" s="31"/>
      <c r="LA3" s="31"/>
      <c r="LB3" s="31"/>
      <c r="LC3" s="31"/>
      <c r="LD3" s="31"/>
      <c r="LE3" s="31"/>
      <c r="LF3" s="431"/>
      <c r="LG3" s="431"/>
      <c r="LH3" s="431"/>
      <c r="LI3" s="431"/>
      <c r="LJ3" s="431"/>
      <c r="LK3" s="431"/>
      <c r="LL3" s="431"/>
      <c r="LM3" s="431"/>
      <c r="LN3" s="431"/>
      <c r="LO3" s="431"/>
      <c r="LP3" s="431"/>
      <c r="LQ3" s="482"/>
      <c r="LR3" s="449"/>
      <c r="LS3" s="449"/>
      <c r="LT3" s="449"/>
      <c r="LU3" s="449"/>
      <c r="LV3" s="492"/>
      <c r="LW3" s="492"/>
      <c r="LX3" s="492"/>
      <c r="LY3" s="502"/>
      <c r="LZ3" s="503"/>
      <c r="MA3" s="492"/>
      <c r="MB3" s="492"/>
      <c r="MC3" s="492"/>
      <c r="MD3" s="492"/>
      <c r="ME3" s="492"/>
      <c r="MF3" s="492"/>
      <c r="MG3" s="503"/>
      <c r="MH3" s="492"/>
      <c r="MI3" s="492"/>
      <c r="MJ3" s="499" t="s">
        <v>594</v>
      </c>
    </row>
    <row r="4" customHeight="1" spans="1:357">
      <c r="A4" s="28"/>
      <c r="B4" s="24" t="s">
        <v>595</v>
      </c>
      <c r="C4" s="24"/>
      <c r="D4" s="24"/>
      <c r="E4" s="32">
        <v>0.01</v>
      </c>
      <c r="F4" s="30"/>
      <c r="G4" s="31"/>
      <c r="H4" s="31"/>
      <c r="I4" s="31"/>
      <c r="J4" s="31"/>
      <c r="K4" s="31"/>
      <c r="L4" s="31"/>
      <c r="M4" s="31"/>
      <c r="N4" s="31"/>
      <c r="O4" s="31"/>
      <c r="P4" s="101"/>
      <c r="Q4" s="31"/>
      <c r="R4" s="132"/>
      <c r="S4" s="133"/>
      <c r="T4" s="31"/>
      <c r="U4" s="31"/>
      <c r="V4" s="132"/>
      <c r="W4" s="134"/>
      <c r="X4" s="135"/>
      <c r="Y4" s="190"/>
      <c r="Z4" s="191"/>
      <c r="AA4" s="192"/>
      <c r="AB4" s="194">
        <v>7</v>
      </c>
      <c r="AC4" s="194">
        <v>96</v>
      </c>
      <c r="AD4" s="194"/>
      <c r="AE4" s="12" t="s">
        <v>596</v>
      </c>
      <c r="AF4" s="195"/>
      <c r="AG4" s="149"/>
      <c r="AH4" s="149"/>
      <c r="AI4" s="149"/>
      <c r="AJ4" s="149"/>
      <c r="AK4" s="149"/>
      <c r="AL4" s="149"/>
      <c r="AM4" s="234"/>
      <c r="AN4" s="235"/>
      <c r="AO4" s="194"/>
      <c r="AP4" s="194" t="str">
        <f>$FB10</f>
        <v>导体金额</v>
      </c>
      <c r="AQ4" s="194" t="str">
        <f>$IJ10</f>
        <v>云母带金额</v>
      </c>
      <c r="AR4" s="194" t="str">
        <f>$IX9</f>
        <v>绝缘金额</v>
      </c>
      <c r="AS4" s="194" t="str">
        <f>$JK9</f>
        <v>绳金额</v>
      </c>
      <c r="AT4" s="194" t="str">
        <f>$KG9</f>
        <v>包带金额</v>
      </c>
      <c r="AU4" s="194" t="str">
        <f>$LI10</f>
        <v>护套金额</v>
      </c>
      <c r="AV4" s="194"/>
      <c r="AW4" s="194"/>
      <c r="AX4" s="194"/>
      <c r="AY4" s="194"/>
      <c r="AZ4" s="194"/>
      <c r="BA4" s="253"/>
      <c r="BB4" s="253"/>
      <c r="BC4" s="253"/>
      <c r="BD4" s="194"/>
      <c r="BE4" s="194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53"/>
      <c r="BQ4" s="253"/>
      <c r="BR4" s="253"/>
      <c r="BS4" s="253"/>
      <c r="BT4" s="253"/>
      <c r="BU4" s="253"/>
      <c r="BV4" s="194"/>
      <c r="BW4" s="194"/>
      <c r="BX4" s="253"/>
      <c r="BY4" s="253"/>
      <c r="BZ4" s="253"/>
      <c r="CA4" s="194"/>
      <c r="CB4" s="194"/>
      <c r="CC4" s="253"/>
      <c r="CD4" s="253"/>
      <c r="CE4" s="253"/>
      <c r="CF4" s="253"/>
      <c r="CG4" s="284"/>
      <c r="CH4" s="242"/>
      <c r="CI4" s="135"/>
      <c r="CJ4" s="135"/>
      <c r="CK4" s="135"/>
      <c r="CL4" s="135"/>
      <c r="CM4" s="135"/>
      <c r="CN4" s="135"/>
      <c r="CO4" s="135"/>
      <c r="CP4" s="135"/>
      <c r="CQ4" s="135"/>
      <c r="CR4" s="135"/>
      <c r="CS4" s="194"/>
      <c r="CT4" s="194"/>
      <c r="CU4" s="253"/>
      <c r="CV4" s="253"/>
      <c r="CW4" s="253"/>
      <c r="CX4" s="194"/>
      <c r="CY4" s="194"/>
      <c r="CZ4" s="253"/>
      <c r="DA4" s="253"/>
      <c r="DB4" s="253"/>
      <c r="DC4" s="135"/>
      <c r="DD4" s="135"/>
      <c r="DE4" s="135"/>
      <c r="DF4" s="135"/>
      <c r="DG4" s="135"/>
      <c r="DH4" s="135"/>
      <c r="DI4" s="135"/>
      <c r="DJ4" s="135"/>
      <c r="DK4" s="135"/>
      <c r="DL4" s="135"/>
      <c r="DM4" s="135"/>
      <c r="DN4" s="135"/>
      <c r="DO4" s="135"/>
      <c r="DP4" s="135"/>
      <c r="DQ4" s="194"/>
      <c r="DR4" s="194"/>
      <c r="DS4" s="253"/>
      <c r="DT4" s="253"/>
      <c r="DU4" s="253"/>
      <c r="DV4" s="194"/>
      <c r="DW4" s="194"/>
      <c r="DX4" s="253"/>
      <c r="DY4" s="253"/>
      <c r="DZ4" s="253"/>
      <c r="EA4" s="135"/>
      <c r="EB4" s="268"/>
      <c r="EC4" s="295"/>
      <c r="ED4" s="295"/>
      <c r="EE4" s="296"/>
      <c r="EF4" s="31" t="s">
        <v>591</v>
      </c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5"/>
      <c r="FC4" s="31"/>
      <c r="FH4" s="31"/>
      <c r="FI4" s="31"/>
      <c r="FJ4" s="31"/>
      <c r="FK4" s="31"/>
      <c r="FL4" s="31"/>
      <c r="FM4" s="31"/>
      <c r="FN4" s="31"/>
      <c r="FO4" s="31"/>
      <c r="FP4" s="31">
        <f>$MQ17^2</f>
        <v>9.76015082985848</v>
      </c>
      <c r="FQ4" s="31"/>
      <c r="FR4" s="345"/>
      <c r="FS4" s="132"/>
      <c r="FT4" s="346"/>
      <c r="FU4" s="346"/>
      <c r="FV4" s="346"/>
      <c r="FW4" s="346"/>
      <c r="FX4" s="346"/>
      <c r="FY4" s="346"/>
      <c r="FZ4" s="346"/>
      <c r="GA4" s="346"/>
      <c r="GB4" s="346"/>
      <c r="GC4" s="346"/>
      <c r="GD4" s="346"/>
      <c r="GE4" s="346"/>
      <c r="GF4" s="346"/>
      <c r="GG4" s="346"/>
      <c r="GH4" s="346"/>
      <c r="GI4" s="346"/>
      <c r="GJ4" s="346"/>
      <c r="GK4" s="346"/>
      <c r="GL4" s="346"/>
      <c r="GM4" s="346"/>
      <c r="GN4" s="346"/>
      <c r="GO4" s="346"/>
      <c r="GP4" s="346"/>
      <c r="GQ4" s="346"/>
      <c r="GR4" s="346"/>
      <c r="GS4" s="346"/>
      <c r="GT4" s="346"/>
      <c r="GU4" s="346"/>
      <c r="GV4" s="346"/>
      <c r="GW4" s="346"/>
      <c r="GX4" s="346"/>
      <c r="GY4" s="346"/>
      <c r="GZ4" s="346"/>
      <c r="HA4" s="346"/>
      <c r="HB4" s="346"/>
      <c r="HC4" s="346"/>
      <c r="HD4" s="346"/>
      <c r="HE4" s="346"/>
      <c r="HF4" s="346"/>
      <c r="HG4" s="346"/>
      <c r="HH4" s="346"/>
      <c r="HI4" s="346"/>
      <c r="HJ4" s="346"/>
      <c r="HK4" s="399"/>
      <c r="HL4" s="346"/>
      <c r="HM4" s="346"/>
      <c r="HN4" s="346"/>
      <c r="HO4" s="346"/>
      <c r="HP4" s="346"/>
      <c r="HQ4" s="346"/>
      <c r="HR4" s="346"/>
      <c r="HS4" s="346"/>
      <c r="HT4" s="346"/>
      <c r="HU4" s="346"/>
      <c r="HV4" s="346"/>
      <c r="HW4" s="346"/>
      <c r="HX4" s="346"/>
      <c r="HY4" s="346"/>
      <c r="HZ4" s="346"/>
      <c r="IA4" s="399"/>
      <c r="IB4" s="346"/>
      <c r="IC4" s="346"/>
      <c r="ID4" s="346"/>
      <c r="IE4" s="346"/>
      <c r="IF4" s="346"/>
      <c r="IG4" s="432"/>
      <c r="IH4" s="433"/>
      <c r="II4" s="433"/>
      <c r="IJ4" s="433"/>
      <c r="IK4" s="433"/>
      <c r="IL4" s="433"/>
      <c r="IM4" s="433"/>
      <c r="IN4" s="433"/>
      <c r="IO4" s="433"/>
      <c r="IP4" s="433"/>
      <c r="IQ4" s="433"/>
      <c r="IR4" s="433"/>
      <c r="IS4" s="433"/>
      <c r="IT4" s="433"/>
      <c r="IU4" s="433"/>
      <c r="IV4" s="433"/>
      <c r="IW4" s="433"/>
      <c r="IX4" s="433"/>
      <c r="IY4" s="433"/>
      <c r="IZ4" s="433"/>
      <c r="JA4" s="433"/>
      <c r="JB4" s="431"/>
      <c r="JC4" s="431"/>
      <c r="JD4" s="431"/>
      <c r="JE4" s="431"/>
      <c r="JF4" s="431"/>
      <c r="JG4" s="431"/>
      <c r="JH4" s="431"/>
      <c r="JI4" s="431"/>
      <c r="JJ4" s="431"/>
      <c r="JK4" s="431"/>
      <c r="JL4" s="449"/>
      <c r="JM4" s="449"/>
      <c r="JN4" s="449"/>
      <c r="JO4" s="449"/>
      <c r="JP4" s="449"/>
      <c r="JQ4" s="449"/>
      <c r="JR4" s="449"/>
      <c r="JS4" s="449"/>
      <c r="JT4" s="449"/>
      <c r="JU4" s="449"/>
      <c r="JV4" s="449"/>
      <c r="JW4" s="449"/>
      <c r="JX4" s="449"/>
      <c r="JY4" s="449"/>
      <c r="JZ4" s="449"/>
      <c r="KA4" s="449"/>
      <c r="KB4" s="449"/>
      <c r="KC4" s="449"/>
      <c r="KD4" s="449"/>
      <c r="KE4" s="449"/>
      <c r="KF4" s="449"/>
      <c r="KG4" s="449"/>
      <c r="KH4" s="431"/>
      <c r="KI4" s="431"/>
      <c r="KJ4" s="431"/>
      <c r="KK4" s="431"/>
      <c r="KL4" s="31"/>
      <c r="KM4" s="31"/>
      <c r="KN4" s="31"/>
      <c r="KO4" s="31"/>
      <c r="KP4" s="431"/>
      <c r="KQ4" s="431"/>
      <c r="KR4" s="431"/>
      <c r="KS4" s="431"/>
      <c r="KT4" s="431"/>
      <c r="KU4" s="431"/>
      <c r="KV4" s="431"/>
      <c r="KW4" s="431"/>
      <c r="KX4" s="431"/>
      <c r="KY4" s="431"/>
      <c r="KZ4" s="431"/>
      <c r="LA4" s="482"/>
      <c r="LB4" s="431"/>
      <c r="LC4" s="431"/>
      <c r="LD4" s="431"/>
      <c r="LE4" s="482"/>
      <c r="LF4" s="431"/>
      <c r="LG4" s="431"/>
      <c r="LH4" s="431"/>
      <c r="LI4" s="431"/>
      <c r="LJ4" s="431"/>
      <c r="LK4" s="431"/>
      <c r="LL4" s="431"/>
      <c r="LM4" s="431"/>
      <c r="LN4" s="431"/>
      <c r="LO4" s="431"/>
      <c r="LP4" s="431"/>
      <c r="LQ4" s="482"/>
      <c r="LR4" s="431"/>
      <c r="LS4" s="431"/>
      <c r="LT4" s="431"/>
      <c r="LU4" s="482"/>
      <c r="LV4" s="492"/>
      <c r="LW4" s="492" t="s">
        <v>597</v>
      </c>
      <c r="LX4" s="492" t="s">
        <v>598</v>
      </c>
      <c r="LY4" s="502"/>
      <c r="LZ4" s="503"/>
      <c r="MA4" s="492"/>
      <c r="MB4" s="492"/>
      <c r="MC4" s="492"/>
      <c r="MD4" s="492" t="s">
        <v>597</v>
      </c>
      <c r="ME4" s="492" t="s">
        <v>598</v>
      </c>
      <c r="MF4" s="492"/>
      <c r="MG4" s="503"/>
      <c r="MH4" s="492"/>
      <c r="MI4" s="492"/>
      <c r="MJ4" s="31"/>
      <c r="MK4" s="31"/>
      <c r="ML4" s="31"/>
      <c r="MM4" s="31"/>
      <c r="MQ4">
        <f>PI()*MQ47*MQ47/4</f>
        <v>2068.63840796374</v>
      </c>
      <c r="MR4">
        <f>PI()*MR47*MR47/4</f>
        <v>2058.81237558912</v>
      </c>
      <c r="MS4">
        <f>MQ4-MR4</f>
        <v>9.82603237462126</v>
      </c>
    </row>
    <row r="5" customHeight="1" spans="1:368">
      <c r="A5" s="28"/>
      <c r="B5" s="24" t="s">
        <v>599</v>
      </c>
      <c r="C5" s="24"/>
      <c r="D5" s="24"/>
      <c r="E5" s="32">
        <v>0</v>
      </c>
      <c r="F5" s="30"/>
      <c r="G5" s="31"/>
      <c r="H5" s="31"/>
      <c r="I5" s="31"/>
      <c r="J5" s="31"/>
      <c r="K5" s="31"/>
      <c r="L5" s="31"/>
      <c r="M5" s="31"/>
      <c r="N5" s="31"/>
      <c r="O5" s="31"/>
      <c r="P5" s="102"/>
      <c r="Q5" s="31"/>
      <c r="R5" s="132"/>
      <c r="S5" s="133"/>
      <c r="T5" s="31"/>
      <c r="U5" s="31"/>
      <c r="V5" s="132"/>
      <c r="W5" s="134"/>
      <c r="X5" s="135"/>
      <c r="Y5" s="196"/>
      <c r="Z5" s="197"/>
      <c r="AA5" s="198"/>
      <c r="AB5" s="199">
        <v>1</v>
      </c>
      <c r="AC5" s="199">
        <v>1</v>
      </c>
      <c r="AD5" s="199"/>
      <c r="AE5" s="199" t="s">
        <v>600</v>
      </c>
      <c r="AF5" s="200"/>
      <c r="AG5" s="236"/>
      <c r="AH5" s="236"/>
      <c r="AI5" s="236"/>
      <c r="AJ5" s="236"/>
      <c r="AK5" s="236"/>
      <c r="AL5" s="236"/>
      <c r="AM5" s="234"/>
      <c r="AN5" s="237"/>
      <c r="AO5" s="253" t="s">
        <v>601</v>
      </c>
      <c r="AP5" s="253">
        <f>$FB144</f>
        <v>972.769303949395</v>
      </c>
      <c r="AQ5" s="253">
        <f>$IJ144</f>
        <v>4.16515871276547</v>
      </c>
      <c r="AR5" s="253">
        <f>$IX144</f>
        <v>9.66115826703785</v>
      </c>
      <c r="AS5" s="253">
        <f>$JK144</f>
        <v>8.18357313460811</v>
      </c>
      <c r="AT5" s="253">
        <f>$KG144</f>
        <v>0.170347856845735</v>
      </c>
      <c r="AU5" s="253">
        <f>$LI144</f>
        <v>13.1359366404219</v>
      </c>
      <c r="AV5" s="253">
        <f>SUM(AP5:AU5)</f>
        <v>1008.08547856107</v>
      </c>
      <c r="AW5" s="253"/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3"/>
      <c r="BO5" s="253"/>
      <c r="BP5" s="253"/>
      <c r="BQ5" s="253"/>
      <c r="BR5" s="253"/>
      <c r="BS5" s="253"/>
      <c r="BT5" s="253"/>
      <c r="BU5" s="253"/>
      <c r="BV5" s="253"/>
      <c r="BW5" s="253"/>
      <c r="BX5" s="253"/>
      <c r="BY5" s="253"/>
      <c r="BZ5" s="253"/>
      <c r="CA5" s="253"/>
      <c r="CB5" s="253"/>
      <c r="CC5" s="253"/>
      <c r="CD5" s="253"/>
      <c r="CE5" s="253"/>
      <c r="CF5" s="253"/>
      <c r="CG5" s="284"/>
      <c r="CH5" s="242"/>
      <c r="CI5" s="135"/>
      <c r="CJ5" s="135"/>
      <c r="CK5" s="135"/>
      <c r="CL5" s="135"/>
      <c r="CM5" s="135"/>
      <c r="CN5" s="135"/>
      <c r="CO5" s="135"/>
      <c r="CP5" s="135"/>
      <c r="CQ5" s="135"/>
      <c r="CR5" s="135"/>
      <c r="CS5" s="253"/>
      <c r="CT5" s="253"/>
      <c r="CU5" s="253"/>
      <c r="CV5" s="253"/>
      <c r="CW5" s="253"/>
      <c r="CX5" s="253"/>
      <c r="CY5" s="253"/>
      <c r="CZ5" s="253"/>
      <c r="DA5" s="253"/>
      <c r="DB5" s="253"/>
      <c r="DC5" s="135"/>
      <c r="DD5" s="135"/>
      <c r="DE5" s="135"/>
      <c r="DF5" s="135"/>
      <c r="DG5" s="135"/>
      <c r="DH5" s="135"/>
      <c r="DI5" s="135"/>
      <c r="DJ5" s="135"/>
      <c r="DK5" s="135"/>
      <c r="DL5" s="135"/>
      <c r="DM5" s="135"/>
      <c r="DN5" s="135"/>
      <c r="DO5" s="135"/>
      <c r="DP5" s="135"/>
      <c r="DQ5" s="253"/>
      <c r="DR5" s="253"/>
      <c r="DS5" s="253"/>
      <c r="DT5" s="253"/>
      <c r="DU5" s="253"/>
      <c r="DV5" s="253"/>
      <c r="DW5" s="253"/>
      <c r="DX5" s="253"/>
      <c r="DY5" s="253"/>
      <c r="DZ5" s="253"/>
      <c r="EA5" s="135"/>
      <c r="EB5" s="268"/>
      <c r="EC5" s="295"/>
      <c r="ED5" s="295"/>
      <c r="EE5" s="296"/>
      <c r="EF5" s="296"/>
      <c r="EG5" s="296"/>
      <c r="EH5" s="296"/>
      <c r="EI5" s="296"/>
      <c r="EJ5" s="296"/>
      <c r="EK5" s="296"/>
      <c r="EL5" s="296"/>
      <c r="EM5" s="296"/>
      <c r="EN5" s="296"/>
      <c r="EO5" s="296"/>
      <c r="EP5" s="296"/>
      <c r="EQ5" s="296"/>
      <c r="ER5" s="296"/>
      <c r="ES5" s="296"/>
      <c r="ET5" s="296"/>
      <c r="EU5" s="296"/>
      <c r="EV5" s="296"/>
      <c r="EW5" s="296"/>
      <c r="EX5" s="296"/>
      <c r="EY5" s="296"/>
      <c r="EZ5" s="296"/>
      <c r="FA5" s="296"/>
      <c r="FB5" s="316"/>
      <c r="FC5" s="31"/>
      <c r="FD5" s="30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>
        <f>$MN17^2</f>
        <v>9.76015082985848</v>
      </c>
      <c r="FQ5" s="31"/>
      <c r="FR5" s="345">
        <f>$MQ14^2</f>
        <v>4.61471267151053</v>
      </c>
      <c r="FS5" s="132"/>
      <c r="FT5" s="346"/>
      <c r="FU5" s="346"/>
      <c r="FV5" s="346"/>
      <c r="FW5" s="346"/>
      <c r="FX5" s="346"/>
      <c r="FY5" s="346"/>
      <c r="FZ5" s="346"/>
      <c r="GA5" s="346"/>
      <c r="GB5" s="346"/>
      <c r="GC5" s="346"/>
      <c r="GD5" s="346"/>
      <c r="GE5" s="346"/>
      <c r="GF5" s="346"/>
      <c r="GG5" s="346"/>
      <c r="GH5" s="346"/>
      <c r="GI5" s="346"/>
      <c r="GJ5" s="346"/>
      <c r="GO5" s="346"/>
      <c r="GP5" s="346"/>
      <c r="GQ5" s="346"/>
      <c r="GR5" s="346"/>
      <c r="GS5" s="346"/>
      <c r="GT5" s="346"/>
      <c r="GU5" s="346"/>
      <c r="GV5" s="346"/>
      <c r="GW5" s="346"/>
      <c r="GX5" s="346"/>
      <c r="GY5" s="346"/>
      <c r="GZ5" s="346"/>
      <c r="HA5" s="346"/>
      <c r="HB5" s="346"/>
      <c r="HC5" s="346"/>
      <c r="HD5" s="346"/>
      <c r="HE5" s="346"/>
      <c r="HF5" s="346"/>
      <c r="HG5" s="346"/>
      <c r="HH5" s="346"/>
      <c r="HI5" s="346"/>
      <c r="HJ5" s="346"/>
      <c r="HK5" s="399"/>
      <c r="HL5" s="346"/>
      <c r="HM5" s="346"/>
      <c r="HN5" s="346"/>
      <c r="HO5" s="346"/>
      <c r="HP5" s="346"/>
      <c r="HQ5" s="346"/>
      <c r="HR5" s="346"/>
      <c r="HS5" s="346"/>
      <c r="HT5" s="346"/>
      <c r="HU5" s="346"/>
      <c r="HV5" s="346"/>
      <c r="HW5" s="346"/>
      <c r="HX5" s="346"/>
      <c r="HY5" s="346"/>
      <c r="HZ5" s="346"/>
      <c r="IA5" s="399"/>
      <c r="IB5" s="346"/>
      <c r="IC5" s="346"/>
      <c r="ID5" s="346"/>
      <c r="IE5" s="346"/>
      <c r="IF5" s="346"/>
      <c r="IG5" s="432"/>
      <c r="IH5" s="433"/>
      <c r="II5" s="433"/>
      <c r="IJ5" s="433"/>
      <c r="IK5" s="433"/>
      <c r="IL5" s="433"/>
      <c r="IM5" s="433"/>
      <c r="IN5" s="433"/>
      <c r="IO5" s="433"/>
      <c r="IP5" s="433"/>
      <c r="IQ5" s="433"/>
      <c r="IR5" s="433"/>
      <c r="IS5" s="433"/>
      <c r="IT5" s="433"/>
      <c r="IU5" s="433"/>
      <c r="IV5" s="433"/>
      <c r="IW5" s="433"/>
      <c r="IX5" s="433"/>
      <c r="IY5" s="433"/>
      <c r="IZ5" s="433"/>
      <c r="JA5" s="433"/>
      <c r="JB5" s="431"/>
      <c r="JC5" s="431"/>
      <c r="JD5" s="431"/>
      <c r="JE5" s="431"/>
      <c r="JF5" s="431"/>
      <c r="JG5" s="431"/>
      <c r="JH5" s="431"/>
      <c r="JI5" s="431"/>
      <c r="JJ5" s="431"/>
      <c r="JK5" s="431"/>
      <c r="JL5" s="449"/>
      <c r="JM5" s="449"/>
      <c r="JN5" s="449"/>
      <c r="JO5" s="449"/>
      <c r="JP5" s="449"/>
      <c r="JQ5" s="449"/>
      <c r="JR5" s="449"/>
      <c r="JS5" s="449"/>
      <c r="JT5" s="449"/>
      <c r="JU5" s="449"/>
      <c r="JV5" s="449"/>
      <c r="JW5" s="449"/>
      <c r="JX5" s="449"/>
      <c r="JY5" s="449"/>
      <c r="JZ5" s="449"/>
      <c r="KA5" s="449"/>
      <c r="KB5" s="449"/>
      <c r="KC5" s="449"/>
      <c r="KD5" s="449"/>
      <c r="KE5" s="449"/>
      <c r="KF5" s="449"/>
      <c r="KG5" s="449"/>
      <c r="KH5" s="431"/>
      <c r="KI5" s="431"/>
      <c r="KJ5" s="431"/>
      <c r="KK5" s="431"/>
      <c r="KL5" s="31"/>
      <c r="KM5" s="31"/>
      <c r="KN5" s="31"/>
      <c r="KO5" s="31"/>
      <c r="KP5" s="431"/>
      <c r="KQ5" s="431"/>
      <c r="KR5" s="431"/>
      <c r="KS5" s="431"/>
      <c r="KT5" s="431"/>
      <c r="KU5" s="431"/>
      <c r="KV5" s="431"/>
      <c r="KW5" s="431"/>
      <c r="KX5" s="431"/>
      <c r="KY5" s="431"/>
      <c r="KZ5" s="431"/>
      <c r="LA5" s="482"/>
      <c r="LB5" s="431"/>
      <c r="LC5" s="431"/>
      <c r="LD5" s="431"/>
      <c r="LE5" s="482"/>
      <c r="LF5" s="431"/>
      <c r="LG5" s="431"/>
      <c r="LH5" s="431"/>
      <c r="LI5" s="431"/>
      <c r="LJ5" s="431"/>
      <c r="LK5" s="431"/>
      <c r="LL5" s="431"/>
      <c r="LM5" s="431"/>
      <c r="LN5" s="431"/>
      <c r="LO5" s="431"/>
      <c r="LP5" s="431"/>
      <c r="LQ5" s="482"/>
      <c r="LR5" s="431"/>
      <c r="LS5" s="431"/>
      <c r="LT5" s="431"/>
      <c r="LU5" s="482"/>
      <c r="LV5" s="492"/>
      <c r="LW5" s="492"/>
      <c r="LX5" s="492"/>
      <c r="LY5" s="502"/>
      <c r="LZ5" s="503"/>
      <c r="MA5" s="492"/>
      <c r="MB5" s="492"/>
      <c r="MC5" s="492"/>
      <c r="MD5" s="492"/>
      <c r="ME5" s="492"/>
      <c r="MF5" s="492"/>
      <c r="MG5" s="503"/>
      <c r="MH5" s="492"/>
      <c r="MI5" s="492"/>
      <c r="MK5" s="31"/>
      <c r="ML5" s="30"/>
      <c r="MM5" s="31"/>
      <c r="ND5" s="492"/>
    </row>
    <row r="6" customHeight="1" spans="1:368">
      <c r="A6" s="28"/>
      <c r="B6" s="24" t="s">
        <v>602</v>
      </c>
      <c r="C6" s="24"/>
      <c r="D6" s="24"/>
      <c r="E6" s="32">
        <f>E4+E5</f>
        <v>0.01</v>
      </c>
      <c r="F6" s="33"/>
      <c r="G6" s="34"/>
      <c r="H6" s="34"/>
      <c r="I6" s="34"/>
      <c r="J6" s="34"/>
      <c r="K6" s="34"/>
      <c r="L6" s="34"/>
      <c r="M6" s="34"/>
      <c r="N6" s="34"/>
      <c r="O6" s="34"/>
      <c r="P6" s="102"/>
      <c r="Q6" s="34"/>
      <c r="R6" s="136"/>
      <c r="S6" s="137"/>
      <c r="T6" s="34"/>
      <c r="U6" s="34"/>
      <c r="V6" s="138"/>
      <c r="W6" s="139"/>
      <c r="X6" s="135"/>
      <c r="Y6" s="196"/>
      <c r="Z6" s="197"/>
      <c r="AA6" s="198"/>
      <c r="AB6" s="199"/>
      <c r="AC6" s="199"/>
      <c r="AD6" s="199"/>
      <c r="AE6" s="199"/>
      <c r="AF6" s="200"/>
      <c r="AG6" s="236"/>
      <c r="AH6" s="236"/>
      <c r="AI6" s="236"/>
      <c r="AJ6" s="236"/>
      <c r="AK6" s="236"/>
      <c r="AL6" s="236"/>
      <c r="AM6" s="234"/>
      <c r="AN6" s="237"/>
      <c r="AO6" s="253" t="s">
        <v>603</v>
      </c>
      <c r="AP6" s="253">
        <f t="shared" ref="AP6:AU6" si="0">AP5-AP3</f>
        <v>0</v>
      </c>
      <c r="AQ6" s="253">
        <f t="shared" si="0"/>
        <v>4.16515871276547</v>
      </c>
      <c r="AR6" s="253">
        <f t="shared" si="0"/>
        <v>1.04802123297576</v>
      </c>
      <c r="AS6" s="253">
        <f t="shared" si="0"/>
        <v>3.57327562463035</v>
      </c>
      <c r="AT6" s="253">
        <f t="shared" si="0"/>
        <v>-0.088226980772259</v>
      </c>
      <c r="AU6" s="253">
        <f t="shared" si="0"/>
        <v>0.35003256648983</v>
      </c>
      <c r="AV6" s="253">
        <f>SUM(AP6:AU6)</f>
        <v>9.04826115608915</v>
      </c>
      <c r="AW6" s="253"/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3"/>
      <c r="BQ6" s="253"/>
      <c r="BR6" s="253"/>
      <c r="BS6" s="253"/>
      <c r="BT6" s="253"/>
      <c r="BU6" s="253"/>
      <c r="BV6" s="253"/>
      <c r="BW6" s="253"/>
      <c r="BX6" s="253"/>
      <c r="BY6" s="253"/>
      <c r="BZ6" s="253"/>
      <c r="CA6" s="253"/>
      <c r="CB6" s="253"/>
      <c r="CC6" s="253"/>
      <c r="CD6" s="253"/>
      <c r="CE6" s="253"/>
      <c r="CF6" s="253"/>
      <c r="CG6" s="284"/>
      <c r="CH6" s="242"/>
      <c r="CI6" s="135"/>
      <c r="CJ6" s="135"/>
      <c r="CK6" s="135"/>
      <c r="CL6" s="135"/>
      <c r="CM6" s="135"/>
      <c r="CN6" s="135"/>
      <c r="CO6" s="135"/>
      <c r="CP6" s="135"/>
      <c r="CQ6" s="135"/>
      <c r="CR6" s="135"/>
      <c r="CS6" s="253"/>
      <c r="CT6" s="253"/>
      <c r="CU6" s="253"/>
      <c r="CV6" s="253"/>
      <c r="CW6" s="253"/>
      <c r="CX6" s="253"/>
      <c r="CY6" s="253"/>
      <c r="CZ6" s="253"/>
      <c r="DA6" s="253"/>
      <c r="DB6" s="253"/>
      <c r="DC6" s="135"/>
      <c r="DD6" s="135"/>
      <c r="DE6" s="135"/>
      <c r="DF6" s="135"/>
      <c r="DG6" s="135"/>
      <c r="DH6" s="135"/>
      <c r="DI6" s="135"/>
      <c r="DJ6" s="135"/>
      <c r="DK6" s="135"/>
      <c r="DL6" s="135"/>
      <c r="DM6" s="135"/>
      <c r="DN6" s="135"/>
      <c r="DO6" s="135"/>
      <c r="DP6" s="135"/>
      <c r="DQ6" s="253"/>
      <c r="DR6" s="253"/>
      <c r="DS6" s="253"/>
      <c r="DT6" s="253"/>
      <c r="DU6" s="253"/>
      <c r="DV6" s="253"/>
      <c r="DW6" s="253"/>
      <c r="DX6" s="253"/>
      <c r="DY6" s="253"/>
      <c r="DZ6" s="253"/>
      <c r="EA6" s="135"/>
      <c r="EB6" s="268"/>
      <c r="EC6" s="295"/>
      <c r="ED6" s="295"/>
      <c r="EE6" s="296"/>
      <c r="EF6" s="296"/>
      <c r="EG6" s="296"/>
      <c r="EH6" s="296"/>
      <c r="EI6" s="296"/>
      <c r="EJ6" s="296"/>
      <c r="EK6" s="296"/>
      <c r="EL6" s="296"/>
      <c r="EM6" s="296"/>
      <c r="EN6" s="296"/>
      <c r="EO6" s="296"/>
      <c r="EP6" s="296"/>
      <c r="EQ6" s="296"/>
      <c r="ER6" s="296"/>
      <c r="ES6" s="296"/>
      <c r="ET6" s="296"/>
      <c r="EU6" s="296"/>
      <c r="EV6" s="296"/>
      <c r="EW6" s="296"/>
      <c r="EX6" s="296"/>
      <c r="EY6" s="296"/>
      <c r="EZ6" s="296"/>
      <c r="FA6" s="296"/>
      <c r="FB6" s="316"/>
      <c r="FC6" s="31"/>
      <c r="FD6" s="30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>
        <f>$MN17^2*$EG17</f>
        <v>9.76015082985848</v>
      </c>
      <c r="FQ6" s="31"/>
      <c r="FR6" s="345">
        <f>$MN14^2*$EG14</f>
        <v>4.61471267151053</v>
      </c>
      <c r="FS6" s="132"/>
      <c r="FT6" s="346"/>
      <c r="FU6" s="346"/>
      <c r="FV6" s="346"/>
      <c r="FW6" s="346"/>
      <c r="FX6" s="346"/>
      <c r="FY6" s="346"/>
      <c r="FZ6" s="346"/>
      <c r="GA6" s="346"/>
      <c r="GB6" s="346"/>
      <c r="GC6" s="346"/>
      <c r="GD6" s="346"/>
      <c r="GE6" s="346"/>
      <c r="GF6" s="346"/>
      <c r="GG6" s="346"/>
      <c r="GH6" s="346"/>
      <c r="GI6" s="346"/>
      <c r="GJ6" s="346"/>
      <c r="GO6" s="346"/>
      <c r="GP6" s="346"/>
      <c r="GQ6" s="346"/>
      <c r="GR6" s="346"/>
      <c r="GS6" s="346"/>
      <c r="GT6" s="346"/>
      <c r="GU6" s="346"/>
      <c r="GV6" s="346"/>
      <c r="GW6" s="346"/>
      <c r="GX6" s="346"/>
      <c r="GY6" s="346"/>
      <c r="GZ6" s="346"/>
      <c r="HA6" s="346"/>
      <c r="HB6" s="346"/>
      <c r="HC6" s="346"/>
      <c r="HD6" s="346"/>
      <c r="HE6" s="346"/>
      <c r="HF6" s="346"/>
      <c r="HG6" s="346"/>
      <c r="HH6" s="346"/>
      <c r="HI6" s="346"/>
      <c r="HJ6" s="346"/>
      <c r="HK6" s="399"/>
      <c r="HL6" s="346"/>
      <c r="HM6" s="346"/>
      <c r="HN6" s="346"/>
      <c r="HO6" s="346"/>
      <c r="HP6" s="346"/>
      <c r="HQ6" s="346"/>
      <c r="HR6" s="346"/>
      <c r="HS6" s="346"/>
      <c r="HT6" s="346"/>
      <c r="HU6" s="346"/>
      <c r="HV6" s="346"/>
      <c r="HW6" s="346"/>
      <c r="HX6" s="346"/>
      <c r="HY6" s="346"/>
      <c r="HZ6" s="346"/>
      <c r="IA6" s="399"/>
      <c r="IB6" s="346"/>
      <c r="IC6" s="346"/>
      <c r="ID6" s="346"/>
      <c r="IE6" s="346"/>
      <c r="IF6" s="346"/>
      <c r="IG6" s="432"/>
      <c r="IH6" s="433"/>
      <c r="II6" s="433"/>
      <c r="IJ6" s="433"/>
      <c r="IK6" s="433"/>
      <c r="IL6" s="433"/>
      <c r="IM6" s="433"/>
      <c r="IN6" s="433"/>
      <c r="IO6" s="433"/>
      <c r="IP6" s="433"/>
      <c r="IQ6" s="433"/>
      <c r="IR6" s="433"/>
      <c r="IS6" s="433"/>
      <c r="IT6" s="433"/>
      <c r="IU6" s="433"/>
      <c r="IV6" s="433"/>
      <c r="IW6" s="433"/>
      <c r="IX6" s="433"/>
      <c r="IY6" s="433"/>
      <c r="IZ6" s="433"/>
      <c r="JA6" s="433"/>
      <c r="JB6" s="431"/>
      <c r="JC6" s="431"/>
      <c r="JD6" s="431"/>
      <c r="JE6" s="431"/>
      <c r="JF6" s="431"/>
      <c r="JG6" s="431"/>
      <c r="JH6" s="431"/>
      <c r="JI6" s="431"/>
      <c r="JJ6" s="431"/>
      <c r="JK6" s="431"/>
      <c r="JL6" s="449"/>
      <c r="JM6" s="449"/>
      <c r="JN6" s="449"/>
      <c r="JO6" s="449"/>
      <c r="JP6" s="449"/>
      <c r="JQ6" s="449"/>
      <c r="JR6" s="449"/>
      <c r="JS6" s="449"/>
      <c r="JT6" s="449"/>
      <c r="JU6" s="449"/>
      <c r="JV6" s="449"/>
      <c r="JW6" s="449"/>
      <c r="JX6" s="449"/>
      <c r="JY6" s="449"/>
      <c r="JZ6" s="449"/>
      <c r="KA6" s="449"/>
      <c r="KB6" s="449"/>
      <c r="KC6" s="449"/>
      <c r="KD6" s="449"/>
      <c r="KE6" s="449"/>
      <c r="KF6" s="449"/>
      <c r="KG6" s="449"/>
      <c r="KH6" s="431"/>
      <c r="KI6" s="431"/>
      <c r="KJ6" s="431"/>
      <c r="KK6" s="431"/>
      <c r="KL6" s="31"/>
      <c r="KM6" s="31"/>
      <c r="KN6" s="31"/>
      <c r="KO6" s="31"/>
      <c r="KP6" s="431"/>
      <c r="KQ6" s="431"/>
      <c r="KR6" s="431"/>
      <c r="KS6" s="431"/>
      <c r="KT6" s="431"/>
      <c r="KU6" s="431"/>
      <c r="KV6" s="431"/>
      <c r="KW6" s="431"/>
      <c r="KX6" s="431"/>
      <c r="KY6" s="431"/>
      <c r="KZ6" s="431"/>
      <c r="LA6" s="482"/>
      <c r="LB6" s="431"/>
      <c r="LC6" s="431"/>
      <c r="LD6" s="431"/>
      <c r="LE6" s="482"/>
      <c r="LF6" s="431"/>
      <c r="LG6" s="431"/>
      <c r="LH6" s="431"/>
      <c r="LI6" s="431"/>
      <c r="LJ6" s="431"/>
      <c r="LK6" s="431"/>
      <c r="LL6" s="431"/>
      <c r="LM6" s="431"/>
      <c r="LN6" s="431"/>
      <c r="LO6" s="431"/>
      <c r="LP6" s="431"/>
      <c r="LQ6" s="482"/>
      <c r="LR6" s="431"/>
      <c r="LS6" s="431"/>
      <c r="LT6" s="431"/>
      <c r="LU6" s="482"/>
      <c r="LV6" s="492">
        <f>ROUND($EJ13*10^-2,8)</f>
        <v>0.78221538</v>
      </c>
      <c r="LW6" s="492"/>
      <c r="LX6" s="492"/>
      <c r="LY6" s="502"/>
      <c r="LZ6" s="503"/>
      <c r="MA6" s="492"/>
      <c r="MB6" s="492"/>
      <c r="MC6" s="492"/>
      <c r="MD6" s="492"/>
      <c r="ME6" s="492"/>
      <c r="MF6" s="492"/>
      <c r="MG6" s="503"/>
      <c r="MH6" s="492"/>
      <c r="MI6" s="492"/>
      <c r="MJ6" s="499"/>
      <c r="ND6" s="492"/>
    </row>
    <row r="7" customHeight="1" spans="1:348">
      <c r="A7" s="35"/>
      <c r="B7" s="36"/>
      <c r="C7" s="37"/>
      <c r="D7" s="38"/>
      <c r="E7" s="39"/>
      <c r="F7" s="40"/>
      <c r="G7" s="34"/>
      <c r="H7" s="34"/>
      <c r="I7" s="34"/>
      <c r="J7" s="34"/>
      <c r="K7" s="34"/>
      <c r="L7" s="103"/>
      <c r="M7" s="34"/>
      <c r="N7" s="34"/>
      <c r="O7" s="34"/>
      <c r="P7" s="102"/>
      <c r="Q7" s="34"/>
      <c r="R7" s="136"/>
      <c r="S7" s="140"/>
      <c r="T7" s="34"/>
      <c r="U7" s="34"/>
      <c r="V7" s="138"/>
      <c r="W7" s="139"/>
      <c r="X7" s="141"/>
      <c r="Y7" s="201"/>
      <c r="Z7" s="202"/>
      <c r="AA7" s="198"/>
      <c r="AB7" s="199"/>
      <c r="AC7" s="199"/>
      <c r="AD7" s="199"/>
      <c r="AE7" s="199"/>
      <c r="AF7" s="200"/>
      <c r="AG7" s="236"/>
      <c r="AH7" s="236"/>
      <c r="AI7" s="236"/>
      <c r="AJ7" s="236"/>
      <c r="AK7" s="236"/>
      <c r="AL7" s="236"/>
      <c r="AM7" s="234"/>
      <c r="AN7" s="237"/>
      <c r="AO7" s="253"/>
      <c r="AP7" s="253"/>
      <c r="AQ7" s="253"/>
      <c r="AR7" s="253"/>
      <c r="AS7" s="253"/>
      <c r="AT7" s="253"/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3"/>
      <c r="BQ7" s="253"/>
      <c r="BR7" s="253"/>
      <c r="BS7" s="253"/>
      <c r="BT7" s="253"/>
      <c r="BU7" s="253"/>
      <c r="BV7" s="253"/>
      <c r="BW7" s="253"/>
      <c r="BX7" s="253"/>
      <c r="BY7" s="253"/>
      <c r="BZ7" s="253"/>
      <c r="CA7" s="253"/>
      <c r="CB7" s="253"/>
      <c r="CC7" s="253"/>
      <c r="CD7" s="253"/>
      <c r="CE7" s="253"/>
      <c r="CF7" s="253"/>
      <c r="CG7" s="284"/>
      <c r="CH7" s="285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289"/>
      <c r="CT7" s="289"/>
      <c r="CU7" s="289"/>
      <c r="CV7" s="289"/>
      <c r="CW7" s="289"/>
      <c r="CX7" s="289"/>
      <c r="CY7" s="289"/>
      <c r="CZ7" s="289"/>
      <c r="DA7" s="289"/>
      <c r="DB7" s="289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41"/>
      <c r="DN7" s="141"/>
      <c r="DO7" s="141"/>
      <c r="DP7" s="141"/>
      <c r="DQ7" s="289"/>
      <c r="DR7" s="289"/>
      <c r="DS7" s="289"/>
      <c r="DT7" s="289"/>
      <c r="DU7" s="289"/>
      <c r="DV7" s="289"/>
      <c r="DW7" s="289"/>
      <c r="DX7" s="289"/>
      <c r="DY7" s="289"/>
      <c r="DZ7" s="289"/>
      <c r="EA7" s="141"/>
      <c r="EB7" s="297"/>
      <c r="EC7" s="295"/>
      <c r="ED7" s="295"/>
      <c r="EE7" s="296"/>
      <c r="EF7" s="296"/>
      <c r="EG7" s="296"/>
      <c r="EH7" s="296"/>
      <c r="EI7" s="296"/>
      <c r="EJ7" s="296"/>
      <c r="EK7" s="296"/>
      <c r="EL7" s="296"/>
      <c r="EM7" s="296"/>
      <c r="EN7" s="296"/>
      <c r="EO7" s="296"/>
      <c r="EP7" s="296"/>
      <c r="EQ7" s="296"/>
      <c r="ER7" s="296"/>
      <c r="ES7" s="296"/>
      <c r="ET7" s="296"/>
      <c r="EU7" s="296"/>
      <c r="EV7" s="296"/>
      <c r="EW7" s="296"/>
      <c r="EX7" s="296"/>
      <c r="EY7" s="296"/>
      <c r="EZ7" s="296"/>
      <c r="FA7" s="296"/>
      <c r="FB7" s="316"/>
      <c r="FC7" s="31"/>
      <c r="FD7" s="30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>
        <f>$MO17^2*$EO17</f>
        <v>0</v>
      </c>
      <c r="FQ7" s="31"/>
      <c r="FR7" s="345">
        <f>$MO14^2*$EO14</f>
        <v>0</v>
      </c>
      <c r="FS7" s="132"/>
      <c r="FU7" s="346"/>
      <c r="FV7" s="346"/>
      <c r="FW7" s="346"/>
      <c r="FX7" s="346"/>
      <c r="FY7" s="346"/>
      <c r="FZ7" s="346"/>
      <c r="GA7" s="346"/>
      <c r="GB7" s="346"/>
      <c r="GC7" s="346"/>
      <c r="GD7" s="346"/>
      <c r="GE7" s="346"/>
      <c r="GF7" s="346"/>
      <c r="GG7" s="346"/>
      <c r="GH7" s="346"/>
      <c r="GI7" s="346"/>
      <c r="GJ7" s="346"/>
      <c r="GK7" s="346"/>
      <c r="GL7" s="346"/>
      <c r="GM7" s="346"/>
      <c r="GN7" s="346"/>
      <c r="GO7" s="346"/>
      <c r="GP7" s="346"/>
      <c r="GQ7" s="346"/>
      <c r="GR7" s="346"/>
      <c r="GS7" s="346"/>
      <c r="GT7" s="346"/>
      <c r="GU7" s="346"/>
      <c r="GV7" s="346"/>
      <c r="GW7" s="346"/>
      <c r="GX7" s="346"/>
      <c r="GY7" s="346"/>
      <c r="GZ7" s="346"/>
      <c r="HA7" s="346"/>
      <c r="HB7" s="346"/>
      <c r="HC7" s="346"/>
      <c r="HD7" s="346"/>
      <c r="HE7" s="346"/>
      <c r="HF7" s="346"/>
      <c r="HG7" s="346"/>
      <c r="HH7" s="346"/>
      <c r="HI7" s="346"/>
      <c r="HJ7" s="346"/>
      <c r="HK7" s="399"/>
      <c r="HL7" s="346"/>
      <c r="HM7" s="346"/>
      <c r="HN7" s="346"/>
      <c r="HO7" s="346"/>
      <c r="HP7" s="346"/>
      <c r="HQ7" s="346"/>
      <c r="HR7" s="346"/>
      <c r="HS7" s="346"/>
      <c r="HT7" s="346"/>
      <c r="HU7" s="346"/>
      <c r="HV7" s="346"/>
      <c r="HW7" s="346"/>
      <c r="HX7" s="346"/>
      <c r="HY7" s="346"/>
      <c r="HZ7" s="346"/>
      <c r="IA7" s="399"/>
      <c r="IB7" s="346"/>
      <c r="IC7" s="346"/>
      <c r="ID7" s="346"/>
      <c r="IE7" s="346"/>
      <c r="IF7" s="346"/>
      <c r="IG7" s="432"/>
      <c r="IH7" s="433"/>
      <c r="II7" s="433"/>
      <c r="IJ7" s="433"/>
      <c r="IK7" s="433"/>
      <c r="IL7" s="433"/>
      <c r="IM7" s="433"/>
      <c r="IN7" s="433"/>
      <c r="IO7" s="433"/>
      <c r="IP7" s="433"/>
      <c r="IQ7" s="433"/>
      <c r="IR7" s="433"/>
      <c r="IS7" s="433"/>
      <c r="IT7" s="433"/>
      <c r="IU7" s="433"/>
      <c r="IV7" s="433"/>
      <c r="IW7" s="433"/>
      <c r="IX7" s="433"/>
      <c r="IY7" s="433"/>
      <c r="IZ7" s="433"/>
      <c r="JA7" s="433"/>
      <c r="JB7" s="431"/>
      <c r="JC7" s="431"/>
      <c r="JD7" s="431"/>
      <c r="JE7" s="431"/>
      <c r="JF7" s="431"/>
      <c r="JG7" s="431"/>
      <c r="JH7" s="431"/>
      <c r="JI7" s="431"/>
      <c r="JJ7" s="431"/>
      <c r="JK7" s="431"/>
      <c r="JL7" s="449"/>
      <c r="JM7" s="449"/>
      <c r="JN7" s="449"/>
      <c r="JO7" s="449"/>
      <c r="JP7" s="449"/>
      <c r="JQ7" s="449"/>
      <c r="JR7" s="449"/>
      <c r="JS7" s="449"/>
      <c r="JT7" s="449"/>
      <c r="JU7" s="449"/>
      <c r="JV7" s="449"/>
      <c r="JW7" s="449"/>
      <c r="JX7" s="449"/>
      <c r="JY7" s="449"/>
      <c r="JZ7" s="449"/>
      <c r="KA7" s="449"/>
      <c r="KB7" s="449"/>
      <c r="KC7" s="449"/>
      <c r="KD7" s="449"/>
      <c r="KE7" s="449"/>
      <c r="KF7" s="449"/>
      <c r="KG7" s="449"/>
      <c r="KH7" s="431"/>
      <c r="KI7" s="431"/>
      <c r="KJ7" s="431"/>
      <c r="KK7" s="431"/>
      <c r="KL7" s="31"/>
      <c r="KM7" s="31"/>
      <c r="KN7" s="31"/>
      <c r="KO7" s="31"/>
      <c r="KP7" s="431"/>
      <c r="KQ7" s="431"/>
      <c r="KR7" s="431"/>
      <c r="KS7" s="431"/>
      <c r="KT7" s="431"/>
      <c r="KU7" s="431"/>
      <c r="KV7" s="431"/>
      <c r="KW7" s="431"/>
      <c r="KX7" s="431"/>
      <c r="KY7" s="431"/>
      <c r="KZ7" s="431"/>
      <c r="LA7" s="482"/>
      <c r="LB7" s="431"/>
      <c r="LC7" s="431"/>
      <c r="LD7" s="431"/>
      <c r="LE7" s="482"/>
      <c r="LF7" s="431"/>
      <c r="LG7" s="431"/>
      <c r="LH7" s="431"/>
      <c r="LI7" s="431"/>
      <c r="LJ7" s="431"/>
      <c r="LK7" s="431"/>
      <c r="LL7" s="431"/>
      <c r="LM7" s="431"/>
      <c r="LN7" s="431"/>
      <c r="LO7" s="431"/>
      <c r="LP7" s="431"/>
      <c r="LQ7" s="482"/>
      <c r="LR7" s="431"/>
      <c r="LS7" s="431"/>
      <c r="LT7" s="431"/>
      <c r="LU7" s="482"/>
      <c r="LV7" s="492"/>
      <c r="LW7" s="492">
        <f>LV12-LW12</f>
        <v>0</v>
      </c>
      <c r="LX7" s="492"/>
      <c r="LY7" s="502"/>
      <c r="LZ7" s="503"/>
      <c r="MA7" s="492"/>
      <c r="MB7" s="492"/>
      <c r="MC7" s="492"/>
      <c r="MD7" s="492"/>
      <c r="ME7" s="492"/>
      <c r="MF7" s="492"/>
      <c r="MG7" s="503"/>
      <c r="MH7" s="492"/>
      <c r="MI7" s="492"/>
      <c r="MJ7" s="499"/>
    </row>
    <row r="8" customHeight="1" spans="1:386">
      <c r="A8" s="41"/>
      <c r="B8" s="42"/>
      <c r="C8" s="43"/>
      <c r="D8" s="44"/>
      <c r="E8" s="45"/>
      <c r="F8" s="46" t="s">
        <v>604</v>
      </c>
      <c r="G8" s="47"/>
      <c r="H8" s="47"/>
      <c r="I8" s="47"/>
      <c r="J8" s="47"/>
      <c r="K8" s="47"/>
      <c r="L8" s="47"/>
      <c r="M8" s="47"/>
      <c r="N8" s="47"/>
      <c r="O8" s="47"/>
      <c r="P8" s="104"/>
      <c r="Q8" s="47"/>
      <c r="R8" s="104"/>
      <c r="S8" s="47"/>
      <c r="T8" s="47"/>
      <c r="U8" s="47"/>
      <c r="V8" s="104"/>
      <c r="W8" s="47"/>
      <c r="X8" s="142"/>
      <c r="Y8" s="142"/>
      <c r="Z8" s="203"/>
      <c r="AA8" s="198"/>
      <c r="AB8" s="199"/>
      <c r="AC8" s="199"/>
      <c r="AD8" s="199"/>
      <c r="AE8" s="199"/>
      <c r="AF8" s="200"/>
      <c r="AG8" s="236"/>
      <c r="AH8" s="236"/>
      <c r="AI8" s="236"/>
      <c r="AJ8" s="236"/>
      <c r="AK8" s="236"/>
      <c r="AL8" s="236"/>
      <c r="AM8" s="234"/>
      <c r="AN8" s="236" t="s">
        <v>605</v>
      </c>
      <c r="AO8" s="253"/>
      <c r="AP8" s="253"/>
      <c r="AQ8" s="253"/>
      <c r="AR8" s="253"/>
      <c r="AS8" s="253"/>
      <c r="AT8" s="253"/>
      <c r="AU8" s="253"/>
      <c r="AV8" s="253"/>
      <c r="AW8" s="253"/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3"/>
      <c r="BQ8" s="253"/>
      <c r="BR8" s="253"/>
      <c r="BS8" s="253"/>
      <c r="BT8" s="253"/>
      <c r="BU8" s="253"/>
      <c r="BV8" s="253"/>
      <c r="BW8" s="253"/>
      <c r="BX8" s="253"/>
      <c r="BY8" s="253"/>
      <c r="BZ8" s="253"/>
      <c r="CA8" s="253"/>
      <c r="CB8" s="253"/>
      <c r="CC8" s="253"/>
      <c r="CD8" s="253"/>
      <c r="CE8" s="253"/>
      <c r="CF8" s="253"/>
      <c r="CG8" s="284"/>
      <c r="CH8" s="285" t="s">
        <v>606</v>
      </c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41"/>
      <c r="DN8" s="141"/>
      <c r="DO8" s="141"/>
      <c r="DP8" s="141"/>
      <c r="DQ8" s="141"/>
      <c r="DR8" s="141"/>
      <c r="DS8" s="141"/>
      <c r="DT8" s="141"/>
      <c r="DU8" s="141"/>
      <c r="DV8" s="141"/>
      <c r="DW8" s="141"/>
      <c r="DX8" s="141"/>
      <c r="DY8" s="141"/>
      <c r="DZ8" s="141"/>
      <c r="EA8" s="141"/>
      <c r="EB8" s="297"/>
      <c r="EC8" s="298"/>
      <c r="ED8" s="298"/>
      <c r="EE8" s="299"/>
      <c r="EF8" s="299"/>
      <c r="EG8" s="299"/>
      <c r="EH8" s="299"/>
      <c r="EI8" s="299"/>
      <c r="EJ8" s="299"/>
      <c r="EK8" s="299"/>
      <c r="EL8" s="299"/>
      <c r="EM8" s="299"/>
      <c r="EN8" s="299"/>
      <c r="EO8" s="299"/>
      <c r="EP8" s="299"/>
      <c r="EQ8" s="299"/>
      <c r="ER8" s="299"/>
      <c r="ES8" s="299"/>
      <c r="ET8" s="299"/>
      <c r="EU8" s="299"/>
      <c r="EV8" s="299"/>
      <c r="EW8" s="299"/>
      <c r="EX8" s="299"/>
      <c r="EY8" s="286" t="s">
        <v>607</v>
      </c>
      <c r="EZ8" s="287"/>
      <c r="FA8" s="287"/>
      <c r="FB8" s="290"/>
      <c r="FC8" s="34"/>
      <c r="FD8" s="317" t="s">
        <v>608</v>
      </c>
      <c r="FE8" s="330"/>
      <c r="FF8" s="330"/>
      <c r="FG8" s="330"/>
      <c r="FH8" s="330"/>
      <c r="FI8" s="330"/>
      <c r="FJ8" s="330"/>
      <c r="FK8" s="330"/>
      <c r="FL8" s="331"/>
      <c r="FM8" s="331"/>
      <c r="FN8" s="331"/>
      <c r="FO8" s="331"/>
      <c r="FP8" s="331"/>
      <c r="FQ8" s="347"/>
      <c r="FR8" s="348">
        <f>FR5-FR6-FR7</f>
        <v>0</v>
      </c>
      <c r="FS8" s="349"/>
      <c r="FT8" s="350" t="s">
        <v>609</v>
      </c>
      <c r="FU8" s="373"/>
      <c r="FV8" s="373"/>
      <c r="FW8" s="373"/>
      <c r="FX8" s="374"/>
      <c r="FY8" s="375" t="s">
        <v>610</v>
      </c>
      <c r="FZ8" s="346"/>
      <c r="GA8" s="346"/>
      <c r="GB8" s="346"/>
      <c r="GC8" s="346"/>
      <c r="GD8" s="346"/>
      <c r="GE8" s="346"/>
      <c r="GF8" s="346"/>
      <c r="GG8" s="346"/>
      <c r="GH8" s="346"/>
      <c r="GI8" s="346"/>
      <c r="GJ8" s="346"/>
      <c r="GK8" s="346"/>
      <c r="GL8" s="346"/>
      <c r="GM8" s="346"/>
      <c r="GN8" s="346"/>
      <c r="GO8" s="346"/>
      <c r="GP8" s="399"/>
      <c r="GQ8" s="400" t="s">
        <v>611</v>
      </c>
      <c r="GR8" s="354"/>
      <c r="GS8" s="354"/>
      <c r="GT8" s="354"/>
      <c r="GU8" s="376"/>
      <c r="GV8" s="400" t="s">
        <v>612</v>
      </c>
      <c r="GW8" s="354"/>
      <c r="GX8" s="354"/>
      <c r="GY8" s="376"/>
      <c r="GZ8" s="409" t="s">
        <v>613</v>
      </c>
      <c r="HA8" s="412"/>
      <c r="HB8" s="412"/>
      <c r="HC8" s="412"/>
      <c r="HD8" s="412"/>
      <c r="HE8" s="412"/>
      <c r="HF8" s="412"/>
      <c r="HG8" s="412"/>
      <c r="HH8" s="412"/>
      <c r="HI8" s="412"/>
      <c r="HJ8" s="412"/>
      <c r="HK8" s="412"/>
      <c r="HL8" s="412"/>
      <c r="HM8" s="412"/>
      <c r="HN8" s="412"/>
      <c r="HO8" s="412"/>
      <c r="HP8" s="416" t="s">
        <v>614</v>
      </c>
      <c r="HQ8" s="421"/>
      <c r="HR8" s="421"/>
      <c r="HS8" s="421"/>
      <c r="HT8" s="421"/>
      <c r="HU8" s="421"/>
      <c r="HV8" s="421"/>
      <c r="HW8" s="421"/>
      <c r="HX8" s="421"/>
      <c r="HY8" s="421"/>
      <c r="HZ8" s="421"/>
      <c r="IA8" s="421"/>
      <c r="IB8" s="421"/>
      <c r="IC8" s="421"/>
      <c r="ID8" s="421"/>
      <c r="IE8" s="421"/>
      <c r="IF8" s="424"/>
      <c r="IG8" s="400" t="s">
        <v>505</v>
      </c>
      <c r="IH8" s="354"/>
      <c r="II8" s="354"/>
      <c r="IJ8" s="376"/>
      <c r="IK8" s="434" t="s">
        <v>608</v>
      </c>
      <c r="IL8" s="435"/>
      <c r="IM8" s="435"/>
      <c r="IN8" s="435"/>
      <c r="IO8" s="435"/>
      <c r="IP8" s="435"/>
      <c r="IQ8" s="435"/>
      <c r="IR8" s="435"/>
      <c r="IS8" s="435"/>
      <c r="IT8" s="435"/>
      <c r="IU8" s="435"/>
      <c r="IV8" s="435"/>
      <c r="IW8" s="435"/>
      <c r="IX8" s="437"/>
      <c r="IY8" s="435"/>
      <c r="IZ8" s="435"/>
      <c r="JA8" s="438" t="s">
        <v>615</v>
      </c>
      <c r="JB8" s="318"/>
      <c r="JC8" s="318"/>
      <c r="JD8" s="318"/>
      <c r="JE8" s="318"/>
      <c r="JF8" s="318"/>
      <c r="JG8" s="318"/>
      <c r="JH8" s="318"/>
      <c r="JI8" s="318"/>
      <c r="JJ8" s="318"/>
      <c r="JK8" s="450"/>
      <c r="JL8" s="451" t="s">
        <v>616</v>
      </c>
      <c r="JM8" s="463"/>
      <c r="JN8" s="463"/>
      <c r="JO8" s="463"/>
      <c r="JP8" s="463"/>
      <c r="JQ8" s="463"/>
      <c r="JR8" s="463"/>
      <c r="JS8" s="463"/>
      <c r="JT8" s="463"/>
      <c r="JU8" s="463"/>
      <c r="JV8" s="463"/>
      <c r="JW8" s="463"/>
      <c r="JX8" s="463"/>
      <c r="JY8" s="463"/>
      <c r="JZ8" s="463"/>
      <c r="KA8" s="463"/>
      <c r="KB8" s="463"/>
      <c r="KC8" s="463"/>
      <c r="KD8" s="463"/>
      <c r="KE8" s="463"/>
      <c r="KF8" s="463"/>
      <c r="KG8" s="464"/>
      <c r="KH8" s="286" t="s">
        <v>617</v>
      </c>
      <c r="KI8" s="287"/>
      <c r="KJ8" s="287"/>
      <c r="KK8" s="290"/>
      <c r="KL8" s="286" t="s">
        <v>618</v>
      </c>
      <c r="KM8" s="287"/>
      <c r="KN8" s="287"/>
      <c r="KO8" s="290"/>
      <c r="KP8" s="470" t="s">
        <v>613</v>
      </c>
      <c r="KQ8" s="471"/>
      <c r="KR8" s="471"/>
      <c r="KS8" s="471"/>
      <c r="KT8" s="471"/>
      <c r="KU8" s="471"/>
      <c r="KV8" s="471"/>
      <c r="KW8" s="471"/>
      <c r="KX8" s="471"/>
      <c r="KY8" s="471"/>
      <c r="KZ8" s="471"/>
      <c r="LA8" s="471"/>
      <c r="LB8" s="471"/>
      <c r="LC8" s="471"/>
      <c r="LD8" s="471"/>
      <c r="LE8" s="471"/>
      <c r="LF8" s="483" t="s">
        <v>619</v>
      </c>
      <c r="LG8" s="484"/>
      <c r="LH8" s="484"/>
      <c r="LI8" s="484"/>
      <c r="LJ8" s="484"/>
      <c r="LK8" s="484"/>
      <c r="LL8" s="484"/>
      <c r="LM8" s="484"/>
      <c r="LN8" s="484"/>
      <c r="LO8" s="484"/>
      <c r="LP8" s="484"/>
      <c r="LQ8" s="484"/>
      <c r="LR8" s="484"/>
      <c r="LS8" s="484"/>
      <c r="LT8" s="484"/>
      <c r="LU8" s="484"/>
      <c r="LV8" s="492"/>
      <c r="LW8" s="492"/>
      <c r="LX8" s="492"/>
      <c r="LY8" s="502"/>
      <c r="LZ8" s="504">
        <v>1</v>
      </c>
      <c r="MA8" s="492"/>
      <c r="MB8" s="492"/>
      <c r="MC8" s="492"/>
      <c r="MD8" s="492"/>
      <c r="ME8" s="492"/>
      <c r="MF8" s="492"/>
      <c r="MG8" s="520">
        <v>1</v>
      </c>
      <c r="MH8" s="492"/>
      <c r="MI8" s="492"/>
      <c r="MJ8" s="521" t="s">
        <v>620</v>
      </c>
      <c r="MK8" s="521"/>
      <c r="ML8" s="521"/>
      <c r="MM8" s="522"/>
      <c r="MN8" s="242" t="s">
        <v>605</v>
      </c>
      <c r="MO8" s="135"/>
      <c r="MP8" s="135"/>
      <c r="MQ8" s="135"/>
      <c r="MR8" s="135"/>
      <c r="MS8" s="135"/>
      <c r="MT8" s="135"/>
      <c r="MU8" s="135"/>
      <c r="MV8" s="135"/>
      <c r="MW8" s="268"/>
      <c r="MX8" s="149" t="s">
        <v>621</v>
      </c>
      <c r="MY8" s="149"/>
      <c r="MZ8" s="149"/>
      <c r="NA8" s="149"/>
      <c r="NB8" s="149"/>
      <c r="NC8" s="149"/>
      <c r="ND8" s="149"/>
      <c r="NE8" s="149"/>
      <c r="NF8" s="135"/>
      <c r="NG8" s="149"/>
      <c r="NH8" s="149"/>
      <c r="NI8" s="499"/>
      <c r="NK8" s="242" t="s">
        <v>622</v>
      </c>
      <c r="NL8" s="135"/>
      <c r="NM8" s="135"/>
      <c r="NN8" s="135"/>
      <c r="NO8" s="149" t="s">
        <v>623</v>
      </c>
      <c r="NP8" s="149"/>
      <c r="NQ8" s="149"/>
      <c r="NR8" s="149"/>
      <c r="NS8" s="499"/>
      <c r="NT8" s="499"/>
      <c r="NU8" s="499"/>
      <c r="NV8" s="499"/>
    </row>
    <row r="9" customHeight="1" spans="1:386">
      <c r="A9" s="48"/>
      <c r="B9" s="49"/>
      <c r="C9" s="50"/>
      <c r="D9" s="44" t="s">
        <v>328</v>
      </c>
      <c r="E9" s="51"/>
      <c r="F9" s="52" t="s">
        <v>624</v>
      </c>
      <c r="G9" s="53" t="s">
        <v>625</v>
      </c>
      <c r="H9" s="53" t="s">
        <v>626</v>
      </c>
      <c r="I9" s="105" t="s">
        <v>627</v>
      </c>
      <c r="J9" s="105" t="s">
        <v>628</v>
      </c>
      <c r="K9" s="105" t="s">
        <v>629</v>
      </c>
      <c r="L9" s="106" t="s">
        <v>466</v>
      </c>
      <c r="M9" s="107" t="s">
        <v>630</v>
      </c>
      <c r="N9" s="107" t="s">
        <v>631</v>
      </c>
      <c r="O9" s="108" t="s">
        <v>632</v>
      </c>
      <c r="P9" s="109"/>
      <c r="Q9" s="33" t="s">
        <v>633</v>
      </c>
      <c r="R9" s="143"/>
      <c r="S9" s="144" t="s">
        <v>518</v>
      </c>
      <c r="T9" s="145"/>
      <c r="U9" s="145"/>
      <c r="V9" s="146"/>
      <c r="W9" s="147" t="s">
        <v>634</v>
      </c>
      <c r="X9" s="148" t="s">
        <v>635</v>
      </c>
      <c r="Y9" s="204"/>
      <c r="Z9" s="204"/>
      <c r="AA9" s="205" t="s">
        <v>630</v>
      </c>
      <c r="AB9" s="205"/>
      <c r="AC9" s="205"/>
      <c r="AD9" s="205"/>
      <c r="AE9" s="205"/>
      <c r="AF9" s="206" t="s">
        <v>636</v>
      </c>
      <c r="AG9" s="238"/>
      <c r="AH9" s="238"/>
      <c r="AI9" s="238"/>
      <c r="AJ9" s="238"/>
      <c r="AK9" s="239" t="s">
        <v>637</v>
      </c>
      <c r="AL9" s="240"/>
      <c r="AM9" s="241"/>
      <c r="AN9" s="242" t="s">
        <v>638</v>
      </c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268"/>
      <c r="BK9" s="269" t="s">
        <v>632</v>
      </c>
      <c r="BL9" s="242" t="s">
        <v>639</v>
      </c>
      <c r="BM9" s="135"/>
      <c r="BN9" s="135"/>
      <c r="BO9" s="135"/>
      <c r="BP9" s="135"/>
      <c r="BQ9" s="135"/>
      <c r="BR9" s="135"/>
      <c r="BS9" s="135"/>
      <c r="BT9" s="135"/>
      <c r="BU9" s="135"/>
      <c r="BV9" s="135"/>
      <c r="BW9" s="135"/>
      <c r="BX9" s="135"/>
      <c r="BY9" s="135"/>
      <c r="BZ9" s="135"/>
      <c r="CA9" s="135"/>
      <c r="CB9" s="135"/>
      <c r="CC9" s="135"/>
      <c r="CD9" s="135"/>
      <c r="CE9" s="135"/>
      <c r="CF9" s="135"/>
      <c r="CG9" s="268"/>
      <c r="CH9" s="286" t="s">
        <v>640</v>
      </c>
      <c r="CI9" s="287"/>
      <c r="CJ9" s="287"/>
      <c r="CK9" s="287"/>
      <c r="CL9" s="287"/>
      <c r="CM9" s="287"/>
      <c r="CN9" s="287"/>
      <c r="CO9" s="287"/>
      <c r="CP9" s="287"/>
      <c r="CQ9" s="287"/>
      <c r="CR9" s="287"/>
      <c r="CS9" s="135"/>
      <c r="CT9" s="135"/>
      <c r="CU9" s="135"/>
      <c r="CV9" s="135"/>
      <c r="CW9" s="135"/>
      <c r="CX9" s="135"/>
      <c r="CY9" s="135"/>
      <c r="CZ9" s="135"/>
      <c r="DA9" s="135"/>
      <c r="DB9" s="135"/>
      <c r="DC9" s="287"/>
      <c r="DD9" s="290"/>
      <c r="DE9" s="90" t="s">
        <v>505</v>
      </c>
      <c r="DF9" s="90"/>
      <c r="DG9" s="242" t="s">
        <v>641</v>
      </c>
      <c r="DH9" s="135"/>
      <c r="DI9" s="135"/>
      <c r="DJ9" s="135"/>
      <c r="DK9" s="135"/>
      <c r="DL9" s="135"/>
      <c r="DM9" s="135"/>
      <c r="DN9" s="135"/>
      <c r="DO9" s="135"/>
      <c r="DP9" s="135"/>
      <c r="DQ9" s="135"/>
      <c r="DR9" s="135"/>
      <c r="DS9" s="135"/>
      <c r="DT9" s="135"/>
      <c r="DU9" s="135"/>
      <c r="DV9" s="135"/>
      <c r="DW9" s="135"/>
      <c r="DX9" s="135"/>
      <c r="DY9" s="135"/>
      <c r="DZ9" s="135"/>
      <c r="EA9" s="135"/>
      <c r="EB9" s="268"/>
      <c r="EC9" s="135"/>
      <c r="ED9" s="242" t="s">
        <v>642</v>
      </c>
      <c r="EE9" s="135"/>
      <c r="EF9" s="135"/>
      <c r="EG9" s="135"/>
      <c r="EH9" s="135"/>
      <c r="EI9" s="135"/>
      <c r="EJ9" s="268"/>
      <c r="EK9" s="242" t="s">
        <v>643</v>
      </c>
      <c r="EL9" s="135"/>
      <c r="EM9" s="135"/>
      <c r="EN9" s="135"/>
      <c r="EO9" s="135"/>
      <c r="EP9" s="135"/>
      <c r="EQ9" s="135"/>
      <c r="ER9" s="268"/>
      <c r="ES9" s="242" t="s">
        <v>644</v>
      </c>
      <c r="ET9" s="135"/>
      <c r="EU9" s="135"/>
      <c r="EV9" s="135"/>
      <c r="EW9" s="135"/>
      <c r="EX9" s="135"/>
      <c r="EY9" s="318" t="s">
        <v>445</v>
      </c>
      <c r="EZ9" s="318"/>
      <c r="FA9" s="318"/>
      <c r="FB9" s="318"/>
      <c r="FC9" s="287"/>
      <c r="FD9" s="319"/>
      <c r="FE9" s="332"/>
      <c r="FF9" s="332"/>
      <c r="FG9" s="333"/>
      <c r="FH9" s="319" t="s">
        <v>645</v>
      </c>
      <c r="FI9" s="332"/>
      <c r="FJ9" s="332"/>
      <c r="FK9" s="333"/>
      <c r="FL9" s="334"/>
      <c r="FM9" s="334"/>
      <c r="FN9" s="334"/>
      <c r="FO9" s="351"/>
      <c r="FP9" s="264" t="s">
        <v>646</v>
      </c>
      <c r="FQ9" s="264" t="s">
        <v>647</v>
      </c>
      <c r="FR9" s="352"/>
      <c r="FS9" s="353"/>
      <c r="FT9" s="354" t="s">
        <v>496</v>
      </c>
      <c r="FU9" s="354"/>
      <c r="FV9" s="354"/>
      <c r="FW9" s="354"/>
      <c r="FX9" s="376"/>
      <c r="FY9" s="354" t="s">
        <v>508</v>
      </c>
      <c r="FZ9" s="354"/>
      <c r="GA9" s="354"/>
      <c r="GB9" s="377" t="s">
        <v>648</v>
      </c>
      <c r="GC9" s="354" t="s">
        <v>514</v>
      </c>
      <c r="GD9" s="354"/>
      <c r="GE9" s="354"/>
      <c r="GF9" s="377"/>
      <c r="GG9" s="354" t="s">
        <v>512</v>
      </c>
      <c r="GH9" s="354"/>
      <c r="GI9" s="354"/>
      <c r="GJ9" s="354"/>
      <c r="GK9" s="400" t="s">
        <v>516</v>
      </c>
      <c r="GL9" s="354"/>
      <c r="GM9" s="354"/>
      <c r="GN9" s="376"/>
      <c r="GO9" s="401" t="s">
        <v>649</v>
      </c>
      <c r="GP9" s="402" t="s">
        <v>650</v>
      </c>
      <c r="GQ9" s="354" t="s">
        <v>518</v>
      </c>
      <c r="GR9" s="354"/>
      <c r="GS9" s="354"/>
      <c r="GT9" s="354"/>
      <c r="GU9" s="376"/>
      <c r="GV9" s="400" t="s">
        <v>525</v>
      </c>
      <c r="GW9" s="354"/>
      <c r="GX9" s="354"/>
      <c r="GY9" s="376"/>
      <c r="GZ9" s="410" t="str">
        <f>各项系数!$D$20</f>
        <v>ZA聚氯乙烯护套（一代）</v>
      </c>
      <c r="HA9" s="413"/>
      <c r="HB9" s="414"/>
      <c r="HC9" s="415" t="s">
        <v>651</v>
      </c>
      <c r="HD9" s="410" t="str">
        <f>各项系数!$D$20</f>
        <v>ZA聚氯乙烯护套（一代）</v>
      </c>
      <c r="HE9" s="413"/>
      <c r="HF9" s="414"/>
      <c r="HG9" s="415" t="s">
        <v>652</v>
      </c>
      <c r="HH9" s="410" t="str">
        <f>各项系数!$D$21</f>
        <v>ZA硅烷护套-低烟无卤</v>
      </c>
      <c r="HI9" s="413"/>
      <c r="HJ9" s="413"/>
      <c r="HK9" s="417" t="s">
        <v>651</v>
      </c>
      <c r="HL9" s="410" t="str">
        <f>各项系数!$D$21</f>
        <v>ZA硅烷护套-低烟无卤</v>
      </c>
      <c r="HM9" s="413"/>
      <c r="HN9" s="413"/>
      <c r="HO9" s="417" t="s">
        <v>652</v>
      </c>
      <c r="HP9" s="418" t="s">
        <v>653</v>
      </c>
      <c r="HQ9" s="418"/>
      <c r="HR9" s="418"/>
      <c r="HS9" s="418"/>
      <c r="HT9" s="418" t="s">
        <v>654</v>
      </c>
      <c r="HU9" s="418"/>
      <c r="HV9" s="418"/>
      <c r="HW9" s="418"/>
      <c r="HX9" s="422" t="s">
        <v>489</v>
      </c>
      <c r="HY9" s="425"/>
      <c r="HZ9" s="425"/>
      <c r="IA9" s="426" t="s">
        <v>651</v>
      </c>
      <c r="IB9" s="422" t="s">
        <v>489</v>
      </c>
      <c r="IC9" s="425"/>
      <c r="ID9" s="425"/>
      <c r="IE9" s="426" t="s">
        <v>652</v>
      </c>
      <c r="IF9" s="376"/>
      <c r="IG9" s="400" t="s">
        <v>655</v>
      </c>
      <c r="IH9" s="354"/>
      <c r="II9" s="354"/>
      <c r="IJ9" s="376"/>
      <c r="IK9" s="400"/>
      <c r="IL9" s="354"/>
      <c r="IM9" s="354"/>
      <c r="IN9" s="376"/>
      <c r="IO9" s="400" t="s">
        <v>645</v>
      </c>
      <c r="IP9" s="354"/>
      <c r="IQ9" s="354"/>
      <c r="IR9" s="376"/>
      <c r="IS9" s="400"/>
      <c r="IT9" s="354"/>
      <c r="IU9" s="354"/>
      <c r="IV9" s="376"/>
      <c r="IW9" s="439" t="s">
        <v>646</v>
      </c>
      <c r="IX9" s="439" t="s">
        <v>647</v>
      </c>
      <c r="IY9" s="439"/>
      <c r="IZ9" s="439"/>
      <c r="JA9" s="440" t="s">
        <v>656</v>
      </c>
      <c r="JB9" s="286" t="s">
        <v>500</v>
      </c>
      <c r="JC9" s="287"/>
      <c r="JD9" s="287"/>
      <c r="JE9" s="452"/>
      <c r="JF9" s="453" t="s">
        <v>498</v>
      </c>
      <c r="JG9" s="287"/>
      <c r="JH9" s="287"/>
      <c r="JI9" s="452"/>
      <c r="JJ9" s="454" t="s">
        <v>657</v>
      </c>
      <c r="JK9" s="455" t="s">
        <v>658</v>
      </c>
      <c r="JL9" s="287" t="s">
        <v>513</v>
      </c>
      <c r="JM9" s="287"/>
      <c r="JN9" s="287"/>
      <c r="JO9" s="452"/>
      <c r="JP9" s="453" t="s">
        <v>508</v>
      </c>
      <c r="JQ9" s="287"/>
      <c r="JR9" s="287"/>
      <c r="JS9" s="452"/>
      <c r="JT9" s="453" t="s">
        <v>514</v>
      </c>
      <c r="JU9" s="287"/>
      <c r="JV9" s="287"/>
      <c r="JW9" s="452"/>
      <c r="JX9" s="453" t="s">
        <v>512</v>
      </c>
      <c r="JY9" s="287"/>
      <c r="JZ9" s="287"/>
      <c r="KA9" s="290"/>
      <c r="KB9" s="286" t="s">
        <v>516</v>
      </c>
      <c r="KC9" s="287"/>
      <c r="KD9" s="287"/>
      <c r="KE9" s="290"/>
      <c r="KF9" s="465" t="s">
        <v>649</v>
      </c>
      <c r="KG9" s="466" t="s">
        <v>650</v>
      </c>
      <c r="KH9" s="286" t="s">
        <v>659</v>
      </c>
      <c r="KI9" s="287"/>
      <c r="KJ9" s="287"/>
      <c r="KK9" s="290"/>
      <c r="KL9" s="286" t="s">
        <v>660</v>
      </c>
      <c r="KM9" s="287"/>
      <c r="KN9" s="287"/>
      <c r="KO9" s="290"/>
      <c r="KP9" s="472" t="str">
        <f>各项系数!$D$20</f>
        <v>ZA聚氯乙烯护套（一代）</v>
      </c>
      <c r="KQ9" s="473"/>
      <c r="KR9" s="474"/>
      <c r="KS9" s="476" t="s">
        <v>651</v>
      </c>
      <c r="KT9" s="472" t="str">
        <f>各项系数!$D$20</f>
        <v>ZA聚氯乙烯护套（一代）</v>
      </c>
      <c r="KU9" s="473"/>
      <c r="KV9" s="474"/>
      <c r="KW9" s="476" t="s">
        <v>652</v>
      </c>
      <c r="KX9" s="472" t="str">
        <f>各项系数!$D$21</f>
        <v>ZA硅烷护套-低烟无卤</v>
      </c>
      <c r="KY9" s="473"/>
      <c r="KZ9" s="473"/>
      <c r="LA9" s="485" t="s">
        <v>651</v>
      </c>
      <c r="LB9" s="472" t="str">
        <f>各项系数!$D$21</f>
        <v>ZA硅烷护套-低烟无卤</v>
      </c>
      <c r="LC9" s="473"/>
      <c r="LD9" s="473"/>
      <c r="LE9" s="485" t="s">
        <v>652</v>
      </c>
      <c r="LF9" s="486" t="s">
        <v>661</v>
      </c>
      <c r="LG9" s="486"/>
      <c r="LH9" s="486"/>
      <c r="LI9" s="486"/>
      <c r="LJ9" s="486" t="s">
        <v>661</v>
      </c>
      <c r="LK9" s="486"/>
      <c r="LL9" s="486"/>
      <c r="LM9" s="486"/>
      <c r="LN9" s="488" t="str">
        <f>各项系数!D24</f>
        <v>低烟无卤护套料</v>
      </c>
      <c r="LO9" s="489"/>
      <c r="LP9" s="489"/>
      <c r="LQ9" s="493" t="s">
        <v>651</v>
      </c>
      <c r="LR9" s="488" t="str">
        <f>各项系数!D24</f>
        <v>低烟无卤护套料</v>
      </c>
      <c r="LS9" s="489"/>
      <c r="LT9" s="489"/>
      <c r="LU9" s="493" t="s">
        <v>652</v>
      </c>
      <c r="LV9" s="494" t="s">
        <v>630</v>
      </c>
      <c r="LW9" s="495"/>
      <c r="LX9" s="495"/>
      <c r="LY9" s="495"/>
      <c r="LZ9" s="505"/>
      <c r="MA9" s="495"/>
      <c r="MB9" s="495"/>
      <c r="MC9" s="506" t="s">
        <v>662</v>
      </c>
      <c r="MD9" s="507"/>
      <c r="ME9" s="507"/>
      <c r="MF9" s="507"/>
      <c r="MG9" s="523"/>
      <c r="MH9" s="523"/>
      <c r="MI9" s="523"/>
      <c r="MJ9" s="57" t="s">
        <v>663</v>
      </c>
      <c r="MK9" s="57" t="s">
        <v>664</v>
      </c>
      <c r="ML9" s="300" t="s">
        <v>665</v>
      </c>
      <c r="MM9" s="300" t="s">
        <v>666</v>
      </c>
      <c r="MN9" s="134" t="s">
        <v>667</v>
      </c>
      <c r="MO9" s="134" t="s">
        <v>668</v>
      </c>
      <c r="MP9" s="134" t="s">
        <v>669</v>
      </c>
      <c r="MQ9" s="134" t="s">
        <v>670</v>
      </c>
      <c r="MR9" s="528" t="s">
        <v>671</v>
      </c>
      <c r="MS9" s="134" t="s">
        <v>672</v>
      </c>
      <c r="MT9" s="455" t="s">
        <v>673</v>
      </c>
      <c r="MU9" s="134" t="s">
        <v>674</v>
      </c>
      <c r="MV9" s="134" t="s">
        <v>675</v>
      </c>
      <c r="MW9" s="455" t="s">
        <v>676</v>
      </c>
      <c r="MX9" s="134" t="s">
        <v>677</v>
      </c>
      <c r="MY9" s="134" t="s">
        <v>678</v>
      </c>
      <c r="MZ9" s="533" t="s">
        <v>679</v>
      </c>
      <c r="NA9" s="533" t="s">
        <v>668</v>
      </c>
      <c r="NB9" s="134" t="s">
        <v>680</v>
      </c>
      <c r="NC9" s="134" t="s">
        <v>681</v>
      </c>
      <c r="ND9" s="528" t="s">
        <v>671</v>
      </c>
      <c r="NE9" s="134" t="s">
        <v>672</v>
      </c>
      <c r="NF9" s="455" t="s">
        <v>673</v>
      </c>
      <c r="NG9" s="134" t="s">
        <v>674</v>
      </c>
      <c r="NH9" s="134" t="s">
        <v>675</v>
      </c>
      <c r="NI9" s="455" t="s">
        <v>676</v>
      </c>
      <c r="NK9" s="149" t="s">
        <v>682</v>
      </c>
      <c r="NL9" s="149"/>
      <c r="NM9" s="149" t="s">
        <v>683</v>
      </c>
      <c r="NN9" s="149"/>
      <c r="NO9" s="149" t="s">
        <v>473</v>
      </c>
      <c r="NP9" s="149"/>
      <c r="NQ9" s="149" t="s">
        <v>684</v>
      </c>
      <c r="NR9" s="149"/>
      <c r="NS9" s="499"/>
      <c r="NT9" s="499"/>
      <c r="NU9" s="499"/>
      <c r="NV9" s="499"/>
    </row>
    <row r="10" ht="66.95" customHeight="1" spans="1:398">
      <c r="A10" s="54" t="s">
        <v>685</v>
      </c>
      <c r="B10" s="55" t="s">
        <v>686</v>
      </c>
      <c r="C10" s="56" t="s">
        <v>687</v>
      </c>
      <c r="D10" s="44"/>
      <c r="E10" s="57" t="s">
        <v>688</v>
      </c>
      <c r="F10" s="58"/>
      <c r="G10" s="59"/>
      <c r="H10" s="59"/>
      <c r="I10" s="110"/>
      <c r="J10" s="110"/>
      <c r="K10" s="110"/>
      <c r="L10" s="111" t="s">
        <v>689</v>
      </c>
      <c r="M10" s="112" t="s">
        <v>690</v>
      </c>
      <c r="N10" s="112" t="s">
        <v>690</v>
      </c>
      <c r="O10" s="113" t="s">
        <v>690</v>
      </c>
      <c r="P10" s="114" t="s">
        <v>691</v>
      </c>
      <c r="Q10" s="149" t="s">
        <v>690</v>
      </c>
      <c r="R10" s="150" t="s">
        <v>692</v>
      </c>
      <c r="S10" s="151" t="s">
        <v>693</v>
      </c>
      <c r="T10" s="152" t="s">
        <v>690</v>
      </c>
      <c r="U10" s="153" t="s">
        <v>694</v>
      </c>
      <c r="V10" s="154" t="s">
        <v>691</v>
      </c>
      <c r="W10" s="153"/>
      <c r="X10" s="113" t="s">
        <v>635</v>
      </c>
      <c r="Y10" s="114" t="s">
        <v>694</v>
      </c>
      <c r="Z10" s="114" t="s">
        <v>691</v>
      </c>
      <c r="AA10" s="207" t="s">
        <v>695</v>
      </c>
      <c r="AB10" s="208" t="s">
        <v>696</v>
      </c>
      <c r="AC10" s="208" t="s">
        <v>697</v>
      </c>
      <c r="AD10" s="209" t="s">
        <v>698</v>
      </c>
      <c r="AE10" s="209" t="s">
        <v>699</v>
      </c>
      <c r="AF10" s="210" t="s">
        <v>700</v>
      </c>
      <c r="AG10" s="243" t="s">
        <v>701</v>
      </c>
      <c r="AH10" s="243" t="s">
        <v>697</v>
      </c>
      <c r="AI10" s="244" t="s">
        <v>698</v>
      </c>
      <c r="AJ10" s="244" t="s">
        <v>699</v>
      </c>
      <c r="AK10" s="245" t="s">
        <v>702</v>
      </c>
      <c r="AL10" s="57" t="s">
        <v>703</v>
      </c>
      <c r="AM10" s="246" t="s">
        <v>704</v>
      </c>
      <c r="AN10" s="247" t="s">
        <v>705</v>
      </c>
      <c r="AO10" s="113" t="s">
        <v>706</v>
      </c>
      <c r="AP10" s="113" t="s">
        <v>707</v>
      </c>
      <c r="AQ10" s="113" t="s">
        <v>708</v>
      </c>
      <c r="AR10" s="113" t="s">
        <v>709</v>
      </c>
      <c r="AS10" s="113" t="s">
        <v>710</v>
      </c>
      <c r="AT10" s="254" t="s">
        <v>706</v>
      </c>
      <c r="AU10" s="254" t="s">
        <v>707</v>
      </c>
      <c r="AV10" s="254" t="s">
        <v>708</v>
      </c>
      <c r="AW10" s="254" t="s">
        <v>709</v>
      </c>
      <c r="AX10" s="254" t="s">
        <v>710</v>
      </c>
      <c r="AY10" s="113" t="s">
        <v>711</v>
      </c>
      <c r="AZ10" s="113" t="s">
        <v>712</v>
      </c>
      <c r="BA10" s="113" t="s">
        <v>713</v>
      </c>
      <c r="BB10" s="113" t="s">
        <v>714</v>
      </c>
      <c r="BC10" s="113" t="s">
        <v>715</v>
      </c>
      <c r="BD10" s="254" t="s">
        <v>711</v>
      </c>
      <c r="BE10" s="254" t="s">
        <v>712</v>
      </c>
      <c r="BF10" s="254" t="s">
        <v>713</v>
      </c>
      <c r="BG10" s="254" t="s">
        <v>714</v>
      </c>
      <c r="BH10" s="254" t="s">
        <v>715</v>
      </c>
      <c r="BI10" s="270" t="s">
        <v>716</v>
      </c>
      <c r="BJ10" s="270" t="s">
        <v>717</v>
      </c>
      <c r="BK10" s="44"/>
      <c r="BL10" s="113" t="s">
        <v>706</v>
      </c>
      <c r="BM10" s="113" t="s">
        <v>707</v>
      </c>
      <c r="BN10" s="113" t="s">
        <v>708</v>
      </c>
      <c r="BO10" s="113" t="s">
        <v>709</v>
      </c>
      <c r="BP10" s="113" t="s">
        <v>710</v>
      </c>
      <c r="BQ10" s="254" t="s">
        <v>706</v>
      </c>
      <c r="BR10" s="254" t="s">
        <v>707</v>
      </c>
      <c r="BS10" s="254" t="s">
        <v>708</v>
      </c>
      <c r="BT10" s="254" t="s">
        <v>709</v>
      </c>
      <c r="BU10" s="254" t="s">
        <v>710</v>
      </c>
      <c r="BV10" s="113" t="s">
        <v>711</v>
      </c>
      <c r="BW10" s="113" t="s">
        <v>712</v>
      </c>
      <c r="BX10" s="113" t="s">
        <v>713</v>
      </c>
      <c r="BY10" s="113" t="s">
        <v>718</v>
      </c>
      <c r="BZ10" s="113" t="s">
        <v>715</v>
      </c>
      <c r="CA10" s="254" t="s">
        <v>711</v>
      </c>
      <c r="CB10" s="254" t="s">
        <v>712</v>
      </c>
      <c r="CC10" s="254" t="s">
        <v>713</v>
      </c>
      <c r="CD10" s="254" t="s">
        <v>718</v>
      </c>
      <c r="CE10" s="254" t="s">
        <v>715</v>
      </c>
      <c r="CF10" s="270" t="s">
        <v>716</v>
      </c>
      <c r="CG10" s="270" t="s">
        <v>717</v>
      </c>
      <c r="CH10" s="113" t="s">
        <v>719</v>
      </c>
      <c r="CI10" s="113" t="s">
        <v>706</v>
      </c>
      <c r="CJ10" s="113" t="s">
        <v>707</v>
      </c>
      <c r="CK10" s="113" t="s">
        <v>708</v>
      </c>
      <c r="CL10" s="113" t="s">
        <v>709</v>
      </c>
      <c r="CM10" s="113" t="s">
        <v>710</v>
      </c>
      <c r="CN10" s="254" t="s">
        <v>706</v>
      </c>
      <c r="CO10" s="254" t="s">
        <v>707</v>
      </c>
      <c r="CP10" s="254" t="s">
        <v>708</v>
      </c>
      <c r="CQ10" s="254" t="s">
        <v>709</v>
      </c>
      <c r="CR10" s="254" t="s">
        <v>710</v>
      </c>
      <c r="CS10" s="113" t="s">
        <v>711</v>
      </c>
      <c r="CT10" s="113" t="s">
        <v>712</v>
      </c>
      <c r="CU10" s="113" t="s">
        <v>713</v>
      </c>
      <c r="CV10" s="113" t="s">
        <v>718</v>
      </c>
      <c r="CW10" s="113" t="s">
        <v>715</v>
      </c>
      <c r="CX10" s="254" t="s">
        <v>711</v>
      </c>
      <c r="CY10" s="254" t="s">
        <v>712</v>
      </c>
      <c r="CZ10" s="254" t="s">
        <v>713</v>
      </c>
      <c r="DA10" s="254" t="s">
        <v>718</v>
      </c>
      <c r="DB10" s="254" t="s">
        <v>715</v>
      </c>
      <c r="DC10" s="270" t="s">
        <v>716</v>
      </c>
      <c r="DD10" s="270" t="s">
        <v>717</v>
      </c>
      <c r="DE10" s="113" t="s">
        <v>720</v>
      </c>
      <c r="DF10" s="90" t="s">
        <v>632</v>
      </c>
      <c r="DG10" s="113" t="s">
        <v>706</v>
      </c>
      <c r="DH10" s="113" t="s">
        <v>707</v>
      </c>
      <c r="DI10" s="113" t="s">
        <v>708</v>
      </c>
      <c r="DJ10" s="113" t="s">
        <v>709</v>
      </c>
      <c r="DK10" s="113" t="s">
        <v>710</v>
      </c>
      <c r="DL10" s="254" t="s">
        <v>706</v>
      </c>
      <c r="DM10" s="254" t="s">
        <v>707</v>
      </c>
      <c r="DN10" s="254" t="s">
        <v>708</v>
      </c>
      <c r="DO10" s="254" t="s">
        <v>709</v>
      </c>
      <c r="DP10" s="254" t="s">
        <v>710</v>
      </c>
      <c r="DQ10" s="113" t="s">
        <v>711</v>
      </c>
      <c r="DR10" s="113" t="s">
        <v>712</v>
      </c>
      <c r="DS10" s="113" t="s">
        <v>713</v>
      </c>
      <c r="DT10" s="113" t="s">
        <v>718</v>
      </c>
      <c r="DU10" s="113" t="s">
        <v>715</v>
      </c>
      <c r="DV10" s="254" t="s">
        <v>711</v>
      </c>
      <c r="DW10" s="254" t="s">
        <v>712</v>
      </c>
      <c r="DX10" s="254" t="s">
        <v>713</v>
      </c>
      <c r="DY10" s="254" t="s">
        <v>718</v>
      </c>
      <c r="DZ10" s="254" t="s">
        <v>715</v>
      </c>
      <c r="EA10" s="270" t="s">
        <v>716</v>
      </c>
      <c r="EB10" s="270" t="s">
        <v>717</v>
      </c>
      <c r="EC10" s="300" t="s">
        <v>721</v>
      </c>
      <c r="ED10" s="300" t="s">
        <v>722</v>
      </c>
      <c r="EE10" s="246" t="s">
        <v>13</v>
      </c>
      <c r="EF10" s="246" t="s">
        <v>723</v>
      </c>
      <c r="EG10" s="246" t="s">
        <v>724</v>
      </c>
      <c r="EH10" s="246" t="s">
        <v>725</v>
      </c>
      <c r="EI10" s="246" t="s">
        <v>726</v>
      </c>
      <c r="EJ10" s="246" t="s">
        <v>727</v>
      </c>
      <c r="EK10" s="246" t="s">
        <v>728</v>
      </c>
      <c r="EL10" s="246" t="s">
        <v>15</v>
      </c>
      <c r="EM10" s="246" t="s">
        <v>729</v>
      </c>
      <c r="EN10" s="246" t="s">
        <v>730</v>
      </c>
      <c r="EO10" s="246" t="s">
        <v>731</v>
      </c>
      <c r="EP10" s="246" t="s">
        <v>732</v>
      </c>
      <c r="EQ10" s="246" t="s">
        <v>733</v>
      </c>
      <c r="ER10" s="246" t="s">
        <v>734</v>
      </c>
      <c r="ES10" s="246" t="s">
        <v>735</v>
      </c>
      <c r="ET10" s="246" t="s">
        <v>736</v>
      </c>
      <c r="EU10" s="246"/>
      <c r="EV10" s="246"/>
      <c r="EW10" s="246"/>
      <c r="EX10" s="246"/>
      <c r="EY10" s="113" t="s">
        <v>737</v>
      </c>
      <c r="EZ10" s="113" t="s">
        <v>738</v>
      </c>
      <c r="FA10" s="113" t="s">
        <v>739</v>
      </c>
      <c r="FB10" s="113" t="s">
        <v>740</v>
      </c>
      <c r="FC10" s="320"/>
      <c r="FD10" s="321" t="s">
        <v>741</v>
      </c>
      <c r="FE10" s="335" t="s">
        <v>742</v>
      </c>
      <c r="FF10" s="335" t="s">
        <v>743</v>
      </c>
      <c r="FG10" s="336" t="s">
        <v>744</v>
      </c>
      <c r="FH10" s="321" t="s">
        <v>745</v>
      </c>
      <c r="FI10" s="335" t="s">
        <v>738</v>
      </c>
      <c r="FJ10" s="335" t="s">
        <v>746</v>
      </c>
      <c r="FK10" s="336" t="s">
        <v>747</v>
      </c>
      <c r="FL10" s="337"/>
      <c r="FM10" s="355"/>
      <c r="FN10" s="355"/>
      <c r="FO10" s="355"/>
      <c r="FP10" s="356"/>
      <c r="FQ10" s="356"/>
      <c r="FR10" s="357" t="s">
        <v>748</v>
      </c>
      <c r="FS10" s="358" t="s">
        <v>749</v>
      </c>
      <c r="FT10" s="359" t="s">
        <v>750</v>
      </c>
      <c r="FU10" s="378" t="s">
        <v>751</v>
      </c>
      <c r="FV10" s="378" t="s">
        <v>738</v>
      </c>
      <c r="FW10" s="378" t="s">
        <v>752</v>
      </c>
      <c r="FX10" s="378" t="s">
        <v>753</v>
      </c>
      <c r="FY10" s="379" t="s">
        <v>745</v>
      </c>
      <c r="FZ10" s="380" t="s">
        <v>738</v>
      </c>
      <c r="GA10" s="380" t="s">
        <v>754</v>
      </c>
      <c r="GB10" s="381" t="s">
        <v>755</v>
      </c>
      <c r="GC10" s="379" t="s">
        <v>756</v>
      </c>
      <c r="GD10" s="380" t="s">
        <v>738</v>
      </c>
      <c r="GE10" s="380" t="s">
        <v>757</v>
      </c>
      <c r="GF10" s="381" t="s">
        <v>758</v>
      </c>
      <c r="GG10" s="379" t="s">
        <v>756</v>
      </c>
      <c r="GH10" s="380" t="s">
        <v>738</v>
      </c>
      <c r="GI10" s="380" t="s">
        <v>759</v>
      </c>
      <c r="GJ10" s="381" t="s">
        <v>760</v>
      </c>
      <c r="GK10" s="379" t="s">
        <v>756</v>
      </c>
      <c r="GL10" s="380" t="s">
        <v>738</v>
      </c>
      <c r="GM10" s="380" t="s">
        <v>761</v>
      </c>
      <c r="GN10" s="381" t="s">
        <v>762</v>
      </c>
      <c r="GO10" s="403"/>
      <c r="GP10" s="404"/>
      <c r="GQ10" s="378" t="s">
        <v>756</v>
      </c>
      <c r="GR10" s="378" t="s">
        <v>738</v>
      </c>
      <c r="GS10" s="378" t="s">
        <v>763</v>
      </c>
      <c r="GT10" s="378" t="s">
        <v>764</v>
      </c>
      <c r="GU10" s="378" t="s">
        <v>765</v>
      </c>
      <c r="GV10" s="378" t="s">
        <v>756</v>
      </c>
      <c r="GW10" s="378" t="s">
        <v>738</v>
      </c>
      <c r="GX10" s="378" t="s">
        <v>766</v>
      </c>
      <c r="GY10" s="378" t="s">
        <v>767</v>
      </c>
      <c r="GZ10" s="411" t="s">
        <v>768</v>
      </c>
      <c r="HA10" s="411" t="s">
        <v>738</v>
      </c>
      <c r="HB10" s="411" t="s">
        <v>769</v>
      </c>
      <c r="HC10" s="411" t="s">
        <v>770</v>
      </c>
      <c r="HD10" s="411" t="s">
        <v>756</v>
      </c>
      <c r="HE10" s="411" t="s">
        <v>738</v>
      </c>
      <c r="HF10" s="411" t="s">
        <v>769</v>
      </c>
      <c r="HG10" s="411" t="s">
        <v>770</v>
      </c>
      <c r="HH10" s="411" t="s">
        <v>768</v>
      </c>
      <c r="HI10" s="411" t="s">
        <v>738</v>
      </c>
      <c r="HJ10" s="411" t="s">
        <v>769</v>
      </c>
      <c r="HK10" s="411" t="s">
        <v>770</v>
      </c>
      <c r="HL10" s="419" t="s">
        <v>771</v>
      </c>
      <c r="HM10" s="411" t="s">
        <v>738</v>
      </c>
      <c r="HN10" s="411" t="s">
        <v>769</v>
      </c>
      <c r="HO10" s="411" t="s">
        <v>770</v>
      </c>
      <c r="HP10" s="378" t="s">
        <v>768</v>
      </c>
      <c r="HQ10" s="378" t="s">
        <v>738</v>
      </c>
      <c r="HR10" s="378" t="s">
        <v>769</v>
      </c>
      <c r="HS10" s="378" t="s">
        <v>770</v>
      </c>
      <c r="HT10" s="378" t="s">
        <v>756</v>
      </c>
      <c r="HU10" s="378" t="s">
        <v>738</v>
      </c>
      <c r="HV10" s="378" t="s">
        <v>769</v>
      </c>
      <c r="HW10" s="378" t="s">
        <v>770</v>
      </c>
      <c r="HX10" s="423" t="s">
        <v>768</v>
      </c>
      <c r="HY10" s="423" t="s">
        <v>738</v>
      </c>
      <c r="HZ10" s="423" t="s">
        <v>769</v>
      </c>
      <c r="IA10" s="423" t="s">
        <v>770</v>
      </c>
      <c r="IB10" s="427" t="s">
        <v>771</v>
      </c>
      <c r="IC10" s="423" t="s">
        <v>738</v>
      </c>
      <c r="ID10" s="423" t="s">
        <v>769</v>
      </c>
      <c r="IE10" s="423" t="s">
        <v>770</v>
      </c>
      <c r="IF10" s="428"/>
      <c r="IG10" s="379" t="s">
        <v>756</v>
      </c>
      <c r="IH10" s="380" t="s">
        <v>738</v>
      </c>
      <c r="II10" s="380" t="s">
        <v>772</v>
      </c>
      <c r="IJ10" s="380" t="s">
        <v>773</v>
      </c>
      <c r="IK10" s="436" t="s">
        <v>774</v>
      </c>
      <c r="IL10" s="436" t="s">
        <v>775</v>
      </c>
      <c r="IM10" s="436" t="s">
        <v>776</v>
      </c>
      <c r="IN10" s="436" t="s">
        <v>777</v>
      </c>
      <c r="IO10" s="378" t="s">
        <v>745</v>
      </c>
      <c r="IP10" s="378" t="s">
        <v>738</v>
      </c>
      <c r="IQ10" s="378" t="s">
        <v>746</v>
      </c>
      <c r="IR10" s="378" t="s">
        <v>747</v>
      </c>
      <c r="IS10" s="378"/>
      <c r="IT10" s="378"/>
      <c r="IU10" s="378"/>
      <c r="IV10" s="378"/>
      <c r="IW10" s="441"/>
      <c r="IX10" s="441"/>
      <c r="IY10" s="436" t="s">
        <v>778</v>
      </c>
      <c r="IZ10" s="358" t="s">
        <v>749</v>
      </c>
      <c r="JA10" s="442"/>
      <c r="JB10" s="443" t="s">
        <v>751</v>
      </c>
      <c r="JC10" s="444" t="s">
        <v>738</v>
      </c>
      <c r="JD10" s="444" t="s">
        <v>779</v>
      </c>
      <c r="JE10" s="456" t="s">
        <v>780</v>
      </c>
      <c r="JF10" s="443" t="s">
        <v>751</v>
      </c>
      <c r="JG10" s="444" t="s">
        <v>738</v>
      </c>
      <c r="JH10" s="444" t="s">
        <v>781</v>
      </c>
      <c r="JI10" s="457" t="s">
        <v>782</v>
      </c>
      <c r="JJ10" s="458"/>
      <c r="JK10" s="459"/>
      <c r="JL10" s="443" t="s">
        <v>745</v>
      </c>
      <c r="JM10" s="444" t="s">
        <v>738</v>
      </c>
      <c r="JN10" s="444" t="s">
        <v>783</v>
      </c>
      <c r="JO10" s="456" t="s">
        <v>784</v>
      </c>
      <c r="JP10" s="443" t="s">
        <v>745</v>
      </c>
      <c r="JQ10" s="444" t="s">
        <v>738</v>
      </c>
      <c r="JR10" s="444" t="s">
        <v>754</v>
      </c>
      <c r="JS10" s="456" t="s">
        <v>755</v>
      </c>
      <c r="JT10" s="443" t="s">
        <v>756</v>
      </c>
      <c r="JU10" s="444" t="s">
        <v>738</v>
      </c>
      <c r="JV10" s="444" t="s">
        <v>757</v>
      </c>
      <c r="JW10" s="456" t="s">
        <v>758</v>
      </c>
      <c r="JX10" s="443" t="s">
        <v>756</v>
      </c>
      <c r="JY10" s="444" t="s">
        <v>738</v>
      </c>
      <c r="JZ10" s="444" t="s">
        <v>759</v>
      </c>
      <c r="KA10" s="456" t="s">
        <v>760</v>
      </c>
      <c r="KB10" s="443" t="s">
        <v>756</v>
      </c>
      <c r="KC10" s="444" t="s">
        <v>738</v>
      </c>
      <c r="KD10" s="444" t="s">
        <v>761</v>
      </c>
      <c r="KE10" s="456" t="s">
        <v>762</v>
      </c>
      <c r="KF10" s="467"/>
      <c r="KG10" s="459"/>
      <c r="KH10" s="113" t="s">
        <v>756</v>
      </c>
      <c r="KI10" s="113" t="s">
        <v>738</v>
      </c>
      <c r="KJ10" s="113" t="s">
        <v>763</v>
      </c>
      <c r="KK10" s="113" t="s">
        <v>765</v>
      </c>
      <c r="KL10" s="113" t="s">
        <v>756</v>
      </c>
      <c r="KM10" s="113" t="s">
        <v>738</v>
      </c>
      <c r="KN10" s="113" t="s">
        <v>766</v>
      </c>
      <c r="KO10" s="113" t="s">
        <v>767</v>
      </c>
      <c r="KP10" s="475" t="s">
        <v>785</v>
      </c>
      <c r="KQ10" s="475" t="s">
        <v>738</v>
      </c>
      <c r="KR10" s="475" t="s">
        <v>769</v>
      </c>
      <c r="KS10" s="475" t="s">
        <v>770</v>
      </c>
      <c r="KT10" s="477" t="s">
        <v>756</v>
      </c>
      <c r="KU10" s="477" t="s">
        <v>738</v>
      </c>
      <c r="KV10" s="477" t="s">
        <v>769</v>
      </c>
      <c r="KW10" s="477" t="s">
        <v>770</v>
      </c>
      <c r="KX10" s="478" t="s">
        <v>786</v>
      </c>
      <c r="KY10" s="478" t="s">
        <v>738</v>
      </c>
      <c r="KZ10" s="478" t="s">
        <v>769</v>
      </c>
      <c r="LA10" s="478" t="s">
        <v>770</v>
      </c>
      <c r="LB10" s="487" t="s">
        <v>787</v>
      </c>
      <c r="LC10" s="487" t="s">
        <v>738</v>
      </c>
      <c r="LD10" s="487" t="s">
        <v>769</v>
      </c>
      <c r="LE10" s="487" t="s">
        <v>770</v>
      </c>
      <c r="LF10" s="113" t="s">
        <v>785</v>
      </c>
      <c r="LG10" s="113" t="s">
        <v>738</v>
      </c>
      <c r="LH10" s="113" t="s">
        <v>769</v>
      </c>
      <c r="LI10" s="113" t="s">
        <v>770</v>
      </c>
      <c r="LJ10" s="490" t="s">
        <v>756</v>
      </c>
      <c r="LK10" s="490" t="s">
        <v>738</v>
      </c>
      <c r="LL10" s="490" t="s">
        <v>769</v>
      </c>
      <c r="LM10" s="490" t="s">
        <v>770</v>
      </c>
      <c r="LN10" s="491" t="s">
        <v>786</v>
      </c>
      <c r="LO10" s="491" t="s">
        <v>738</v>
      </c>
      <c r="LP10" s="491" t="s">
        <v>769</v>
      </c>
      <c r="LQ10" s="491" t="s">
        <v>770</v>
      </c>
      <c r="LR10" s="496" t="s">
        <v>787</v>
      </c>
      <c r="LS10" s="496" t="s">
        <v>738</v>
      </c>
      <c r="LT10" s="496" t="s">
        <v>769</v>
      </c>
      <c r="LU10" s="496" t="s">
        <v>770</v>
      </c>
      <c r="LV10" s="497" t="s">
        <v>788</v>
      </c>
      <c r="LW10" s="497" t="s">
        <v>789</v>
      </c>
      <c r="LX10" s="497" t="s">
        <v>790</v>
      </c>
      <c r="LY10" s="508" t="s">
        <v>791</v>
      </c>
      <c r="LZ10" s="509" t="s">
        <v>792</v>
      </c>
      <c r="MA10" s="510" t="s">
        <v>793</v>
      </c>
      <c r="MB10" s="510" t="s">
        <v>794</v>
      </c>
      <c r="MC10" s="511" t="s">
        <v>795</v>
      </c>
      <c r="MD10" s="511" t="s">
        <v>796</v>
      </c>
      <c r="ME10" s="511" t="s">
        <v>797</v>
      </c>
      <c r="MF10" s="511" t="s">
        <v>798</v>
      </c>
      <c r="MG10" s="509" t="s">
        <v>792</v>
      </c>
      <c r="MH10" s="510" t="s">
        <v>793</v>
      </c>
      <c r="MI10" s="510" t="s">
        <v>794</v>
      </c>
      <c r="MJ10" s="524"/>
      <c r="MK10" s="524"/>
      <c r="ML10" s="525"/>
      <c r="MM10" s="525"/>
      <c r="MN10" s="467"/>
      <c r="MO10" s="467"/>
      <c r="MP10" s="467"/>
      <c r="MQ10" s="467"/>
      <c r="MR10" s="529"/>
      <c r="MS10" s="467"/>
      <c r="MT10" s="459"/>
      <c r="MU10" s="467"/>
      <c r="MV10" s="467"/>
      <c r="MW10" s="459"/>
      <c r="MX10" s="467"/>
      <c r="MY10" s="467"/>
      <c r="MZ10" s="459"/>
      <c r="NA10" s="459"/>
      <c r="NB10" s="467"/>
      <c r="NC10" s="467"/>
      <c r="ND10" s="529"/>
      <c r="NE10" s="467"/>
      <c r="NF10" s="459"/>
      <c r="NG10" s="467"/>
      <c r="NH10" s="467"/>
      <c r="NI10" s="459"/>
      <c r="NK10" s="149" t="s">
        <v>799</v>
      </c>
      <c r="NL10" s="535" t="s">
        <v>800</v>
      </c>
      <c r="NM10" s="149" t="s">
        <v>799</v>
      </c>
      <c r="NN10" s="535" t="s">
        <v>800</v>
      </c>
      <c r="NO10" s="149" t="s">
        <v>799</v>
      </c>
      <c r="NP10" s="535" t="s">
        <v>800</v>
      </c>
      <c r="NQ10" s="149" t="s">
        <v>799</v>
      </c>
      <c r="NR10" s="535" t="s">
        <v>800</v>
      </c>
      <c r="NS10" s="149" t="s">
        <v>799</v>
      </c>
      <c r="NT10" s="149" t="s">
        <v>799</v>
      </c>
      <c r="NU10" s="149" t="s">
        <v>799</v>
      </c>
      <c r="NV10" s="149" t="s">
        <v>799</v>
      </c>
      <c r="NW10" s="543" t="s">
        <v>801</v>
      </c>
      <c r="NX10" t="s">
        <v>802</v>
      </c>
      <c r="NZ10" t="s">
        <v>803</v>
      </c>
      <c r="OB10" s="544" t="s">
        <v>804</v>
      </c>
      <c r="OC10" s="544" t="s">
        <v>805</v>
      </c>
      <c r="OD10" s="544" t="s">
        <v>806</v>
      </c>
      <c r="OE10" s="544" t="s">
        <v>807</v>
      </c>
      <c r="OF10" s="544" t="s">
        <v>808</v>
      </c>
      <c r="OG10" s="544" t="s">
        <v>809</v>
      </c>
      <c r="OH10" s="544" t="s">
        <v>810</v>
      </c>
    </row>
    <row r="11" ht="45" customHeight="1" spans="1:398">
      <c r="A11" s="60"/>
      <c r="B11" s="61"/>
      <c r="C11" s="62"/>
      <c r="D11" s="63"/>
      <c r="E11" s="64"/>
      <c r="F11" s="65"/>
      <c r="G11" s="64"/>
      <c r="H11" s="64"/>
      <c r="I11" s="64"/>
      <c r="J11" s="64"/>
      <c r="K11" s="64"/>
      <c r="L11" s="115"/>
      <c r="M11" s="116"/>
      <c r="N11" s="116"/>
      <c r="O11" s="64"/>
      <c r="P11" s="117"/>
      <c r="Q11" s="155"/>
      <c r="R11" s="156"/>
      <c r="S11" s="157"/>
      <c r="T11" s="155"/>
      <c r="U11" s="64"/>
      <c r="V11" s="156"/>
      <c r="W11" s="64"/>
      <c r="X11" s="158"/>
      <c r="Y11" s="211"/>
      <c r="Z11" s="212"/>
      <c r="AA11" s="213"/>
      <c r="AB11" s="214"/>
      <c r="AC11" s="214"/>
      <c r="AD11" s="214"/>
      <c r="AE11" s="214"/>
      <c r="AF11" s="65"/>
      <c r="AG11" s="64"/>
      <c r="AH11" s="64"/>
      <c r="AI11" s="64"/>
      <c r="AJ11" s="64"/>
      <c r="AK11" s="64"/>
      <c r="AL11" s="64"/>
      <c r="AM11" s="248"/>
      <c r="AN11" s="249"/>
      <c r="AO11" s="255" t="s">
        <v>811</v>
      </c>
      <c r="AP11" s="256" t="s">
        <v>812</v>
      </c>
      <c r="AQ11" s="255" t="s">
        <v>813</v>
      </c>
      <c r="AR11" s="256" t="s">
        <v>814</v>
      </c>
      <c r="AS11" s="256" t="s">
        <v>815</v>
      </c>
      <c r="AT11" s="257" t="s">
        <v>816</v>
      </c>
      <c r="AU11" s="258" t="s">
        <v>817</v>
      </c>
      <c r="AV11" s="257" t="s">
        <v>818</v>
      </c>
      <c r="AW11" s="258" t="s">
        <v>819</v>
      </c>
      <c r="AX11" s="258" t="s">
        <v>820</v>
      </c>
      <c r="AY11" s="255" t="s">
        <v>821</v>
      </c>
      <c r="AZ11" s="256" t="s">
        <v>822</v>
      </c>
      <c r="BA11" s="255" t="s">
        <v>823</v>
      </c>
      <c r="BB11" s="256" t="s">
        <v>824</v>
      </c>
      <c r="BC11" s="256" t="s">
        <v>825</v>
      </c>
      <c r="BD11" s="257" t="s">
        <v>826</v>
      </c>
      <c r="BE11" s="258" t="s">
        <v>827</v>
      </c>
      <c r="BF11" s="257" t="s">
        <v>828</v>
      </c>
      <c r="BG11" s="258" t="s">
        <v>829</v>
      </c>
      <c r="BH11" s="258" t="s">
        <v>830</v>
      </c>
      <c r="BI11" s="271"/>
      <c r="BJ11" s="271"/>
      <c r="BK11" s="63"/>
      <c r="BL11" s="64" t="s">
        <v>831</v>
      </c>
      <c r="BM11" s="280" t="s">
        <v>832</v>
      </c>
      <c r="BN11" s="64" t="s">
        <v>833</v>
      </c>
      <c r="BO11" s="280" t="s">
        <v>834</v>
      </c>
      <c r="BP11" s="280" t="s">
        <v>835</v>
      </c>
      <c r="BQ11" s="257" t="s">
        <v>836</v>
      </c>
      <c r="BR11" s="258" t="s">
        <v>837</v>
      </c>
      <c r="BS11" s="257" t="s">
        <v>838</v>
      </c>
      <c r="BT11" s="258" t="s">
        <v>839</v>
      </c>
      <c r="BU11" s="258" t="s">
        <v>840</v>
      </c>
      <c r="BV11" s="281" t="s">
        <v>841</v>
      </c>
      <c r="BW11" s="281" t="s">
        <v>842</v>
      </c>
      <c r="BX11" s="281" t="s">
        <v>843</v>
      </c>
      <c r="BY11" s="281" t="s">
        <v>844</v>
      </c>
      <c r="BZ11" s="281" t="s">
        <v>845</v>
      </c>
      <c r="CA11" s="257" t="s">
        <v>846</v>
      </c>
      <c r="CB11" s="258" t="s">
        <v>847</v>
      </c>
      <c r="CC11" s="257" t="s">
        <v>848</v>
      </c>
      <c r="CD11" s="258" t="s">
        <v>849</v>
      </c>
      <c r="CE11" s="258" t="s">
        <v>850</v>
      </c>
      <c r="CF11" s="271"/>
      <c r="CG11" s="271"/>
      <c r="CH11" s="64"/>
      <c r="CI11" s="64" t="s">
        <v>851</v>
      </c>
      <c r="CJ11" s="64" t="s">
        <v>852</v>
      </c>
      <c r="CK11" s="64" t="s">
        <v>853</v>
      </c>
      <c r="CL11" s="64" t="s">
        <v>854</v>
      </c>
      <c r="CM11" s="64" t="s">
        <v>855</v>
      </c>
      <c r="CN11" s="257" t="s">
        <v>856</v>
      </c>
      <c r="CO11" s="258" t="s">
        <v>857</v>
      </c>
      <c r="CP11" s="257" t="s">
        <v>858</v>
      </c>
      <c r="CQ11" s="258" t="s">
        <v>859</v>
      </c>
      <c r="CR11" s="258" t="s">
        <v>860</v>
      </c>
      <c r="CS11" s="281" t="s">
        <v>861</v>
      </c>
      <c r="CT11" s="281" t="s">
        <v>862</v>
      </c>
      <c r="CU11" s="281" t="s">
        <v>863</v>
      </c>
      <c r="CV11" s="281" t="s">
        <v>864</v>
      </c>
      <c r="CW11" s="281" t="s">
        <v>865</v>
      </c>
      <c r="CX11" s="257" t="s">
        <v>866</v>
      </c>
      <c r="CY11" s="258" t="s">
        <v>867</v>
      </c>
      <c r="CZ11" s="257" t="s">
        <v>868</v>
      </c>
      <c r="DA11" s="258" t="s">
        <v>869</v>
      </c>
      <c r="DB11" s="258" t="s">
        <v>870</v>
      </c>
      <c r="DC11" s="271"/>
      <c r="DD11" s="271"/>
      <c r="DE11" s="64"/>
      <c r="DF11" s="291"/>
      <c r="DG11" s="64" t="s">
        <v>871</v>
      </c>
      <c r="DH11" s="64" t="s">
        <v>872</v>
      </c>
      <c r="DI11" s="64" t="s">
        <v>873</v>
      </c>
      <c r="DJ11" s="64" t="s">
        <v>874</v>
      </c>
      <c r="DK11" s="64" t="s">
        <v>875</v>
      </c>
      <c r="DL11" s="292" t="s">
        <v>876</v>
      </c>
      <c r="DM11" s="292" t="s">
        <v>877</v>
      </c>
      <c r="DN11" s="292" t="s">
        <v>878</v>
      </c>
      <c r="DO11" s="292" t="s">
        <v>879</v>
      </c>
      <c r="DP11" s="292" t="s">
        <v>880</v>
      </c>
      <c r="DQ11" s="281" t="s">
        <v>881</v>
      </c>
      <c r="DR11" s="281" t="s">
        <v>882</v>
      </c>
      <c r="DS11" s="281" t="s">
        <v>883</v>
      </c>
      <c r="DT11" s="281" t="s">
        <v>884</v>
      </c>
      <c r="DU11" s="281" t="s">
        <v>885</v>
      </c>
      <c r="DV11" s="293" t="s">
        <v>886</v>
      </c>
      <c r="DW11" s="293" t="s">
        <v>887</v>
      </c>
      <c r="DX11" s="293" t="s">
        <v>888</v>
      </c>
      <c r="DY11" s="293" t="s">
        <v>889</v>
      </c>
      <c r="DZ11" s="293" t="s">
        <v>890</v>
      </c>
      <c r="EA11" s="271"/>
      <c r="EB11" s="271"/>
      <c r="EC11" s="301"/>
      <c r="ED11" s="301"/>
      <c r="EE11" s="248"/>
      <c r="EF11" s="248"/>
      <c r="EG11" s="248"/>
      <c r="EH11" s="248"/>
      <c r="EI11" s="248"/>
      <c r="EJ11" s="248"/>
      <c r="EK11" s="248"/>
      <c r="EL11" s="248"/>
      <c r="EM11" s="248"/>
      <c r="EN11" s="248"/>
      <c r="EO11" s="248"/>
      <c r="EP11" s="248"/>
      <c r="EQ11" s="248"/>
      <c r="ER11" s="309"/>
      <c r="ES11" s="301"/>
      <c r="ET11" s="248"/>
      <c r="EU11" s="310" t="s">
        <v>891</v>
      </c>
      <c r="EV11" s="310" t="s">
        <v>892</v>
      </c>
      <c r="EW11" s="310" t="s">
        <v>893</v>
      </c>
      <c r="EX11" s="310" t="s">
        <v>894</v>
      </c>
      <c r="EY11" s="64"/>
      <c r="EZ11" s="64"/>
      <c r="FA11" s="64"/>
      <c r="FB11" s="158"/>
      <c r="FC11" s="322"/>
      <c r="FD11" s="323"/>
      <c r="FE11" s="63"/>
      <c r="FF11" s="63"/>
      <c r="FG11" s="338"/>
      <c r="FH11" s="323"/>
      <c r="FI11" s="63"/>
      <c r="FJ11" s="63"/>
      <c r="FK11" s="338"/>
      <c r="FL11" s="323"/>
      <c r="FM11" s="63"/>
      <c r="FN11" s="63"/>
      <c r="FO11" s="338"/>
      <c r="FP11" s="360"/>
      <c r="FQ11" s="361"/>
      <c r="FR11" s="362"/>
      <c r="FS11" s="363"/>
      <c r="FU11" s="382"/>
      <c r="FV11" s="383"/>
      <c r="FW11" s="383"/>
      <c r="FX11" s="384"/>
      <c r="FY11" s="385"/>
      <c r="FZ11" s="386"/>
      <c r="GA11" s="386"/>
      <c r="GB11" s="387"/>
      <c r="GC11" s="385"/>
      <c r="GD11" s="386"/>
      <c r="GE11" s="386"/>
      <c r="GF11" s="387"/>
      <c r="GG11" s="385"/>
      <c r="GH11" s="386"/>
      <c r="GI11" s="386"/>
      <c r="GJ11" s="387"/>
      <c r="GK11" s="385"/>
      <c r="GL11" s="386"/>
      <c r="GM11" s="386"/>
      <c r="GN11" s="387"/>
      <c r="GO11" s="405"/>
      <c r="GP11" s="405"/>
      <c r="GQ11" s="382"/>
      <c r="GR11" s="383"/>
      <c r="GS11" s="383" t="s">
        <v>895</v>
      </c>
      <c r="GT11" s="383"/>
      <c r="GU11" s="383" t="s">
        <v>896</v>
      </c>
      <c r="GV11" s="382"/>
      <c r="GW11" s="383"/>
      <c r="GX11" s="383"/>
      <c r="GY11" s="383"/>
      <c r="GZ11" s="382"/>
      <c r="HA11" s="383"/>
      <c r="HB11" s="383"/>
      <c r="HC11" s="383"/>
      <c r="HD11" s="382"/>
      <c r="HE11" s="383"/>
      <c r="HF11" s="383"/>
      <c r="HG11" s="383"/>
      <c r="HH11" s="382"/>
      <c r="HI11" s="382"/>
      <c r="HJ11" s="383"/>
      <c r="HK11" s="383"/>
      <c r="HL11" s="382"/>
      <c r="HM11" s="383"/>
      <c r="HN11" s="383"/>
      <c r="HO11" s="383"/>
      <c r="HP11" s="382"/>
      <c r="HQ11" s="383"/>
      <c r="HR11" s="383"/>
      <c r="HS11" s="383"/>
      <c r="HT11" s="382"/>
      <c r="HU11" s="383"/>
      <c r="HV11" s="383"/>
      <c r="HW11" s="383"/>
      <c r="HX11" s="382"/>
      <c r="HY11" s="382"/>
      <c r="HZ11" s="383"/>
      <c r="IA11" s="383"/>
      <c r="IB11" s="382"/>
      <c r="IC11" s="383"/>
      <c r="ID11" s="383"/>
      <c r="IE11" s="383"/>
      <c r="IF11" s="385"/>
      <c r="IG11" s="385"/>
      <c r="IH11" s="386"/>
      <c r="II11" s="386"/>
      <c r="IJ11" s="386"/>
      <c r="IK11" s="382"/>
      <c r="IL11" s="383"/>
      <c r="IM11" s="383"/>
      <c r="IN11" s="384"/>
      <c r="IO11" s="382"/>
      <c r="IP11" s="383"/>
      <c r="IQ11" s="383"/>
      <c r="IR11" s="384"/>
      <c r="IS11" s="382"/>
      <c r="IT11" s="383"/>
      <c r="IU11" s="383"/>
      <c r="IV11" s="384"/>
      <c r="IW11" s="445"/>
      <c r="IX11" s="445"/>
      <c r="IY11" s="446"/>
      <c r="IZ11" s="446"/>
      <c r="JA11" s="363"/>
      <c r="JB11" s="301"/>
      <c r="JC11" s="248"/>
      <c r="JD11" s="248"/>
      <c r="JE11" s="460"/>
      <c r="JF11" s="301"/>
      <c r="JG11" s="248"/>
      <c r="JH11" s="248"/>
      <c r="JI11" s="460"/>
      <c r="JJ11" s="461"/>
      <c r="JK11" s="462"/>
      <c r="JL11" s="301"/>
      <c r="JM11" s="248"/>
      <c r="JN11" s="248"/>
      <c r="JO11" s="460"/>
      <c r="JP11" s="301"/>
      <c r="JQ11" s="248"/>
      <c r="JR11" s="248"/>
      <c r="JS11" s="460"/>
      <c r="JT11" s="301"/>
      <c r="JU11" s="248"/>
      <c r="JV11" s="248"/>
      <c r="JW11" s="460"/>
      <c r="JX11" s="301"/>
      <c r="JY11" s="248"/>
      <c r="JZ11" s="248"/>
      <c r="KA11" s="460"/>
      <c r="KB11" s="301"/>
      <c r="KC11" s="248"/>
      <c r="KD11" s="248"/>
      <c r="KE11" s="460"/>
      <c r="KF11" s="468"/>
      <c r="KG11" s="462"/>
      <c r="KH11" s="469"/>
      <c r="KI11" s="64"/>
      <c r="KJ11" s="64"/>
      <c r="KK11" s="64" t="s">
        <v>897</v>
      </c>
      <c r="KL11" s="469"/>
      <c r="KM11" s="64"/>
      <c r="KN11" s="64"/>
      <c r="KO11" s="64"/>
      <c r="KP11" s="469"/>
      <c r="KQ11" s="64"/>
      <c r="KR11" s="64"/>
      <c r="KS11" s="64"/>
      <c r="KT11" s="469"/>
      <c r="KU11" s="64"/>
      <c r="KV11" s="64"/>
      <c r="KW11" s="64"/>
      <c r="KX11" s="64"/>
      <c r="KY11" s="64"/>
      <c r="KZ11" s="64"/>
      <c r="LA11" s="64"/>
      <c r="LB11" s="64"/>
      <c r="LC11" s="64"/>
      <c r="LD11" s="64"/>
      <c r="LE11" s="64"/>
      <c r="LF11" s="469"/>
      <c r="LG11" s="64"/>
      <c r="LH11" s="64"/>
      <c r="LI11" s="64"/>
      <c r="LJ11" s="469"/>
      <c r="LK11" s="64"/>
      <c r="LL11" s="64"/>
      <c r="LM11" s="64"/>
      <c r="LN11" s="64"/>
      <c r="LO11" s="64"/>
      <c r="LP11" s="64"/>
      <c r="LQ11" s="64"/>
      <c r="LR11" s="64"/>
      <c r="LS11" s="64"/>
      <c r="LT11" s="64"/>
      <c r="LU11" s="64"/>
      <c r="LV11" s="498"/>
      <c r="LW11" s="498"/>
      <c r="LX11" s="498"/>
      <c r="LY11" s="512"/>
      <c r="LZ11" s="513"/>
      <c r="MA11" s="514"/>
      <c r="MB11" s="514"/>
      <c r="MC11" s="498"/>
      <c r="MD11" s="498"/>
      <c r="ME11" s="498"/>
      <c r="MF11" s="498"/>
      <c r="MG11" s="513"/>
      <c r="MH11" s="514"/>
      <c r="MI11" s="514"/>
      <c r="MJ11" s="248" t="s">
        <v>898</v>
      </c>
      <c r="MK11" s="301"/>
      <c r="ML11" s="301"/>
      <c r="MM11" s="301"/>
      <c r="MN11" s="461" t="s">
        <v>899</v>
      </c>
      <c r="MO11" s="461" t="s">
        <v>899</v>
      </c>
      <c r="MP11" s="461"/>
      <c r="MQ11" s="461"/>
      <c r="MR11" s="468"/>
      <c r="MS11" s="468"/>
      <c r="MT11" s="468"/>
      <c r="MU11" s="468"/>
      <c r="MV11" s="468" t="s">
        <v>900</v>
      </c>
      <c r="MW11" s="468"/>
      <c r="MX11" s="468"/>
      <c r="MY11" s="468"/>
      <c r="MZ11" s="462"/>
      <c r="NA11" s="461"/>
      <c r="NB11" s="461"/>
      <c r="NC11" s="468"/>
      <c r="ND11" s="534"/>
      <c r="NE11" s="468"/>
      <c r="NF11" s="468"/>
      <c r="NG11" s="468"/>
      <c r="NH11" s="468"/>
      <c r="NI11" s="468"/>
      <c r="NK11" s="536" t="s">
        <v>901</v>
      </c>
      <c r="NL11" s="536"/>
      <c r="NM11" s="536" t="s">
        <v>902</v>
      </c>
      <c r="NN11" s="536"/>
      <c r="NO11" s="536" t="s">
        <v>903</v>
      </c>
      <c r="NP11" s="536"/>
      <c r="NQ11" s="536" t="s">
        <v>904</v>
      </c>
      <c r="NR11" s="536"/>
      <c r="NS11" s="542" t="s">
        <v>905</v>
      </c>
      <c r="NT11" s="542" t="s">
        <v>906</v>
      </c>
      <c r="NU11" s="542" t="s">
        <v>907</v>
      </c>
      <c r="NV11" s="542" t="s">
        <v>908</v>
      </c>
      <c r="NY11" s="545" t="str">
        <f>AY11&amp;"重量"</f>
        <v>HY-A-KVVP重量</v>
      </c>
      <c r="OD11" s="544" t="s">
        <v>909</v>
      </c>
      <c r="OG11" s="544"/>
      <c r="OH11" s="544"/>
    </row>
    <row r="12" customHeight="1" spans="1:398">
      <c r="A12" s="66">
        <v>0.3</v>
      </c>
      <c r="B12" s="67">
        <v>0.14</v>
      </c>
      <c r="C12" s="68">
        <v>0.6</v>
      </c>
      <c r="D12" s="69" t="s">
        <v>910</v>
      </c>
      <c r="E12" s="70">
        <f t="shared" ref="E12:E19" si="1">MV12</f>
        <v>4.56418892</v>
      </c>
      <c r="F12" s="71">
        <v>56.418892388858</v>
      </c>
      <c r="G12" s="72"/>
      <c r="H12" s="72"/>
      <c r="I12" s="72"/>
      <c r="J12" s="72"/>
      <c r="K12" s="72"/>
      <c r="L12" s="118" t="s">
        <v>467</v>
      </c>
      <c r="M12" s="119">
        <f t="shared" ref="M12:M75" si="2">VLOOKUP(EE12,$A$12:$C$46,3,0)</f>
        <v>0.6</v>
      </c>
      <c r="N12" s="119">
        <f t="shared" ref="N12:N43" si="3">IF(EM12=0,0,VLOOKUP(EM12,$A$12:$C$46,3,0))</f>
        <v>0</v>
      </c>
      <c r="O12" s="69"/>
      <c r="P12" s="120">
        <v>0.1</v>
      </c>
      <c r="Q12" s="159">
        <v>0.1</v>
      </c>
      <c r="R12" s="160">
        <v>0.8</v>
      </c>
      <c r="S12" s="161" t="s">
        <v>521</v>
      </c>
      <c r="T12" s="162">
        <v>0.2</v>
      </c>
      <c r="U12" s="69">
        <v>2</v>
      </c>
      <c r="V12" s="160"/>
      <c r="W12" s="124">
        <v>1.4</v>
      </c>
      <c r="X12" s="163">
        <v>0.2</v>
      </c>
      <c r="Y12" s="215">
        <v>2</v>
      </c>
      <c r="Z12" s="216">
        <v>0.2</v>
      </c>
      <c r="AA12" s="217">
        <v>1</v>
      </c>
      <c r="AB12" s="186">
        <f>PI()*EJ12*EJ12/4*EH12*(1-H12)*AA12*各项系数!$F$5*各项系数!$J$4*10^-7</f>
        <v>0.00221138232882617</v>
      </c>
      <c r="AC12" s="186">
        <f t="shared" ref="AC12:AC19" si="4">EJ12</f>
        <v>56.418892388858</v>
      </c>
      <c r="AD12" s="186">
        <f t="shared" ref="AD12:AD75" si="5">PI()*AE12*AE12*10^-4/4*EH12</f>
        <v>0.249999415392618</v>
      </c>
      <c r="AE12" s="186">
        <f>POWER(4*EU12/PI()/EG12/10^-7/EH12/(1-H12)/各项系数!$F$5/各项系数!$J$4,0.5)</f>
        <v>56.418892388858</v>
      </c>
      <c r="AF12" s="218">
        <v>1</v>
      </c>
      <c r="AG12" s="85">
        <f>IF(EM12=0,0,PI()*ER12*ER12/4*EP12*(1-K12)*(1+AF12)*各项系数!$F$5*各项系数!$J$4*10^-7)</f>
        <v>0</v>
      </c>
      <c r="AH12" s="85">
        <f t="shared" ref="AH12:AH19" si="6">ER12</f>
        <v>0</v>
      </c>
      <c r="AI12" s="85">
        <f t="shared" ref="AI12" si="7">PI()*AJ12*AJ12*10^-4/4*EP12</f>
        <v>0</v>
      </c>
      <c r="AJ12" s="85">
        <f>IF(OR(EP12="",EP12=0),0,POWER(4*EW12/PI()/EO12/10^-7/EP12/(1-K12)/各项系数!$F$5/各项系数!$J$4,0.5))</f>
        <v>0</v>
      </c>
      <c r="AK12" s="85" t="str">
        <f t="shared" ref="AK12:AK75" si="8">IF((EG12*AB12+EO12*AG12)-EY12&lt;0.000001,"√",EY12)</f>
        <v>√</v>
      </c>
      <c r="AL12" s="85">
        <f t="shared" ref="AL12:AL19" si="9">AO12*(1+0.02)</f>
        <v>0.44960933309326</v>
      </c>
      <c r="AM12" s="250">
        <f t="shared" ref="AM12:AM19" si="10">EE12*1</f>
        <v>0.3</v>
      </c>
      <c r="AN12" s="118" t="s">
        <v>486</v>
      </c>
      <c r="AO12" s="259">
        <f>AP12+各项系数!$M$9*$NK12</f>
        <v>0.440793463816922</v>
      </c>
      <c r="AP12" s="259">
        <f>AQ12*(1+$BI12+(VLOOKUP($AM12,$A$12:$B$323,2,0))+各项系数!$J$6+各项系数!$M$5)*(1+$E$2)</f>
        <v>0.433302867992374</v>
      </c>
      <c r="AQ12" s="260">
        <f>AR12+各项系数!$L$9*$NK12</f>
        <v>0.387847178654113</v>
      </c>
      <c r="AR12" s="260">
        <f>AS12*(1+$BJ12+各项系数!$J$5+各项系数!$L$5)</f>
        <v>0.380356582829565</v>
      </c>
      <c r="AS12" s="260">
        <f>SUM($FB12,$FQ12,$FX12,$GP12,$HS12)</f>
        <v>0.372898610617221</v>
      </c>
      <c r="AT12" s="259">
        <f>AU12+各项系数!$M$9*$NM12</f>
        <v>0.597799942744948</v>
      </c>
      <c r="AU12" s="259">
        <f>AV12*(1+$BI12+(VLOOKUP($AM12,$A$12:$B$323,2,0))+各项系数!$J$6+各项系数!$M$5)*(1+$E$2)</f>
        <v>0.590309346920401</v>
      </c>
      <c r="AV12" s="260">
        <f>AW12+各项系数!$L$9*$NM12</f>
        <v>0.528382874078411</v>
      </c>
      <c r="AW12" s="260">
        <f>AX12*(1+$BJ12+各项系数!$J$5+各项系数!$L$5)</f>
        <v>0.520892278253864</v>
      </c>
      <c r="AX12" s="260">
        <f>SUM($FB12,$FQ12,$FX12,$GP12,$HC12)</f>
        <v>0.510678704170455</v>
      </c>
      <c r="AY12" s="259">
        <f>AZ12+各项系数!$M$9*$NS12</f>
        <v>0.652304669094222</v>
      </c>
      <c r="AZ12" s="259">
        <f>BA12*(1+$BI12+(VLOOKUP($AM12,$A$12:$B$214,2,0))+各项系数!$J$6+各项系数!$M$5)*(1+$E$2)</f>
        <v>0.644041265939248</v>
      </c>
      <c r="BA12" s="260">
        <f>BB12+各项系数!$L$9*$NS12</f>
        <v>0.576478039687834</v>
      </c>
      <c r="BB12" s="260">
        <f>BC12*(1+$BJ12+各项系数!$J$5+各项系数!$L$5)</f>
        <v>0.568214636532861</v>
      </c>
      <c r="BC12" s="262">
        <f>SUM($FB12,$FQ12,$FX12,$GP12,$GY12,$HW12)</f>
        <v>0.557073173071432</v>
      </c>
      <c r="BD12" s="259">
        <f>BE12+各项系数!$M$9*$NS12</f>
        <v>0.817250318932589</v>
      </c>
      <c r="BE12" s="259">
        <f>BF12*(1+$BI12+(VLOOKUP($AM12,$A$12:$B$214,2,0))+各项系数!$J$6+各项系数!$M$5)*(1+$E$2)</f>
        <v>0.808986915777615</v>
      </c>
      <c r="BF12" s="260">
        <f>BG12+各项系数!$L$9*$NS12</f>
        <v>0.724120046345878</v>
      </c>
      <c r="BG12" s="260">
        <f>BH12*(1+$BJ12+各项系数!$J$5+各项系数!$L$5)</f>
        <v>0.715856643190904</v>
      </c>
      <c r="BH12" s="262">
        <f>SUM($FB12,$FQ12,$FX12,$GP12,$GY12,$HO12)</f>
        <v>0.701820238422455</v>
      </c>
      <c r="BI12" s="67"/>
      <c r="BJ12" s="272"/>
      <c r="BK12" s="123"/>
      <c r="BL12" s="259">
        <f>BM12+各项系数!$M$9*$NM12</f>
        <v>0.468382830256125</v>
      </c>
      <c r="BM12" s="259">
        <f>BN12*(1+$CF12+(VLOOKUP($AM12,$A$12:$B$323,2,0))+各项系数!$J$6+各项系数!$M$5)*(1+$E$2)</f>
        <v>0.460892234431578</v>
      </c>
      <c r="BN12" s="260">
        <f>BO12+各项系数!$L$9*$NM12</f>
        <v>0.412542279297868</v>
      </c>
      <c r="BO12" s="260">
        <f>BP12*(1+$CG12+各项系数!$J$5+各项系数!$L$5)</f>
        <v>0.405051683473321</v>
      </c>
      <c r="BP12" s="260">
        <f>SUM(FB12,FQ12,FX12,GP12,IA12)</f>
        <v>0.393254061624583</v>
      </c>
      <c r="BQ12" s="259">
        <f>BR12+各项系数!$M$9*$NM12</f>
        <v>0.603505245227941</v>
      </c>
      <c r="BR12" s="259">
        <f>BS12*(1+$CF12+(VLOOKUP($AM12,$A$12:$B$323,2,0))+各项系数!$J$6+各项系数!$M$5)*(1+$E$2)</f>
        <v>0.596014649403393</v>
      </c>
      <c r="BS12" s="260">
        <f>BT12+各项系数!$L$9*$NM12</f>
        <v>0.533489661120116</v>
      </c>
      <c r="BT12" s="260">
        <f>BU12*(1+$CG12+各项系数!$J$5+各项系数!$L$5)</f>
        <v>0.525999065295569</v>
      </c>
      <c r="BU12" s="260">
        <f>SUM(FB12,FQ12,FX12,GP12,HK12)</f>
        <v>0.510678704170455</v>
      </c>
      <c r="BV12" s="259">
        <f>BW12+各项系数!$M$9*$NT12</f>
        <v>0.683136055725196</v>
      </c>
      <c r="BW12" s="259">
        <f>BX12*(1+$CF12+(VLOOKUP($AM12,$A$12:$B$214,2,0))+各项系数!$J$6+各项系数!$M$5)*(1+$E$2)</f>
        <v>0.674872652570222</v>
      </c>
      <c r="BX12" s="260">
        <f>BY12+各项系数!$L$9*$NT$12</f>
        <v>0.604075056006286</v>
      </c>
      <c r="BY12" s="260">
        <f>BZ12*(1+$CG12+各项系数!$J$5+各项系数!$L$5)</f>
        <v>0.595811652851312</v>
      </c>
      <c r="BZ12" s="262">
        <f t="shared" ref="BZ12:BZ75" si="11">SUM($FB12,$FQ12,$FX12,$GP12,$GY12,$IE12)</f>
        <v>0.578457915389623</v>
      </c>
      <c r="CA12" s="259">
        <f>CB12+各项系数!$M$9*$NT12</f>
        <v>0.825091054636244</v>
      </c>
      <c r="CB12" s="259">
        <f>CC12*(1+$CF12+(VLOOKUP($AM12,$A$12:$B$214,2,0))+各项系数!$J$6+各项系数!$M$5)*(1+$E$2)</f>
        <v>0.816827651481271</v>
      </c>
      <c r="CC12" s="260">
        <f>CD12+各项系数!$L$9*$NT$12</f>
        <v>0.731138248730103</v>
      </c>
      <c r="CD12" s="260">
        <f>CE12*(1+$CG12+各项系数!$J$5+各项系数!$L$5)</f>
        <v>0.722874845575129</v>
      </c>
      <c r="CE12" s="262">
        <f>SUM($FB12,$FQ12,$FX12,$GP12,$GY12,$HO12)</f>
        <v>0.701820238422455</v>
      </c>
      <c r="CF12" s="277">
        <f>BI12+$CF$2</f>
        <v>0</v>
      </c>
      <c r="CG12" s="277">
        <f t="shared" ref="CG12:CG75" si="12">BJ12+$E$4</f>
        <v>0.01</v>
      </c>
      <c r="CH12" s="123"/>
      <c r="CI12" s="259">
        <f>CJ12+各项系数!$M$9*$NO12</f>
        <v>0.523928485236101</v>
      </c>
      <c r="CJ12" s="259">
        <f>CK12*(1+$DC12+(VLOOKUP($AM12,$A$12:$B$323,2,0))+各项系数!$J$6+各项系数!$M$5)*(1+$E$2)+各项系数!$M$9*$NK12</f>
        <v>0.514942952552859</v>
      </c>
      <c r="CK12" s="260">
        <f>CL12+各项系数!$L$9*$NO12</f>
        <v>0.454218006380515</v>
      </c>
      <c r="CL12" s="260">
        <f>CM12*(1+$DD12+各项系数!$J$5+各项系数!$L$5)</f>
        <v>0.445232473697273</v>
      </c>
      <c r="CM12" s="260">
        <f t="shared" ref="CM12:CM75" si="13">SUM($FB12,$IJ12,$IX12,$JK12,$KG12,$LI12)</f>
        <v>0.436502425193405</v>
      </c>
      <c r="CN12" s="259">
        <f>CO12+各项系数!$M$9*$NO12</f>
        <v>0.645747282038902</v>
      </c>
      <c r="CO12" s="259">
        <f>CP12*(1+$DC12+(VLOOKUP($AM12,$A$12:$B$323,2,0))+各项系数!$J$6+各项系数!$M$5)*(1+$E$2)+各项系数!$M$9*$NK12</f>
        <v>0.636761749355659</v>
      </c>
      <c r="CP12" s="260">
        <f>CQ12+各项系数!$L$9*$NO12</f>
        <v>0.563257387693441</v>
      </c>
      <c r="CQ12" s="260">
        <f>CR12*(1+$DD12+各项系数!$J$5+各项系数!$L$5)</f>
        <v>0.554271855010199</v>
      </c>
      <c r="CR12" s="260">
        <f t="shared" ref="CR12:CR75" si="14">SUM($FB12,$IJ12,$IX12,$JK12,$KG12,$HC12)</f>
        <v>0.543403779421763</v>
      </c>
      <c r="CS12" s="259">
        <f>CT12+各项系数!$M$9*$NU12</f>
        <v>0.779947752935357</v>
      </c>
      <c r="CT12" s="259">
        <f t="shared" ref="CT12:CT75" si="15">CU12*(1+$DC12+(VLOOKUP($AM12,$A$12:$B$323,2,0)))*(1+$E$2)+$E$3*$OM12</f>
        <v>0.769988268931189</v>
      </c>
      <c r="CU12" s="260">
        <f>CV12+各项系数!$L$9*$NU12</f>
        <v>0.689212557224479</v>
      </c>
      <c r="CV12" s="260">
        <f>CW12*(1+$DD12+各项系数!$J$5+各项系数!$L$5)</f>
        <v>0.679253073220311</v>
      </c>
      <c r="CW12" s="262">
        <f t="shared" ref="CW12:CW75" si="16">SUM($FB12,$IJ12,$IX12,$JK12,$KG12,$KO12,$LM12)</f>
        <v>0.665934385510109</v>
      </c>
      <c r="CX12" s="259">
        <f>CY12+各项系数!$M$9*$NU12</f>
        <v>0.968710915504744</v>
      </c>
      <c r="CY12" s="259">
        <f t="shared" ref="CY12:CY75" si="17">CZ12*(1+$DC12+(VLOOKUP($AM12,$A$12:$B$323,2,0)))*(1+$E$2)+$E$3*$OM12</f>
        <v>0.958751431500575</v>
      </c>
      <c r="CZ12" s="260">
        <f>DA12+各项系数!$L$9*$NU12</f>
        <v>0.858173497583759</v>
      </c>
      <c r="DA12" s="260">
        <f>DB12*(1+$DD12+各项系数!$J$5+各项系数!$L$5)</f>
        <v>0.84821401357959</v>
      </c>
      <c r="DB12" s="262">
        <f t="shared" ref="DB12:DB75" si="18">SUM($FB12,$IJ12,$IX12,$JK12,$KG12,$KO12,$KW12)</f>
        <v>0.8315823662545</v>
      </c>
      <c r="DC12" s="277">
        <f>BI12+$DC$2</f>
        <v>0</v>
      </c>
      <c r="DD12" s="277">
        <f t="shared" ref="DD12:DD75" si="19">BJ12+$E$5</f>
        <v>0</v>
      </c>
      <c r="DE12" s="69"/>
      <c r="DF12" s="69"/>
      <c r="DG12" s="259">
        <f>DH12+各项系数!$M$9*$NQ12</f>
        <v>0.555781699431846</v>
      </c>
      <c r="DH12" s="259">
        <f>DI12*(1+$EA12+(VLOOKUP($AM12,$A$12:$B$323,2,0))+各项系数!$J$6+各项系数!$M$5)*(1+$E$2)+各项系数!$M$9*$NK12</f>
        <v>0.546796166748604</v>
      </c>
      <c r="DI12" s="260">
        <f>DJ12+各项系数!$L$9*$NQ12</f>
        <v>0.482729655320494</v>
      </c>
      <c r="DJ12" s="260">
        <f>DK12*(1+$EB12+各项系数!$J$5+各项系数!$L$5)</f>
        <v>0.473744122637252</v>
      </c>
      <c r="DK12" s="260">
        <f t="shared" ref="DK12:DK75" si="20">SUM($FB12,$IJ12,$IX12,$JK12,$KG12,$LQ12)</f>
        <v>0.459945750133254</v>
      </c>
      <c r="DL12" s="259">
        <f>DM12+各项系数!$M$9*$NQ12</f>
        <v>0.71140186622136</v>
      </c>
      <c r="DM12" s="259">
        <f>DN12*(1+$EA12+(VLOOKUP($AM12,$A$12:$B$323,2,0))+各项系数!$J$6+各项系数!$M$5)*(1+$E$2)+各项系数!$M$9*$NK12</f>
        <v>0.702416333538117</v>
      </c>
      <c r="DN12" s="260">
        <f>DO12+各项系数!$L$9*$NQ12</f>
        <v>0.622024469847449</v>
      </c>
      <c r="DO12" s="260">
        <f>DP12*(1+$EB12+各项系数!$J$5+各项系数!$L$5)</f>
        <v>0.613038937164207</v>
      </c>
      <c r="DP12" s="260">
        <f t="shared" ref="DP12:DP75" si="21">SUM($FB12,$IJ12,$IX12,$JK12,$KG12,$LA12)</f>
        <v>0.595183434140007</v>
      </c>
      <c r="DQ12" s="259">
        <f>DR12+各项系数!$M$9*$NV12</f>
        <v>0.815548602971792</v>
      </c>
      <c r="DR12" s="259">
        <f t="shared" ref="DR12:DR75" si="22">DS12*(1+$EA12+(VLOOKUP($AM12,$A$12:$B$323,2,0)))*(1+$E$2)+$E$3*$NV12</f>
        <v>0.805589118967624</v>
      </c>
      <c r="DS12" s="260">
        <f>DT12+各项系数!$L$9*$NV12</f>
        <v>0.72107869581778</v>
      </c>
      <c r="DT12" s="260">
        <f>DU12*(1+$EB12+各项系数!$J$5+各项系数!$L$5)</f>
        <v>0.711119211813611</v>
      </c>
      <c r="DU12" s="262">
        <f t="shared" ref="DU12:DU75" si="23">SUM($FB12,IX12,$IJ12,$JK12,$KG12,$LU12,$KO12)</f>
        <v>0.690407001760788</v>
      </c>
      <c r="DV12" s="259">
        <f>DW12+各项系数!$M$9*$NV12</f>
        <v>0.938187251245977</v>
      </c>
      <c r="DW12" s="259">
        <f t="shared" ref="DW12:DW75" si="24">DX12*(1+$EA12+(VLOOKUP($AM12,$A$12:$B$323,2,0)))*(1+$E$2)+$E$3*$NV12</f>
        <v>0.928227767241808</v>
      </c>
      <c r="DX12" s="260">
        <f>DY12+各项系数!$L$9*$NV12</f>
        <v>0.830851921985149</v>
      </c>
      <c r="DY12" s="260">
        <f>DZ12*(1+$EB12+各项系数!$J$5+各项系数!$L$5)</f>
        <v>0.82089243798098</v>
      </c>
      <c r="DZ12" s="262">
        <f t="shared" ref="DZ12:DZ75" si="25">SUM($FB12,JE12,$IJ12,$JK12,$KG12,$LE12,$KO12)</f>
        <v>0.796982949496097</v>
      </c>
      <c r="EA12" s="277">
        <f t="shared" ref="EA12:EA21" si="26">BI12+$EA$2</f>
        <v>0</v>
      </c>
      <c r="EB12" s="277">
        <f t="shared" ref="EB12:EB75" si="27">BJ12+$E$6</f>
        <v>0.01</v>
      </c>
      <c r="EC12" s="302">
        <f>IF(EO12=0,EG12,EG12&amp;"+"&amp;EO12)</f>
        <v>1</v>
      </c>
      <c r="ED12" s="302" t="str">
        <f>IF(COUNTIF($D12,"*+*")&gt;0,MID($D12,1,FIND("+",$D12)-1),MID($D12,1,LEN($D12)))</f>
        <v>1*0.3</v>
      </c>
      <c r="EE12" s="251">
        <f t="shared" ref="EE12:EE20" si="28">IF($D12="",0,IF(COUNTIF($D12,"*+*")&gt;0,MID($D12,FIND("*",$D12)+1,FIND("+",$D12)-FIND("*",$D12)-1),RIGHT($D12,(LEN($D12)-FIND("*",$D12)))))*1</f>
        <v>0.3</v>
      </c>
      <c r="EF12" s="251">
        <f>LOOKUP(EH12,{1,7,10,14,19,24,30,37,48,61},{1,"1+6","2+8","4+10","1+6+12","2+8+14","4+10+16","1+6+12+18","3+9+15+21","1+6+12+18+24"})</f>
        <v>1</v>
      </c>
      <c r="EG12" s="250">
        <f t="shared" ref="EG12:EG75" si="29">IF(D12="",0,MID(D12,1,FIND("*",D12)-1))*1</f>
        <v>1</v>
      </c>
      <c r="EH12" s="260">
        <f>IF(AM12&lt;10,1,IF(AND(AM12&gt;=10,AM12&lt;=35),7,LOOKUP(AM12,{50,70,95,120,150,185,240,300,400,500,630},{10,14,19,24,30,37,48,61,61,61,61})*1))</f>
        <v>1</v>
      </c>
      <c r="EI12" s="250">
        <f>IF(EH12=0,0,VLOOKUP(EH12,各项系数!$D$142:$E$195,2,0))*1</f>
        <v>1</v>
      </c>
      <c r="EJ12" s="305">
        <f>$F12-$G12</f>
        <v>56.418892388858</v>
      </c>
      <c r="EK12" s="251">
        <f t="shared" ref="EK12:EK19" si="30">IF(COUNTIF($D12,"*+*")&gt;0,MID($D12,FIND("+",$D12)+1,LEN($D12)),0)</f>
        <v>0</v>
      </c>
      <c r="EL12" s="251">
        <f t="shared" ref="EL12:EL75" si="31">IF(COUNTIF(D12,"*+*")&gt;0,(MID(D12,FIND("#",SUBSTITUTE(D12,"*","#",2))+1,FIND("#",SUBSTITUTE(D12,"*","#",2))-1)),0)</f>
        <v>0</v>
      </c>
      <c r="EM12" s="251">
        <f t="shared" ref="EM12:EM19" si="32">EL12/1</f>
        <v>0</v>
      </c>
      <c r="EN12" s="251">
        <f>IF(EP12=0,0,LOOKUP(EP12,{1,7,10,14,19,24,30,37,48,61},{1,"1+6","2+8","4+10","1+6+12","2+8+14","4+10+16","1+6+12+18","3+9+15+21","1+6+12+18+24"}))</f>
        <v>0</v>
      </c>
      <c r="EO12" s="251">
        <f t="shared" ref="EO12:EO19" si="33">IF(EK12=0,0,MID(EK12,1,1))</f>
        <v>0</v>
      </c>
      <c r="EP12" s="251">
        <f>IF(EM12=0,0,IF(EM12&lt;10,1,IF(AND(EM12&gt;=10,EM12&lt;=35),7,LOOKUP(EM12,{50,70,95,120,150,185,240,300},{10,14,19,24,30,37,48,61})*1)))</f>
        <v>0</v>
      </c>
      <c r="EQ12" s="251">
        <f>IF(EP12=0,0,VLOOKUP(EP12,各项系数!$D$142:$E$195,2,0))*1</f>
        <v>0</v>
      </c>
      <c r="ER12" s="251">
        <f t="shared" ref="ER12:ER19" si="34">$I12-$J12</f>
        <v>0</v>
      </c>
      <c r="ES12" s="302">
        <f t="shared" ref="ES12:ES19" si="35">EO12+EG12</f>
        <v>1</v>
      </c>
      <c r="ET12" s="251">
        <f>VLOOKUP(ES12,各项系数!$D$142:$E$195,2,0)*1</f>
        <v>1</v>
      </c>
      <c r="EU12" s="311">
        <f>((各项系数!$F$76/4*$EJ12^2*$EG12*$EH12*1*10^-7)*(1-$H12)*AA12)*(VLOOKUP($EY$9,各项系数!$D$4:$F$143,3,0))*各项系数!$J$4</f>
        <v>0.00221138232882617</v>
      </c>
      <c r="EV12" s="312">
        <f>EU12*(VLOOKUP($EY$9,各项系数!$D$4:$F$143,2,0))</f>
        <v>0.144845542538114</v>
      </c>
      <c r="EW12" s="324">
        <f>(IF($EO12=0,0,(各项系数!$F$76/4*$ER12^2*$EO12*$EP12*1*10^-7))*(1-$K12)*$AF12)*(VLOOKUP($EY$9,各项系数!$D$4:$F$143,3,0))*各项系数!$J$4</f>
        <v>0</v>
      </c>
      <c r="EX12" s="325">
        <f>EW12*(VLOOKUP($EY$9,各项系数!$D$4:$F$143,2,0))</f>
        <v>0</v>
      </c>
      <c r="EY12" s="251">
        <f>((各项系数!$F$76/4*$EJ12^2*$EG12*$EH12*1*10^-7)*(1-$H12)*AA12+IF($EO12=0,0,(各项系数!$F$76/4*$ER12^2*$EO12*$EP12*1*10^-7))*(1-$K12)*$AF12)*(VLOOKUP($EY$9,各项系数!$D$4:$F$143,3,0))*各项系数!$J$4</f>
        <v>0.00221138232882617</v>
      </c>
      <c r="EZ12" s="123">
        <v>1</v>
      </c>
      <c r="FA12" s="251">
        <f t="shared" ref="FA12:FA20" si="36">EZ12*EY12</f>
        <v>0.00221138232882617</v>
      </c>
      <c r="FB12" s="326">
        <f>FA12*(VLOOKUP($EY$9,各项系数!$D$4:$F$143,2,0))</f>
        <v>0.144845542538114</v>
      </c>
      <c r="FC12" s="327"/>
      <c r="FD12" s="302">
        <f>各项系数!$F$76/4*($MN12^2-MK12^2)*10^-2*(VLOOKUP(L12,各项系数!$D$1:$F$143,3,0))*10^-3*10^2*$EG12*各项系数!$J$4</f>
        <v>0.00240181941230241</v>
      </c>
      <c r="FE12" s="339">
        <f>FD12*VLOOKUP(L12,各项系数!$D$1:$F$143,2,0)</f>
        <v>0.0244985580054846</v>
      </c>
      <c r="FF12" s="250">
        <f>各项系数!$F$76/4*($MO12^2-ML12^2)*10^-2*(VLOOKUP(L12,各项系数!$D$1:$F$143,3,0))*10^-3*10^2*$EO12*各项系数!$J$4</f>
        <v>0</v>
      </c>
      <c r="FG12" s="339">
        <f>FF12*VLOOKUP(L12,各项系数!$D$1:$F$143,2,0)</f>
        <v>0</v>
      </c>
      <c r="FH12" s="302">
        <f>FF12+FD12</f>
        <v>0.00240181941230241</v>
      </c>
      <c r="FI12" s="123">
        <v>1</v>
      </c>
      <c r="FJ12" s="251">
        <f t="shared" ref="FJ12:FJ20" si="37">FI12*FH12</f>
        <v>0.00240181941230241</v>
      </c>
      <c r="FK12" s="339">
        <f>FJ12*VLOOKUP(L12,各项系数!$D$1:$F$143,2,0)</f>
        <v>0.0244985580054846</v>
      </c>
      <c r="FL12" s="302"/>
      <c r="FM12" s="123"/>
      <c r="FN12" s="251"/>
      <c r="FO12" s="339"/>
      <c r="FP12" s="364">
        <f t="shared" ref="FP12:FP20" si="38">FJ12</f>
        <v>0.00240181941230241</v>
      </c>
      <c r="FQ12" s="364">
        <f t="shared" ref="FQ12:FQ20" si="39">FK12</f>
        <v>0.0244985580054846</v>
      </c>
      <c r="FR12" s="365">
        <f>各项系数!$F$76/4*($MQ12^2-$MN12^2*$EG12-$MO12^2*$EO12)*10^-2</f>
        <v>0</v>
      </c>
      <c r="FS12" s="366">
        <f>VLOOKUP(EC12,$A$38:$B$65,2,0)</f>
        <v>1</v>
      </c>
      <c r="FT12" s="367">
        <f t="shared" ref="FT12:FT75" si="40">FR12*$FS12</f>
        <v>0</v>
      </c>
      <c r="FU12" s="388">
        <f>$FT12*(VLOOKUP($FT$9,各项系数!$D$1:$F$143,3,0))*10^-3*10^2*各项系数!$J$55</f>
        <v>0</v>
      </c>
      <c r="FV12" s="389">
        <v>1</v>
      </c>
      <c r="FW12" s="390">
        <f t="shared" ref="FW12:FW20" si="41">FV12*FU12</f>
        <v>0</v>
      </c>
      <c r="FX12" s="367">
        <f>FW12*(VLOOKUP($FT$9,各项系数!$D$1:$F$143,2,0))</f>
        <v>0</v>
      </c>
      <c r="FY12" s="388">
        <f>IF($BK12&lt;&gt;$FY$9,0,各项系数!$F$76/4*($MS12^2-$MQ12^2)*10^-2*(VLOOKUP($FY$9,各项系数!$D$1:$F$143,3,0))*10^-3*10^2)*各项系数!$J$4</f>
        <v>0</v>
      </c>
      <c r="FZ12" s="389">
        <v>1</v>
      </c>
      <c r="GA12" s="390">
        <f t="shared" ref="GA12:GA20" si="42">FZ12*FY12</f>
        <v>0</v>
      </c>
      <c r="GB12" s="367">
        <f>GA12*(VLOOKUP($FY$9,各项系数!$D$1:$F$143,2,0))</f>
        <v>0</v>
      </c>
      <c r="GC12" s="388">
        <f>IF($BK12&lt;&gt;$GC$9,0,各项系数!$F$76/4*($MS12^2-$MQ12^2)*10^-2*(VLOOKUP($GC$9,各项系数!$D$1:$F$143,3,0))*10^-3*10^2)*各项系数!$J$4</f>
        <v>0</v>
      </c>
      <c r="GD12" s="389">
        <v>1</v>
      </c>
      <c r="GE12" s="390">
        <f t="shared" ref="GE12:GE20" si="43">GD12*GC12</f>
        <v>0</v>
      </c>
      <c r="GF12" s="367">
        <f>GE12*(VLOOKUP($GC$9,各项系数!$D$1:$F$143,2,0))</f>
        <v>0</v>
      </c>
      <c r="GG12" s="388">
        <f>IF($BK12&lt;&gt;$GG$9,0,各项系数!$F$76/4*($MS12^2-$MQ12^2)*10^-2*(VLOOKUP($GG$9,各项系数!$D$1:$F$143,3,0))*10^-3*10^2)*各项系数!$J$4</f>
        <v>0</v>
      </c>
      <c r="GH12" s="389">
        <v>1</v>
      </c>
      <c r="GI12" s="390">
        <f t="shared" ref="GI12:GI20" si="44">GH12*GG12</f>
        <v>0</v>
      </c>
      <c r="GJ12" s="367">
        <f>GI12*(VLOOKUP($GG$9,各项系数!$D$1:$F$143,2,0))</f>
        <v>0</v>
      </c>
      <c r="GK12" s="388">
        <f>IF($BK12&lt;&gt;$GK$9,0,各项系数!$F$76/4*($MS12^2-$MQ12^2)*10^-2*(VLOOKUP($GK$9,各项系数!$D$1:$F$143,3,0))*10^-3*10^2)*各项系数!$J$4</f>
        <v>0</v>
      </c>
      <c r="GL12" s="389">
        <v>1</v>
      </c>
      <c r="GM12" s="390">
        <f t="shared" ref="GM12:GM20" si="45">GL12*GK12</f>
        <v>0</v>
      </c>
      <c r="GN12" s="367">
        <f>GM12*(VLOOKUP($GK$9,各项系数!$D$1:$F$143,2,0))</f>
        <v>0</v>
      </c>
      <c r="GO12" s="390">
        <f t="shared" ref="GO12:GO20" si="46">GM12+GI12+GE12+GA12</f>
        <v>0</v>
      </c>
      <c r="GP12" s="390">
        <f t="shared" ref="GP12:GP20" si="47">GN12+GJ12+GF12+GB12</f>
        <v>0</v>
      </c>
      <c r="GQ12" s="406">
        <f>各项系数!$F$76/4*($MU12^2-$MS12^2)*10^-2*(VLOOKUP($S12,各项系数!$D$1:$F$143,3,0))*10^-3*10^2*各项系数!$J$4</f>
        <v>0.00960269110762306</v>
      </c>
      <c r="GR12" s="389">
        <v>1</v>
      </c>
      <c r="GS12" s="390">
        <f t="shared" ref="GS12:GS20" si="48">$GR12*$GQ12</f>
        <v>0.00960269110762306</v>
      </c>
      <c r="GT12" s="390">
        <f t="shared" ref="GT12:GT20" si="49">IF(OR(AND(EG12=$AC$3,EE12&lt;$AC$4),AND(EE12&lt;($AB$4+1),EG12&lt;$AB$3)),$AB$5,0)</f>
        <v>1</v>
      </c>
      <c r="GU12" s="390">
        <f>ROUND($GS12*(VLOOKUP($S12,各项系数!$D$1:$F$143,2,0))+$E$3*GS12,GT12)</f>
        <v>0.1</v>
      </c>
      <c r="GV12" s="406">
        <f>各项系数!$F$76/4*($MT12^2-$MS12^2)*10^-2*(VLOOKUP($GV$9,各项系数!$D$1:$F$143,3,0))*10^-3*10^2*各项系数!$J$4*PI()/4*R12</f>
        <v>0.00257602443475436</v>
      </c>
      <c r="GW12" s="389">
        <v>1</v>
      </c>
      <c r="GX12" s="390">
        <f t="shared" ref="GX12:GX20" si="50">$GW12*$GV12</f>
        <v>0.00257602443475436</v>
      </c>
      <c r="GY12" s="390">
        <f>$GX12*(VLOOKUP($GV$9,各项系数!$D$1:$F$143,2,0))</f>
        <v>0.173881649345919</v>
      </c>
      <c r="GZ12" s="406">
        <f>各项系数!$F$76/4*($MV12^2-$MS12^2)*10^-2*(VLOOKUP($GZ$9,各项系数!$D$1:$F$143,3,0))*10^-3*10^2*各项系数!$J$4</f>
        <v>0.0200785060956974</v>
      </c>
      <c r="HA12" s="389">
        <v>1</v>
      </c>
      <c r="HB12" s="390">
        <f t="shared" ref="HB12" si="51">HA12*GZ12</f>
        <v>0.0200785060956974</v>
      </c>
      <c r="HC12" s="390">
        <f>HB12*(VLOOKUP($GZ$9,各项系数!$D$1:$F$143,2,0))</f>
        <v>0.341334603626856</v>
      </c>
      <c r="HD12" s="406">
        <f>各项系数!$F$76/4*($MW12^2-$MT12^2)*10^-2*(VLOOKUP($HD$9,各项系数!$D$1:$F$143,3,0))*10^-3*10^2*各项系数!$J$4</f>
        <v>0.0210937934431139</v>
      </c>
      <c r="HE12" s="389">
        <v>1</v>
      </c>
      <c r="HF12" s="390">
        <f t="shared" ref="HF12" si="52">HE12*HD12</f>
        <v>0.0210937934431139</v>
      </c>
      <c r="HG12" s="390">
        <f>HF12*(VLOOKUP($HD$9,各项系数!$D$1:$F$143,2,0))</f>
        <v>0.358594488532937</v>
      </c>
      <c r="HH12" s="406">
        <f>各项系数!$F$76/4*($MV12^2-$MS12^2)*10^-2*(VLOOKUP($HH$9,各项系数!$D$1:$F$143,3,0))*10^-3*10^2*各项系数!$J$4</f>
        <v>0.0200785060956974</v>
      </c>
      <c r="HI12" s="420">
        <v>1</v>
      </c>
      <c r="HJ12" s="390">
        <f t="shared" ref="HJ12" si="53">HI12*HH12</f>
        <v>0.0200785060956974</v>
      </c>
      <c r="HK12" s="390">
        <f>HJ12*(VLOOKUP($HH$9,各项系数!$D$1:$F$143,2,0))</f>
        <v>0.341334603626856</v>
      </c>
      <c r="HL12" s="406">
        <f>各项系数!$F$76/4*($MW12^2-$MT12^2)*10^-2*(VLOOKUP($HL$9,各项系数!$D$1:$F$143,3,0))*10^-3*10^2*各项系数!$J$4</f>
        <v>0.0210937934431139</v>
      </c>
      <c r="HM12" s="420">
        <v>1</v>
      </c>
      <c r="HN12" s="390">
        <f t="shared" ref="HN12" si="54">HM12*HL12</f>
        <v>0.0210937934431139</v>
      </c>
      <c r="HO12" s="390">
        <f>HN12*(VLOOKUP($HL$9,各项系数!$D$1:$F$143,2,0))</f>
        <v>0.358594488532937</v>
      </c>
      <c r="HP12" s="406">
        <f>各项系数!$F$76/4*($MV12^2-$MS12^2)*10^-2*(VLOOKUP(AN12,各项系数!$D$1:$F$143,3,0))*10^-3*10^2*各项系数!$J$4</f>
        <v>0.0203554510073622</v>
      </c>
      <c r="HQ12" s="389">
        <v>1</v>
      </c>
      <c r="HR12" s="390">
        <f t="shared" ref="HR12:HR16" si="55">HQ12*HP12</f>
        <v>0.0203554510073622</v>
      </c>
      <c r="HS12" s="390">
        <f>HR12*(VLOOKUP(AN12,各项系数!$D$1:$F$143,2,0))</f>
        <v>0.203554510073622</v>
      </c>
      <c r="HT12" s="406">
        <f>各项系数!$F$76/4*($MW12^2-$MT12^2)*10^-2*(VLOOKUP(AN12,各项系数!$D$1:$F$143,3,0))*10^-3*10^2*各项系数!$J$4</f>
        <v>0.0213847423181914</v>
      </c>
      <c r="HU12" s="389">
        <v>1</v>
      </c>
      <c r="HV12" s="390">
        <f t="shared" ref="HV12:HV16" si="56">HU12*HT12</f>
        <v>0.0213847423181914</v>
      </c>
      <c r="HW12" s="390">
        <f>HV12*(VLOOKUP(AN12,各项系数!$D$1:$F$143,2,0))</f>
        <v>0.213847423181914</v>
      </c>
      <c r="HX12" s="406">
        <f>各项系数!$F$76/4*($MV12^2-$MS12^2)*10^-2*(VLOOKUP($HX$9,各项系数!$D$1:$F$143,3,0))*10^-3*10^2*各项系数!$J$4</f>
        <v>0.0203554510073622</v>
      </c>
      <c r="HY12" s="420">
        <v>1</v>
      </c>
      <c r="HZ12" s="390">
        <f t="shared" ref="HZ12:HZ16" si="57">HY12*HX12</f>
        <v>0.0203554510073622</v>
      </c>
      <c r="IA12" s="390">
        <f>HZ12*(VLOOKUP($HX$9,各项系数!$D$1:$F$143,2,0))</f>
        <v>0.223909961080984</v>
      </c>
      <c r="IB12" s="406">
        <f>各项系数!$F$76/4*($MW12^2-$MT12^2)*10^-2*(VLOOKUP($IB$9,各项系数!$D$1:$F$143,3,0))*10^-3*10^2*各项系数!$J$4</f>
        <v>0.0213847423181914</v>
      </c>
      <c r="IC12" s="420">
        <v>1</v>
      </c>
      <c r="ID12" s="390">
        <f t="shared" ref="ID12:ID20" si="58">IC12*IB12</f>
        <v>0.0213847423181914</v>
      </c>
      <c r="IE12" s="390">
        <f>ID12*(VLOOKUP($IB$9,各项系数!$D$1:$F$143,2,0))</f>
        <v>0.235232165500105</v>
      </c>
      <c r="IF12" s="429"/>
      <c r="IG12" s="406">
        <f>IK12+IM12</f>
        <v>0.000904968659935604</v>
      </c>
      <c r="IH12" s="389">
        <v>1</v>
      </c>
      <c r="II12" s="390">
        <f t="shared" ref="II12:II20" si="59">IH12*IG12</f>
        <v>0.000904968659935604</v>
      </c>
      <c r="IJ12" s="390">
        <f>II12*(VLOOKUP($IG$8,各项系数!$D$1:$F$143,2,0))</f>
        <v>0.0226242164983901</v>
      </c>
      <c r="IK12" s="406">
        <f>(各项系数!$F$76/4*($MX12^2-$MK12^2)*$EG12)*10^-2*(VLOOKUP($IG$8,各项系数!$D$1:$F$143,3,0))*10^-3*10^2*各项系数!$J$4</f>
        <v>0.000904968659935604</v>
      </c>
      <c r="IL12" s="389">
        <f>IK12*(VLOOKUP($IG$8,各项系数!$D$1:$F$143,2,0))</f>
        <v>0.0226242164983901</v>
      </c>
      <c r="IM12" s="390">
        <f>(各项系数!$F$76/4*(($MM12+3*$X12)^2-MM12^2)*$EO12)*10^-2*(VLOOKUP($IG$8,各项系数!$D$1:$F$143,3,0))*10^-3*10^2*各项系数!$J$4</f>
        <v>0</v>
      </c>
      <c r="IN12" s="389">
        <f>IM12*(VLOOKUP($IG$8,各项系数!$D$1:$F$143,2,0))</f>
        <v>0</v>
      </c>
      <c r="IO12" s="406">
        <f>各项系数!$F$76/4*($MZ12^2-$MX12^2)*10^-2*(VLOOKUP(L12,各项系数!$D$1:$F$143,3,0))*10^-3*10^2*$ES12*各项系数!$J$4</f>
        <v>0.00339209968219637</v>
      </c>
      <c r="IP12" s="389">
        <v>1</v>
      </c>
      <c r="IQ12" s="390">
        <f t="shared" ref="IQ12:IQ20" si="60">IP12*IO12</f>
        <v>0.00339209968219637</v>
      </c>
      <c r="IR12" s="367">
        <f>IQ12*(VLOOKUP(L12,各项系数!$D$1:$F$143,2,0))</f>
        <v>0.034599416758403</v>
      </c>
      <c r="IS12" s="406">
        <f>IF($L12&lt;&gt;$IS$9,0,各项系数!$F$76/4*($MZ12^2-$MX12^2)*10^-2*各项系数!$F$12*10^-3*10^2)*$ES12*各项系数!$J$4</f>
        <v>0</v>
      </c>
      <c r="IT12" s="389">
        <v>1</v>
      </c>
      <c r="IU12" s="390">
        <f t="shared" ref="IU12:IU20" si="61">IT12*IS12</f>
        <v>0</v>
      </c>
      <c r="IV12" s="367">
        <f>IU12*各项系数!$E$12</f>
        <v>0</v>
      </c>
      <c r="IW12" s="388">
        <f t="shared" ref="IW12:IW20" si="62">IQ12</f>
        <v>0.00339209968219637</v>
      </c>
      <c r="IX12" s="388">
        <f t="shared" ref="IX12:IX20" si="63">IR12</f>
        <v>0.034599416758403</v>
      </c>
      <c r="IY12" s="447">
        <f>各项系数!$F$76/4*($NB12^2-$MZ12^2*$EG12-$NA12^2*$EO12)*10^-2</f>
        <v>0</v>
      </c>
      <c r="IZ12" s="366">
        <f>VLOOKUP(EC12,$A$38:$B$65,2,0)</f>
        <v>1</v>
      </c>
      <c r="JA12" s="367">
        <f t="shared" ref="JA12:JA75" si="64">IY12*$IZ12</f>
        <v>0</v>
      </c>
      <c r="JB12" s="364">
        <f>IF($DE12&lt;&gt;$JB$9,0,$JA12*各项系数!$F$32*10^-3*10^2)*各项系数!$J$4</f>
        <v>0</v>
      </c>
      <c r="JC12" s="123">
        <v>1</v>
      </c>
      <c r="JD12" s="251">
        <f t="shared" ref="JD12:JD20" si="65">JC12*JB12</f>
        <v>0</v>
      </c>
      <c r="JE12" s="339">
        <f>JD12*各项系数!$E$32</f>
        <v>0</v>
      </c>
      <c r="JF12" s="364">
        <f>IF($DE12&lt;&gt;$JF$9,0,$JA12*VLOOKUP($JF$9,各项系数!$D$4:$F$540,2,0)*10^-3*10^2)*各项系数!$J$4</f>
        <v>0</v>
      </c>
      <c r="JG12" s="123">
        <v>1</v>
      </c>
      <c r="JH12" s="251">
        <f t="shared" ref="JH12:JH75" si="66">JG12*JF12</f>
        <v>0</v>
      </c>
      <c r="JI12" s="339">
        <f>JH12*VLOOKUP($JF$9,各项系数!$D$4:$F$540,3,0)</f>
        <v>0</v>
      </c>
      <c r="JJ12" s="364">
        <f t="shared" ref="JJ12:JJ20" si="67">JH12+JD12</f>
        <v>0</v>
      </c>
      <c r="JK12" s="251">
        <f t="shared" ref="JK12:JK20" si="68">JI12+JE12</f>
        <v>0</v>
      </c>
      <c r="JL12" s="364">
        <f>IF($DF12&lt;&gt;$JL$9,0,各项系数!$F$76/4*($NE12^2-$NC12^2)*10^-2*各项系数!$F$39*10^-3*10^2)*各项系数!$J$4</f>
        <v>0</v>
      </c>
      <c r="JM12" s="123">
        <v>1</v>
      </c>
      <c r="JN12" s="251">
        <f t="shared" ref="JN12:JN20" si="69">JM12*JL12</f>
        <v>0</v>
      </c>
      <c r="JO12" s="339">
        <f>JN12*各项系数!$E$39</f>
        <v>0</v>
      </c>
      <c r="JP12" s="364">
        <f>IF($DF12&lt;&gt;$JP$9,0,各项系数!$F$76/4*($NE12^2-$NC12^2)*10^-2*各项系数!$F$36*10^-3*10^2)*各项系数!$J$4</f>
        <v>0</v>
      </c>
      <c r="JQ12" s="123">
        <v>1</v>
      </c>
      <c r="JR12" s="251">
        <f t="shared" ref="JR12:JR20" si="70">JQ12*JP12</f>
        <v>0</v>
      </c>
      <c r="JS12" s="339">
        <f>JR12*各项系数!$E$36</f>
        <v>0</v>
      </c>
      <c r="JT12" s="364">
        <f>IF($DF12&lt;&gt;$JT$9,0,各项系数!$F$76/4*($NE12^2-$NC12^2)*10^-2*各项系数!$F$40*10^-3*10^2)*各项系数!$J$4</f>
        <v>0</v>
      </c>
      <c r="JU12" s="123">
        <v>1</v>
      </c>
      <c r="JV12" s="251">
        <f t="shared" ref="JV12:JV20" si="71">JU12*JT12</f>
        <v>0</v>
      </c>
      <c r="JW12" s="339">
        <f>JV12*各项系数!$E$40</f>
        <v>0</v>
      </c>
      <c r="JX12" s="364">
        <f>IF($DF12&lt;&gt;$JX$9,0,各项系数!$F$76/4*($NE12^2-$NC12^2)*10^-2*各项系数!$F$38*10^-3*10^2)*各项系数!$J$4</f>
        <v>0</v>
      </c>
      <c r="JY12" s="123">
        <v>1</v>
      </c>
      <c r="JZ12" s="251">
        <f t="shared" ref="JZ12:JZ20" si="72">JY12*JX12</f>
        <v>0</v>
      </c>
      <c r="KA12" s="339">
        <f>JZ12*各项系数!$E$38</f>
        <v>0</v>
      </c>
      <c r="KB12" s="364">
        <f>IF($DF12&lt;&gt;$KB$9,0,各项系数!$F$76/4*($NE12^2-$NC12^2)*10^-2*各项系数!$F$41*10^-3*10^2)*各项系数!$J$4</f>
        <v>0</v>
      </c>
      <c r="KC12" s="123">
        <v>1</v>
      </c>
      <c r="KD12" s="251">
        <f t="shared" ref="KD12:KD20" si="73">KC12*KB12</f>
        <v>0</v>
      </c>
      <c r="KE12" s="339">
        <f>KD12*各项系数!$E$41</f>
        <v>0</v>
      </c>
      <c r="KF12" s="251">
        <f t="shared" ref="KF12:KF20" si="74">KD12+JZ12+JV12+JR12+JN12</f>
        <v>0</v>
      </c>
      <c r="KG12" s="251">
        <f t="shared" ref="KG12:KG20" si="75">KE12+KA12+JW12+JS12+JO12</f>
        <v>0</v>
      </c>
      <c r="KH12" s="302">
        <f>各项系数!$F$76/4*($NG12^2-$NE12^2)*10^-2*各项系数!$F$44*10^-3*10^2*各项系数!$J$4*0.75*$U12</f>
        <v>0.0179240328935122</v>
      </c>
      <c r="KI12" s="123">
        <v>1</v>
      </c>
      <c r="KJ12" s="251">
        <f t="shared" ref="KJ12:KJ20" si="76">KI12*KH12</f>
        <v>0.0179240328935122</v>
      </c>
      <c r="KK12" s="251">
        <f>ROUND(KJ12*各项系数!$E$44,GT12)</f>
        <v>0.2</v>
      </c>
      <c r="KL12" s="302">
        <f>各项系数!$F$76/4*($NF12^2-$NE12^2)*10^-2*各项系数!$F$46*10^-3*10^2*各项系数!$J$4*PI()/4*R12</f>
        <v>0.00324650440308759</v>
      </c>
      <c r="KM12" s="123">
        <v>1</v>
      </c>
      <c r="KN12" s="251">
        <f t="shared" ref="KN12:KN20" si="77">$KL12*$KM12</f>
        <v>0.00324650440308759</v>
      </c>
      <c r="KO12" s="251">
        <f>KN12*各项系数!$E$46</f>
        <v>0.219139047208412</v>
      </c>
      <c r="KP12" s="302">
        <f>各项系数!$F$76/4*($NH12^2-$NE12^2)*10^-2*(VLOOKUP($KP$9,各项系数!$D$1:$F$143,3,0))*10^-3*10^2*各项系数!$J$4</f>
        <v>0.023124368137947</v>
      </c>
      <c r="KQ12" s="123">
        <v>1</v>
      </c>
      <c r="KR12" s="251">
        <f t="shared" ref="KR12" si="78">KQ12*KP12</f>
        <v>0.023124368137947</v>
      </c>
      <c r="KS12" s="251">
        <f>KR12*(VLOOKUP($KP$9,各项系数!$D$1:$F$143,2,0))</f>
        <v>0.393114258345099</v>
      </c>
      <c r="KT12" s="302">
        <f>各项系数!$F$76/4*($NI12^2-$NF12^2)*10^-2*(VLOOKUP($KT$9,各项系数!$D$1:$F$143,3,0))*10^-3*10^2*各项系数!$J$4</f>
        <v>0.0241396554853636</v>
      </c>
      <c r="KU12" s="123">
        <v>1</v>
      </c>
      <c r="KV12" s="251">
        <f t="shared" ref="KV12" si="79">KU12*KT12</f>
        <v>0.0241396554853636</v>
      </c>
      <c r="KW12" s="251">
        <f>KV12*(VLOOKUP($KT$9,各项系数!$D$1:$F$143,2,0))</f>
        <v>0.41037414325118</v>
      </c>
      <c r="KX12" s="251">
        <f>各项系数!$F$76/4*($NH12^2-$NE12^2)*10^-2*(VLOOKUP($KX$9,各项系数!$D$1:$F$143,3,0))*10^-3*10^2*各项系数!$J$4</f>
        <v>0.023124368137947</v>
      </c>
      <c r="KY12" s="479">
        <v>1</v>
      </c>
      <c r="KZ12" s="251">
        <f t="shared" ref="KZ12" si="80">KY12*KX12</f>
        <v>0.023124368137947</v>
      </c>
      <c r="LA12" s="251">
        <f>KZ12*(VLOOKUP($KX$9,各项系数!$D$1:$F$143,2,0))</f>
        <v>0.393114258345099</v>
      </c>
      <c r="LB12" s="251">
        <f>各项系数!$F$76/4*($NI12^2-$NF12^2)*10^-2*(VLOOKUP($LB$9,各项系数!$D$1:$F$143,3,0))*10^-3*10^2*各项系数!$J$4</f>
        <v>0.0241396554853636</v>
      </c>
      <c r="LC12" s="479">
        <v>1</v>
      </c>
      <c r="LD12" s="251">
        <f t="shared" ref="LD12" si="81">LC12*LB12</f>
        <v>0.0241396554853636</v>
      </c>
      <c r="LE12" s="251">
        <f>LD12*(VLOOKUP($LB$9,各项系数!$D$1:$F$143,2,0))</f>
        <v>0.41037414325118</v>
      </c>
      <c r="LF12" s="302">
        <f>各项系数!$F$76/4*($NH12^2-$NE12^2)*10^-2*(VLOOKUP(AN12,各项系数!$D$1:$F$143,3,0))*10^-3*10^2*各项系数!$J$4</f>
        <v>0.0234433249398497</v>
      </c>
      <c r="LG12" s="123">
        <v>1</v>
      </c>
      <c r="LH12" s="251">
        <f t="shared" ref="LH12:LH20" si="82">LG12*LF12</f>
        <v>0.0234433249398497</v>
      </c>
      <c r="LI12" s="251">
        <f>LH12*(VLOOKUP(AN12,各项系数!$D$1:$F$143,2,0))</f>
        <v>0.234433249398497</v>
      </c>
      <c r="LJ12" s="302">
        <f>各项系数!$F$76/4*($NI12^2-$NF12^2)*10^-2*(VLOOKUP(AN12,各项系数!$D$1:$F$143,3,0))*10^-3*10^2*各项系数!$J$4</f>
        <v>0.0244726162506789</v>
      </c>
      <c r="LK12" s="123">
        <v>1</v>
      </c>
      <c r="LL12" s="251">
        <f t="shared" ref="LL12:LL20" si="83">LK12*LJ12</f>
        <v>0.0244726162506789</v>
      </c>
      <c r="LM12" s="251">
        <f>LL12*(VLOOKUP(AN12,各项系数!$D$1:$F$143,2,0))</f>
        <v>0.244726162506789</v>
      </c>
      <c r="LN12" s="251">
        <f>各项系数!$F$76/4*($NH12^2-$NE12^2)*10^-2*(VLOOKUP($LN$9,各项系数!$D$1:$F$143,3,0))*10^-3*10^2*各项系数!$J$4</f>
        <v>0.0234433249398497</v>
      </c>
      <c r="LO12" s="479">
        <v>1</v>
      </c>
      <c r="LP12" s="251">
        <f t="shared" ref="LP12:LP20" si="84">LO12*LN12</f>
        <v>0.0234433249398497</v>
      </c>
      <c r="LQ12" s="251">
        <f>LP12*(VLOOKUP($LN$9,各项系数!$D$1:$F$143,2,0))</f>
        <v>0.257876574338347</v>
      </c>
      <c r="LR12" s="251">
        <f>各项系数!$F$76/4*($NI12^2-$NF12^2)*10^-2*(VLOOKUP($LR$9,各项系数!$D$1:$F$143,3,0))*10^-3*10^2*各项系数!$J$4</f>
        <v>0.0244726162506789</v>
      </c>
      <c r="LS12" s="479">
        <v>1</v>
      </c>
      <c r="LT12" s="251">
        <f t="shared" ref="LT12:LT20" si="85">LS12*LR12</f>
        <v>0.0244726162506789</v>
      </c>
      <c r="LU12" s="251">
        <f>LT12*(VLOOKUP($LR$9,各项系数!$D$1:$F$143,2,0))</f>
        <v>0.269198778757468</v>
      </c>
      <c r="LV12" s="499">
        <f>ROUND(PI()*MJ12*MJ12/4*EG12,8)</f>
        <v>0.24999941</v>
      </c>
      <c r="LW12" s="499">
        <f>ROUND(PI()*ROUND($EJ12*10^-2,8)^2/4*$EG12*$EH12,8)</f>
        <v>0.24999941</v>
      </c>
      <c r="LX12" s="499">
        <f>SQRT(LW12/PI()*4)</f>
        <v>0.564188917803655</v>
      </c>
      <c r="LY12" s="515">
        <f>LV12-LW12</f>
        <v>0</v>
      </c>
      <c r="LZ12" s="516">
        <f t="shared" ref="LZ12:LZ75" si="86">$LZ$8</f>
        <v>1</v>
      </c>
      <c r="MA12" s="517">
        <f t="shared" ref="MA12:MA75" si="87">LV12-LY12*(1-LZ12)</f>
        <v>0.24999941</v>
      </c>
      <c r="MB12" s="517">
        <f>ROUND(SQRT(MA12/EG12/PI()*4),8)</f>
        <v>0.56418892</v>
      </c>
      <c r="MC12" s="499">
        <f>ROUND(PI()*ML12*ML12/4*EO12,8)</f>
        <v>0</v>
      </c>
      <c r="MD12" s="499">
        <f>ROUND(PI()*ROUND($ER12*10^-2,8)^2/4*$EO12*$EP12,8)</f>
        <v>0</v>
      </c>
      <c r="ME12" s="499">
        <f>SQRT(MD12/PI()*4)</f>
        <v>0</v>
      </c>
      <c r="MF12" s="499">
        <f>MC12-MD12</f>
        <v>0</v>
      </c>
      <c r="MG12" s="516">
        <f>$MG$8</f>
        <v>1</v>
      </c>
      <c r="MH12" s="517">
        <f t="shared" ref="MH12:MH75" si="88">MC12-MF12*(1-MG12)</f>
        <v>0</v>
      </c>
      <c r="MI12" s="517">
        <f>IF(EK12=0,0,SQRT(MH12/EO12/PI()*4))</f>
        <v>0</v>
      </c>
      <c r="MJ12" s="251">
        <f t="shared" ref="MJ12:MJ75" si="89">ROUND(ROUND($EJ12*10^-2,8)*$EI12,8)</f>
        <v>0.56418892</v>
      </c>
      <c r="MK12" s="251">
        <f>ROUND((1-$H12)^(1/2)*$MB12,8)</f>
        <v>0.56418892</v>
      </c>
      <c r="ML12" s="251">
        <f t="shared" ref="ML12:ML20" si="90">$ER12*$EQ12*10^-2</f>
        <v>0</v>
      </c>
      <c r="MM12" s="251">
        <f t="shared" ref="MM12:MM75" si="91">(1-$K12)^(1/2)*$MI12</f>
        <v>0</v>
      </c>
      <c r="MN12" s="251">
        <f t="shared" ref="MN12:MN75" si="92">MK12+M12*2</f>
        <v>1.76418892</v>
      </c>
      <c r="MO12" s="251">
        <f>IF(MM12=0,0,MM12+N12*2)</f>
        <v>0</v>
      </c>
      <c r="MP12" s="251">
        <f>ROUND($ET12*($EG12*MN12+$EO12*MO12)/$ES12,8)</f>
        <v>1.76418892</v>
      </c>
      <c r="MQ12" s="251">
        <f t="shared" ref="MQ12:MQ20" si="93">MP12</f>
        <v>1.76418892</v>
      </c>
      <c r="MR12" s="314">
        <f>IF(FR12=0,MQ12,ROUND(SQRT((PI()*MQ12*MQ12/4-(FR12-FT12))*4/PI()),8))</f>
        <v>1.76418892</v>
      </c>
      <c r="MS12" s="530">
        <f t="shared" ref="MS12:MS75" si="94">MR12+2*O12*(1+P12)</f>
        <v>1.76418892</v>
      </c>
      <c r="MT12" s="530">
        <f t="shared" ref="MT12:MT75" si="95">MS12+(Q12*R12*2)</f>
        <v>1.92418892</v>
      </c>
      <c r="MU12" s="530">
        <f t="shared" ref="MU12:MU21" si="96">MS12+(T12*U12*(1+V12))</f>
        <v>2.16418892</v>
      </c>
      <c r="MV12" s="530">
        <f t="shared" ref="MV12:MV75" si="97">MS12+W12*2</f>
        <v>4.56418892</v>
      </c>
      <c r="MW12" s="530">
        <f t="shared" ref="MW12:MW75" si="98">MT12+W12*2</f>
        <v>4.72418892</v>
      </c>
      <c r="MX12" s="326">
        <f t="shared" ref="MX12:MX21" si="99">MK12+2*Y12/2*X12*(1+Z12)</f>
        <v>1.04418892</v>
      </c>
      <c r="MY12" s="326">
        <f t="shared" ref="MY12:MY75" si="100">IF(MM12=0,0,MM12+3*X12)</f>
        <v>0</v>
      </c>
      <c r="MZ12" s="251">
        <f t="shared" ref="MZ12:MZ75" si="101">MX12+M12*2</f>
        <v>2.24418892</v>
      </c>
      <c r="NA12" s="251">
        <f t="shared" ref="NA12:NA75" si="102">IF(MM12=0,0,MY12+M12*2)</f>
        <v>0</v>
      </c>
      <c r="NB12" s="251">
        <f>ROUND($ET12*($EG12*MZ12+$EO12*NA12)/$ES12,8)</f>
        <v>2.24418892</v>
      </c>
      <c r="NC12" s="326">
        <f t="shared" ref="NC12:NC20" si="103">NB12</f>
        <v>2.24418892</v>
      </c>
      <c r="ND12" s="314">
        <f t="shared" ref="ND12:ND21" si="104">IF(IY12=0,NC12,ROUND(SQRT((PI()*NC12*NC12/4-(IY12-JA12))*4/PI()),8))</f>
        <v>2.24418892</v>
      </c>
      <c r="NE12" s="537">
        <f t="shared" ref="NE12:NE21" si="105">ND12+2*O12*(1+P12)</f>
        <v>2.24418892</v>
      </c>
      <c r="NF12" s="530">
        <f t="shared" ref="NF12:NF75" si="106">NE12++(Q12*R12*2)</f>
        <v>2.40418892</v>
      </c>
      <c r="NG12" s="538">
        <f t="shared" ref="NG12:NG21" si="107">NE12+(T12*U12*(1+V12))</f>
        <v>2.64418892</v>
      </c>
      <c r="NH12" s="326">
        <f t="shared" ref="NH12:NH75" si="108">NE12+W12*2</f>
        <v>5.04418892</v>
      </c>
      <c r="NI12" s="530">
        <f t="shared" ref="NI12:NI75" si="109">NF12+W12*2</f>
        <v>5.20418892</v>
      </c>
      <c r="NK12" s="539">
        <f t="shared" ref="NK12:NK75" si="110">SUM(HR12,GM12,GI12,GE12,GA12,FW12,FN12,FJ12,FF12,FA12)</f>
        <v>0.0249686527484908</v>
      </c>
      <c r="NL12" s="539">
        <f t="shared" ref="NL12:NL75" si="111">SUM(FB12,FG12,FK12,FO12,FX12,GB12,GF12,GJ12,GN12,HS12)</f>
        <v>0.372898610617221</v>
      </c>
      <c r="NM12" s="539">
        <f t="shared" ref="NM12:NM75" si="112">SUM(HZ12,GM12,GI12,GE12,GA12,FW12,FN12,FJ12,FF12,FA12)</f>
        <v>0.0249686527484908</v>
      </c>
      <c r="NN12" s="539">
        <f t="shared" ref="NN12:NN75" si="113">SUM(FB12,FG12,FK12,FO12,FX12,GB12,GF12,GJ12,GN12,IA12)</f>
        <v>0.393254061624583</v>
      </c>
      <c r="NO12" s="539">
        <f t="shared" ref="NO12:NO75" si="114">SUM(LH12,KD12,JZ12,JV12,JR12,JN12,JH12,JD12,IU12,IQ12,IM12,II12,FA12)</f>
        <v>0.0299517756108079</v>
      </c>
      <c r="NP12" s="539">
        <f t="shared" ref="NP12:NP75" si="115">SUM(LI12,KE12,KA12,JW12,JS12,JO12,JI12,JE12,IV12,IR12,IN12,IJ12,FB12)</f>
        <v>0.436502425193405</v>
      </c>
      <c r="NQ12" s="539">
        <f t="shared" ref="NQ12:NQ75" si="116">SUM(LN12,KD12,JZ12,JV12,JR12,JN12,JH12,JD12,IU12,IQ12,IM12,II12,FA12)</f>
        <v>0.0299517756108079</v>
      </c>
      <c r="NR12" s="539">
        <f t="shared" ref="NR12:NR75" si="117">SUM(FB12,IJ12,IN12,IR12,IV12,JE12,JI12,JO12,JS12,JW12,KA12,KE12,LQ12)</f>
        <v>0.459945750133254</v>
      </c>
      <c r="NS12" s="539">
        <f t="shared" ref="NS12:NS75" si="118">SUM(HR12,GM12,GI12,GE12,GA12,FW12,FN12,FJ12,FF12,FA12,GV12)</f>
        <v>0.0275446771832451</v>
      </c>
      <c r="NT12" s="539">
        <f t="shared" ref="NT12:NT75" si="119">SUM(HZ12,GM12,GI12,GE12,GA12,FW12,FN12,FJ12,FF12,FA12,GV12)</f>
        <v>0.0275446771832451</v>
      </c>
      <c r="NU12" s="539">
        <f t="shared" ref="NU12:NU75" si="120">SUM(LH12,KD12,JZ12,JV12,JR12,JN12,JH12,JD12,IU12,IQ12,IM12,II12,FA12,KL12)</f>
        <v>0.0331982800138955</v>
      </c>
      <c r="NV12" s="539">
        <f t="shared" ref="NV12:NV75" si="121">SUM(LN12,KD12,JZ12,JV12,JR12,JN12,JH12,JD12,IU12,IQ12,IM12,II12,FA12,KL12)</f>
        <v>0.0331982800138955</v>
      </c>
      <c r="NW12">
        <f t="shared" ref="NW12:NW75" si="122">NK12+GS12</f>
        <v>0.0345713438561139</v>
      </c>
      <c r="NX12">
        <f>各项系数!$M$9*NK12</f>
        <v>0.00749059582454724</v>
      </c>
      <c r="NY12">
        <f t="shared" ref="NY12:NY75" si="123">SUM(HR12,GX12,GM12,GI12,GE12,GA12,FW12,FN12,FJ12,FF12,FA12)</f>
        <v>0.0275446771832451</v>
      </c>
      <c r="OB12" s="82" t="str">
        <f t="shared" ref="OB12:OB35" si="124">D12</f>
        <v>1*0.3</v>
      </c>
      <c r="OC12" s="546">
        <f t="shared" ref="OC12:OC35" si="125">F12</f>
        <v>56.418892388858</v>
      </c>
      <c r="OD12" s="546">
        <f>SQRT(4*EY12/PI()/EH12/各项系数!$J$4/各项系数!$F$5*10000000)</f>
        <v>56.418892388858</v>
      </c>
      <c r="OE12" s="547">
        <f t="shared" ref="OE12:OE35" si="126">OC12*OC12*10^-4*PI()/4*EH12</f>
        <v>0.249999415392618</v>
      </c>
      <c r="OF12" s="547">
        <f t="shared" ref="OF12:OF35" si="127">OD12*OD12*PI()/4*EH12*10^-4</f>
        <v>0.249999415392618</v>
      </c>
      <c r="OG12" s="82"/>
      <c r="OH12" s="548"/>
    </row>
    <row r="13" customHeight="1" spans="1:398">
      <c r="A13" s="66">
        <v>0.5</v>
      </c>
      <c r="B13" s="67">
        <v>0.08</v>
      </c>
      <c r="C13" s="68">
        <v>0.6</v>
      </c>
      <c r="D13" s="69" t="s">
        <v>911</v>
      </c>
      <c r="E13" s="70">
        <f t="shared" si="1"/>
        <v>4.78221538</v>
      </c>
      <c r="F13" s="73">
        <v>78.2215383368643</v>
      </c>
      <c r="G13" s="72"/>
      <c r="H13" s="72"/>
      <c r="I13" s="72"/>
      <c r="J13" s="72"/>
      <c r="K13" s="72"/>
      <c r="L13" s="118" t="s">
        <v>467</v>
      </c>
      <c r="M13" s="119">
        <f t="shared" si="2"/>
        <v>0.6</v>
      </c>
      <c r="N13" s="119">
        <f t="shared" si="3"/>
        <v>0</v>
      </c>
      <c r="O13" s="69"/>
      <c r="P13" s="120">
        <v>0.1</v>
      </c>
      <c r="Q13" s="162">
        <f>$Q$12</f>
        <v>0.1</v>
      </c>
      <c r="R13" s="160">
        <v>0.8</v>
      </c>
      <c r="S13" s="161" t="s">
        <v>521</v>
      </c>
      <c r="T13" s="162">
        <v>0.2</v>
      </c>
      <c r="U13" s="69">
        <v>2</v>
      </c>
      <c r="V13" s="160"/>
      <c r="W13" s="124">
        <v>1.4</v>
      </c>
      <c r="X13" s="164">
        <f>$X$12</f>
        <v>0.2</v>
      </c>
      <c r="Y13" s="219">
        <v>2</v>
      </c>
      <c r="Z13" s="220">
        <v>0.2</v>
      </c>
      <c r="AA13" s="217">
        <v>1</v>
      </c>
      <c r="AB13" s="186">
        <f>PI()*EJ13*EJ13/4*EH13*(1-H13)*AA13*各项系数!$F$5*各项系数!$J$4*10^-7</f>
        <v>0.0042507682542992</v>
      </c>
      <c r="AC13" s="186">
        <f t="shared" si="4"/>
        <v>78.2215383368643</v>
      </c>
      <c r="AD13" s="186">
        <f t="shared" si="5"/>
        <v>0.480554431810254</v>
      </c>
      <c r="AE13" s="186">
        <f>POWER(4*EU13/PI()/EG13/10^-7/EH13/(1-H13)/各项系数!$F$5/各项系数!$J$4,0.5)</f>
        <v>78.2215383368643</v>
      </c>
      <c r="AF13" s="218">
        <v>1</v>
      </c>
      <c r="AG13" s="85">
        <f>IF(EM13=0,0,PI()*ER13*ER13/4*EP13*(1-K13)*(1+AF13)*各项系数!$F$5*各项系数!$J$4*10^-7)</f>
        <v>0</v>
      </c>
      <c r="AH13" s="85">
        <f t="shared" si="6"/>
        <v>0</v>
      </c>
      <c r="AI13" s="85">
        <f t="shared" ref="AI13:AI76" si="128">PI()*AJ13*AJ13*10^-4/4*EP13</f>
        <v>0</v>
      </c>
      <c r="AJ13" s="85">
        <f>IF(OR(EP13="",EP13=0),0,POWER(4*EW13/PI()/EO13/10^-7/EP13/(1-K13)/各项系数!$F$5/各项系数!$J$4,0.5))</f>
        <v>0</v>
      </c>
      <c r="AK13" s="85" t="str">
        <f t="shared" si="8"/>
        <v>√</v>
      </c>
      <c r="AL13" s="85">
        <f t="shared" si="9"/>
        <v>0.596388535180475</v>
      </c>
      <c r="AM13" s="250">
        <f t="shared" si="10"/>
        <v>0.5</v>
      </c>
      <c r="AN13" s="118" t="s">
        <v>486</v>
      </c>
      <c r="AO13" s="259">
        <f>AP13+各项系数!$M$9*$NK13</f>
        <v>0.584694642333799</v>
      </c>
      <c r="AP13" s="259">
        <f>AQ13*(1+$BI13+(VLOOKUP($AM13,$A$12:$B$323,2,0))+各项系数!$J$6+各项系数!$M$5)*(1+$E$2)</f>
        <v>0.57603651477906</v>
      </c>
      <c r="AQ13" s="260">
        <f>AR13+各项系数!$L$9*$NK13</f>
        <v>0.544252187055045</v>
      </c>
      <c r="AR13" s="260">
        <f>AS13*(1+$BJ13+各项系数!$J$5+各项系数!$L$5)</f>
        <v>0.535594059500307</v>
      </c>
      <c r="AS13" s="260">
        <f t="shared" ref="AS13:AS76" si="129">SUM($FB13,$FQ13,$FX13,$GP13,$HS13)</f>
        <v>0.525092215196379</v>
      </c>
      <c r="AT13" s="259">
        <f>AU13+各项系数!$M$9*$NM13</f>
        <v>0.743686664449987</v>
      </c>
      <c r="AU13" s="259">
        <f>AV13*(1+$BI13+(VLOOKUP($AM13,$A$12:$B$323,2,0))+各项系数!$J$6+各项系数!$M$5)*(1+$E$2)</f>
        <v>0.735028536895248</v>
      </c>
      <c r="AV13" s="260">
        <f>AW13+各项系数!$L$9*$NM13</f>
        <v>0.694471406741542</v>
      </c>
      <c r="AW13" s="260">
        <f>AX13*(1+$BJ13+各项系数!$J$5+各项系数!$L$5)</f>
        <v>0.685813279186803</v>
      </c>
      <c r="AX13" s="260">
        <f t="shared" ref="AX13:AX76" si="130">SUM($FB13,$FQ13,$FX13,$GP13,$HC13)</f>
        <v>0.672365959987062</v>
      </c>
      <c r="AY13" s="259">
        <f>AZ13+各项系数!$M$9*$NS13</f>
        <v>0.807494984077977</v>
      </c>
      <c r="AZ13" s="259">
        <f>BA13*(1+$BI13+(VLOOKUP($AM13,$A$12:$B$214,2,0))+各项系数!$J$6+各项系数!$M$5)*(1+$E$2)</f>
        <v>0.797972685209064</v>
      </c>
      <c r="BA13" s="260">
        <f>BB13+各项系数!$L$9*$NS13</f>
        <v>0.753942446342653</v>
      </c>
      <c r="BB13" s="260">
        <f>BC13*(1+$BJ13+各项系数!$J$5+各项系数!$L$5)</f>
        <v>0.74442014747374</v>
      </c>
      <c r="BC13" s="262">
        <f t="shared" ref="BC13:BC76" si="131">SUM($FB13,$FQ13,$FX13,$GP13,$GY13,$HW13)</f>
        <v>0.729823673993863</v>
      </c>
      <c r="BD13" s="259">
        <f>BE13+各项系数!$M$9*$NS13</f>
        <v>0.974008326003961</v>
      </c>
      <c r="BE13" s="259">
        <f>BF13*(1+$BI13+(VLOOKUP($AM13,$A$12:$B$214,2,0))+各项系数!$J$6+各项系数!$M$5)*(1+$E$2)</f>
        <v>0.964486027135048</v>
      </c>
      <c r="BF13" s="260">
        <f>BG13+各项系数!$L$9*$NS13</f>
        <v>0.911267977262895</v>
      </c>
      <c r="BG13" s="260">
        <f>BH13*(1+$BJ13+各项系数!$J$5+各项系数!$L$5)</f>
        <v>0.901745678393982</v>
      </c>
      <c r="BH13" s="262">
        <f t="shared" ref="BH13:BH76" si="132">SUM($FB13,$FQ13,$FX13,$GP13,$GY13,$HO13)</f>
        <v>0.884064390582335</v>
      </c>
      <c r="BI13" s="67"/>
      <c r="BJ13" s="272"/>
      <c r="BK13" s="123"/>
      <c r="BL13" s="259">
        <f>BM13+各项系数!$M$9*$NM13</f>
        <v>0.613971778954879</v>
      </c>
      <c r="BM13" s="259">
        <f>BN13*(1+$CF13+(VLOOKUP($AM13,$A$12:$B$323,2,0))+各项系数!$J$6+各项系数!$M$5)*(1+$E$2)</f>
        <v>0.60531365140014</v>
      </c>
      <c r="BN13" s="260">
        <f>BO13+各项系数!$L$9*$NM13</f>
        <v>0.571913880763549</v>
      </c>
      <c r="BO13" s="260">
        <f>BP13*(1+$CG13+各项系数!$J$5+各项系数!$L$5)</f>
        <v>0.56325575320881</v>
      </c>
      <c r="BP13" s="260">
        <f t="shared" ref="BP13:BP76" si="133">SUM(FB13,FQ13,FX13,GP13,IA13)</f>
        <v>0.546850245833797</v>
      </c>
      <c r="BQ13" s="259">
        <f>BR13+各项系数!$M$9*$NM13</f>
        <v>0.75080298577049</v>
      </c>
      <c r="BR13" s="259">
        <f>BS13*(1+$CF13+(VLOOKUP($AM13,$A$12:$B$323,2,0))+各项系数!$J$6+各项系数!$M$5)*(1+$E$2)</f>
        <v>0.742144858215751</v>
      </c>
      <c r="BS13" s="260">
        <f>BT13+各项系数!$L$9*$NM13</f>
        <v>0.701195066341413</v>
      </c>
      <c r="BT13" s="260">
        <f>BU13*(1+$CG13+各项系数!$J$5+各项系数!$L$5)</f>
        <v>0.692536938786674</v>
      </c>
      <c r="BU13" s="260">
        <f t="shared" ref="BU13:BU76" si="134">SUM(FB13,FQ13,FX13,GP13,HK13)</f>
        <v>0.672365959987062</v>
      </c>
      <c r="BV13" s="259">
        <f>BW13+各项系数!$M$9*$NT13</f>
        <v>0.83872866721642</v>
      </c>
      <c r="BW13" s="259">
        <f>BX13*(1+$CF13+(VLOOKUP($AM13,$A$12:$B$214,2,0))+各项系数!$J$6+各项系数!$M$5)*(1+$E$2)</f>
        <v>0.829206368347507</v>
      </c>
      <c r="BX13" s="260">
        <f>BY13+各项系数!$L$9*$NT$12</f>
        <v>0.783452728975347</v>
      </c>
      <c r="BY13" s="260">
        <f>BZ13*(1+$CG13+各项系数!$J$5+各项系数!$L$5)</f>
        <v>0.775189325820373</v>
      </c>
      <c r="BZ13" s="262">
        <f t="shared" si="11"/>
        <v>0.75261099594211</v>
      </c>
      <c r="CA13" s="259">
        <f>CB13+各项系数!$M$9*$NT13</f>
        <v>0.982032848290251</v>
      </c>
      <c r="CB13" s="259">
        <f>CC13*(1+$CF13+(VLOOKUP($AM13,$A$12:$B$214,2,0))+各项系数!$J$6+各项系数!$M$5)*(1+$E$2)</f>
        <v>0.972510549421338</v>
      </c>
      <c r="CC13" s="260">
        <f>CD13+各项系数!$L$9*$NT$12</f>
        <v>0.918849725454779</v>
      </c>
      <c r="CD13" s="260">
        <f>CE13*(1+$CG13+各项系数!$J$5+各项系数!$L$5)</f>
        <v>0.910586322299805</v>
      </c>
      <c r="CE13" s="262">
        <f t="shared" ref="CE13:CE76" si="135">SUM($FB13,$FQ13,$FX13,$GP13,$GY13,$HO13)</f>
        <v>0.884064390582335</v>
      </c>
      <c r="CF13" s="277">
        <f t="shared" ref="CF13:CF76" si="136">BI13+$CF$2</f>
        <v>0</v>
      </c>
      <c r="CG13" s="277">
        <f t="shared" si="12"/>
        <v>0.01</v>
      </c>
      <c r="CH13" s="123"/>
      <c r="CI13" s="259">
        <f>CJ13+各项系数!$M$9*$NO13</f>
        <v>0.671867877656818</v>
      </c>
      <c r="CJ13" s="259">
        <f>CK13*(1+$DC13+(VLOOKUP($AM13,$A$12:$B$323,2,0))+各项系数!$J$6+各项系数!$M$5)*(1+$E$2)+各项系数!$M$9*$NK13</f>
        <v>0.661641208481457</v>
      </c>
      <c r="CK13" s="260">
        <f>CL13+各项系数!$L$9*$NO13</f>
        <v>0.616953024307179</v>
      </c>
      <c r="CL13" s="260">
        <f>CM13*(1+$DD13+各项系数!$J$5+各项系数!$L$5)</f>
        <v>0.606726355131818</v>
      </c>
      <c r="CM13" s="260">
        <f t="shared" si="13"/>
        <v>0.594829759933154</v>
      </c>
      <c r="CN13" s="259">
        <f>CO13+各项系数!$M$9*$NO13</f>
        <v>0.797524200917529</v>
      </c>
      <c r="CO13" s="259">
        <f>CP13*(1+$DC13+(VLOOKUP($AM13,$A$12:$B$323,2,0))+各项系数!$J$6+各项系数!$M$5)*(1+$E$2)+各项系数!$M$9*$NK13</f>
        <v>0.787297531742168</v>
      </c>
      <c r="CP13" s="260">
        <f>CQ13+各项系数!$L$9*$NO13</f>
        <v>0.735675929882303</v>
      </c>
      <c r="CQ13" s="260">
        <f>CR13*(1+$DD13+各项系数!$J$5+各项系数!$L$5)</f>
        <v>0.725449260706942</v>
      </c>
      <c r="CR13" s="260">
        <f t="shared" si="14"/>
        <v>0.711224765398962</v>
      </c>
      <c r="CS13" s="259">
        <f>CT13+各项系数!$M$9*$NU13</f>
        <v>0.935282565131918</v>
      </c>
      <c r="CT13" s="259">
        <f t="shared" si="15"/>
        <v>0.923990580651883</v>
      </c>
      <c r="CU13" s="260">
        <f>CV13+各项系数!$L$9*$NU13</f>
        <v>0.873006973405029</v>
      </c>
      <c r="CV13" s="260">
        <f>CW13*(1+$DD13+各项系数!$J$5+各项系数!$L$5)</f>
        <v>0.861714988924994</v>
      </c>
      <c r="CW13" s="262">
        <f t="shared" si="16"/>
        <v>0.844818616593132</v>
      </c>
      <c r="CX13" s="259">
        <f>CY13+各项系数!$M$9*$NU13</f>
        <v>1.12435986648729</v>
      </c>
      <c r="CY13" s="259">
        <f t="shared" si="17"/>
        <v>1.11306788200725</v>
      </c>
      <c r="CZ13" s="260">
        <f>DA13+各项系数!$L$9*$NU13</f>
        <v>1.05165143802651</v>
      </c>
      <c r="DA13" s="260">
        <f>DB13*(1+$DD13+各项系数!$J$5+各项系数!$L$5)</f>
        <v>1.04035945354647</v>
      </c>
      <c r="DB13" s="262">
        <f t="shared" si="18"/>
        <v>1.01996024857497</v>
      </c>
      <c r="DC13" s="277">
        <f t="shared" ref="DC13:DC76" si="137">BI13+$DC$2</f>
        <v>0</v>
      </c>
      <c r="DD13" s="277">
        <f t="shared" si="19"/>
        <v>0</v>
      </c>
      <c r="DE13" s="69"/>
      <c r="DF13" s="69"/>
      <c r="DG13" s="259">
        <f>DH13+各项系数!$M$9*$NQ13</f>
        <v>0.705249368394641</v>
      </c>
      <c r="DH13" s="259">
        <f>DI13*(1+$EA13+(VLOOKUP($AM13,$A$12:$B$323,2,0))+各项系数!$J$6+各项系数!$M$5)*(1+$E$2)+各项系数!$M$9*$NK13</f>
        <v>0.69502269921928</v>
      </c>
      <c r="DI13" s="260">
        <f>DJ13+各项系数!$L$9*$NQ13</f>
        <v>0.648492603613512</v>
      </c>
      <c r="DJ13" s="260">
        <f>DK13*(1+$EB13+各项系数!$J$5+各项系数!$L$5)</f>
        <v>0.638265934438151</v>
      </c>
      <c r="DK13" s="260">
        <f t="shared" si="20"/>
        <v>0.619675664503059</v>
      </c>
      <c r="DL13" s="259">
        <f>DM13+各项系数!$M$9*$NQ13</f>
        <v>0.861499497984913</v>
      </c>
      <c r="DM13" s="259">
        <f>DN13*(1+$EA13+(VLOOKUP($AM13,$A$12:$B$323,2,0))+各项系数!$J$6+各项系数!$M$5)*(1+$E$2)+各项系数!$M$9*$NK13</f>
        <v>0.851272828809552</v>
      </c>
      <c r="DN13" s="260">
        <f>DO13+各项系数!$L$9*$NQ13</f>
        <v>0.796121221896082</v>
      </c>
      <c r="DO13" s="260">
        <f>DP13*(1+$EB13+各项系数!$J$5+各项系数!$L$5)</f>
        <v>0.785894552720722</v>
      </c>
      <c r="DP13" s="260">
        <f t="shared" si="21"/>
        <v>0.763004420117205</v>
      </c>
      <c r="DQ13" s="259">
        <f>DR13+各项系数!$M$9*$NV13</f>
        <v>0.972432021909714</v>
      </c>
      <c r="DR13" s="259">
        <f t="shared" si="22"/>
        <v>0.961140037429679</v>
      </c>
      <c r="DS13" s="260">
        <f>DT13+各项系数!$L$9*$NV13</f>
        <v>0.908106611328117</v>
      </c>
      <c r="DT13" s="260">
        <f>DU13*(1+$EB13+各项系数!$J$5+各项系数!$L$5)</f>
        <v>0.896814626848082</v>
      </c>
      <c r="DU13" s="262">
        <f t="shared" si="23"/>
        <v>0.870693812473866</v>
      </c>
      <c r="DV13" s="259">
        <f>DW13+各项系数!$M$9*$NV13</f>
        <v>1.09243485212508</v>
      </c>
      <c r="DW13" s="259">
        <f t="shared" si="24"/>
        <v>1.08114286764505</v>
      </c>
      <c r="DX13" s="260">
        <f>DY13+各项系数!$L$9*$NV13</f>
        <v>1.02148797018617</v>
      </c>
      <c r="DY13" s="260">
        <f>DZ13*(1+$EB13+各项系数!$J$5+各项系数!$L$5)</f>
        <v>1.01019598570614</v>
      </c>
      <c r="DZ13" s="262">
        <f t="shared" si="25"/>
        <v>0.980772801656446</v>
      </c>
      <c r="EA13" s="277">
        <f t="shared" si="26"/>
        <v>0</v>
      </c>
      <c r="EB13" s="277">
        <f t="shared" si="27"/>
        <v>0.01</v>
      </c>
      <c r="EC13" s="302">
        <f t="shared" ref="EC13:EC76" si="138">IF(EO13=0,EG13,EG13&amp;"+"&amp;EO13)</f>
        <v>1</v>
      </c>
      <c r="ED13" s="302" t="str">
        <f t="shared" ref="ED12:ED19" si="139">IF(COUNTIF($D13,"*+*")&gt;0,MID($D13,1,FIND("+",$D13)-1),MID($D13,1,LEN($D13)))</f>
        <v>1*0.5</v>
      </c>
      <c r="EE13" s="251">
        <f t="shared" si="28"/>
        <v>0.5</v>
      </c>
      <c r="EF13" s="251">
        <f>LOOKUP(EH13,{1,7,10,14,19,24,30,37,48,61},{1,"1+6","2+8","4+10","1+6+12","2+8+14","4+10+16","1+6+12+18","3+9+15+21","1+6+12+18+24"})</f>
        <v>1</v>
      </c>
      <c r="EG13" s="250">
        <f t="shared" ref="EG13" si="140">IF(D13="",0,MID(D13,1,FIND("*",D13)-1))*1</f>
        <v>1</v>
      </c>
      <c r="EH13" s="260">
        <f>IF(AM13&lt;10,1,IF(AND(AM13&gt;=10,AM13&lt;=35),7,LOOKUP(AM13,{50,70,95,120,150,185,240,300,400,500,630},{10,14,19,24,30,37,48,61,61,61,61})*1))</f>
        <v>1</v>
      </c>
      <c r="EI13" s="250">
        <f>IF(EH13=0,0,VLOOKUP(EH13,各项系数!$D$142:$E$195,2,0))*1</f>
        <v>1</v>
      </c>
      <c r="EJ13" s="305">
        <f t="shared" ref="EJ13:EJ76" si="141">$F13-$G13</f>
        <v>78.2215383368643</v>
      </c>
      <c r="EK13" s="251">
        <f t="shared" si="30"/>
        <v>0</v>
      </c>
      <c r="EL13" s="251">
        <f t="shared" si="31"/>
        <v>0</v>
      </c>
      <c r="EM13" s="251">
        <f t="shared" si="32"/>
        <v>0</v>
      </c>
      <c r="EN13" s="251">
        <f>IF(EP13=0,0,LOOKUP(EP13,{1,7,10,14,19,24,30,37,48,61},{1,"1+6","2+8","4+10","1+6+12","2+8+14","4+10+16","1+6+12+18","3+9+15+21","1+6+12+18+24"}))</f>
        <v>0</v>
      </c>
      <c r="EO13" s="251">
        <f t="shared" si="33"/>
        <v>0</v>
      </c>
      <c r="EP13" s="251">
        <f>IF(EM13=0,0,IF(EM13&lt;10,1,IF(AND(EM13&gt;=10,EM13&lt;=35),7,LOOKUP(EM13,{50,70,95,120,150,185,240,300},{10,14,19,24,30,37,48,61})*1)))</f>
        <v>0</v>
      </c>
      <c r="EQ13" s="251">
        <f>IF(EP13=0,0,VLOOKUP(EP13,各项系数!$D$142:$E$195,2,0))*1</f>
        <v>0</v>
      </c>
      <c r="ER13" s="251">
        <f t="shared" si="34"/>
        <v>0</v>
      </c>
      <c r="ES13" s="302">
        <f t="shared" si="35"/>
        <v>1</v>
      </c>
      <c r="ET13" s="251">
        <f>VLOOKUP(ES13,各项系数!$D$142:$E$195,2,0)*1</f>
        <v>1</v>
      </c>
      <c r="EU13" s="311">
        <f>((各项系数!$F$76/4*$EJ13^2*$EG13*$EH13*1*10^-7)*(1-$H13)*AA13)*(VLOOKUP($EY$9,各项系数!$D$4:$F$143,3,0))*各项系数!$J$4</f>
        <v>0.00425076825429919</v>
      </c>
      <c r="EV13" s="312">
        <f>EU13*(VLOOKUP($EY$9,各项系数!$D$4:$F$143,2,0))</f>
        <v>0.278425320656597</v>
      </c>
      <c r="EW13" s="324">
        <f>(IF($EO13=0,0,(各项系数!$F$76/4*$ER13^2*$EO13*$EP13*1*10^-7))*(1-$K13)*$AF13)*(VLOOKUP($EY$9,各项系数!$D$4:$F$143,3,0))*各项系数!$J$4</f>
        <v>0</v>
      </c>
      <c r="EX13" s="325">
        <f>EW13*(VLOOKUP($EY$9,各项系数!$D$4:$F$143,2,0))</f>
        <v>0</v>
      </c>
      <c r="EY13" s="251">
        <f>((各项系数!$F$76/4*$EJ13^2*$EG13*$EH13*1*10^-7)*(1-$H13)*AA13+IF($EO13=0,0,(各项系数!$F$76/4*$ER13^2*$EO13*$EP13*1*10^-7))*(1-$K13)*$AF13)*(VLOOKUP($EY$9,各项系数!$D$4:$F$143,3,0))*各项系数!$J$4</f>
        <v>0.00425076825429919</v>
      </c>
      <c r="EZ13" s="123">
        <v>1</v>
      </c>
      <c r="FA13" s="251">
        <f t="shared" si="36"/>
        <v>0.00425076825429919</v>
      </c>
      <c r="FB13" s="326">
        <f>FA13*(VLOOKUP($EY$9,各项系数!$D$4:$F$143,2,0))</f>
        <v>0.278425320656597</v>
      </c>
      <c r="FC13" s="327"/>
      <c r="FD13" s="302">
        <f>各项系数!$F$76/4*($MN13^2-MK13^2)*10^-2*(VLOOKUP(L13,各项系数!$D$1:$F$143,3,0))*10^-3*10^2*$EG13*各项系数!$J$4</f>
        <v>0.0028516262907458</v>
      </c>
      <c r="FE13" s="339">
        <f>FD13*VLOOKUP(L13,各项系数!$D$1:$F$143,2,0)</f>
        <v>0.0290865881656071</v>
      </c>
      <c r="FF13" s="250">
        <f>各项系数!$F$76/4*($MO13^2-ML13^2)*10^-2*(VLOOKUP(L13,各项系数!$D$1:$F$143,3,0))*10^-3*10^2*$EO13*各项系数!$J$4</f>
        <v>0</v>
      </c>
      <c r="FG13" s="339">
        <f>FF13*VLOOKUP(L13,各项系数!$D$1:$F$143,2,0)</f>
        <v>0</v>
      </c>
      <c r="FH13" s="302">
        <f t="shared" ref="FH13:FH76" si="142">FF13+FD13</f>
        <v>0.0028516262907458</v>
      </c>
      <c r="FI13" s="123">
        <v>1</v>
      </c>
      <c r="FJ13" s="251">
        <f t="shared" si="37"/>
        <v>0.0028516262907458</v>
      </c>
      <c r="FK13" s="339">
        <f>FJ13*VLOOKUP(L13,各项系数!$D$1:$F$143,2,0)</f>
        <v>0.0290865881656071</v>
      </c>
      <c r="FL13" s="302"/>
      <c r="FM13" s="123"/>
      <c r="FN13" s="251"/>
      <c r="FO13" s="339"/>
      <c r="FP13" s="364">
        <f t="shared" si="38"/>
        <v>0.0028516262907458</v>
      </c>
      <c r="FQ13" s="364">
        <f t="shared" si="39"/>
        <v>0.0290865881656071</v>
      </c>
      <c r="FR13" s="365">
        <f>各项系数!$F$76/4*($MQ13^2-$MN13^2*$EG13-$MO13^2*$EO13)*10^-2</f>
        <v>0</v>
      </c>
      <c r="FS13" s="366">
        <f t="shared" ref="FS13:FS76" si="143">VLOOKUP(EC13,$A$38:$B$65,2,0)</f>
        <v>1</v>
      </c>
      <c r="FT13" s="367">
        <f t="shared" si="40"/>
        <v>0</v>
      </c>
      <c r="FU13" s="388">
        <f>$FT13*(VLOOKUP($FT$9,各项系数!$D$1:$F$143,3,0))*10^-3*10^2*各项系数!$J$55</f>
        <v>0</v>
      </c>
      <c r="FV13" s="389">
        <v>1</v>
      </c>
      <c r="FW13" s="390">
        <f t="shared" si="41"/>
        <v>0</v>
      </c>
      <c r="FX13" s="367">
        <f>FW13*(VLOOKUP($FT$9,各项系数!$D$1:$F$143,2,0))</f>
        <v>0</v>
      </c>
      <c r="FY13" s="388">
        <f>IF($BK13&lt;&gt;$FY$9,0,各项系数!$F$76/4*($MS13^2-$MQ13^2)*10^-2*(VLOOKUP($FY$9,各项系数!$D$1:$F$143,3,0))*10^-3*10^2)*各项系数!$J$4</f>
        <v>0</v>
      </c>
      <c r="FZ13" s="389">
        <v>1</v>
      </c>
      <c r="GA13" s="390">
        <f t="shared" si="42"/>
        <v>0</v>
      </c>
      <c r="GB13" s="367">
        <f>GA13*(VLOOKUP($FY$9,各项系数!$D$1:$F$143,2,0))</f>
        <v>0</v>
      </c>
      <c r="GC13" s="388">
        <f>IF($BK13&lt;&gt;$GC$9,0,各项系数!$F$76/4*($MS13^2-$MQ13^2)*10^-2*(VLOOKUP($GC$9,各项系数!$D$1:$F$143,3,0))*10^-3*10^2)*各项系数!$J$4</f>
        <v>0</v>
      </c>
      <c r="GD13" s="389">
        <v>1</v>
      </c>
      <c r="GE13" s="390">
        <f t="shared" si="43"/>
        <v>0</v>
      </c>
      <c r="GF13" s="367">
        <f>GE13*(VLOOKUP($GC$9,各项系数!$D$1:$F$143,2,0))</f>
        <v>0</v>
      </c>
      <c r="GG13" s="388">
        <f>IF($BK13&lt;&gt;$GG$9,0,各项系数!$F$76/4*($MS13^2-$MQ13^2)*10^-2*(VLOOKUP($GG$9,各项系数!$D$1:$F$143,3,0))*10^-3*10^2)*各项系数!$J$4</f>
        <v>0</v>
      </c>
      <c r="GH13" s="389">
        <v>1</v>
      </c>
      <c r="GI13" s="390">
        <f t="shared" si="44"/>
        <v>0</v>
      </c>
      <c r="GJ13" s="367">
        <f>GI13*(VLOOKUP($GG$9,各项系数!$D$1:$F$143,2,0))</f>
        <v>0</v>
      </c>
      <c r="GK13" s="388">
        <f>IF($BK13&lt;&gt;$GK$9,0,各项系数!$F$76/4*($MS13^2-$MQ13^2)*10^-2*(VLOOKUP($GK$9,各项系数!$D$1:$F$143,3,0))*10^-3*10^2)*各项系数!$J$4</f>
        <v>0</v>
      </c>
      <c r="GL13" s="389">
        <v>1</v>
      </c>
      <c r="GM13" s="390">
        <f t="shared" si="45"/>
        <v>0</v>
      </c>
      <c r="GN13" s="367">
        <f>GM13*(VLOOKUP($GK$9,各项系数!$D$1:$F$143,2,0))</f>
        <v>0</v>
      </c>
      <c r="GO13" s="390">
        <f t="shared" si="46"/>
        <v>0</v>
      </c>
      <c r="GP13" s="390">
        <f t="shared" si="47"/>
        <v>0</v>
      </c>
      <c r="GQ13" s="406">
        <f>各项系数!$F$76/4*($MU13^2-$MS13^2)*10^-2*(VLOOKUP($S13,各项系数!$D$1:$F$143,3,0))*10^-3*10^2*各项系数!$J$4</f>
        <v>0.0106685971044192</v>
      </c>
      <c r="GR13" s="389">
        <v>1</v>
      </c>
      <c r="GS13" s="390">
        <f t="shared" si="48"/>
        <v>0.0106685971044192</v>
      </c>
      <c r="GT13" s="390">
        <f t="shared" si="49"/>
        <v>1</v>
      </c>
      <c r="GU13" s="390">
        <f>ROUND($GS13*(VLOOKUP($S13,各项系数!$D$1:$F$143,2,0))+$E$3*GS13,GT13)</f>
        <v>0.1</v>
      </c>
      <c r="GV13" s="406">
        <f>各项系数!$F$76/4*($MT13^2-$MS13^2)*10^-2*(VLOOKUP($GV$9,各项系数!$D$1:$F$143,3,0))*10^-3*10^2*各项系数!$J$4*PI()/4*R13</f>
        <v>0.00288057104724729</v>
      </c>
      <c r="GW13" s="389">
        <v>1</v>
      </c>
      <c r="GX13" s="390">
        <f t="shared" si="50"/>
        <v>0.00288057104724729</v>
      </c>
      <c r="GY13" s="390">
        <f>$GX13*(VLOOKUP($GV$9,各项系数!$D$1:$F$143,2,0))</f>
        <v>0.194438545689192</v>
      </c>
      <c r="GZ13" s="406">
        <f>各项系数!$F$76/4*($MV13^2-$MS13^2)*10^-2*(VLOOKUP($GZ$9,各项系数!$D$1:$F$143,3,0))*10^-3*10^2*各项系数!$J$4</f>
        <v>0.0214620030096975</v>
      </c>
      <c r="HA13" s="389">
        <v>1</v>
      </c>
      <c r="HB13" s="390">
        <f t="shared" ref="HB13:HB76" si="144">HA13*GZ13</f>
        <v>0.0214620030096975</v>
      </c>
      <c r="HC13" s="390">
        <f>HB13*(VLOOKUP($GZ$9,各项系数!$D$1:$F$143,2,0))</f>
        <v>0.364854051164858</v>
      </c>
      <c r="HD13" s="406">
        <f>各项系数!$F$76/4*($MW13^2-$MT13^2)*10^-2*(VLOOKUP($HD$9,各项系数!$D$1:$F$143,3,0))*10^-3*10^2*各项系数!$J$4</f>
        <v>0.0224772903571141</v>
      </c>
      <c r="HE13" s="389">
        <v>1</v>
      </c>
      <c r="HF13" s="390">
        <f t="shared" ref="HF13:HF76" si="145">HE13*HD13</f>
        <v>0.0224772903571141</v>
      </c>
      <c r="HG13" s="390">
        <f>HF13*(VLOOKUP($HD$9,各项系数!$D$1:$F$143,2,0))</f>
        <v>0.382113936070939</v>
      </c>
      <c r="HH13" s="406">
        <f>各项系数!$F$76/4*($MV13^2-$MS13^2)*10^-2*(VLOOKUP($HH$9,各项系数!$D$1:$F$143,3,0))*10^-3*10^2*各项系数!$J$4</f>
        <v>0.0214620030096975</v>
      </c>
      <c r="HI13" s="420">
        <v>1</v>
      </c>
      <c r="HJ13" s="390">
        <f t="shared" ref="HJ13:HJ76" si="146">HI13*HH13</f>
        <v>0.0214620030096975</v>
      </c>
      <c r="HK13" s="390">
        <f>HJ13*(VLOOKUP($HH$9,各项系数!$D$1:$F$143,2,0))</f>
        <v>0.364854051164858</v>
      </c>
      <c r="HL13" s="406">
        <f>各项系数!$F$76/4*($MW13^2-$MT13^2)*10^-2*(VLOOKUP($HL$9,各项系数!$D$1:$F$143,3,0))*10^-3*10^2*各项系数!$J$4</f>
        <v>0.0224772903571141</v>
      </c>
      <c r="HM13" s="420">
        <v>1</v>
      </c>
      <c r="HN13" s="390">
        <f t="shared" ref="HN13:HN75" si="147">HM13*HL13</f>
        <v>0.0224772903571141</v>
      </c>
      <c r="HO13" s="390">
        <f>HN13*(VLOOKUP($HL$9,各项系数!$D$1:$F$143,2,0))</f>
        <v>0.382113936070939</v>
      </c>
      <c r="HP13" s="406">
        <f>各项系数!$F$76/4*($MV13^2-$MS13^2)*10^-2*(VLOOKUP(AN13,各项系数!$D$1:$F$143,3,0))*10^-3*10^2*各项系数!$J$4</f>
        <v>0.0217580306374175</v>
      </c>
      <c r="HQ13" s="389">
        <v>1</v>
      </c>
      <c r="HR13" s="390">
        <f t="shared" si="55"/>
        <v>0.0217580306374175</v>
      </c>
      <c r="HS13" s="390">
        <f>HR13*(VLOOKUP(AN13,各项系数!$D$1:$F$143,2,0))</f>
        <v>0.217580306374175</v>
      </c>
      <c r="HT13" s="406">
        <f>各项系数!$F$76/4*($MW13^2-$MT13^2)*10^-2*(VLOOKUP(AN13,各项系数!$D$1:$F$143,3,0))*10^-3*10^2*各项系数!$J$4</f>
        <v>0.0227873219482467</v>
      </c>
      <c r="HU13" s="389">
        <v>1</v>
      </c>
      <c r="HV13" s="390">
        <f t="shared" si="56"/>
        <v>0.0227873219482467</v>
      </c>
      <c r="HW13" s="390">
        <f>HV13*(VLOOKUP(AN13,各项系数!$D$1:$F$143,2,0))</f>
        <v>0.227873219482467</v>
      </c>
      <c r="HX13" s="406">
        <f>各项系数!$F$76/4*($MV13^2-$MS13^2)*10^-2*(VLOOKUP($HX$9,各项系数!$D$1:$F$143,3,0))*10^-3*10^2*各项系数!$J$4</f>
        <v>0.0217580306374175</v>
      </c>
      <c r="HY13" s="420">
        <v>1</v>
      </c>
      <c r="HZ13" s="390">
        <f t="shared" si="57"/>
        <v>0.0217580306374175</v>
      </c>
      <c r="IA13" s="390">
        <f>HZ13*(VLOOKUP($HX$9,各项系数!$D$1:$F$143,2,0))</f>
        <v>0.239338337011592</v>
      </c>
      <c r="IB13" s="406">
        <f>各项系数!$F$76/4*($MW13^2-$MT13^2)*10^-2*(VLOOKUP($IB$9,各项系数!$D$1:$F$143,3,0))*10^-3*10^2*各项系数!$J$4</f>
        <v>0.0227873219482467</v>
      </c>
      <c r="IC13" s="420">
        <v>1</v>
      </c>
      <c r="ID13" s="390">
        <f t="shared" si="58"/>
        <v>0.0227873219482467</v>
      </c>
      <c r="IE13" s="390">
        <f>ID13*(VLOOKUP($IB$9,各项系数!$D$1:$F$143,2,0))</f>
        <v>0.250660541430713</v>
      </c>
      <c r="IF13" s="429"/>
      <c r="IG13" s="406">
        <f t="shared" ref="IG13:IG76" si="148">IK13+IM13</f>
        <v>0.00115031786635927</v>
      </c>
      <c r="IH13" s="389">
        <v>1</v>
      </c>
      <c r="II13" s="390">
        <f t="shared" si="59"/>
        <v>0.00115031786635927</v>
      </c>
      <c r="IJ13" s="390">
        <f>II13*(VLOOKUP($IG$8,各项系数!$D$1:$F$143,2,0))</f>
        <v>0.0287579466589817</v>
      </c>
      <c r="IK13" s="406">
        <f>(各项系数!$F$76/4*($MX13^2-$MK13^2)*$EG13)*10^-2*(VLOOKUP($IG$8,各项系数!$D$1:$F$143,3,0))*10^-3*10^2*各项系数!$J$4</f>
        <v>0.00115031786635927</v>
      </c>
      <c r="IL13" s="389">
        <f>IK13*(VLOOKUP($IG$8,各项系数!$D$1:$F$143,2,0))</f>
        <v>0.0287579466589817</v>
      </c>
      <c r="IM13" s="390">
        <f>(各项系数!$F$76/4*(($MM13+3*$X13)^2-MM13^2)*$EO13)*10^-2*(VLOOKUP($IG$8,各项系数!$D$1:$F$143,3,0))*10^-3*10^2*各项系数!$J$4</f>
        <v>0</v>
      </c>
      <c r="IN13" s="389">
        <f>IM13*(VLOOKUP($IG$8,各项系数!$D$1:$F$143,2,0))</f>
        <v>0</v>
      </c>
      <c r="IO13" s="406">
        <f>各项系数!$F$76/4*($MZ13^2-$MX13^2)*10^-2*(VLOOKUP(L13,各项系数!$D$1:$F$143,3,0))*10^-3*10^2*$ES13*各项系数!$J$4</f>
        <v>0.00384190656063975</v>
      </c>
      <c r="IP13" s="389">
        <v>1</v>
      </c>
      <c r="IQ13" s="390">
        <f t="shared" si="60"/>
        <v>0.00384190656063975</v>
      </c>
      <c r="IR13" s="367">
        <f>IQ13*(VLOOKUP(L13,各项系数!$D$1:$F$143,2,0))</f>
        <v>0.0391874469185255</v>
      </c>
      <c r="IS13" s="406">
        <f>IF($L13&lt;&gt;$IS$9,0,各项系数!$F$76/4*($MZ13^2-$MX13^2)*10^-2*各项系数!$F$12*10^-3*10^2)*$ES13*各项系数!$J$4</f>
        <v>0</v>
      </c>
      <c r="IT13" s="389">
        <v>1</v>
      </c>
      <c r="IU13" s="390">
        <f t="shared" si="61"/>
        <v>0</v>
      </c>
      <c r="IV13" s="367">
        <f>IU13*各项系数!$E$12</f>
        <v>0</v>
      </c>
      <c r="IW13" s="388">
        <f t="shared" si="62"/>
        <v>0.00384190656063975</v>
      </c>
      <c r="IX13" s="388">
        <f t="shared" si="63"/>
        <v>0.0391874469185255</v>
      </c>
      <c r="IY13" s="447">
        <f>各项系数!$F$76/4*($NB13^2-$MZ13^2*$EG13-$NA13^2*$EO13)*10^-2</f>
        <v>0</v>
      </c>
      <c r="IZ13" s="366">
        <f t="shared" ref="IZ13:IZ21" si="149">VLOOKUP(EC13,$A$38:$B$65,2,0)</f>
        <v>1</v>
      </c>
      <c r="JA13" s="367">
        <f t="shared" si="64"/>
        <v>0</v>
      </c>
      <c r="JB13" s="364">
        <f>IF($DE13&lt;&gt;$JB$9,0,$JA13*各项系数!$F$32*10^-3*10^2)*各项系数!$J$4</f>
        <v>0</v>
      </c>
      <c r="JC13" s="123">
        <v>1</v>
      </c>
      <c r="JD13" s="251">
        <f t="shared" si="65"/>
        <v>0</v>
      </c>
      <c r="JE13" s="339">
        <f>JD13*各项系数!$E$32</f>
        <v>0</v>
      </c>
      <c r="JF13" s="364">
        <f>IF($DE13&lt;&gt;$JF$9,0,$JA13*VLOOKUP($JF$9,各项系数!$D$4:$F$540,2,0)*10^-3*10^2)*各项系数!$J$4</f>
        <v>0</v>
      </c>
      <c r="JG13" s="123">
        <v>1</v>
      </c>
      <c r="JH13" s="251">
        <f t="shared" si="66"/>
        <v>0</v>
      </c>
      <c r="JI13" s="339">
        <f>JH13*VLOOKUP($JF$9,各项系数!$D$4:$F$540,3,0)</f>
        <v>0</v>
      </c>
      <c r="JJ13" s="364">
        <f t="shared" si="67"/>
        <v>0</v>
      </c>
      <c r="JK13" s="251">
        <f t="shared" si="68"/>
        <v>0</v>
      </c>
      <c r="JL13" s="364">
        <f>IF($DF13&lt;&gt;$JL$9,0,各项系数!$F$76/4*($NE13^2-$NC13^2)*10^-2*各项系数!$F$39*10^-3*10^2)*各项系数!$J$4</f>
        <v>0</v>
      </c>
      <c r="JM13" s="123">
        <v>1</v>
      </c>
      <c r="JN13" s="251">
        <f t="shared" si="69"/>
        <v>0</v>
      </c>
      <c r="JO13" s="339">
        <f>JN13*各项系数!$E$39</f>
        <v>0</v>
      </c>
      <c r="JP13" s="364">
        <f>IF($DF13&lt;&gt;$JP$9,0,各项系数!$F$76/4*($NE13^2-$NC13^2)*10^-2*各项系数!$F$36*10^-3*10^2)*各项系数!$J$4</f>
        <v>0</v>
      </c>
      <c r="JQ13" s="123">
        <v>1</v>
      </c>
      <c r="JR13" s="251">
        <f t="shared" si="70"/>
        <v>0</v>
      </c>
      <c r="JS13" s="339">
        <f>JR13*各项系数!$E$36</f>
        <v>0</v>
      </c>
      <c r="JT13" s="364">
        <f>IF($DF13&lt;&gt;$JT$9,0,各项系数!$F$76/4*($NE13^2-$NC13^2)*10^-2*各项系数!$F$40*10^-3*10^2)*各项系数!$J$4</f>
        <v>0</v>
      </c>
      <c r="JU13" s="123">
        <v>1</v>
      </c>
      <c r="JV13" s="251">
        <f t="shared" si="71"/>
        <v>0</v>
      </c>
      <c r="JW13" s="339">
        <f>JV13*各项系数!$E$40</f>
        <v>0</v>
      </c>
      <c r="JX13" s="364">
        <f>IF($DF13&lt;&gt;$JX$9,0,各项系数!$F$76/4*($NE13^2-$NC13^2)*10^-2*各项系数!$F$38*10^-3*10^2)*各项系数!$J$4</f>
        <v>0</v>
      </c>
      <c r="JY13" s="123">
        <v>1</v>
      </c>
      <c r="JZ13" s="251">
        <f t="shared" si="72"/>
        <v>0</v>
      </c>
      <c r="KA13" s="339">
        <f>JZ13*各项系数!$E$38</f>
        <v>0</v>
      </c>
      <c r="KB13" s="364">
        <f>IF($DF13&lt;&gt;$KB$9,0,各项系数!$F$76/4*($NE13^2-$NC13^2)*10^-2*各项系数!$F$41*10^-3*10^2)*各项系数!$J$4</f>
        <v>0</v>
      </c>
      <c r="KC13" s="123">
        <v>1</v>
      </c>
      <c r="KD13" s="251">
        <f t="shared" si="73"/>
        <v>0</v>
      </c>
      <c r="KE13" s="339">
        <f>KD13*各项系数!$E$41</f>
        <v>0</v>
      </c>
      <c r="KF13" s="251">
        <f t="shared" si="74"/>
        <v>0</v>
      </c>
      <c r="KG13" s="251">
        <f t="shared" si="75"/>
        <v>0</v>
      </c>
      <c r="KH13" s="302">
        <f>各项系数!$F$76/4*($NG13^2-$NE13^2)*10^-2*各项系数!$F$44*10^-3*10^2*各项系数!$J$4*0.75*$U13</f>
        <v>0.0195228918887064</v>
      </c>
      <c r="KI13" s="123">
        <v>1</v>
      </c>
      <c r="KJ13" s="251">
        <f t="shared" si="76"/>
        <v>0.0195228918887064</v>
      </c>
      <c r="KK13" s="251">
        <f>ROUND(KJ13*各项系数!$E$44,GT13)</f>
        <v>0.2</v>
      </c>
      <c r="KL13" s="302">
        <f>各项系数!$F$76/4*($NF13^2-$NE13^2)*10^-2*各项系数!$F$46*10^-3*10^2*各项系数!$J$4*PI()/4*R13</f>
        <v>0.00355105101558052</v>
      </c>
      <c r="KM13" s="123">
        <v>1</v>
      </c>
      <c r="KN13" s="251">
        <f t="shared" si="77"/>
        <v>0.00355105101558052</v>
      </c>
      <c r="KO13" s="251">
        <f>KN13*各项系数!$E$46</f>
        <v>0.239695943551685</v>
      </c>
      <c r="KP13" s="302">
        <f>各项系数!$F$76/4*($NH13^2-$NE13^2)*10^-2*(VLOOKUP($KP$9,各项系数!$D$1:$F$143,3,0))*10^-3*10^2*各项系数!$J$4</f>
        <v>0.0245078650519471</v>
      </c>
      <c r="KQ13" s="123">
        <v>1</v>
      </c>
      <c r="KR13" s="251">
        <f t="shared" ref="KR13:KR76" si="150">KQ13*KP13</f>
        <v>0.0245078650519471</v>
      </c>
      <c r="KS13" s="251">
        <f>KR13*(VLOOKUP($KP$9,各项系数!$D$1:$F$143,2,0))</f>
        <v>0.416633705883101</v>
      </c>
      <c r="KT13" s="302">
        <f>各项系数!$F$76/4*($NI13^2-$NF13^2)*10^-2*(VLOOKUP($KT$9,各项系数!$D$1:$F$143,3,0))*10^-3*10^2*各项系数!$J$4</f>
        <v>0.0255231523993637</v>
      </c>
      <c r="KU13" s="123">
        <v>1</v>
      </c>
      <c r="KV13" s="251">
        <f t="shared" ref="KV13:KV76" si="151">KU13*KT13</f>
        <v>0.0255231523993637</v>
      </c>
      <c r="KW13" s="251">
        <f>KV13*(VLOOKUP($KT$9,各项系数!$D$1:$F$143,2,0))</f>
        <v>0.433893590789182</v>
      </c>
      <c r="KX13" s="251">
        <f>各项系数!$F$76/4*($NH13^2-$NE13^2)*10^-2*(VLOOKUP($KX$9,各项系数!$D$1:$F$143,3,0))*10^-3*10^2*各项系数!$J$4</f>
        <v>0.0245078650519471</v>
      </c>
      <c r="KY13" s="479">
        <v>1</v>
      </c>
      <c r="KZ13" s="251">
        <f t="shared" ref="KZ13:KZ76" si="152">KY13*KX13</f>
        <v>0.0245078650519471</v>
      </c>
      <c r="LA13" s="251">
        <f>KZ13*(VLOOKUP($KX$9,各项系数!$D$1:$F$143,2,0))</f>
        <v>0.416633705883101</v>
      </c>
      <c r="LB13" s="251">
        <f>各项系数!$F$76/4*($NI13^2-$NF13^2)*10^-2*(VLOOKUP($LB$9,各项系数!$D$1:$F$143,3,0))*10^-3*10^2*各项系数!$J$4</f>
        <v>0.0255231523993637</v>
      </c>
      <c r="LC13" s="479">
        <v>1</v>
      </c>
      <c r="LD13" s="251">
        <f t="shared" ref="LD13:LD76" si="153">LC13*LB13</f>
        <v>0.0255231523993637</v>
      </c>
      <c r="LE13" s="251">
        <f>LD13*(VLOOKUP($LB$9,各项系数!$D$1:$F$143,2,0))</f>
        <v>0.433893590789182</v>
      </c>
      <c r="LF13" s="302">
        <f>各项系数!$F$76/4*($NH13^2-$NE13^2)*10^-2*(VLOOKUP(AN13,各项系数!$D$1:$F$143,3,0))*10^-3*10^2*各项系数!$J$4</f>
        <v>0.024845904569905</v>
      </c>
      <c r="LG13" s="123">
        <v>1</v>
      </c>
      <c r="LH13" s="251">
        <f t="shared" si="82"/>
        <v>0.024845904569905</v>
      </c>
      <c r="LI13" s="251">
        <f>LH13*(VLOOKUP(AN13,各项系数!$D$1:$F$143,2,0))</f>
        <v>0.24845904569905</v>
      </c>
      <c r="LJ13" s="302">
        <f>各项系数!$F$76/4*($NI13^2-$NF13^2)*10^-2*(VLOOKUP(AN13,各项系数!$D$1:$F$143,3,0))*10^-3*10^2*各项系数!$J$4</f>
        <v>0.0258751958807342</v>
      </c>
      <c r="LK13" s="123">
        <v>1</v>
      </c>
      <c r="LL13" s="251">
        <f t="shared" si="83"/>
        <v>0.0258751958807342</v>
      </c>
      <c r="LM13" s="251">
        <f>LL13*(VLOOKUP(AN13,各项系数!$D$1:$F$143,2,0))</f>
        <v>0.258751958807342</v>
      </c>
      <c r="LN13" s="251">
        <f>各项系数!$F$76/4*($NH13^2-$NE13^2)*10^-2*(VLOOKUP($LN$9,各项系数!$D$1:$F$143,3,0))*10^-3*10^2*各项系数!$J$4</f>
        <v>0.024845904569905</v>
      </c>
      <c r="LO13" s="479">
        <v>1</v>
      </c>
      <c r="LP13" s="251">
        <f t="shared" si="84"/>
        <v>0.024845904569905</v>
      </c>
      <c r="LQ13" s="251">
        <f>LP13*(VLOOKUP($LN$9,各项系数!$D$1:$F$143,2,0))</f>
        <v>0.273304950268955</v>
      </c>
      <c r="LR13" s="251">
        <f>各项系数!$F$76/4*($NI13^2-$NF13^2)*10^-2*(VLOOKUP($LR$9,各项系数!$D$1:$F$143,3,0))*10^-3*10^2*各项系数!$J$4</f>
        <v>0.0258751958807342</v>
      </c>
      <c r="LS13" s="479">
        <v>1</v>
      </c>
      <c r="LT13" s="251">
        <f t="shared" si="85"/>
        <v>0.0258751958807342</v>
      </c>
      <c r="LU13" s="251">
        <f>LT13*(VLOOKUP($LR$9,各项系数!$D$1:$F$143,2,0))</f>
        <v>0.284627154688076</v>
      </c>
      <c r="LV13" s="499">
        <f t="shared" ref="LV13:LV76" si="154">ROUND(PI()*MJ13*MJ13/4*EG13,8)</f>
        <v>0.48055443</v>
      </c>
      <c r="LW13" s="499">
        <f t="shared" ref="LW13:LW76" si="155">ROUND(PI()*ROUND($EJ13*10^-2,8)^2/4*$EG13*$EH13,8)</f>
        <v>0.48055443</v>
      </c>
      <c r="LX13" s="499">
        <f t="shared" ref="LX13:LX76" si="156">SQRT(LW13/PI()*4)</f>
        <v>0.782215381895336</v>
      </c>
      <c r="LY13" s="515">
        <f t="shared" ref="LY13:LY76" si="157">LV13-LW13</f>
        <v>0</v>
      </c>
      <c r="LZ13" s="516">
        <f t="shared" si="86"/>
        <v>1</v>
      </c>
      <c r="MA13" s="517">
        <f t="shared" si="87"/>
        <v>0.48055443</v>
      </c>
      <c r="MB13" s="517">
        <f t="shared" ref="MB13:MB76" si="158">ROUND(SQRT(MA13/EG13/PI()*4),8)</f>
        <v>0.78221538</v>
      </c>
      <c r="MC13" s="499">
        <f t="shared" ref="MC13:MC76" si="159">ROUND(PI()*ML13*ML13/4*EO13,8)</f>
        <v>0</v>
      </c>
      <c r="MD13" s="499">
        <f t="shared" ref="MD13:MD76" si="160">ROUND(PI()*ROUND($ER13*10^-2,8)^2/4*$EO13*$EP13,8)</f>
        <v>0</v>
      </c>
      <c r="ME13" s="499">
        <f t="shared" ref="ME13:ME76" si="161">SQRT(MD13/PI()*4)</f>
        <v>0</v>
      </c>
      <c r="MF13" s="499">
        <f t="shared" ref="MF13:MF76" si="162">MC13-MD13</f>
        <v>0</v>
      </c>
      <c r="MG13" s="516">
        <f t="shared" ref="MG13:MG76" si="163">$MG$8</f>
        <v>1</v>
      </c>
      <c r="MH13" s="517">
        <f t="shared" si="88"/>
        <v>0</v>
      </c>
      <c r="MI13" s="517">
        <f t="shared" ref="MI13:MI76" si="164">IF(EK13=0,0,SQRT(MH13/EO13/PI()*4))</f>
        <v>0</v>
      </c>
      <c r="MJ13" s="251">
        <f t="shared" si="89"/>
        <v>0.78221538</v>
      </c>
      <c r="MK13" s="251">
        <f t="shared" ref="MK13:MK76" si="165">ROUND((1-$H13)^(1/2)*$MB13,8)</f>
        <v>0.78221538</v>
      </c>
      <c r="ML13" s="251">
        <f t="shared" si="90"/>
        <v>0</v>
      </c>
      <c r="MM13" s="251">
        <f t="shared" si="91"/>
        <v>0</v>
      </c>
      <c r="MN13" s="251">
        <f t="shared" si="92"/>
        <v>1.98221538</v>
      </c>
      <c r="MO13" s="251">
        <f t="shared" ref="MO13:MO76" si="166">IF(MM13=0,0,MM13+N13*2)</f>
        <v>0</v>
      </c>
      <c r="MP13" s="251">
        <f t="shared" ref="MP13:MP76" si="167">ROUND($ET13*($EG13*MN13+$EO13*MO13)/$ES13,8)</f>
        <v>1.98221538</v>
      </c>
      <c r="MQ13" s="251">
        <f t="shared" si="93"/>
        <v>1.98221538</v>
      </c>
      <c r="MR13" s="314">
        <f t="shared" ref="MR13:MR76" si="168">IF(FR13=0,MQ13,ROUND(SQRT((PI()*MQ13*MQ13/4-(FR13-FT13))*4/PI()),8))</f>
        <v>1.98221538</v>
      </c>
      <c r="MS13" s="530">
        <f t="shared" si="94"/>
        <v>1.98221538</v>
      </c>
      <c r="MT13" s="530">
        <f t="shared" si="95"/>
        <v>2.14221538</v>
      </c>
      <c r="MU13" s="530">
        <f t="shared" si="96"/>
        <v>2.38221538</v>
      </c>
      <c r="MV13" s="530">
        <f t="shared" si="97"/>
        <v>4.78221538</v>
      </c>
      <c r="MW13" s="530">
        <f t="shared" si="98"/>
        <v>4.94221538</v>
      </c>
      <c r="MX13" s="326">
        <f t="shared" si="99"/>
        <v>1.26221538</v>
      </c>
      <c r="MY13" s="326">
        <f t="shared" si="100"/>
        <v>0</v>
      </c>
      <c r="MZ13" s="251">
        <f t="shared" si="101"/>
        <v>2.46221538</v>
      </c>
      <c r="NA13" s="251">
        <f t="shared" si="102"/>
        <v>0</v>
      </c>
      <c r="NB13" s="251">
        <f t="shared" ref="NB13:NB76" si="169">ROUND($ET13*($EG13*MZ13+$EO13*NA13)/$ES13,8)</f>
        <v>2.46221538</v>
      </c>
      <c r="NC13" s="326">
        <f t="shared" si="103"/>
        <v>2.46221538</v>
      </c>
      <c r="ND13" s="314">
        <f t="shared" si="104"/>
        <v>2.46221538</v>
      </c>
      <c r="NE13" s="537">
        <f t="shared" si="105"/>
        <v>2.46221538</v>
      </c>
      <c r="NF13" s="530">
        <f t="shared" si="106"/>
        <v>2.62221538</v>
      </c>
      <c r="NG13" s="538">
        <f t="shared" si="107"/>
        <v>2.86221538</v>
      </c>
      <c r="NH13" s="326">
        <f t="shared" si="108"/>
        <v>5.26221538</v>
      </c>
      <c r="NI13" s="530">
        <f t="shared" si="109"/>
        <v>5.42221538</v>
      </c>
      <c r="NK13" s="539">
        <f t="shared" si="110"/>
        <v>0.0288604251824625</v>
      </c>
      <c r="NL13" s="539">
        <f t="shared" si="111"/>
        <v>0.525092215196379</v>
      </c>
      <c r="NM13" s="539">
        <f t="shared" si="112"/>
        <v>0.0288604251824625</v>
      </c>
      <c r="NN13" s="539">
        <f t="shared" si="113"/>
        <v>0.546850245833797</v>
      </c>
      <c r="NO13" s="539">
        <f t="shared" si="114"/>
        <v>0.0340888972512032</v>
      </c>
      <c r="NP13" s="539">
        <f t="shared" si="115"/>
        <v>0.594829759933154</v>
      </c>
      <c r="NQ13" s="539">
        <f t="shared" si="116"/>
        <v>0.0340888972512032</v>
      </c>
      <c r="NR13" s="539">
        <f t="shared" si="117"/>
        <v>0.619675664503059</v>
      </c>
      <c r="NS13" s="539">
        <f t="shared" si="118"/>
        <v>0.0317409962297098</v>
      </c>
      <c r="NT13" s="539">
        <f t="shared" si="119"/>
        <v>0.0317409962297098</v>
      </c>
      <c r="NU13" s="539">
        <f t="shared" si="120"/>
        <v>0.0376399482667838</v>
      </c>
      <c r="NV13" s="539">
        <f t="shared" si="121"/>
        <v>0.0376399482667838</v>
      </c>
      <c r="NW13">
        <f t="shared" si="122"/>
        <v>0.0395290222868817</v>
      </c>
      <c r="NX13">
        <f>各项系数!$M$9*NK13</f>
        <v>0.00865812755473874</v>
      </c>
      <c r="NY13">
        <f t="shared" si="123"/>
        <v>0.0317409962297098</v>
      </c>
      <c r="OB13" s="82" t="str">
        <f t="shared" si="124"/>
        <v>1*0.5</v>
      </c>
      <c r="OC13" s="546">
        <f t="shared" si="125"/>
        <v>78.2215383368643</v>
      </c>
      <c r="OD13" s="546">
        <f>SQRT(4*EY13/PI()/EH13/各项系数!$J$4/各项系数!$F$5*10000000)</f>
        <v>78.2215383368643</v>
      </c>
      <c r="OE13" s="547">
        <f t="shared" si="126"/>
        <v>0.480554431810254</v>
      </c>
      <c r="OF13" s="547">
        <f t="shared" si="127"/>
        <v>0.480554431810254</v>
      </c>
      <c r="OG13" s="82"/>
      <c r="OH13" s="548"/>
    </row>
    <row r="14" s="13" customFormat="1" customHeight="1" spans="1:398">
      <c r="A14" s="66">
        <v>0.75</v>
      </c>
      <c r="B14" s="67">
        <v>0.05</v>
      </c>
      <c r="C14" s="68">
        <v>0.6</v>
      </c>
      <c r="D14" s="74" t="s">
        <v>145</v>
      </c>
      <c r="E14" s="70">
        <f t="shared" si="1"/>
        <v>4.94818823</v>
      </c>
      <c r="F14" s="75">
        <v>94.8188231877261</v>
      </c>
      <c r="G14" s="76"/>
      <c r="H14" s="76"/>
      <c r="I14" s="76"/>
      <c r="J14" s="76"/>
      <c r="K14" s="76"/>
      <c r="L14" s="121" t="s">
        <v>467</v>
      </c>
      <c r="M14" s="119">
        <f t="shared" si="2"/>
        <v>0.6</v>
      </c>
      <c r="N14" s="119">
        <f t="shared" si="3"/>
        <v>0</v>
      </c>
      <c r="O14" s="74"/>
      <c r="P14" s="122">
        <v>0.1</v>
      </c>
      <c r="Q14" s="165">
        <f t="shared" ref="Q14:Q23" si="170">$Q$12</f>
        <v>0.1</v>
      </c>
      <c r="R14" s="166">
        <v>0.8</v>
      </c>
      <c r="S14" s="167" t="s">
        <v>521</v>
      </c>
      <c r="T14" s="165">
        <v>0.2</v>
      </c>
      <c r="U14" s="74">
        <v>2</v>
      </c>
      <c r="V14" s="166"/>
      <c r="W14" s="119">
        <v>1.4</v>
      </c>
      <c r="X14" s="168">
        <f t="shared" ref="X14:X23" si="171">$X$12</f>
        <v>0.2</v>
      </c>
      <c r="Y14" s="221">
        <v>2</v>
      </c>
      <c r="Z14" s="222">
        <v>0.2</v>
      </c>
      <c r="AA14" s="223">
        <v>1</v>
      </c>
      <c r="AB14" s="186">
        <f>PI()*EJ14*EJ14/4*EH14*(1-H14)*AA14*各项系数!$F$5*各项系数!$J$4*10^-7</f>
        <v>0.00624602682264371</v>
      </c>
      <c r="AC14" s="224">
        <f t="shared" si="4"/>
        <v>94.8188231877261</v>
      </c>
      <c r="AD14" s="186">
        <f t="shared" si="5"/>
        <v>0.706120797762005</v>
      </c>
      <c r="AE14" s="186">
        <f>POWER(4*EU14/PI()/EG14/10^-7/EH14/(1-H14)/各项系数!$F$5/各项系数!$J$4,0.5)</f>
        <v>94.8188231877261</v>
      </c>
      <c r="AF14" s="225">
        <v>1</v>
      </c>
      <c r="AG14" s="23">
        <f>IF(EM14=0,0,PI()*ER14*ER14/4*EP14*(1-K14)*(1+AF14)*各项系数!$F$5*各项系数!$J$4*10^-7)</f>
        <v>0</v>
      </c>
      <c r="AH14" s="23">
        <f t="shared" si="6"/>
        <v>0</v>
      </c>
      <c r="AI14" s="85">
        <f t="shared" si="128"/>
        <v>0</v>
      </c>
      <c r="AJ14" s="85">
        <f>IF(OR(EP14="",EP14=0),0,POWER(4*EW14/PI()/EO14/10^-7/EP14/(1-K14)/各项系数!$F$5/各项系数!$J$4,0.5))</f>
        <v>0</v>
      </c>
      <c r="AK14" s="23" t="str">
        <f t="shared" si="8"/>
        <v>√</v>
      </c>
      <c r="AL14" s="23">
        <f t="shared" si="9"/>
        <v>0.737263995340203</v>
      </c>
      <c r="AM14" s="78">
        <f t="shared" si="10"/>
        <v>0.75</v>
      </c>
      <c r="AN14" s="121" t="s">
        <v>486</v>
      </c>
      <c r="AO14" s="165">
        <f>AP14+各项系数!$M$9*$NK14</f>
        <v>0.722807838568826</v>
      </c>
      <c r="AP14" s="165">
        <f>AQ14*(1+$BI14+(VLOOKUP($AM14,$A$12:$B$323,2,0))+各项系数!$J$6+各项系数!$M$5)*(1+$E$2)</f>
        <v>0.713128094146266</v>
      </c>
      <c r="AQ14" s="261">
        <f>AR14+各项系数!$L$9*$NK14</f>
        <v>0.693030217829219</v>
      </c>
      <c r="AR14" s="261">
        <f>AS14*(1+$BJ14+各项系数!$J$5+各项系数!$L$5)</f>
        <v>0.683350473406659</v>
      </c>
      <c r="AS14" s="261">
        <f t="shared" si="129"/>
        <v>0.669951444516332</v>
      </c>
      <c r="AT14" s="165">
        <f>AU14+各项系数!$M$9*$NM14</f>
        <v>0.884968783848586</v>
      </c>
      <c r="AU14" s="165">
        <f>AV14*(1+$BI14+(VLOOKUP($AM14,$A$12:$B$323,2,0))+各项系数!$J$6+各项系数!$M$5)*(1+$E$2)</f>
        <v>0.875289039426026</v>
      </c>
      <c r="AV14" s="261">
        <f>AW14+各项系数!$L$9*$NM14</f>
        <v>0.850621029568539</v>
      </c>
      <c r="AW14" s="261">
        <f>AX14*(1+$BJ14+各项系数!$J$5+各项系数!$L$5)</f>
        <v>0.840941285145979</v>
      </c>
      <c r="AX14" s="261">
        <f t="shared" si="130"/>
        <v>0.824452240339195</v>
      </c>
      <c r="AY14" s="165">
        <f>AZ14+各项系数!$M$9*$NS14</f>
        <v>0.956009237677409</v>
      </c>
      <c r="AZ14" s="165">
        <f>BA14*(1+$BI14+(VLOOKUP($AM14,$A$12:$B$214,2,0))+各项系数!$J$6+各项系数!$M$5)*(1+$E$2)</f>
        <v>0.945395771021167</v>
      </c>
      <c r="BA14" s="261">
        <f>BB14+各项系数!$L$9*$NS14</f>
        <v>0.918751964063331</v>
      </c>
      <c r="BB14" s="261">
        <f>BC14*(1+$BJ14+各项系数!$J$5+各项系数!$L$5)</f>
        <v>0.908138497407089</v>
      </c>
      <c r="BC14" s="261">
        <f t="shared" si="131"/>
        <v>0.890331860203028</v>
      </c>
      <c r="BD14" s="165">
        <f>BE14+各项系数!$M$9*$NS14</f>
        <v>1.12548257721669</v>
      </c>
      <c r="BE14" s="165">
        <f>BF14*(1+$BI14+(VLOOKUP($AM14,$A$12:$B$214,2,0))+各项系数!$J$6+各项系数!$M$5)*(1+$E$2)</f>
        <v>1.11486911056045</v>
      </c>
      <c r="BF14" s="261">
        <f>BG14+各项系数!$L$9*$NS14</f>
        <v>1.0834490870364</v>
      </c>
      <c r="BG14" s="261">
        <f>BH14*(1+$BJ14+各项系数!$J$5+各项系数!$L$5)</f>
        <v>1.07283562038015</v>
      </c>
      <c r="BH14" s="261">
        <f t="shared" si="132"/>
        <v>1.05179962782368</v>
      </c>
      <c r="BI14" s="182"/>
      <c r="BJ14" s="273"/>
      <c r="BK14" s="78"/>
      <c r="BL14" s="165">
        <f>BM14+各项系数!$M$9*$NM14</f>
        <v>0.753893962043362</v>
      </c>
      <c r="BM14" s="165">
        <f>BN14*(1+$CF14+(VLOOKUP($AM14,$A$12:$B$323,2,0))+各项系数!$J$6+各项系数!$M$5)*(1+$E$2)</f>
        <v>0.744214217620802</v>
      </c>
      <c r="BN14" s="261">
        <f>BO14+各项系数!$L$9*$NM14</f>
        <v>0.723240250360351</v>
      </c>
      <c r="BO14" s="261">
        <f>BP14*(1+$CG14+各项系数!$J$5+各项系数!$L$5)</f>
        <v>0.713560505937791</v>
      </c>
      <c r="BP14" s="261">
        <f t="shared" si="133"/>
        <v>0.692777190230865</v>
      </c>
      <c r="BQ14" s="165">
        <f>BR14+各项系数!$M$9*$NM14</f>
        <v>0.893452397401676</v>
      </c>
      <c r="BR14" s="165">
        <f>BS14*(1+$CF14+(VLOOKUP($AM14,$A$12:$B$323,2,0))+各项系数!$J$6+各项系数!$M$5)*(1+$E$2)</f>
        <v>0.883772652979116</v>
      </c>
      <c r="BS14" s="261">
        <f>BT14+各项系数!$L$9*$NM14</f>
        <v>0.85886555197193</v>
      </c>
      <c r="BT14" s="261">
        <f>BU14*(1+$CG14+各项系数!$J$5+各项系数!$L$5)</f>
        <v>0.84918580754937</v>
      </c>
      <c r="BU14" s="261">
        <f t="shared" si="134"/>
        <v>0.824452240339195</v>
      </c>
      <c r="BV14" s="165">
        <f>BW14+各项系数!$M$9*$NT14</f>
        <v>0.988035775268164</v>
      </c>
      <c r="BW14" s="165">
        <f>BX14*(1+$CF14+(VLOOKUP($AM14,$A$12:$B$214,2,0))+各项系数!$J$6+各项系数!$M$5)*(1+$E$2)</f>
        <v>0.977422308611922</v>
      </c>
      <c r="BX14" s="261">
        <f>BY14+各项系数!$L$9*$NT$12</f>
        <v>0.949875907300216</v>
      </c>
      <c r="BY14" s="261">
        <f>BZ14*(1+$CG14+各项系数!$J$5+各项系数!$L$5)</f>
        <v>0.941612504145243</v>
      </c>
      <c r="BZ14" s="261">
        <f t="shared" si="11"/>
        <v>0.914186897228391</v>
      </c>
      <c r="CA14" s="165">
        <f>CB14+各项系数!$M$9*$NT14</f>
        <v>1.13388738004419</v>
      </c>
      <c r="CB14" s="165">
        <f>CC14*(1+$CF14+(VLOOKUP($AM14,$A$12:$B$214,2,0))+各项系数!$J$6+各项系数!$M$5)*(1+$E$2)</f>
        <v>1.12327391338795</v>
      </c>
      <c r="CC14" s="261">
        <f>CD14+各项系数!$L$9*$NT$12</f>
        <v>1.09161701981336</v>
      </c>
      <c r="CD14" s="261">
        <f>CE14*(1+$CG14+各项系数!$J$5+各项系数!$L$5)</f>
        <v>1.08335361665839</v>
      </c>
      <c r="CE14" s="261">
        <f t="shared" si="135"/>
        <v>1.05179962782368</v>
      </c>
      <c r="CF14" s="288">
        <f t="shared" si="136"/>
        <v>0</v>
      </c>
      <c r="CG14" s="288">
        <f t="shared" si="12"/>
        <v>0.01</v>
      </c>
      <c r="CH14" s="78"/>
      <c r="CI14" s="165">
        <f>CJ14+各项系数!$M$9*$NO14</f>
        <v>0.813879786657589</v>
      </c>
      <c r="CJ14" s="165">
        <f>CK14*(1+$DC14+(VLOOKUP($AM14,$A$12:$B$323,2,0))+各项系数!$J$6+各项系数!$M$5)*(1+$E$2)+各项系数!$M$9*$NK14</f>
        <v>0.802575468919398</v>
      </c>
      <c r="CK14" s="261">
        <f>CL14+各项系数!$L$9*$NO14</f>
        <v>0.770549780852126</v>
      </c>
      <c r="CL14" s="261">
        <f>CM14*(1+$DD14+各项系数!$J$5+各项系数!$L$5)</f>
        <v>0.759245463113935</v>
      </c>
      <c r="CM14" s="261">
        <f t="shared" si="13"/>
        <v>0.744358297170524</v>
      </c>
      <c r="CN14" s="165">
        <f>CO14+各项系数!$M$9*$NO14</f>
        <v>0.943631024716747</v>
      </c>
      <c r="CO14" s="165">
        <f>CP14*(1+$DC14+(VLOOKUP($AM14,$A$12:$B$323,2,0))+各项系数!$J$6+各项系数!$M$5)*(1+$E$2)+各项系数!$M$9*$NK14</f>
        <v>0.932326706978555</v>
      </c>
      <c r="CP14" s="261">
        <f>CQ14+各项系数!$L$9*$NO14</f>
        <v>0.896644278480073</v>
      </c>
      <c r="CQ14" s="261">
        <f>CR14*(1+$DD14+各项系数!$J$5+各项系数!$L$5)</f>
        <v>0.885339960741882</v>
      </c>
      <c r="CR14" s="261">
        <f t="shared" si="14"/>
        <v>0.867980353668511</v>
      </c>
      <c r="CS14" s="165">
        <f>CT14+各项系数!$M$9*$NU14</f>
        <v>1.08531082214885</v>
      </c>
      <c r="CT14" s="165">
        <f t="shared" si="15"/>
        <v>1.07287163818648</v>
      </c>
      <c r="CU14" s="261">
        <f>CV14+各项系数!$L$9*$NU14</f>
        <v>1.04263521689648</v>
      </c>
      <c r="CV14" s="261">
        <f>CW14*(1+$DD14+各项系数!$J$5+各项系数!$L$5)</f>
        <v>1.03019603293411</v>
      </c>
      <c r="CW14" s="261">
        <f t="shared" si="16"/>
        <v>1.00999611071971</v>
      </c>
      <c r="CX14" s="165">
        <f>CY14+各项系数!$M$9*$NU14</f>
        <v>1.27672134446671</v>
      </c>
      <c r="CY14" s="165">
        <f t="shared" si="17"/>
        <v>1.26428216050433</v>
      </c>
      <c r="CZ14" s="261">
        <f>DA14+各项系数!$L$9*$NU14</f>
        <v>1.22865127357078</v>
      </c>
      <c r="DA14" s="261">
        <f>DB14*(1+$DD14+各项系数!$J$5+各项系数!$L$5)</f>
        <v>1.21621208960841</v>
      </c>
      <c r="DB14" s="261">
        <f t="shared" si="18"/>
        <v>1.19236479373373</v>
      </c>
      <c r="DC14" s="288">
        <f t="shared" si="137"/>
        <v>0</v>
      </c>
      <c r="DD14" s="288">
        <f t="shared" si="19"/>
        <v>0</v>
      </c>
      <c r="DE14" s="74"/>
      <c r="DF14" s="74"/>
      <c r="DG14" s="165">
        <f>DH14+各项系数!$M$9*$NQ14</f>
        <v>0.849004301590762</v>
      </c>
      <c r="DH14" s="165">
        <f>DI14*(1+$EA14+(VLOOKUP($AM14,$A$12:$B$323,2,0))+各项系数!$J$6+各项系数!$M$5)*(1+$E$2)+各项系数!$M$9*$NK14</f>
        <v>0.83769998385257</v>
      </c>
      <c r="DI14" s="261">
        <f>DJ14+各项系数!$L$9*$NQ14</f>
        <v>0.804684392060263</v>
      </c>
      <c r="DJ14" s="261">
        <f>DK14*(1+$EB14+各项系数!$J$5+各项系数!$L$5)</f>
        <v>0.793380074322071</v>
      </c>
      <c r="DK14" s="261">
        <f t="shared" si="20"/>
        <v>0.770271916817545</v>
      </c>
      <c r="DL14" s="165">
        <f>DM14+各项系数!$M$9*$NQ14</f>
        <v>1.00744224520222</v>
      </c>
      <c r="DM14" s="165">
        <f>DN14*(1+$EA14+(VLOOKUP($AM14,$A$12:$B$323,2,0))+各项系数!$J$6+各项系数!$M$5)*(1+$E$2)+各项系数!$M$9*$NK14</f>
        <v>0.996137927464029</v>
      </c>
      <c r="DN14" s="261">
        <f>DO14+各项系数!$L$9*$NQ14</f>
        <v>0.958657126376549</v>
      </c>
      <c r="DO14" s="261">
        <f>DP14*(1+$EB14+各项系数!$J$5+各项系数!$L$5)</f>
        <v>0.947352808638357</v>
      </c>
      <c r="DP14" s="261">
        <f t="shared" si="21"/>
        <v>0.919760008386755</v>
      </c>
      <c r="DQ14" s="165">
        <f>DR14+各项系数!$M$9*$NV14</f>
        <v>1.12425966516505</v>
      </c>
      <c r="DR14" s="165">
        <f t="shared" si="22"/>
        <v>1.11182048120268</v>
      </c>
      <c r="DS14" s="261">
        <f>DT14+各项系数!$L$9*$NV14</f>
        <v>1.08048637629026</v>
      </c>
      <c r="DT14" s="261">
        <f>DU14*(1+$EB14+各项系数!$J$5+各项系数!$L$5)</f>
        <v>1.06804719232789</v>
      </c>
      <c r="DU14" s="261">
        <f t="shared" si="23"/>
        <v>1.03693902167756</v>
      </c>
      <c r="DV14" s="165">
        <f>DW14+各项系数!$M$9*$NV14</f>
        <v>1.24375543201063</v>
      </c>
      <c r="DW14" s="165">
        <f t="shared" si="24"/>
        <v>1.23131624804826</v>
      </c>
      <c r="DX14" s="261">
        <f>DY14+各项系数!$L$9*$NV14</f>
        <v>1.19661442959014</v>
      </c>
      <c r="DY14" s="261">
        <f>DZ14*(1+$EB14+各项系数!$J$5+各项系数!$L$5)</f>
        <v>1.18417524562777</v>
      </c>
      <c r="DZ14" s="261">
        <f t="shared" si="25"/>
        <v>1.14968470449298</v>
      </c>
      <c r="EA14" s="288">
        <f t="shared" si="26"/>
        <v>0</v>
      </c>
      <c r="EB14" s="288">
        <f t="shared" si="27"/>
        <v>0.01</v>
      </c>
      <c r="EC14" s="303">
        <f t="shared" si="138"/>
        <v>1</v>
      </c>
      <c r="ED14" s="303" t="str">
        <f t="shared" si="139"/>
        <v>1*0.75</v>
      </c>
      <c r="EE14" s="74">
        <f t="shared" si="28"/>
        <v>0.75</v>
      </c>
      <c r="EF14" s="74">
        <f>LOOKUP(EH14,{1,7,10,14,19,24,30,37,48,61},{1,"1+6","2+8","4+10","1+6+12","2+8+14","4+10+16","1+6+12+18","3+9+15+21","1+6+12+18+24"})</f>
        <v>1</v>
      </c>
      <c r="EG14" s="78">
        <f t="shared" si="29"/>
        <v>1</v>
      </c>
      <c r="EH14" s="261">
        <f>IF(AM14&lt;10,1,IF(AND(AM14&gt;=10,AM14&lt;=35),7,LOOKUP(AM14,{50,70,95,120,150,185,240,300,400,500,630},{10,14,19,24,30,37,48,61,61,61,61})*1))</f>
        <v>1</v>
      </c>
      <c r="EI14" s="78">
        <f>IF(EH14=0,0,VLOOKUP(EH14,各项系数!$D$142:$E$195,2,0))*1</f>
        <v>1</v>
      </c>
      <c r="EJ14" s="306">
        <f t="shared" si="141"/>
        <v>94.8188231877261</v>
      </c>
      <c r="EK14" s="74">
        <f t="shared" si="30"/>
        <v>0</v>
      </c>
      <c r="EL14" s="74">
        <f t="shared" si="31"/>
        <v>0</v>
      </c>
      <c r="EM14" s="74">
        <f t="shared" si="32"/>
        <v>0</v>
      </c>
      <c r="EN14" s="74">
        <f>IF(EP14=0,0,LOOKUP(EP14,{1,7,10,14,19,24,30,37,48,61},{1,"1+6","2+8","4+10","1+6+12","2+8+14","4+10+16","1+6+12+18","3+9+15+21","1+6+12+18+24"}))</f>
        <v>0</v>
      </c>
      <c r="EO14" s="74">
        <f t="shared" si="33"/>
        <v>0</v>
      </c>
      <c r="EP14" s="74">
        <f>IF(EM14=0,0,IF(EM14&lt;10,1,IF(AND(EM14&gt;=10,EM14&lt;=35),7,LOOKUP(EM14,{50,70,95,120,150,185,240,300},{10,14,19,24,30,37,48,61})*1)))</f>
        <v>0</v>
      </c>
      <c r="EQ14" s="74">
        <f>IF(EP14=0,0,VLOOKUP(EP14,各项系数!$D$142:$E$195,2,0))*1</f>
        <v>0</v>
      </c>
      <c r="ER14" s="74">
        <f t="shared" si="34"/>
        <v>0</v>
      </c>
      <c r="ES14" s="303">
        <f t="shared" si="35"/>
        <v>1</v>
      </c>
      <c r="ET14" s="74">
        <f>VLOOKUP(ES14,各项系数!$D$142:$E$195,2,0)*1</f>
        <v>1</v>
      </c>
      <c r="EU14" s="311">
        <f>((各项系数!$F$76/4*$EJ14^2*$EG14*$EH14*1*10^-7)*(1-$H14)*AA14)*(VLOOKUP($EY$9,各项系数!$D$4:$F$143,3,0))*各项系数!$J$4</f>
        <v>0.0062460268226437</v>
      </c>
      <c r="EV14" s="313">
        <f>EU14*(VLOOKUP($EY$9,各项系数!$D$4:$F$143,2,0))</f>
        <v>0.409114756883163</v>
      </c>
      <c r="EW14" s="324">
        <f>(IF($EO14=0,0,(各项系数!$F$76/4*$ER14^2*$EO14*$EP14*1*10^-7))*(1-$K14)*$AF14)*(VLOOKUP($EY$9,各项系数!$D$4:$F$143,3,0))*各项系数!$J$4</f>
        <v>0</v>
      </c>
      <c r="EX14" s="313">
        <f>EW14*(VLOOKUP($EY$9,各项系数!$D$4:$F$143,2,0))</f>
        <v>0</v>
      </c>
      <c r="EY14" s="251">
        <f>((各项系数!$F$76/4*$EJ14^2*$EG14*$EH14*1*10^-7)*(1-$H14)*AA14+IF($EO14=0,0,(各项系数!$F$76/4*$ER14^2*$EO14*$EP14*1*10^-7))*(1-$K14)*$AF14)*(VLOOKUP($EY$9,各项系数!$D$4:$F$143,3,0))*各项系数!$J$4</f>
        <v>0.0062460268226437</v>
      </c>
      <c r="EZ14" s="78">
        <v>1</v>
      </c>
      <c r="FA14" s="74">
        <f t="shared" si="36"/>
        <v>0.0062460268226437</v>
      </c>
      <c r="FB14" s="313">
        <f>FA14*(VLOOKUP($EY$9,各项系数!$D$4:$F$143,2,0))</f>
        <v>0.409114756883163</v>
      </c>
      <c r="FC14" s="328"/>
      <c r="FD14" s="303">
        <f>各项系数!$F$76/4*($MN14^2-MK14^2)*10^-2*(VLOOKUP(L14,各项系数!$D$1:$F$143,3,0))*10^-3*10^2*$EG14*各项系数!$J$4</f>
        <v>0.00319404220468969</v>
      </c>
      <c r="FE14" s="340">
        <f>FD14*VLOOKUP(L14,各项系数!$D$1:$F$143,2,0)</f>
        <v>0.0325792304878348</v>
      </c>
      <c r="FF14" s="78">
        <f>各项系数!$F$76/4*($MO14^2-ML14^2)*10^-2*(VLOOKUP(L14,各项系数!$D$1:$F$143,3,0))*10^-3*10^2*$EO14*各项系数!$J$4</f>
        <v>0</v>
      </c>
      <c r="FG14" s="340">
        <f>FF14*VLOOKUP(L14,各项系数!$D$1:$F$143,2,0)</f>
        <v>0</v>
      </c>
      <c r="FH14" s="303">
        <f t="shared" si="142"/>
        <v>0.00319404220468969</v>
      </c>
      <c r="FI14" s="78">
        <v>1</v>
      </c>
      <c r="FJ14" s="74">
        <f t="shared" si="37"/>
        <v>0.00319404220468969</v>
      </c>
      <c r="FK14" s="340">
        <f>FJ14*VLOOKUP(L14,各项系数!$D$1:$F$143,2,0)</f>
        <v>0.0325792304878348</v>
      </c>
      <c r="FL14" s="303"/>
      <c r="FM14" s="78"/>
      <c r="FN14" s="74"/>
      <c r="FO14" s="340"/>
      <c r="FP14" s="368">
        <f t="shared" si="38"/>
        <v>0.00319404220468969</v>
      </c>
      <c r="FQ14" s="368">
        <f t="shared" si="39"/>
        <v>0.0325792304878348</v>
      </c>
      <c r="FR14" s="369">
        <f>各项系数!$F$76/4*($MQ14^2-$MN14^2*$EG14-$MO14^2*$EO14)*10^-2</f>
        <v>0</v>
      </c>
      <c r="FS14" s="370">
        <f t="shared" si="143"/>
        <v>1</v>
      </c>
      <c r="FT14" s="367">
        <f t="shared" si="40"/>
        <v>0</v>
      </c>
      <c r="FU14" s="391">
        <f>$FT14*(VLOOKUP($FT$9,各项系数!$D$1:$F$143,3,0))*10^-3*10^2*各项系数!$J$55</f>
        <v>0</v>
      </c>
      <c r="FV14" s="392">
        <v>1</v>
      </c>
      <c r="FW14" s="393">
        <f t="shared" si="41"/>
        <v>0</v>
      </c>
      <c r="FX14" s="394">
        <f>FW14*(VLOOKUP($FT$9,各项系数!$D$1:$F$143,2,0))</f>
        <v>0</v>
      </c>
      <c r="FY14" s="391">
        <f>IF($BK14&lt;&gt;$FY$9,0,各项系数!$F$76/4*($MS14^2-$MQ14^2)*10^-2*(VLOOKUP($FY$9,各项系数!$D$1:$F$143,3,0))*10^-3*10^2)*各项系数!$J$4</f>
        <v>0</v>
      </c>
      <c r="FZ14" s="392">
        <v>1</v>
      </c>
      <c r="GA14" s="393">
        <f t="shared" si="42"/>
        <v>0</v>
      </c>
      <c r="GB14" s="394">
        <f>GA14*(VLOOKUP($FY$9,各项系数!$D$1:$F$143,2,0))</f>
        <v>0</v>
      </c>
      <c r="GC14" s="391">
        <f>IF($BK14&lt;&gt;$GC$9,0,各项系数!$F$76/4*($MS14^2-$MQ14^2)*10^-2*(VLOOKUP($GC$9,各项系数!$D$1:$F$143,3,0))*10^-3*10^2)*各项系数!$J$4</f>
        <v>0</v>
      </c>
      <c r="GD14" s="392">
        <v>1</v>
      </c>
      <c r="GE14" s="393">
        <f t="shared" si="43"/>
        <v>0</v>
      </c>
      <c r="GF14" s="394">
        <f>GE14*(VLOOKUP($GC$9,各项系数!$D$1:$F$143,2,0))</f>
        <v>0</v>
      </c>
      <c r="GG14" s="391">
        <f>IF($BK14&lt;&gt;$GG$9,0,各项系数!$F$76/4*($MS14^2-$MQ14^2)*10^-2*(VLOOKUP($GG$9,各项系数!$D$1:$F$143,3,0))*10^-3*10^2)*各项系数!$J$4</f>
        <v>0</v>
      </c>
      <c r="GH14" s="392">
        <v>1</v>
      </c>
      <c r="GI14" s="393">
        <f t="shared" si="44"/>
        <v>0</v>
      </c>
      <c r="GJ14" s="394">
        <f>GI14*(VLOOKUP($GG$9,各项系数!$D$1:$F$143,2,0))</f>
        <v>0</v>
      </c>
      <c r="GK14" s="391">
        <f>IF($BK14&lt;&gt;$GK$9,0,各项系数!$F$76/4*($MS14^2-$MQ14^2)*10^-2*(VLOOKUP($GK$9,各项系数!$D$1:$F$143,3,0))*10^-3*10^2)*各项系数!$J$4</f>
        <v>0</v>
      </c>
      <c r="GL14" s="392">
        <v>1</v>
      </c>
      <c r="GM14" s="393">
        <f t="shared" si="45"/>
        <v>0</v>
      </c>
      <c r="GN14" s="394">
        <f>GM14*(VLOOKUP($GK$9,各项系数!$D$1:$F$143,2,0))</f>
        <v>0</v>
      </c>
      <c r="GO14" s="393">
        <f t="shared" si="46"/>
        <v>0</v>
      </c>
      <c r="GP14" s="393">
        <f t="shared" si="47"/>
        <v>0</v>
      </c>
      <c r="GQ14" s="407">
        <f>各项系数!$F$76/4*($MU14^2-$MS14^2)*10^-2*(VLOOKUP($S14,各项系数!$D$1:$F$143,3,0))*10^-3*10^2*各项系数!$J$4</f>
        <v>0.0114800190580681</v>
      </c>
      <c r="GR14" s="392">
        <v>1</v>
      </c>
      <c r="GS14" s="393">
        <f t="shared" si="48"/>
        <v>0.0114800190580681</v>
      </c>
      <c r="GT14" s="393">
        <f t="shared" si="49"/>
        <v>1</v>
      </c>
      <c r="GU14" s="393">
        <f>ROUND($GS14*(VLOOKUP($S14,各项系数!$D$1:$F$143,2,0))+$E$3*GS14,GT14)</f>
        <v>0.1</v>
      </c>
      <c r="GV14" s="406">
        <f>各项系数!$F$76/4*($MT14^2-$MS14^2)*10^-2*(VLOOKUP($GV$9,各项系数!$D$1:$F$143,3,0))*10^-3*10^2*各项系数!$J$4*PI()/4*R14</f>
        <v>0.00311240744560599</v>
      </c>
      <c r="GW14" s="392">
        <v>1</v>
      </c>
      <c r="GX14" s="393">
        <f t="shared" si="50"/>
        <v>0.00311240744560599</v>
      </c>
      <c r="GY14" s="393">
        <f>$GX14*(VLOOKUP($GV$9,各项系数!$D$1:$F$143,2,0))</f>
        <v>0.210087502578404</v>
      </c>
      <c r="GZ14" s="407">
        <f>各项系数!$F$76/4*($MV14^2-$MS14^2)*10^-2*(VLOOKUP($GZ$9,各项系数!$D$1:$F$143,3,0))*10^-3*10^2*各项系数!$J$4</f>
        <v>0.0225151913510704</v>
      </c>
      <c r="HA14" s="392">
        <v>1</v>
      </c>
      <c r="HB14" s="393">
        <f t="shared" si="144"/>
        <v>0.0225151913510704</v>
      </c>
      <c r="HC14" s="393">
        <f>HB14*(VLOOKUP($GZ$9,各项系数!$D$1:$F$143,2,0))</f>
        <v>0.382758252968197</v>
      </c>
      <c r="HD14" s="407">
        <f>各项系数!$F$76/4*($MW14^2-$MT14^2)*10^-2*(VLOOKUP($HD$9,各项系数!$D$1:$F$143,3,0))*10^-3*10^2*各项系数!$J$4</f>
        <v>0.0235304786984869</v>
      </c>
      <c r="HE14" s="392">
        <v>1</v>
      </c>
      <c r="HF14" s="393">
        <f t="shared" si="145"/>
        <v>0.0235304786984869</v>
      </c>
      <c r="HG14" s="393">
        <f>HF14*(VLOOKUP($HD$9,各项系数!$D$1:$F$143,2,0))</f>
        <v>0.400018137874278</v>
      </c>
      <c r="HH14" s="407">
        <f>各项系数!$F$76/4*($MV14^2-$MS14^2)*10^-2*(VLOOKUP($HH$9,各项系数!$D$1:$F$143,3,0))*10^-3*10^2*各项系数!$J$4</f>
        <v>0.0225151913510704</v>
      </c>
      <c r="HI14" s="393">
        <v>1</v>
      </c>
      <c r="HJ14" s="393">
        <f t="shared" si="146"/>
        <v>0.0225151913510704</v>
      </c>
      <c r="HK14" s="393">
        <f>HJ14*(VLOOKUP($HH$9,各项系数!$D$1:$F$143,2,0))</f>
        <v>0.382758252968197</v>
      </c>
      <c r="HL14" s="407">
        <f>各项系数!$F$76/4*($MW14^2-$MT14^2)*10^-2*(VLOOKUP($HL$9,各项系数!$D$1:$F$143,3,0))*10^-3*10^2*各项系数!$J$4</f>
        <v>0.0235304786984869</v>
      </c>
      <c r="HM14" s="393">
        <v>1</v>
      </c>
      <c r="HN14" s="393">
        <f t="shared" si="147"/>
        <v>0.0235304786984869</v>
      </c>
      <c r="HO14" s="393">
        <f>HN14*(VLOOKUP($HL$9,各项系数!$D$1:$F$143,2,0))</f>
        <v>0.400018137874278</v>
      </c>
      <c r="HP14" s="407">
        <f>各项系数!$F$76/4*($MV14^2-$MS14^2)*10^-2*(VLOOKUP(AN14,各项系数!$D$1:$F$143,3,0))*10^-3*10^2*各项系数!$J$4</f>
        <v>0.0228257457145335</v>
      </c>
      <c r="HQ14" s="392">
        <v>1</v>
      </c>
      <c r="HR14" s="393">
        <f t="shared" si="55"/>
        <v>0.0228257457145335</v>
      </c>
      <c r="HS14" s="393">
        <f>HR14*(VLOOKUP(AN14,各项系数!$D$1:$F$143,2,0))</f>
        <v>0.228257457145335</v>
      </c>
      <c r="HT14" s="407">
        <f>各项系数!$F$76/4*($MW14^2-$MT14^2)*10^-2*(VLOOKUP(AN14,各项系数!$D$1:$F$143,3,0))*10^-3*10^2*各项系数!$J$4</f>
        <v>0.0238550370253626</v>
      </c>
      <c r="HU14" s="392">
        <v>1</v>
      </c>
      <c r="HV14" s="393">
        <f t="shared" si="56"/>
        <v>0.0238550370253626</v>
      </c>
      <c r="HW14" s="393">
        <f>HV14*(VLOOKUP(AN14,各项系数!$D$1:$F$143,2,0))</f>
        <v>0.238550370253626</v>
      </c>
      <c r="HX14" s="407">
        <f>各项系数!$F$76/4*($MV14^2-$MS14^2)*10^-2*(VLOOKUP($HX$9,各项系数!$D$1:$F$143,3,0))*10^-3*10^2*各项系数!$J$4</f>
        <v>0.0228257457145335</v>
      </c>
      <c r="HY14" s="393">
        <v>1</v>
      </c>
      <c r="HZ14" s="393">
        <f t="shared" si="57"/>
        <v>0.0228257457145335</v>
      </c>
      <c r="IA14" s="393">
        <f>HZ14*(VLOOKUP($HX$9,各项系数!$D$1:$F$143,2,0))</f>
        <v>0.251083202859868</v>
      </c>
      <c r="IB14" s="407">
        <f>各项系数!$F$76/4*($MW14^2-$MT14^2)*10^-2*(VLOOKUP($IB$9,各项系数!$D$1:$F$143,3,0))*10^-3*10^2*各项系数!$J$4</f>
        <v>0.0238550370253626</v>
      </c>
      <c r="IC14" s="393">
        <v>1</v>
      </c>
      <c r="ID14" s="393">
        <f t="shared" si="58"/>
        <v>0.0238550370253626</v>
      </c>
      <c r="IE14" s="393">
        <f>ID14*(VLOOKUP($IB$9,各项系数!$D$1:$F$143,2,0))</f>
        <v>0.262405407278989</v>
      </c>
      <c r="IF14" s="391"/>
      <c r="IG14" s="407">
        <f t="shared" si="148"/>
        <v>0.00133709018305594</v>
      </c>
      <c r="IH14" s="392">
        <v>1</v>
      </c>
      <c r="II14" s="393">
        <f t="shared" si="59"/>
        <v>0.00133709018305594</v>
      </c>
      <c r="IJ14" s="393">
        <f>II14*(VLOOKUP($IG$8,各项系数!$D$1:$F$143,2,0))</f>
        <v>0.0334272545763985</v>
      </c>
      <c r="IK14" s="407">
        <f>(各项系数!$F$76/4*($MX14^2-$MK14^2)*$EG14)*10^-2*(VLOOKUP($IG$8,各项系数!$D$1:$F$143,3,0))*10^-3*10^2*各项系数!$J$4</f>
        <v>0.00133709018305594</v>
      </c>
      <c r="IL14" s="392">
        <f>IK14*(VLOOKUP($IG$8,各项系数!$D$1:$F$143,2,0))</f>
        <v>0.0334272545763985</v>
      </c>
      <c r="IM14" s="393">
        <f>(各项系数!$F$76/4*(($MM14+3*$X14)^2-MM14^2)*$EO14)*10^-2*(VLOOKUP($IG$8,各项系数!$D$1:$F$143,3,0))*10^-3*10^2*各项系数!$J$4</f>
        <v>0</v>
      </c>
      <c r="IN14" s="392">
        <f>IM14*(VLOOKUP($IG$8,各项系数!$D$1:$F$143,2,0))</f>
        <v>0</v>
      </c>
      <c r="IO14" s="407">
        <f>各项系数!$F$76/4*($MZ14^2-$MX14^2)*10^-2*(VLOOKUP(L14,各项系数!$D$1:$F$143,3,0))*10^-3*10^2*$ES14*各项系数!$J$4</f>
        <v>0.00418432247458365</v>
      </c>
      <c r="IP14" s="392">
        <v>1</v>
      </c>
      <c r="IQ14" s="393">
        <f t="shared" si="60"/>
        <v>0.00418432247458365</v>
      </c>
      <c r="IR14" s="394">
        <f>IQ14*(VLOOKUP(L14,各项系数!$D$1:$F$143,2,0))</f>
        <v>0.0426800892407532</v>
      </c>
      <c r="IS14" s="407">
        <f>IF($L14&lt;&gt;$IS$9,0,各项系数!$F$76/4*($MZ14^2-$MX14^2)*10^-2*各项系数!$F$12*10^-3*10^2)*$ES14*各项系数!$J$4</f>
        <v>0</v>
      </c>
      <c r="IT14" s="392">
        <v>1</v>
      </c>
      <c r="IU14" s="393">
        <f t="shared" si="61"/>
        <v>0</v>
      </c>
      <c r="IV14" s="394">
        <f>IU14*各项系数!$E$12</f>
        <v>0</v>
      </c>
      <c r="IW14" s="391">
        <f t="shared" si="62"/>
        <v>0.00418432247458365</v>
      </c>
      <c r="IX14" s="391">
        <f t="shared" si="63"/>
        <v>0.0426800892407532</v>
      </c>
      <c r="IY14" s="448">
        <f>各项系数!$F$76/4*($NB14^2-$MZ14^2*$EG14-$NA14^2*$EO14)*10^-2</f>
        <v>0</v>
      </c>
      <c r="IZ14" s="370">
        <f t="shared" si="149"/>
        <v>1</v>
      </c>
      <c r="JA14" s="367">
        <f t="shared" si="64"/>
        <v>0</v>
      </c>
      <c r="JB14" s="368">
        <f>IF($DE14&lt;&gt;$JB$9,0,$JA14*各项系数!$F$32*10^-3*10^2)*各项系数!$J$4</f>
        <v>0</v>
      </c>
      <c r="JC14" s="78">
        <v>1</v>
      </c>
      <c r="JD14" s="74">
        <f t="shared" si="65"/>
        <v>0</v>
      </c>
      <c r="JE14" s="340">
        <f>JD14*各项系数!$E$32</f>
        <v>0</v>
      </c>
      <c r="JF14" s="364">
        <f>IF($DE14&lt;&gt;$JF$9,0,$JA14*VLOOKUP($JF$9,各项系数!$D$4:$F$540,2,0)*10^-3*10^2)*各项系数!$J$4</f>
        <v>0</v>
      </c>
      <c r="JG14" s="123">
        <v>1</v>
      </c>
      <c r="JH14" s="251">
        <f t="shared" si="66"/>
        <v>0</v>
      </c>
      <c r="JI14" s="339">
        <f>JH14*VLOOKUP($JF$9,各项系数!$D$4:$F$540,3,0)</f>
        <v>0</v>
      </c>
      <c r="JJ14" s="368">
        <f t="shared" si="67"/>
        <v>0</v>
      </c>
      <c r="JK14" s="74">
        <f t="shared" si="68"/>
        <v>0</v>
      </c>
      <c r="JL14" s="368">
        <f>IF($DF14&lt;&gt;$JL$9,0,各项系数!$F$76/4*($NE14^2-$NC14^2)*10^-2*各项系数!$F$39*10^-3*10^2)*各项系数!$J$4</f>
        <v>0</v>
      </c>
      <c r="JM14" s="78">
        <v>1</v>
      </c>
      <c r="JN14" s="74">
        <f t="shared" si="69"/>
        <v>0</v>
      </c>
      <c r="JO14" s="340">
        <f>JN14*各项系数!$E$39</f>
        <v>0</v>
      </c>
      <c r="JP14" s="368">
        <f>IF($DF14&lt;&gt;$JP$9,0,各项系数!$F$76/4*($NE14^2-$NC14^2)*10^-2*各项系数!$F$36*10^-3*10^2)*各项系数!$J$4</f>
        <v>0</v>
      </c>
      <c r="JQ14" s="78">
        <v>1</v>
      </c>
      <c r="JR14" s="74">
        <f t="shared" si="70"/>
        <v>0</v>
      </c>
      <c r="JS14" s="340">
        <f>JR14*各项系数!$E$36</f>
        <v>0</v>
      </c>
      <c r="JT14" s="368">
        <f>IF($DF14&lt;&gt;$JT$9,0,各项系数!$F$76/4*($NE14^2-$NC14^2)*10^-2*各项系数!$F$40*10^-3*10^2)*各项系数!$J$4</f>
        <v>0</v>
      </c>
      <c r="JU14" s="78">
        <v>1</v>
      </c>
      <c r="JV14" s="74">
        <f t="shared" si="71"/>
        <v>0</v>
      </c>
      <c r="JW14" s="340">
        <f>JV14*各项系数!$E$40</f>
        <v>0</v>
      </c>
      <c r="JX14" s="368">
        <f>IF($DF14&lt;&gt;$JX$9,0,各项系数!$F$76/4*($NE14^2-$NC14^2)*10^-2*各项系数!$F$38*10^-3*10^2)*各项系数!$J$4</f>
        <v>0</v>
      </c>
      <c r="JY14" s="78">
        <v>1</v>
      </c>
      <c r="JZ14" s="74">
        <f t="shared" si="72"/>
        <v>0</v>
      </c>
      <c r="KA14" s="340">
        <f>JZ14*各项系数!$E$38</f>
        <v>0</v>
      </c>
      <c r="KB14" s="368">
        <f>IF($DF14&lt;&gt;$KB$9,0,各项系数!$F$76/4*($NE14^2-$NC14^2)*10^-2*各项系数!$F$41*10^-3*10^2)*各项系数!$J$4</f>
        <v>0</v>
      </c>
      <c r="KC14" s="78">
        <v>1</v>
      </c>
      <c r="KD14" s="74">
        <f t="shared" si="73"/>
        <v>0</v>
      </c>
      <c r="KE14" s="340">
        <f>KD14*各项系数!$E$41</f>
        <v>0</v>
      </c>
      <c r="KF14" s="74">
        <f t="shared" si="74"/>
        <v>0</v>
      </c>
      <c r="KG14" s="74">
        <f t="shared" si="75"/>
        <v>0</v>
      </c>
      <c r="KH14" s="303">
        <f>各项系数!$F$76/4*($NG14^2-$NE14^2)*10^-2*各项系数!$F$44*10^-3*10^2*各项系数!$J$4*0.75*$U14</f>
        <v>0.0207400248191797</v>
      </c>
      <c r="KI14" s="78">
        <v>1</v>
      </c>
      <c r="KJ14" s="74">
        <f t="shared" si="76"/>
        <v>0.0207400248191797</v>
      </c>
      <c r="KK14" s="74">
        <f>ROUND(KJ14*各项系数!$E$44,GT14)</f>
        <v>0.2</v>
      </c>
      <c r="KL14" s="302">
        <f>各项系数!$F$76/4*($NF14^2-$NE14^2)*10^-2*各项系数!$F$46*10^-3*10^2*各项系数!$J$4*PI()/4*R14</f>
        <v>0.00378288741393922</v>
      </c>
      <c r="KM14" s="78">
        <v>1</v>
      </c>
      <c r="KN14" s="74">
        <f t="shared" si="77"/>
        <v>0.00378288741393922</v>
      </c>
      <c r="KO14" s="74">
        <f>KN14*各项系数!$E$46</f>
        <v>0.255344900440897</v>
      </c>
      <c r="KP14" s="303">
        <f>各项系数!$F$76/4*($NH14^2-$NE14^2)*10^-2*(VLOOKUP($KP$9,各项系数!$D$1:$F$143,3,0))*10^-3*10^2*各项系数!$J$4</f>
        <v>0.02556105339332</v>
      </c>
      <c r="KQ14" s="78">
        <v>1</v>
      </c>
      <c r="KR14" s="74">
        <f t="shared" si="150"/>
        <v>0.02556105339332</v>
      </c>
      <c r="KS14" s="74">
        <f>KR14*(VLOOKUP($KP$9,各项系数!$D$1:$F$143,2,0))</f>
        <v>0.43453790768644</v>
      </c>
      <c r="KT14" s="303">
        <f>各项系数!$F$76/4*($NI14^2-$NF14^2)*10^-2*(VLOOKUP($KT$9,各项系数!$D$1:$F$143,3,0))*10^-3*10^2*各项系数!$J$4</f>
        <v>0.0265763407407366</v>
      </c>
      <c r="KU14" s="78">
        <v>1</v>
      </c>
      <c r="KV14" s="74">
        <f t="shared" si="151"/>
        <v>0.0265763407407366</v>
      </c>
      <c r="KW14" s="74">
        <f>KV14*(VLOOKUP($KT$9,各项系数!$D$1:$F$143,2,0))</f>
        <v>0.451797792592521</v>
      </c>
      <c r="KX14" s="74">
        <f>各项系数!$F$76/4*($NH14^2-$NE14^2)*10^-2*(VLOOKUP($KX$9,各项系数!$D$1:$F$143,3,0))*10^-3*10^2*各项系数!$J$4</f>
        <v>0.02556105339332</v>
      </c>
      <c r="KY14" s="480">
        <v>1</v>
      </c>
      <c r="KZ14" s="74">
        <f t="shared" si="152"/>
        <v>0.02556105339332</v>
      </c>
      <c r="LA14" s="74">
        <f>KZ14*(VLOOKUP($KX$9,各项系数!$D$1:$F$143,2,0))</f>
        <v>0.43453790768644</v>
      </c>
      <c r="LB14" s="74">
        <f>各项系数!$F$76/4*($NI14^2-$NF14^2)*10^-2*(VLOOKUP($LB$9,各项系数!$D$1:$F$143,3,0))*10^-3*10^2*各项系数!$J$4</f>
        <v>0.0265763407407366</v>
      </c>
      <c r="LC14" s="480">
        <v>1</v>
      </c>
      <c r="LD14" s="74">
        <f t="shared" si="153"/>
        <v>0.0265763407407366</v>
      </c>
      <c r="LE14" s="74">
        <f>LD14*(VLOOKUP($LB$9,各项系数!$D$1:$F$143,2,0))</f>
        <v>0.451797792592521</v>
      </c>
      <c r="LF14" s="303">
        <f>各项系数!$F$76/4*($NH14^2-$NE14^2)*10^-2*(VLOOKUP(AN14,各项系数!$D$1:$F$143,3,0))*10^-3*10^2*各项系数!$J$4</f>
        <v>0.025913619647021</v>
      </c>
      <c r="LG14" s="78">
        <v>1</v>
      </c>
      <c r="LH14" s="74">
        <f t="shared" si="82"/>
        <v>0.025913619647021</v>
      </c>
      <c r="LI14" s="74">
        <f>LH14*(VLOOKUP(AN14,各项系数!$D$1:$F$143,2,0))</f>
        <v>0.25913619647021</v>
      </c>
      <c r="LJ14" s="303">
        <f>各项系数!$F$76/4*($NI14^2-$NF14^2)*10^-2*(VLOOKUP(AN14,各项系数!$D$1:$F$143,3,0))*10^-3*10^2*各项系数!$J$4</f>
        <v>0.0269429109578502</v>
      </c>
      <c r="LK14" s="78">
        <v>1</v>
      </c>
      <c r="LL14" s="74">
        <f t="shared" si="83"/>
        <v>0.0269429109578502</v>
      </c>
      <c r="LM14" s="74">
        <f>LL14*(VLOOKUP(AN14,各项系数!$D$1:$F$143,2,0))</f>
        <v>0.269429109578502</v>
      </c>
      <c r="LN14" s="74">
        <f>各项系数!$F$76/4*($NH14^2-$NE14^2)*10^-2*(VLOOKUP($LN$9,各项系数!$D$1:$F$143,3,0))*10^-3*10^2*各项系数!$J$4</f>
        <v>0.025913619647021</v>
      </c>
      <c r="LO14" s="480">
        <v>1</v>
      </c>
      <c r="LP14" s="74">
        <f t="shared" si="84"/>
        <v>0.025913619647021</v>
      </c>
      <c r="LQ14" s="74">
        <f>LP14*(VLOOKUP($LN$9,各项系数!$D$1:$F$143,2,0))</f>
        <v>0.285049816117231</v>
      </c>
      <c r="LR14" s="74">
        <f>各项系数!$F$76/4*($NI14^2-$NF14^2)*10^-2*(VLOOKUP($LR$9,各项系数!$D$1:$F$143,3,0))*10^-3*10^2*各项系数!$J$4</f>
        <v>0.0269429109578502</v>
      </c>
      <c r="LS14" s="480">
        <v>1</v>
      </c>
      <c r="LT14" s="74">
        <f t="shared" si="85"/>
        <v>0.0269429109578502</v>
      </c>
      <c r="LU14" s="74">
        <f>LT14*(VLOOKUP($LR$9,各项系数!$D$1:$F$143,2,0))</f>
        <v>0.296372020536352</v>
      </c>
      <c r="LV14" s="500">
        <f t="shared" si="154"/>
        <v>0.70612079</v>
      </c>
      <c r="LW14" s="500">
        <f t="shared" si="155"/>
        <v>0.70612079</v>
      </c>
      <c r="LX14" s="500">
        <f t="shared" si="156"/>
        <v>0.948188226665799</v>
      </c>
      <c r="LY14" s="518">
        <f t="shared" si="157"/>
        <v>0</v>
      </c>
      <c r="LZ14" s="516">
        <f t="shared" si="86"/>
        <v>1</v>
      </c>
      <c r="MA14" s="517">
        <f t="shared" si="87"/>
        <v>0.70612079</v>
      </c>
      <c r="MB14" s="500">
        <f t="shared" si="158"/>
        <v>0.94818823</v>
      </c>
      <c r="MC14" s="500">
        <f t="shared" si="159"/>
        <v>0</v>
      </c>
      <c r="MD14" s="500">
        <f t="shared" si="160"/>
        <v>0</v>
      </c>
      <c r="ME14" s="500">
        <f t="shared" si="161"/>
        <v>0</v>
      </c>
      <c r="MF14" s="500">
        <f t="shared" si="162"/>
        <v>0</v>
      </c>
      <c r="MG14" s="526">
        <f t="shared" si="163"/>
        <v>1</v>
      </c>
      <c r="MH14" s="517">
        <f t="shared" si="88"/>
        <v>0</v>
      </c>
      <c r="MI14" s="500">
        <f t="shared" si="164"/>
        <v>0</v>
      </c>
      <c r="MJ14" s="74">
        <f t="shared" si="89"/>
        <v>0.94818823</v>
      </c>
      <c r="MK14" s="74">
        <f t="shared" si="165"/>
        <v>0.94818823</v>
      </c>
      <c r="ML14" s="74">
        <f t="shared" si="90"/>
        <v>0</v>
      </c>
      <c r="MM14" s="74">
        <f t="shared" si="91"/>
        <v>0</v>
      </c>
      <c r="MN14" s="74">
        <f t="shared" si="92"/>
        <v>2.14818823</v>
      </c>
      <c r="MO14" s="74">
        <f t="shared" si="166"/>
        <v>0</v>
      </c>
      <c r="MP14" s="74">
        <f t="shared" si="167"/>
        <v>2.14818823</v>
      </c>
      <c r="MQ14" s="74">
        <f t="shared" si="93"/>
        <v>2.14818823</v>
      </c>
      <c r="MR14" s="313">
        <f t="shared" si="168"/>
        <v>2.14818823</v>
      </c>
      <c r="MS14" s="530">
        <f t="shared" si="94"/>
        <v>2.14818823</v>
      </c>
      <c r="MT14" s="531">
        <f t="shared" si="95"/>
        <v>2.30818823</v>
      </c>
      <c r="MU14" s="530">
        <f t="shared" si="96"/>
        <v>2.54818823</v>
      </c>
      <c r="MV14" s="531">
        <f t="shared" si="97"/>
        <v>4.94818823</v>
      </c>
      <c r="MW14" s="531">
        <f t="shared" si="98"/>
        <v>5.10818823</v>
      </c>
      <c r="MX14" s="326">
        <f t="shared" si="99"/>
        <v>1.42818823</v>
      </c>
      <c r="MY14" s="313">
        <f t="shared" si="100"/>
        <v>0</v>
      </c>
      <c r="MZ14" s="74">
        <f t="shared" si="101"/>
        <v>2.62818823</v>
      </c>
      <c r="NA14" s="74">
        <f t="shared" si="102"/>
        <v>0</v>
      </c>
      <c r="NB14" s="74">
        <f t="shared" si="169"/>
        <v>2.62818823</v>
      </c>
      <c r="NC14" s="313">
        <f t="shared" si="103"/>
        <v>2.62818823</v>
      </c>
      <c r="ND14" s="314">
        <f t="shared" si="104"/>
        <v>2.62818823</v>
      </c>
      <c r="NE14" s="537">
        <f t="shared" si="105"/>
        <v>2.62818823</v>
      </c>
      <c r="NF14" s="531">
        <f t="shared" si="106"/>
        <v>2.78818823</v>
      </c>
      <c r="NG14" s="538">
        <f t="shared" si="107"/>
        <v>3.02818823</v>
      </c>
      <c r="NH14" s="313">
        <f t="shared" si="108"/>
        <v>5.42818823</v>
      </c>
      <c r="NI14" s="531">
        <f t="shared" si="109"/>
        <v>5.58818823</v>
      </c>
      <c r="NK14" s="28">
        <f t="shared" si="110"/>
        <v>0.0322658147418668</v>
      </c>
      <c r="NL14" s="28">
        <f t="shared" si="111"/>
        <v>0.669951444516332</v>
      </c>
      <c r="NM14" s="28">
        <f t="shared" si="112"/>
        <v>0.0322658147418668</v>
      </c>
      <c r="NN14" s="28">
        <f t="shared" si="113"/>
        <v>0.692777190230865</v>
      </c>
      <c r="NO14" s="28">
        <f t="shared" si="114"/>
        <v>0.0376810591273043</v>
      </c>
      <c r="NP14" s="28">
        <f t="shared" si="115"/>
        <v>0.744358297170524</v>
      </c>
      <c r="NQ14" s="28">
        <f t="shared" si="116"/>
        <v>0.0376810591273043</v>
      </c>
      <c r="NR14" s="28">
        <f t="shared" si="117"/>
        <v>0.770271916817545</v>
      </c>
      <c r="NS14" s="28">
        <f t="shared" si="118"/>
        <v>0.0353782221874728</v>
      </c>
      <c r="NT14" s="28">
        <f t="shared" si="119"/>
        <v>0.0353782221874728</v>
      </c>
      <c r="NU14" s="28">
        <f t="shared" si="120"/>
        <v>0.0414639465412435</v>
      </c>
      <c r="NV14" s="28">
        <f t="shared" si="121"/>
        <v>0.0414639465412435</v>
      </c>
      <c r="NW14" s="13">
        <f t="shared" si="122"/>
        <v>0.0437458337999349</v>
      </c>
      <c r="NX14" s="13">
        <f>各项系数!$M$9*NK14</f>
        <v>0.00967974442256006</v>
      </c>
      <c r="NY14" s="13">
        <f t="shared" si="123"/>
        <v>0.0353782221874728</v>
      </c>
      <c r="OB14" s="82" t="str">
        <f t="shared" si="124"/>
        <v>1*0.75</v>
      </c>
      <c r="OC14" s="546">
        <f t="shared" si="125"/>
        <v>94.8188231877261</v>
      </c>
      <c r="OD14" s="546">
        <f>SQRT(4*EY14/PI()/EH14/各项系数!$J$4/各项系数!$F$5*10000000)</f>
        <v>94.8188231877261</v>
      </c>
      <c r="OE14" s="547">
        <f t="shared" si="126"/>
        <v>0.706120797762006</v>
      </c>
      <c r="OF14" s="547">
        <f t="shared" si="127"/>
        <v>0.706120797762005</v>
      </c>
      <c r="OG14" s="549"/>
      <c r="OH14" s="548"/>
    </row>
    <row r="15" customHeight="1" spans="1:398">
      <c r="A15" s="66">
        <v>1</v>
      </c>
      <c r="B15" s="67">
        <v>0.04</v>
      </c>
      <c r="C15" s="68">
        <v>0.6</v>
      </c>
      <c r="D15" s="69" t="s">
        <v>161</v>
      </c>
      <c r="E15" s="70">
        <f t="shared" si="1"/>
        <v>5.10315952</v>
      </c>
      <c r="F15" s="73">
        <v>110.31595161029</v>
      </c>
      <c r="G15" s="72"/>
      <c r="H15" s="72"/>
      <c r="I15" s="72"/>
      <c r="J15" s="72"/>
      <c r="K15" s="72"/>
      <c r="L15" s="118" t="s">
        <v>467</v>
      </c>
      <c r="M15" s="119">
        <f t="shared" si="2"/>
        <v>0.6</v>
      </c>
      <c r="N15" s="119">
        <f t="shared" si="3"/>
        <v>0</v>
      </c>
      <c r="O15" s="69"/>
      <c r="P15" s="120">
        <v>0.1</v>
      </c>
      <c r="Q15" s="162">
        <f t="shared" si="170"/>
        <v>0.1</v>
      </c>
      <c r="R15" s="160">
        <v>0.8</v>
      </c>
      <c r="S15" s="161" t="s">
        <v>521</v>
      </c>
      <c r="T15" s="162">
        <v>0.2</v>
      </c>
      <c r="U15" s="69">
        <v>2</v>
      </c>
      <c r="V15" s="160"/>
      <c r="W15" s="124">
        <v>1.4</v>
      </c>
      <c r="X15" s="164">
        <f t="shared" si="171"/>
        <v>0.2</v>
      </c>
      <c r="Y15" s="219">
        <v>2</v>
      </c>
      <c r="Z15" s="220">
        <v>0.2</v>
      </c>
      <c r="AA15" s="217">
        <v>1</v>
      </c>
      <c r="AB15" s="186">
        <f>PI()*EJ15*EJ15/4*EH15*(1-H15)*AA15*各项系数!$F$5*各项系数!$J$4*10^-7</f>
        <v>0.0084545666936337</v>
      </c>
      <c r="AC15" s="186">
        <f t="shared" si="4"/>
        <v>110.31595161029</v>
      </c>
      <c r="AD15" s="186">
        <f t="shared" si="5"/>
        <v>0.955798869898841</v>
      </c>
      <c r="AE15" s="186">
        <f>POWER(4*EU15/PI()/EG15/10^-7/EH15/(1-H15)/各项系数!$F$5/各项系数!$J$4,0.5)</f>
        <v>110.31595161029</v>
      </c>
      <c r="AF15" s="218">
        <v>1</v>
      </c>
      <c r="AG15" s="85">
        <f>IF(EM15=0,0,PI()*ER15*ER15/4*EP15*(1-K15)*(1+AF15)*各项系数!$F$5*各项系数!$J$4*10^-7)</f>
        <v>0</v>
      </c>
      <c r="AH15" s="85">
        <f t="shared" si="6"/>
        <v>0</v>
      </c>
      <c r="AI15" s="85">
        <f t="shared" si="128"/>
        <v>0</v>
      </c>
      <c r="AJ15" s="85">
        <f>IF(OR(EP15="",EP15=0),0,POWER(4*EW15/PI()/EO15/10^-7/EP15/(1-K15)/各项系数!$F$5/各项系数!$J$4,0.5))</f>
        <v>0</v>
      </c>
      <c r="AK15" s="85" t="str">
        <f t="shared" si="8"/>
        <v>√</v>
      </c>
      <c r="AL15" s="85">
        <f t="shared" si="9"/>
        <v>0.899937214970949</v>
      </c>
      <c r="AM15" s="250">
        <f t="shared" si="10"/>
        <v>1</v>
      </c>
      <c r="AN15" s="118" t="s">
        <v>486</v>
      </c>
      <c r="AO15" s="259">
        <f>AP15+各项系数!$M$9*$NK15</f>
        <v>0.882291387226421</v>
      </c>
      <c r="AP15" s="259">
        <f>AQ15*(1+$BI15+(VLOOKUP($AM15,$A$12:$B$323,2,0))+各项系数!$J$6+各项系数!$M$5)*(1+$E$2)</f>
        <v>0.871554082831587</v>
      </c>
      <c r="AQ15" s="260">
        <f>AR15+各项系数!$L$9*$NK15</f>
        <v>0.855135481585152</v>
      </c>
      <c r="AR15" s="260">
        <f>AS15*(1+$BJ15+各项系数!$J$5+各项系数!$L$5)</f>
        <v>0.844398177190319</v>
      </c>
      <c r="AS15" s="260">
        <f t="shared" si="129"/>
        <v>0.827841350186587</v>
      </c>
      <c r="AT15" s="259">
        <f>AU15+各项系数!$M$9*$NM15</f>
        <v>1.04992305932639</v>
      </c>
      <c r="AU15" s="259">
        <f>AV15*(1+$BI15+(VLOOKUP($AM15,$A$12:$B$323,2,0))+各项系数!$J$6+各项系数!$M$5)*(1+$E$2)</f>
        <v>1.03918575493155</v>
      </c>
      <c r="AV15" s="260">
        <f>AW15+各项系数!$L$9*$NM15</f>
        <v>1.01960925719344</v>
      </c>
      <c r="AW15" s="260">
        <f>AX15*(1+$BJ15+各项系数!$J$5+各项系数!$L$5)</f>
        <v>1.00887195279861</v>
      </c>
      <c r="AX15" s="260">
        <f t="shared" si="130"/>
        <v>0.989090149802556</v>
      </c>
      <c r="AY15" s="259">
        <f>AZ15+各项系数!$M$9*$NS15</f>
        <v>1.12860189061037</v>
      </c>
      <c r="AZ15" s="259">
        <f>BA15*(1+$BI15+(VLOOKUP($AM15,$A$12:$B$214,2,0))+各项系数!$J$6+各项系数!$M$5)*(1+$E$2)</f>
        <v>1.11686592326585</v>
      </c>
      <c r="BA15" s="260">
        <f>BB15+各项系数!$L$9*$NS15</f>
        <v>1.09582606285896</v>
      </c>
      <c r="BB15" s="260">
        <f>BC15*(1+$BJ15+各项系数!$J$5+各项系数!$L$5)</f>
        <v>1.08409009551444</v>
      </c>
      <c r="BC15" s="262">
        <f t="shared" si="131"/>
        <v>1.06283342697494</v>
      </c>
      <c r="BD15" s="259">
        <f>BE15+各项系数!$M$9*$NS15</f>
        <v>1.30347631511977</v>
      </c>
      <c r="BE15" s="259">
        <f>BF15*(1+$BI15+(VLOOKUP($AM15,$A$12:$B$214,2,0))+各项系数!$J$6+各项系数!$M$5)*(1+$E$2)</f>
        <v>1.29174034777525</v>
      </c>
      <c r="BF15" s="260">
        <f>BG15+各项系数!$L$9*$NS15</f>
        <v>1.26740614970099</v>
      </c>
      <c r="BG15" s="260">
        <f>BH15*(1+$BJ15+各项系数!$J$5+各项系数!$L$5)</f>
        <v>1.25567018235647</v>
      </c>
      <c r="BH15" s="262">
        <f t="shared" si="132"/>
        <v>1.2310491983887</v>
      </c>
      <c r="BI15" s="67"/>
      <c r="BJ15" s="272"/>
      <c r="BK15" s="123"/>
      <c r="BL15" s="259">
        <f>BM15+各项系数!$M$9*$NM15</f>
        <v>0.915737231313001</v>
      </c>
      <c r="BM15" s="259">
        <f>BN15*(1+$CF15+(VLOOKUP($AM15,$A$12:$B$323,2,0))+各项系数!$J$6+各项系数!$M$5)*(1+$E$2)</f>
        <v>0.904999926918167</v>
      </c>
      <c r="BN15" s="260">
        <f>BO15+各项系数!$L$9*$NM15</f>
        <v>0.887951262674811</v>
      </c>
      <c r="BO15" s="260">
        <f>BP15*(1+$CG15+各项系数!$J$5+各项系数!$L$5)</f>
        <v>0.877213958279978</v>
      </c>
      <c r="BP15" s="260">
        <f t="shared" si="133"/>
        <v>0.851664037165027</v>
      </c>
      <c r="BQ15" s="259">
        <f>BR15+各项系数!$M$9*$NM15</f>
        <v>1.06000386613318</v>
      </c>
      <c r="BR15" s="259">
        <f>BS15*(1+$CF15+(VLOOKUP($AM15,$A$12:$B$323,2,0))+各项系数!$J$6+各项系数!$M$5)*(1+$E$2)</f>
        <v>1.04926656173834</v>
      </c>
      <c r="BS15" s="260">
        <f>BT15+各项系数!$L$9*$NM15</f>
        <v>1.02950015869147</v>
      </c>
      <c r="BT15" s="260">
        <f>BU15*(1+$CG15+各项系数!$J$5+各项系数!$L$5)</f>
        <v>1.01876285429663</v>
      </c>
      <c r="BU15" s="260">
        <f t="shared" si="134"/>
        <v>0.989090149802556</v>
      </c>
      <c r="BV15" s="259">
        <f>BW15+各项系数!$M$9*$NT15</f>
        <v>1.16198406183671</v>
      </c>
      <c r="BW15" s="259">
        <f>BX15*(1+$CF15+(VLOOKUP($AM15,$A$12:$B$214,2,0))+各项系数!$J$6+各项系数!$M$5)*(1+$E$2)</f>
        <v>1.15024809449219</v>
      </c>
      <c r="BX15" s="260">
        <f>BY15+各项系数!$L$9*$NT$12</f>
        <v>1.12857937057711</v>
      </c>
      <c r="BY15" s="260">
        <f>BZ15*(1+$CG15+各项系数!$J$5+各项系数!$L$5)</f>
        <v>1.12031596742213</v>
      </c>
      <c r="BZ15" s="262">
        <f t="shared" si="11"/>
        <v>1.08768540526421</v>
      </c>
      <c r="CA15" s="259">
        <f>CB15+各项系数!$M$9*$NT15</f>
        <v>1.31248393112776</v>
      </c>
      <c r="CB15" s="259">
        <f>CC15*(1+$CF15+(VLOOKUP($AM15,$A$12:$B$214,2,0))+各项系数!$J$6+各项系数!$M$5)*(1+$E$2)</f>
        <v>1.30074796378324</v>
      </c>
      <c r="CC15" s="260">
        <f>CD15+各项系数!$L$9*$NT$12</f>
        <v>1.27624407749533</v>
      </c>
      <c r="CD15" s="260">
        <f>CE15*(1+$CG15+各项系数!$J$5+各项系数!$L$5)</f>
        <v>1.26798067434036</v>
      </c>
      <c r="CE15" s="262">
        <f t="shared" si="135"/>
        <v>1.2310491983887</v>
      </c>
      <c r="CF15" s="277">
        <f t="shared" si="136"/>
        <v>0</v>
      </c>
      <c r="CG15" s="277">
        <f t="shared" si="12"/>
        <v>0.01</v>
      </c>
      <c r="CH15" s="123"/>
      <c r="CI15" s="259">
        <f>CJ15+各项系数!$M$9*$NO15</f>
        <v>0.978299223128859</v>
      </c>
      <c r="CJ15" s="259">
        <f>CK15*(1+$DC15+(VLOOKUP($AM15,$A$12:$B$323,2,0))+各项系数!$J$6+各项系数!$M$5)*(1+$E$2)+各项系数!$M$9*$NK15</f>
        <v>0.965885027801047</v>
      </c>
      <c r="CK15" s="260">
        <f>CL15+各项系数!$L$9*$NO15</f>
        <v>0.937154359699974</v>
      </c>
      <c r="CL15" s="260">
        <f>CM15*(1+$DD15+各项系数!$J$5+各项系数!$L$5)</f>
        <v>0.924740164372162</v>
      </c>
      <c r="CM15" s="260">
        <f t="shared" si="13"/>
        <v>0.906608004286433</v>
      </c>
      <c r="CN15" s="259">
        <f>CO15+各项系数!$M$9*$NO15</f>
        <v>1.11382985188652</v>
      </c>
      <c r="CO15" s="259">
        <f>CP15*(1+$DC15+(VLOOKUP($AM15,$A$12:$B$323,2,0))+各项系数!$J$6+各项系数!$M$5)*(1+$E$2)+各项系数!$M$9*$NK15</f>
        <v>1.1014156565587</v>
      </c>
      <c r="CP15" s="260">
        <f>CQ15+各项系数!$L$9*$NO15</f>
        <v>1.07013182119689</v>
      </c>
      <c r="CQ15" s="260">
        <f>CR15*(1+$DD15+各项系数!$J$5+各项系数!$L$5)</f>
        <v>1.05771762586908</v>
      </c>
      <c r="CR15" s="260">
        <f t="shared" si="14"/>
        <v>1.03697806457753</v>
      </c>
      <c r="CS15" s="259">
        <f>CT15+各项系数!$M$9*$NU15</f>
        <v>1.26132743876308</v>
      </c>
      <c r="CT15" s="259">
        <f t="shared" si="15"/>
        <v>1.24771343649508</v>
      </c>
      <c r="CU15" s="260">
        <f>CV15+各项系数!$L$9*$NU15</f>
        <v>1.22420863078402</v>
      </c>
      <c r="CV15" s="260">
        <f>CW15*(1+$DD15+各项系数!$J$5+各项系数!$L$5)</f>
        <v>1.21059462851602</v>
      </c>
      <c r="CW15" s="262">
        <f t="shared" si="16"/>
        <v>1.18685747893728</v>
      </c>
      <c r="CX15" s="259">
        <f>CY15+各项系数!$M$9*$NU15</f>
        <v>1.45793012050078</v>
      </c>
      <c r="CY15" s="259">
        <f t="shared" si="17"/>
        <v>1.44431611823278</v>
      </c>
      <c r="CZ15" s="260">
        <f>DA15+各项系数!$L$9*$NU15</f>
        <v>1.41710765132729</v>
      </c>
      <c r="DA15" s="260">
        <f>DB15*(1+$DD15+各项系数!$J$5+各项系数!$L$5)</f>
        <v>1.40349364905929</v>
      </c>
      <c r="DB15" s="262">
        <f t="shared" si="18"/>
        <v>1.3759741657444</v>
      </c>
      <c r="DC15" s="277">
        <f t="shared" si="137"/>
        <v>0</v>
      </c>
      <c r="DD15" s="277">
        <f t="shared" si="19"/>
        <v>0</v>
      </c>
      <c r="DE15" s="69"/>
      <c r="DF15" s="69"/>
      <c r="DG15" s="259">
        <f>DH15+各项系数!$M$9*$NQ15</f>
        <v>1.01578943289938</v>
      </c>
      <c r="DH15" s="259">
        <f>DI15*(1+$EA15+(VLOOKUP($AM15,$A$12:$B$323,2,0))+各项系数!$J$6+各项系数!$M$5)*(1+$E$2)+各项系数!$M$9*$NK15</f>
        <v>1.00337523757156</v>
      </c>
      <c r="DI15" s="260">
        <f>DJ15+各项系数!$L$9*$NQ15</f>
        <v>0.973938317481093</v>
      </c>
      <c r="DJ15" s="260">
        <f>DK15*(1+$EB15+各项系数!$J$5+各项系数!$L$5)</f>
        <v>0.961524122153281</v>
      </c>
      <c r="DK15" s="260">
        <f t="shared" si="20"/>
        <v>0.93351856519736</v>
      </c>
      <c r="DL15" s="259">
        <f>DM15+各项系数!$M$9*$NQ15</f>
        <v>1.17875577113219</v>
      </c>
      <c r="DM15" s="259">
        <f>DN15*(1+$EA15+(VLOOKUP($AM15,$A$12:$B$323,2,0))+各项系数!$J$6+各项系数!$M$5)*(1+$E$2)+各项系数!$M$9*$NK15</f>
        <v>1.16634157580438</v>
      </c>
      <c r="DN15" s="260">
        <f>DO15+各项系数!$L$9*$NQ15</f>
        <v>1.13383464620246</v>
      </c>
      <c r="DO15" s="260">
        <f>DP15*(1+$EB15+各项系数!$J$5+各项系数!$L$5)</f>
        <v>1.12142045087464</v>
      </c>
      <c r="DP15" s="260">
        <f t="shared" si="21"/>
        <v>1.08875771929577</v>
      </c>
      <c r="DQ15" s="259">
        <f>DR15+各项系数!$M$9*$NV15</f>
        <v>1.30275447649435</v>
      </c>
      <c r="DR15" s="259">
        <f t="shared" si="22"/>
        <v>1.28914047422635</v>
      </c>
      <c r="DS15" s="260">
        <f>DT15+各项系数!$L$9*$NV15</f>
        <v>1.2648552533618</v>
      </c>
      <c r="DT15" s="260">
        <f>DU15*(1+$EB15+各项系数!$J$5+各项系数!$L$5)</f>
        <v>1.2512412510938</v>
      </c>
      <c r="DU15" s="262">
        <f t="shared" si="23"/>
        <v>1.21479733115903</v>
      </c>
      <c r="DV15" s="259">
        <f>DW15+各项系数!$M$9*$NV15</f>
        <v>1.42372605827328</v>
      </c>
      <c r="DW15" s="259">
        <f t="shared" si="24"/>
        <v>1.41011205600528</v>
      </c>
      <c r="DX15" s="260">
        <f>DY15+各项系数!$L$9*$NV15</f>
        <v>1.38354793564097</v>
      </c>
      <c r="DY15" s="260">
        <f>DZ15*(1+$EB15+各项系数!$J$5+各项系数!$L$5)</f>
        <v>1.36993393337297</v>
      </c>
      <c r="DZ15" s="262">
        <f t="shared" si="25"/>
        <v>1.3300329450223</v>
      </c>
      <c r="EA15" s="277">
        <f t="shared" si="26"/>
        <v>0</v>
      </c>
      <c r="EB15" s="277">
        <f t="shared" si="27"/>
        <v>0.01</v>
      </c>
      <c r="EC15" s="302">
        <f t="shared" si="138"/>
        <v>1</v>
      </c>
      <c r="ED15" s="302" t="str">
        <f t="shared" si="139"/>
        <v>1*1</v>
      </c>
      <c r="EE15" s="251">
        <f t="shared" si="28"/>
        <v>1</v>
      </c>
      <c r="EF15" s="251">
        <f>LOOKUP(EH15,{1,7,10,14,19,24,30,37,48,61},{1,"1+6","2+8","4+10","1+6+12","2+8+14","4+10+16","1+6+12+18","3+9+15+21","1+6+12+18+24"})</f>
        <v>1</v>
      </c>
      <c r="EG15" s="250">
        <f t="shared" si="29"/>
        <v>1</v>
      </c>
      <c r="EH15" s="260">
        <f>IF(AM15&lt;10,1,IF(AND(AM15&gt;=10,AM15&lt;=35),7,LOOKUP(AM15,{50,70,95,120,150,185,240,300,400,500,630},{10,14,19,24,30,37,48,61,61,61,61})*1))</f>
        <v>1</v>
      </c>
      <c r="EI15" s="250">
        <f>IF(EH15=0,0,VLOOKUP(EH15,各项系数!$D$142:$E$195,2,0))*1</f>
        <v>1</v>
      </c>
      <c r="EJ15" s="305">
        <f t="shared" si="141"/>
        <v>110.31595161029</v>
      </c>
      <c r="EK15" s="251">
        <f t="shared" si="30"/>
        <v>0</v>
      </c>
      <c r="EL15" s="251">
        <f t="shared" si="31"/>
        <v>0</v>
      </c>
      <c r="EM15" s="251">
        <f t="shared" si="32"/>
        <v>0</v>
      </c>
      <c r="EN15" s="251">
        <f>IF(EP15=0,0,LOOKUP(EP15,{1,7,10,14,19,24,30,37,48,61},{1,"1+6","2+8","4+10","1+6+12","2+8+14","4+10+16","1+6+12+18","3+9+15+21","1+6+12+18+24"}))</f>
        <v>0</v>
      </c>
      <c r="EO15" s="251">
        <f t="shared" si="33"/>
        <v>0</v>
      </c>
      <c r="EP15" s="251">
        <f>IF(EM15=0,0,IF(EM15&lt;10,1,IF(AND(EM15&gt;=10,EM15&lt;=35),7,LOOKUP(EM15,{50,70,95,120,150,185,240,300},{10,14,19,24,30,37,48,61})*1)))</f>
        <v>0</v>
      </c>
      <c r="EQ15" s="251">
        <f>IF(EP15=0,0,VLOOKUP(EP15,各项系数!$D$142:$E$195,2,0))*1</f>
        <v>0</v>
      </c>
      <c r="ER15" s="251">
        <f t="shared" si="34"/>
        <v>0</v>
      </c>
      <c r="ES15" s="302">
        <f t="shared" si="35"/>
        <v>1</v>
      </c>
      <c r="ET15" s="251">
        <f>VLOOKUP(ES15,各项系数!$D$142:$E$195,2,0)*1</f>
        <v>1</v>
      </c>
      <c r="EU15" s="311">
        <f>((各项系数!$F$76/4*$EJ15^2*$EG15*$EH15*1*10^-7)*(1-$H15)*AA15)*(VLOOKUP($EY$9,各项系数!$D$4:$F$143,3,0))*各项系数!$J$4</f>
        <v>0.00845456669363369</v>
      </c>
      <c r="EV15" s="312">
        <f>EU15*(VLOOKUP($EY$9,各项系数!$D$4:$F$143,2,0))</f>
        <v>0.553774118433007</v>
      </c>
      <c r="EW15" s="324">
        <f>(IF($EO15=0,0,(各项系数!$F$76/4*$ER15^2*$EO15*$EP15*1*10^-7))*(1-$K15)*$AF15)*(VLOOKUP($EY$9,各项系数!$D$4:$F$143,3,0))*各项系数!$J$4</f>
        <v>0</v>
      </c>
      <c r="EX15" s="325">
        <f>EW15*(VLOOKUP($EY$9,各项系数!$D$4:$F$143,2,0))</f>
        <v>0</v>
      </c>
      <c r="EY15" s="251">
        <f>((各项系数!$F$76/4*$EJ15^2*$EG15*$EH15*1*10^-7)*(1-$H15)*AA15+IF($EO15=0,0,(各项系数!$F$76/4*$ER15^2*$EO15*$EP15*1*10^-7))*(1-$K15)*$AF15)*(VLOOKUP($EY$9,各项系数!$D$4:$F$143,3,0))*各项系数!$J$4</f>
        <v>0.00845456669363369</v>
      </c>
      <c r="EZ15" s="123">
        <v>1</v>
      </c>
      <c r="FA15" s="251">
        <f t="shared" si="36"/>
        <v>0.00845456669363369</v>
      </c>
      <c r="FB15" s="326">
        <f>FA15*(VLOOKUP($EY$9,各项系数!$D$4:$F$143,2,0))</f>
        <v>0.553774118433007</v>
      </c>
      <c r="FC15" s="327"/>
      <c r="FD15" s="302">
        <f>各项系数!$F$76/4*($MN15^2-MK15^2)*10^-2*(VLOOKUP(L15,各项系数!$D$1:$F$143,3,0))*10^-3*10^2*$EG15*各项系数!$J$4</f>
        <v>0.00351376097737097</v>
      </c>
      <c r="FE15" s="339">
        <f>FD15*VLOOKUP(L15,各项系数!$D$1:$F$143,2,0)</f>
        <v>0.0358403619691839</v>
      </c>
      <c r="FF15" s="250">
        <f>各项系数!$F$76/4*($MO15^2-ML15^2)*10^-2*(VLOOKUP(L15,各项系数!$D$1:$F$143,3,0))*10^-3*10^2*$EO15*各项系数!$J$4</f>
        <v>0</v>
      </c>
      <c r="FG15" s="339">
        <f>FF15*VLOOKUP(L15,各项系数!$D$1:$F$143,2,0)</f>
        <v>0</v>
      </c>
      <c r="FH15" s="302">
        <f t="shared" si="142"/>
        <v>0.00351376097737097</v>
      </c>
      <c r="FI15" s="123">
        <v>1</v>
      </c>
      <c r="FJ15" s="251">
        <f t="shared" si="37"/>
        <v>0.00351376097737097</v>
      </c>
      <c r="FK15" s="339">
        <f>FJ15*VLOOKUP(L15,各项系数!$D$1:$F$143,2,0)</f>
        <v>0.0358403619691839</v>
      </c>
      <c r="FL15" s="302"/>
      <c r="FM15" s="123"/>
      <c r="FN15" s="251"/>
      <c r="FO15" s="339"/>
      <c r="FP15" s="364">
        <f t="shared" si="38"/>
        <v>0.00351376097737097</v>
      </c>
      <c r="FQ15" s="364">
        <f t="shared" si="39"/>
        <v>0.0358403619691839</v>
      </c>
      <c r="FR15" s="365">
        <f>各项系数!$F$76/4*($MQ15^2-$MN15^2*$EG15-$MO15^2*$EO15)*10^-2</f>
        <v>0</v>
      </c>
      <c r="FS15" s="366">
        <f t="shared" si="143"/>
        <v>1</v>
      </c>
      <c r="FT15" s="367">
        <f t="shared" si="40"/>
        <v>0</v>
      </c>
      <c r="FU15" s="388">
        <f>$FT15*(VLOOKUP($FT$9,各项系数!$D$1:$F$143,3,0))*10^-3*10^2*各项系数!$J$55</f>
        <v>0</v>
      </c>
      <c r="FV15" s="389">
        <v>1</v>
      </c>
      <c r="FW15" s="390">
        <f t="shared" si="41"/>
        <v>0</v>
      </c>
      <c r="FX15" s="367">
        <f>FW15*(VLOOKUP($FT$9,各项系数!$D$1:$F$143,2,0))</f>
        <v>0</v>
      </c>
      <c r="FY15" s="388">
        <f>IF($BK15&lt;&gt;$FY$9,0,各项系数!$F$76/4*($MS15^2-$MQ15^2)*10^-2*(VLOOKUP($FY$9,各项系数!$D$1:$F$143,3,0))*10^-3*10^2)*各项系数!$J$4</f>
        <v>0</v>
      </c>
      <c r="FZ15" s="389">
        <v>1</v>
      </c>
      <c r="GA15" s="390">
        <f t="shared" si="42"/>
        <v>0</v>
      </c>
      <c r="GB15" s="367">
        <f>GA15*(VLOOKUP($FY$9,各项系数!$D$1:$F$143,2,0))</f>
        <v>0</v>
      </c>
      <c r="GC15" s="388">
        <f>IF($BK15&lt;&gt;$GC$9,0,各项系数!$F$76/4*($MS15^2-$MQ15^2)*10^-2*(VLOOKUP($GC$9,各项系数!$D$1:$F$143,3,0))*10^-3*10^2)*各项系数!$J$4</f>
        <v>0</v>
      </c>
      <c r="GD15" s="389">
        <v>1</v>
      </c>
      <c r="GE15" s="390">
        <f t="shared" si="43"/>
        <v>0</v>
      </c>
      <c r="GF15" s="367">
        <f>GE15*(VLOOKUP($GC$9,各项系数!$D$1:$F$143,2,0))</f>
        <v>0</v>
      </c>
      <c r="GG15" s="388">
        <f>IF($BK15&lt;&gt;$GG$9,0,各项系数!$F$76/4*($MS15^2-$MQ15^2)*10^-2*(VLOOKUP($GG$9,各项系数!$D$1:$F$143,3,0))*10^-3*10^2)*各项系数!$J$4</f>
        <v>0</v>
      </c>
      <c r="GH15" s="389">
        <v>1</v>
      </c>
      <c r="GI15" s="390">
        <f t="shared" si="44"/>
        <v>0</v>
      </c>
      <c r="GJ15" s="367">
        <f>GI15*(VLOOKUP($GG$9,各项系数!$D$1:$F$143,2,0))</f>
        <v>0</v>
      </c>
      <c r="GK15" s="388">
        <f>IF($BK15&lt;&gt;$GK$9,0,各项系数!$F$76/4*($MS15^2-$MQ15^2)*10^-2*(VLOOKUP($GK$9,各项系数!$D$1:$F$143,3,0))*10^-3*10^2)*各项系数!$J$4</f>
        <v>0</v>
      </c>
      <c r="GL15" s="389">
        <v>1</v>
      </c>
      <c r="GM15" s="390">
        <f t="shared" si="45"/>
        <v>0</v>
      </c>
      <c r="GN15" s="367">
        <f>GM15*(VLOOKUP($GK$9,各项系数!$D$1:$F$143,2,0))</f>
        <v>0</v>
      </c>
      <c r="GO15" s="390">
        <f t="shared" si="46"/>
        <v>0</v>
      </c>
      <c r="GP15" s="390">
        <f t="shared" si="47"/>
        <v>0</v>
      </c>
      <c r="GQ15" s="406">
        <f>各项系数!$F$76/4*($MU15^2-$MS15^2)*10^-2*(VLOOKUP($S15,各项系数!$D$1:$F$143,3,0))*10^-3*10^2*各项系数!$J$4</f>
        <v>0.0122376556648461</v>
      </c>
      <c r="GR15" s="389">
        <v>1</v>
      </c>
      <c r="GS15" s="390">
        <f t="shared" si="48"/>
        <v>0.0122376556648461</v>
      </c>
      <c r="GT15" s="390">
        <f t="shared" si="49"/>
        <v>1</v>
      </c>
      <c r="GU15" s="390">
        <f>ROUND($GS15*(VLOOKUP($S15,各项系数!$D$1:$F$143,2,0))+$E$3*GS15,GT15)</f>
        <v>0.1</v>
      </c>
      <c r="GV15" s="406">
        <f>各项系数!$F$76/4*($MT15^2-$MS15^2)*10^-2*(VLOOKUP($GV$9,各项系数!$D$1:$F$143,3,0))*10^-3*10^2*各项系数!$J$4*PI()/4*R15</f>
        <v>0.00332887649896382</v>
      </c>
      <c r="GW15" s="389">
        <v>1</v>
      </c>
      <c r="GX15" s="390">
        <f t="shared" si="50"/>
        <v>0.00332887649896382</v>
      </c>
      <c r="GY15" s="390">
        <f>$GX15*(VLOOKUP($GV$9,各项系数!$D$1:$F$143,2,0))</f>
        <v>0.224699163680058</v>
      </c>
      <c r="GZ15" s="406">
        <f>各项系数!$F$76/4*($MV15^2-$MS15^2)*10^-2*(VLOOKUP($GZ$9,各项系数!$D$1:$F$143,3,0))*10^-3*10^2*各项系数!$J$4</f>
        <v>0.0234985687882568</v>
      </c>
      <c r="HA15" s="389">
        <v>1</v>
      </c>
      <c r="HB15" s="390">
        <f t="shared" si="144"/>
        <v>0.0234985687882568</v>
      </c>
      <c r="HC15" s="390">
        <f>HB15*(VLOOKUP($GZ$9,各项系数!$D$1:$F$143,2,0))</f>
        <v>0.399475669400365</v>
      </c>
      <c r="HD15" s="406">
        <f>各项系数!$F$76/4*($MW15^2-$MT15^2)*10^-2*(VLOOKUP($HD$9,各项系数!$D$1:$F$143,3,0))*10^-3*10^2*各项系数!$J$4</f>
        <v>0.0245138561356733</v>
      </c>
      <c r="HE15" s="389">
        <v>1</v>
      </c>
      <c r="HF15" s="390">
        <f t="shared" si="145"/>
        <v>0.0245138561356733</v>
      </c>
      <c r="HG15" s="390">
        <f>HF15*(VLOOKUP($HD$9,各项系数!$D$1:$F$143,2,0))</f>
        <v>0.416735554306446</v>
      </c>
      <c r="HH15" s="406">
        <f>各项系数!$F$76/4*($MV15^2-$MS15^2)*10^-2*(VLOOKUP($HH$9,各项系数!$D$1:$F$143,3,0))*10^-3*10^2*各项系数!$J$4</f>
        <v>0.0234985687882568</v>
      </c>
      <c r="HI15" s="420">
        <v>1</v>
      </c>
      <c r="HJ15" s="390">
        <f t="shared" si="146"/>
        <v>0.0234985687882568</v>
      </c>
      <c r="HK15" s="390">
        <f>HJ15*(VLOOKUP($HH$9,各项系数!$D$1:$F$143,2,0))</f>
        <v>0.399475669400365</v>
      </c>
      <c r="HL15" s="406">
        <f>各项系数!$F$76/4*($MW15^2-$MT15^2)*10^-2*(VLOOKUP($HL$9,各项系数!$D$1:$F$143,3,0))*10^-3*10^2*各项系数!$J$4</f>
        <v>0.0245138561356733</v>
      </c>
      <c r="HM15" s="420">
        <v>1</v>
      </c>
      <c r="HN15" s="390">
        <f t="shared" si="147"/>
        <v>0.0245138561356733</v>
      </c>
      <c r="HO15" s="390">
        <f>HN15*(VLOOKUP($HL$9,各项系数!$D$1:$F$143,2,0))</f>
        <v>0.416735554306446</v>
      </c>
      <c r="HP15" s="406">
        <f>各项系数!$F$76/4*($MV15^2-$MS15^2)*10^-2*(VLOOKUP(AN15,各项系数!$D$1:$F$143,3,0))*10^-3*10^2*各项系数!$J$4</f>
        <v>0.0238226869784396</v>
      </c>
      <c r="HQ15" s="389">
        <v>1</v>
      </c>
      <c r="HR15" s="390">
        <f t="shared" si="55"/>
        <v>0.0238226869784396</v>
      </c>
      <c r="HS15" s="390">
        <f>HR15*(VLOOKUP(AN15,各项系数!$D$1:$F$143,2,0))</f>
        <v>0.238226869784396</v>
      </c>
      <c r="HT15" s="406">
        <f>各项系数!$F$76/4*($MW15^2-$MT15^2)*10^-2*(VLOOKUP(AN15,各项系数!$D$1:$F$143,3,0))*10^-3*10^2*各项系数!$J$4</f>
        <v>0.0248519782892688</v>
      </c>
      <c r="HU15" s="389">
        <v>1</v>
      </c>
      <c r="HV15" s="390">
        <f t="shared" si="56"/>
        <v>0.0248519782892688</v>
      </c>
      <c r="HW15" s="390">
        <f>HV15*(VLOOKUP(AN15,各项系数!$D$1:$F$143,2,0))</f>
        <v>0.248519782892688</v>
      </c>
      <c r="HX15" s="406">
        <f>各项系数!$F$76/4*($MV15^2-$MS15^2)*10^-2*(VLOOKUP($HX$9,各项系数!$D$1:$F$143,3,0))*10^-3*10^2*各项系数!$J$4</f>
        <v>0.0238226869784396</v>
      </c>
      <c r="HY15" s="420">
        <v>1</v>
      </c>
      <c r="HZ15" s="390">
        <f t="shared" si="57"/>
        <v>0.0238226869784396</v>
      </c>
      <c r="IA15" s="390">
        <f>HZ15*(VLOOKUP($HX$9,各项系数!$D$1:$F$143,2,0))</f>
        <v>0.262049556762836</v>
      </c>
      <c r="IB15" s="406">
        <f>各项系数!$F$76/4*($MW15^2-$MT15^2)*10^-2*(VLOOKUP($IB$9,各项系数!$D$1:$F$143,3,0))*10^-3*10^2*各项系数!$J$4</f>
        <v>0.0248519782892688</v>
      </c>
      <c r="IC15" s="420">
        <v>1</v>
      </c>
      <c r="ID15" s="390">
        <f t="shared" si="58"/>
        <v>0.0248519782892688</v>
      </c>
      <c r="IE15" s="390">
        <f>ID15*(VLOOKUP($IB$9,各项系数!$D$1:$F$143,2,0))</f>
        <v>0.273371761181957</v>
      </c>
      <c r="IF15" s="429"/>
      <c r="IG15" s="406">
        <f t="shared" si="148"/>
        <v>0.00151148224088209</v>
      </c>
      <c r="IH15" s="389">
        <v>1</v>
      </c>
      <c r="II15" s="390">
        <f t="shared" si="59"/>
        <v>0.00151148224088209</v>
      </c>
      <c r="IJ15" s="390">
        <f>II15*(VLOOKUP($IG$8,各项系数!$D$1:$F$143,2,0))</f>
        <v>0.0377870560220523</v>
      </c>
      <c r="IK15" s="406">
        <f>(各项系数!$F$76/4*($MX15^2-$MK15^2)*$EG15)*10^-2*(VLOOKUP($IG$8,各项系数!$D$1:$F$143,3,0))*10^-3*10^2*各项系数!$J$4</f>
        <v>0.00151148224088209</v>
      </c>
      <c r="IL15" s="389">
        <f>IK15*(VLOOKUP($IG$8,各项系数!$D$1:$F$143,2,0))</f>
        <v>0.0377870560220523</v>
      </c>
      <c r="IM15" s="390">
        <f>(各项系数!$F$76/4*(($MM15+3*$X15)^2-MM15^2)*$EO15)*10^-2*(VLOOKUP($IG$8,各项系数!$D$1:$F$143,3,0))*10^-3*10^2*各项系数!$J$4</f>
        <v>0</v>
      </c>
      <c r="IN15" s="389">
        <f>IM15*(VLOOKUP($IG$8,各项系数!$D$1:$F$143,2,0))</f>
        <v>0</v>
      </c>
      <c r="IO15" s="406">
        <f>各项系数!$F$76/4*($MZ15^2-$MX15^2)*10^-2*(VLOOKUP(L15,各项系数!$D$1:$F$143,3,0))*10^-3*10^2*$ES15*各项系数!$J$4</f>
        <v>0.00450404124726493</v>
      </c>
      <c r="IP15" s="389">
        <v>1</v>
      </c>
      <c r="IQ15" s="390">
        <f t="shared" si="60"/>
        <v>0.00450404124726493</v>
      </c>
      <c r="IR15" s="367">
        <f>IQ15*(VLOOKUP(L15,各项系数!$D$1:$F$143,2,0))</f>
        <v>0.0459412207221023</v>
      </c>
      <c r="IS15" s="406">
        <f>IF($L15&lt;&gt;$IS$9,0,各项系数!$F$76/4*($MZ15^2-$MX15^2)*10^-2*各项系数!$F$12*10^-3*10^2)*$ES15*各项系数!$J$4</f>
        <v>0</v>
      </c>
      <c r="IT15" s="389">
        <v>1</v>
      </c>
      <c r="IU15" s="390">
        <f t="shared" si="61"/>
        <v>0</v>
      </c>
      <c r="IV15" s="367">
        <f>IU15*各项系数!$E$12</f>
        <v>0</v>
      </c>
      <c r="IW15" s="388">
        <f t="shared" si="62"/>
        <v>0.00450404124726493</v>
      </c>
      <c r="IX15" s="388">
        <f t="shared" si="63"/>
        <v>0.0459412207221023</v>
      </c>
      <c r="IY15" s="447">
        <f>各项系数!$F$76/4*($NB15^2-$MZ15^2*$EG15-$NA15^2*$EO15)*10^-2</f>
        <v>0</v>
      </c>
      <c r="IZ15" s="366">
        <f t="shared" si="149"/>
        <v>1</v>
      </c>
      <c r="JA15" s="367">
        <f t="shared" si="64"/>
        <v>0</v>
      </c>
      <c r="JB15" s="364">
        <f>IF($DE15&lt;&gt;$JB$9,0,$JA15*各项系数!$F$32*10^-3*10^2)*各项系数!$J$4</f>
        <v>0</v>
      </c>
      <c r="JC15" s="123">
        <v>1</v>
      </c>
      <c r="JD15" s="251">
        <f t="shared" si="65"/>
        <v>0</v>
      </c>
      <c r="JE15" s="339">
        <f>JD15*各项系数!$E$32</f>
        <v>0</v>
      </c>
      <c r="JF15" s="364">
        <f>IF($DE15&lt;&gt;$JF$9,0,$JA15*VLOOKUP($JF$9,各项系数!$D$4:$F$540,2,0)*10^-3*10^2)*各项系数!$J$4</f>
        <v>0</v>
      </c>
      <c r="JG15" s="123">
        <v>1</v>
      </c>
      <c r="JH15" s="251">
        <f t="shared" si="66"/>
        <v>0</v>
      </c>
      <c r="JI15" s="339">
        <f>JH15*VLOOKUP($JF$9,各项系数!$D$4:$F$540,3,0)</f>
        <v>0</v>
      </c>
      <c r="JJ15" s="364">
        <f t="shared" si="67"/>
        <v>0</v>
      </c>
      <c r="JK15" s="251">
        <f t="shared" si="68"/>
        <v>0</v>
      </c>
      <c r="JL15" s="364">
        <f>IF($DF15&lt;&gt;$JL$9,0,各项系数!$F$76/4*($NE15^2-$NC15^2)*10^-2*各项系数!$F$39*10^-3*10^2)*各项系数!$J$4</f>
        <v>0</v>
      </c>
      <c r="JM15" s="123">
        <v>1</v>
      </c>
      <c r="JN15" s="251">
        <f t="shared" si="69"/>
        <v>0</v>
      </c>
      <c r="JO15" s="339">
        <f>JN15*各项系数!$E$39</f>
        <v>0</v>
      </c>
      <c r="JP15" s="364">
        <f>IF($DF15&lt;&gt;$JP$9,0,各项系数!$F$76/4*($NE15^2-$NC15^2)*10^-2*各项系数!$F$36*10^-3*10^2)*各项系数!$J$4</f>
        <v>0</v>
      </c>
      <c r="JQ15" s="123">
        <v>1</v>
      </c>
      <c r="JR15" s="251">
        <f t="shared" si="70"/>
        <v>0</v>
      </c>
      <c r="JS15" s="339">
        <f>JR15*各项系数!$E$36</f>
        <v>0</v>
      </c>
      <c r="JT15" s="364">
        <f>IF($DF15&lt;&gt;$JT$9,0,各项系数!$F$76/4*($NE15^2-$NC15^2)*10^-2*各项系数!$F$40*10^-3*10^2)*各项系数!$J$4</f>
        <v>0</v>
      </c>
      <c r="JU15" s="123">
        <v>1</v>
      </c>
      <c r="JV15" s="251">
        <f t="shared" si="71"/>
        <v>0</v>
      </c>
      <c r="JW15" s="339">
        <f>JV15*各项系数!$E$40</f>
        <v>0</v>
      </c>
      <c r="JX15" s="364">
        <f>IF($DF15&lt;&gt;$JX$9,0,各项系数!$F$76/4*($NE15^2-$NC15^2)*10^-2*各项系数!$F$38*10^-3*10^2)*各项系数!$J$4</f>
        <v>0</v>
      </c>
      <c r="JY15" s="123">
        <v>1</v>
      </c>
      <c r="JZ15" s="251">
        <f t="shared" si="72"/>
        <v>0</v>
      </c>
      <c r="KA15" s="339">
        <f>JZ15*各项系数!$E$38</f>
        <v>0</v>
      </c>
      <c r="KB15" s="364">
        <f>IF($DF15&lt;&gt;$KB$9,0,各项系数!$F$76/4*($NE15^2-$NC15^2)*10^-2*各项系数!$F$41*10^-3*10^2)*各项系数!$J$4</f>
        <v>0</v>
      </c>
      <c r="KC15" s="123">
        <v>1</v>
      </c>
      <c r="KD15" s="251">
        <f t="shared" si="73"/>
        <v>0</v>
      </c>
      <c r="KE15" s="339">
        <f>KD15*各项系数!$E$41</f>
        <v>0</v>
      </c>
      <c r="KF15" s="251">
        <f t="shared" si="74"/>
        <v>0</v>
      </c>
      <c r="KG15" s="251">
        <f t="shared" si="75"/>
        <v>0</v>
      </c>
      <c r="KH15" s="302">
        <f>各项系数!$F$76/4*($NG15^2-$NE15^2)*10^-2*各项系数!$F$44*10^-3*10^2*各项系数!$J$4*0.75*$U15</f>
        <v>0.0218764797293468</v>
      </c>
      <c r="KI15" s="123">
        <v>1</v>
      </c>
      <c r="KJ15" s="251">
        <f t="shared" si="76"/>
        <v>0.0218764797293468</v>
      </c>
      <c r="KK15" s="251">
        <f>ROUND(KJ15*各项系数!$E$44,GT15)</f>
        <v>0.2</v>
      </c>
      <c r="KL15" s="302">
        <f>各项系数!$F$76/4*($NF15^2-$NE15^2)*10^-2*各项系数!$F$46*10^-3*10^2*各项系数!$J$4*PI()/4*R15</f>
        <v>0.00399935646729705</v>
      </c>
      <c r="KM15" s="123">
        <v>1</v>
      </c>
      <c r="KN15" s="251">
        <f t="shared" si="77"/>
        <v>0.00399935646729705</v>
      </c>
      <c r="KO15" s="251">
        <f>KN15*各项系数!$E$46</f>
        <v>0.269956561542551</v>
      </c>
      <c r="KP15" s="302">
        <f>各项系数!$F$76/4*($NH15^2-$NE15^2)*10^-2*(VLOOKUP($KP$9,各项系数!$D$1:$F$143,3,0))*10^-3*10^2*各项系数!$J$4</f>
        <v>0.0265444308305064</v>
      </c>
      <c r="KQ15" s="123">
        <v>1</v>
      </c>
      <c r="KR15" s="251">
        <f t="shared" si="150"/>
        <v>0.0265444308305064</v>
      </c>
      <c r="KS15" s="251">
        <f>KR15*(VLOOKUP($KP$9,各项系数!$D$1:$F$143,2,0))</f>
        <v>0.451255324118609</v>
      </c>
      <c r="KT15" s="302">
        <f>各项系数!$F$76/4*($NI15^2-$NF15^2)*10^-2*(VLOOKUP($KT$9,各项系数!$D$1:$F$143,3,0))*10^-3*10^2*各项系数!$J$4</f>
        <v>0.0275597181779229</v>
      </c>
      <c r="KU15" s="123">
        <v>1</v>
      </c>
      <c r="KV15" s="251">
        <f t="shared" si="151"/>
        <v>0.0275597181779229</v>
      </c>
      <c r="KW15" s="251">
        <f>KV15*(VLOOKUP($KT$9,各项系数!$D$1:$F$143,2,0))</f>
        <v>0.46851520902469</v>
      </c>
      <c r="KX15" s="251">
        <f>各项系数!$F$76/4*($NH15^2-$NE15^2)*10^-2*(VLOOKUP($KX$9,各项系数!$D$1:$F$143,3,0))*10^-3*10^2*各项系数!$J$4</f>
        <v>0.0265444308305064</v>
      </c>
      <c r="KY15" s="479">
        <v>1</v>
      </c>
      <c r="KZ15" s="251">
        <f t="shared" si="152"/>
        <v>0.0265444308305064</v>
      </c>
      <c r="LA15" s="251">
        <f>KZ15*(VLOOKUP($KX$9,各项系数!$D$1:$F$143,2,0))</f>
        <v>0.451255324118609</v>
      </c>
      <c r="LB15" s="251">
        <f>各项系数!$F$76/4*($NI15^2-$NF15^2)*10^-2*(VLOOKUP($LB$9,各项系数!$D$1:$F$143,3,0))*10^-3*10^2*各项系数!$J$4</f>
        <v>0.0275597181779229</v>
      </c>
      <c r="LC15" s="479">
        <v>1</v>
      </c>
      <c r="LD15" s="251">
        <f t="shared" si="153"/>
        <v>0.0275597181779229</v>
      </c>
      <c r="LE15" s="251">
        <f>LD15*(VLOOKUP($LB$9,各项系数!$D$1:$F$143,2,0))</f>
        <v>0.46851520902469</v>
      </c>
      <c r="LF15" s="302">
        <f>各项系数!$F$76/4*($NH15^2-$NE15^2)*10^-2*(VLOOKUP(AN15,各项系数!$D$1:$F$143,3,0))*10^-3*10^2*各项系数!$J$4</f>
        <v>0.0269105609109272</v>
      </c>
      <c r="LG15" s="123">
        <v>1</v>
      </c>
      <c r="LH15" s="251">
        <f t="shared" si="82"/>
        <v>0.0269105609109272</v>
      </c>
      <c r="LI15" s="251">
        <f>LH15*(VLOOKUP(AN15,各项系数!$D$1:$F$143,2,0))</f>
        <v>0.269105609109272</v>
      </c>
      <c r="LJ15" s="302">
        <f>各项系数!$F$76/4*($NI15^2-$NF15^2)*10^-2*(VLOOKUP(AN15,各项系数!$D$1:$F$143,3,0))*10^-3*10^2*各项系数!$J$4</f>
        <v>0.0279398522217563</v>
      </c>
      <c r="LK15" s="123">
        <v>1</v>
      </c>
      <c r="LL15" s="251">
        <f t="shared" si="83"/>
        <v>0.0279398522217563</v>
      </c>
      <c r="LM15" s="251">
        <f>LL15*(VLOOKUP(AN15,各项系数!$D$1:$F$143,2,0))</f>
        <v>0.279398522217563</v>
      </c>
      <c r="LN15" s="251">
        <f>各项系数!$F$76/4*($NH15^2-$NE15^2)*10^-2*(VLOOKUP($LN$9,各项系数!$D$1:$F$143,3,0))*10^-3*10^2*各项系数!$J$4</f>
        <v>0.0269105609109272</v>
      </c>
      <c r="LO15" s="479">
        <v>1</v>
      </c>
      <c r="LP15" s="251">
        <f t="shared" si="84"/>
        <v>0.0269105609109272</v>
      </c>
      <c r="LQ15" s="251">
        <f>LP15*(VLOOKUP($LN$9,各项系数!$D$1:$F$143,2,0))</f>
        <v>0.296016170020199</v>
      </c>
      <c r="LR15" s="251">
        <f>各项系数!$F$76/4*($NI15^2-$NF15^2)*10^-2*(VLOOKUP($LR$9,各项系数!$D$1:$F$143,3,0))*10^-3*10^2*各项系数!$J$4</f>
        <v>0.0279398522217563</v>
      </c>
      <c r="LS15" s="479">
        <v>1</v>
      </c>
      <c r="LT15" s="251">
        <f t="shared" si="85"/>
        <v>0.0279398522217563</v>
      </c>
      <c r="LU15" s="251">
        <f>LT15*(VLOOKUP($LR$9,各项系数!$D$1:$F$143,2,0))</f>
        <v>0.30733837443932</v>
      </c>
      <c r="LV15" s="499">
        <f t="shared" si="154"/>
        <v>0.95579888</v>
      </c>
      <c r="LW15" s="499">
        <f t="shared" si="155"/>
        <v>0.95579888</v>
      </c>
      <c r="LX15" s="499">
        <f t="shared" si="156"/>
        <v>1.10315952193215</v>
      </c>
      <c r="LY15" s="515">
        <f t="shared" si="157"/>
        <v>0</v>
      </c>
      <c r="LZ15" s="516">
        <f t="shared" si="86"/>
        <v>1</v>
      </c>
      <c r="MA15" s="517">
        <f t="shared" si="87"/>
        <v>0.95579888</v>
      </c>
      <c r="MB15" s="517">
        <f t="shared" si="158"/>
        <v>1.10315952</v>
      </c>
      <c r="MC15" s="499">
        <f t="shared" si="159"/>
        <v>0</v>
      </c>
      <c r="MD15" s="499">
        <f t="shared" si="160"/>
        <v>0</v>
      </c>
      <c r="ME15" s="499">
        <f t="shared" si="161"/>
        <v>0</v>
      </c>
      <c r="MF15" s="499">
        <f t="shared" si="162"/>
        <v>0</v>
      </c>
      <c r="MG15" s="516">
        <f t="shared" si="163"/>
        <v>1</v>
      </c>
      <c r="MH15" s="517">
        <f t="shared" si="88"/>
        <v>0</v>
      </c>
      <c r="MI15" s="517">
        <f t="shared" si="164"/>
        <v>0</v>
      </c>
      <c r="MJ15" s="251">
        <f t="shared" si="89"/>
        <v>1.10315952</v>
      </c>
      <c r="MK15" s="251">
        <f t="shared" si="165"/>
        <v>1.10315952</v>
      </c>
      <c r="ML15" s="251">
        <f t="shared" si="90"/>
        <v>0</v>
      </c>
      <c r="MM15" s="251">
        <f t="shared" si="91"/>
        <v>0</v>
      </c>
      <c r="MN15" s="251">
        <f t="shared" si="92"/>
        <v>2.30315952</v>
      </c>
      <c r="MO15" s="251">
        <f t="shared" si="166"/>
        <v>0</v>
      </c>
      <c r="MP15" s="251">
        <f t="shared" si="167"/>
        <v>2.30315952</v>
      </c>
      <c r="MQ15" s="251">
        <f t="shared" si="93"/>
        <v>2.30315952</v>
      </c>
      <c r="MR15" s="314">
        <f t="shared" si="168"/>
        <v>2.30315952</v>
      </c>
      <c r="MS15" s="530">
        <f t="shared" si="94"/>
        <v>2.30315952</v>
      </c>
      <c r="MT15" s="530">
        <f t="shared" si="95"/>
        <v>2.46315952</v>
      </c>
      <c r="MU15" s="530">
        <f t="shared" si="96"/>
        <v>2.70315952</v>
      </c>
      <c r="MV15" s="530">
        <f t="shared" si="97"/>
        <v>5.10315952</v>
      </c>
      <c r="MW15" s="530">
        <f t="shared" si="98"/>
        <v>5.26315952</v>
      </c>
      <c r="MX15" s="326">
        <f t="shared" si="99"/>
        <v>1.58315952</v>
      </c>
      <c r="MY15" s="326">
        <f t="shared" si="100"/>
        <v>0</v>
      </c>
      <c r="MZ15" s="251">
        <f t="shared" si="101"/>
        <v>2.78315952</v>
      </c>
      <c r="NA15" s="251">
        <f t="shared" si="102"/>
        <v>0</v>
      </c>
      <c r="NB15" s="251">
        <f t="shared" si="169"/>
        <v>2.78315952</v>
      </c>
      <c r="NC15" s="326">
        <f t="shared" si="103"/>
        <v>2.78315952</v>
      </c>
      <c r="ND15" s="314">
        <f t="shared" si="104"/>
        <v>2.78315952</v>
      </c>
      <c r="NE15" s="537">
        <f t="shared" si="105"/>
        <v>2.78315952</v>
      </c>
      <c r="NF15" s="530">
        <f t="shared" si="106"/>
        <v>2.94315952</v>
      </c>
      <c r="NG15" s="538">
        <f t="shared" si="107"/>
        <v>3.18315952</v>
      </c>
      <c r="NH15" s="326">
        <f t="shared" si="108"/>
        <v>5.58315952</v>
      </c>
      <c r="NI15" s="530">
        <f t="shared" si="109"/>
        <v>5.74315952</v>
      </c>
      <c r="NK15" s="539">
        <f t="shared" si="110"/>
        <v>0.0357910146494443</v>
      </c>
      <c r="NL15" s="539">
        <f t="shared" si="111"/>
        <v>0.827841350186587</v>
      </c>
      <c r="NM15" s="539">
        <f t="shared" si="112"/>
        <v>0.0357910146494443</v>
      </c>
      <c r="NN15" s="539">
        <f t="shared" si="113"/>
        <v>0.851664037165027</v>
      </c>
      <c r="NO15" s="539">
        <f t="shared" si="114"/>
        <v>0.0413806510927079</v>
      </c>
      <c r="NP15" s="539">
        <f t="shared" si="115"/>
        <v>0.906608004286433</v>
      </c>
      <c r="NQ15" s="539">
        <f t="shared" si="116"/>
        <v>0.0413806510927079</v>
      </c>
      <c r="NR15" s="539">
        <f t="shared" si="117"/>
        <v>0.93351856519736</v>
      </c>
      <c r="NS15" s="539">
        <f t="shared" si="118"/>
        <v>0.0391198911484081</v>
      </c>
      <c r="NT15" s="539">
        <f t="shared" si="119"/>
        <v>0.0391198911484081</v>
      </c>
      <c r="NU15" s="539">
        <f t="shared" si="120"/>
        <v>0.0453800075600049</v>
      </c>
      <c r="NV15" s="539">
        <f t="shared" si="121"/>
        <v>0.0453800075600049</v>
      </c>
      <c r="NW15">
        <f t="shared" si="122"/>
        <v>0.0480286703142904</v>
      </c>
      <c r="NX15">
        <f>各项系数!$M$9*NK15</f>
        <v>0.0107373043948333</v>
      </c>
      <c r="NY15">
        <f t="shared" si="123"/>
        <v>0.0391198911484081</v>
      </c>
      <c r="OB15" s="82" t="str">
        <f t="shared" si="124"/>
        <v>1*1</v>
      </c>
      <c r="OC15" s="546">
        <f t="shared" si="125"/>
        <v>110.31595161029</v>
      </c>
      <c r="OD15" s="546">
        <f>SQRT(4*EY15/PI()/EH15/各项系数!$J$4/各项系数!$F$5*10000000)</f>
        <v>110.31595161029</v>
      </c>
      <c r="OE15" s="547">
        <f t="shared" si="126"/>
        <v>0.955798869898842</v>
      </c>
      <c r="OF15" s="547">
        <f t="shared" si="127"/>
        <v>0.955798869898841</v>
      </c>
      <c r="OG15" s="82"/>
      <c r="OH15" s="548"/>
    </row>
    <row r="16" customHeight="1" spans="1:398">
      <c r="A16" s="66">
        <v>1.5</v>
      </c>
      <c r="B16" s="67">
        <v>0.01</v>
      </c>
      <c r="C16" s="68">
        <v>0.7</v>
      </c>
      <c r="D16" s="69" t="s">
        <v>176</v>
      </c>
      <c r="E16" s="70">
        <f t="shared" si="1"/>
        <v>5.54922667</v>
      </c>
      <c r="F16" s="73">
        <v>134.922667214547</v>
      </c>
      <c r="G16" s="72"/>
      <c r="H16" s="72"/>
      <c r="I16" s="72"/>
      <c r="J16" s="72"/>
      <c r="K16" s="72"/>
      <c r="L16" s="118" t="s">
        <v>467</v>
      </c>
      <c r="M16" s="119">
        <f t="shared" si="2"/>
        <v>0.7</v>
      </c>
      <c r="N16" s="119">
        <f t="shared" si="3"/>
        <v>0</v>
      </c>
      <c r="O16" s="69"/>
      <c r="P16" s="120">
        <v>0.1</v>
      </c>
      <c r="Q16" s="162">
        <f t="shared" si="170"/>
        <v>0.1</v>
      </c>
      <c r="R16" s="160">
        <v>0.8</v>
      </c>
      <c r="S16" s="161" t="s">
        <v>521</v>
      </c>
      <c r="T16" s="162">
        <v>0.2</v>
      </c>
      <c r="U16" s="69">
        <v>2</v>
      </c>
      <c r="V16" s="160"/>
      <c r="W16" s="124">
        <v>1.4</v>
      </c>
      <c r="X16" s="164">
        <f t="shared" si="171"/>
        <v>0.2</v>
      </c>
      <c r="Y16" s="219">
        <v>2</v>
      </c>
      <c r="Z16" s="220">
        <v>0.2</v>
      </c>
      <c r="AA16" s="217">
        <v>1</v>
      </c>
      <c r="AB16" s="186">
        <f>PI()*EJ16*EJ16/4*EH16*(1-H16)*AA16*各项系数!$F$5*各项系数!$J$4*10^-7</f>
        <v>0.0126469138144438</v>
      </c>
      <c r="AC16" s="186">
        <f t="shared" si="4"/>
        <v>134.922667214547</v>
      </c>
      <c r="AD16" s="186">
        <f t="shared" si="5"/>
        <v>1.42974872274124</v>
      </c>
      <c r="AE16" s="186">
        <f>POWER(4*EU16/PI()/EG16/10^-7/EH16/(1-H16)/各项系数!$F$5/各项系数!$J$4,0.5)</f>
        <v>134.922667214547</v>
      </c>
      <c r="AF16" s="218">
        <v>1</v>
      </c>
      <c r="AG16" s="85">
        <f>IF(EM16=0,0,PI()*ER16*ER16/4*EP16*(1-K16)*(1+AF16)*各项系数!$F$5*各项系数!$J$4*10^-7)</f>
        <v>0</v>
      </c>
      <c r="AH16" s="85">
        <f t="shared" si="6"/>
        <v>0</v>
      </c>
      <c r="AI16" s="85">
        <f t="shared" si="128"/>
        <v>0</v>
      </c>
      <c r="AJ16" s="85">
        <f>IF(OR(EP16="",EP16=0),0,POWER(4*EW16/PI()/EO16/10^-7/EP16/(1-K16)/各项系数!$F$5/各项系数!$J$4,0.5))</f>
        <v>0</v>
      </c>
      <c r="AK16" s="85" t="str">
        <f t="shared" si="8"/>
        <v>√</v>
      </c>
      <c r="AL16" s="85">
        <f t="shared" si="9"/>
        <v>1.20668668614481</v>
      </c>
      <c r="AM16" s="250">
        <f t="shared" si="10"/>
        <v>1.5</v>
      </c>
      <c r="AN16" s="118" t="s">
        <v>486</v>
      </c>
      <c r="AO16" s="259">
        <f>AP16+各项系数!$M$9*$NK16</f>
        <v>1.18302616288707</v>
      </c>
      <c r="AP16" s="259">
        <f>AQ16*(1+$BI16+(VLOOKUP($AM16,$A$12:$B$323,2,0))+各项系数!$J$6+各项系数!$M$5)*(1+$E$2)</f>
        <v>1.16974470390684</v>
      </c>
      <c r="AQ16" s="260">
        <f>AR16+各项系数!$L$9*$NK16</f>
        <v>1.1817990542603</v>
      </c>
      <c r="AR16" s="260">
        <f>AS16*(1+$BJ16+各项系数!$J$5+各项系数!$L$5)</f>
        <v>1.16851759528008</v>
      </c>
      <c r="AS16" s="260">
        <f t="shared" si="129"/>
        <v>1.1456054855687</v>
      </c>
      <c r="AT16" s="259">
        <f>AU16+各项系数!$M$9*$NM16</f>
        <v>1.36543205036327</v>
      </c>
      <c r="AU16" s="259">
        <f>AV16*(1+$BI16+(VLOOKUP($AM16,$A$12:$B$323,2,0))+各项系数!$J$6+各项系数!$M$5)*(1+$E$2)</f>
        <v>1.35215059138305</v>
      </c>
      <c r="AV16" s="260">
        <f>AW16+各项系数!$L$9*$NM16</f>
        <v>1.36608465486265</v>
      </c>
      <c r="AW16" s="260">
        <f>AX16*(1+$BJ16+各项系数!$J$5+各项系数!$L$5)</f>
        <v>1.35280319588242</v>
      </c>
      <c r="AX16" s="260">
        <f t="shared" si="130"/>
        <v>1.32627764302198</v>
      </c>
      <c r="AY16" s="259">
        <f>AZ16+各项系数!$M$9*$NS16</f>
        <v>1.46509389078606</v>
      </c>
      <c r="AZ16" s="259">
        <f>BA16*(1+$BI16+(VLOOKUP($AM16,$A$12:$B$214,2,0))+各项系数!$J$6+各项系数!$M$5)*(1+$E$2)</f>
        <v>1.45062684442577</v>
      </c>
      <c r="BA16" s="260">
        <f>BB16+各项系数!$L$9*$NS16</f>
        <v>1.46557571673648</v>
      </c>
      <c r="BB16" s="260">
        <f>BC16*(1+$BJ16+各项系数!$J$5+各项系数!$L$5)</f>
        <v>1.45110867037619</v>
      </c>
      <c r="BC16" s="262">
        <f t="shared" si="131"/>
        <v>1.42265555919234</v>
      </c>
      <c r="BD16" s="259">
        <f>BE16+各项系数!$M$9*$NS16</f>
        <v>1.65453360512142</v>
      </c>
      <c r="BE16" s="259">
        <f>BF16*(1+$BI16+(VLOOKUP($AM16,$A$12:$B$214,2,0))+各项系数!$J$6+各项系数!$M$5)*(1+$E$2)</f>
        <v>1.64006655876113</v>
      </c>
      <c r="BF16" s="260">
        <f>BG16+各项系数!$L$9*$NS16</f>
        <v>1.65696762857257</v>
      </c>
      <c r="BG16" s="260">
        <f>BH16*(1+$BJ16+各项系数!$J$5+各项系数!$L$5)</f>
        <v>1.64250058221228</v>
      </c>
      <c r="BH16" s="262">
        <f t="shared" si="132"/>
        <v>1.61029468844341</v>
      </c>
      <c r="BI16" s="67"/>
      <c r="BJ16" s="272"/>
      <c r="BK16" s="123"/>
      <c r="BL16" s="259">
        <f>BM16+各项系数!$M$9*$NM16</f>
        <v>1.2215779735532</v>
      </c>
      <c r="BM16" s="259">
        <f>BN16*(1+$CF16+(VLOOKUP($AM16,$A$12:$B$323,2,0))+各项系数!$J$6+各项系数!$M$5)*(1+$E$2)</f>
        <v>1.20829651457298</v>
      </c>
      <c r="BN16" s="260">
        <f>BO16+各项系数!$L$9*$NM16</f>
        <v>1.2207481456587</v>
      </c>
      <c r="BO16" s="260">
        <f>BP16*(1+$CG16+各项系数!$J$5+各项系数!$L$5)</f>
        <v>1.20746668667848</v>
      </c>
      <c r="BP16" s="260">
        <f t="shared" si="133"/>
        <v>1.17229775405677</v>
      </c>
      <c r="BQ16" s="259">
        <f>BR16+各项系数!$M$9*$NM16</f>
        <v>1.3785595464739</v>
      </c>
      <c r="BR16" s="259">
        <f>BS16*(1+$CF16+(VLOOKUP($AM16,$A$12:$B$323,2,0))+各项系数!$J$6+各项系数!$M$5)*(1+$E$2)</f>
        <v>1.36527808749368</v>
      </c>
      <c r="BS16" s="260">
        <f>BT16+各项系数!$L$9*$NM16</f>
        <v>1.37934743129287</v>
      </c>
      <c r="BT16" s="260">
        <f>BU16*(1+$CG16+各项系数!$J$5+各项系数!$L$5)</f>
        <v>1.36606597231264</v>
      </c>
      <c r="BU16" s="260">
        <f t="shared" si="134"/>
        <v>1.32627764302198</v>
      </c>
      <c r="BV16" s="259">
        <f>BW16+各项系数!$M$9*$NT16</f>
        <v>1.50129693335194</v>
      </c>
      <c r="BW16" s="259">
        <f>BX16*(1+$CF16+(VLOOKUP($AM16,$A$12:$B$214,2,0))+各项系数!$J$6+各项系数!$M$5)*(1+$E$2)</f>
        <v>1.48682988699165</v>
      </c>
      <c r="BX16" s="260">
        <f>BY16+各项系数!$L$9*$NT$12</f>
        <v>1.50215183571595</v>
      </c>
      <c r="BY16" s="260">
        <f>BZ16*(1+$CG16+各项系数!$J$5+各项系数!$L$5)</f>
        <v>1.49388843256098</v>
      </c>
      <c r="BZ16" s="262">
        <f t="shared" si="11"/>
        <v>1.45037711899124</v>
      </c>
      <c r="CA16" s="259">
        <f>CB16+各项系数!$M$9*$NT16</f>
        <v>1.66433193590301</v>
      </c>
      <c r="CB16" s="259">
        <f>CC16*(1+$CF16+(VLOOKUP($AM16,$A$12:$B$214,2,0))+各项系数!$J$6+各项系数!$M$5)*(1+$E$2)</f>
        <v>1.64986488954272</v>
      </c>
      <c r="CC16" s="260">
        <f>CD16+各项系数!$L$9*$NT$12</f>
        <v>1.66686693225169</v>
      </c>
      <c r="CD16" s="260">
        <f>CE16*(1+$CG16+各项系数!$J$5+各项系数!$L$5)</f>
        <v>1.65860352909671</v>
      </c>
      <c r="CE16" s="262">
        <f t="shared" si="135"/>
        <v>1.61029468844341</v>
      </c>
      <c r="CF16" s="277">
        <f t="shared" si="136"/>
        <v>0</v>
      </c>
      <c r="CG16" s="277">
        <f t="shared" si="12"/>
        <v>0.01</v>
      </c>
      <c r="CH16" s="123"/>
      <c r="CI16" s="259">
        <f>CJ16+各项系数!$M$9*$NO16</f>
        <v>1.28811927454489</v>
      </c>
      <c r="CJ16" s="259">
        <f>CK16*(1+$DC16+(VLOOKUP($AM16,$A$12:$B$323,2,0))+各项系数!$J$6+各项系数!$M$5)*(1+$E$2)+各项系数!$M$9*$NK16</f>
        <v>1.2730283394442</v>
      </c>
      <c r="CK16" s="260">
        <f>CL16+各项系数!$L$9*$NO16</f>
        <v>1.27272871334005</v>
      </c>
      <c r="CL16" s="260">
        <f>CM16*(1+$DD16+各项系数!$J$5+各项系数!$L$5)</f>
        <v>1.25763777823936</v>
      </c>
      <c r="CM16" s="260">
        <f t="shared" si="13"/>
        <v>1.23297821396015</v>
      </c>
      <c r="CN16" s="259">
        <f>CO16+各项系数!$M$9*$NO16</f>
        <v>1.43935011031366</v>
      </c>
      <c r="CO16" s="259">
        <f>CP16*(1+$DC16+(VLOOKUP($AM16,$A$12:$B$323,2,0))+各项系数!$J$6+各项系数!$M$5)*(1+$E$2)+各项系数!$M$9*$NK16</f>
        <v>1.42425917521297</v>
      </c>
      <c r="CP16" s="260">
        <f>CQ16+各项系数!$L$9*$NO16</f>
        <v>1.42551799983102</v>
      </c>
      <c r="CQ16" s="260">
        <f>CR16*(1+$DD16+各项系数!$J$5+各项系数!$L$5)</f>
        <v>1.41042706473033</v>
      </c>
      <c r="CR16" s="260">
        <f t="shared" si="14"/>
        <v>1.38277163208856</v>
      </c>
      <c r="CS16" s="259">
        <f>CT16+各项系数!$M$9*$NU16</f>
        <v>1.60299746762834</v>
      </c>
      <c r="CT16" s="259">
        <f t="shared" si="15"/>
        <v>1.58651980115708</v>
      </c>
      <c r="CU16" s="260">
        <f>CV16+各项系数!$L$9*$NU16</f>
        <v>1.60286906562647</v>
      </c>
      <c r="CV16" s="260">
        <f>CW16*(1+$DD16+各项系数!$J$5+各项系数!$L$5)</f>
        <v>1.58639139915521</v>
      </c>
      <c r="CW16" s="262">
        <f t="shared" si="16"/>
        <v>1.55528568544628</v>
      </c>
      <c r="CX16" s="259">
        <f>CY16+各项系数!$M$9*$NU16</f>
        <v>1.81353866254118</v>
      </c>
      <c r="CY16" s="259">
        <f t="shared" si="17"/>
        <v>1.79706099606993</v>
      </c>
      <c r="CZ16" s="260">
        <f>DA16+各项系数!$L$9*$NU16</f>
        <v>1.8155799111638</v>
      </c>
      <c r="DA16" s="260">
        <f>DB16*(1+$DD16+各项系数!$J$5+各项系数!$L$5)</f>
        <v>1.79910224469254</v>
      </c>
      <c r="DB16" s="262">
        <f t="shared" si="18"/>
        <v>1.76382573009072</v>
      </c>
      <c r="DC16" s="277">
        <f t="shared" si="137"/>
        <v>0</v>
      </c>
      <c r="DD16" s="277">
        <f t="shared" si="19"/>
        <v>0</v>
      </c>
      <c r="DE16" s="69"/>
      <c r="DF16" s="69"/>
      <c r="DG16" s="259">
        <f>DH16+各项系数!$M$9*$NQ16</f>
        <v>1.33068396942357</v>
      </c>
      <c r="DH16" s="259">
        <f>DI16*(1+$EA16+(VLOOKUP($AM16,$A$12:$B$323,2,0))+各项系数!$J$6+各项系数!$M$5)*(1+$E$2)+各项系数!$M$9*$NK16</f>
        <v>1.31559303432288</v>
      </c>
      <c r="DI16" s="260">
        <f>DJ16+各项系数!$L$9*$NQ16</f>
        <v>1.31573204217282</v>
      </c>
      <c r="DJ16" s="260">
        <f>DK16*(1+$EB16+各项系数!$J$5+各项系数!$L$5)</f>
        <v>1.30064110707213</v>
      </c>
      <c r="DK16" s="260">
        <f t="shared" si="20"/>
        <v>1.26275835638071</v>
      </c>
      <c r="DL16" s="259">
        <f>DM16+各项系数!$M$9*$NQ16</f>
        <v>1.50582583123539</v>
      </c>
      <c r="DM16" s="259">
        <f>DN16*(1+$EA16+(VLOOKUP($AM16,$A$12:$B$323,2,0))+各项系数!$J$6+各项系数!$M$5)*(1+$E$2)+各项系数!$M$9*$NK16</f>
        <v>1.4907348961347</v>
      </c>
      <c r="DN16" s="260">
        <f>DO16+各项系数!$L$9*$NQ16</f>
        <v>1.4926787605117</v>
      </c>
      <c r="DO16" s="260">
        <f>DP16*(1+$EB16+各项系数!$J$5+各项系数!$L$5)</f>
        <v>1.47758782541101</v>
      </c>
      <c r="DP16" s="260">
        <f t="shared" si="21"/>
        <v>1.4345512868068</v>
      </c>
      <c r="DQ16" s="259">
        <f>DR16+各项系数!$M$9*$NV16</f>
        <v>1.64980171817543</v>
      </c>
      <c r="DR16" s="259">
        <f t="shared" si="22"/>
        <v>1.63332405170417</v>
      </c>
      <c r="DS16" s="260">
        <f>DT16+各项系数!$L$9*$NV16</f>
        <v>1.65015563922426</v>
      </c>
      <c r="DT16" s="260">
        <f>DU16*(1+$EB16+各项系数!$J$5+各项系数!$L$5)</f>
        <v>1.633677972753</v>
      </c>
      <c r="DU16" s="262">
        <f t="shared" si="23"/>
        <v>1.58609511917767</v>
      </c>
      <c r="DV16" s="259">
        <f>DW16+各项系数!$M$9*$NV16</f>
        <v>1.76769226264912</v>
      </c>
      <c r="DW16" s="259">
        <f t="shared" si="24"/>
        <v>1.75121459617786</v>
      </c>
      <c r="DX16" s="260">
        <f>DY16+各项系数!$L$9*$NV16</f>
        <v>1.76926105897945</v>
      </c>
      <c r="DY16" s="260">
        <f>DZ16*(1+$EB16+各项系数!$J$5+各项系数!$L$5)</f>
        <v>1.75278339250819</v>
      </c>
      <c r="DZ16" s="262">
        <f t="shared" si="25"/>
        <v>1.70173144903708</v>
      </c>
      <c r="EA16" s="277">
        <f t="shared" si="26"/>
        <v>0</v>
      </c>
      <c r="EB16" s="277">
        <f t="shared" si="27"/>
        <v>0.01</v>
      </c>
      <c r="EC16" s="302">
        <f t="shared" si="138"/>
        <v>1</v>
      </c>
      <c r="ED16" s="302" t="str">
        <f t="shared" si="139"/>
        <v>1*1.5</v>
      </c>
      <c r="EE16" s="251">
        <f t="shared" si="28"/>
        <v>1.5</v>
      </c>
      <c r="EF16" s="251">
        <f>LOOKUP(EH16,{1,7,10,14,19,24,30,37,48,61},{1,"1+6","2+8","4+10","1+6+12","2+8+14","4+10+16","1+6+12+18","3+9+15+21","1+6+12+18+24"})</f>
        <v>1</v>
      </c>
      <c r="EG16" s="250">
        <f t="shared" si="29"/>
        <v>1</v>
      </c>
      <c r="EH16" s="260">
        <f>IF(AM16&lt;10,1,IF(AND(AM16&gt;=10,AM16&lt;=35),7,LOOKUP(AM16,{50,70,95,120,150,185,240,300,400,500,630},{10,14,19,24,30,37,48,61,61,61,61})*1))</f>
        <v>1</v>
      </c>
      <c r="EI16" s="250">
        <f>IF(EH16=0,0,VLOOKUP(EH16,各项系数!$D$142:$E$195,2,0))*1</f>
        <v>1</v>
      </c>
      <c r="EJ16" s="305">
        <f t="shared" si="141"/>
        <v>134.922667214547</v>
      </c>
      <c r="EK16" s="251">
        <f t="shared" si="30"/>
        <v>0</v>
      </c>
      <c r="EL16" s="251">
        <f t="shared" si="31"/>
        <v>0</v>
      </c>
      <c r="EM16" s="251">
        <f t="shared" si="32"/>
        <v>0</v>
      </c>
      <c r="EN16" s="251">
        <f>IF(EP16=0,0,LOOKUP(EP16,{1,7,10,14,19,24,30,37,48,61},{1,"1+6","2+8","4+10","1+6+12","2+8+14","4+10+16","1+6+12+18","3+9+15+21","1+6+12+18+24"}))</f>
        <v>0</v>
      </c>
      <c r="EO16" s="251">
        <f t="shared" si="33"/>
        <v>0</v>
      </c>
      <c r="EP16" s="251">
        <f>IF(EM16=0,0,IF(EM16&lt;10,1,IF(AND(EM16&gt;=10,EM16&lt;=35),7,LOOKUP(EM16,{50,70,95,120,150,185,240,300},{10,14,19,24,30,37,48,61})*1)))</f>
        <v>0</v>
      </c>
      <c r="EQ16" s="251">
        <f>IF(EP16=0,0,VLOOKUP(EP16,各项系数!$D$142:$E$195,2,0))*1</f>
        <v>0</v>
      </c>
      <c r="ER16" s="251">
        <f t="shared" si="34"/>
        <v>0</v>
      </c>
      <c r="ES16" s="302">
        <f t="shared" si="35"/>
        <v>1</v>
      </c>
      <c r="ET16" s="251">
        <f>VLOOKUP(ES16,各项系数!$D$142:$E$195,2,0)*1</f>
        <v>1</v>
      </c>
      <c r="EU16" s="311">
        <f>((各项系数!$F$76/4*$EJ16^2*$EG16*$EH16*1*10^-7)*(1-$H16)*AA16)*(VLOOKUP($EY$9,各项系数!$D$4:$F$143,3,0))*各项系数!$J$4</f>
        <v>0.0126469138144438</v>
      </c>
      <c r="EV16" s="312">
        <f>EU16*(VLOOKUP($EY$9,各项系数!$D$4:$F$143,2,0))</f>
        <v>0.828372854846068</v>
      </c>
      <c r="EW16" s="324">
        <f>(IF($EO16=0,0,(各项系数!$F$76/4*$ER16^2*$EO16*$EP16*1*10^-7))*(1-$K16)*$AF16)*(VLOOKUP($EY$9,各项系数!$D$4:$F$143,3,0))*各项系数!$J$4</f>
        <v>0</v>
      </c>
      <c r="EX16" s="325">
        <f>EW16*(VLOOKUP($EY$9,各项系数!$D$4:$F$143,2,0))</f>
        <v>0</v>
      </c>
      <c r="EY16" s="251">
        <f>((各项系数!$F$76/4*$EJ16^2*$EG16*$EH16*1*10^-7)*(1-$H16)*AA16+IF($EO16=0,0,(各项系数!$F$76/4*$ER16^2*$EO16*$EP16*1*10^-7))*(1-$K16)*$AF16)*(VLOOKUP($EY$9,各项系数!$D$4:$F$143,3,0))*各项系数!$J$4</f>
        <v>0.0126469138144438</v>
      </c>
      <c r="EZ16" s="123">
        <v>1</v>
      </c>
      <c r="FA16" s="251">
        <f t="shared" si="36"/>
        <v>0.0126469138144438</v>
      </c>
      <c r="FB16" s="326">
        <f>FA16*(VLOOKUP($EY$9,各项系数!$D$4:$F$143,2,0))</f>
        <v>0.828372854846068</v>
      </c>
      <c r="FC16" s="327"/>
      <c r="FD16" s="302">
        <f>各项系数!$F$76/4*($MN16^2-MK16^2)*10^-2*(VLOOKUP(L16,各项系数!$D$1:$F$143,3,0))*10^-3*10^2*$EG16*各项系数!$J$4</f>
        <v>0.0049323476315592</v>
      </c>
      <c r="FE16" s="339">
        <f>FD16*VLOOKUP(L16,各项系数!$D$1:$F$143,2,0)</f>
        <v>0.0503099458419038</v>
      </c>
      <c r="FF16" s="250">
        <f>各项系数!$F$76/4*($MO16^2-ML16^2)*10^-2*(VLOOKUP(L16,各项系数!$D$1:$F$143,3,0))*10^-3*10^2*$EO16*各项系数!$J$4</f>
        <v>0</v>
      </c>
      <c r="FG16" s="339">
        <f>FF16*VLOOKUP(L16,各项系数!$D$1:$F$143,2,0)</f>
        <v>0</v>
      </c>
      <c r="FH16" s="302">
        <f t="shared" si="142"/>
        <v>0.0049323476315592</v>
      </c>
      <c r="FI16" s="123">
        <v>1</v>
      </c>
      <c r="FJ16" s="251">
        <f t="shared" si="37"/>
        <v>0.0049323476315592</v>
      </c>
      <c r="FK16" s="339">
        <f>FJ16*VLOOKUP(L16,各项系数!$D$1:$F$143,2,0)</f>
        <v>0.0503099458419038</v>
      </c>
      <c r="FL16" s="302"/>
      <c r="FM16" s="123"/>
      <c r="FN16" s="251"/>
      <c r="FO16" s="339"/>
      <c r="FP16" s="364">
        <f t="shared" si="38"/>
        <v>0.0049323476315592</v>
      </c>
      <c r="FQ16" s="364">
        <f t="shared" si="39"/>
        <v>0.0503099458419038</v>
      </c>
      <c r="FR16" s="365">
        <f>各项系数!$F$76/4*($MQ16^2-$MN16^2*$EG16-$MO16^2*$EO16)*10^-2</f>
        <v>0</v>
      </c>
      <c r="FS16" s="366">
        <f t="shared" si="143"/>
        <v>1</v>
      </c>
      <c r="FT16" s="367">
        <f t="shared" si="40"/>
        <v>0</v>
      </c>
      <c r="FU16" s="388">
        <f>$FT16*(VLOOKUP($FT$9,各项系数!$D$1:$F$143,3,0))*10^-3*10^2*各项系数!$J$55</f>
        <v>0</v>
      </c>
      <c r="FV16" s="389">
        <v>1</v>
      </c>
      <c r="FW16" s="390">
        <f t="shared" si="41"/>
        <v>0</v>
      </c>
      <c r="FX16" s="367">
        <f>FW16*(VLOOKUP($FT$9,各项系数!$D$1:$F$143,2,0))</f>
        <v>0</v>
      </c>
      <c r="FY16" s="388">
        <f>IF($BK16&lt;&gt;$FY$9,0,各项系数!$F$76/4*($MS16^2-$MQ16^2)*10^-2*(VLOOKUP($FY$9,各项系数!$D$1:$F$143,3,0))*10^-3*10^2)*各项系数!$J$4</f>
        <v>0</v>
      </c>
      <c r="FZ16" s="389">
        <v>1</v>
      </c>
      <c r="GA16" s="390">
        <f t="shared" si="42"/>
        <v>0</v>
      </c>
      <c r="GB16" s="367">
        <f>GA16*(VLOOKUP($FY$9,各项系数!$D$1:$F$143,2,0))</f>
        <v>0</v>
      </c>
      <c r="GC16" s="388">
        <f>IF($BK16&lt;&gt;$GC$9,0,各项系数!$F$76/4*($MS16^2-$MQ16^2)*10^-2*(VLOOKUP($GC$9,各项系数!$D$1:$F$143,3,0))*10^-3*10^2)*各项系数!$J$4</f>
        <v>0</v>
      </c>
      <c r="GD16" s="389">
        <v>1</v>
      </c>
      <c r="GE16" s="390">
        <f t="shared" si="43"/>
        <v>0</v>
      </c>
      <c r="GF16" s="367">
        <f>GE16*(VLOOKUP($GC$9,各项系数!$D$1:$F$143,2,0))</f>
        <v>0</v>
      </c>
      <c r="GG16" s="388">
        <f>IF($BK16&lt;&gt;$GG$9,0,各项系数!$F$76/4*($MS16^2-$MQ16^2)*10^-2*(VLOOKUP($GG$9,各项系数!$D$1:$F$143,3,0))*10^-3*10^2)*各项系数!$J$4</f>
        <v>0</v>
      </c>
      <c r="GH16" s="389">
        <v>1</v>
      </c>
      <c r="GI16" s="390">
        <f t="shared" si="44"/>
        <v>0</v>
      </c>
      <c r="GJ16" s="367">
        <f>GI16*(VLOOKUP($GG$9,各项系数!$D$1:$F$143,2,0))</f>
        <v>0</v>
      </c>
      <c r="GK16" s="388">
        <f>IF($BK16&lt;&gt;$GK$9,0,各项系数!$F$76/4*($MS16^2-$MQ16^2)*10^-2*(VLOOKUP($GK$9,各项系数!$D$1:$F$143,3,0))*10^-3*10^2)*各项系数!$J$4</f>
        <v>0</v>
      </c>
      <c r="GL16" s="389">
        <v>1</v>
      </c>
      <c r="GM16" s="390">
        <f t="shared" si="45"/>
        <v>0</v>
      </c>
      <c r="GN16" s="367">
        <f>GM16*(VLOOKUP($GK$9,各项系数!$D$1:$F$143,2,0))</f>
        <v>0</v>
      </c>
      <c r="GO16" s="390">
        <f t="shared" si="46"/>
        <v>0</v>
      </c>
      <c r="GP16" s="390">
        <f t="shared" si="47"/>
        <v>0</v>
      </c>
      <c r="GQ16" s="406">
        <f>各项系数!$F$76/4*($MU16^2-$MS16^2)*10^-2*(VLOOKUP($S16,各项系数!$D$1:$F$143,3,0))*10^-3*10^2*各项系数!$J$4</f>
        <v>0.0144184260638095</v>
      </c>
      <c r="GR16" s="389">
        <v>1</v>
      </c>
      <c r="GS16" s="390">
        <f t="shared" si="48"/>
        <v>0.0144184260638095</v>
      </c>
      <c r="GT16" s="390">
        <f t="shared" si="49"/>
        <v>1</v>
      </c>
      <c r="GU16" s="390">
        <f>ROUND($GS16*(VLOOKUP($S16,各项系数!$D$1:$F$143,2,0))+$E$3*GS16,GT16)</f>
        <v>0.2</v>
      </c>
      <c r="GV16" s="406">
        <f>各项系数!$F$76/4*($MT16^2-$MS16^2)*10^-2*(VLOOKUP($GV$9,各项系数!$D$1:$F$143,3,0))*10^-3*10^2*各项系数!$J$4*PI()/4*R16</f>
        <v>0.00395195793356068</v>
      </c>
      <c r="GW16" s="389">
        <v>1</v>
      </c>
      <c r="GX16" s="390">
        <f t="shared" si="50"/>
        <v>0.00395195793356068</v>
      </c>
      <c r="GY16" s="390">
        <f>$GX16*(VLOOKUP($GV$9,各项系数!$D$1:$F$143,2,0))</f>
        <v>0.266757160515346</v>
      </c>
      <c r="GZ16" s="406">
        <f>各项系数!$F$76/4*($MV16^2-$MS16^2)*10^-2*(VLOOKUP($GZ$9,各项系数!$D$1:$F$143,3,0))*10^-3*10^2*各项系数!$J$4</f>
        <v>0.026329108372589</v>
      </c>
      <c r="HA16" s="389">
        <v>1</v>
      </c>
      <c r="HB16" s="390">
        <f t="shared" si="144"/>
        <v>0.026329108372589</v>
      </c>
      <c r="HC16" s="390">
        <f>HB16*(VLOOKUP($GZ$9,各项系数!$D$1:$F$143,2,0))</f>
        <v>0.447594842334013</v>
      </c>
      <c r="HD16" s="406">
        <f>各项系数!$F$76/4*($MW16^2-$MT16^2)*10^-2*(VLOOKUP($HD$9,各项系数!$D$1:$F$143,3,0))*10^-3*10^2*各项系数!$J$4</f>
        <v>0.0273443957200055</v>
      </c>
      <c r="HE16" s="389">
        <v>1</v>
      </c>
      <c r="HF16" s="390">
        <f t="shared" si="145"/>
        <v>0.0273443957200055</v>
      </c>
      <c r="HG16" s="390">
        <f>HF16*(VLOOKUP($HD$9,各项系数!$D$1:$F$143,2,0))</f>
        <v>0.464854727240094</v>
      </c>
      <c r="HH16" s="406">
        <f>各项系数!$F$76/4*($MV16^2-$MS16^2)*10^-2*(VLOOKUP($HH$9,各项系数!$D$1:$F$143,3,0))*10^-3*10^2*各项系数!$J$4</f>
        <v>0.026329108372589</v>
      </c>
      <c r="HI16" s="420">
        <v>1</v>
      </c>
      <c r="HJ16" s="390">
        <f t="shared" si="146"/>
        <v>0.026329108372589</v>
      </c>
      <c r="HK16" s="390">
        <f>HJ16*(VLOOKUP($HH$9,各项系数!$D$1:$F$143,2,0))</f>
        <v>0.447594842334013</v>
      </c>
      <c r="HL16" s="406">
        <f>各项系数!$F$76/4*($MW16^2-$MT16^2)*10^-2*(VLOOKUP($HL$9,各项系数!$D$1:$F$143,3,0))*10^-3*10^2*各项系数!$J$4</f>
        <v>0.0273443957200055</v>
      </c>
      <c r="HM16" s="420">
        <v>1</v>
      </c>
      <c r="HN16" s="390">
        <f t="shared" si="147"/>
        <v>0.0273443957200055</v>
      </c>
      <c r="HO16" s="390">
        <f>HN16*(VLOOKUP($HL$9,各项系数!$D$1:$F$143,2,0))</f>
        <v>0.464854727240094</v>
      </c>
      <c r="HP16" s="406">
        <f>各项系数!$F$76/4*($MV16^2-$MS16^2)*10^-2*(VLOOKUP(AN16,各项系数!$D$1:$F$143,3,0))*10^-3*10^2*各项系数!$J$4</f>
        <v>0.026692268488073</v>
      </c>
      <c r="HQ16" s="389">
        <v>1</v>
      </c>
      <c r="HR16" s="390">
        <f t="shared" si="55"/>
        <v>0.026692268488073</v>
      </c>
      <c r="HS16" s="390">
        <f>HR16*(VLOOKUP(AN16,各项系数!$D$1:$F$143,2,0))</f>
        <v>0.26692268488073</v>
      </c>
      <c r="HT16" s="406">
        <f>各项系数!$F$76/4*($MW16^2-$MT16^2)*10^-2*(VLOOKUP(AN16,各项系数!$D$1:$F$143,3,0))*10^-3*10^2*各项系数!$J$4</f>
        <v>0.0277215597989021</v>
      </c>
      <c r="HU16" s="389">
        <v>1</v>
      </c>
      <c r="HV16" s="390">
        <f t="shared" si="56"/>
        <v>0.0277215597989021</v>
      </c>
      <c r="HW16" s="390">
        <f>HV16*(VLOOKUP(AN16,各项系数!$D$1:$F$143,2,0))</f>
        <v>0.277215597989021</v>
      </c>
      <c r="HX16" s="406">
        <f>各项系数!$F$76/4*($MV16^2-$MS16^2)*10^-2*(VLOOKUP($HX$9,各项系数!$D$1:$F$143,3,0))*10^-3*10^2*各项系数!$J$4</f>
        <v>0.026692268488073</v>
      </c>
      <c r="HY16" s="420">
        <v>1</v>
      </c>
      <c r="HZ16" s="390">
        <f t="shared" si="57"/>
        <v>0.026692268488073</v>
      </c>
      <c r="IA16" s="390">
        <f>HZ16*(VLOOKUP($HX$9,各项系数!$D$1:$F$143,2,0))</f>
        <v>0.293614953368803</v>
      </c>
      <c r="IB16" s="406">
        <f>各项系数!$F$76/4*($MW16^2-$MT16^2)*10^-2*(VLOOKUP($IB$9,各项系数!$D$1:$F$143,3,0))*10^-3*10^2*各项系数!$J$4</f>
        <v>0.0277215597989021</v>
      </c>
      <c r="IC16" s="420">
        <v>1</v>
      </c>
      <c r="ID16" s="390">
        <f t="shared" si="58"/>
        <v>0.0277215597989021</v>
      </c>
      <c r="IE16" s="390">
        <f>ID16*(VLOOKUP($IB$9,各项系数!$D$1:$F$143,2,0))</f>
        <v>0.304937157787924</v>
      </c>
      <c r="IF16" s="429"/>
      <c r="IG16" s="406">
        <f t="shared" si="148"/>
        <v>0.0017883861541935</v>
      </c>
      <c r="IH16" s="389">
        <v>1</v>
      </c>
      <c r="II16" s="390">
        <f t="shared" si="59"/>
        <v>0.0017883861541935</v>
      </c>
      <c r="IJ16" s="390">
        <f>II16*(VLOOKUP($IG$8,各项系数!$D$1:$F$143,2,0))</f>
        <v>0.0447096538548374</v>
      </c>
      <c r="IK16" s="406">
        <f>(各项系数!$F$76/4*($MX16^2-$MK16^2)*$EG16)*10^-2*(VLOOKUP($IG$8,各项系数!$D$1:$F$143,3,0))*10^-3*10^2*各项系数!$J$4</f>
        <v>0.0017883861541935</v>
      </c>
      <c r="IL16" s="389">
        <f>IK16*(VLOOKUP($IG$8,各项系数!$D$1:$F$143,2,0))</f>
        <v>0.0447096538548374</v>
      </c>
      <c r="IM16" s="390">
        <f>(各项系数!$F$76/4*(($MM16+3*$X16)^2-MM16^2)*$EO16)*10^-2*(VLOOKUP($IG$8,各项系数!$D$1:$F$143,3,0))*10^-3*10^2*各项系数!$J$4</f>
        <v>0</v>
      </c>
      <c r="IN16" s="389">
        <f>IM16*(VLOOKUP($IG$8,各项系数!$D$1:$F$143,2,0))</f>
        <v>0</v>
      </c>
      <c r="IO16" s="406">
        <f>各项系数!$F$76/4*($MZ16^2-$MX16^2)*10^-2*(VLOOKUP(L16,各项系数!$D$1:$F$143,3,0))*10^-3*10^2*$ES16*各项系数!$J$4</f>
        <v>0.00608767461310215</v>
      </c>
      <c r="IP16" s="389">
        <v>1</v>
      </c>
      <c r="IQ16" s="390">
        <f t="shared" si="60"/>
        <v>0.00608767461310215</v>
      </c>
      <c r="IR16" s="367">
        <f>IQ16*(VLOOKUP(L16,各项系数!$D$1:$F$143,2,0))</f>
        <v>0.062094281053642</v>
      </c>
      <c r="IS16" s="406">
        <f>IF($L16&lt;&gt;$IS$9,0,各项系数!$F$76/4*($MZ16^2-$MX16^2)*10^-2*各项系数!$F$12*10^-3*10^2)*$ES16*各项系数!$J$4</f>
        <v>0</v>
      </c>
      <c r="IT16" s="389">
        <v>1</v>
      </c>
      <c r="IU16" s="390">
        <f t="shared" si="61"/>
        <v>0</v>
      </c>
      <c r="IV16" s="367">
        <f>IU16*各项系数!$E$12</f>
        <v>0</v>
      </c>
      <c r="IW16" s="388">
        <f t="shared" si="62"/>
        <v>0.00608767461310215</v>
      </c>
      <c r="IX16" s="388">
        <f t="shared" si="63"/>
        <v>0.062094281053642</v>
      </c>
      <c r="IY16" s="447">
        <f>各项系数!$F$76/4*($NB16^2-$MZ16^2*$EG16-$NA16^2*$EO16)*10^-2</f>
        <v>0</v>
      </c>
      <c r="IZ16" s="366">
        <f t="shared" si="149"/>
        <v>1</v>
      </c>
      <c r="JA16" s="367">
        <f t="shared" si="64"/>
        <v>0</v>
      </c>
      <c r="JB16" s="364">
        <f>IF($DE16&lt;&gt;$JB$9,0,$JA16*各项系数!$F$32*10^-3*10^2)*各项系数!$J$4</f>
        <v>0</v>
      </c>
      <c r="JC16" s="123">
        <v>1</v>
      </c>
      <c r="JD16" s="251">
        <f t="shared" si="65"/>
        <v>0</v>
      </c>
      <c r="JE16" s="339">
        <f>JD16*各项系数!$E$32</f>
        <v>0</v>
      </c>
      <c r="JF16" s="364">
        <f>IF($DE16&lt;&gt;$JF$9,0,$JA16*VLOOKUP($JF$9,各项系数!$D$4:$F$540,2,0)*10^-3*10^2)*各项系数!$J$4</f>
        <v>0</v>
      </c>
      <c r="JG16" s="123">
        <v>1</v>
      </c>
      <c r="JH16" s="251">
        <f t="shared" si="66"/>
        <v>0</v>
      </c>
      <c r="JI16" s="339">
        <f>JH16*VLOOKUP($JF$9,各项系数!$D$4:$F$540,3,0)</f>
        <v>0</v>
      </c>
      <c r="JJ16" s="364">
        <f t="shared" si="67"/>
        <v>0</v>
      </c>
      <c r="JK16" s="251">
        <f t="shared" si="68"/>
        <v>0</v>
      </c>
      <c r="JL16" s="364">
        <f>IF($DF16&lt;&gt;$JL$9,0,各项系数!$F$76/4*($NE16^2-$NC16^2)*10^-2*各项系数!$F$39*10^-3*10^2)*各项系数!$J$4</f>
        <v>0</v>
      </c>
      <c r="JM16" s="123">
        <v>1</v>
      </c>
      <c r="JN16" s="251">
        <f t="shared" si="69"/>
        <v>0</v>
      </c>
      <c r="JO16" s="339">
        <f>JN16*各项系数!$E$39</f>
        <v>0</v>
      </c>
      <c r="JP16" s="364">
        <f>IF($DF16&lt;&gt;$JP$9,0,各项系数!$F$76/4*($NE16^2-$NC16^2)*10^-2*各项系数!$F$36*10^-3*10^2)*各项系数!$J$4</f>
        <v>0</v>
      </c>
      <c r="JQ16" s="123">
        <v>1</v>
      </c>
      <c r="JR16" s="251">
        <f t="shared" si="70"/>
        <v>0</v>
      </c>
      <c r="JS16" s="339">
        <f>JR16*各项系数!$E$36</f>
        <v>0</v>
      </c>
      <c r="JT16" s="364">
        <f>IF($DF16&lt;&gt;$JT$9,0,各项系数!$F$76/4*($NE16^2-$NC16^2)*10^-2*各项系数!$F$40*10^-3*10^2)*各项系数!$J$4</f>
        <v>0</v>
      </c>
      <c r="JU16" s="123">
        <v>1</v>
      </c>
      <c r="JV16" s="251">
        <f t="shared" si="71"/>
        <v>0</v>
      </c>
      <c r="JW16" s="339">
        <f>JV16*各项系数!$E$40</f>
        <v>0</v>
      </c>
      <c r="JX16" s="364">
        <f>IF($DF16&lt;&gt;$JX$9,0,各项系数!$F$76/4*($NE16^2-$NC16^2)*10^-2*各项系数!$F$38*10^-3*10^2)*各项系数!$J$4</f>
        <v>0</v>
      </c>
      <c r="JY16" s="123">
        <v>1</v>
      </c>
      <c r="JZ16" s="251">
        <f t="shared" si="72"/>
        <v>0</v>
      </c>
      <c r="KA16" s="339">
        <f>JZ16*各项系数!$E$38</f>
        <v>0</v>
      </c>
      <c r="KB16" s="364">
        <f>IF($DF16&lt;&gt;$KB$9,0,各项系数!$F$76/4*($NE16^2-$NC16^2)*10^-2*各项系数!$F$41*10^-3*10^2)*各项系数!$J$4</f>
        <v>0</v>
      </c>
      <c r="KC16" s="123">
        <v>1</v>
      </c>
      <c r="KD16" s="251">
        <f t="shared" si="73"/>
        <v>0</v>
      </c>
      <c r="KE16" s="339">
        <f>KD16*各项系数!$E$41</f>
        <v>0</v>
      </c>
      <c r="KF16" s="251">
        <f t="shared" si="74"/>
        <v>0</v>
      </c>
      <c r="KG16" s="251">
        <f t="shared" si="75"/>
        <v>0</v>
      </c>
      <c r="KH16" s="302">
        <f>各项系数!$F$76/4*($NG16^2-$NE16^2)*10^-2*各项系数!$F$44*10^-3*10^2*各项系数!$J$4*0.75*$U16</f>
        <v>0.0251476353277918</v>
      </c>
      <c r="KI16" s="123">
        <v>1</v>
      </c>
      <c r="KJ16" s="251">
        <f t="shared" si="76"/>
        <v>0.0251476353277918</v>
      </c>
      <c r="KK16" s="251">
        <f>ROUND(KJ16*各项系数!$E$44,GT16)</f>
        <v>0.3</v>
      </c>
      <c r="KL16" s="302">
        <f>各项系数!$F$76/4*($NF16^2-$NE16^2)*10^-2*各项系数!$F$46*10^-3*10^2*各项系数!$J$4*PI()/4*R16</f>
        <v>0.00462243790189392</v>
      </c>
      <c r="KM16" s="123">
        <v>1</v>
      </c>
      <c r="KN16" s="251">
        <f t="shared" si="77"/>
        <v>0.00462243790189392</v>
      </c>
      <c r="KO16" s="251">
        <f>KN16*各项系数!$E$46</f>
        <v>0.312014558377839</v>
      </c>
      <c r="KP16" s="302">
        <f>各项系数!$F$76/4*($NH16^2-$NE16^2)*10^-2*(VLOOKUP($KP$9,各项系数!$D$1:$F$143,3,0))*10^-3*10^2*各项系数!$J$4</f>
        <v>0.0293749704148386</v>
      </c>
      <c r="KQ16" s="123">
        <v>1</v>
      </c>
      <c r="KR16" s="251">
        <f t="shared" si="150"/>
        <v>0.0293749704148386</v>
      </c>
      <c r="KS16" s="251">
        <f>KR16*(VLOOKUP($KP$9,各项系数!$D$1:$F$143,2,0))</f>
        <v>0.499374497052256</v>
      </c>
      <c r="KT16" s="302">
        <f>各项系数!$F$76/4*($NI16^2-$NF16^2)*10^-2*(VLOOKUP($KT$9,各项系数!$D$1:$F$143,3,0))*10^-3*10^2*各项系数!$J$4</f>
        <v>0.0303902577622551</v>
      </c>
      <c r="KU16" s="123">
        <v>1</v>
      </c>
      <c r="KV16" s="251">
        <f t="shared" si="151"/>
        <v>0.0303902577622551</v>
      </c>
      <c r="KW16" s="251">
        <f>KV16*(VLOOKUP($KT$9,各项系数!$D$1:$F$143,2,0))</f>
        <v>0.516634381958337</v>
      </c>
      <c r="KX16" s="251">
        <f>各项系数!$F$76/4*($NH16^2-$NE16^2)*10^-2*(VLOOKUP($KX$9,各项系数!$D$1:$F$143,3,0))*10^-3*10^2*各项系数!$J$4</f>
        <v>0.0293749704148386</v>
      </c>
      <c r="KY16" s="479">
        <v>1</v>
      </c>
      <c r="KZ16" s="251">
        <f t="shared" si="152"/>
        <v>0.0293749704148386</v>
      </c>
      <c r="LA16" s="251">
        <f>KZ16*(VLOOKUP($KX$9,各项系数!$D$1:$F$143,2,0))</f>
        <v>0.499374497052256</v>
      </c>
      <c r="LB16" s="251">
        <f>各项系数!$F$76/4*($NI16^2-$NF16^2)*10^-2*(VLOOKUP($LB$9,各项系数!$D$1:$F$143,3,0))*10^-3*10^2*各项系数!$J$4</f>
        <v>0.0303902577622551</v>
      </c>
      <c r="LC16" s="479">
        <v>1</v>
      </c>
      <c r="LD16" s="251">
        <f t="shared" si="153"/>
        <v>0.0303902577622551</v>
      </c>
      <c r="LE16" s="251">
        <f>LD16*(VLOOKUP($LB$9,各项系数!$D$1:$F$143,2,0))</f>
        <v>0.516634381958337</v>
      </c>
      <c r="LF16" s="302">
        <f>各项系数!$F$76/4*($NH16^2-$NE16^2)*10^-2*(VLOOKUP(AN16,各项系数!$D$1:$F$143,3,0))*10^-3*10^2*各项系数!$J$4</f>
        <v>0.0297801424205605</v>
      </c>
      <c r="LG16" s="123">
        <v>1</v>
      </c>
      <c r="LH16" s="251">
        <f t="shared" si="82"/>
        <v>0.0297801424205605</v>
      </c>
      <c r="LI16" s="251">
        <f>LH16*(VLOOKUP(AN16,各项系数!$D$1:$F$143,2,0))</f>
        <v>0.297801424205605</v>
      </c>
      <c r="LJ16" s="302">
        <f>各项系数!$F$76/4*($NI16^2-$NF16^2)*10^-2*(VLOOKUP(AN16,各项系数!$D$1:$F$143,3,0))*10^-3*10^2*各项系数!$J$4</f>
        <v>0.0308094337313897</v>
      </c>
      <c r="LK16" s="123">
        <v>1</v>
      </c>
      <c r="LL16" s="251">
        <f t="shared" si="83"/>
        <v>0.0308094337313897</v>
      </c>
      <c r="LM16" s="251">
        <f>LL16*(VLOOKUP(AN16,各项系数!$D$1:$F$143,2,0))</f>
        <v>0.308094337313897</v>
      </c>
      <c r="LN16" s="251">
        <f>各项系数!$F$76/4*($NH16^2-$NE16^2)*10^-2*(VLOOKUP($LN$9,各项系数!$D$1:$F$143,3,0))*10^-3*10^2*各项系数!$J$4</f>
        <v>0.0297801424205605</v>
      </c>
      <c r="LO16" s="479">
        <v>1</v>
      </c>
      <c r="LP16" s="251">
        <f t="shared" si="84"/>
        <v>0.0297801424205605</v>
      </c>
      <c r="LQ16" s="251">
        <f>LP16*(VLOOKUP($LN$9,各项系数!$D$1:$F$143,2,0))</f>
        <v>0.327581566626165</v>
      </c>
      <c r="LR16" s="251">
        <f>各项系数!$F$76/4*($NI16^2-$NF16^2)*10^-2*(VLOOKUP($LR$9,各项系数!$D$1:$F$143,3,0))*10^-3*10^2*各项系数!$J$4</f>
        <v>0.0308094337313897</v>
      </c>
      <c r="LS16" s="479">
        <v>1</v>
      </c>
      <c r="LT16" s="251">
        <f t="shared" si="85"/>
        <v>0.0308094337313897</v>
      </c>
      <c r="LU16" s="251">
        <f>LT16*(VLOOKUP($LR$9,各项系数!$D$1:$F$143,2,0))</f>
        <v>0.338903771045286</v>
      </c>
      <c r="LV16" s="499">
        <f t="shared" si="154"/>
        <v>1.42974872</v>
      </c>
      <c r="LW16" s="499">
        <f t="shared" si="155"/>
        <v>1.42974872</v>
      </c>
      <c r="LX16" s="499">
        <f t="shared" si="156"/>
        <v>1.34922667085204</v>
      </c>
      <c r="LY16" s="515">
        <f t="shared" si="157"/>
        <v>0</v>
      </c>
      <c r="LZ16" s="516">
        <f t="shared" si="86"/>
        <v>1</v>
      </c>
      <c r="MA16" s="517">
        <f t="shared" si="87"/>
        <v>1.42974872</v>
      </c>
      <c r="MB16" s="517">
        <f t="shared" si="158"/>
        <v>1.34922667</v>
      </c>
      <c r="MC16" s="499">
        <f t="shared" si="159"/>
        <v>0</v>
      </c>
      <c r="MD16" s="499">
        <f t="shared" si="160"/>
        <v>0</v>
      </c>
      <c r="ME16" s="499">
        <f t="shared" si="161"/>
        <v>0</v>
      </c>
      <c r="MF16" s="499">
        <f t="shared" si="162"/>
        <v>0</v>
      </c>
      <c r="MG16" s="516">
        <f t="shared" si="163"/>
        <v>1</v>
      </c>
      <c r="MH16" s="517">
        <f t="shared" si="88"/>
        <v>0</v>
      </c>
      <c r="MI16" s="517">
        <f t="shared" si="164"/>
        <v>0</v>
      </c>
      <c r="MJ16" s="251">
        <f t="shared" si="89"/>
        <v>1.34922667</v>
      </c>
      <c r="MK16" s="251">
        <f t="shared" si="165"/>
        <v>1.34922667</v>
      </c>
      <c r="ML16" s="251">
        <f t="shared" si="90"/>
        <v>0</v>
      </c>
      <c r="MM16" s="251">
        <f t="shared" si="91"/>
        <v>0</v>
      </c>
      <c r="MN16" s="251">
        <f t="shared" si="92"/>
        <v>2.74922667</v>
      </c>
      <c r="MO16" s="251">
        <f t="shared" si="166"/>
        <v>0</v>
      </c>
      <c r="MP16" s="251">
        <f t="shared" si="167"/>
        <v>2.74922667</v>
      </c>
      <c r="MQ16" s="251">
        <f t="shared" si="93"/>
        <v>2.74922667</v>
      </c>
      <c r="MR16" s="314">
        <f t="shared" si="168"/>
        <v>2.74922667</v>
      </c>
      <c r="MS16" s="530">
        <f t="shared" si="94"/>
        <v>2.74922667</v>
      </c>
      <c r="MT16" s="530">
        <f t="shared" si="95"/>
        <v>2.90922667</v>
      </c>
      <c r="MU16" s="530">
        <f t="shared" si="96"/>
        <v>3.14922667</v>
      </c>
      <c r="MV16" s="530">
        <f t="shared" si="97"/>
        <v>5.54922667</v>
      </c>
      <c r="MW16" s="530">
        <f t="shared" si="98"/>
        <v>5.70922667</v>
      </c>
      <c r="MX16" s="326">
        <f t="shared" si="99"/>
        <v>1.82922667</v>
      </c>
      <c r="MY16" s="326">
        <f t="shared" si="100"/>
        <v>0</v>
      </c>
      <c r="MZ16" s="251">
        <f t="shared" si="101"/>
        <v>3.22922667</v>
      </c>
      <c r="NA16" s="251">
        <f t="shared" si="102"/>
        <v>0</v>
      </c>
      <c r="NB16" s="251">
        <f t="shared" si="169"/>
        <v>3.22922667</v>
      </c>
      <c r="NC16" s="326">
        <f t="shared" si="103"/>
        <v>3.22922667</v>
      </c>
      <c r="ND16" s="314">
        <f t="shared" si="104"/>
        <v>3.22922667</v>
      </c>
      <c r="NE16" s="537">
        <f t="shared" si="105"/>
        <v>3.22922667</v>
      </c>
      <c r="NF16" s="530">
        <f t="shared" si="106"/>
        <v>3.38922667</v>
      </c>
      <c r="NG16" s="538">
        <f t="shared" si="107"/>
        <v>3.62922667</v>
      </c>
      <c r="NH16" s="326">
        <f t="shared" si="108"/>
        <v>6.02922667</v>
      </c>
      <c r="NI16" s="530">
        <f t="shared" si="109"/>
        <v>6.18922667</v>
      </c>
      <c r="NK16" s="539">
        <f t="shared" si="110"/>
        <v>0.044271529934076</v>
      </c>
      <c r="NL16" s="539">
        <f t="shared" si="111"/>
        <v>1.1456054855687</v>
      </c>
      <c r="NM16" s="539">
        <f t="shared" si="112"/>
        <v>0.044271529934076</v>
      </c>
      <c r="NN16" s="539">
        <f t="shared" si="113"/>
        <v>1.17229775405677</v>
      </c>
      <c r="NO16" s="539">
        <f t="shared" si="114"/>
        <v>0.0503031170022999</v>
      </c>
      <c r="NP16" s="539">
        <f t="shared" si="115"/>
        <v>1.23297821396015</v>
      </c>
      <c r="NQ16" s="539">
        <f t="shared" si="116"/>
        <v>0.0503031170022999</v>
      </c>
      <c r="NR16" s="539">
        <f t="shared" si="117"/>
        <v>1.26275835638071</v>
      </c>
      <c r="NS16" s="539">
        <f t="shared" si="118"/>
        <v>0.0482234878676366</v>
      </c>
      <c r="NT16" s="539">
        <f t="shared" si="119"/>
        <v>0.0482234878676366</v>
      </c>
      <c r="NU16" s="539">
        <f t="shared" si="120"/>
        <v>0.0549255549041938</v>
      </c>
      <c r="NV16" s="539">
        <f t="shared" si="121"/>
        <v>0.0549255549041938</v>
      </c>
      <c r="NW16">
        <f t="shared" si="122"/>
        <v>0.0586899559978854</v>
      </c>
      <c r="NX16">
        <f>各项系数!$M$9*NK16</f>
        <v>0.0132814589802228</v>
      </c>
      <c r="NY16">
        <f t="shared" si="123"/>
        <v>0.0482234878676366</v>
      </c>
      <c r="OB16" s="82" t="str">
        <f t="shared" si="124"/>
        <v>1*1.5</v>
      </c>
      <c r="OC16" s="546">
        <f t="shared" si="125"/>
        <v>134.922667214547</v>
      </c>
      <c r="OD16" s="546">
        <f>SQRT(4*EY16/PI()/EH16/各项系数!$J$4/各项系数!$F$5*10000000)</f>
        <v>134.922667214547</v>
      </c>
      <c r="OE16" s="547">
        <f t="shared" si="126"/>
        <v>1.42974872274124</v>
      </c>
      <c r="OF16" s="547">
        <f t="shared" si="127"/>
        <v>1.42974872274124</v>
      </c>
      <c r="OG16" s="82"/>
      <c r="OH16" s="548"/>
    </row>
    <row r="17" customHeight="1" spans="1:398">
      <c r="A17" s="66">
        <v>2.5</v>
      </c>
      <c r="B17" s="67">
        <v>0</v>
      </c>
      <c r="C17" s="68">
        <v>0.7</v>
      </c>
      <c r="D17" s="69" t="s">
        <v>189</v>
      </c>
      <c r="E17" s="77">
        <f t="shared" si="1"/>
        <v>5.92412401</v>
      </c>
      <c r="F17" s="73">
        <v>172.412400708262</v>
      </c>
      <c r="G17" s="72"/>
      <c r="H17" s="72"/>
      <c r="I17" s="72"/>
      <c r="J17" s="72"/>
      <c r="K17" s="72"/>
      <c r="L17" s="118" t="s">
        <v>467</v>
      </c>
      <c r="M17" s="119">
        <f t="shared" si="2"/>
        <v>0.7</v>
      </c>
      <c r="N17" s="119">
        <f t="shared" si="3"/>
        <v>0</v>
      </c>
      <c r="O17" s="69"/>
      <c r="P17" s="120">
        <v>0.1</v>
      </c>
      <c r="Q17" s="162">
        <f t="shared" si="170"/>
        <v>0.1</v>
      </c>
      <c r="R17" s="160">
        <v>0.8</v>
      </c>
      <c r="S17" s="161" t="s">
        <v>521</v>
      </c>
      <c r="T17" s="162">
        <v>0.2</v>
      </c>
      <c r="U17" s="69">
        <v>2</v>
      </c>
      <c r="V17" s="160"/>
      <c r="W17" s="124">
        <v>1.4</v>
      </c>
      <c r="X17" s="164">
        <f t="shared" si="171"/>
        <v>0.2</v>
      </c>
      <c r="Y17" s="219">
        <v>2</v>
      </c>
      <c r="Z17" s="220">
        <v>0.2</v>
      </c>
      <c r="AA17" s="217">
        <v>1</v>
      </c>
      <c r="AB17" s="186">
        <f>PI()*EJ17*EJ17/4*EH17*(1-H17)*AA17*各项系数!$F$5*各项系数!$J$4*10^-7</f>
        <v>0.0206515056889029</v>
      </c>
      <c r="AC17" s="186">
        <f t="shared" si="4"/>
        <v>172.412400708262</v>
      </c>
      <c r="AD17" s="186">
        <f t="shared" si="5"/>
        <v>2.3346774015073</v>
      </c>
      <c r="AE17" s="186">
        <f>POWER(4*EU17/PI()/EG17/10^-7/EH17/(1-H17)/各项系数!$F$5/各项系数!$J$4,0.5)</f>
        <v>172.412400708262</v>
      </c>
      <c r="AF17" s="218">
        <v>1</v>
      </c>
      <c r="AG17" s="85">
        <f>IF(EM17=0,0,PI()*ER17*ER17/4*EP17*(1-K17)*(1+AF17)*各项系数!$F$5*各项系数!$J$4*10^-7)</f>
        <v>0</v>
      </c>
      <c r="AH17" s="85">
        <f t="shared" si="6"/>
        <v>0</v>
      </c>
      <c r="AI17" s="85">
        <f t="shared" si="128"/>
        <v>0</v>
      </c>
      <c r="AJ17" s="85">
        <f>IF(OR(EP17="",EP17=0),0,POWER(4*EW17/PI()/EO17/10^-7/EP17/(1-K17)/各项系数!$F$5/各项系数!$J$4,0.5))</f>
        <v>0</v>
      </c>
      <c r="AK17" s="85" t="str">
        <f t="shared" si="8"/>
        <v>√</v>
      </c>
      <c r="AL17" s="85">
        <f t="shared" si="9"/>
        <v>1.7702782914632</v>
      </c>
      <c r="AM17" s="250">
        <f t="shared" si="10"/>
        <v>2.5</v>
      </c>
      <c r="AN17" s="118" t="s">
        <v>486</v>
      </c>
      <c r="AO17" s="259">
        <f>AP17+各项系数!$M$9*$NK17</f>
        <v>1.7355669524149</v>
      </c>
      <c r="AP17" s="259">
        <f>AQ17*(1+$BI17+(VLOOKUP($AM17,$A$12:$B$323,2,0))+各项系数!$J$6+各项系数!$M$5)*(1+$E$2)</f>
        <v>1.71888988791249</v>
      </c>
      <c r="AQ17" s="260">
        <f>AR17+各项系数!$L$9*$NK17</f>
        <v>1.75396927338009</v>
      </c>
      <c r="AR17" s="260">
        <f>AS17*(1+$BJ17+各项系数!$J$5+各项系数!$L$5)</f>
        <v>1.73729220887768</v>
      </c>
      <c r="AS17" s="260">
        <f t="shared" si="129"/>
        <v>1.70322765576244</v>
      </c>
      <c r="AT17" s="259">
        <f>AU17+各项系数!$M$9*$NM17</f>
        <v>1.932484681225</v>
      </c>
      <c r="AU17" s="259">
        <f>AV17*(1+$BI17+(VLOOKUP($AM17,$A$12:$B$323,2,0))+各项系数!$J$6+各项系数!$M$5)*(1+$E$2)</f>
        <v>1.91580761672259</v>
      </c>
      <c r="AV17" s="260">
        <f>AW17+各项系数!$L$9*$NM17</f>
        <v>1.95490573134959</v>
      </c>
      <c r="AW17" s="260">
        <f>AX17*(1+$BJ17+各项系数!$J$5+各项系数!$L$5)</f>
        <v>1.93822866684718</v>
      </c>
      <c r="AX17" s="260">
        <f t="shared" si="130"/>
        <v>1.90022418318351</v>
      </c>
      <c r="AY17" s="259">
        <f>AZ17+各项系数!$M$9*$NS17</f>
        <v>2.05049825204202</v>
      </c>
      <c r="AZ17" s="259">
        <f>BA17*(1+$BI17+(VLOOKUP($AM17,$A$12:$B$214,2,0))+各项系数!$J$6+各项系数!$M$5)*(1+$E$2)</f>
        <v>2.03247849943664</v>
      </c>
      <c r="BA17" s="260">
        <f>BB17+各项系数!$L$9*$NS17</f>
        <v>2.07395765248637</v>
      </c>
      <c r="BB17" s="260">
        <f>BC17*(1+$BJ17+各项系数!$J$5+各项系数!$L$5)</f>
        <v>2.05593789988098</v>
      </c>
      <c r="BC17" s="262">
        <f t="shared" si="131"/>
        <v>2.01562539204018</v>
      </c>
      <c r="BD17" s="259">
        <f>BE17+各项系数!$M$9*$NS17</f>
        <v>2.2543801658612</v>
      </c>
      <c r="BE17" s="259">
        <f>BF17*(1+$BI17+(VLOOKUP($AM17,$A$12:$B$214,2,0))+各项系数!$J$6+各项系数!$M$5)*(1+$E$2)</f>
        <v>2.23636041325581</v>
      </c>
      <c r="BF17" s="260">
        <f>BG17+各项系数!$L$9*$NS17</f>
        <v>2.2820004216896</v>
      </c>
      <c r="BG17" s="260">
        <f>BH17*(1+$BJ17+各项系数!$J$5+各项系数!$L$5)</f>
        <v>2.26398066908422</v>
      </c>
      <c r="BH17" s="262">
        <f t="shared" si="132"/>
        <v>2.21958889125904</v>
      </c>
      <c r="BI17" s="67"/>
      <c r="BJ17" s="272"/>
      <c r="BK17" s="123"/>
      <c r="BL17" s="259">
        <f>BM17+各项系数!$M$9*$NM17</f>
        <v>1.7816361707102</v>
      </c>
      <c r="BM17" s="259">
        <f>BN17*(1+$CF17+(VLOOKUP($AM17,$A$12:$B$323,2,0))+各项系数!$J$6+各项系数!$M$5)*(1+$E$2)</f>
        <v>1.76495910620779</v>
      </c>
      <c r="BN17" s="260">
        <f>BO17+各项系数!$L$9*$NM17</f>
        <v>1.80097867980387</v>
      </c>
      <c r="BO17" s="260">
        <f>BP17*(1+$CG17+各项系数!$J$5+各项系数!$L$5)</f>
        <v>1.78430161530146</v>
      </c>
      <c r="BP17" s="260">
        <f t="shared" si="133"/>
        <v>1.73233166534123</v>
      </c>
      <c r="BQ17" s="259">
        <f>BR17+各项系数!$M$9*$NM17</f>
        <v>1.9511068782202</v>
      </c>
      <c r="BR17" s="259">
        <f>BS17*(1+$CF17+(VLOOKUP($AM17,$A$12:$B$323,2,0))+各项系数!$J$6+各项系数!$M$5)*(1+$E$2)</f>
        <v>1.93442981371779</v>
      </c>
      <c r="BS17" s="260">
        <f>BT17+各项系数!$L$9*$NM17</f>
        <v>1.97390797318142</v>
      </c>
      <c r="BT17" s="260">
        <f>BU17*(1+$CG17+各项系数!$J$5+各项系数!$L$5)</f>
        <v>1.95723090867901</v>
      </c>
      <c r="BU17" s="260">
        <f t="shared" si="134"/>
        <v>1.90022418318351</v>
      </c>
      <c r="BV17" s="259">
        <f>BW17+各项系数!$M$9*$NT17</f>
        <v>2.0911067123406</v>
      </c>
      <c r="BW17" s="259">
        <f>BX17*(1+$CF17+(VLOOKUP($AM17,$A$12:$B$214,2,0))+各项系数!$J$6+各项系数!$M$5)*(1+$E$2)</f>
        <v>2.07308695973521</v>
      </c>
      <c r="BX17" s="260">
        <f>BY17+各项系数!$L$9*$NT$12</f>
        <v>2.11539485687267</v>
      </c>
      <c r="BY17" s="260">
        <f>BZ17*(1+$CG17+各项系数!$J$5+各项系数!$L$5)</f>
        <v>2.10713145371769</v>
      </c>
      <c r="BZ17" s="262">
        <f t="shared" si="11"/>
        <v>2.0457586929298</v>
      </c>
      <c r="CA17" s="259">
        <f>CB17+各项系数!$M$9*$NT17</f>
        <v>2.26657091453413</v>
      </c>
      <c r="CB17" s="259">
        <f>CC17*(1+$CF17+(VLOOKUP($AM17,$A$12:$B$214,2,0))+各项系数!$J$6+各项系数!$M$5)*(1+$E$2)</f>
        <v>2.24855116192875</v>
      </c>
      <c r="CC17" s="260">
        <f>CD17+各项系数!$L$9*$NT$12</f>
        <v>2.29443996115179</v>
      </c>
      <c r="CD17" s="260">
        <f>CE17*(1+$CG17+各项系数!$J$5+各项系数!$L$5)</f>
        <v>2.28617655799681</v>
      </c>
      <c r="CE17" s="262">
        <f t="shared" si="135"/>
        <v>2.21958889125904</v>
      </c>
      <c r="CF17" s="277">
        <f t="shared" si="136"/>
        <v>0</v>
      </c>
      <c r="CG17" s="277">
        <f t="shared" si="12"/>
        <v>0.01</v>
      </c>
      <c r="CH17" s="123"/>
      <c r="CI17" s="259">
        <f>CJ17+各项系数!$M$9*$NO17</f>
        <v>1.85395790891813</v>
      </c>
      <c r="CJ17" s="259">
        <f>CK17*(1+$DC17+(VLOOKUP($AM17,$A$12:$B$323,2,0))+各项系数!$J$6+各项系数!$M$5)*(1+$E$2)+各项系数!$M$9*$NK17</f>
        <v>1.83534480462286</v>
      </c>
      <c r="CK17" s="260">
        <f>CL17+各项系数!$L$9*$NO17</f>
        <v>1.85578340828617</v>
      </c>
      <c r="CL17" s="260">
        <f>CM17*(1+$DD17+各项系数!$J$5+各项系数!$L$5)</f>
        <v>1.8371703039909</v>
      </c>
      <c r="CM17" s="260">
        <f t="shared" si="13"/>
        <v>1.80114735685382</v>
      </c>
      <c r="CN17" s="259">
        <f>CO17+各项系数!$M$9*$NO17</f>
        <v>2.02000924989909</v>
      </c>
      <c r="CO17" s="259">
        <f>CP17*(1+$DC17+(VLOOKUP($AM17,$A$12:$B$323,2,0))+各项系数!$J$6+各项系数!$M$5)*(1+$E$2)+各项系数!$M$9*$NK17</f>
        <v>2.00139614560382</v>
      </c>
      <c r="CP17" s="260">
        <f>CQ17+各项系数!$L$9*$NO17</f>
        <v>2.02522355214429</v>
      </c>
      <c r="CQ17" s="260">
        <f>CR17*(1+$DD17+各项系数!$J$5+各项系数!$L$5)</f>
        <v>2.00661044784902</v>
      </c>
      <c r="CR17" s="260">
        <f t="shared" si="14"/>
        <v>1.96726514495002</v>
      </c>
      <c r="CS17" s="259">
        <f>CT17+各项系数!$M$9*$NU17</f>
        <v>2.19784970404738</v>
      </c>
      <c r="CT17" s="259">
        <f t="shared" si="15"/>
        <v>2.17769276765864</v>
      </c>
      <c r="CU17" s="260">
        <f>CV17+各项系数!$L$9*$NU17</f>
        <v>2.22213547720269</v>
      </c>
      <c r="CV17" s="260">
        <f>CW17*(1+$DD17+各项系数!$J$5+各项系数!$L$5)</f>
        <v>2.20197854081394</v>
      </c>
      <c r="CW17" s="262">
        <f t="shared" si="16"/>
        <v>2.15880249099406</v>
      </c>
      <c r="CX17" s="259">
        <f>CY17+各项系数!$M$9*$NU17</f>
        <v>2.42262417289377</v>
      </c>
      <c r="CY17" s="259">
        <f t="shared" si="17"/>
        <v>2.40246723650502</v>
      </c>
      <c r="CZ17" s="260">
        <f>DA17+各项系数!$L$9*$NU17</f>
        <v>2.45149718010716</v>
      </c>
      <c r="DA17" s="260">
        <f>DB17*(1+$DD17+各项系数!$J$5+各项系数!$L$5)</f>
        <v>2.43134024371841</v>
      </c>
      <c r="DB17" s="262">
        <f t="shared" si="18"/>
        <v>2.38366690560629</v>
      </c>
      <c r="DC17" s="277">
        <f t="shared" si="137"/>
        <v>0</v>
      </c>
      <c r="DD17" s="277">
        <f t="shared" si="19"/>
        <v>0</v>
      </c>
      <c r="DE17" s="69"/>
      <c r="DF17" s="69"/>
      <c r="DG17" s="259">
        <f>DH17+各项系数!$M$9*$NQ17</f>
        <v>1.90410364023158</v>
      </c>
      <c r="DH17" s="259">
        <f>DI17*(1+$EA17+(VLOOKUP($AM17,$A$12:$B$323,2,0))+各项系数!$J$6+各项系数!$M$5)*(1+$E$2)+各项系数!$M$9*$NK17</f>
        <v>1.88549053593631</v>
      </c>
      <c r="DI17" s="260">
        <f>DJ17+各项系数!$L$9*$NQ17</f>
        <v>1.90695252187133</v>
      </c>
      <c r="DJ17" s="260">
        <f>DK17*(1+$EB17+各项系数!$J$5+各项系数!$L$5)</f>
        <v>1.88833941757605</v>
      </c>
      <c r="DK17" s="260">
        <f t="shared" si="20"/>
        <v>1.8333392403651</v>
      </c>
      <c r="DL17" s="259">
        <f>DM17+各项系数!$M$9*$NQ17</f>
        <v>2.0915548317922</v>
      </c>
      <c r="DM17" s="259">
        <f>DN17*(1+$EA17+(VLOOKUP($AM17,$A$12:$B$323,2,0))+各项系数!$J$6+各项系数!$M$5)*(1+$E$2)+各项系数!$M$9*$NK17</f>
        <v>2.07294172749692</v>
      </c>
      <c r="DN17" s="260">
        <f>DO17+各项系数!$L$9*$NQ17</f>
        <v>2.09822924795358</v>
      </c>
      <c r="DO17" s="260">
        <f>DP17*(1+$EB17+各项系数!$J$5+各项系数!$L$5)</f>
        <v>2.07961614365831</v>
      </c>
      <c r="DP17" s="260">
        <f t="shared" si="21"/>
        <v>2.01904479966826</v>
      </c>
      <c r="DQ17" s="259">
        <f>DR17+各项系数!$M$9*$NV17</f>
        <v>2.25253942232456</v>
      </c>
      <c r="DR17" s="259">
        <f t="shared" si="22"/>
        <v>2.23238248593581</v>
      </c>
      <c r="DS17" s="260">
        <f>DT17+各项系数!$L$9*$NV17</f>
        <v>2.2779413121794</v>
      </c>
      <c r="DT17" s="260">
        <f>DU17*(1+$EB17+各项系数!$J$5+各项系数!$L$5)</f>
        <v>2.25778437579065</v>
      </c>
      <c r="DU17" s="262">
        <f t="shared" si="23"/>
        <v>2.19202366581617</v>
      </c>
      <c r="DV17" s="259">
        <f>DW17+各项系数!$M$9*$NV17</f>
        <v>2.3740156322435</v>
      </c>
      <c r="DW17" s="259">
        <f t="shared" si="24"/>
        <v>2.35385869585475</v>
      </c>
      <c r="DX17" s="260">
        <f>DY17+各项系数!$L$9*$NV17</f>
        <v>2.40189662842321</v>
      </c>
      <c r="DY17" s="260">
        <f>DZ17*(1+$EB17+各项系数!$J$5+各项系数!$L$5)</f>
        <v>2.38173969203446</v>
      </c>
      <c r="DZ17" s="262">
        <f t="shared" si="25"/>
        <v>2.31236863304317</v>
      </c>
      <c r="EA17" s="277">
        <f t="shared" si="26"/>
        <v>0</v>
      </c>
      <c r="EB17" s="277">
        <f t="shared" si="27"/>
        <v>0.01</v>
      </c>
      <c r="EC17" s="302">
        <f t="shared" si="138"/>
        <v>1</v>
      </c>
      <c r="ED17" s="302" t="str">
        <f t="shared" si="139"/>
        <v>1*2.5</v>
      </c>
      <c r="EE17" s="251">
        <f t="shared" si="28"/>
        <v>2.5</v>
      </c>
      <c r="EF17" s="251">
        <f>LOOKUP(EH17,{1,7,10,14,19,24,30,37,48,61},{1,"1+6","2+8","4+10","1+6+12","2+8+14","4+10+16","1+6+12+18","3+9+15+21","1+6+12+18+24"})</f>
        <v>1</v>
      </c>
      <c r="EG17" s="250">
        <f t="shared" si="29"/>
        <v>1</v>
      </c>
      <c r="EH17" s="260">
        <f>IF(AM17&lt;10,1,IF(AND(AM17&gt;=10,AM17&lt;=35),7,LOOKUP(AM17,{50,70,95,120,150,185,240,300,400,500,630},{10,14,19,24,30,37,48,61,61,61,61})*1))</f>
        <v>1</v>
      </c>
      <c r="EI17" s="250">
        <f>IF(EH17=0,0,VLOOKUP(EH17,各项系数!$D$142:$E$195,2,0))*1</f>
        <v>1</v>
      </c>
      <c r="EJ17" s="305">
        <f t="shared" si="141"/>
        <v>172.412400708262</v>
      </c>
      <c r="EK17" s="251">
        <f t="shared" si="30"/>
        <v>0</v>
      </c>
      <c r="EL17" s="251">
        <f t="shared" si="31"/>
        <v>0</v>
      </c>
      <c r="EM17" s="251">
        <f t="shared" si="32"/>
        <v>0</v>
      </c>
      <c r="EN17" s="251">
        <f>IF(EP17=0,0,LOOKUP(EP17,{1,7,10,14,19,24,30,37,48,61},{1,"1+6","2+8","4+10","1+6+12","2+8+14","4+10+16","1+6+12+18","3+9+15+21","1+6+12+18+24"}))</f>
        <v>0</v>
      </c>
      <c r="EO17" s="251">
        <f t="shared" si="33"/>
        <v>0</v>
      </c>
      <c r="EP17" s="251">
        <f>IF(EM17=0,0,IF(EM17&lt;10,1,IF(AND(EM17&gt;=10,EM17&lt;=35),7,LOOKUP(EM17,{50,70,95,120,150,185,240,300},{10,14,19,24,30,37,48,61})*1)))</f>
        <v>0</v>
      </c>
      <c r="EQ17" s="251">
        <f>IF(EP17=0,0,VLOOKUP(EP17,各项系数!$D$142:$E$195,2,0))*1</f>
        <v>0</v>
      </c>
      <c r="ER17" s="251">
        <f t="shared" si="34"/>
        <v>0</v>
      </c>
      <c r="ES17" s="302">
        <f t="shared" si="35"/>
        <v>1</v>
      </c>
      <c r="ET17" s="251">
        <f>VLOOKUP(ES17,各项系数!$D$142:$E$195,2,0)*1</f>
        <v>1</v>
      </c>
      <c r="EU17" s="311">
        <f>((各项系数!$F$76/4*$EJ17^2*$EG17*$EH17*1*10^-7)*(1-$H17)*AA17)*(VLOOKUP($EY$9,各项系数!$D$4:$F$143,3,0))*各项系数!$J$4</f>
        <v>0.0206515056889029</v>
      </c>
      <c r="EV17" s="312">
        <f>EU17*(VLOOKUP($EY$9,各项系数!$D$4:$F$143,2,0))</f>
        <v>1.35267362262314</v>
      </c>
      <c r="EW17" s="324">
        <f>(IF($EO17=0,0,(各项系数!$F$76/4*$ER17^2*$EO17*$EP17*1*10^-7))*(1-$K17)*$AF17)*(VLOOKUP($EY$9,各项系数!$D$4:$F$143,3,0))*各项系数!$J$4</f>
        <v>0</v>
      </c>
      <c r="EX17" s="325">
        <f>EW17*(VLOOKUP($EY$9,各项系数!$D$4:$F$143,2,0))</f>
        <v>0</v>
      </c>
      <c r="EY17" s="251">
        <f>((各项系数!$F$76/4*$EJ17^2*$EG17*$EH17*1*10^-7)*(1-$H17)*AA17+IF($EO17=0,0,(各项系数!$F$76/4*$ER17^2*$EO17*$EP17*1*10^-7))*(1-$K17)*$AF17)*(VLOOKUP($EY$9,各项系数!$D$4:$F$143,3,0))*各项系数!$J$4</f>
        <v>0.0206515056889029</v>
      </c>
      <c r="EZ17" s="123">
        <v>1</v>
      </c>
      <c r="FA17" s="251">
        <f t="shared" si="36"/>
        <v>0.0206515056889029</v>
      </c>
      <c r="FB17" s="326">
        <f>FA17*(VLOOKUP($EY$9,各项系数!$D$4:$F$143,2,0))</f>
        <v>1.35267362262314</v>
      </c>
      <c r="FC17" s="327"/>
      <c r="FD17" s="302">
        <f>各项系数!$F$76/4*($MN17^2-MK17^2)*10^-2*(VLOOKUP(L17,各项系数!$D$1:$F$143,3,0))*10^-3*10^2*$EG17*各项系数!$J$4</f>
        <v>0.00583469974033145</v>
      </c>
      <c r="FE17" s="339">
        <f>FD17*VLOOKUP(L17,各项系数!$D$1:$F$143,2,0)</f>
        <v>0.0595139373513808</v>
      </c>
      <c r="FF17" s="250">
        <f>各项系数!$F$76/4*($MO17^2-ML17^2)*10^-2*(VLOOKUP(L17,各项系数!$D$1:$F$143,3,0))*10^-3*10^2*$EO17*各项系数!$J$4</f>
        <v>0</v>
      </c>
      <c r="FG17" s="339">
        <f>FF17*VLOOKUP(L17,各项系数!$D$1:$F$143,2,0)</f>
        <v>0</v>
      </c>
      <c r="FH17" s="302">
        <f t="shared" si="142"/>
        <v>0.00583469974033145</v>
      </c>
      <c r="FI17" s="123">
        <v>1</v>
      </c>
      <c r="FJ17" s="251">
        <f t="shared" si="37"/>
        <v>0.00583469974033145</v>
      </c>
      <c r="FK17" s="339">
        <f>FJ17*VLOOKUP(L17,各项系数!$D$1:$F$143,2,0)</f>
        <v>0.0595139373513808</v>
      </c>
      <c r="FL17" s="302"/>
      <c r="FM17" s="123"/>
      <c r="FN17" s="251"/>
      <c r="FO17" s="339"/>
      <c r="FP17" s="364">
        <f t="shared" si="38"/>
        <v>0.00583469974033145</v>
      </c>
      <c r="FQ17" s="364">
        <f t="shared" si="39"/>
        <v>0.0595139373513808</v>
      </c>
      <c r="FR17" s="365">
        <f>各项系数!$F$76/4*($MQ17^2-$MN17^2*$EG17-$MO17^2*$EO17)*10^-2</f>
        <v>0</v>
      </c>
      <c r="FS17" s="366">
        <f t="shared" si="143"/>
        <v>1</v>
      </c>
      <c r="FT17" s="367">
        <f t="shared" si="40"/>
        <v>0</v>
      </c>
      <c r="FU17" s="388">
        <f>$FT17*(VLOOKUP($FT$9,各项系数!$D$1:$F$143,3,0))*10^-3*10^2*各项系数!$J$55</f>
        <v>0</v>
      </c>
      <c r="FV17" s="389">
        <v>1</v>
      </c>
      <c r="FW17" s="390">
        <f t="shared" si="41"/>
        <v>0</v>
      </c>
      <c r="FX17" s="367">
        <f>FW17*(VLOOKUP($FT$9,各项系数!$D$1:$F$143,2,0))</f>
        <v>0</v>
      </c>
      <c r="FY17" s="388">
        <f>IF($BK17&lt;&gt;$FY$9,0,各项系数!$F$76/4*($MS17^2-$MQ17^2)*10^-2*(VLOOKUP($FY$9,各项系数!$D$1:$F$143,3,0))*10^-3*10^2)*各项系数!$J$4</f>
        <v>0</v>
      </c>
      <c r="FZ17" s="389">
        <v>1</v>
      </c>
      <c r="GA17" s="390">
        <f t="shared" si="42"/>
        <v>0</v>
      </c>
      <c r="GB17" s="367">
        <f>GA17*(VLOOKUP($FY$9,各项系数!$D$1:$F$143,2,0))</f>
        <v>0</v>
      </c>
      <c r="GC17" s="388">
        <f>IF($BK17&lt;&gt;$GC$9,0,各项系数!$F$76/4*($MS17^2-$MQ17^2)*10^-2*(VLOOKUP($GC$9,各项系数!$D$1:$F$143,3,0))*10^-3*10^2)*各项系数!$J$4</f>
        <v>0</v>
      </c>
      <c r="GD17" s="389">
        <v>1</v>
      </c>
      <c r="GE17" s="390">
        <f t="shared" si="43"/>
        <v>0</v>
      </c>
      <c r="GF17" s="367">
        <f>GE17*(VLOOKUP($GC$9,各项系数!$D$1:$F$143,2,0))</f>
        <v>0</v>
      </c>
      <c r="GG17" s="388">
        <f>IF($BK17&lt;&gt;$GG$9,0,各项系数!$F$76/4*($MS17^2-$MQ17^2)*10^-2*(VLOOKUP($GG$9,各项系数!$D$1:$F$143,3,0))*10^-3*10^2)*各项系数!$J$4</f>
        <v>0</v>
      </c>
      <c r="GH17" s="389">
        <v>1</v>
      </c>
      <c r="GI17" s="390">
        <f t="shared" si="44"/>
        <v>0</v>
      </c>
      <c r="GJ17" s="367">
        <f>GI17*(VLOOKUP($GG$9,各项系数!$D$1:$F$143,2,0))</f>
        <v>0</v>
      </c>
      <c r="GK17" s="388">
        <f>IF($BK17&lt;&gt;$GK$9,0,各项系数!$F$76/4*($MS17^2-$MQ17^2)*10^-2*(VLOOKUP($GK$9,各项系数!$D$1:$F$143,3,0))*10^-3*10^2)*各项系数!$J$4</f>
        <v>0</v>
      </c>
      <c r="GL17" s="389">
        <v>1</v>
      </c>
      <c r="GM17" s="390">
        <f t="shared" si="45"/>
        <v>0</v>
      </c>
      <c r="GN17" s="367">
        <f>GM17*(VLOOKUP($GK$9,各项系数!$D$1:$F$143,2,0))</f>
        <v>0</v>
      </c>
      <c r="GO17" s="390">
        <f t="shared" si="46"/>
        <v>0</v>
      </c>
      <c r="GP17" s="390">
        <f t="shared" si="47"/>
        <v>0</v>
      </c>
      <c r="GQ17" s="406">
        <f>各项系数!$F$76/4*($MU17^2-$MS17^2)*10^-2*(VLOOKUP($S17,各项系数!$D$1:$F$143,3,0))*10^-3*10^2*各项系数!$J$4</f>
        <v>0.0162512555418871</v>
      </c>
      <c r="GR17" s="389">
        <v>1</v>
      </c>
      <c r="GS17" s="390">
        <f t="shared" si="48"/>
        <v>0.0162512555418871</v>
      </c>
      <c r="GT17" s="390">
        <f t="shared" si="49"/>
        <v>1</v>
      </c>
      <c r="GU17" s="390">
        <f>ROUND($GS17*(VLOOKUP($S17,各项系数!$D$1:$F$143,2,0))+$E$3*GS17,GT17)</f>
        <v>0.2</v>
      </c>
      <c r="GV17" s="406">
        <f>各项系数!$F$76/4*($MT17^2-$MS17^2)*10^-2*(VLOOKUP($GV$9,各项系数!$D$1:$F$143,3,0))*10^-3*10^2*各项系数!$J$4*PI()/4*R17</f>
        <v>0.0044756270099178</v>
      </c>
      <c r="GW17" s="389">
        <v>1</v>
      </c>
      <c r="GX17" s="390">
        <f t="shared" si="50"/>
        <v>0.0044756270099178</v>
      </c>
      <c r="GY17" s="390">
        <f>$GX17*(VLOOKUP($GV$9,各项系数!$D$1:$F$143,2,0))</f>
        <v>0.302104823169451</v>
      </c>
      <c r="GZ17" s="406">
        <f>各项系数!$F$76/4*($MV17^2-$MS17^2)*10^-2*(VLOOKUP($GZ$9,各项系数!$D$1:$F$143,3,0))*10^-3*10^2*各项系数!$J$4</f>
        <v>0.0287080366593522</v>
      </c>
      <c r="HA17" s="389">
        <v>1</v>
      </c>
      <c r="HB17" s="390">
        <f t="shared" si="144"/>
        <v>0.0287080366593522</v>
      </c>
      <c r="HC17" s="390">
        <f>HB17*(VLOOKUP($GZ$9,各项系数!$D$1:$F$143,2,0))</f>
        <v>0.488036623208988</v>
      </c>
      <c r="HD17" s="406">
        <f>各项系数!$F$76/4*($MW17^2-$MT17^2)*10^-2*(VLOOKUP($HD$9,各项系数!$D$1:$F$143,3,0))*10^-3*10^2*各项系数!$J$4</f>
        <v>0.0297233240067687</v>
      </c>
      <c r="HE17" s="389">
        <v>1</v>
      </c>
      <c r="HF17" s="390">
        <f t="shared" si="145"/>
        <v>0.0297233240067687</v>
      </c>
      <c r="HG17" s="390">
        <f>HF17*(VLOOKUP($HD$9,各项系数!$D$1:$F$143,2,0))</f>
        <v>0.505296508115069</v>
      </c>
      <c r="HH17" s="406">
        <f>各项系数!$F$76/4*($MV17^2-$MS17^2)*10^-2*(VLOOKUP($HH$9,各项系数!$D$1:$F$143,3,0))*10^-3*10^2*各项系数!$J$4</f>
        <v>0.0287080366593522</v>
      </c>
      <c r="HI17" s="420">
        <v>1</v>
      </c>
      <c r="HJ17" s="390">
        <f t="shared" si="146"/>
        <v>0.0287080366593522</v>
      </c>
      <c r="HK17" s="390">
        <f>HJ17*(VLOOKUP($HH$9,各项系数!$D$1:$F$143,2,0))</f>
        <v>0.488036623208988</v>
      </c>
      <c r="HL17" s="406">
        <f>各项系数!$F$76/4*($MW17^2-$MT17^2)*10^-2*(VLOOKUP($HL$9,各项系数!$D$1:$F$143,3,0))*10^-3*10^2*各项系数!$J$4</f>
        <v>0.0297233240067687</v>
      </c>
      <c r="HM17" s="420">
        <v>1</v>
      </c>
      <c r="HN17" s="390">
        <f t="shared" si="147"/>
        <v>0.0297233240067687</v>
      </c>
      <c r="HO17" s="390">
        <f>HN17*(VLOOKUP($HL$9,各项系数!$D$1:$F$143,2,0))</f>
        <v>0.505296508115069</v>
      </c>
      <c r="HP17" s="406">
        <f>各项系数!$F$76/4*($MV17^2-$MS17^2)*10^-2*(VLOOKUP(AN17,各项系数!$D$1:$F$143,3,0))*10^-3*10^2*各项系数!$J$4</f>
        <v>0.0291040095787915</v>
      </c>
      <c r="HQ17" s="389">
        <v>1</v>
      </c>
      <c r="HR17" s="390">
        <f t="shared" ref="HR17:HR20" si="172">HQ17*HP17</f>
        <v>0.0291040095787915</v>
      </c>
      <c r="HS17" s="390">
        <f>HR17*(VLOOKUP(AN17,各项系数!$D$1:$F$143,2,0))</f>
        <v>0.291040095787915</v>
      </c>
      <c r="HT17" s="406">
        <f>各项系数!$F$76/4*($MW17^2-$MT17^2)*10^-2*(VLOOKUP(AN17,各项系数!$D$1:$F$143,3,0))*10^-3*10^2*各项系数!$J$4</f>
        <v>0.0301333008896207</v>
      </c>
      <c r="HU17" s="389">
        <v>1</v>
      </c>
      <c r="HV17" s="390">
        <f t="shared" ref="HV17:HV20" si="173">HU17*HT17</f>
        <v>0.0301333008896207</v>
      </c>
      <c r="HW17" s="390">
        <f>HV17*(VLOOKUP(AN17,各项系数!$D$1:$F$143,2,0))</f>
        <v>0.301333008896207</v>
      </c>
      <c r="HX17" s="406">
        <f>各项系数!$F$76/4*($MV17^2-$MS17^2)*10^-2*(VLOOKUP($HX$9,各项系数!$D$1:$F$143,3,0))*10^-3*10^2*各项系数!$J$4</f>
        <v>0.0291040095787915</v>
      </c>
      <c r="HY17" s="420">
        <v>1</v>
      </c>
      <c r="HZ17" s="390">
        <f t="shared" ref="HZ17:HZ20" si="174">HY17*HX17</f>
        <v>0.0291040095787915</v>
      </c>
      <c r="IA17" s="390">
        <f>HZ17*(VLOOKUP($HX$9,各项系数!$D$1:$F$143,2,0))</f>
        <v>0.320144105366707</v>
      </c>
      <c r="IB17" s="406">
        <f>各项系数!$F$76/4*($MW17^2-$MT17^2)*10^-2*(VLOOKUP($IB$9,各项系数!$D$1:$F$143,3,0))*10^-3*10^2*各项系数!$J$4</f>
        <v>0.0301333008896207</v>
      </c>
      <c r="IC17" s="420">
        <v>1</v>
      </c>
      <c r="ID17" s="390">
        <f t="shared" si="58"/>
        <v>0.0301333008896207</v>
      </c>
      <c r="IE17" s="390">
        <f>ID17*(VLOOKUP($IB$9,各项系数!$D$1:$F$143,2,0))</f>
        <v>0.331466309785828</v>
      </c>
      <c r="IF17" s="429"/>
      <c r="IG17" s="406">
        <f t="shared" si="148"/>
        <v>0.00221026506219092</v>
      </c>
      <c r="IH17" s="389">
        <v>1</v>
      </c>
      <c r="II17" s="390">
        <f t="shared" si="59"/>
        <v>0.00221026506219092</v>
      </c>
      <c r="IJ17" s="390">
        <f>II17*(VLOOKUP($IG$8,各项系数!$D$1:$F$143,2,0))</f>
        <v>0.0552566265547729</v>
      </c>
      <c r="IK17" s="406">
        <f>(各项系数!$F$76/4*($MX17^2-$MK17^2)*$EG17)*10^-2*(VLOOKUP($IG$8,各项系数!$D$1:$F$143,3,0))*10^-3*10^2*各项系数!$J$4</f>
        <v>0.00221026506219092</v>
      </c>
      <c r="IL17" s="389">
        <f>IK17*(VLOOKUP($IG$8,各项系数!$D$1:$F$143,2,0))</f>
        <v>0.0552566265547729</v>
      </c>
      <c r="IM17" s="390">
        <f>(各项系数!$F$76/4*(($MM17+3*$X17)^2-MM17^2)*$EO17)*10^-2*(VLOOKUP($IG$8,各项系数!$D$1:$F$143,3,0))*10^-3*10^2*各项系数!$J$4</f>
        <v>0</v>
      </c>
      <c r="IN17" s="389">
        <f>IM17*(VLOOKUP($IG$8,各项系数!$D$1:$F$143,2,0))</f>
        <v>0</v>
      </c>
      <c r="IO17" s="406">
        <f>各项系数!$F$76/4*($MZ17^2-$MX17^2)*10^-2*(VLOOKUP(L17,各项系数!$D$1:$F$143,3,0))*10^-3*10^2*$ES17*各项系数!$J$4</f>
        <v>0.00699002672187441</v>
      </c>
      <c r="IP17" s="389">
        <v>1</v>
      </c>
      <c r="IQ17" s="390">
        <f t="shared" si="60"/>
        <v>0.00699002672187441</v>
      </c>
      <c r="IR17" s="367">
        <f>IQ17*(VLOOKUP(L17,各项系数!$D$1:$F$143,2,0))</f>
        <v>0.0712982725631189</v>
      </c>
      <c r="IS17" s="406">
        <f>IF($L17&lt;&gt;$IS$9,0,各项系数!$F$76/4*($MZ17^2-$MX17^2)*10^-2*各项系数!$F$12*10^-3*10^2)*$ES17*各项系数!$J$4</f>
        <v>0</v>
      </c>
      <c r="IT17" s="389">
        <v>1</v>
      </c>
      <c r="IU17" s="390">
        <f t="shared" si="61"/>
        <v>0</v>
      </c>
      <c r="IV17" s="367">
        <f>IU17*各项系数!$E$12</f>
        <v>0</v>
      </c>
      <c r="IW17" s="388">
        <f t="shared" si="62"/>
        <v>0.00699002672187441</v>
      </c>
      <c r="IX17" s="388">
        <f t="shared" si="63"/>
        <v>0.0712982725631189</v>
      </c>
      <c r="IY17" s="447">
        <f>各项系数!$F$76/4*($NB17^2-$MZ17^2*$EG17-$NA17^2*$EO17)*10^-2</f>
        <v>0</v>
      </c>
      <c r="IZ17" s="366">
        <f t="shared" si="149"/>
        <v>1</v>
      </c>
      <c r="JA17" s="367">
        <f t="shared" si="64"/>
        <v>0</v>
      </c>
      <c r="JB17" s="364">
        <f>IF($DE17&lt;&gt;$JB$9,0,$JA17*各项系数!$F$32*10^-3*10^2)*各项系数!$J$4</f>
        <v>0</v>
      </c>
      <c r="JC17" s="123">
        <v>1</v>
      </c>
      <c r="JD17" s="251">
        <f t="shared" si="65"/>
        <v>0</v>
      </c>
      <c r="JE17" s="339">
        <f>JD17*各项系数!$E$32</f>
        <v>0</v>
      </c>
      <c r="JF17" s="364">
        <f>IF($DE17&lt;&gt;$JF$9,0,$JA17*VLOOKUP($JF$9,各项系数!$D$4:$F$540,2,0)*10^-3*10^2)*各项系数!$J$4</f>
        <v>0</v>
      </c>
      <c r="JG17" s="123">
        <v>1</v>
      </c>
      <c r="JH17" s="251">
        <f t="shared" si="66"/>
        <v>0</v>
      </c>
      <c r="JI17" s="339">
        <f>JH17*VLOOKUP($JF$9,各项系数!$D$4:$F$540,3,0)</f>
        <v>0</v>
      </c>
      <c r="JJ17" s="364">
        <f t="shared" si="67"/>
        <v>0</v>
      </c>
      <c r="JK17" s="251">
        <f t="shared" si="68"/>
        <v>0</v>
      </c>
      <c r="JL17" s="364">
        <f>IF($DF17&lt;&gt;$JL$9,0,各项系数!$F$76/4*($NE17^2-$NC17^2)*10^-2*各项系数!$F$39*10^-3*10^2)*各项系数!$J$4</f>
        <v>0</v>
      </c>
      <c r="JM17" s="123">
        <v>1</v>
      </c>
      <c r="JN17" s="251">
        <f t="shared" si="69"/>
        <v>0</v>
      </c>
      <c r="JO17" s="339">
        <f>JN17*各项系数!$E$39</f>
        <v>0</v>
      </c>
      <c r="JP17" s="364">
        <f>IF($DF17&lt;&gt;$JP$9,0,各项系数!$F$76/4*($NE17^2-$NC17^2)*10^-2*各项系数!$F$36*10^-3*10^2)*各项系数!$J$4</f>
        <v>0</v>
      </c>
      <c r="JQ17" s="123">
        <v>1</v>
      </c>
      <c r="JR17" s="251">
        <f t="shared" si="70"/>
        <v>0</v>
      </c>
      <c r="JS17" s="339">
        <f>JR17*各项系数!$E$36</f>
        <v>0</v>
      </c>
      <c r="JT17" s="364">
        <f>IF($DF17&lt;&gt;$JT$9,0,各项系数!$F$76/4*($NE17^2-$NC17^2)*10^-2*各项系数!$F$40*10^-3*10^2)*各项系数!$J$4</f>
        <v>0</v>
      </c>
      <c r="JU17" s="123">
        <v>1</v>
      </c>
      <c r="JV17" s="251">
        <f t="shared" si="71"/>
        <v>0</v>
      </c>
      <c r="JW17" s="339">
        <f>JV17*各项系数!$E$40</f>
        <v>0</v>
      </c>
      <c r="JX17" s="364">
        <f>IF($DF17&lt;&gt;$JX$9,0,各项系数!$F$76/4*($NE17^2-$NC17^2)*10^-2*各项系数!$F$38*10^-3*10^2)*各项系数!$J$4</f>
        <v>0</v>
      </c>
      <c r="JY17" s="123">
        <v>1</v>
      </c>
      <c r="JZ17" s="251">
        <f t="shared" si="72"/>
        <v>0</v>
      </c>
      <c r="KA17" s="339">
        <f>JZ17*各项系数!$E$38</f>
        <v>0</v>
      </c>
      <c r="KB17" s="364">
        <f>IF($DF17&lt;&gt;$KB$9,0,各项系数!$F$76/4*($NE17^2-$NC17^2)*10^-2*各项系数!$F$41*10^-3*10^2)*各项系数!$J$4</f>
        <v>0</v>
      </c>
      <c r="KC17" s="123">
        <v>1</v>
      </c>
      <c r="KD17" s="251">
        <f t="shared" si="73"/>
        <v>0</v>
      </c>
      <c r="KE17" s="339">
        <f>KD17*各项系数!$E$41</f>
        <v>0</v>
      </c>
      <c r="KF17" s="251">
        <f t="shared" si="74"/>
        <v>0</v>
      </c>
      <c r="KG17" s="251">
        <f t="shared" si="75"/>
        <v>0</v>
      </c>
      <c r="KH17" s="302">
        <f>各项系数!$F$76/4*($NG17^2-$NE17^2)*10^-2*各项系数!$F$44*10^-3*10^2*各项系数!$J$4*0.75*$U17</f>
        <v>0.0278968795449083</v>
      </c>
      <c r="KI17" s="123">
        <v>1</v>
      </c>
      <c r="KJ17" s="251">
        <f t="shared" si="76"/>
        <v>0.0278968795449083</v>
      </c>
      <c r="KK17" s="251">
        <f>ROUND(KJ17*各项系数!$E$44,GT17)</f>
        <v>0.3</v>
      </c>
      <c r="KL17" s="302">
        <f>各项系数!$F$76/4*($NF17^2-$NE17^2)*10^-2*各项系数!$F$46*10^-3*10^2*各项系数!$J$4*PI()/4*R17</f>
        <v>0.00514610697825102</v>
      </c>
      <c r="KM17" s="123">
        <v>1</v>
      </c>
      <c r="KN17" s="251">
        <f t="shared" si="77"/>
        <v>0.00514610697825102</v>
      </c>
      <c r="KO17" s="251">
        <f>KN17*各项系数!$E$46</f>
        <v>0.347362221031944</v>
      </c>
      <c r="KP17" s="302">
        <f>各项系数!$F$76/4*($NH17^2-$NE17^2)*10^-2*(VLOOKUP($KP$9,各项系数!$D$1:$F$143,3,0))*10^-3*10^2*各项系数!$J$4</f>
        <v>0.0317538987016018</v>
      </c>
      <c r="KQ17" s="123">
        <v>1</v>
      </c>
      <c r="KR17" s="251">
        <f t="shared" si="150"/>
        <v>0.0317538987016018</v>
      </c>
      <c r="KS17" s="251">
        <f>KR17*(VLOOKUP($KP$9,各项系数!$D$1:$F$143,2,0))</f>
        <v>0.539816277927231</v>
      </c>
      <c r="KT17" s="302">
        <f>各项系数!$F$76/4*($NI17^2-$NF17^2)*10^-2*(VLOOKUP($KT$9,各项系数!$D$1:$F$143,3,0))*10^-3*10^2*各项系数!$J$4</f>
        <v>0.0327691860490183</v>
      </c>
      <c r="KU17" s="123">
        <v>1</v>
      </c>
      <c r="KV17" s="251">
        <f t="shared" si="151"/>
        <v>0.0327691860490183</v>
      </c>
      <c r="KW17" s="251">
        <f>KV17*(VLOOKUP($KT$9,各项系数!$D$1:$F$143,2,0))</f>
        <v>0.557076162833312</v>
      </c>
      <c r="KX17" s="251">
        <f>各项系数!$F$76/4*($NH17^2-$NE17^2)*10^-2*(VLOOKUP($KX$9,各项系数!$D$1:$F$143,3,0))*10^-3*10^2*各项系数!$J$4</f>
        <v>0.0317538987016018</v>
      </c>
      <c r="KY17" s="479">
        <v>1</v>
      </c>
      <c r="KZ17" s="251">
        <f t="shared" si="152"/>
        <v>0.0317538987016018</v>
      </c>
      <c r="LA17" s="251">
        <f>KZ17*(VLOOKUP($KX$9,各项系数!$D$1:$F$143,2,0))</f>
        <v>0.539816277927231</v>
      </c>
      <c r="LB17" s="251">
        <f>各项系数!$F$76/4*($NI17^2-$NF17^2)*10^-2*(VLOOKUP($LB$9,各项系数!$D$1:$F$143,3,0))*10^-3*10^2*各项系数!$J$4</f>
        <v>0.0327691860490183</v>
      </c>
      <c r="LC17" s="479">
        <v>1</v>
      </c>
      <c r="LD17" s="251">
        <f t="shared" si="153"/>
        <v>0.0327691860490183</v>
      </c>
      <c r="LE17" s="251">
        <f>LD17*(VLOOKUP($LB$9,各项系数!$D$1:$F$143,2,0))</f>
        <v>0.557076162833312</v>
      </c>
      <c r="LF17" s="302">
        <f>各项系数!$F$76/4*($NH17^2-$NE17^2)*10^-2*(VLOOKUP(AN17,各项系数!$D$1:$F$143,3,0))*10^-3*10^2*各项系数!$J$4</f>
        <v>0.0321918835112791</v>
      </c>
      <c r="LG17" s="123">
        <v>1</v>
      </c>
      <c r="LH17" s="251">
        <f t="shared" si="82"/>
        <v>0.0321918835112791</v>
      </c>
      <c r="LI17" s="251">
        <f>LH17*(VLOOKUP(AN17,各项系数!$D$1:$F$143,2,0))</f>
        <v>0.321918835112791</v>
      </c>
      <c r="LJ17" s="302">
        <f>各项系数!$F$76/4*($NI17^2-$NF17^2)*10^-2*(VLOOKUP(AN17,各项系数!$D$1:$F$143,3,0))*10^-3*10^2*各项系数!$J$4</f>
        <v>0.0332211748221083</v>
      </c>
      <c r="LK17" s="123">
        <v>1</v>
      </c>
      <c r="LL17" s="251">
        <f t="shared" si="83"/>
        <v>0.0332211748221083</v>
      </c>
      <c r="LM17" s="251">
        <f>LL17*(VLOOKUP(AN17,各项系数!$D$1:$F$143,2,0))</f>
        <v>0.332211748221083</v>
      </c>
      <c r="LN17" s="251">
        <f>各项系数!$F$76/4*($NH17^2-$NE17^2)*10^-2*(VLOOKUP($LN$9,各项系数!$D$1:$F$143,3,0))*10^-3*10^2*各项系数!$J$4</f>
        <v>0.0321918835112791</v>
      </c>
      <c r="LO17" s="479">
        <v>1</v>
      </c>
      <c r="LP17" s="251">
        <f t="shared" si="84"/>
        <v>0.0321918835112791</v>
      </c>
      <c r="LQ17" s="251">
        <f>LP17*(VLOOKUP($LN$9,各项系数!$D$1:$F$143,2,0))</f>
        <v>0.35411071862407</v>
      </c>
      <c r="LR17" s="251">
        <f>各项系数!$F$76/4*($NI17^2-$NF17^2)*10^-2*(VLOOKUP($LR$9,各项系数!$D$1:$F$143,3,0))*10^-3*10^2*各项系数!$J$4</f>
        <v>0.0332211748221083</v>
      </c>
      <c r="LS17" s="479">
        <v>1</v>
      </c>
      <c r="LT17" s="251">
        <f t="shared" si="85"/>
        <v>0.0332211748221083</v>
      </c>
      <c r="LU17" s="251">
        <f>LT17*(VLOOKUP($LR$9,各项系数!$D$1:$F$143,2,0))</f>
        <v>0.365432923043191</v>
      </c>
      <c r="LV17" s="499">
        <f t="shared" si="154"/>
        <v>2.33467741</v>
      </c>
      <c r="LW17" s="499">
        <f t="shared" si="155"/>
        <v>2.33467741</v>
      </c>
      <c r="LX17" s="499">
        <f t="shared" si="156"/>
        <v>1.72412401021848</v>
      </c>
      <c r="LY17" s="515">
        <f t="shared" si="157"/>
        <v>0</v>
      </c>
      <c r="LZ17" s="516">
        <f t="shared" si="86"/>
        <v>1</v>
      </c>
      <c r="MA17" s="517">
        <f t="shared" si="87"/>
        <v>2.33467741</v>
      </c>
      <c r="MB17" s="517">
        <f t="shared" si="158"/>
        <v>1.72412401</v>
      </c>
      <c r="MC17" s="499">
        <f t="shared" si="159"/>
        <v>0</v>
      </c>
      <c r="MD17" s="499">
        <f t="shared" si="160"/>
        <v>0</v>
      </c>
      <c r="ME17" s="499">
        <f t="shared" si="161"/>
        <v>0</v>
      </c>
      <c r="MF17" s="499">
        <f t="shared" si="162"/>
        <v>0</v>
      </c>
      <c r="MG17" s="516">
        <f t="shared" si="163"/>
        <v>1</v>
      </c>
      <c r="MH17" s="517">
        <f t="shared" si="88"/>
        <v>0</v>
      </c>
      <c r="MI17" s="517">
        <f t="shared" si="164"/>
        <v>0</v>
      </c>
      <c r="MJ17" s="251">
        <f t="shared" si="89"/>
        <v>1.72412401</v>
      </c>
      <c r="MK17" s="251">
        <f t="shared" si="165"/>
        <v>1.72412401</v>
      </c>
      <c r="ML17" s="251">
        <f t="shared" si="90"/>
        <v>0</v>
      </c>
      <c r="MM17" s="251">
        <f t="shared" si="91"/>
        <v>0</v>
      </c>
      <c r="MN17" s="251">
        <f t="shared" si="92"/>
        <v>3.12412401</v>
      </c>
      <c r="MO17" s="251">
        <f t="shared" si="166"/>
        <v>0</v>
      </c>
      <c r="MP17" s="251">
        <f t="shared" si="167"/>
        <v>3.12412401</v>
      </c>
      <c r="MQ17" s="251">
        <f t="shared" si="93"/>
        <v>3.12412401</v>
      </c>
      <c r="MR17" s="314">
        <f t="shared" si="168"/>
        <v>3.12412401</v>
      </c>
      <c r="MS17" s="530">
        <f t="shared" si="94"/>
        <v>3.12412401</v>
      </c>
      <c r="MT17" s="530">
        <f t="shared" si="95"/>
        <v>3.28412401</v>
      </c>
      <c r="MU17" s="530">
        <f t="shared" si="96"/>
        <v>3.52412401</v>
      </c>
      <c r="MV17" s="530">
        <f t="shared" si="97"/>
        <v>5.92412401</v>
      </c>
      <c r="MW17" s="530">
        <f t="shared" si="98"/>
        <v>6.08412401</v>
      </c>
      <c r="MX17" s="326">
        <f t="shared" si="99"/>
        <v>2.20412401</v>
      </c>
      <c r="MY17" s="326">
        <f t="shared" si="100"/>
        <v>0</v>
      </c>
      <c r="MZ17" s="251">
        <f t="shared" si="101"/>
        <v>3.60412401</v>
      </c>
      <c r="NA17" s="251">
        <f t="shared" si="102"/>
        <v>0</v>
      </c>
      <c r="NB17" s="251">
        <f t="shared" si="169"/>
        <v>3.60412401</v>
      </c>
      <c r="NC17" s="326">
        <f t="shared" si="103"/>
        <v>3.60412401</v>
      </c>
      <c r="ND17" s="314">
        <f t="shared" si="104"/>
        <v>3.60412401</v>
      </c>
      <c r="NE17" s="537">
        <f t="shared" si="105"/>
        <v>3.60412401</v>
      </c>
      <c r="NF17" s="530">
        <f t="shared" si="106"/>
        <v>3.76412401</v>
      </c>
      <c r="NG17" s="538">
        <f t="shared" si="107"/>
        <v>4.00412401</v>
      </c>
      <c r="NH17" s="326">
        <f t="shared" si="108"/>
        <v>6.40412401</v>
      </c>
      <c r="NI17" s="530">
        <f t="shared" si="109"/>
        <v>6.56412401</v>
      </c>
      <c r="NK17" s="539">
        <f t="shared" si="110"/>
        <v>0.0555902150080259</v>
      </c>
      <c r="NL17" s="539">
        <f t="shared" si="111"/>
        <v>1.70322765576244</v>
      </c>
      <c r="NM17" s="539">
        <f t="shared" si="112"/>
        <v>0.0555902150080259</v>
      </c>
      <c r="NN17" s="539">
        <f t="shared" si="113"/>
        <v>1.73233166534123</v>
      </c>
      <c r="NO17" s="539">
        <f t="shared" si="114"/>
        <v>0.0620436809842473</v>
      </c>
      <c r="NP17" s="539">
        <f t="shared" si="115"/>
        <v>1.80114735685382</v>
      </c>
      <c r="NQ17" s="539">
        <f t="shared" si="116"/>
        <v>0.0620436809842473</v>
      </c>
      <c r="NR17" s="539">
        <f t="shared" si="117"/>
        <v>1.8333392403651</v>
      </c>
      <c r="NS17" s="539">
        <f t="shared" si="118"/>
        <v>0.0600658420179437</v>
      </c>
      <c r="NT17" s="539">
        <f t="shared" si="119"/>
        <v>0.0600658420179437</v>
      </c>
      <c r="NU17" s="539">
        <f t="shared" si="120"/>
        <v>0.0671897879624983</v>
      </c>
      <c r="NV17" s="539">
        <f t="shared" si="121"/>
        <v>0.0671897879624983</v>
      </c>
      <c r="NW17">
        <f t="shared" si="122"/>
        <v>0.071841470549913</v>
      </c>
      <c r="NX17">
        <f>各项系数!$M$9*NK17</f>
        <v>0.0166770645024078</v>
      </c>
      <c r="NY17">
        <f t="shared" si="123"/>
        <v>0.0600658420179437</v>
      </c>
      <c r="OB17" s="82" t="str">
        <f t="shared" si="124"/>
        <v>1*2.5</v>
      </c>
      <c r="OC17" s="546">
        <f t="shared" si="125"/>
        <v>172.412400708262</v>
      </c>
      <c r="OD17" s="546">
        <f>SQRT(4*EY17/PI()/EH17/各项系数!$J$4/各项系数!$F$5*10000000)</f>
        <v>172.412400708262</v>
      </c>
      <c r="OE17" s="547">
        <f t="shared" si="126"/>
        <v>2.3346774015073</v>
      </c>
      <c r="OF17" s="547">
        <f t="shared" si="127"/>
        <v>2.3346774015073</v>
      </c>
      <c r="OG17" s="82"/>
      <c r="OH17" s="548"/>
    </row>
    <row r="18" customHeight="1" spans="1:398">
      <c r="A18" s="66">
        <v>4</v>
      </c>
      <c r="B18" s="67">
        <v>0</v>
      </c>
      <c r="C18" s="68">
        <v>0.7</v>
      </c>
      <c r="D18" s="69" t="s">
        <v>199</v>
      </c>
      <c r="E18" s="77">
        <f t="shared" si="1"/>
        <v>6.38588415</v>
      </c>
      <c r="F18" s="73">
        <v>218.588414706449</v>
      </c>
      <c r="G18" s="72"/>
      <c r="H18" s="72"/>
      <c r="I18" s="72"/>
      <c r="J18" s="72"/>
      <c r="K18" s="72"/>
      <c r="L18" s="118" t="s">
        <v>467</v>
      </c>
      <c r="M18" s="119">
        <f t="shared" si="2"/>
        <v>0.7</v>
      </c>
      <c r="N18" s="119">
        <f t="shared" si="3"/>
        <v>0</v>
      </c>
      <c r="O18" s="69"/>
      <c r="P18" s="120">
        <v>0.1</v>
      </c>
      <c r="Q18" s="162">
        <f t="shared" si="170"/>
        <v>0.1</v>
      </c>
      <c r="R18" s="160">
        <v>0.8</v>
      </c>
      <c r="S18" s="161" t="s">
        <v>521</v>
      </c>
      <c r="T18" s="162">
        <v>0.2</v>
      </c>
      <c r="U18" s="69">
        <v>2</v>
      </c>
      <c r="V18" s="160"/>
      <c r="W18" s="124">
        <v>1.4</v>
      </c>
      <c r="X18" s="164">
        <f t="shared" si="171"/>
        <v>0.2</v>
      </c>
      <c r="Y18" s="219">
        <v>2</v>
      </c>
      <c r="Z18" s="220">
        <v>0.2</v>
      </c>
      <c r="AA18" s="217">
        <v>1</v>
      </c>
      <c r="AB18" s="186">
        <f>PI()*EJ18*EJ18/4*EH18*(1-H18)*AA18*各项系数!$F$5*各项系数!$J$4*10^-7</f>
        <v>0.0331947195563496</v>
      </c>
      <c r="AC18" s="186">
        <f t="shared" si="4"/>
        <v>218.588414706449</v>
      </c>
      <c r="AD18" s="186">
        <f t="shared" si="5"/>
        <v>3.75270272129484</v>
      </c>
      <c r="AE18" s="186">
        <f>POWER(4*EU18/PI()/EG18/10^-7/EH18/(1-H18)/各项系数!$F$5/各项系数!$J$4,0.5)</f>
        <v>218.588414706449</v>
      </c>
      <c r="AF18" s="218">
        <v>1</v>
      </c>
      <c r="AG18" s="85">
        <f>IF(EM18=0,0,PI()*ER18*ER18/4*EP18*(1-K18)*(1+AF18)*各项系数!$F$5*各项系数!$J$4*10^-7)</f>
        <v>0</v>
      </c>
      <c r="AH18" s="85">
        <f t="shared" si="6"/>
        <v>0</v>
      </c>
      <c r="AI18" s="85">
        <f t="shared" si="128"/>
        <v>0</v>
      </c>
      <c r="AJ18" s="85">
        <f>IF(OR(EP18="",EP18=0),0,POWER(4*EW18/PI()/EO18/10^-7/EP18/(1-K18)/各项系数!$F$5/各项系数!$J$4,0.5))</f>
        <v>0</v>
      </c>
      <c r="AK18" s="85" t="str">
        <f t="shared" si="8"/>
        <v>√</v>
      </c>
      <c r="AL18" s="85">
        <f t="shared" si="9"/>
        <v>2.65987404861529</v>
      </c>
      <c r="AM18" s="250">
        <f t="shared" si="10"/>
        <v>4</v>
      </c>
      <c r="AN18" s="118" t="s">
        <v>486</v>
      </c>
      <c r="AO18" s="259">
        <f>AP18+各项系数!$M$9*$NK18</f>
        <v>2.60771965550519</v>
      </c>
      <c r="AP18" s="259">
        <f>AQ18*(1+$BI18+(VLOOKUP($AM18,$A$12:$B$323,2,0))+各项系数!$J$6+各项系数!$M$5)*(1+$E$2)</f>
        <v>2.58605503868748</v>
      </c>
      <c r="AQ18" s="260">
        <f>AR18+各项系数!$L$9*$NK18</f>
        <v>2.63883167213008</v>
      </c>
      <c r="AR18" s="260">
        <f>AS18*(1+$BJ18+各项系数!$J$5+各项系数!$L$5)</f>
        <v>2.61716705531237</v>
      </c>
      <c r="AS18" s="260">
        <f t="shared" si="129"/>
        <v>2.56585005422781</v>
      </c>
      <c r="AT18" s="259">
        <f>AU18+各项系数!$M$9*$NM18</f>
        <v>2.82473602834513</v>
      </c>
      <c r="AU18" s="259">
        <f>AV18*(1+$BI18+(VLOOKUP($AM18,$A$12:$B$323,2,0))+各项系数!$J$6+各项系数!$M$5)*(1+$E$2)</f>
        <v>2.80307141152742</v>
      </c>
      <c r="AV18" s="260">
        <f>AW18+各项系数!$L$9*$NM18</f>
        <v>2.86027695053818</v>
      </c>
      <c r="AW18" s="260">
        <f>AX18*(1+$BJ18+各项系数!$J$5+各项系数!$L$5)</f>
        <v>2.83861233372047</v>
      </c>
      <c r="AX18" s="260">
        <f t="shared" si="130"/>
        <v>2.7829532683534</v>
      </c>
      <c r="AY18" s="259">
        <f>AZ18+各项系数!$M$9*$NS18</f>
        <v>2.96655430116763</v>
      </c>
      <c r="AZ18" s="259">
        <f>BA18*(1+$BI18+(VLOOKUP($AM18,$A$12:$B$214,2,0))+各项系数!$J$6+各项系数!$M$5)*(1+$E$2)</f>
        <v>2.94335349566942</v>
      </c>
      <c r="BA18" s="260">
        <f>BB18+各项系数!$L$9*$NS18</f>
        <v>3.00342193435655</v>
      </c>
      <c r="BB18" s="260">
        <f>BC18*(1+$BJ18+各项系数!$J$5+各项系数!$L$5)</f>
        <v>2.98022112885833</v>
      </c>
      <c r="BC18" s="262">
        <f t="shared" si="131"/>
        <v>2.92178542044935</v>
      </c>
      <c r="BD18" s="259">
        <f>BE18+各项系数!$M$9*$NS18</f>
        <v>3.19053485901664</v>
      </c>
      <c r="BE18" s="259">
        <f>BF18*(1+$BI18+(VLOOKUP($AM18,$A$12:$B$214,2,0))+各项系数!$J$6+各项系数!$M$5)*(1+$E$2)</f>
        <v>3.16733405351843</v>
      </c>
      <c r="BF18" s="260">
        <f>BG18+各项系数!$L$9*$NS18</f>
        <v>3.2319735239984</v>
      </c>
      <c r="BG18" s="260">
        <f>BH18*(1+$BJ18+各项系数!$J$5+各项系数!$L$5)</f>
        <v>3.20877271850018</v>
      </c>
      <c r="BH18" s="262">
        <f t="shared" si="132"/>
        <v>3.14585560637273</v>
      </c>
      <c r="BI18" s="67"/>
      <c r="BJ18" s="272"/>
      <c r="BK18" s="123"/>
      <c r="BL18" s="259">
        <f>BM18+各项系数!$M$9*$NM18</f>
        <v>2.665241031964</v>
      </c>
      <c r="BM18" s="259">
        <f>BN18*(1+$CF18+(VLOOKUP($AM18,$A$12:$B$323,2,0))+各项系数!$J$6+各项系数!$M$5)*(1+$E$2)</f>
        <v>2.64357641514629</v>
      </c>
      <c r="BN18" s="260">
        <f>BO18+各项系数!$L$9*$NM18</f>
        <v>2.69752695423091</v>
      </c>
      <c r="BO18" s="260">
        <f>BP18*(1+$CG18+各项系数!$J$5+各项系数!$L$5)</f>
        <v>2.67586233741319</v>
      </c>
      <c r="BP18" s="260">
        <f t="shared" si="133"/>
        <v>2.59792459943029</v>
      </c>
      <c r="BQ18" s="259">
        <f>BR18+各项系数!$M$9*$NM18</f>
        <v>2.85200897037499</v>
      </c>
      <c r="BR18" s="259">
        <f>BS18*(1+$CF18+(VLOOKUP($AM18,$A$12:$B$323,2,0))+各项系数!$J$6+各项系数!$M$5)*(1+$E$2)</f>
        <v>2.83034435355728</v>
      </c>
      <c r="BS18" s="260">
        <f>BT18+各项系数!$L$9*$NM18</f>
        <v>2.88810648322172</v>
      </c>
      <c r="BT18" s="260">
        <f>BU18*(1+$CG18+各项系数!$J$5+各项系数!$L$5)</f>
        <v>2.86644186640401</v>
      </c>
      <c r="BU18" s="260">
        <f t="shared" si="134"/>
        <v>2.7829532683534</v>
      </c>
      <c r="BV18" s="259">
        <f>BW18+各项系数!$M$9*$NT18</f>
        <v>3.01396415656819</v>
      </c>
      <c r="BW18" s="259">
        <f>BX18*(1+$CF18+(VLOOKUP($AM18,$A$12:$B$214,2,0))+各项系数!$J$6+各项系数!$M$5)*(1+$E$2)</f>
        <v>2.99076335106997</v>
      </c>
      <c r="BX18" s="260">
        <f>BY18+各项系数!$L$9*$NT$12</f>
        <v>3.0517993378265</v>
      </c>
      <c r="BY18" s="260">
        <f>BZ18*(1+$CG18+各项系数!$J$5+各项系数!$L$5)</f>
        <v>3.04353593467153</v>
      </c>
      <c r="BZ18" s="262">
        <f t="shared" si="11"/>
        <v>2.95488925696265</v>
      </c>
      <c r="CA18" s="259">
        <f>CB18+各项系数!$M$9*$NT18</f>
        <v>3.20672558966272</v>
      </c>
      <c r="CB18" s="259">
        <f>CC18*(1+$CF18+(VLOOKUP($AM18,$A$12:$B$214,2,0))+各项系数!$J$6+各项系数!$M$5)*(1+$E$2)</f>
        <v>3.18352478416451</v>
      </c>
      <c r="CC18" s="260">
        <f>CD18+各项系数!$L$9*$NT$12</f>
        <v>3.24849467771888</v>
      </c>
      <c r="CD18" s="260">
        <f>CE18*(1+$CG18+各项系数!$J$5+各项系数!$L$5)</f>
        <v>3.24023127456391</v>
      </c>
      <c r="CE18" s="262">
        <f t="shared" si="135"/>
        <v>3.14585560637273</v>
      </c>
      <c r="CF18" s="277">
        <f t="shared" si="136"/>
        <v>0</v>
      </c>
      <c r="CG18" s="277">
        <f t="shared" si="12"/>
        <v>0.01</v>
      </c>
      <c r="CH18" s="123"/>
      <c r="CI18" s="259">
        <f>CJ18+各项系数!$M$9*$NO18</f>
        <v>2.74439230719188</v>
      </c>
      <c r="CJ18" s="259">
        <f>CK18*(1+$DC18+(VLOOKUP($AM18,$A$12:$B$323,2,0))+各项系数!$J$6+各项系数!$M$5)*(1+$E$2)+各项系数!$M$9*$NK18</f>
        <v>2.72063576241446</v>
      </c>
      <c r="CK18" s="260">
        <f>CL18+各项系数!$L$9*$NO18</f>
        <v>2.75405218938444</v>
      </c>
      <c r="CL18" s="260">
        <f>CM18*(1+$DD18+各项系数!$J$5+各项系数!$L$5)</f>
        <v>2.73029564460702</v>
      </c>
      <c r="CM18" s="260">
        <f t="shared" si="13"/>
        <v>2.67676043588924</v>
      </c>
      <c r="CN18" s="259">
        <f>CO18+各项系数!$M$9*$NO18</f>
        <v>2.93054229220268</v>
      </c>
      <c r="CO18" s="259">
        <f>CP18*(1+$DC18+(VLOOKUP($AM18,$A$12:$B$323,2,0))+各项系数!$J$6+各项系数!$M$5)*(1+$E$2)+各项系数!$M$9*$NK18</f>
        <v>2.90678574742526</v>
      </c>
      <c r="CP18" s="260">
        <f>CQ18+各项系数!$L$9*$NO18</f>
        <v>2.94400115368117</v>
      </c>
      <c r="CQ18" s="260">
        <f>CR18*(1+$DD18+各项系数!$J$5+各项系数!$L$5)</f>
        <v>2.92024460890376</v>
      </c>
      <c r="CR18" s="260">
        <f t="shared" si="14"/>
        <v>2.86298491068996</v>
      </c>
      <c r="CS18" s="259">
        <f>CT18+各项系数!$M$9*$NU18</f>
        <v>3.12719989604115</v>
      </c>
      <c r="CT18" s="259">
        <f t="shared" si="15"/>
        <v>3.10170601859273</v>
      </c>
      <c r="CU18" s="260">
        <f>CV18+各项系数!$L$9*$NU18</f>
        <v>3.16500614142115</v>
      </c>
      <c r="CV18" s="260">
        <f>CW18*(1+$DD18+各项系数!$J$5+各项系数!$L$5)</f>
        <v>3.13951226397273</v>
      </c>
      <c r="CW18" s="262">
        <f t="shared" si="16"/>
        <v>3.07795319997327</v>
      </c>
      <c r="CX18" s="259">
        <f>CY18+各项系数!$M$9*$NU18</f>
        <v>3.37207300891737</v>
      </c>
      <c r="CY18" s="259">
        <f t="shared" si="17"/>
        <v>3.34657913146895</v>
      </c>
      <c r="CZ18" s="260">
        <f>DA18+各项系数!$L$9*$NU18</f>
        <v>3.41487666476424</v>
      </c>
      <c r="DA18" s="260">
        <f>DB18*(1+$DD18+各项系数!$J$5+各项系数!$L$5)</f>
        <v>3.38938278731582</v>
      </c>
      <c r="DB18" s="262">
        <f t="shared" si="18"/>
        <v>3.32292430129002</v>
      </c>
      <c r="DC18" s="277">
        <f t="shared" si="137"/>
        <v>0</v>
      </c>
      <c r="DD18" s="277">
        <f t="shared" si="19"/>
        <v>0</v>
      </c>
      <c r="DE18" s="69"/>
      <c r="DF18" s="69"/>
      <c r="DG18" s="259">
        <f>DH18+各项系数!$M$9*$NQ18</f>
        <v>2.80611750533843</v>
      </c>
      <c r="DH18" s="259">
        <f>DI18*(1+$EA18+(VLOOKUP($AM18,$A$12:$B$323,2,0))+各项系数!$J$6+各项系数!$M$5)*(1+$E$2)+各项系数!$M$9*$NK18</f>
        <v>2.78236096056101</v>
      </c>
      <c r="DI18" s="260">
        <f>DJ18+各项系数!$L$9*$NQ18</f>
        <v>2.81703708545235</v>
      </c>
      <c r="DJ18" s="260">
        <f>DK18*(1+$EB18+各项系数!$J$5+各项系数!$L$5)</f>
        <v>2.79328054067493</v>
      </c>
      <c r="DK18" s="260">
        <f t="shared" si="20"/>
        <v>2.7119228550242</v>
      </c>
      <c r="DL18" s="259">
        <f>DM18+各项系数!$M$9*$NQ18</f>
        <v>3.01086592780004</v>
      </c>
      <c r="DM18" s="259">
        <f>DN18*(1+$EA18+(VLOOKUP($AM18,$A$12:$B$323,2,0))+各项系数!$J$6+各项系数!$M$5)*(1+$E$2)+各项系数!$M$9*$NK18</f>
        <v>2.98710938302262</v>
      </c>
      <c r="DN18" s="260">
        <f>DO18+各项系数!$L$9*$NQ18</f>
        <v>3.02596404714786</v>
      </c>
      <c r="DO18" s="260">
        <f>DP18*(1+$EB18+各项系数!$J$5+各项系数!$L$5)</f>
        <v>3.00220750237045</v>
      </c>
      <c r="DP18" s="260">
        <f t="shared" si="21"/>
        <v>2.9147645654082</v>
      </c>
      <c r="DQ18" s="259">
        <f>DR18+各项系数!$M$9*$NV18</f>
        <v>3.19389574992487</v>
      </c>
      <c r="DR18" s="259">
        <f t="shared" si="22"/>
        <v>3.16840187247645</v>
      </c>
      <c r="DS18" s="260">
        <f>DT18+各项系数!$L$9*$NV18</f>
        <v>3.23306313518005</v>
      </c>
      <c r="DT18" s="260">
        <f>DU18*(1+$EB18+各项系数!$J$5+各项系数!$L$5)</f>
        <v>3.20756925773163</v>
      </c>
      <c r="DU18" s="262">
        <f t="shared" si="23"/>
        <v>3.11414491041906</v>
      </c>
      <c r="DV18" s="259">
        <f>DW18+各项系数!$M$9*$NV18</f>
        <v>3.32122609341525</v>
      </c>
      <c r="DW18" s="259">
        <f t="shared" si="24"/>
        <v>3.29573221596683</v>
      </c>
      <c r="DX18" s="260">
        <f>DY18+各项系数!$L$9*$NV18</f>
        <v>3.36299205710901</v>
      </c>
      <c r="DY18" s="260">
        <f>DZ18*(1+$EB18+各项系数!$J$5+各项系数!$L$5)</f>
        <v>3.33749817966059</v>
      </c>
      <c r="DZ18" s="262">
        <f t="shared" si="25"/>
        <v>3.24028949481611</v>
      </c>
      <c r="EA18" s="277">
        <f t="shared" si="26"/>
        <v>0</v>
      </c>
      <c r="EB18" s="277">
        <f t="shared" si="27"/>
        <v>0.01</v>
      </c>
      <c r="EC18" s="302">
        <f t="shared" si="138"/>
        <v>1</v>
      </c>
      <c r="ED18" s="302" t="str">
        <f t="shared" si="139"/>
        <v>1*4</v>
      </c>
      <c r="EE18" s="251">
        <f t="shared" si="28"/>
        <v>4</v>
      </c>
      <c r="EF18" s="251">
        <f>LOOKUP(EH18,{1,7,10,14,19,24,30,37,48,61},{1,"1+6","2+8","4+10","1+6+12","2+8+14","4+10+16","1+6+12+18","3+9+15+21","1+6+12+18+24"})</f>
        <v>1</v>
      </c>
      <c r="EG18" s="250">
        <f t="shared" si="29"/>
        <v>1</v>
      </c>
      <c r="EH18" s="260">
        <f>IF(AM18&lt;10,1,IF(AND(AM18&gt;=10,AM18&lt;=35),7,LOOKUP(AM18,{50,70,95,120,150,185,240,300,400,500,630},{10,14,19,24,30,37,48,61,61,61,61})*1))</f>
        <v>1</v>
      </c>
      <c r="EI18" s="250">
        <f>IF(EH18=0,0,VLOOKUP(EH18,各项系数!$D$142:$E$195,2,0))*1</f>
        <v>1</v>
      </c>
      <c r="EJ18" s="305">
        <f t="shared" si="141"/>
        <v>218.588414706449</v>
      </c>
      <c r="EK18" s="251">
        <f t="shared" si="30"/>
        <v>0</v>
      </c>
      <c r="EL18" s="251">
        <f t="shared" si="31"/>
        <v>0</v>
      </c>
      <c r="EM18" s="251">
        <f t="shared" si="32"/>
        <v>0</v>
      </c>
      <c r="EN18" s="251">
        <f>IF(EP18=0,0,LOOKUP(EP18,{1,7,10,14,19,24,30,37,48,61},{1,"1+6","2+8","4+10","1+6+12","2+8+14","4+10+16","1+6+12+18","3+9+15+21","1+6+12+18+24"}))</f>
        <v>0</v>
      </c>
      <c r="EO18" s="251">
        <f t="shared" si="33"/>
        <v>0</v>
      </c>
      <c r="EP18" s="251">
        <f>IF(EM18=0,0,IF(EM18&lt;10,1,IF(AND(EM18&gt;=10,EM18&lt;=35),7,LOOKUP(EM18,{50,70,95,120,150,185,240,300},{10,14,19,24,30,37,48,61})*1)))</f>
        <v>0</v>
      </c>
      <c r="EQ18" s="251">
        <f>IF(EP18=0,0,VLOOKUP(EP18,各项系数!$D$142:$E$195,2,0))*1</f>
        <v>0</v>
      </c>
      <c r="ER18" s="251">
        <f t="shared" si="34"/>
        <v>0</v>
      </c>
      <c r="ES18" s="302">
        <f t="shared" si="35"/>
        <v>1</v>
      </c>
      <c r="ET18" s="251">
        <f>VLOOKUP(ES18,各项系数!$D$142:$E$195,2,0)*1</f>
        <v>1</v>
      </c>
      <c r="EU18" s="311">
        <f>((各项系数!$F$76/4*$EJ18^2*$EG18*$EH18*1*10^-7)*(1-$H18)*AA18)*(VLOOKUP($EY$9,各项系数!$D$4:$F$143,3,0))*各项系数!$J$4</f>
        <v>0.0331947195563496</v>
      </c>
      <c r="EV18" s="312">
        <f>EU18*(VLOOKUP($EY$9,各项系数!$D$4:$F$143,2,0))</f>
        <v>2.1742541309409</v>
      </c>
      <c r="EW18" s="324">
        <f>(IF($EO18=0,0,(各项系数!$F$76/4*$ER18^2*$EO18*$EP18*1*10^-7))*(1-$K18)*$AF18)*(VLOOKUP($EY$9,各项系数!$D$4:$F$143,3,0))*各项系数!$J$4</f>
        <v>0</v>
      </c>
      <c r="EX18" s="325">
        <f>EW18*(VLOOKUP($EY$9,各项系数!$D$4:$F$143,2,0))</f>
        <v>0</v>
      </c>
      <c r="EY18" s="251">
        <f>((各项系数!$F$76/4*$EJ18^2*$EG18*$EH18*1*10^-7)*(1-$H18)*AA18+IF($EO18=0,0,(各项系数!$F$76/4*$ER18^2*$EO18*$EP18*1*10^-7))*(1-$K18)*$AF18)*(VLOOKUP($EY$9,各项系数!$D$4:$F$143,3,0))*各项系数!$J$4</f>
        <v>0.0331947195563496</v>
      </c>
      <c r="EZ18" s="123">
        <v>1</v>
      </c>
      <c r="FA18" s="251">
        <f t="shared" si="36"/>
        <v>0.0331947195563496</v>
      </c>
      <c r="FB18" s="326">
        <f>FA18*(VLOOKUP($EY$9,各项系数!$D$4:$F$143,2,0))</f>
        <v>2.1742541309409</v>
      </c>
      <c r="FC18" s="327"/>
      <c r="FD18" s="302">
        <f>各项系数!$F$76/4*($MN18^2-MK18^2)*10^-2*(VLOOKUP(L18,各项系数!$D$1:$F$143,3,0))*10^-3*10^2*$EG18*各项系数!$J$4</f>
        <v>0.00694612463354615</v>
      </c>
      <c r="FE18" s="339">
        <f>FD18*VLOOKUP(L18,各项系数!$D$1:$F$143,2,0)</f>
        <v>0.0708504712621707</v>
      </c>
      <c r="FF18" s="250">
        <f>各项系数!$F$76/4*($MO18^2-ML18^2)*10^-2*(VLOOKUP(L18,各项系数!$D$1:$F$143,3,0))*10^-3*10^2*$EO18*各项系数!$J$4</f>
        <v>0</v>
      </c>
      <c r="FG18" s="339">
        <f>FF18*VLOOKUP(L18,各项系数!$D$1:$F$143,2,0)</f>
        <v>0</v>
      </c>
      <c r="FH18" s="302">
        <f t="shared" si="142"/>
        <v>0.00694612463354615</v>
      </c>
      <c r="FI18" s="123">
        <v>1</v>
      </c>
      <c r="FJ18" s="251">
        <f t="shared" si="37"/>
        <v>0.00694612463354615</v>
      </c>
      <c r="FK18" s="339">
        <f>FJ18*VLOOKUP(L18,各项系数!$D$1:$F$143,2,0)</f>
        <v>0.0708504712621707</v>
      </c>
      <c r="FL18" s="302"/>
      <c r="FM18" s="123"/>
      <c r="FN18" s="251"/>
      <c r="FO18" s="339"/>
      <c r="FP18" s="364">
        <f t="shared" si="38"/>
        <v>0.00694612463354615</v>
      </c>
      <c r="FQ18" s="364">
        <f t="shared" si="39"/>
        <v>0.0708504712621707</v>
      </c>
      <c r="FR18" s="365">
        <f>各项系数!$F$76/4*($MQ18^2-$MN18^2*$EG18-$MO18^2*$EO18)*10^-2</f>
        <v>0</v>
      </c>
      <c r="FS18" s="366">
        <f t="shared" si="143"/>
        <v>1</v>
      </c>
      <c r="FT18" s="367">
        <f t="shared" si="40"/>
        <v>0</v>
      </c>
      <c r="FU18" s="388">
        <f>$FT18*(VLOOKUP($FT$9,各项系数!$D$1:$F$143,3,0))*10^-3*10^2*各项系数!$J$55</f>
        <v>0</v>
      </c>
      <c r="FV18" s="389">
        <v>1</v>
      </c>
      <c r="FW18" s="390">
        <f t="shared" si="41"/>
        <v>0</v>
      </c>
      <c r="FX18" s="367">
        <f>FW18*(VLOOKUP($FT$9,各项系数!$D$1:$F$143,2,0))</f>
        <v>0</v>
      </c>
      <c r="FY18" s="388">
        <f>IF($BK18&lt;&gt;$FY$9,0,各项系数!$F$76/4*($MS18^2-$MQ18^2)*10^-2*(VLOOKUP($FY$9,各项系数!$D$1:$F$143,3,0))*10^-3*10^2)*各项系数!$J$4</f>
        <v>0</v>
      </c>
      <c r="FZ18" s="389">
        <v>1</v>
      </c>
      <c r="GA18" s="390">
        <f t="shared" si="42"/>
        <v>0</v>
      </c>
      <c r="GB18" s="367">
        <f>GA18*(VLOOKUP($FY$9,各项系数!$D$1:$F$143,2,0))</f>
        <v>0</v>
      </c>
      <c r="GC18" s="388">
        <f>IF($BK18&lt;&gt;$GC$9,0,各项系数!$F$76/4*($MS18^2-$MQ18^2)*10^-2*(VLOOKUP($GC$9,各项系数!$D$1:$F$143,3,0))*10^-3*10^2)*各项系数!$J$4</f>
        <v>0</v>
      </c>
      <c r="GD18" s="389">
        <v>1</v>
      </c>
      <c r="GE18" s="390">
        <f t="shared" si="43"/>
        <v>0</v>
      </c>
      <c r="GF18" s="367">
        <f>GE18*(VLOOKUP($GC$9,各项系数!$D$1:$F$143,2,0))</f>
        <v>0</v>
      </c>
      <c r="GG18" s="388">
        <f>IF($BK18&lt;&gt;$GG$9,0,各项系数!$F$76/4*($MS18^2-$MQ18^2)*10^-2*(VLOOKUP($GG$9,各项系数!$D$1:$F$143,3,0))*10^-3*10^2)*各项系数!$J$4</f>
        <v>0</v>
      </c>
      <c r="GH18" s="389">
        <v>1</v>
      </c>
      <c r="GI18" s="390">
        <f t="shared" si="44"/>
        <v>0</v>
      </c>
      <c r="GJ18" s="367">
        <f>GI18*(VLOOKUP($GG$9,各项系数!$D$1:$F$143,2,0))</f>
        <v>0</v>
      </c>
      <c r="GK18" s="388">
        <f>IF($BK18&lt;&gt;$GK$9,0,各项系数!$F$76/4*($MS18^2-$MQ18^2)*10^-2*(VLOOKUP($GK$9,各项系数!$D$1:$F$143,3,0))*10^-3*10^2)*各项系数!$J$4</f>
        <v>0</v>
      </c>
      <c r="GL18" s="389">
        <v>1</v>
      </c>
      <c r="GM18" s="390">
        <f t="shared" si="45"/>
        <v>0</v>
      </c>
      <c r="GN18" s="367">
        <f>GM18*(VLOOKUP($GK$9,各项系数!$D$1:$F$143,2,0))</f>
        <v>0</v>
      </c>
      <c r="GO18" s="390">
        <f t="shared" si="46"/>
        <v>0</v>
      </c>
      <c r="GP18" s="390">
        <f t="shared" si="47"/>
        <v>0</v>
      </c>
      <c r="GQ18" s="406">
        <f>各项系数!$F$76/4*($MU18^2-$MS18^2)*10^-2*(VLOOKUP($S18,各项系数!$D$1:$F$143,3,0))*10^-3*10^2*各项系数!$J$4</f>
        <v>0.01850874714317</v>
      </c>
      <c r="GR18" s="389">
        <v>1</v>
      </c>
      <c r="GS18" s="390">
        <f t="shared" si="48"/>
        <v>0.01850874714317</v>
      </c>
      <c r="GT18" s="390">
        <f t="shared" si="49"/>
        <v>1</v>
      </c>
      <c r="GU18" s="390">
        <f>ROUND($GS18*(VLOOKUP($S18,各项系数!$D$1:$F$143,2,0))+$E$3*GS18,GT18)</f>
        <v>0.2</v>
      </c>
      <c r="GV18" s="406">
        <f>各项系数!$F$76/4*($MT18^2-$MS18^2)*10^-2*(VLOOKUP($GV$9,各项系数!$D$1:$F$143,3,0))*10^-3*10^2*各项系数!$J$4*PI()/4*R18</f>
        <v>0.00512062893501102</v>
      </c>
      <c r="GW18" s="389">
        <v>1</v>
      </c>
      <c r="GX18" s="390">
        <f t="shared" si="50"/>
        <v>0.00512062893501102</v>
      </c>
      <c r="GY18" s="390">
        <f>$GX18*(VLOOKUP($GV$9,各项系数!$D$1:$F$143,2,0))</f>
        <v>0.345642453113244</v>
      </c>
      <c r="GZ18" s="406">
        <f>各项系数!$F$76/4*($MV18^2-$MS18^2)*10^-2*(VLOOKUP($GZ$9,各项系数!$D$1:$F$143,3,0))*10^-3*10^2*各项系数!$J$4</f>
        <v>0.0316381568323727</v>
      </c>
      <c r="HA18" s="389">
        <v>1</v>
      </c>
      <c r="HB18" s="390">
        <f t="shared" si="144"/>
        <v>0.0316381568323727</v>
      </c>
      <c r="HC18" s="390">
        <f>HB18*(VLOOKUP($GZ$9,各项系数!$D$1:$F$143,2,0))</f>
        <v>0.537848666150337</v>
      </c>
      <c r="HD18" s="406">
        <f>各项系数!$F$76/4*($MW18^2-$MT18^2)*10^-2*(VLOOKUP($HD$9,各项系数!$D$1:$F$143,3,0))*10^-3*10^2*各项系数!$J$4</f>
        <v>0.0326534441797893</v>
      </c>
      <c r="HE18" s="389">
        <v>1</v>
      </c>
      <c r="HF18" s="390">
        <f t="shared" si="145"/>
        <v>0.0326534441797893</v>
      </c>
      <c r="HG18" s="390">
        <f>HF18*(VLOOKUP($HD$9,各项系数!$D$1:$F$143,2,0))</f>
        <v>0.555108551056418</v>
      </c>
      <c r="HH18" s="406">
        <f>各项系数!$F$76/4*($MV18^2-$MS18^2)*10^-2*(VLOOKUP($HH$9,各项系数!$D$1:$F$143,3,0))*10^-3*10^2*各项系数!$J$4</f>
        <v>0.0316381568323727</v>
      </c>
      <c r="HI18" s="420">
        <v>1</v>
      </c>
      <c r="HJ18" s="390">
        <f t="shared" si="146"/>
        <v>0.0316381568323727</v>
      </c>
      <c r="HK18" s="390">
        <f>HJ18*(VLOOKUP($HH$9,各项系数!$D$1:$F$143,2,0))</f>
        <v>0.537848666150337</v>
      </c>
      <c r="HL18" s="406">
        <f>各项系数!$F$76/4*($MW18^2-$MT18^2)*10^-2*(VLOOKUP($HL$9,各项系数!$D$1:$F$143,3,0))*10^-3*10^2*各项系数!$J$4</f>
        <v>0.0326534441797893</v>
      </c>
      <c r="HM18" s="420">
        <v>1</v>
      </c>
      <c r="HN18" s="390">
        <f t="shared" si="147"/>
        <v>0.0326534441797893</v>
      </c>
      <c r="HO18" s="390">
        <f>HN18*(VLOOKUP($HL$9,各项系数!$D$1:$F$143,2,0))</f>
        <v>0.555108551056418</v>
      </c>
      <c r="HP18" s="406">
        <f>各项系数!$F$76/4*($MV18^2-$MS18^2)*10^-2*(VLOOKUP(AN18,各项系数!$D$1:$F$143,3,0))*10^-3*10^2*各项系数!$J$4</f>
        <v>0.0320745452024744</v>
      </c>
      <c r="HQ18" s="389">
        <v>1</v>
      </c>
      <c r="HR18" s="390">
        <f t="shared" si="172"/>
        <v>0.0320745452024744</v>
      </c>
      <c r="HS18" s="390">
        <f>HR18*(VLOOKUP(AN18,各项系数!$D$1:$F$143,2,0))</f>
        <v>0.320745452024744</v>
      </c>
      <c r="HT18" s="406">
        <f>各项系数!$F$76/4*($MW18^2-$MT18^2)*10^-2*(VLOOKUP(AN18,各项系数!$D$1:$F$143,3,0))*10^-3*10^2*各项系数!$J$4</f>
        <v>0.0331038365133036</v>
      </c>
      <c r="HU18" s="389">
        <v>1</v>
      </c>
      <c r="HV18" s="390">
        <f t="shared" si="173"/>
        <v>0.0331038365133036</v>
      </c>
      <c r="HW18" s="390">
        <f>HV18*(VLOOKUP(AN18,各项系数!$D$1:$F$143,2,0))</f>
        <v>0.331038365133036</v>
      </c>
      <c r="HX18" s="406">
        <f>各项系数!$F$76/4*($MV18^2-$MS18^2)*10^-2*(VLOOKUP($HX$9,各项系数!$D$1:$F$143,3,0))*10^-3*10^2*各项系数!$J$4</f>
        <v>0.0320745452024744</v>
      </c>
      <c r="HY18" s="420">
        <v>1</v>
      </c>
      <c r="HZ18" s="390">
        <f t="shared" si="174"/>
        <v>0.0320745452024744</v>
      </c>
      <c r="IA18" s="390">
        <f>HZ18*(VLOOKUP($HX$9,各项系数!$D$1:$F$143,2,0))</f>
        <v>0.352819997227219</v>
      </c>
      <c r="IB18" s="406">
        <f>各项系数!$F$76/4*($MW18^2-$MT18^2)*10^-2*(VLOOKUP($IB$9,各项系数!$D$1:$F$143,3,0))*10^-3*10^2*各项系数!$J$4</f>
        <v>0.0331038365133036</v>
      </c>
      <c r="IC18" s="420">
        <v>1</v>
      </c>
      <c r="ID18" s="390">
        <f t="shared" si="58"/>
        <v>0.0331038365133036</v>
      </c>
      <c r="IE18" s="390">
        <f>ID18*(VLOOKUP($IB$9,各项系数!$D$1:$F$143,2,0))</f>
        <v>0.36414220164634</v>
      </c>
      <c r="IF18" s="429"/>
      <c r="IG18" s="406">
        <f t="shared" si="148"/>
        <v>0.00272989228499259</v>
      </c>
      <c r="IH18" s="389">
        <v>1</v>
      </c>
      <c r="II18" s="390">
        <f t="shared" si="59"/>
        <v>0.00272989228499259</v>
      </c>
      <c r="IJ18" s="390">
        <f>II18*(VLOOKUP($IG$8,各项系数!$D$1:$F$143,2,0))</f>
        <v>0.0682473071248147</v>
      </c>
      <c r="IK18" s="406">
        <f>(各项系数!$F$76/4*($MX18^2-$MK18^2)*$EG18)*10^-2*(VLOOKUP($IG$8,各项系数!$D$1:$F$143,3,0))*10^-3*10^2*各项系数!$J$4</f>
        <v>0.00272989228499259</v>
      </c>
      <c r="IL18" s="389">
        <f>IK18*(VLOOKUP($IG$8,各项系数!$D$1:$F$143,2,0))</f>
        <v>0.0682473071248147</v>
      </c>
      <c r="IM18" s="390">
        <f>(各项系数!$F$76/4*(($MM18+3*$X18)^2-MM18^2)*$EO18)*10^-2*(VLOOKUP($IG$8,各项系数!$D$1:$F$143,3,0))*10^-3*10^2*各项系数!$J$4</f>
        <v>0</v>
      </c>
      <c r="IN18" s="389">
        <f>IM18*(VLOOKUP($IG$8,各项系数!$D$1:$F$143,2,0))</f>
        <v>0</v>
      </c>
      <c r="IO18" s="406">
        <f>各项系数!$F$76/4*($MZ18^2-$MX18^2)*10^-2*(VLOOKUP(L18,各项系数!$D$1:$F$143,3,0))*10^-3*10^2*$ES18*各项系数!$J$4</f>
        <v>0.0081014516150891</v>
      </c>
      <c r="IP18" s="389">
        <v>1</v>
      </c>
      <c r="IQ18" s="390">
        <f t="shared" si="60"/>
        <v>0.0081014516150891</v>
      </c>
      <c r="IR18" s="367">
        <f>IQ18*(VLOOKUP(L18,各项系数!$D$1:$F$143,2,0))</f>
        <v>0.0826348064739088</v>
      </c>
      <c r="IS18" s="406">
        <f>IF($L18&lt;&gt;$IS$9,0,各项系数!$F$76/4*($MZ18^2-$MX18^2)*10^-2*各项系数!$F$12*10^-3*10^2)*$ES18*各项系数!$J$4</f>
        <v>0</v>
      </c>
      <c r="IT18" s="389">
        <v>1</v>
      </c>
      <c r="IU18" s="390">
        <f t="shared" si="61"/>
        <v>0</v>
      </c>
      <c r="IV18" s="367">
        <f>IU18*各项系数!$E$12</f>
        <v>0</v>
      </c>
      <c r="IW18" s="388">
        <f t="shared" si="62"/>
        <v>0.0081014516150891</v>
      </c>
      <c r="IX18" s="388">
        <f t="shared" si="63"/>
        <v>0.0826348064739088</v>
      </c>
      <c r="IY18" s="447">
        <f>各项系数!$F$76/4*($NB18^2-$MZ18^2*$EG18-$NA18^2*$EO18)*10^-2</f>
        <v>0</v>
      </c>
      <c r="IZ18" s="366">
        <f t="shared" si="149"/>
        <v>1</v>
      </c>
      <c r="JA18" s="367">
        <f t="shared" si="64"/>
        <v>0</v>
      </c>
      <c r="JB18" s="364">
        <f>IF($DE18&lt;&gt;$JB$9,0,$JA18*各项系数!$F$32*10^-3*10^2)*各项系数!$J$4</f>
        <v>0</v>
      </c>
      <c r="JC18" s="123">
        <v>1</v>
      </c>
      <c r="JD18" s="251">
        <f t="shared" si="65"/>
        <v>0</v>
      </c>
      <c r="JE18" s="339">
        <f>JD18*各项系数!$E$32</f>
        <v>0</v>
      </c>
      <c r="JF18" s="364">
        <f>IF($DE18&lt;&gt;$JF$9,0,$JA18*VLOOKUP($JF$9,各项系数!$D$4:$F$540,2,0)*10^-3*10^2)*各项系数!$J$4</f>
        <v>0</v>
      </c>
      <c r="JG18" s="123">
        <v>1</v>
      </c>
      <c r="JH18" s="251">
        <f t="shared" si="66"/>
        <v>0</v>
      </c>
      <c r="JI18" s="339">
        <f>JH18*VLOOKUP($JF$9,各项系数!$D$4:$F$540,3,0)</f>
        <v>0</v>
      </c>
      <c r="JJ18" s="364">
        <f t="shared" si="67"/>
        <v>0</v>
      </c>
      <c r="JK18" s="251">
        <f t="shared" si="68"/>
        <v>0</v>
      </c>
      <c r="JL18" s="364">
        <f>IF($DF18&lt;&gt;$JL$9,0,各项系数!$F$76/4*($NE18^2-$NC18^2)*10^-2*各项系数!$F$39*10^-3*10^2)*各项系数!$J$4</f>
        <v>0</v>
      </c>
      <c r="JM18" s="123">
        <v>1</v>
      </c>
      <c r="JN18" s="251">
        <f t="shared" si="69"/>
        <v>0</v>
      </c>
      <c r="JO18" s="339">
        <f>JN18*各项系数!$E$39</f>
        <v>0</v>
      </c>
      <c r="JP18" s="364">
        <f>IF($DF18&lt;&gt;$JP$9,0,各项系数!$F$76/4*($NE18^2-$NC18^2)*10^-2*各项系数!$F$36*10^-3*10^2)*各项系数!$J$4</f>
        <v>0</v>
      </c>
      <c r="JQ18" s="123">
        <v>1</v>
      </c>
      <c r="JR18" s="251">
        <f t="shared" si="70"/>
        <v>0</v>
      </c>
      <c r="JS18" s="339">
        <f>JR18*各项系数!$E$36</f>
        <v>0</v>
      </c>
      <c r="JT18" s="364">
        <f>IF($DF18&lt;&gt;$JT$9,0,各项系数!$F$76/4*($NE18^2-$NC18^2)*10^-2*各项系数!$F$40*10^-3*10^2)*各项系数!$J$4</f>
        <v>0</v>
      </c>
      <c r="JU18" s="123">
        <v>1</v>
      </c>
      <c r="JV18" s="251">
        <f t="shared" si="71"/>
        <v>0</v>
      </c>
      <c r="JW18" s="339">
        <f>JV18*各项系数!$E$40</f>
        <v>0</v>
      </c>
      <c r="JX18" s="364">
        <f>IF($DF18&lt;&gt;$JX$9,0,各项系数!$F$76/4*($NE18^2-$NC18^2)*10^-2*各项系数!$F$38*10^-3*10^2)*各项系数!$J$4</f>
        <v>0</v>
      </c>
      <c r="JY18" s="123">
        <v>1</v>
      </c>
      <c r="JZ18" s="251">
        <f t="shared" si="72"/>
        <v>0</v>
      </c>
      <c r="KA18" s="339">
        <f>JZ18*各项系数!$E$38</f>
        <v>0</v>
      </c>
      <c r="KB18" s="364">
        <f>IF($DF18&lt;&gt;$KB$9,0,各项系数!$F$76/4*($NE18^2-$NC18^2)*10^-2*各项系数!$F$41*10^-3*10^2)*各项系数!$J$4</f>
        <v>0</v>
      </c>
      <c r="KC18" s="123">
        <v>1</v>
      </c>
      <c r="KD18" s="251">
        <f t="shared" si="73"/>
        <v>0</v>
      </c>
      <c r="KE18" s="339">
        <f>KD18*各项系数!$E$41</f>
        <v>0</v>
      </c>
      <c r="KF18" s="251">
        <f t="shared" si="74"/>
        <v>0</v>
      </c>
      <c r="KG18" s="251">
        <f t="shared" si="75"/>
        <v>0</v>
      </c>
      <c r="KH18" s="302">
        <f>各项系数!$F$76/4*($NG18^2-$NE18^2)*10^-2*各项系数!$F$44*10^-3*10^2*各项系数!$J$4*0.75*$U18</f>
        <v>0.0312831169468326</v>
      </c>
      <c r="KI18" s="123">
        <v>1</v>
      </c>
      <c r="KJ18" s="251">
        <f t="shared" si="76"/>
        <v>0.0312831169468326</v>
      </c>
      <c r="KK18" s="251">
        <f>ROUND(KJ18*各项系数!$E$44,GT18)</f>
        <v>0.3</v>
      </c>
      <c r="KL18" s="302">
        <f>各项系数!$F$76/4*($NF18^2-$NE18^2)*10^-2*各项系数!$F$46*10^-3*10^2*各项系数!$J$4*PI()/4*R18</f>
        <v>0.00579110890334425</v>
      </c>
      <c r="KM18" s="123">
        <v>1</v>
      </c>
      <c r="KN18" s="251">
        <f t="shared" si="77"/>
        <v>0.00579110890334425</v>
      </c>
      <c r="KO18" s="251">
        <f>KN18*各项系数!$E$46</f>
        <v>0.390899850975737</v>
      </c>
      <c r="KP18" s="302">
        <f>各项系数!$F$76/4*($NH18^2-$NE18^2)*10^-2*(VLOOKUP($KP$9,各项系数!$D$1:$F$143,3,0))*10^-3*10^2*各项系数!$J$4</f>
        <v>0.0346840188746223</v>
      </c>
      <c r="KQ18" s="123">
        <v>1</v>
      </c>
      <c r="KR18" s="251">
        <f t="shared" si="150"/>
        <v>0.0346840188746223</v>
      </c>
      <c r="KS18" s="251">
        <f>KR18*(VLOOKUP($KP$9,各项系数!$D$1:$F$143,2,0))</f>
        <v>0.58962832086858</v>
      </c>
      <c r="KT18" s="302">
        <f>各项系数!$F$76/4*($NI18^2-$NF18^2)*10^-2*(VLOOKUP($KT$9,各项系数!$D$1:$F$143,3,0))*10^-3*10^2*各项系数!$J$4</f>
        <v>0.0356993062220389</v>
      </c>
      <c r="KU18" s="123">
        <v>1</v>
      </c>
      <c r="KV18" s="251">
        <f t="shared" si="151"/>
        <v>0.0356993062220389</v>
      </c>
      <c r="KW18" s="251">
        <f>KV18*(VLOOKUP($KT$9,各项系数!$D$1:$F$143,2,0))</f>
        <v>0.606888205774661</v>
      </c>
      <c r="KX18" s="251">
        <f>各项系数!$F$76/4*($NH18^2-$NE18^2)*10^-2*(VLOOKUP($KX$9,各项系数!$D$1:$F$143,3,0))*10^-3*10^2*各项系数!$J$4</f>
        <v>0.0346840188746223</v>
      </c>
      <c r="KY18" s="479">
        <v>1</v>
      </c>
      <c r="KZ18" s="251">
        <f t="shared" si="152"/>
        <v>0.0346840188746223</v>
      </c>
      <c r="LA18" s="251">
        <f>KZ18*(VLOOKUP($KX$9,各项系数!$D$1:$F$143,2,0))</f>
        <v>0.58962832086858</v>
      </c>
      <c r="LB18" s="251">
        <f>各项系数!$F$76/4*($NI18^2-$NF18^2)*10^-2*(VLOOKUP($LB$9,各项系数!$D$1:$F$143,3,0))*10^-3*10^2*各项系数!$J$4</f>
        <v>0.0356993062220389</v>
      </c>
      <c r="LC18" s="479">
        <v>1</v>
      </c>
      <c r="LD18" s="251">
        <f t="shared" si="153"/>
        <v>0.0356993062220389</v>
      </c>
      <c r="LE18" s="251">
        <f>LD18*(VLOOKUP($LB$9,各项系数!$D$1:$F$143,2,0))</f>
        <v>0.606888205774661</v>
      </c>
      <c r="LF18" s="302">
        <f>各项系数!$F$76/4*($NH18^2-$NE18^2)*10^-2*(VLOOKUP(AN18,各项系数!$D$1:$F$143,3,0))*10^-3*10^2*各项系数!$J$4</f>
        <v>0.035162419134962</v>
      </c>
      <c r="LG18" s="123">
        <v>1</v>
      </c>
      <c r="LH18" s="251">
        <f t="shared" si="82"/>
        <v>0.035162419134962</v>
      </c>
      <c r="LI18" s="251">
        <f>LH18*(VLOOKUP(AN18,各项系数!$D$1:$F$143,2,0))</f>
        <v>0.35162419134962</v>
      </c>
      <c r="LJ18" s="302">
        <f>各项系数!$F$76/4*($NI18^2-$NF18^2)*10^-2*(VLOOKUP(AN18,各项系数!$D$1:$F$143,3,0))*10^-3*10^2*各项系数!$J$4</f>
        <v>0.0361917104457911</v>
      </c>
      <c r="LK18" s="123">
        <v>1</v>
      </c>
      <c r="LL18" s="251">
        <f t="shared" si="83"/>
        <v>0.0361917104457911</v>
      </c>
      <c r="LM18" s="251">
        <f>LL18*(VLOOKUP(AN18,各项系数!$D$1:$F$143,2,0))</f>
        <v>0.361917104457911</v>
      </c>
      <c r="LN18" s="251">
        <f>各项系数!$F$76/4*($NH18^2-$NE18^2)*10^-2*(VLOOKUP($LN$9,各项系数!$D$1:$F$143,3,0))*10^-3*10^2*各项系数!$J$4</f>
        <v>0.035162419134962</v>
      </c>
      <c r="LO18" s="479">
        <v>1</v>
      </c>
      <c r="LP18" s="251">
        <f t="shared" si="84"/>
        <v>0.035162419134962</v>
      </c>
      <c r="LQ18" s="251">
        <f>LP18*(VLOOKUP($LN$9,各项系数!$D$1:$F$143,2,0))</f>
        <v>0.386786610484582</v>
      </c>
      <c r="LR18" s="251">
        <f>各项系数!$F$76/4*($NI18^2-$NF18^2)*10^-2*(VLOOKUP($LR$9,各项系数!$D$1:$F$143,3,0))*10^-3*10^2*各项系数!$J$4</f>
        <v>0.0361917104457911</v>
      </c>
      <c r="LS18" s="479">
        <v>1</v>
      </c>
      <c r="LT18" s="251">
        <f t="shared" si="85"/>
        <v>0.0361917104457911</v>
      </c>
      <c r="LU18" s="251">
        <f>LT18*(VLOOKUP($LR$9,各项系数!$D$1:$F$143,2,0))</f>
        <v>0.398108814903703</v>
      </c>
      <c r="LV18" s="499">
        <f t="shared" si="154"/>
        <v>3.75270273</v>
      </c>
      <c r="LW18" s="499">
        <f t="shared" si="155"/>
        <v>3.75270273</v>
      </c>
      <c r="LX18" s="499">
        <f t="shared" si="156"/>
        <v>2.18588414959979</v>
      </c>
      <c r="LY18" s="515">
        <f t="shared" si="157"/>
        <v>0</v>
      </c>
      <c r="LZ18" s="516">
        <f t="shared" si="86"/>
        <v>1</v>
      </c>
      <c r="MA18" s="517">
        <f t="shared" si="87"/>
        <v>3.75270273</v>
      </c>
      <c r="MB18" s="517">
        <f t="shared" si="158"/>
        <v>2.18588415</v>
      </c>
      <c r="MC18" s="499">
        <f t="shared" si="159"/>
        <v>0</v>
      </c>
      <c r="MD18" s="499">
        <f t="shared" si="160"/>
        <v>0</v>
      </c>
      <c r="ME18" s="499">
        <f t="shared" si="161"/>
        <v>0</v>
      </c>
      <c r="MF18" s="499">
        <f t="shared" si="162"/>
        <v>0</v>
      </c>
      <c r="MG18" s="516">
        <f t="shared" si="163"/>
        <v>1</v>
      </c>
      <c r="MH18" s="517">
        <f t="shared" si="88"/>
        <v>0</v>
      </c>
      <c r="MI18" s="517">
        <f t="shared" si="164"/>
        <v>0</v>
      </c>
      <c r="MJ18" s="251">
        <f t="shared" si="89"/>
        <v>2.18588415</v>
      </c>
      <c r="MK18" s="251">
        <f t="shared" si="165"/>
        <v>2.18588415</v>
      </c>
      <c r="ML18" s="251">
        <f t="shared" si="90"/>
        <v>0</v>
      </c>
      <c r="MM18" s="251">
        <f t="shared" si="91"/>
        <v>0</v>
      </c>
      <c r="MN18" s="251">
        <f t="shared" si="92"/>
        <v>3.58588415</v>
      </c>
      <c r="MO18" s="251">
        <f t="shared" si="166"/>
        <v>0</v>
      </c>
      <c r="MP18" s="251">
        <f t="shared" si="167"/>
        <v>3.58588415</v>
      </c>
      <c r="MQ18" s="251">
        <f t="shared" si="93"/>
        <v>3.58588415</v>
      </c>
      <c r="MR18" s="314">
        <f t="shared" si="168"/>
        <v>3.58588415</v>
      </c>
      <c r="MS18" s="530">
        <f t="shared" si="94"/>
        <v>3.58588415</v>
      </c>
      <c r="MT18" s="530">
        <f t="shared" si="95"/>
        <v>3.74588415</v>
      </c>
      <c r="MU18" s="530">
        <f t="shared" si="96"/>
        <v>3.98588415</v>
      </c>
      <c r="MV18" s="530">
        <f t="shared" si="97"/>
        <v>6.38588415</v>
      </c>
      <c r="MW18" s="530">
        <f t="shared" si="98"/>
        <v>6.54588415</v>
      </c>
      <c r="MX18" s="326">
        <f t="shared" si="99"/>
        <v>2.66588415</v>
      </c>
      <c r="MY18" s="326">
        <f t="shared" si="100"/>
        <v>0</v>
      </c>
      <c r="MZ18" s="251">
        <f t="shared" si="101"/>
        <v>4.06588415</v>
      </c>
      <c r="NA18" s="251">
        <f t="shared" si="102"/>
        <v>0</v>
      </c>
      <c r="NB18" s="251">
        <f t="shared" si="169"/>
        <v>4.06588415</v>
      </c>
      <c r="NC18" s="326">
        <f t="shared" si="103"/>
        <v>4.06588415</v>
      </c>
      <c r="ND18" s="314">
        <f t="shared" si="104"/>
        <v>4.06588415</v>
      </c>
      <c r="NE18" s="537">
        <f t="shared" si="105"/>
        <v>4.06588415</v>
      </c>
      <c r="NF18" s="530">
        <f t="shared" si="106"/>
        <v>4.22588415</v>
      </c>
      <c r="NG18" s="538">
        <f t="shared" si="107"/>
        <v>4.46588415</v>
      </c>
      <c r="NH18" s="326">
        <f t="shared" si="108"/>
        <v>6.86588415</v>
      </c>
      <c r="NI18" s="530">
        <f t="shared" si="109"/>
        <v>7.02588415</v>
      </c>
      <c r="NK18" s="539">
        <f t="shared" si="110"/>
        <v>0.0722153893923702</v>
      </c>
      <c r="NL18" s="539">
        <f t="shared" si="111"/>
        <v>2.56585005422781</v>
      </c>
      <c r="NM18" s="539">
        <f t="shared" si="112"/>
        <v>0.0722153893923702</v>
      </c>
      <c r="NN18" s="539">
        <f t="shared" si="113"/>
        <v>2.59792459943029</v>
      </c>
      <c r="NO18" s="539">
        <f t="shared" si="114"/>
        <v>0.0791884825913932</v>
      </c>
      <c r="NP18" s="539">
        <f t="shared" si="115"/>
        <v>2.67676043588924</v>
      </c>
      <c r="NQ18" s="539">
        <f t="shared" si="116"/>
        <v>0.0791884825913932</v>
      </c>
      <c r="NR18" s="539">
        <f t="shared" si="117"/>
        <v>2.7119228550242</v>
      </c>
      <c r="NS18" s="539">
        <f t="shared" si="118"/>
        <v>0.0773360183273812</v>
      </c>
      <c r="NT18" s="539">
        <f t="shared" si="119"/>
        <v>0.0773360183273812</v>
      </c>
      <c r="NU18" s="539">
        <f t="shared" si="120"/>
        <v>0.0849795914947375</v>
      </c>
      <c r="NV18" s="539">
        <f t="shared" si="121"/>
        <v>0.0849795914947375</v>
      </c>
      <c r="NW18">
        <f t="shared" si="122"/>
        <v>0.0907241365355401</v>
      </c>
      <c r="NX18">
        <f>各项系数!$M$9*NK18</f>
        <v>0.021664616817711</v>
      </c>
      <c r="NY18">
        <f t="shared" si="123"/>
        <v>0.0773360183273812</v>
      </c>
      <c r="OB18" s="82" t="str">
        <f t="shared" si="124"/>
        <v>1*4</v>
      </c>
      <c r="OC18" s="546">
        <f t="shared" si="125"/>
        <v>218.588414706449</v>
      </c>
      <c r="OD18" s="546">
        <f>SQRT(4*EY18/PI()/EH18/各项系数!$J$4/各项系数!$F$5*10000000)</f>
        <v>218.588414706449</v>
      </c>
      <c r="OE18" s="547">
        <f t="shared" si="126"/>
        <v>3.75270272129484</v>
      </c>
      <c r="OF18" s="547">
        <f t="shared" si="127"/>
        <v>3.75270272129484</v>
      </c>
      <c r="OG18" s="82"/>
      <c r="OH18" s="548"/>
    </row>
    <row r="19" customHeight="1" spans="1:398">
      <c r="A19" s="66">
        <v>6</v>
      </c>
      <c r="B19" s="67">
        <v>0.01</v>
      </c>
      <c r="C19" s="68">
        <v>0.7</v>
      </c>
      <c r="D19" s="69" t="s">
        <v>212</v>
      </c>
      <c r="E19" s="77">
        <f t="shared" si="1"/>
        <v>6.87425148</v>
      </c>
      <c r="F19" s="75">
        <v>267.425148012862</v>
      </c>
      <c r="G19" s="76"/>
      <c r="H19" s="76"/>
      <c r="I19" s="76"/>
      <c r="J19" s="76"/>
      <c r="K19" s="76"/>
      <c r="L19" s="118" t="s">
        <v>467</v>
      </c>
      <c r="M19" s="119">
        <f t="shared" si="2"/>
        <v>0.7</v>
      </c>
      <c r="N19" s="119">
        <f t="shared" si="3"/>
        <v>0</v>
      </c>
      <c r="O19" s="69"/>
      <c r="P19" s="120">
        <v>0.1</v>
      </c>
      <c r="Q19" s="162">
        <f t="shared" si="170"/>
        <v>0.1</v>
      </c>
      <c r="R19" s="160">
        <v>0.8</v>
      </c>
      <c r="S19" s="161" t="s">
        <v>521</v>
      </c>
      <c r="T19" s="162">
        <v>0.2</v>
      </c>
      <c r="U19" s="69">
        <v>2</v>
      </c>
      <c r="V19" s="160"/>
      <c r="W19" s="124">
        <v>1.4</v>
      </c>
      <c r="X19" s="164">
        <f t="shared" si="171"/>
        <v>0.2</v>
      </c>
      <c r="Y19" s="219">
        <v>2</v>
      </c>
      <c r="Z19" s="220">
        <v>0.2</v>
      </c>
      <c r="AA19" s="217">
        <v>1</v>
      </c>
      <c r="AB19" s="186">
        <f>PI()*EJ19*EJ19/4*EH19*(1-H19)*AA19*各项系数!$F$5*各项系数!$J$4*10^-7</f>
        <v>0.0496843042710297</v>
      </c>
      <c r="AC19" s="186">
        <f t="shared" si="4"/>
        <v>267.425148012862</v>
      </c>
      <c r="AD19" s="186">
        <f t="shared" si="5"/>
        <v>5.61686998219778</v>
      </c>
      <c r="AE19" s="186">
        <f>POWER(4*EU19/PI()/EG19/10^-7/EH19/(1-H19)/各项系数!$F$5/各项系数!$J$4,0.5)</f>
        <v>267.425148012862</v>
      </c>
      <c r="AF19" s="218">
        <v>1</v>
      </c>
      <c r="AG19" s="85">
        <f>IF(EM19=0,0,PI()*ER19*ER19/4*EP19*(1-K19)*(1+AF19)*各项系数!$F$5*各项系数!$J$4*10^-7)</f>
        <v>0</v>
      </c>
      <c r="AH19" s="85">
        <f t="shared" si="6"/>
        <v>0</v>
      </c>
      <c r="AI19" s="85">
        <f t="shared" si="128"/>
        <v>0</v>
      </c>
      <c r="AJ19" s="85">
        <f>IF(OR(EP19="",EP19=0),0,POWER(4*EW19/PI()/EO19/10^-7/EP19/(1-K19)/各项系数!$F$5/各项系数!$J$4,0.5))</f>
        <v>0</v>
      </c>
      <c r="AK19" s="85" t="str">
        <f t="shared" si="8"/>
        <v>√</v>
      </c>
      <c r="AL19" s="85">
        <f t="shared" si="9"/>
        <v>3.85586114482356</v>
      </c>
      <c r="AM19" s="250">
        <f t="shared" si="10"/>
        <v>6</v>
      </c>
      <c r="AN19" s="118" t="s">
        <v>486</v>
      </c>
      <c r="AO19" s="259">
        <f>AP19+各项系数!$M$9*$NK19</f>
        <v>3.78025602433683</v>
      </c>
      <c r="AP19" s="259">
        <f>AQ19*(1+$BI19+(VLOOKUP($AM19,$A$12:$B$323,2,0))+各项系数!$J$6+各项系数!$M$5)*(1+$E$2)</f>
        <v>3.75234938166656</v>
      </c>
      <c r="AQ19" s="260">
        <f>AR19+各项系数!$L$9*$NK19</f>
        <v>3.79101776284761</v>
      </c>
      <c r="AR19" s="260">
        <f>AS19*(1+$BJ19+各项系数!$J$5+各项系数!$L$5)</f>
        <v>3.76311112017734</v>
      </c>
      <c r="AS19" s="260">
        <f t="shared" si="129"/>
        <v>3.68932462762485</v>
      </c>
      <c r="AT19" s="259">
        <f>AU19+各项系数!$M$9*$NM19</f>
        <v>4.02091188117323</v>
      </c>
      <c r="AU19" s="259">
        <f>AV19*(1+$BI19+(VLOOKUP($AM19,$A$12:$B$323,2,0))+各项系数!$J$6+各项系数!$M$5)*(1+$E$2)</f>
        <v>3.99300523850297</v>
      </c>
      <c r="AV19" s="260">
        <f>AW19+各项系数!$L$9*$NM19</f>
        <v>4.03415360527679</v>
      </c>
      <c r="AW19" s="260">
        <f>AX19*(1+$BJ19+各项系数!$J$5+各项系数!$L$5)</f>
        <v>4.00624696260653</v>
      </c>
      <c r="AX19" s="260">
        <f t="shared" si="130"/>
        <v>3.92769310059464</v>
      </c>
      <c r="AY19" s="259">
        <f>AZ19+各项系数!$M$9*$NS19</f>
        <v>4.18955905027506</v>
      </c>
      <c r="AZ19" s="259">
        <f>BA19*(1+$BI19+(VLOOKUP($AM19,$A$12:$B$214,2,0))+各项系数!$J$6+各项系数!$M$5)*(1+$E$2)</f>
        <v>4.15991156860432</v>
      </c>
      <c r="BA19" s="260">
        <f>BB19+各项系数!$L$9*$NS19</f>
        <v>4.20277992382736</v>
      </c>
      <c r="BB19" s="260">
        <f>BC19*(1+$BJ19+各项系数!$J$5+各项系数!$L$5)</f>
        <v>4.17313244215662</v>
      </c>
      <c r="BC19" s="262">
        <f t="shared" si="131"/>
        <v>4.09130631583983</v>
      </c>
      <c r="BD19" s="259">
        <f>BE19+各项系数!$M$9*$NS19</f>
        <v>4.43724873397063</v>
      </c>
      <c r="BE19" s="259">
        <f>BF19*(1+$BI19+(VLOOKUP($AM19,$A$12:$B$214,2,0))+各项系数!$J$6+各项系数!$M$5)*(1+$E$2)</f>
        <v>4.40760125229989</v>
      </c>
      <c r="BF19" s="274">
        <f>BG19+各项系数!$L$9*$NS19</f>
        <v>4.45302207749029</v>
      </c>
      <c r="BG19" s="260">
        <f>BH19*(1+$BJ19+各项系数!$J$5+各项系数!$L$5)</f>
        <v>4.42337459581955</v>
      </c>
      <c r="BH19" s="262">
        <f t="shared" si="132"/>
        <v>4.33664176060741</v>
      </c>
      <c r="BI19" s="67"/>
      <c r="BJ19" s="272"/>
      <c r="BK19" s="123"/>
      <c r="BL19" s="259">
        <f>BM19+各项系数!$M$9*$NM19</f>
        <v>3.85267571177576</v>
      </c>
      <c r="BM19" s="259">
        <f>BN19*(1+$CF19+(VLOOKUP($AM19,$A$12:$B$323,2,0))+各项系数!$J$6+各项系数!$M$5)*(1+$E$2)</f>
        <v>3.8247690691055</v>
      </c>
      <c r="BN19" s="260">
        <f>BO19+各项系数!$L$9*$NM19</f>
        <v>3.86418374328703</v>
      </c>
      <c r="BO19" s="260">
        <f>BP19*(1+$CG19+各项系数!$J$5+各项系数!$L$5)</f>
        <v>3.83627710061676</v>
      </c>
      <c r="BP19" s="260">
        <f t="shared" si="133"/>
        <v>3.72454087438521</v>
      </c>
      <c r="BQ19" s="259">
        <f>BR19+各项系数!$M$9*$NM19</f>
        <v>4.05978818748292</v>
      </c>
      <c r="BR19" s="259">
        <f>BS19*(1+$CF19+(VLOOKUP($AM19,$A$12:$B$323,2,0))+各项系数!$J$6+各项系数!$M$5)*(1+$E$2)</f>
        <v>4.03188154481266</v>
      </c>
      <c r="BS19" s="260">
        <f>BT19+各项系数!$L$9*$NM19</f>
        <v>4.07343053628274</v>
      </c>
      <c r="BT19" s="260">
        <f>BU19*(1+$CG19+各项系数!$J$5+各项系数!$L$5)</f>
        <v>4.04552389361248</v>
      </c>
      <c r="BU19" s="260">
        <f t="shared" si="134"/>
        <v>3.92769310059464</v>
      </c>
      <c r="BV19" s="259">
        <f>BW19+各项系数!$M$9*$NT19</f>
        <v>4.24584094786469</v>
      </c>
      <c r="BW19" s="259">
        <f>BX19*(1+$CF19+(VLOOKUP($AM19,$A$12:$B$214,2,0))+各项系数!$J$6+各项系数!$M$5)*(1+$E$2)</f>
        <v>4.21619346619395</v>
      </c>
      <c r="BX19" s="260">
        <f>BY19+各项系数!$L$9*$NT$12</f>
        <v>4.25964181268332</v>
      </c>
      <c r="BY19" s="260">
        <f>BZ19*(1+$CG19+各项系数!$J$5+各项系数!$L$5)</f>
        <v>4.25137840952835</v>
      </c>
      <c r="BZ19" s="262">
        <f t="shared" si="11"/>
        <v>4.12755185391102</v>
      </c>
      <c r="CA19" s="259">
        <f>CB19+各项系数!$M$9*$NT19</f>
        <v>4.45900685320222</v>
      </c>
      <c r="CB19" s="259">
        <f>CC19*(1+$CF19+(VLOOKUP($AM19,$A$12:$B$214,2,0))+各项系数!$J$6+各项系数!$M$5)*(1+$E$2)</f>
        <v>4.42935937153148</v>
      </c>
      <c r="CC19" s="260">
        <f>CD19+各项系数!$L$9*$NT$12</f>
        <v>4.4750044165806</v>
      </c>
      <c r="CD19" s="260">
        <f>CE19*(1+$CG19+各项系数!$J$5+各项系数!$L$5)</f>
        <v>4.46674101342563</v>
      </c>
      <c r="CE19" s="262">
        <f t="shared" si="135"/>
        <v>4.33664176060741</v>
      </c>
      <c r="CF19" s="277">
        <f t="shared" si="136"/>
        <v>0</v>
      </c>
      <c r="CG19" s="277">
        <f t="shared" si="12"/>
        <v>0.01</v>
      </c>
      <c r="CH19" s="123"/>
      <c r="CI19" s="259">
        <f>CJ19+各项系数!$M$9*$NO19</f>
        <v>3.93849898372864</v>
      </c>
      <c r="CJ19" s="259">
        <f>CK19*(1+$DC19+(VLOOKUP($AM19,$A$12:$B$323,2,0))+各项系数!$J$6+各项系数!$M$5)*(1+$E$2)+各项系数!$M$9*$NK19</f>
        <v>3.90833554246298</v>
      </c>
      <c r="CK19" s="260">
        <f>CL19+各项系数!$L$9*$NO19</f>
        <v>3.92041715477138</v>
      </c>
      <c r="CL19" s="260">
        <f>CM19*(1+$DD19+各项系数!$J$5+各项系数!$L$5)</f>
        <v>3.89025371350572</v>
      </c>
      <c r="CM19" s="260">
        <f t="shared" si="13"/>
        <v>3.81397422892718</v>
      </c>
      <c r="CN19" s="259">
        <f>CO19+各项系数!$M$9*$NO19</f>
        <v>4.14797978885762</v>
      </c>
      <c r="CO19" s="259">
        <f>CP19*(1+$DC19+(VLOOKUP($AM19,$A$12:$B$323,2,0))+各项系数!$J$6+各项系数!$M$5)*(1+$E$2)+各项系数!$M$9*$NK19</f>
        <v>4.11781634759195</v>
      </c>
      <c r="CP19" s="260">
        <f>CQ19+各项系数!$L$9*$NO19</f>
        <v>4.1320566830892</v>
      </c>
      <c r="CQ19" s="260">
        <f>CR19*(1+$DD19+各项系数!$J$5+各项系数!$L$5)</f>
        <v>4.10189324182354</v>
      </c>
      <c r="CR19" s="260">
        <f t="shared" si="14"/>
        <v>4.02146396257209</v>
      </c>
      <c r="CS19" s="259">
        <f>CT19+各项系数!$M$9*$NU19</f>
        <v>4.36598729116129</v>
      </c>
      <c r="CT19" s="259">
        <f t="shared" si="15"/>
        <v>4.33388186690466</v>
      </c>
      <c r="CU19" s="260">
        <f>CV19+各项系数!$L$9*$NU19</f>
        <v>4.37854300556138</v>
      </c>
      <c r="CV19" s="260">
        <f>CW19*(1+$DD19+各项系数!$J$5+各项系数!$L$5)</f>
        <v>4.34643758130475</v>
      </c>
      <c r="CW19" s="262">
        <f t="shared" si="16"/>
        <v>4.26121331500465</v>
      </c>
      <c r="CX19" s="259">
        <f>CY19+各项系数!$M$9*$NU19</f>
        <v>4.63477845543434</v>
      </c>
      <c r="CY19" s="259">
        <f t="shared" si="17"/>
        <v>4.60267303117771</v>
      </c>
      <c r="CZ19" s="260">
        <f>DA19+各项系数!$L$9*$NU19</f>
        <v>4.65010409292555</v>
      </c>
      <c r="DA19" s="260">
        <f>DB19*(1+$DD19+各项系数!$J$5+各项系数!$L$5)</f>
        <v>4.61799866866891</v>
      </c>
      <c r="DB19" s="262">
        <f t="shared" si="18"/>
        <v>4.5274496751656</v>
      </c>
      <c r="DC19" s="277">
        <f t="shared" si="137"/>
        <v>0</v>
      </c>
      <c r="DD19" s="277">
        <f t="shared" si="19"/>
        <v>0</v>
      </c>
      <c r="DE19" s="69"/>
      <c r="DF19" s="69"/>
      <c r="DG19" s="259">
        <f>DH19+各项系数!$M$9*$NQ19</f>
        <v>4.0153005218682</v>
      </c>
      <c r="DH19" s="259">
        <f>DI19*(1+$EA19+(VLOOKUP($AM19,$A$12:$B$323,2,0))+各项系数!$J$6+各项系数!$M$5)*(1+$E$2)+各项系数!$M$9*$NK19</f>
        <v>3.98513708060254</v>
      </c>
      <c r="DI19" s="260">
        <f>DJ19+各项系数!$L$9*$NQ19</f>
        <v>3.99801014137429</v>
      </c>
      <c r="DJ19" s="260">
        <f>DK19*(1+$EB19+各项系数!$J$5+各项系数!$L$5)</f>
        <v>3.96784670010863</v>
      </c>
      <c r="DK19" s="260">
        <f t="shared" si="20"/>
        <v>3.85227834962003</v>
      </c>
      <c r="DL19" s="259">
        <f>DM19+各项系数!$M$9*$NQ19</f>
        <v>4.24057328646647</v>
      </c>
      <c r="DM19" s="259">
        <f>DN19*(1+$EA19+(VLOOKUP($AM19,$A$12:$B$323,2,0))+各项系数!$J$6+各项系数!$M$5)*(1+$E$2)+各项系数!$M$9*$NK19</f>
        <v>4.21040984520081</v>
      </c>
      <c r="DN19" s="260">
        <f>DO19+各项系数!$L$9*$NQ19</f>
        <v>4.22560436707471</v>
      </c>
      <c r="DO19" s="260">
        <f>DP19*(1+$EB19+各项系数!$J$5+各项系数!$L$5)</f>
        <v>4.19544092580905</v>
      </c>
      <c r="DP19" s="260">
        <f t="shared" si="21"/>
        <v>4.07324361729034</v>
      </c>
      <c r="DQ19" s="259">
        <f>DR19+各项系数!$M$9*$NV19</f>
        <v>4.44826495809048</v>
      </c>
      <c r="DR19" s="259">
        <f t="shared" si="22"/>
        <v>4.41615953383385</v>
      </c>
      <c r="DS19" s="260">
        <f>DT19+各项系数!$L$9*$NV19</f>
        <v>4.46166855307522</v>
      </c>
      <c r="DT19" s="260">
        <f>DU19*(1+$EB19+各项系数!$J$5+各项系数!$L$5)</f>
        <v>4.42956312881858</v>
      </c>
      <c r="DU19" s="262">
        <f t="shared" si="23"/>
        <v>4.30054672700833</v>
      </c>
      <c r="DV19" s="259">
        <f>DW19+各项系数!$M$9*$NV19</f>
        <v>4.58312197555912</v>
      </c>
      <c r="DW19" s="259">
        <f t="shared" si="24"/>
        <v>4.55101655130248</v>
      </c>
      <c r="DX19" s="260">
        <f>DY19+各项系数!$L$9*$NV19</f>
        <v>4.59791528723225</v>
      </c>
      <c r="DY19" s="260">
        <f>DZ19*(1+$EB19+各项系数!$J$5+各项系数!$L$5)</f>
        <v>4.56580986297561</v>
      </c>
      <c r="DZ19" s="262">
        <f t="shared" si="25"/>
        <v>4.43282510968506</v>
      </c>
      <c r="EA19" s="277">
        <f t="shared" si="26"/>
        <v>0</v>
      </c>
      <c r="EB19" s="277">
        <f t="shared" si="27"/>
        <v>0.01</v>
      </c>
      <c r="EC19" s="302">
        <f t="shared" si="138"/>
        <v>1</v>
      </c>
      <c r="ED19" s="302" t="str">
        <f t="shared" si="139"/>
        <v>1*6</v>
      </c>
      <c r="EE19" s="251">
        <f t="shared" si="28"/>
        <v>6</v>
      </c>
      <c r="EF19" s="251">
        <f>LOOKUP(EH19,{1,7,10,14,19,24,30,37,48,61},{1,"1+6","2+8","4+10","1+6+12","2+8+14","4+10+16","1+6+12+18","3+9+15+21","1+6+12+18+24"})</f>
        <v>1</v>
      </c>
      <c r="EG19" s="250">
        <f t="shared" si="29"/>
        <v>1</v>
      </c>
      <c r="EH19" s="260">
        <f>VLOOKUP(EE19,各项系数!$B$87:$C$110,2,0)</f>
        <v>1</v>
      </c>
      <c r="EI19" s="250">
        <f>IF(EH19=0,0,VLOOKUP(EH19,各项系数!$D$142:$E$195,2,0))*1</f>
        <v>1</v>
      </c>
      <c r="EJ19" s="305">
        <f t="shared" si="141"/>
        <v>267.425148012862</v>
      </c>
      <c r="EK19" s="251">
        <f t="shared" si="30"/>
        <v>0</v>
      </c>
      <c r="EL19" s="251">
        <f t="shared" si="31"/>
        <v>0</v>
      </c>
      <c r="EM19" s="251">
        <f t="shared" si="32"/>
        <v>0</v>
      </c>
      <c r="EN19" s="251">
        <f>IF(EP19=0,0,LOOKUP(EP19,{1,7,10,14,19,24,30,37,48,61},{1,"1+6","2+8","4+10","1+6+12","2+8+14","4+10+16","1+6+12+18","3+9+15+21","1+6+12+18+24"}))</f>
        <v>0</v>
      </c>
      <c r="EO19" s="251">
        <f t="shared" si="33"/>
        <v>0</v>
      </c>
      <c r="EP19" s="251">
        <f>IF(EM19=0,0,IF(EM19&lt;10,1,IF(AND(EM19&gt;=10,EM19&lt;=35),7,LOOKUP(EM19,{50,70,95,120,150,185,240,300},{10,14,19,24,30,37,48,61})*1)))</f>
        <v>0</v>
      </c>
      <c r="EQ19" s="251">
        <f>IF(EP19=0,0,VLOOKUP(EP19,各项系数!$D$142:$E$195,2,0))*1</f>
        <v>0</v>
      </c>
      <c r="ER19" s="251">
        <f t="shared" si="34"/>
        <v>0</v>
      </c>
      <c r="ES19" s="302">
        <f t="shared" si="35"/>
        <v>1</v>
      </c>
      <c r="ET19" s="251">
        <f>VLOOKUP(ES19,各项系数!$D$142:$E$195,2,0)*1</f>
        <v>1</v>
      </c>
      <c r="EU19" s="311">
        <f>((各项系数!$F$76/4*$EJ19^2*$EG19*$EH19*1*10^-7)*(1-$H19)*AA19)*(VLOOKUP($EY$9,各项系数!$D$4:$F$143,3,0))*各项系数!$J$4</f>
        <v>0.0496843042710296</v>
      </c>
      <c r="EV19" s="312">
        <f>EU19*(VLOOKUP($EY$9,各项系数!$D$4:$F$143,2,0))</f>
        <v>3.25432192975244</v>
      </c>
      <c r="EW19" s="324">
        <f>(IF($EO19=0,0,(各项系数!$F$76/4*$ER19^2*$EO19*$EP19*1*10^-7))*(1-$K19)*$AF19)*(VLOOKUP($EY$9,各项系数!$D$4:$F$143,3,0))*各项系数!$J$4</f>
        <v>0</v>
      </c>
      <c r="EX19" s="325">
        <f>EW19*(VLOOKUP($EY$9,各项系数!$D$4:$F$143,2,0))</f>
        <v>0</v>
      </c>
      <c r="EY19" s="251">
        <f>((各项系数!$F$76/4*$EJ19^2*$EG19*$EH19*1*10^-7)*(1-$H19)*AA19+IF($EO19=0,0,(各项系数!$F$76/4*$ER19^2*$EO19*$EP19*1*10^-7))*(1-$K19)*$AF19)*(VLOOKUP($EY$9,各项系数!$D$4:$F$143,3,0))*各项系数!$J$4</f>
        <v>0.0496843042710296</v>
      </c>
      <c r="EZ19" s="123">
        <v>1</v>
      </c>
      <c r="FA19" s="251">
        <f t="shared" si="36"/>
        <v>0.0496843042710296</v>
      </c>
      <c r="FB19" s="326">
        <f>FA19*(VLOOKUP($EY$9,各项系数!$D$4:$F$143,2,0))</f>
        <v>3.25432192975244</v>
      </c>
      <c r="FC19" s="327"/>
      <c r="FD19" s="302">
        <f>各项系数!$F$76/4*($MN19^2-MK19^2)*10^-2*(VLOOKUP(L19,各项系数!$D$1:$F$143,3,0))*10^-3*10^2*$EG19*各项系数!$J$4</f>
        <v>0.00812159120282342</v>
      </c>
      <c r="FE19" s="339">
        <f>FD19*VLOOKUP(L19,各项系数!$D$1:$F$143,2,0)</f>
        <v>0.0828402302687989</v>
      </c>
      <c r="FF19" s="250">
        <f>各项系数!$F$76/4*($MO19^2-ML19^2)*10^-2*(VLOOKUP(L19,各项系数!$D$1:$F$143,3,0))*10^-3*10^2*$EO19*各项系数!$J$4</f>
        <v>0</v>
      </c>
      <c r="FG19" s="339">
        <f>FF19*VLOOKUP(L19,各项系数!$D$1:$F$143,2,0)</f>
        <v>0</v>
      </c>
      <c r="FH19" s="302">
        <f t="shared" si="142"/>
        <v>0.00812159120282342</v>
      </c>
      <c r="FI19" s="123">
        <v>1</v>
      </c>
      <c r="FJ19" s="251">
        <f t="shared" si="37"/>
        <v>0.00812159120282342</v>
      </c>
      <c r="FK19" s="339">
        <f>FJ19*VLOOKUP(L19,各项系数!$D$1:$F$143,2,0)</f>
        <v>0.0828402302687989</v>
      </c>
      <c r="FL19" s="302"/>
      <c r="FM19" s="123"/>
      <c r="FN19" s="251"/>
      <c r="FO19" s="339"/>
      <c r="FP19" s="364">
        <f t="shared" si="38"/>
        <v>0.00812159120282342</v>
      </c>
      <c r="FQ19" s="364">
        <f t="shared" si="39"/>
        <v>0.0828402302687989</v>
      </c>
      <c r="FR19" s="365">
        <f>各项系数!$F$76/4*($MQ19^2-$MN19^2*$EG19-$MO19^2*$EO19)*10^-2</f>
        <v>0</v>
      </c>
      <c r="FS19" s="366">
        <f t="shared" si="143"/>
        <v>1</v>
      </c>
      <c r="FT19" s="367">
        <f t="shared" si="40"/>
        <v>0</v>
      </c>
      <c r="FU19" s="388">
        <f>$FT19*(VLOOKUP($FT$9,各项系数!$D$1:$F$143,3,0))*10^-3*10^2*各项系数!$J$55</f>
        <v>0</v>
      </c>
      <c r="FV19" s="389">
        <v>1</v>
      </c>
      <c r="FW19" s="390">
        <f t="shared" si="41"/>
        <v>0</v>
      </c>
      <c r="FX19" s="367">
        <f>FW19*(VLOOKUP($FT$9,各项系数!$D$1:$F$143,2,0))</f>
        <v>0</v>
      </c>
      <c r="FY19" s="388">
        <f>IF($BK19&lt;&gt;$FY$9,0,各项系数!$F$76/4*($MS19^2-$MQ19^2)*10^-2*(VLOOKUP($FY$9,各项系数!$D$1:$F$143,3,0))*10^-3*10^2)*各项系数!$J$4</f>
        <v>0</v>
      </c>
      <c r="FZ19" s="389">
        <v>1</v>
      </c>
      <c r="GA19" s="390">
        <f t="shared" si="42"/>
        <v>0</v>
      </c>
      <c r="GB19" s="367">
        <f>GA19*(VLOOKUP($FY$9,各项系数!$D$1:$F$143,2,0))</f>
        <v>0</v>
      </c>
      <c r="GC19" s="388">
        <f>IF($BK19&lt;&gt;$GC$9,0,各项系数!$F$76/4*($MS19^2-$MQ19^2)*10^-2*(VLOOKUP($GC$9,各项系数!$D$1:$F$143,3,0))*10^-3*10^2)*各项系数!$J$4</f>
        <v>0</v>
      </c>
      <c r="GD19" s="389">
        <v>1</v>
      </c>
      <c r="GE19" s="390">
        <f t="shared" si="43"/>
        <v>0</v>
      </c>
      <c r="GF19" s="367">
        <f>GE19*(VLOOKUP($GC$9,各项系数!$D$1:$F$143,2,0))</f>
        <v>0</v>
      </c>
      <c r="GG19" s="388">
        <f>IF($BK19&lt;&gt;$GG$9,0,各项系数!$F$76/4*($MS19^2-$MQ19^2)*10^-2*(VLOOKUP($GG$9,各项系数!$D$1:$F$143,3,0))*10^-3*10^2)*各项系数!$J$4</f>
        <v>0</v>
      </c>
      <c r="GH19" s="389">
        <v>1</v>
      </c>
      <c r="GI19" s="390">
        <f t="shared" si="44"/>
        <v>0</v>
      </c>
      <c r="GJ19" s="367">
        <f>GI19*(VLOOKUP($GG$9,各项系数!$D$1:$F$143,2,0))</f>
        <v>0</v>
      </c>
      <c r="GK19" s="388">
        <f>IF($BK19&lt;&gt;$GK$9,0,各项系数!$F$76/4*($MS19^2-$MQ19^2)*10^-2*(VLOOKUP($GK$9,各项系数!$D$1:$F$143,3,0))*10^-3*10^2)*各项系数!$J$4</f>
        <v>0</v>
      </c>
      <c r="GL19" s="389">
        <v>1</v>
      </c>
      <c r="GM19" s="390">
        <f t="shared" si="45"/>
        <v>0</v>
      </c>
      <c r="GN19" s="367">
        <f>GM19*(VLOOKUP($GK$9,各项系数!$D$1:$F$143,2,0))</f>
        <v>0</v>
      </c>
      <c r="GO19" s="390">
        <f t="shared" si="46"/>
        <v>0</v>
      </c>
      <c r="GP19" s="390">
        <f t="shared" si="47"/>
        <v>0</v>
      </c>
      <c r="GQ19" s="406">
        <f>各项系数!$F$76/4*($MU19^2-$MS19^2)*10^-2*(VLOOKUP($S19,各项系数!$D$1:$F$143,3,0))*10^-3*10^2*各项系数!$J$4</f>
        <v>0.0208963182007669</v>
      </c>
      <c r="GR19" s="389">
        <v>1</v>
      </c>
      <c r="GS19" s="390">
        <f t="shared" si="48"/>
        <v>0.0208963182007669</v>
      </c>
      <c r="GT19" s="390">
        <f t="shared" si="49"/>
        <v>1</v>
      </c>
      <c r="GU19" s="390">
        <f>ROUND($GS19*(VLOOKUP($S19,各项系数!$D$1:$F$143,2,0))+$E$3*GS19,GT19)</f>
        <v>0.2</v>
      </c>
      <c r="GV19" s="406">
        <f>各项系数!$F$76/4*($MT19^2-$MS19^2)*10^-2*(VLOOKUP($GV$9,各项系数!$D$1:$F$143,3,0))*10^-3*10^2*各项系数!$J$4*PI()/4*R19</f>
        <v>0.00580279666824724</v>
      </c>
      <c r="GW19" s="389">
        <v>1</v>
      </c>
      <c r="GX19" s="390">
        <f t="shared" si="50"/>
        <v>0.00580279666824724</v>
      </c>
      <c r="GY19" s="390">
        <f>$GX19*(VLOOKUP($GV$9,各项系数!$D$1:$F$143,2,0))</f>
        <v>0.391688775106689</v>
      </c>
      <c r="GZ19" s="406">
        <f>各项系数!$F$76/4*($MV19^2-$MS19^2)*10^-2*(VLOOKUP($GZ$9,各项系数!$D$1:$F$143,3,0))*10^-3*10^2*各项系数!$J$4</f>
        <v>0.0347371141513765</v>
      </c>
      <c r="HA19" s="389">
        <v>1</v>
      </c>
      <c r="HB19" s="390">
        <f t="shared" si="144"/>
        <v>0.0347371141513765</v>
      </c>
      <c r="HC19" s="390">
        <f>HB19*(VLOOKUP($GZ$9,各项系数!$D$1:$F$143,2,0))</f>
        <v>0.5905309405734</v>
      </c>
      <c r="HD19" s="406">
        <f>各项系数!$F$76/4*($MW19^2-$MT19^2)*10^-2*(VLOOKUP($HD$9,各项系数!$D$1:$F$143,3,0))*10^-3*10^2*各项系数!$J$4</f>
        <v>0.035752401498793</v>
      </c>
      <c r="HE19" s="389">
        <v>1</v>
      </c>
      <c r="HF19" s="390">
        <f t="shared" si="145"/>
        <v>0.035752401498793</v>
      </c>
      <c r="HG19" s="390">
        <f>HF19*(VLOOKUP($HD$9,各项系数!$D$1:$F$143,2,0))</f>
        <v>0.607790825479481</v>
      </c>
      <c r="HH19" s="406">
        <f>各项系数!$F$76/4*($MV19^2-$MS19^2)*10^-2*(VLOOKUP($HH$9,各项系数!$D$1:$F$143,3,0))*10^-3*10^2*各项系数!$J$4</f>
        <v>0.0347371141513765</v>
      </c>
      <c r="HI19" s="420">
        <v>1</v>
      </c>
      <c r="HJ19" s="390">
        <f t="shared" si="146"/>
        <v>0.0347371141513765</v>
      </c>
      <c r="HK19" s="390">
        <f>HJ19*(VLOOKUP($HH$9,各项系数!$D$1:$F$143,2,0))</f>
        <v>0.5905309405734</v>
      </c>
      <c r="HL19" s="406">
        <f>各项系数!$F$76/4*($MW19^2-$MT19^2)*10^-2*(VLOOKUP($HL$9,各项系数!$D$1:$F$143,3,0))*10^-3*10^2*各项系数!$J$4</f>
        <v>0.035752401498793</v>
      </c>
      <c r="HM19" s="420">
        <v>1</v>
      </c>
      <c r="HN19" s="390">
        <f t="shared" si="147"/>
        <v>0.035752401498793</v>
      </c>
      <c r="HO19" s="390">
        <f>HN19*(VLOOKUP($HL$9,各项系数!$D$1:$F$143,2,0))</f>
        <v>0.607790825479481</v>
      </c>
      <c r="HP19" s="406">
        <f>各项系数!$F$76/4*($MV19^2-$MS19^2)*10^-2*(VLOOKUP(AN19,各项系数!$D$1:$F$143,3,0))*10^-3*10^2*各项系数!$J$4</f>
        <v>0.035216246760361</v>
      </c>
      <c r="HQ19" s="389">
        <v>1</v>
      </c>
      <c r="HR19" s="390">
        <f t="shared" si="172"/>
        <v>0.035216246760361</v>
      </c>
      <c r="HS19" s="390">
        <f>HR19*(VLOOKUP(AN19,各项系数!$D$1:$F$143,2,0))</f>
        <v>0.35216246760361</v>
      </c>
      <c r="HT19" s="406">
        <f>各项系数!$F$76/4*($MW19^2-$MT19^2)*10^-2*(VLOOKUP(AN19,各项系数!$D$1:$F$143,3,0))*10^-3*10^2*各项系数!$J$4</f>
        <v>0.0362455380711902</v>
      </c>
      <c r="HU19" s="389">
        <v>1</v>
      </c>
      <c r="HV19" s="390">
        <f t="shared" si="173"/>
        <v>0.0362455380711902</v>
      </c>
      <c r="HW19" s="390">
        <f>HV19*(VLOOKUP(AN19,各项系数!$D$1:$F$143,2,0))</f>
        <v>0.362455380711902</v>
      </c>
      <c r="HX19" s="406">
        <f>各项系数!$F$76/4*($MV19^2-$MS19^2)*10^-2*(VLOOKUP($HX$9,各项系数!$D$1:$F$143,3,0))*10^-3*10^2*各项系数!$J$4</f>
        <v>0.035216246760361</v>
      </c>
      <c r="HY19" s="420">
        <v>1</v>
      </c>
      <c r="HZ19" s="390">
        <f t="shared" si="174"/>
        <v>0.035216246760361</v>
      </c>
      <c r="IA19" s="390">
        <f>HZ19*(VLOOKUP($HX$9,各项系数!$D$1:$F$143,2,0))</f>
        <v>0.387378714363971</v>
      </c>
      <c r="IB19" s="406">
        <f>各项系数!$F$76/4*($MW19^2-$MT19^2)*10^-2*(VLOOKUP($IB$9,各项系数!$D$1:$F$143,3,0))*10^-3*10^2*各项系数!$J$4</f>
        <v>0.0362455380711902</v>
      </c>
      <c r="IC19" s="420">
        <v>1</v>
      </c>
      <c r="ID19" s="390">
        <f t="shared" si="58"/>
        <v>0.0362455380711902</v>
      </c>
      <c r="IE19" s="390">
        <f>ID19*(VLOOKUP($IB$9,各项系数!$D$1:$F$143,2,0))</f>
        <v>0.398700918783092</v>
      </c>
      <c r="IF19" s="429"/>
      <c r="IG19" s="406">
        <f t="shared" si="148"/>
        <v>0.00327946107062872</v>
      </c>
      <c r="IH19" s="389">
        <v>1</v>
      </c>
      <c r="II19" s="390">
        <f t="shared" si="59"/>
        <v>0.00327946107062872</v>
      </c>
      <c r="IJ19" s="390">
        <f>II19*(VLOOKUP($IG$8,各项系数!$D$1:$F$143,2,0))</f>
        <v>0.0819865267657179</v>
      </c>
      <c r="IK19" s="406">
        <f>(各项系数!$F$76/4*($MX19^2-$MK19^2)*$EG19)*10^-2*(VLOOKUP($IG$8,各项系数!$D$1:$F$143,3,0))*10^-3*10^2*各项系数!$J$4</f>
        <v>0.00327946107062872</v>
      </c>
      <c r="IL19" s="389">
        <f>IK19*(VLOOKUP($IG$8,各项系数!$D$1:$F$143,2,0))</f>
        <v>0.0819865267657179</v>
      </c>
      <c r="IM19" s="390">
        <f>(各项系数!$F$76/4*(($MM19+3*$X19)^2-MM19^2)*$EO19)*10^-2*(VLOOKUP($IG$8,各项系数!$D$1:$F$143,3,0))*10^-3*10^2*各项系数!$J$4</f>
        <v>0</v>
      </c>
      <c r="IN19" s="389">
        <f>IM19*(VLOOKUP($IG$8,各项系数!$D$1:$F$143,2,0))</f>
        <v>0</v>
      </c>
      <c r="IO19" s="406">
        <f>各项系数!$F$76/4*($MZ19^2-$MX19^2)*10^-2*(VLOOKUP(L19,各项系数!$D$1:$F$143,3,0))*10^-3*10^2*$ES19*各项系数!$J$4</f>
        <v>0.00927691818436637</v>
      </c>
      <c r="IP19" s="389">
        <v>1</v>
      </c>
      <c r="IQ19" s="390">
        <f t="shared" si="60"/>
        <v>0.00927691818436637</v>
      </c>
      <c r="IR19" s="367">
        <f>IQ19*(VLOOKUP(L19,各项系数!$D$1:$F$143,2,0))</f>
        <v>0.0946245654805369</v>
      </c>
      <c r="IS19" s="406">
        <f>IF($L19&lt;&gt;$IS$9,0,各项系数!$F$76/4*($MZ19^2-$MX19^2)*10^-2*各项系数!$F$12*10^-3*10^2)*$ES19*各项系数!$J$4</f>
        <v>0</v>
      </c>
      <c r="IT19" s="389">
        <v>1</v>
      </c>
      <c r="IU19" s="390">
        <f t="shared" si="61"/>
        <v>0</v>
      </c>
      <c r="IV19" s="367">
        <f>IU19*各项系数!$E$12</f>
        <v>0</v>
      </c>
      <c r="IW19" s="388">
        <f t="shared" si="62"/>
        <v>0.00927691818436637</v>
      </c>
      <c r="IX19" s="388">
        <f t="shared" si="63"/>
        <v>0.0946245654805369</v>
      </c>
      <c r="IY19" s="447">
        <f>各项系数!$F$76/4*($NB19^2-$MZ19^2*$EG19-$NA19^2*$EO19)*10^-2</f>
        <v>0</v>
      </c>
      <c r="IZ19" s="366">
        <f t="shared" si="149"/>
        <v>1</v>
      </c>
      <c r="JA19" s="367">
        <f t="shared" si="64"/>
        <v>0</v>
      </c>
      <c r="JB19" s="364">
        <f>IF($DE19&lt;&gt;$JB$9,0,$JA19*各项系数!$F$32*10^-3*10^2)*各项系数!$J$4</f>
        <v>0</v>
      </c>
      <c r="JC19" s="123">
        <v>1</v>
      </c>
      <c r="JD19" s="251">
        <f t="shared" si="65"/>
        <v>0</v>
      </c>
      <c r="JE19" s="339">
        <f>JD19*各项系数!$E$32</f>
        <v>0</v>
      </c>
      <c r="JF19" s="364">
        <f>IF($DE19&lt;&gt;$JF$9,0,$JA19*VLOOKUP($JF$9,各项系数!$D$4:$F$540,2,0)*10^-3*10^2)*各项系数!$J$4</f>
        <v>0</v>
      </c>
      <c r="JG19" s="123">
        <v>1</v>
      </c>
      <c r="JH19" s="251">
        <f t="shared" si="66"/>
        <v>0</v>
      </c>
      <c r="JI19" s="339">
        <f>JH19*VLOOKUP($JF$9,各项系数!$D$4:$F$540,3,0)</f>
        <v>0</v>
      </c>
      <c r="JJ19" s="364">
        <f t="shared" si="67"/>
        <v>0</v>
      </c>
      <c r="JK19" s="251">
        <f t="shared" si="68"/>
        <v>0</v>
      </c>
      <c r="JL19" s="364">
        <f>IF($DF19&lt;&gt;$JL$9,0,各项系数!$F$76/4*($NE19^2-$NC19^2)*10^-2*各项系数!$F$39*10^-3*10^2)*各项系数!$J$4</f>
        <v>0</v>
      </c>
      <c r="JM19" s="123">
        <v>1</v>
      </c>
      <c r="JN19" s="251">
        <f t="shared" si="69"/>
        <v>0</v>
      </c>
      <c r="JO19" s="339">
        <f>JN19*各项系数!$E$39</f>
        <v>0</v>
      </c>
      <c r="JP19" s="364">
        <f>IF($DF19&lt;&gt;$JP$9,0,各项系数!$F$76/4*($NE19^2-$NC19^2)*10^-2*各项系数!$F$36*10^-3*10^2)*各项系数!$J$4</f>
        <v>0</v>
      </c>
      <c r="JQ19" s="123">
        <v>1</v>
      </c>
      <c r="JR19" s="251">
        <f t="shared" si="70"/>
        <v>0</v>
      </c>
      <c r="JS19" s="339">
        <f>JR19*各项系数!$E$36</f>
        <v>0</v>
      </c>
      <c r="JT19" s="364">
        <f>IF($DF19&lt;&gt;$JT$9,0,各项系数!$F$76/4*($NE19^2-$NC19^2)*10^-2*各项系数!$F$40*10^-3*10^2)*各项系数!$J$4</f>
        <v>0</v>
      </c>
      <c r="JU19" s="123">
        <v>1</v>
      </c>
      <c r="JV19" s="251">
        <f t="shared" si="71"/>
        <v>0</v>
      </c>
      <c r="JW19" s="339">
        <f>JV19*各项系数!$E$40</f>
        <v>0</v>
      </c>
      <c r="JX19" s="364">
        <f>IF($DF19&lt;&gt;$JX$9,0,各项系数!$F$76/4*($NE19^2-$NC19^2)*10^-2*各项系数!$F$38*10^-3*10^2)*各项系数!$J$4</f>
        <v>0</v>
      </c>
      <c r="JY19" s="123">
        <v>1</v>
      </c>
      <c r="JZ19" s="251">
        <f t="shared" si="72"/>
        <v>0</v>
      </c>
      <c r="KA19" s="339">
        <f>JZ19*各项系数!$E$38</f>
        <v>0</v>
      </c>
      <c r="KB19" s="364">
        <f>IF($DF19&lt;&gt;$KB$9,0,各项系数!$F$76/4*($NE19^2-$NC19^2)*10^-2*各项系数!$F$41*10^-3*10^2)*各项系数!$J$4</f>
        <v>0</v>
      </c>
      <c r="KC19" s="123">
        <v>1</v>
      </c>
      <c r="KD19" s="251">
        <f t="shared" si="73"/>
        <v>0</v>
      </c>
      <c r="KE19" s="339">
        <f>KD19*各项系数!$E$41</f>
        <v>0</v>
      </c>
      <c r="KF19" s="251">
        <f t="shared" si="74"/>
        <v>0</v>
      </c>
      <c r="KG19" s="251">
        <f t="shared" si="75"/>
        <v>0</v>
      </c>
      <c r="KH19" s="302">
        <f>各项系数!$F$76/4*($NG19^2-$NE19^2)*10^-2*各项系数!$F$44*10^-3*10^2*各项系数!$J$4*0.75*$U19</f>
        <v>0.0348644735332281</v>
      </c>
      <c r="KI19" s="123">
        <v>1</v>
      </c>
      <c r="KJ19" s="251">
        <f t="shared" si="76"/>
        <v>0.0348644735332281</v>
      </c>
      <c r="KK19" s="251">
        <f>ROUND(KJ19*各项系数!$E$44,GT19)</f>
        <v>0.4</v>
      </c>
      <c r="KL19" s="302">
        <f>各项系数!$F$76/4*($NF19^2-$NE19^2)*10^-2*各项系数!$F$46*10^-3*10^2*各项系数!$J$4*PI()/4*R19</f>
        <v>0.00647327663658047</v>
      </c>
      <c r="KM19" s="123">
        <v>1</v>
      </c>
      <c r="KN19" s="251">
        <f t="shared" si="77"/>
        <v>0.00647327663658047</v>
      </c>
      <c r="KO19" s="251">
        <f>KN19*各项系数!$E$46</f>
        <v>0.436946172969182</v>
      </c>
      <c r="KP19" s="302">
        <f>各项系数!$F$76/4*($NH19^2-$NE19^2)*10^-2*(VLOOKUP($KP$9,各项系数!$D$1:$F$143,3,0))*10^-3*10^2*各项系数!$J$4</f>
        <v>0.0377829761936261</v>
      </c>
      <c r="KQ19" s="123">
        <v>1</v>
      </c>
      <c r="KR19" s="251">
        <f t="shared" si="150"/>
        <v>0.0377829761936261</v>
      </c>
      <c r="KS19" s="251">
        <f>KR19*(VLOOKUP($KP$9,各项系数!$D$1:$F$143,2,0))</f>
        <v>0.642310595291643</v>
      </c>
      <c r="KT19" s="302">
        <f>各项系数!$F$76/4*($NI19^2-$NF19^2)*10^-2*(VLOOKUP($KT$9,各项系数!$D$1:$F$143,3,0))*10^-3*10^2*各项系数!$J$4</f>
        <v>0.0387982635410426</v>
      </c>
      <c r="KU19" s="123">
        <v>1</v>
      </c>
      <c r="KV19" s="251">
        <f t="shared" si="151"/>
        <v>0.0387982635410426</v>
      </c>
      <c r="KW19" s="251">
        <f>KV19*(VLOOKUP($KT$9,各项系数!$D$1:$F$143,2,0))</f>
        <v>0.659570480197724</v>
      </c>
      <c r="KX19" s="251">
        <f>各项系数!$F$76/4*($NH19^2-$NE19^2)*10^-2*(VLOOKUP($KX$9,各项系数!$D$1:$F$143,3,0))*10^-3*10^2*各项系数!$J$4</f>
        <v>0.0377829761936261</v>
      </c>
      <c r="KY19" s="479">
        <v>1</v>
      </c>
      <c r="KZ19" s="251">
        <f t="shared" si="152"/>
        <v>0.0377829761936261</v>
      </c>
      <c r="LA19" s="251">
        <f>KZ19*(VLOOKUP($KX$9,各项系数!$D$1:$F$143,2,0))</f>
        <v>0.642310595291643</v>
      </c>
      <c r="LB19" s="251">
        <f>各项系数!$F$76/4*($NI19^2-$NF19^2)*10^-2*(VLOOKUP($LB$9,各项系数!$D$1:$F$143,3,0))*10^-3*10^2*各项系数!$J$4</f>
        <v>0.0387982635410426</v>
      </c>
      <c r="LC19" s="479">
        <v>1</v>
      </c>
      <c r="LD19" s="251">
        <f t="shared" si="153"/>
        <v>0.0387982635410426</v>
      </c>
      <c r="LE19" s="251">
        <f>LD19*(VLOOKUP($LB$9,各项系数!$D$1:$F$143,2,0))</f>
        <v>0.659570480197724</v>
      </c>
      <c r="LF19" s="302">
        <f>各项系数!$F$76/4*($NH19^2-$NE19^2)*10^-2*(VLOOKUP(AN19,各项系数!$D$1:$F$143,3,0))*10^-3*10^2*各项系数!$J$4</f>
        <v>0.0383041206928485</v>
      </c>
      <c r="LG19" s="123">
        <v>1</v>
      </c>
      <c r="LH19" s="251">
        <f t="shared" si="82"/>
        <v>0.0383041206928485</v>
      </c>
      <c r="LI19" s="251">
        <f>LH19*(VLOOKUP(AN19,各项系数!$D$1:$F$143,2,0))</f>
        <v>0.383041206928485</v>
      </c>
      <c r="LJ19" s="302">
        <f>各项系数!$F$76/4*($NI19^2-$NF19^2)*10^-2*(VLOOKUP(AN19,各项系数!$D$1:$F$143,3,0))*10^-3*10^2*各项系数!$J$4</f>
        <v>0.0393334120036777</v>
      </c>
      <c r="LK19" s="123">
        <v>1</v>
      </c>
      <c r="LL19" s="251">
        <f t="shared" si="83"/>
        <v>0.0393334120036777</v>
      </c>
      <c r="LM19" s="251">
        <f>LL19*(VLOOKUP(AN19,各项系数!$D$1:$F$143,2,0))</f>
        <v>0.393334120036777</v>
      </c>
      <c r="LN19" s="251">
        <f>各项系数!$F$76/4*($NH19^2-$NE19^2)*10^-2*(VLOOKUP($LN$9,各项系数!$D$1:$F$143,3,0))*10^-3*10^2*各项系数!$J$4</f>
        <v>0.0383041206928485</v>
      </c>
      <c r="LO19" s="479">
        <v>1</v>
      </c>
      <c r="LP19" s="251">
        <f t="shared" si="84"/>
        <v>0.0383041206928485</v>
      </c>
      <c r="LQ19" s="251">
        <f>LP19*(VLOOKUP($LN$9,各项系数!$D$1:$F$143,2,0))</f>
        <v>0.421345327621333</v>
      </c>
      <c r="LR19" s="251">
        <f>各项系数!$F$76/4*($NI19^2-$NF19^2)*10^-2*(VLOOKUP($LR$9,各项系数!$D$1:$F$143,3,0))*10^-3*10^2*各项系数!$J$4</f>
        <v>0.0393334120036777</v>
      </c>
      <c r="LS19" s="479">
        <v>1</v>
      </c>
      <c r="LT19" s="251">
        <f t="shared" si="85"/>
        <v>0.0393334120036777</v>
      </c>
      <c r="LU19" s="251">
        <f>LT19*(VLOOKUP($LR$9,各项系数!$D$1:$F$143,2,0))</f>
        <v>0.432667532040454</v>
      </c>
      <c r="LV19" s="499">
        <f t="shared" si="154"/>
        <v>5.61686998</v>
      </c>
      <c r="LW19" s="499">
        <f t="shared" si="155"/>
        <v>5.61686998</v>
      </c>
      <c r="LX19" s="499">
        <f t="shared" si="156"/>
        <v>2.67425147960542</v>
      </c>
      <c r="LY19" s="515">
        <f t="shared" si="157"/>
        <v>0</v>
      </c>
      <c r="LZ19" s="516">
        <f t="shared" si="86"/>
        <v>1</v>
      </c>
      <c r="MA19" s="517">
        <f t="shared" si="87"/>
        <v>5.61686998</v>
      </c>
      <c r="MB19" s="517">
        <f t="shared" si="158"/>
        <v>2.67425148</v>
      </c>
      <c r="MC19" s="499">
        <f t="shared" si="159"/>
        <v>0</v>
      </c>
      <c r="MD19" s="499">
        <f t="shared" si="160"/>
        <v>0</v>
      </c>
      <c r="ME19" s="499">
        <f t="shared" si="161"/>
        <v>0</v>
      </c>
      <c r="MF19" s="499">
        <f t="shared" si="162"/>
        <v>0</v>
      </c>
      <c r="MG19" s="516">
        <f t="shared" si="163"/>
        <v>1</v>
      </c>
      <c r="MH19" s="517">
        <f t="shared" si="88"/>
        <v>0</v>
      </c>
      <c r="MI19" s="517">
        <f t="shared" si="164"/>
        <v>0</v>
      </c>
      <c r="MJ19" s="251">
        <f t="shared" si="89"/>
        <v>2.67425148</v>
      </c>
      <c r="MK19" s="251">
        <f t="shared" si="165"/>
        <v>2.67425148</v>
      </c>
      <c r="ML19" s="251">
        <f t="shared" si="90"/>
        <v>0</v>
      </c>
      <c r="MM19" s="251">
        <f t="shared" si="91"/>
        <v>0</v>
      </c>
      <c r="MN19" s="251">
        <f t="shared" si="92"/>
        <v>4.07425148</v>
      </c>
      <c r="MO19" s="251">
        <f t="shared" si="166"/>
        <v>0</v>
      </c>
      <c r="MP19" s="251">
        <f t="shared" si="167"/>
        <v>4.07425148</v>
      </c>
      <c r="MQ19" s="251">
        <f t="shared" si="93"/>
        <v>4.07425148</v>
      </c>
      <c r="MR19" s="314">
        <f t="shared" si="168"/>
        <v>4.07425148</v>
      </c>
      <c r="MS19" s="530">
        <f t="shared" si="94"/>
        <v>4.07425148</v>
      </c>
      <c r="MT19" s="530">
        <f t="shared" si="95"/>
        <v>4.23425148</v>
      </c>
      <c r="MU19" s="530">
        <f t="shared" si="96"/>
        <v>4.47425148</v>
      </c>
      <c r="MV19" s="530">
        <f t="shared" si="97"/>
        <v>6.87425148</v>
      </c>
      <c r="MW19" s="530">
        <f t="shared" si="98"/>
        <v>7.03425148</v>
      </c>
      <c r="MX19" s="326">
        <f t="shared" si="99"/>
        <v>3.15425148</v>
      </c>
      <c r="MY19" s="326">
        <f t="shared" si="100"/>
        <v>0</v>
      </c>
      <c r="MZ19" s="251">
        <f t="shared" si="101"/>
        <v>4.55425148</v>
      </c>
      <c r="NA19" s="251">
        <f t="shared" si="102"/>
        <v>0</v>
      </c>
      <c r="NB19" s="251">
        <f t="shared" si="169"/>
        <v>4.55425148</v>
      </c>
      <c r="NC19" s="326">
        <f t="shared" si="103"/>
        <v>4.55425148</v>
      </c>
      <c r="ND19" s="314">
        <f t="shared" si="104"/>
        <v>4.55425148</v>
      </c>
      <c r="NE19" s="537">
        <f t="shared" si="105"/>
        <v>4.55425148</v>
      </c>
      <c r="NF19" s="530">
        <f t="shared" si="106"/>
        <v>4.71425148</v>
      </c>
      <c r="NG19" s="538">
        <f t="shared" si="107"/>
        <v>4.95425148</v>
      </c>
      <c r="NH19" s="326">
        <f t="shared" si="108"/>
        <v>7.35425148</v>
      </c>
      <c r="NI19" s="530">
        <f t="shared" si="109"/>
        <v>7.51425148</v>
      </c>
      <c r="NK19" s="539">
        <f t="shared" si="110"/>
        <v>0.093022142234214</v>
      </c>
      <c r="NL19" s="539">
        <f t="shared" si="111"/>
        <v>3.68932462762485</v>
      </c>
      <c r="NM19" s="539">
        <f t="shared" si="112"/>
        <v>0.093022142234214</v>
      </c>
      <c r="NN19" s="539">
        <f t="shared" si="113"/>
        <v>3.72454087438521</v>
      </c>
      <c r="NO19" s="539">
        <f t="shared" si="114"/>
        <v>0.100544804218873</v>
      </c>
      <c r="NP19" s="539">
        <f t="shared" si="115"/>
        <v>3.81397422892718</v>
      </c>
      <c r="NQ19" s="539">
        <f t="shared" si="116"/>
        <v>0.100544804218873</v>
      </c>
      <c r="NR19" s="539">
        <f t="shared" si="117"/>
        <v>3.85227834962003</v>
      </c>
      <c r="NS19" s="539">
        <f t="shared" si="118"/>
        <v>0.0988249389024612</v>
      </c>
      <c r="NT19" s="539">
        <f t="shared" si="119"/>
        <v>0.0988249389024612</v>
      </c>
      <c r="NU19" s="539">
        <f t="shared" si="120"/>
        <v>0.107018080855454</v>
      </c>
      <c r="NV19" s="539">
        <f t="shared" si="121"/>
        <v>0.107018080855454</v>
      </c>
      <c r="NW19">
        <f t="shared" si="122"/>
        <v>0.113918460434981</v>
      </c>
      <c r="NX19">
        <f>各项系数!$M$9*NK19</f>
        <v>0.0279066426702642</v>
      </c>
      <c r="NY19">
        <f t="shared" si="123"/>
        <v>0.0988249389024612</v>
      </c>
      <c r="OB19" s="82" t="str">
        <f t="shared" si="124"/>
        <v>1*6</v>
      </c>
      <c r="OC19" s="546">
        <f t="shared" si="125"/>
        <v>267.425148012862</v>
      </c>
      <c r="OD19" s="546">
        <f>SQRT(4*EY19/PI()/EH19/各项系数!$J$4/各项系数!$F$5*10000000)</f>
        <v>267.425148012862</v>
      </c>
      <c r="OE19" s="547">
        <f t="shared" si="126"/>
        <v>5.61686998219779</v>
      </c>
      <c r="OF19" s="547">
        <f t="shared" si="127"/>
        <v>5.61686998219778</v>
      </c>
      <c r="OG19" s="82"/>
      <c r="OH19" s="548"/>
    </row>
    <row r="20" customHeight="1" spans="1:398">
      <c r="A20" s="66">
        <v>10</v>
      </c>
      <c r="B20" s="67">
        <v>0</v>
      </c>
      <c r="C20" s="68">
        <v>0.7</v>
      </c>
      <c r="D20" s="69" t="s">
        <v>129</v>
      </c>
      <c r="E20" s="77">
        <f t="shared" ref="E20:E29" si="175">MV20</f>
        <v>8.13390885</v>
      </c>
      <c r="F20" s="75">
        <v>131.130294998433</v>
      </c>
      <c r="G20" s="74"/>
      <c r="H20" s="23"/>
      <c r="I20" s="78"/>
      <c r="J20" s="23"/>
      <c r="K20" s="23"/>
      <c r="L20" s="118" t="s">
        <v>467</v>
      </c>
      <c r="M20" s="119">
        <f t="shared" si="2"/>
        <v>0.7</v>
      </c>
      <c r="N20" s="119">
        <f t="shared" si="3"/>
        <v>0</v>
      </c>
      <c r="O20" s="123"/>
      <c r="P20" s="120">
        <v>0.1</v>
      </c>
      <c r="Q20" s="162">
        <f t="shared" si="170"/>
        <v>0.1</v>
      </c>
      <c r="R20" s="169">
        <v>0.8</v>
      </c>
      <c r="S20" s="161" t="s">
        <v>521</v>
      </c>
      <c r="T20" s="123">
        <v>0.2</v>
      </c>
      <c r="U20" s="123">
        <v>2</v>
      </c>
      <c r="V20" s="169"/>
      <c r="W20" s="170">
        <v>1.4</v>
      </c>
      <c r="X20" s="164">
        <f t="shared" si="171"/>
        <v>0.2</v>
      </c>
      <c r="Y20" s="219">
        <v>2</v>
      </c>
      <c r="Z20" s="220">
        <v>0.2</v>
      </c>
      <c r="AA20" s="217">
        <v>1.011</v>
      </c>
      <c r="AB20" s="186">
        <f>PI()*EJ20*EJ20/4*EH20*(1-H20)*AA20*各项系数!$F$5*各项系数!$J$4*10^-7</f>
        <v>0.0845415089527171</v>
      </c>
      <c r="AC20" s="186">
        <f t="shared" ref="AC20:AC29" si="176">EJ20</f>
        <v>131.130294998433</v>
      </c>
      <c r="AD20" s="186">
        <f t="shared" si="5"/>
        <v>9.55751863397041</v>
      </c>
      <c r="AE20" s="186">
        <f>POWER(4*EU20/PI()/EG20/10^-7/EH20/(1-H20)/各项系数!$F$5/各项系数!$J$4,0.5)</f>
        <v>131.849539109191</v>
      </c>
      <c r="AF20" s="218">
        <v>1</v>
      </c>
      <c r="AG20" s="85">
        <f>IF(EM20=0,0,PI()*ER20*ER20/4*EP20*(1-K20)*(1+AF20)*各项系数!$F$5*各项系数!$J$4*10^-7)</f>
        <v>0</v>
      </c>
      <c r="AH20" s="85">
        <f t="shared" ref="AH20:AH29" si="177">ER20</f>
        <v>0</v>
      </c>
      <c r="AI20" s="85">
        <f t="shared" si="128"/>
        <v>0</v>
      </c>
      <c r="AJ20" s="85">
        <f>IF(OR(EP20="",EP20=0),0,POWER(4*EW20/PI()/EO20/10^-7/EP20/(1-K20)/各项系数!$F$5/各项系数!$J$4,0.5))</f>
        <v>0</v>
      </c>
      <c r="AK20" s="85" t="str">
        <f t="shared" si="8"/>
        <v>√</v>
      </c>
      <c r="AL20" s="85">
        <f t="shared" ref="AL20:AL29" si="178">AO20*(1+0.02)</f>
        <v>6.2878640752498</v>
      </c>
      <c r="AM20" s="250">
        <f t="shared" ref="AM20:AM29" si="179">EE20*1</f>
        <v>10</v>
      </c>
      <c r="AN20" s="118" t="s">
        <v>486</v>
      </c>
      <c r="AO20" s="259">
        <f>AP20+各项系数!$M$9*$NK20</f>
        <v>6.16457262279392</v>
      </c>
      <c r="AP20" s="259">
        <f>AQ20*(1+$BI20+(VLOOKUP($AM20,$A$12:$B$323,2,0))+各项系数!$J$6+各项系数!$M$5)*(1+$E$2)</f>
        <v>6.12286820665431</v>
      </c>
      <c r="AQ20" s="260">
        <f>AR20+各项系数!$L$9*$NK20</f>
        <v>6.24782470066766</v>
      </c>
      <c r="AR20" s="260">
        <f>AS20*(1+$BJ20+各项系数!$J$5+各项系数!$L$5)</f>
        <v>6.20612028452805</v>
      </c>
      <c r="AS20" s="260">
        <f t="shared" si="129"/>
        <v>6.08443165149809</v>
      </c>
      <c r="AT20" s="259">
        <f>AU20+各项系数!$M$9*$NM20</f>
        <v>6.45767379195402</v>
      </c>
      <c r="AU20" s="259">
        <f>AV20*(1+$BI20+(VLOOKUP($AM20,$A$12:$B$323,2,0))+各项系数!$J$6+各项系数!$M$5)*(1+$E$2)</f>
        <v>6.41596937581441</v>
      </c>
      <c r="AV20" s="260">
        <f>AW20+各项系数!$L$9*$NM20</f>
        <v>6.54690752634123</v>
      </c>
      <c r="AW20" s="260">
        <f>AX20*(1+$BJ20+各项系数!$J$5+各项系数!$L$5)</f>
        <v>6.50520311020162</v>
      </c>
      <c r="AX20" s="260">
        <f t="shared" si="130"/>
        <v>6.3776501080408</v>
      </c>
      <c r="AY20" s="259">
        <f>AZ20+各项系数!$M$9*$NS20</f>
        <v>6.68960639790567</v>
      </c>
      <c r="AZ20" s="259">
        <f>BA20*(1+$BI20+(VLOOKUP($AM20,$A$12:$B$214,2,0))+各项系数!$J$6+各项系数!$M$5)*(1+$E$2)</f>
        <v>6.64563328336961</v>
      </c>
      <c r="BA20" s="260">
        <f>BB20+各项系数!$L$9*$NS20</f>
        <v>6.78125845241797</v>
      </c>
      <c r="BB20" s="260">
        <f>BC20*(1+$BJ20+各项系数!$J$5+各项系数!$L$5)</f>
        <v>6.73728533788192</v>
      </c>
      <c r="BC20" s="262">
        <f t="shared" si="131"/>
        <v>6.6051817038058</v>
      </c>
      <c r="BD20" s="259">
        <f>BE20+各项系数!$M$9*$NS20</f>
        <v>6.98967175207483</v>
      </c>
      <c r="BE20" s="259">
        <f>BF20*(1+$BI20+(VLOOKUP($AM20,$A$12:$B$214,2,0))+各项系数!$J$6+各项系数!$M$5)*(1+$E$2)</f>
        <v>6.94569863753878</v>
      </c>
      <c r="BF20" s="260">
        <f>BG20+各项系数!$L$9*$NS20</f>
        <v>7.08744758932528</v>
      </c>
      <c r="BG20" s="260">
        <f>BH20*(1+$BJ20+各项系数!$J$5+各项系数!$L$5)</f>
        <v>7.04347447478923</v>
      </c>
      <c r="BH20" s="262">
        <f t="shared" si="132"/>
        <v>6.9053671321463</v>
      </c>
      <c r="BI20" s="67"/>
      <c r="BJ20" s="272"/>
      <c r="BK20" s="123"/>
      <c r="BL20" s="259">
        <f>BM20+各项系数!$M$9*$NM20</f>
        <v>6.26792696993843</v>
      </c>
      <c r="BM20" s="259">
        <f>BN20*(1+$CF20+(VLOOKUP($AM20,$A$12:$B$323,2,0))+各项系数!$J$6+各项系数!$M$5)*(1+$E$2)</f>
        <v>6.22622255379882</v>
      </c>
      <c r="BN20" s="260">
        <f>BO20+各项系数!$L$9*$NM20</f>
        <v>6.35328832020288</v>
      </c>
      <c r="BO20" s="260">
        <f>BP20*(1+$CG20+各项系数!$J$5+各项系数!$L$5)</f>
        <v>6.31158390406326</v>
      </c>
      <c r="BP20" s="260">
        <f t="shared" si="133"/>
        <v>6.12775136316822</v>
      </c>
      <c r="BQ20" s="259">
        <f>BR20+各项系数!$M$9*$NM20</f>
        <v>6.52017476301282</v>
      </c>
      <c r="BR20" s="259">
        <f>BS20*(1+$CF20+(VLOOKUP($AM20,$A$12:$B$323,2,0))+各项系数!$J$6+各项系数!$M$5)*(1+$E$2)</f>
        <v>6.47847034687321</v>
      </c>
      <c r="BS20" s="260">
        <f>BT20+各项系数!$L$9*$NM20</f>
        <v>6.61068402742164</v>
      </c>
      <c r="BT20" s="260">
        <f>BU20*(1+$CG20+各项系数!$J$5+各项系数!$L$5)</f>
        <v>6.56897961128203</v>
      </c>
      <c r="BU20" s="260">
        <f t="shared" si="134"/>
        <v>6.3776501080408</v>
      </c>
      <c r="BV20" s="259">
        <f>BW20+各项系数!$M$9*$NT20</f>
        <v>6.76410754505848</v>
      </c>
      <c r="BW20" s="259">
        <f>BX20*(1+$CF20+(VLOOKUP($AM20,$A$12:$B$214,2,0))+各项系数!$J$6+各项系数!$M$5)*(1+$E$2)</f>
        <v>6.72013443052243</v>
      </c>
      <c r="BX20" s="260">
        <f>BY20+各项系数!$L$9*$NT$12</f>
        <v>6.85728003114534</v>
      </c>
      <c r="BY20" s="260">
        <f>BZ20*(1+$CG20+各项系数!$J$5+各项系数!$L$5)</f>
        <v>6.84901662799036</v>
      </c>
      <c r="BZ20" s="262">
        <f t="shared" si="11"/>
        <v>6.64953070678676</v>
      </c>
      <c r="CA20" s="259">
        <f>CB20+各项系数!$M$9*$NT20</f>
        <v>7.02234883281641</v>
      </c>
      <c r="CB20" s="259">
        <f>CC20*(1+$CF20+(VLOOKUP($AM20,$A$12:$B$214,2,0))+各项系数!$J$6+各项系数!$M$5)*(1+$E$2)</f>
        <v>6.97837571828035</v>
      </c>
      <c r="CC20" s="260">
        <f>CD20+各项系数!$L$9*$NT$12</f>
        <v>7.12079154926567</v>
      </c>
      <c r="CD20" s="260">
        <f>CE20*(1+$CG20+各项系数!$J$5+各项系数!$L$5)</f>
        <v>7.11252814611069</v>
      </c>
      <c r="CE20" s="262">
        <f t="shared" si="135"/>
        <v>6.9053671321463</v>
      </c>
      <c r="CF20" s="277">
        <f t="shared" si="136"/>
        <v>0</v>
      </c>
      <c r="CG20" s="277">
        <f t="shared" si="12"/>
        <v>0.01</v>
      </c>
      <c r="CH20" s="123"/>
      <c r="CI20" s="259">
        <f>CJ20+各项系数!$M$9*$NO20</f>
        <v>6.3716109639906</v>
      </c>
      <c r="CJ20" s="259">
        <f>CK20*(1+$DC20+(VLOOKUP($AM20,$A$12:$B$323,2,0))+各项系数!$J$6+各项系数!$M$5)*(1+$E$2)+各项系数!$M$9*$NK20</f>
        <v>6.32722449453729</v>
      </c>
      <c r="CK20" s="260">
        <f>CL20+各项系数!$L$9*$NO20</f>
        <v>6.41379599836497</v>
      </c>
      <c r="CL20" s="260">
        <f>CM20*(1+$DD20+各项系数!$J$5+各项系数!$L$5)</f>
        <v>6.36940952891166</v>
      </c>
      <c r="CM20" s="260">
        <f t="shared" si="13"/>
        <v>6.24451914599183</v>
      </c>
      <c r="CN20" s="259">
        <f>CO20+各项系数!$M$9*$NO20</f>
        <v>6.63384574532154</v>
      </c>
      <c r="CO20" s="259">
        <f>CP20*(1+$DC20+(VLOOKUP($AM20,$A$12:$B$323,2,0))+各项系数!$J$6+各项系数!$M$5)*(1+$E$2)+各项系数!$M$9*$NK20</f>
        <v>6.58945927586824</v>
      </c>
      <c r="CP20" s="260">
        <f>CQ20+各项系数!$L$9*$NO20</f>
        <v>6.68138250992717</v>
      </c>
      <c r="CQ20" s="260">
        <f>CR20*(1+$DD20+各项系数!$J$5+各项系数!$L$5)</f>
        <v>6.63699604047386</v>
      </c>
      <c r="CR20" s="260">
        <f t="shared" si="14"/>
        <v>6.50685886320966</v>
      </c>
      <c r="CS20" s="259">
        <f>CT20+各项系数!$M$9*$NU20</f>
        <v>6.90057788296726</v>
      </c>
      <c r="CT20" s="259">
        <f t="shared" si="15"/>
        <v>6.85372157112701</v>
      </c>
      <c r="CU20" s="260">
        <f>CV20+各项系数!$L$9*$NU20</f>
        <v>6.99359343992552</v>
      </c>
      <c r="CV20" s="260">
        <f>CW20*(1+$DD20+各项系数!$J$5+各项系数!$L$5)</f>
        <v>6.94673712808527</v>
      </c>
      <c r="CW20" s="262">
        <f t="shared" si="16"/>
        <v>6.81052659616203</v>
      </c>
      <c r="CX20" s="259">
        <f>CY20+各项系数!$M$9*$NU20</f>
        <v>7.22153579216364</v>
      </c>
      <c r="CY20" s="259">
        <f t="shared" si="17"/>
        <v>7.17467948032339</v>
      </c>
      <c r="CZ20" s="260">
        <f>DA20+各项系数!$L$9*$NU20</f>
        <v>7.32110151053407</v>
      </c>
      <c r="DA20" s="260">
        <f>DB20*(1+$DD20+各项系数!$J$5+各项系数!$L$5)</f>
        <v>7.27424519869382</v>
      </c>
      <c r="DB20" s="262">
        <f t="shared" si="18"/>
        <v>7.1316129398959</v>
      </c>
      <c r="DC20" s="277">
        <f t="shared" si="137"/>
        <v>0</v>
      </c>
      <c r="DD20" s="277">
        <f t="shared" si="19"/>
        <v>0</v>
      </c>
      <c r="DE20" s="69"/>
      <c r="DF20" s="69"/>
      <c r="DG20" s="259">
        <f>DH20+各项系数!$M$9*$NQ20</f>
        <v>6.4796510685286</v>
      </c>
      <c r="DH20" s="259">
        <f>DI20*(1+$EA20+(VLOOKUP($AM20,$A$12:$B$323,2,0))+各项系数!$J$6+各项系数!$M$5)*(1+$E$2)+各项系数!$M$9*$NK20</f>
        <v>6.43526459907529</v>
      </c>
      <c r="DI20" s="260">
        <f>DJ20+各项系数!$L$9*$NQ20</f>
        <v>6.52404100299559</v>
      </c>
      <c r="DJ20" s="260">
        <f>DK20*(1+$EB20+各项系数!$J$5+各项系数!$L$5)</f>
        <v>6.47965453354228</v>
      </c>
      <c r="DK20" s="260">
        <f t="shared" si="20"/>
        <v>6.29092673159444</v>
      </c>
      <c r="DL20" s="259">
        <f>DM20+各项系数!$M$9*$NQ20</f>
        <v>6.74987934565359</v>
      </c>
      <c r="DM20" s="259">
        <f>DN20*(1+$EA20+(VLOOKUP($AM20,$A$12:$B$323,2,0))+各项系数!$J$6+各项系数!$M$5)*(1+$E$2)+各项系数!$M$9*$NK20</f>
        <v>6.70549287620029</v>
      </c>
      <c r="DN20" s="260">
        <f>DO20+各项系数!$L$9*$NQ20</f>
        <v>6.79978414291905</v>
      </c>
      <c r="DO20" s="260">
        <f>DP20*(1+$EB20+各项系数!$J$5+各项系数!$L$5)</f>
        <v>6.75539767346574</v>
      </c>
      <c r="DP20" s="260">
        <f t="shared" si="21"/>
        <v>6.55863851792791</v>
      </c>
      <c r="DQ20" s="259">
        <f>DR20+各项系数!$M$9*$NV20</f>
        <v>7.01520382716608</v>
      </c>
      <c r="DR20" s="259">
        <f t="shared" si="22"/>
        <v>6.96834751532583</v>
      </c>
      <c r="DS20" s="260">
        <f>DT20+各项系数!$L$9*$NV20</f>
        <v>7.11055868910799</v>
      </c>
      <c r="DT20" s="260">
        <f>DU20*(1+$EB20+各项系数!$J$5+各项系数!$L$5)</f>
        <v>7.06370237726774</v>
      </c>
      <c r="DU20" s="262">
        <f t="shared" si="23"/>
        <v>6.85796347307548</v>
      </c>
      <c r="DV20" s="259">
        <f>DW20+各项系数!$M$9*$NV20</f>
        <v>7.16469539505315</v>
      </c>
      <c r="DW20" s="259">
        <f t="shared" si="24"/>
        <v>7.1178390832129</v>
      </c>
      <c r="DX20" s="260">
        <f>DY20+各项系数!$L$9*$NV20</f>
        <v>7.26310110531929</v>
      </c>
      <c r="DY20" s="260">
        <f>DZ20*(1+$EB20+各项系数!$J$5+各项系数!$L$5)</f>
        <v>7.21624479347904</v>
      </c>
      <c r="DZ20" s="262">
        <f t="shared" si="25"/>
        <v>7.00606290629033</v>
      </c>
      <c r="EA20" s="277">
        <f t="shared" si="26"/>
        <v>0</v>
      </c>
      <c r="EB20" s="277">
        <f t="shared" si="27"/>
        <v>0.01</v>
      </c>
      <c r="EC20" s="302">
        <f t="shared" si="138"/>
        <v>1</v>
      </c>
      <c r="ED20" s="302" t="str">
        <f t="shared" ref="ED20:ED45" si="180">IF(COUNTIF($D20,"*+*")&gt;0,MID($D20,1,FIND("+",$D20)-1),MID($D20,1,LEN($D20)))</f>
        <v>1*10</v>
      </c>
      <c r="EE20" s="251">
        <f t="shared" si="28"/>
        <v>10</v>
      </c>
      <c r="EF20" s="251" t="str">
        <f>LOOKUP(EH20,{1,7,10,14,19,24,30,37,48,61},{1,"1+6","2+8","4+10","1+6+12","2+8+14","4+10+16","1+6+12+18","3+9+15+21","1+6+12+18+24"})</f>
        <v>1+6</v>
      </c>
      <c r="EG20" s="250">
        <f t="shared" si="29"/>
        <v>1</v>
      </c>
      <c r="EH20" s="260">
        <f>IF(AM20&lt;10,1,IF(AND(AM20&gt;=10,AM20&lt;=35),7,LOOKUP(AM20,{50,70,95,120,150,185,240,300,400,500,630},{10,14,19,24,30,37,48,61,61,61,61})*1))</f>
        <v>7</v>
      </c>
      <c r="EI20" s="250">
        <f>IF(EH20=0,0,VLOOKUP(EH20,各项系数!$D$142:$E$195,2,0))*1</f>
        <v>3</v>
      </c>
      <c r="EJ20" s="305">
        <f t="shared" si="141"/>
        <v>131.130294998433</v>
      </c>
      <c r="EK20" s="251">
        <f t="shared" ref="EK20:EK29" si="181">IF(COUNTIF($D20,"*+*")&gt;0,MID($D20,FIND("+",$D20)+1,LEN($D20)),0)</f>
        <v>0</v>
      </c>
      <c r="EL20" s="251">
        <f t="shared" si="31"/>
        <v>0</v>
      </c>
      <c r="EM20" s="251">
        <f t="shared" ref="EM20:EM45" si="182">EL20/1</f>
        <v>0</v>
      </c>
      <c r="EN20" s="251">
        <f>IF(EP20=0,0,LOOKUP(EP20,{1,7,10,14,19,24,30,37,48,61},{1,"1+6","2+8","4+10","1+6+12","2+8+14","4+10+16","1+6+12+18","3+9+15+21","1+6+12+18+24"}))</f>
        <v>0</v>
      </c>
      <c r="EO20" s="251">
        <f t="shared" ref="EO20:EO29" si="183">IF(EK20=0,0,MID(EK20,1,1))</f>
        <v>0</v>
      </c>
      <c r="EP20" s="251">
        <f>IF(EM20=0,0,IF(EM20&lt;10,1,IF(AND(EM20&gt;=10,EM20&lt;=35),7,LOOKUP(EM20,{50,70,95,120,150,185,240,300},{10,14,19,24,30,37,48,61})*1)))</f>
        <v>0</v>
      </c>
      <c r="EQ20" s="251">
        <f>IF(EP20=0,0,VLOOKUP(EP20,各项系数!$D$142:$E$195,2,0))*1</f>
        <v>0</v>
      </c>
      <c r="ER20" s="251">
        <f t="shared" ref="ER20:ER29" si="184">$I20-$J20</f>
        <v>0</v>
      </c>
      <c r="ES20" s="302">
        <f t="shared" ref="ES20:ES35" si="185">EO20+EG20</f>
        <v>1</v>
      </c>
      <c r="ET20" s="251">
        <f>VLOOKUP(ES20,各项系数!$D$142:$E$195,2,0)*1</f>
        <v>1</v>
      </c>
      <c r="EU20" s="311">
        <f>((各项系数!$F$76/4*$EJ20^2*$EG20*$EH20*1*10^-7)*(1-$H20)*AA20)*(VLOOKUP($EY$9,各项系数!$D$4:$F$143,3,0))*各项系数!$J$4</f>
        <v>0.084541508952717</v>
      </c>
      <c r="EV20" s="312">
        <f>EU20*(VLOOKUP($EY$9,各项系数!$D$4:$F$143,2,0))</f>
        <v>5.53746883640296</v>
      </c>
      <c r="EW20" s="324">
        <f>(IF($EO20=0,0,(各项系数!$F$76/4*$ER20^2*$EO20*$EP20*1*10^-7))*(1-$K20)*$AF20)*(VLOOKUP($EY$9,各项系数!$D$4:$F$143,3,0))*各项系数!$J$4</f>
        <v>0</v>
      </c>
      <c r="EX20" s="325">
        <f>EW20*(VLOOKUP($EY$9,各项系数!$D$4:$F$143,2,0))</f>
        <v>0</v>
      </c>
      <c r="EY20" s="251">
        <f>((各项系数!$F$76/4*$EJ20^2*$EG20*$EH20*1*10^-7)*(1-$H20)*AA20+IF($EO20=0,0,(各项系数!$F$76/4*$ER20^2*$EO20*$EP20*1*10^-7))*(1-$K20)*$AF20)*(VLOOKUP($EY$9,各项系数!$D$4:$F$143,3,0))*各项系数!$J$4</f>
        <v>0.084541508952717</v>
      </c>
      <c r="EZ20" s="123">
        <v>1</v>
      </c>
      <c r="FA20" s="251">
        <f t="shared" si="36"/>
        <v>0.084541508952717</v>
      </c>
      <c r="FB20" s="326">
        <f>FA20*(VLOOKUP($EY$9,各项系数!$D$4:$F$143,2,0))</f>
        <v>5.53746883640296</v>
      </c>
      <c r="FC20" s="327"/>
      <c r="FD20" s="302">
        <f>各项系数!$F$76/4*($MN20^2-MK20^2)*10^-2*(VLOOKUP(L20,各项系数!$D$1:$F$143,3,0))*10^-3*10^2*$EG20*各项系数!$J$4</f>
        <v>0.0111534998425327</v>
      </c>
      <c r="FE20" s="339">
        <f>FD20*VLOOKUP(L20,各项系数!$D$1:$F$143,2,0)</f>
        <v>0.113765698393833</v>
      </c>
      <c r="FF20" s="250">
        <f>各项系数!$F$76/4*($MO20^2-ML20^2)*10^-2*(VLOOKUP(L20,各项系数!$D$1:$F$143,3,0))*10^-3*10^2*$EO20*各项系数!$J$4</f>
        <v>0</v>
      </c>
      <c r="FG20" s="339">
        <f>FF20*VLOOKUP(L20,各项系数!$D$1:$F$143,2,0)</f>
        <v>0</v>
      </c>
      <c r="FH20" s="302">
        <f t="shared" si="142"/>
        <v>0.0111534998425327</v>
      </c>
      <c r="FI20" s="123">
        <v>1</v>
      </c>
      <c r="FJ20" s="251">
        <f t="shared" si="37"/>
        <v>0.0111534998425327</v>
      </c>
      <c r="FK20" s="339">
        <f>FJ20*VLOOKUP(L20,各项系数!$D$1:$F$143,2,0)</f>
        <v>0.113765698393833</v>
      </c>
      <c r="FL20" s="302"/>
      <c r="FM20" s="123"/>
      <c r="FN20" s="251"/>
      <c r="FO20" s="339"/>
      <c r="FP20" s="364">
        <f t="shared" si="38"/>
        <v>0.0111534998425327</v>
      </c>
      <c r="FQ20" s="364">
        <f t="shared" si="39"/>
        <v>0.113765698393833</v>
      </c>
      <c r="FR20" s="365">
        <f>各项系数!$F$76/4*($MQ20^2-$MN20^2*$EG20-$MO20^2*$EO20)*10^-2</f>
        <v>0</v>
      </c>
      <c r="FS20" s="366">
        <f t="shared" si="143"/>
        <v>1</v>
      </c>
      <c r="FT20" s="367">
        <f t="shared" si="40"/>
        <v>0</v>
      </c>
      <c r="FU20" s="388">
        <f>$FT20*(VLOOKUP($FT$9,各项系数!$D$1:$F$143,3,0))*10^-3*10^2*各项系数!$J$55</f>
        <v>0</v>
      </c>
      <c r="FV20" s="389">
        <v>1</v>
      </c>
      <c r="FW20" s="390">
        <f t="shared" si="41"/>
        <v>0</v>
      </c>
      <c r="FX20" s="367">
        <f>FW20*(VLOOKUP($FT$9,各项系数!$D$1:$F$143,2,0))</f>
        <v>0</v>
      </c>
      <c r="FY20" s="388">
        <f>IF($BK20&lt;&gt;$FY$9,0,各项系数!$F$76/4*($MS20^2-$MQ20^2)*10^-2*(VLOOKUP($FY$9,各项系数!$D$1:$F$143,3,0))*10^-3*10^2)*各项系数!$J$4</f>
        <v>0</v>
      </c>
      <c r="FZ20" s="389">
        <v>1</v>
      </c>
      <c r="GA20" s="390">
        <f t="shared" si="42"/>
        <v>0</v>
      </c>
      <c r="GB20" s="367">
        <f>GA20*(VLOOKUP($FY$9,各项系数!$D$1:$F$143,2,0))</f>
        <v>0</v>
      </c>
      <c r="GC20" s="388">
        <f>IF($BK20&lt;&gt;$GC$9,0,各项系数!$F$76/4*($MS20^2-$MQ20^2)*10^-2*(VLOOKUP($GC$9,各项系数!$D$1:$F$143,3,0))*10^-3*10^2)*各项系数!$J$4</f>
        <v>0</v>
      </c>
      <c r="GD20" s="389">
        <v>1</v>
      </c>
      <c r="GE20" s="390">
        <f t="shared" si="43"/>
        <v>0</v>
      </c>
      <c r="GF20" s="367">
        <f>GE20*(VLOOKUP($GC$9,各项系数!$D$1:$F$143,2,0))</f>
        <v>0</v>
      </c>
      <c r="GG20" s="388">
        <f>IF($BK20&lt;&gt;$GG$9,0,各项系数!$F$76/4*($MS20^2-$MQ20^2)*10^-2*(VLOOKUP($GG$9,各项系数!$D$1:$F$143,3,0))*10^-3*10^2)*各项系数!$J$4</f>
        <v>0</v>
      </c>
      <c r="GH20" s="389">
        <v>1</v>
      </c>
      <c r="GI20" s="390">
        <f t="shared" si="44"/>
        <v>0</v>
      </c>
      <c r="GJ20" s="367">
        <f>GI20*(VLOOKUP($GG$9,各项系数!$D$1:$F$143,2,0))</f>
        <v>0</v>
      </c>
      <c r="GK20" s="388">
        <f>IF($BK20&lt;&gt;$GK$9,0,各项系数!$F$76/4*($MS20^2-$MQ20^2)*10^-2*(VLOOKUP($GK$9,各项系数!$D$1:$F$143,3,0))*10^-3*10^2)*各项系数!$J$4</f>
        <v>0</v>
      </c>
      <c r="GL20" s="389">
        <v>1</v>
      </c>
      <c r="GM20" s="390">
        <f t="shared" si="45"/>
        <v>0</v>
      </c>
      <c r="GN20" s="367">
        <f>GM20*(VLOOKUP($GK$9,各项系数!$D$1:$F$143,2,0))</f>
        <v>0</v>
      </c>
      <c r="GO20" s="390">
        <f t="shared" si="46"/>
        <v>0</v>
      </c>
      <c r="GP20" s="390">
        <f t="shared" si="47"/>
        <v>0</v>
      </c>
      <c r="GQ20" s="406">
        <f>各项系数!$F$76/4*($MU20^2-$MS20^2)*10^-2*(VLOOKUP($S20,各项系数!$D$1:$F$143,3,0))*10^-3*10^2*各项系数!$J$4</f>
        <v>0.0270546365286959</v>
      </c>
      <c r="GR20" s="389">
        <v>1</v>
      </c>
      <c r="GS20" s="390">
        <f t="shared" si="48"/>
        <v>0.0270546365286959</v>
      </c>
      <c r="GT20" s="390">
        <f t="shared" si="49"/>
        <v>1</v>
      </c>
      <c r="GU20" s="390">
        <f>ROUND($GS20*(VLOOKUP($S20,各项系数!$D$1:$F$143,2,0))+$E$3*GS20,GT20)</f>
        <v>0.3</v>
      </c>
      <c r="GV20" s="406">
        <f>各项系数!$F$76/4*($MT20^2-$MS20^2)*10^-2*(VLOOKUP($GV$9,各项系数!$D$1:$F$143,3,0))*10^-3*10^2*各项系数!$J$4*PI()/4*R20</f>
        <v>0.00756232798813957</v>
      </c>
      <c r="GW20" s="389">
        <v>1</v>
      </c>
      <c r="GX20" s="390">
        <f t="shared" si="50"/>
        <v>0.00756232798813957</v>
      </c>
      <c r="GY20" s="390">
        <f>$GX20*(VLOOKUP($GV$9,各项系数!$D$1:$F$143,2,0))</f>
        <v>0.510457139199421</v>
      </c>
      <c r="GZ20" s="406">
        <f>各项系数!$F$76/4*($MV20^2-$MS20^2)*10^-2*(VLOOKUP($GZ$9,各项系数!$D$1:$F$143,3,0))*10^-3*10^2*各项系数!$J$4</f>
        <v>0.0427303278378827</v>
      </c>
      <c r="HA20" s="389">
        <v>1</v>
      </c>
      <c r="HB20" s="390">
        <f t="shared" si="144"/>
        <v>0.0427303278378827</v>
      </c>
      <c r="HC20" s="390">
        <f>HB20*(VLOOKUP($GZ$9,各项系数!$D$1:$F$143,2,0))</f>
        <v>0.726415573244005</v>
      </c>
      <c r="HD20" s="406">
        <f>各项系数!$F$76/4*($MW20^2-$MT20^2)*10^-2*(VLOOKUP($HD$9,各项系数!$D$1:$F$143,3,0))*10^-3*10^2*各项系数!$J$4</f>
        <v>0.0437456151852992</v>
      </c>
      <c r="HE20" s="389">
        <v>1</v>
      </c>
      <c r="HF20" s="390">
        <f t="shared" si="145"/>
        <v>0.0437456151852992</v>
      </c>
      <c r="HG20" s="390">
        <f>HF20*(VLOOKUP($HD$9,各项系数!$D$1:$F$143,2,0))</f>
        <v>0.743675458150086</v>
      </c>
      <c r="HH20" s="406">
        <f>各项系数!$F$76/4*($MV20^2-$MS20^2)*10^-2*(VLOOKUP($HH$9,各项系数!$D$1:$F$143,3,0))*10^-3*10^2*各项系数!$J$4</f>
        <v>0.0427303278378827</v>
      </c>
      <c r="HI20" s="420">
        <v>1</v>
      </c>
      <c r="HJ20" s="390">
        <f t="shared" si="146"/>
        <v>0.0427303278378827</v>
      </c>
      <c r="HK20" s="390">
        <f>HJ20*(VLOOKUP($HH$9,各项系数!$D$1:$F$143,2,0))</f>
        <v>0.726415573244005</v>
      </c>
      <c r="HL20" s="406">
        <f>各项系数!$F$76/4*($MW20^2-$MT20^2)*10^-2*(VLOOKUP($HL$9,各项系数!$D$1:$F$143,3,0))*10^-3*10^2*各项系数!$J$4</f>
        <v>0.0437456151852992</v>
      </c>
      <c r="HM20" s="420">
        <v>1</v>
      </c>
      <c r="HN20" s="390">
        <f t="shared" si="147"/>
        <v>0.0437456151852992</v>
      </c>
      <c r="HO20" s="390">
        <f>HN20*(VLOOKUP($HL$9,各项系数!$D$1:$F$143,2,0))</f>
        <v>0.743675458150086</v>
      </c>
      <c r="HP20" s="406">
        <f>各项系数!$F$76/4*($MV20^2-$MS20^2)*10^-2*(VLOOKUP(AN20,各项系数!$D$1:$F$143,3,0))*10^-3*10^2*各项系数!$J$4</f>
        <v>0.0433197116701293</v>
      </c>
      <c r="HQ20" s="389">
        <v>1</v>
      </c>
      <c r="HR20" s="390">
        <f t="shared" si="172"/>
        <v>0.0433197116701293</v>
      </c>
      <c r="HS20" s="390">
        <f>HR20*(VLOOKUP(AN20,各项系数!$D$1:$F$143,2,0))</f>
        <v>0.433197116701293</v>
      </c>
      <c r="HT20" s="406">
        <f>各项系数!$F$76/4*($MW20^2-$MT20^2)*10^-2*(VLOOKUP(AN20,各项系数!$D$1:$F$143,3,0))*10^-3*10^2*各项系数!$J$4</f>
        <v>0.0443490029809585</v>
      </c>
      <c r="HU20" s="389">
        <v>1</v>
      </c>
      <c r="HV20" s="390">
        <f t="shared" si="173"/>
        <v>0.0443490029809585</v>
      </c>
      <c r="HW20" s="390">
        <f>HV20*(VLOOKUP(AN20,各项系数!$D$1:$F$143,2,0))</f>
        <v>0.443490029809585</v>
      </c>
      <c r="HX20" s="406">
        <f>各项系数!$F$76/4*($MV20^2-$MS20^2)*10^-2*(VLOOKUP($HX$9,各项系数!$D$1:$F$143,3,0))*10^-3*10^2*各项系数!$J$4</f>
        <v>0.0433197116701293</v>
      </c>
      <c r="HY20" s="420">
        <v>1</v>
      </c>
      <c r="HZ20" s="390">
        <f t="shared" si="174"/>
        <v>0.0433197116701293</v>
      </c>
      <c r="IA20" s="390">
        <f>HZ20*(VLOOKUP($HX$9,各项系数!$D$1:$F$143,2,0))</f>
        <v>0.476516828371423</v>
      </c>
      <c r="IB20" s="406">
        <f>各项系数!$F$76/4*($MW20^2-$MT20^2)*10^-2*(VLOOKUP($IB$9,各项系数!$D$1:$F$143,3,0))*10^-3*10^2*各项系数!$J$4</f>
        <v>0.0443490029809585</v>
      </c>
      <c r="IC20" s="420">
        <v>1</v>
      </c>
      <c r="ID20" s="390">
        <f t="shared" si="58"/>
        <v>0.0443490029809585</v>
      </c>
      <c r="IE20" s="390">
        <f>ID20*(VLOOKUP($IB$9,各项系数!$D$1:$F$143,2,0))</f>
        <v>0.487839032790543</v>
      </c>
      <c r="IF20" s="429"/>
      <c r="IG20" s="406">
        <f t="shared" si="148"/>
        <v>0.00469697679828499</v>
      </c>
      <c r="IH20" s="389">
        <v>1</v>
      </c>
      <c r="II20" s="390">
        <f t="shared" si="59"/>
        <v>0.00469697679828499</v>
      </c>
      <c r="IJ20" s="390">
        <f>II20*(VLOOKUP($IG$8,各项系数!$D$1:$F$143,2,0))</f>
        <v>0.117424419957125</v>
      </c>
      <c r="IK20" s="406">
        <f>(各项系数!$F$76/4*($MX20^2-$MK20^2)*$EG20)*10^-2*(VLOOKUP($IG$8,各项系数!$D$1:$F$143,3,0))*10^-3*10^2*各项系数!$J$4</f>
        <v>0.00469697679828499</v>
      </c>
      <c r="IL20" s="389">
        <f>IK20*(VLOOKUP($IG$8,各项系数!$D$1:$F$143,2,0))</f>
        <v>0.117424419957125</v>
      </c>
      <c r="IM20" s="390">
        <f>(各项系数!$F$76/4*(($MM20+3*$X20)^2-MM20^2)*$EO20)*10^-2*(VLOOKUP($IG$8,各项系数!$D$1:$F$143,3,0))*10^-3*10^2*各项系数!$J$4</f>
        <v>0</v>
      </c>
      <c r="IN20" s="389">
        <f>IM20*(VLOOKUP($IG$8,各项系数!$D$1:$F$143,2,0))</f>
        <v>0</v>
      </c>
      <c r="IO20" s="406">
        <f>各项系数!$F$76/4*($MZ20^2-$MX20^2)*10^-2*(VLOOKUP(L20,各项系数!$D$1:$F$143,3,0))*10^-3*10^2*$ES20*各项系数!$J$4</f>
        <v>0.0123088268240756</v>
      </c>
      <c r="IP20" s="389">
        <v>1</v>
      </c>
      <c r="IQ20" s="390">
        <f t="shared" si="60"/>
        <v>0.0123088268240756</v>
      </c>
      <c r="IR20" s="367">
        <f>IQ20*(VLOOKUP(L20,各项系数!$D$1:$F$143,2,0))</f>
        <v>0.125550033605571</v>
      </c>
      <c r="IS20" s="406">
        <f>IF($L20&lt;&gt;$IS$9,0,各项系数!$F$76/4*($MZ20^2-$MX20^2)*10^-2*各项系数!$F$12*10^-3*10^2)*$ES20*各项系数!$J$4</f>
        <v>0</v>
      </c>
      <c r="IT20" s="389">
        <v>1</v>
      </c>
      <c r="IU20" s="390">
        <f t="shared" si="61"/>
        <v>0</v>
      </c>
      <c r="IV20" s="367">
        <f>IU20*各项系数!$E$12</f>
        <v>0</v>
      </c>
      <c r="IW20" s="388">
        <f t="shared" si="62"/>
        <v>0.0123088268240756</v>
      </c>
      <c r="IX20" s="388">
        <f t="shared" si="63"/>
        <v>0.125550033605571</v>
      </c>
      <c r="IY20" s="447">
        <f>各项系数!$F$76/4*($NB20^2-$MZ20^2*$EG20-$NA20^2*$EO20)*10^-2</f>
        <v>0</v>
      </c>
      <c r="IZ20" s="366">
        <f t="shared" si="149"/>
        <v>1</v>
      </c>
      <c r="JA20" s="367">
        <f t="shared" si="64"/>
        <v>0</v>
      </c>
      <c r="JB20" s="364">
        <f>IF($DE20&lt;&gt;$JB$9,0,$JA20*各项系数!$F$32*10^-3*10^2)*各项系数!$J$4</f>
        <v>0</v>
      </c>
      <c r="JC20" s="123">
        <v>1</v>
      </c>
      <c r="JD20" s="251">
        <f t="shared" si="65"/>
        <v>0</v>
      </c>
      <c r="JE20" s="339">
        <f>JD20*各项系数!$E$32</f>
        <v>0</v>
      </c>
      <c r="JF20" s="364">
        <f>IF($DE20&lt;&gt;$JF$9,0,$JA20*VLOOKUP($JF$9,各项系数!$D$4:$F$540,2,0)*10^-3*10^2)*各项系数!$J$4</f>
        <v>0</v>
      </c>
      <c r="JG20" s="123">
        <v>1</v>
      </c>
      <c r="JH20" s="251">
        <f t="shared" si="66"/>
        <v>0</v>
      </c>
      <c r="JI20" s="339">
        <f>JH20*VLOOKUP($JF$9,各项系数!$D$4:$F$540,3,0)</f>
        <v>0</v>
      </c>
      <c r="JJ20" s="364">
        <f t="shared" si="67"/>
        <v>0</v>
      </c>
      <c r="JK20" s="251">
        <f t="shared" si="68"/>
        <v>0</v>
      </c>
      <c r="JL20" s="364">
        <f>IF($DF20&lt;&gt;$JL$9,0,各项系数!$F$76/4*($NE20^2-$NC20^2)*10^-2*各项系数!$F$39*10^-3*10^2)*各项系数!$J$4</f>
        <v>0</v>
      </c>
      <c r="JM20" s="123">
        <v>1</v>
      </c>
      <c r="JN20" s="251">
        <f t="shared" si="69"/>
        <v>0</v>
      </c>
      <c r="JO20" s="339">
        <f>JN20*各项系数!$E$39</f>
        <v>0</v>
      </c>
      <c r="JP20" s="364">
        <f>IF($DF20&lt;&gt;$JP$9,0,各项系数!$F$76/4*($NE20^2-$NC20^2)*10^-2*各项系数!$F$36*10^-3*10^2)*各项系数!$J$4</f>
        <v>0</v>
      </c>
      <c r="JQ20" s="123">
        <v>1</v>
      </c>
      <c r="JR20" s="251">
        <f t="shared" si="70"/>
        <v>0</v>
      </c>
      <c r="JS20" s="339">
        <f>JR20*各项系数!$E$36</f>
        <v>0</v>
      </c>
      <c r="JT20" s="364">
        <f>IF($DF20&lt;&gt;$JT$9,0,各项系数!$F$76/4*($NE20^2-$NC20^2)*10^-2*各项系数!$F$40*10^-3*10^2)*各项系数!$J$4</f>
        <v>0</v>
      </c>
      <c r="JU20" s="123">
        <v>1</v>
      </c>
      <c r="JV20" s="251">
        <f t="shared" si="71"/>
        <v>0</v>
      </c>
      <c r="JW20" s="339">
        <f>JV20*各项系数!$E$40</f>
        <v>0</v>
      </c>
      <c r="JX20" s="364">
        <f>IF($DF20&lt;&gt;$JX$9,0,各项系数!$F$76/4*($NE20^2-$NC20^2)*10^-2*各项系数!$F$38*10^-3*10^2)*各项系数!$J$4</f>
        <v>0</v>
      </c>
      <c r="JY20" s="123">
        <v>1</v>
      </c>
      <c r="JZ20" s="251">
        <f t="shared" si="72"/>
        <v>0</v>
      </c>
      <c r="KA20" s="339">
        <f>JZ20*各项系数!$E$38</f>
        <v>0</v>
      </c>
      <c r="KB20" s="364">
        <f>IF($DF20&lt;&gt;$KB$9,0,各项系数!$F$76/4*($NE20^2-$NC20^2)*10^-2*各项系数!$F$41*10^-3*10^2)*各项系数!$J$4</f>
        <v>0</v>
      </c>
      <c r="KC20" s="123">
        <v>1</v>
      </c>
      <c r="KD20" s="251">
        <f t="shared" si="73"/>
        <v>0</v>
      </c>
      <c r="KE20" s="339">
        <f>KD20*各项系数!$E$41</f>
        <v>0</v>
      </c>
      <c r="KF20" s="251">
        <f t="shared" si="74"/>
        <v>0</v>
      </c>
      <c r="KG20" s="251">
        <f t="shared" si="75"/>
        <v>0</v>
      </c>
      <c r="KH20" s="302">
        <f>各项系数!$F$76/4*($NG20^2-$NE20^2)*10^-2*各项系数!$F$44*10^-3*10^2*各项系数!$J$4*0.75*$U20</f>
        <v>0.0441019510251213</v>
      </c>
      <c r="KI20" s="123">
        <v>1</v>
      </c>
      <c r="KJ20" s="251">
        <f t="shared" si="76"/>
        <v>0.0441019510251213</v>
      </c>
      <c r="KK20" s="251">
        <f>ROUND(KJ20*各项系数!$E$44,GT20)</f>
        <v>0.5</v>
      </c>
      <c r="KL20" s="302">
        <f>各项系数!$F$76/4*($NF20^2-$NE20^2)*10^-2*各项系数!$F$46*10^-3*10^2*各项系数!$J$4*PI()/4*R20</f>
        <v>0.00823280795647277</v>
      </c>
      <c r="KM20" s="123">
        <v>1</v>
      </c>
      <c r="KN20" s="251">
        <f t="shared" si="77"/>
        <v>0.00823280795647277</v>
      </c>
      <c r="KO20" s="251">
        <f>KN20*各项系数!$E$46</f>
        <v>0.555714537061912</v>
      </c>
      <c r="KP20" s="302">
        <f>各项系数!$F$76/4*($NH20^2-$NE20^2)*10^-2*(VLOOKUP($KP$9,各项系数!$D$1:$F$143,3,0))*10^-3*10^2*各项系数!$J$4</f>
        <v>0.0457761898801322</v>
      </c>
      <c r="KQ20" s="123">
        <v>1</v>
      </c>
      <c r="KR20" s="251">
        <f t="shared" si="150"/>
        <v>0.0457761898801322</v>
      </c>
      <c r="KS20" s="251">
        <f>KR20*(VLOOKUP($KP$9,各项系数!$D$1:$F$143,2,0))</f>
        <v>0.778195227962248</v>
      </c>
      <c r="KT20" s="302">
        <f>各项系数!$F$76/4*($NI20^2-$NF20^2)*10^-2*(VLOOKUP($KT$9,各项系数!$D$1:$F$143,3,0))*10^-3*10^2*各项系数!$J$4</f>
        <v>0.0467914772275488</v>
      </c>
      <c r="KU20" s="123">
        <v>1</v>
      </c>
      <c r="KV20" s="251">
        <f t="shared" si="151"/>
        <v>0.0467914772275488</v>
      </c>
      <c r="KW20" s="251">
        <f>KV20*(VLOOKUP($KT$9,各项系数!$D$1:$F$143,2,0))</f>
        <v>0.795455112868329</v>
      </c>
      <c r="KX20" s="251">
        <f>各项系数!$F$76/4*($NH20^2-$NE20^2)*10^-2*(VLOOKUP($KX$9,各项系数!$D$1:$F$143,3,0))*10^-3*10^2*各项系数!$J$4</f>
        <v>0.0457761898801322</v>
      </c>
      <c r="KY20" s="479">
        <v>1</v>
      </c>
      <c r="KZ20" s="251">
        <f t="shared" si="152"/>
        <v>0.0457761898801322</v>
      </c>
      <c r="LA20" s="251">
        <f>KZ20*(VLOOKUP($KX$9,各项系数!$D$1:$F$143,2,0))</f>
        <v>0.778195227962248</v>
      </c>
      <c r="LB20" s="251">
        <f>各项系数!$F$76/4*($NI20^2-$NF20^2)*10^-2*(VLOOKUP($LB$9,各项系数!$D$1:$F$143,3,0))*10^-3*10^2*各项系数!$J$4</f>
        <v>0.0467914772275488</v>
      </c>
      <c r="LC20" s="479">
        <v>1</v>
      </c>
      <c r="LD20" s="251">
        <f t="shared" si="153"/>
        <v>0.0467914772275488</v>
      </c>
      <c r="LE20" s="251">
        <f>LD20*(VLOOKUP($LB$9,各项系数!$D$1:$F$143,2,0))</f>
        <v>0.795455112868329</v>
      </c>
      <c r="LF20" s="302">
        <f>各项系数!$F$76/4*($NH20^2-$NE20^2)*10^-2*(VLOOKUP(AN20,各项系数!$D$1:$F$143,3,0))*10^-3*10^2*各项系数!$J$4</f>
        <v>0.0464075856026168</v>
      </c>
      <c r="LG20" s="123">
        <v>1</v>
      </c>
      <c r="LH20" s="251">
        <f t="shared" si="82"/>
        <v>0.0464075856026168</v>
      </c>
      <c r="LI20" s="251">
        <f>LH20*(VLOOKUP(AN20,各项系数!$D$1:$F$143,2,0))</f>
        <v>0.464075856026168</v>
      </c>
      <c r="LJ20" s="302">
        <f>各项系数!$F$76/4*($NI20^2-$NF20^2)*10^-2*(VLOOKUP(AN20,各项系数!$D$1:$F$143,3,0))*10^-3*10^2*各项系数!$J$4</f>
        <v>0.047436876913446</v>
      </c>
      <c r="LK20" s="123">
        <v>1</v>
      </c>
      <c r="LL20" s="251">
        <f t="shared" si="83"/>
        <v>0.047436876913446</v>
      </c>
      <c r="LM20" s="251">
        <f>LL20*(VLOOKUP(AN20,各项系数!$D$1:$F$143,2,0))</f>
        <v>0.47436876913446</v>
      </c>
      <c r="LN20" s="251">
        <f>各项系数!$F$76/4*($NH20^2-$NE20^2)*10^-2*(VLOOKUP($LN$9,各项系数!$D$1:$F$143,3,0))*10^-3*10^2*各项系数!$J$4</f>
        <v>0.0464075856026168</v>
      </c>
      <c r="LO20" s="479">
        <v>1</v>
      </c>
      <c r="LP20" s="251">
        <f t="shared" si="84"/>
        <v>0.0464075856026168</v>
      </c>
      <c r="LQ20" s="251">
        <f>LP20*(VLOOKUP($LN$9,各项系数!$D$1:$F$143,2,0))</f>
        <v>0.510483441628785</v>
      </c>
      <c r="LR20" s="251">
        <f>各项系数!$F$76/4*($NI20^2-$NF20^2)*10^-2*(VLOOKUP($LR$9,各项系数!$D$1:$F$143,3,0))*10^-3*10^2*各项系数!$J$4</f>
        <v>0.047436876913446</v>
      </c>
      <c r="LS20" s="479">
        <v>1</v>
      </c>
      <c r="LT20" s="251">
        <f t="shared" si="85"/>
        <v>0.047436876913446</v>
      </c>
      <c r="LU20" s="251">
        <f>LT20*(VLOOKUP($LR$9,各项系数!$D$1:$F$143,2,0))</f>
        <v>0.521805646047906</v>
      </c>
      <c r="LV20" s="499">
        <f t="shared" si="154"/>
        <v>12.15453832</v>
      </c>
      <c r="LW20" s="499">
        <f t="shared" si="155"/>
        <v>9.45352981</v>
      </c>
      <c r="LX20" s="499">
        <f t="shared" si="156"/>
        <v>3.46938149983894</v>
      </c>
      <c r="LY20" s="515">
        <f t="shared" si="157"/>
        <v>2.70100851</v>
      </c>
      <c r="LZ20" s="516">
        <f t="shared" si="86"/>
        <v>1</v>
      </c>
      <c r="MA20" s="517">
        <f t="shared" si="87"/>
        <v>12.15453832</v>
      </c>
      <c r="MB20" s="517">
        <f t="shared" si="158"/>
        <v>3.93390885</v>
      </c>
      <c r="MC20" s="499">
        <f t="shared" si="159"/>
        <v>0</v>
      </c>
      <c r="MD20" s="499">
        <f t="shared" si="160"/>
        <v>0</v>
      </c>
      <c r="ME20" s="499">
        <f t="shared" si="161"/>
        <v>0</v>
      </c>
      <c r="MF20" s="499">
        <f t="shared" si="162"/>
        <v>0</v>
      </c>
      <c r="MG20" s="516">
        <f t="shared" si="163"/>
        <v>1</v>
      </c>
      <c r="MH20" s="517">
        <f t="shared" si="88"/>
        <v>0</v>
      </c>
      <c r="MI20" s="517">
        <f t="shared" si="164"/>
        <v>0</v>
      </c>
      <c r="MJ20" s="251">
        <f t="shared" si="89"/>
        <v>3.93390885</v>
      </c>
      <c r="MK20" s="251">
        <f t="shared" si="165"/>
        <v>3.93390885</v>
      </c>
      <c r="ML20" s="251">
        <f t="shared" si="90"/>
        <v>0</v>
      </c>
      <c r="MM20" s="251">
        <f t="shared" si="91"/>
        <v>0</v>
      </c>
      <c r="MN20" s="251">
        <f t="shared" si="92"/>
        <v>5.33390885</v>
      </c>
      <c r="MO20" s="251">
        <f t="shared" si="166"/>
        <v>0</v>
      </c>
      <c r="MP20" s="251">
        <f t="shared" si="167"/>
        <v>5.33390885</v>
      </c>
      <c r="MQ20" s="251">
        <f t="shared" si="93"/>
        <v>5.33390885</v>
      </c>
      <c r="MR20" s="314">
        <f t="shared" si="168"/>
        <v>5.33390885</v>
      </c>
      <c r="MS20" s="530">
        <f t="shared" si="94"/>
        <v>5.33390885</v>
      </c>
      <c r="MT20" s="530">
        <f t="shared" si="95"/>
        <v>5.49390885</v>
      </c>
      <c r="MU20" s="530">
        <f t="shared" si="96"/>
        <v>5.73390885</v>
      </c>
      <c r="MV20" s="530">
        <f t="shared" si="97"/>
        <v>8.13390885</v>
      </c>
      <c r="MW20" s="530">
        <f t="shared" si="98"/>
        <v>8.29390885</v>
      </c>
      <c r="MX20" s="326">
        <f t="shared" si="99"/>
        <v>4.41390885</v>
      </c>
      <c r="MY20" s="326">
        <f t="shared" si="100"/>
        <v>0</v>
      </c>
      <c r="MZ20" s="251">
        <f t="shared" si="101"/>
        <v>5.81390885</v>
      </c>
      <c r="NA20" s="251">
        <f t="shared" si="102"/>
        <v>0</v>
      </c>
      <c r="NB20" s="251">
        <f t="shared" si="169"/>
        <v>5.81390885</v>
      </c>
      <c r="NC20" s="326">
        <f t="shared" si="103"/>
        <v>5.81390885</v>
      </c>
      <c r="ND20" s="314">
        <f t="shared" si="104"/>
        <v>5.81390885</v>
      </c>
      <c r="NE20" s="537">
        <f t="shared" si="105"/>
        <v>5.81390885</v>
      </c>
      <c r="NF20" s="530">
        <f t="shared" si="106"/>
        <v>5.97390885</v>
      </c>
      <c r="NG20" s="538">
        <f t="shared" si="107"/>
        <v>6.21390885</v>
      </c>
      <c r="NH20" s="326">
        <f t="shared" si="108"/>
        <v>8.61390885</v>
      </c>
      <c r="NI20" s="530">
        <f t="shared" si="109"/>
        <v>8.77390885</v>
      </c>
      <c r="NK20" s="539">
        <f t="shared" si="110"/>
        <v>0.139014720465379</v>
      </c>
      <c r="NL20" s="539">
        <f t="shared" si="111"/>
        <v>6.08443165149809</v>
      </c>
      <c r="NM20" s="539">
        <f t="shared" si="112"/>
        <v>0.139014720465379</v>
      </c>
      <c r="NN20" s="539">
        <f t="shared" si="113"/>
        <v>6.12775136316822</v>
      </c>
      <c r="NO20" s="539">
        <f t="shared" si="114"/>
        <v>0.147954898177694</v>
      </c>
      <c r="NP20" s="539">
        <f t="shared" si="115"/>
        <v>6.24451914599183</v>
      </c>
      <c r="NQ20" s="539">
        <f t="shared" si="116"/>
        <v>0.147954898177694</v>
      </c>
      <c r="NR20" s="539">
        <f t="shared" si="117"/>
        <v>6.29092673159444</v>
      </c>
      <c r="NS20" s="539">
        <f t="shared" si="118"/>
        <v>0.146577048453519</v>
      </c>
      <c r="NT20" s="539">
        <f t="shared" si="119"/>
        <v>0.146577048453519</v>
      </c>
      <c r="NU20" s="539">
        <f t="shared" si="120"/>
        <v>0.156187706134167</v>
      </c>
      <c r="NV20" s="539">
        <f t="shared" si="121"/>
        <v>0.156187706134167</v>
      </c>
      <c r="NW20">
        <f t="shared" si="122"/>
        <v>0.166069356994075</v>
      </c>
      <c r="NX20">
        <f>各项系数!$M$9*NK20</f>
        <v>0.0417044161396137</v>
      </c>
      <c r="NY20">
        <f t="shared" si="123"/>
        <v>0.146577048453519</v>
      </c>
      <c r="OB20" s="82" t="str">
        <f t="shared" si="124"/>
        <v>1*10</v>
      </c>
      <c r="OC20" s="546">
        <f t="shared" si="125"/>
        <v>131.130294998433</v>
      </c>
      <c r="OD20" s="546">
        <f>SQRT(4*EY20/PI()/EH20/各项系数!$J$4/各项系数!$F$5*10000000)</f>
        <v>131.849539109191</v>
      </c>
      <c r="OE20" s="547">
        <f t="shared" si="126"/>
        <v>9.45352980610329</v>
      </c>
      <c r="OF20" s="547">
        <f t="shared" si="127"/>
        <v>9.55751863397041</v>
      </c>
      <c r="OG20" s="82">
        <v>9.71</v>
      </c>
      <c r="OH20" s="548">
        <f t="shared" ref="OH20:OH35" si="186">OF20-OG20</f>
        <v>-0.152481366029587</v>
      </c>
    </row>
    <row r="21" customHeight="1" spans="1:398">
      <c r="A21" s="66">
        <v>16</v>
      </c>
      <c r="B21" s="67"/>
      <c r="C21" s="68">
        <v>0.7</v>
      </c>
      <c r="D21" s="69" t="s">
        <v>139</v>
      </c>
      <c r="E21" s="77">
        <f t="shared" si="175"/>
        <v>9.16250454</v>
      </c>
      <c r="F21" s="75">
        <v>165.416818206689</v>
      </c>
      <c r="G21" s="74"/>
      <c r="H21" s="23"/>
      <c r="I21" s="78"/>
      <c r="J21" s="23"/>
      <c r="K21" s="23"/>
      <c r="L21" s="118" t="s">
        <v>467</v>
      </c>
      <c r="M21" s="119">
        <f t="shared" si="2"/>
        <v>0.7</v>
      </c>
      <c r="N21" s="119">
        <f t="shared" si="3"/>
        <v>0</v>
      </c>
      <c r="O21" s="123"/>
      <c r="P21" s="120">
        <v>0.1</v>
      </c>
      <c r="Q21" s="162">
        <f t="shared" si="170"/>
        <v>0.1</v>
      </c>
      <c r="R21" s="169">
        <v>0.8</v>
      </c>
      <c r="S21" s="171" t="str">
        <f>各项系数!$D$44</f>
        <v>磁性钢带</v>
      </c>
      <c r="T21" s="123">
        <v>0.2</v>
      </c>
      <c r="U21" s="123">
        <v>2</v>
      </c>
      <c r="V21" s="169"/>
      <c r="W21" s="170">
        <v>1.4</v>
      </c>
      <c r="X21" s="164">
        <f t="shared" si="171"/>
        <v>0.2</v>
      </c>
      <c r="Y21" s="219">
        <v>2</v>
      </c>
      <c r="Z21" s="220">
        <v>0.2</v>
      </c>
      <c r="AA21" s="217">
        <v>1.011</v>
      </c>
      <c r="AB21" s="186">
        <f>PI()*EJ21*EJ21/4*EH21*(1-H21)*AA21*各项系数!$F$5*各项系数!$J$4*10^-7</f>
        <v>0.134531270768238</v>
      </c>
      <c r="AC21" s="186">
        <f t="shared" si="176"/>
        <v>165.416818206689</v>
      </c>
      <c r="AD21" s="186">
        <f t="shared" si="5"/>
        <v>15.2089209566661</v>
      </c>
      <c r="AE21" s="186">
        <f>POWER(4*EU21/PI()/EG21/10^-7/EH21/(1-H21)/各项系数!$F$5/各项系数!$J$4,0.5)</f>
        <v>166.32412244418</v>
      </c>
      <c r="AF21" s="218">
        <v>1</v>
      </c>
      <c r="AG21" s="85">
        <f>IF(EM21=0,0,PI()*ER21*ER21/4*EP21*(1-K21)*(1+AF21)*各项系数!$F$5*各项系数!$J$4*10^-7)</f>
        <v>0</v>
      </c>
      <c r="AH21" s="85">
        <f t="shared" si="177"/>
        <v>0</v>
      </c>
      <c r="AI21" s="85">
        <f t="shared" si="128"/>
        <v>0</v>
      </c>
      <c r="AJ21" s="85">
        <f>IF(OR(EP21="",EP21=0),0,POWER(4*EW21/PI()/EO21/10^-7/EP21/(1-K21)/各项系数!$F$5/各项系数!$J$4,0.5))</f>
        <v>0</v>
      </c>
      <c r="AK21" s="85" t="str">
        <f t="shared" si="8"/>
        <v>√</v>
      </c>
      <c r="AL21" s="85">
        <f t="shared" si="178"/>
        <v>9.7553552613548</v>
      </c>
      <c r="AM21" s="250">
        <f t="shared" si="179"/>
        <v>16</v>
      </c>
      <c r="AN21" s="118" t="s">
        <v>486</v>
      </c>
      <c r="AO21" s="259">
        <f>AP21+各项系数!$M$9*$NK21</f>
        <v>9.56407378564196</v>
      </c>
      <c r="AP21" s="259">
        <f>AQ21*(1+$BI21+(VLOOKUP($AM21,$A$12:$B$323,2,0))+各项系数!$J$6+各项系数!$M$5)*(1+$E$2)</f>
        <v>9.5046446046002</v>
      </c>
      <c r="AQ21" s="260">
        <f>AR21+各项系数!$L$9*$NK21</f>
        <v>9.6986169434696</v>
      </c>
      <c r="AR21" s="260">
        <f>AS21*(1+$BJ21+各项系数!$J$5+各项系数!$L$5)</f>
        <v>9.63918776242784</v>
      </c>
      <c r="AS21" s="260">
        <f t="shared" si="129"/>
        <v>9.45018408081161</v>
      </c>
      <c r="AT21" s="259">
        <f>AU21+各项系数!$M$9*$NM21</f>
        <v>9.90194577158138</v>
      </c>
      <c r="AU21" s="259">
        <f>AV21*(1+$BI21+(VLOOKUP($AM21,$A$12:$B$323,2,0))+各项系数!$J$6+各项系数!$M$5)*(1+$E$2)</f>
        <v>9.84251659053962</v>
      </c>
      <c r="AV21" s="260">
        <f>AW21+各项系数!$L$9*$NM21</f>
        <v>10.0433842760608</v>
      </c>
      <c r="AW21" s="260">
        <f>AX21*(1+$BJ21+各项系数!$J$5+各项系数!$L$5)</f>
        <v>9.98395509501909</v>
      </c>
      <c r="AX21" s="260">
        <f t="shared" si="130"/>
        <v>9.78819126962656</v>
      </c>
      <c r="AY21" s="259">
        <f>AZ21+各项系数!$M$9*$NS21</f>
        <v>10.1869046389262</v>
      </c>
      <c r="AZ21" s="259">
        <f>BA21*(1+$BI21+(VLOOKUP($AM21,$A$12:$B$214,2,0))+各项系数!$J$6+各项系数!$M$5)*(1+$E$2)</f>
        <v>10.1247757264844</v>
      </c>
      <c r="BA21" s="260">
        <f>BB21+各项系数!$L$9*$NS21</f>
        <v>10.3314038025351</v>
      </c>
      <c r="BB21" s="260">
        <f>BC21*(1+$BJ21+各项系数!$J$5+各项系数!$L$5)</f>
        <v>10.2692748900934</v>
      </c>
      <c r="BC21" s="262">
        <f t="shared" si="131"/>
        <v>10.0679165589151</v>
      </c>
      <c r="BD21" s="259">
        <f>BE21+各项系数!$M$9*$NS21</f>
        <v>10.5317408098747</v>
      </c>
      <c r="BE21" s="259">
        <f>BF21*(1+$BI21+(VLOOKUP($AM21,$A$12:$B$214,2,0))+各项系数!$J$6+各项系数!$M$5)*(1+$E$2)</f>
        <v>10.4696118974329</v>
      </c>
      <c r="BF21" s="260">
        <f>BG21+各项系数!$L$9*$NS21</f>
        <v>10.6832774463601</v>
      </c>
      <c r="BG21" s="260">
        <f>BH21*(1+$BJ21+各项系数!$J$5+各项系数!$L$5)</f>
        <v>10.6211485339184</v>
      </c>
      <c r="BH21" s="262">
        <f t="shared" si="132"/>
        <v>10.4128907195278</v>
      </c>
      <c r="BI21" s="67"/>
      <c r="BJ21" s="272"/>
      <c r="BK21" s="123"/>
      <c r="BL21" s="259">
        <f>BM21+各项系数!$M$9*$NM21</f>
        <v>9.70709173545231</v>
      </c>
      <c r="BM21" s="259">
        <f>BN21*(1+$CF21+(VLOOKUP($AM21,$A$12:$B$323,2,0))+各项系数!$J$6+各项系数!$M$5)*(1+$E$2)</f>
        <v>9.64766255441055</v>
      </c>
      <c r="BN21" s="260">
        <f>BO21+各项系数!$L$9*$NM21</f>
        <v>9.84455362694954</v>
      </c>
      <c r="BO21" s="260">
        <f>BP21*(1+$CG21+各项系数!$J$5+各项系数!$L$5)</f>
        <v>9.78512444590779</v>
      </c>
      <c r="BP21" s="260">
        <f t="shared" si="133"/>
        <v>9.5001208212697</v>
      </c>
      <c r="BQ21" s="259">
        <f>BR21+各项系数!$M$9*$NM21</f>
        <v>9.99787004602372</v>
      </c>
      <c r="BR21" s="259">
        <f>BS21*(1+$CF21+(VLOOKUP($AM21,$A$12:$B$323,2,0))+各项系数!$J$6+各项系数!$M$5)*(1+$E$2)</f>
        <v>9.93844086498197</v>
      </c>
      <c r="BS21" s="260">
        <f>BT21+各项系数!$L$9*$NM21</f>
        <v>10.1412661887571</v>
      </c>
      <c r="BT21" s="260">
        <f>BU21*(1+$CG21+各项系数!$J$5+各项系数!$L$5)</f>
        <v>10.0818370077154</v>
      </c>
      <c r="BU21" s="260">
        <f t="shared" si="134"/>
        <v>9.78819126962656</v>
      </c>
      <c r="BV21" s="259">
        <f>BW21+各项系数!$M$9*$NT21</f>
        <v>10.2842271345701</v>
      </c>
      <c r="BW21" s="259">
        <f>BX21*(1+$CF21+(VLOOKUP($AM21,$A$12:$B$214,2,0))+各项系数!$J$6+各项系数!$M$5)*(1+$E$2)</f>
        <v>10.2220982221283</v>
      </c>
      <c r="BX21" s="260">
        <f>BY21+各项系数!$L$9*$NT$12</f>
        <v>10.4307124715595</v>
      </c>
      <c r="BY21" s="260">
        <f>BZ21*(1+$CG21+各项系数!$J$5+各项系数!$L$5)</f>
        <v>10.4224490684045</v>
      </c>
      <c r="BZ21" s="262">
        <f t="shared" si="11"/>
        <v>10.118882590684</v>
      </c>
      <c r="CA21" s="259">
        <f>CB21+各项系数!$M$9*$NT21</f>
        <v>10.580998939825</v>
      </c>
      <c r="CB21" s="259">
        <f>CC21*(1+$CF21+(VLOOKUP($AM21,$A$12:$B$214,2,0))+各项系数!$J$6+各项系数!$M$5)*(1+$E$2)</f>
        <v>10.5188700273833</v>
      </c>
      <c r="CC21" s="260">
        <f>CD21+各项系数!$L$9*$NT$12</f>
        <v>10.7335408442686</v>
      </c>
      <c r="CD21" s="260">
        <f>CE21*(1+$CG21+各项系数!$J$5+各项系数!$L$5)</f>
        <v>10.7252774411137</v>
      </c>
      <c r="CE21" s="262">
        <f t="shared" si="135"/>
        <v>10.4128907195278</v>
      </c>
      <c r="CF21" s="277">
        <f t="shared" si="136"/>
        <v>0</v>
      </c>
      <c r="CG21" s="277">
        <f t="shared" si="12"/>
        <v>0.01</v>
      </c>
      <c r="CH21" s="123"/>
      <c r="CI21" s="259">
        <f>CJ21+各项系数!$M$9*$NO21</f>
        <v>9.81845031410423</v>
      </c>
      <c r="CJ21" s="259">
        <f>CK21*(1+$DC21+(VLOOKUP($AM21,$A$12:$B$323,2,0))+各项系数!$J$6+各项系数!$M$5)*(1+$E$2)+各项系数!$M$9*$NK21</f>
        <v>9.75599183042463</v>
      </c>
      <c r="CK21" s="260">
        <f>CL21+各项系数!$L$9*$NO21</f>
        <v>9.89445168304375</v>
      </c>
      <c r="CL21" s="260">
        <f>CM21*(1+$DD21+各项系数!$J$5+各项系数!$L$5)</f>
        <v>9.83199319936415</v>
      </c>
      <c r="CM21" s="260">
        <f t="shared" si="13"/>
        <v>9.63920901898446</v>
      </c>
      <c r="CN21" s="259">
        <f>CO21+各项系数!$M$9*$NO21</f>
        <v>10.1254559122145</v>
      </c>
      <c r="CO21" s="259">
        <f>CP21*(1+$DC21+(VLOOKUP($AM21,$A$12:$B$323,2,0))+各项系数!$J$6+各项系数!$M$5)*(1+$E$2)+各项系数!$M$9*$NK21</f>
        <v>10.0629974285349</v>
      </c>
      <c r="CP21" s="260">
        <f>CQ21+各项系数!$L$9*$NO21</f>
        <v>10.2077227015236</v>
      </c>
      <c r="CQ21" s="260">
        <f>CR21*(1+$DD21+各项系数!$J$5+各项系数!$L$5)</f>
        <v>10.145264217844</v>
      </c>
      <c r="CR21" s="260">
        <f t="shared" si="14"/>
        <v>9.94633746847454</v>
      </c>
      <c r="CS21" s="259">
        <f>CT21+各项系数!$M$9*$NU21</f>
        <v>10.4274895463512</v>
      </c>
      <c r="CT21" s="259">
        <f t="shared" si="15"/>
        <v>10.3621301872811</v>
      </c>
      <c r="CU21" s="260">
        <f>CV21+各项系数!$L$9*$NU21</f>
        <v>10.5736022319195</v>
      </c>
      <c r="CV21" s="260">
        <f>CW21*(1+$DD21+各项系数!$J$5+各项系数!$L$5)</f>
        <v>10.5082428728495</v>
      </c>
      <c r="CW21" s="262">
        <f t="shared" si="16"/>
        <v>10.3021988949505</v>
      </c>
      <c r="CX21" s="259">
        <f>CY21+各项系数!$M$9*$NU21</f>
        <v>10.7932182723269</v>
      </c>
      <c r="CY21" s="259">
        <f t="shared" si="17"/>
        <v>10.7278589132569</v>
      </c>
      <c r="CZ21" s="260">
        <f>DA21+各项系数!$L$9*$NU21</f>
        <v>10.9467948094458</v>
      </c>
      <c r="DA21" s="260">
        <f>DB21*(1+$DD21+各项系数!$J$5+各项系数!$L$5)</f>
        <v>10.8814354503757</v>
      </c>
      <c r="DB21" s="262">
        <f t="shared" si="18"/>
        <v>10.6680739709566</v>
      </c>
      <c r="DC21" s="277">
        <f t="shared" si="137"/>
        <v>0</v>
      </c>
      <c r="DD21" s="277">
        <f t="shared" si="19"/>
        <v>0</v>
      </c>
      <c r="DE21" s="69"/>
      <c r="DF21" s="69"/>
      <c r="DG21" s="259">
        <f>DH21+各项系数!$M$9*$NQ21</f>
        <v>9.96643760825613</v>
      </c>
      <c r="DH21" s="259">
        <f>DI21*(1+$EA21+(VLOOKUP($AM21,$A$12:$B$323,2,0))+各项系数!$J$6+各项系数!$M$5)*(1+$E$2)+各项系数!$M$9*$NK21</f>
        <v>9.90397912457653</v>
      </c>
      <c r="DI21" s="260">
        <f>DJ21+各项系数!$L$9*$NQ21</f>
        <v>10.0454591260559</v>
      </c>
      <c r="DJ21" s="260">
        <f>DK21*(1+$EB21+各项系数!$J$5+各项系数!$L$5)</f>
        <v>9.98300064237629</v>
      </c>
      <c r="DK21" s="260">
        <f t="shared" si="20"/>
        <v>9.69223363337504</v>
      </c>
      <c r="DL21" s="259">
        <f>DM21+各项系数!$M$9*$NQ21</f>
        <v>10.2751964028782</v>
      </c>
      <c r="DM21" s="259">
        <f>DN21*(1+$EA21+(VLOOKUP($AM21,$A$12:$B$323,2,0))+各项系数!$J$6+各项系数!$M$5)*(1+$E$2)+各项系数!$M$9*$NK21</f>
        <v>10.2127379191986</v>
      </c>
      <c r="DN21" s="260">
        <f>DO21+各项系数!$L$9*$NQ21</f>
        <v>10.3605191205682</v>
      </c>
      <c r="DO21" s="260">
        <f>DP21*(1+$EB21+各项系数!$J$5+各项系数!$L$5)</f>
        <v>10.2980606368886</v>
      </c>
      <c r="DP21" s="260">
        <f t="shared" si="21"/>
        <v>9.99811712319278</v>
      </c>
      <c r="DQ21" s="259">
        <f>DR21+各项系数!$M$9*$NV21</f>
        <v>10.5830131079367</v>
      </c>
      <c r="DR21" s="259">
        <f t="shared" si="22"/>
        <v>10.5176537488667</v>
      </c>
      <c r="DS21" s="260">
        <f>DT21+各项系数!$L$9*$NV21</f>
        <v>10.7322997437415</v>
      </c>
      <c r="DT21" s="260">
        <f>DU21*(1+$EB21+各项系数!$J$5+各项系数!$L$5)</f>
        <v>10.6669403846714</v>
      </c>
      <c r="DU21" s="262">
        <f t="shared" si="23"/>
        <v>10.3562528006519</v>
      </c>
      <c r="DV21" s="259">
        <f>DW21+各项系数!$M$9*$NV21</f>
        <v>10.7455450750239</v>
      </c>
      <c r="DW21" s="259">
        <f t="shared" si="24"/>
        <v>10.6801857159538</v>
      </c>
      <c r="DX21" s="260">
        <f>DY21+各项系数!$L$9*$NV21</f>
        <v>10.8981486897488</v>
      </c>
      <c r="DY21" s="260">
        <f>DZ21*(1+$EB21+各项系数!$J$5+各项系数!$L$5)</f>
        <v>10.8327893306787</v>
      </c>
      <c r="DZ21" s="262">
        <f t="shared" si="25"/>
        <v>10.5172711948337</v>
      </c>
      <c r="EA21" s="277">
        <f t="shared" si="26"/>
        <v>0</v>
      </c>
      <c r="EB21" s="277">
        <f t="shared" si="27"/>
        <v>0.01</v>
      </c>
      <c r="EC21" s="302">
        <f t="shared" si="138"/>
        <v>1</v>
      </c>
      <c r="ED21" s="302" t="str">
        <f t="shared" si="180"/>
        <v>1*16</v>
      </c>
      <c r="EE21" s="251">
        <f t="shared" ref="EE21:EE27" si="187">IF($D21="",0,IF(COUNTIF($D21,"*+*")&gt;0,MID($D21,FIND("*",$D21)+1,FIND("+",$D21)-FIND("*",$D21)-1),RIGHT($D21,(LEN($D21)-FIND("*",$D21)))))*1</f>
        <v>16</v>
      </c>
      <c r="EF21" s="251" t="str">
        <f>LOOKUP(EH21,{1,7,10,14,19,24,30,37,48,61},{1,"1+6","2+8","4+10","1+6+12","2+8+14","4+10+16","1+6+12+18","3+9+15+21","1+6+12+18+24"})</f>
        <v>1+6</v>
      </c>
      <c r="EG21" s="250">
        <f t="shared" si="29"/>
        <v>1</v>
      </c>
      <c r="EH21" s="260">
        <f>IF(AM21&lt;10,1,IF(AND(AM21&gt;=10,AM21&lt;=35),7,LOOKUP(AM21,{50,70,95,120,150,185,240,300,400,500,630},{10,14,19,24,30,37,48,61,61,61,61})*1))</f>
        <v>7</v>
      </c>
      <c r="EI21" s="250">
        <f>IF(EH21=0,0,VLOOKUP(EH21,各项系数!$D$142:$E$195,2,0))*1</f>
        <v>3</v>
      </c>
      <c r="EJ21" s="305">
        <f t="shared" si="141"/>
        <v>165.416818206689</v>
      </c>
      <c r="EK21" s="251">
        <f t="shared" si="181"/>
        <v>0</v>
      </c>
      <c r="EL21" s="251">
        <f t="shared" si="31"/>
        <v>0</v>
      </c>
      <c r="EM21" s="251">
        <f t="shared" si="182"/>
        <v>0</v>
      </c>
      <c r="EN21" s="251">
        <f>IF(EP21=0,0,LOOKUP(EP21,{1,7,10,14,19,24,30,37,48,61},{1,"1+6","2+8","4+10","1+6+12","2+8+14","4+10+16","1+6+12+18","3+9+15+21","1+6+12+18+24"}))</f>
        <v>0</v>
      </c>
      <c r="EO21" s="251">
        <f t="shared" si="183"/>
        <v>0</v>
      </c>
      <c r="EP21" s="251">
        <f>IF(EM21=0,0,IF(EM21&lt;10,1,IF(AND(EM21&gt;=10,EM21&lt;=35),7,LOOKUP(EM21,{50,70,95,120,150,185,240,300},{10,14,19,24,30,37,48,61})*1)))</f>
        <v>0</v>
      </c>
      <c r="EQ21" s="251">
        <f>IF(EP21=0,0,VLOOKUP(EP21,各项系数!$D$142:$E$195,2,0))*1</f>
        <v>0</v>
      </c>
      <c r="ER21" s="251">
        <f t="shared" si="184"/>
        <v>0</v>
      </c>
      <c r="ES21" s="302">
        <f t="shared" si="185"/>
        <v>1</v>
      </c>
      <c r="ET21" s="251">
        <f>VLOOKUP(ES21,各项系数!$D$142:$E$195,2,0)*1</f>
        <v>1</v>
      </c>
      <c r="EU21" s="311">
        <f>((各项系数!$F$76/4*$EJ21^2*$EG21*$EH21*1*10^-7)*(1-$H21)*AA21)*(VLOOKUP($EY$9,各项系数!$D$4:$F$143,3,0))*各项系数!$J$4</f>
        <v>0.134531270768238</v>
      </c>
      <c r="EV21" s="312">
        <f>EU21*(VLOOKUP($EY$9,各项系数!$D$4:$F$143,2,0))</f>
        <v>8.81179823531959</v>
      </c>
      <c r="EW21" s="324">
        <f>(IF($EO21=0,0,(各项系数!$F$76/4*$ER21^2*$EO21*$EP21*1*10^-7))*(1-$K21)*$AF21)*(VLOOKUP($EY$9,各项系数!$D$4:$F$143,3,0))*各项系数!$J$4</f>
        <v>0</v>
      </c>
      <c r="EX21" s="325">
        <f>EW21*(VLOOKUP($EY$9,各项系数!$D$4:$F$143,2,0))</f>
        <v>0</v>
      </c>
      <c r="EY21" s="251">
        <f>((各项系数!$F$76/4*$EJ21^2*$EG21*$EH21*1*10^-7)*(1-$H21)*AA21+IF($EO21=0,0,(各项系数!$F$76/4*$ER21^2*$EO21*$EP21*1*10^-7))*(1-$K21)*$AF21)*(VLOOKUP($EY$9,各项系数!$D$4:$F$143,3,0))*各项系数!$J$4</f>
        <v>0.134531270768238</v>
      </c>
      <c r="EZ21" s="123">
        <v>1</v>
      </c>
      <c r="FA21" s="251">
        <f t="shared" ref="FA21:FA52" si="188">EZ21*EY21</f>
        <v>0.134531270768238</v>
      </c>
      <c r="FB21" s="326">
        <f>FA21*(VLOOKUP($EY$9,各项系数!$D$4:$F$143,2,0))</f>
        <v>8.81179823531959</v>
      </c>
      <c r="FC21" s="327"/>
      <c r="FD21" s="302">
        <f>各项系数!$F$76/4*($MN21^2-MK21^2)*10^-2*(VLOOKUP(L21,各项系数!$D$1:$F$143,3,0))*10^-3*10^2*$EG21*各项系数!$J$4</f>
        <v>0.0136292589128572</v>
      </c>
      <c r="FE21" s="339">
        <f>FD21*VLOOKUP(L21,各项系数!$D$1:$F$143,2,0)</f>
        <v>0.139018440911144</v>
      </c>
      <c r="FF21" s="250">
        <f>各项系数!$F$76/4*($MO21^2-ML21^2)*10^-2*(VLOOKUP(L21,各项系数!$D$1:$F$143,3,0))*10^-3*10^2*$EO21*各项系数!$J$4</f>
        <v>0</v>
      </c>
      <c r="FG21" s="339">
        <f>FF21*VLOOKUP(L21,各项系数!$D$1:$F$143,2,0)</f>
        <v>0</v>
      </c>
      <c r="FH21" s="302">
        <f t="shared" si="142"/>
        <v>0.0136292589128572</v>
      </c>
      <c r="FI21" s="123">
        <v>1</v>
      </c>
      <c r="FJ21" s="251">
        <f t="shared" ref="FJ21:FJ52" si="189">FI21*FH21</f>
        <v>0.0136292589128572</v>
      </c>
      <c r="FK21" s="339">
        <f>FJ21*VLOOKUP(L21,各项系数!$D$1:$F$143,2,0)</f>
        <v>0.139018440911144</v>
      </c>
      <c r="FL21" s="302"/>
      <c r="FM21" s="123"/>
      <c r="FN21" s="251"/>
      <c r="FO21" s="339"/>
      <c r="FP21" s="364">
        <f t="shared" ref="FP21:FP52" si="190">FJ21</f>
        <v>0.0136292589128572</v>
      </c>
      <c r="FQ21" s="364">
        <f t="shared" ref="FQ21:FQ52" si="191">FK21</f>
        <v>0.139018440911144</v>
      </c>
      <c r="FR21" s="365">
        <f>各项系数!$F$76/4*($MQ21^2-$MN21^2*$EG21-$MO21^2*$EO21)*10^-2</f>
        <v>0</v>
      </c>
      <c r="FS21" s="366">
        <f t="shared" si="143"/>
        <v>1</v>
      </c>
      <c r="FT21" s="367">
        <f t="shared" si="40"/>
        <v>0</v>
      </c>
      <c r="FU21" s="388">
        <f>$FT21*(VLOOKUP($FT$9,各项系数!$D$1:$F$143,3,0))*10^-3*10^2*各项系数!$J$55</f>
        <v>0</v>
      </c>
      <c r="FV21" s="389">
        <v>1</v>
      </c>
      <c r="FW21" s="390">
        <f t="shared" ref="FW21:FW52" si="192">FV21*FU21</f>
        <v>0</v>
      </c>
      <c r="FX21" s="367">
        <f>FW21*(VLOOKUP($FT$9,各项系数!$D$1:$F$143,2,0))</f>
        <v>0</v>
      </c>
      <c r="FY21" s="388">
        <f>IF($BK21&lt;&gt;$FY$9,0,各项系数!$F$76/4*($MS21^2-$MQ21^2)*10^-2*(VLOOKUP($FY$9,各项系数!$D$1:$F$143,3,0))*10^-3*10^2)*各项系数!$J$4</f>
        <v>0</v>
      </c>
      <c r="FZ21" s="389">
        <v>1</v>
      </c>
      <c r="GA21" s="390">
        <f t="shared" ref="GA21:GA52" si="193">FZ21*FY21</f>
        <v>0</v>
      </c>
      <c r="GB21" s="367">
        <f>GA21*(VLOOKUP($FY$9,各项系数!$D$1:$F$143,2,0))</f>
        <v>0</v>
      </c>
      <c r="GC21" s="388">
        <f>IF($BK21&lt;&gt;$GC$9,0,各项系数!$F$76/4*($MS21^2-$MQ21^2)*10^-2*(VLOOKUP($GC$9,各项系数!$D$1:$F$143,3,0))*10^-3*10^2)*各项系数!$J$4</f>
        <v>0</v>
      </c>
      <c r="GD21" s="389">
        <v>1</v>
      </c>
      <c r="GE21" s="390">
        <f t="shared" ref="GE21:GE52" si="194">GD21*GC21</f>
        <v>0</v>
      </c>
      <c r="GF21" s="367">
        <f>GE21*(VLOOKUP($GC$9,各项系数!$D$1:$F$143,2,0))</f>
        <v>0</v>
      </c>
      <c r="GG21" s="388">
        <f>IF($BK21&lt;&gt;$GG$9,0,各项系数!$F$76/4*($MS21^2-$MQ21^2)*10^-2*(VLOOKUP($GG$9,各项系数!$D$1:$F$143,3,0))*10^-3*10^2)*各项系数!$J$4</f>
        <v>0</v>
      </c>
      <c r="GH21" s="389">
        <v>1</v>
      </c>
      <c r="GI21" s="390">
        <f t="shared" ref="GI21:GI52" si="195">GH21*GG21</f>
        <v>0</v>
      </c>
      <c r="GJ21" s="367">
        <f>GI21*(VLOOKUP($GG$9,各项系数!$D$1:$F$143,2,0))</f>
        <v>0</v>
      </c>
      <c r="GK21" s="388">
        <f>IF($BK21&lt;&gt;$GK$9,0,各项系数!$F$76/4*($MS21^2-$MQ21^2)*10^-2*(VLOOKUP($GK$9,各项系数!$D$1:$F$143,3,0))*10^-3*10^2)*各项系数!$J$4</f>
        <v>0</v>
      </c>
      <c r="GL21" s="389">
        <v>1</v>
      </c>
      <c r="GM21" s="390">
        <f t="shared" ref="GM21:GM52" si="196">GL21*GK21</f>
        <v>0</v>
      </c>
      <c r="GN21" s="367">
        <f>GM21*(VLOOKUP($GK$9,各项系数!$D$1:$F$143,2,0))</f>
        <v>0</v>
      </c>
      <c r="GO21" s="390">
        <f t="shared" ref="GO21:GO52" si="197">GM21+GI21+GE21+GA21</f>
        <v>0</v>
      </c>
      <c r="GP21" s="390">
        <f t="shared" ref="GP21:GP52" si="198">GN21+GJ21+GF21+GB21</f>
        <v>0</v>
      </c>
      <c r="GQ21" s="406">
        <f>各项系数!$F$76/4*($MU21^2-$MS21^2)*10^-2*(VLOOKUP($S21,各项系数!$D$1:$F$143,3,0))*10^-3*10^2*各项系数!$J$4</f>
        <v>0.0320833211858226</v>
      </c>
      <c r="GR21" s="389">
        <v>1</v>
      </c>
      <c r="GS21" s="390">
        <f t="shared" ref="GS21:GS52" si="199">$GR21*$GQ21</f>
        <v>0.0320833211858226</v>
      </c>
      <c r="GT21" s="390">
        <f t="shared" ref="GT21:GT84" si="200">IF(OR(AND(EG21=$AC$3,EE21&lt;$AC$4),AND(EE21&lt;($AB$4+1),EG21&lt;$AB$3)),$AB$5,0)</f>
        <v>1</v>
      </c>
      <c r="GU21" s="390">
        <f>ROUND($GS21*(VLOOKUP($S21,各项系数!$D$1:$F$143,2,0))+$E$3*GS21,GT21)</f>
        <v>0.3</v>
      </c>
      <c r="GV21" s="406">
        <f>各项系数!$F$76/4*($MT21^2-$MS21^2)*10^-2*(VLOOKUP($GV$9,各项系数!$D$1:$F$143,3,0))*10^-3*10^2*各项系数!$J$4*PI()/4*R21</f>
        <v>0.00899910466659562</v>
      </c>
      <c r="GW21" s="389">
        <v>1</v>
      </c>
      <c r="GX21" s="390">
        <f t="shared" ref="GX21:GX52" si="201">$GW21*$GV21</f>
        <v>0.00899910466659562</v>
      </c>
      <c r="GY21" s="390">
        <f>$GX21*(VLOOKUP($GV$9,各项系数!$D$1:$F$143,2,0))</f>
        <v>0.607439564995204</v>
      </c>
      <c r="GZ21" s="406">
        <f>各项系数!$F$76/4*($MV21^2-$MS21^2)*10^-2*(VLOOKUP($GZ$9,各项系数!$D$1:$F$143,3,0))*10^-3*10^2*各项系数!$J$4</f>
        <v>0.0492573290232838</v>
      </c>
      <c r="HA21" s="389">
        <v>1</v>
      </c>
      <c r="HB21" s="390">
        <f t="shared" si="144"/>
        <v>0.0492573290232838</v>
      </c>
      <c r="HC21" s="390">
        <f>HB21*(VLOOKUP($GZ$9,各项系数!$D$1:$F$143,2,0))</f>
        <v>0.837374593395824</v>
      </c>
      <c r="HD21" s="406">
        <f>各项系数!$F$76/4*($MW21^2-$MT21^2)*10^-2*(VLOOKUP($HD$9,各项系数!$D$1:$F$143,3,0))*10^-3*10^2*各项系数!$J$4</f>
        <v>0.0502726163707003</v>
      </c>
      <c r="HE21" s="389">
        <v>1</v>
      </c>
      <c r="HF21" s="390">
        <f t="shared" si="145"/>
        <v>0.0502726163707003</v>
      </c>
      <c r="HG21" s="390">
        <f>HF21*(VLOOKUP($HD$9,各项系数!$D$1:$F$143,2,0))</f>
        <v>0.854634478301905</v>
      </c>
      <c r="HH21" s="406">
        <f>各项系数!$F$76/4*($MV21^2-$MS21^2)*10^-2*(VLOOKUP($HH$9,各项系数!$D$1:$F$143,3,0))*10^-3*10^2*各项系数!$J$4</f>
        <v>0.0492573290232838</v>
      </c>
      <c r="HI21" s="420">
        <v>1</v>
      </c>
      <c r="HJ21" s="390">
        <f t="shared" si="146"/>
        <v>0.0492573290232838</v>
      </c>
      <c r="HK21" s="390">
        <f>HJ21*(VLOOKUP($HH$9,各项系数!$D$1:$F$143,2,0))</f>
        <v>0.837374593395824</v>
      </c>
      <c r="HL21" s="406">
        <f>各项系数!$F$76/4*($MW21^2-$MT21^2)*10^-2*(VLOOKUP($HL$9,各项系数!$D$1:$F$143,3,0))*10^-3*10^2*各项系数!$J$4</f>
        <v>0.0502726163707003</v>
      </c>
      <c r="HM21" s="420">
        <v>1</v>
      </c>
      <c r="HN21" s="390">
        <f t="shared" si="147"/>
        <v>0.0502726163707003</v>
      </c>
      <c r="HO21" s="390">
        <f>HN21*(VLOOKUP($HL$9,各项系数!$D$1:$F$143,2,0))</f>
        <v>0.854634478301905</v>
      </c>
      <c r="HP21" s="406">
        <f>各项系数!$F$76/4*($MV21^2-$MS21^2)*10^-2*(VLOOKUP(AN21,各项系数!$D$1:$F$143,3,0))*10^-3*10^2*各项系数!$J$4</f>
        <v>0.0499367404580877</v>
      </c>
      <c r="HQ21" s="389">
        <v>1</v>
      </c>
      <c r="HR21" s="390">
        <f t="shared" ref="HR21:HR52" si="202">HQ21*HP21</f>
        <v>0.0499367404580877</v>
      </c>
      <c r="HS21" s="390">
        <f>HR21*(VLOOKUP(AN21,各项系数!$D$1:$F$143,2,0))</f>
        <v>0.499367404580877</v>
      </c>
      <c r="HT21" s="406">
        <f>各项系数!$F$76/4*($MW21^2-$MT21^2)*10^-2*(VLOOKUP(AN21,各项系数!$D$1:$F$143,3,0))*10^-3*10^2*各项系数!$J$4</f>
        <v>0.0509660317689169</v>
      </c>
      <c r="HU21" s="389">
        <v>1</v>
      </c>
      <c r="HV21" s="390">
        <f t="shared" ref="HV21:HV52" si="203">HU21*HT21</f>
        <v>0.0509660317689169</v>
      </c>
      <c r="HW21" s="390">
        <f>HV21*(VLOOKUP(AN21,各项系数!$D$1:$F$143,2,0))</f>
        <v>0.509660317689169</v>
      </c>
      <c r="HX21" s="406">
        <f>各项系数!$F$76/4*($MV21^2-$MS21^2)*10^-2*(VLOOKUP($HX$9,各项系数!$D$1:$F$143,3,0))*10^-3*10^2*各项系数!$J$4</f>
        <v>0.0499367404580877</v>
      </c>
      <c r="HY21" s="420">
        <v>1</v>
      </c>
      <c r="HZ21" s="390">
        <f t="shared" ref="HZ21:HZ52" si="204">HY21*HX21</f>
        <v>0.0499367404580877</v>
      </c>
      <c r="IA21" s="390">
        <f>HZ21*(VLOOKUP($HX$9,各项系数!$D$1:$F$143,2,0))</f>
        <v>0.549304145038965</v>
      </c>
      <c r="IB21" s="406">
        <f>各项系数!$F$76/4*($MW21^2-$MT21^2)*10^-2*(VLOOKUP($IB$9,各项系数!$D$1:$F$143,3,0))*10^-3*10^2*各项系数!$J$4</f>
        <v>0.0509660317689169</v>
      </c>
      <c r="IC21" s="420">
        <v>1</v>
      </c>
      <c r="ID21" s="390">
        <f t="shared" ref="ID21:ID52" si="205">IC21*IB21</f>
        <v>0.0509660317689169</v>
      </c>
      <c r="IE21" s="390">
        <f>ID21*(VLOOKUP($IB$9,各项系数!$D$1:$F$143,2,0))</f>
        <v>0.560626349458086</v>
      </c>
      <c r="IF21" s="429"/>
      <c r="IG21" s="406">
        <f t="shared" si="148"/>
        <v>0.00585447454544971</v>
      </c>
      <c r="IH21" s="389">
        <v>1</v>
      </c>
      <c r="II21" s="390">
        <f t="shared" ref="II21:II52" si="206">IH21*IG21</f>
        <v>0.00585447454544971</v>
      </c>
      <c r="IJ21" s="390">
        <f>II21*(VLOOKUP($IG$8,各项系数!$D$1:$F$143,2,0))</f>
        <v>0.146361863636243</v>
      </c>
      <c r="IK21" s="406">
        <f>(各项系数!$F$76/4*($MX21^2-$MK21^2)*$EG21)*10^-2*(VLOOKUP($IG$8,各项系数!$D$1:$F$143,3,0))*10^-3*10^2*各项系数!$J$4</f>
        <v>0.00585447454544971</v>
      </c>
      <c r="IL21" s="389">
        <f>IK21*(VLOOKUP($IG$8,各项系数!$D$1:$F$143,2,0))</f>
        <v>0.146361863636243</v>
      </c>
      <c r="IM21" s="390">
        <f>(各项系数!$F$76/4*(($MM21+3*$X21)^2-MM21^2)*$EO21)*10^-2*(VLOOKUP($IG$8,各项系数!$D$1:$F$143,3,0))*10^-3*10^2*各项系数!$J$4</f>
        <v>0</v>
      </c>
      <c r="IN21" s="389">
        <f>IM21*(VLOOKUP($IG$8,各项系数!$D$1:$F$143,2,0))</f>
        <v>0</v>
      </c>
      <c r="IO21" s="406">
        <f>各项系数!$F$76/4*($MZ21^2-$MX21^2)*10^-2*(VLOOKUP(L21,各项系数!$D$1:$F$143,3,0))*10^-3*10^2*$ES21*各项系数!$J$4</f>
        <v>0.0147845858944002</v>
      </c>
      <c r="IP21" s="389">
        <v>1</v>
      </c>
      <c r="IQ21" s="390">
        <f t="shared" ref="IQ21:IQ52" si="207">IP21*IO21</f>
        <v>0.0147845858944002</v>
      </c>
      <c r="IR21" s="367">
        <f>IQ21*(VLOOKUP(L21,各项系数!$D$1:$F$143,2,0))</f>
        <v>0.150802776122882</v>
      </c>
      <c r="IS21" s="406">
        <f>IF($L21&lt;&gt;$IS$9,0,各项系数!$F$76/4*($MZ21^2-$MX21^2)*10^-2*各项系数!$F$12*10^-3*10^2)*$ES21*各项系数!$J$4</f>
        <v>0</v>
      </c>
      <c r="IT21" s="389">
        <v>1</v>
      </c>
      <c r="IU21" s="390">
        <f t="shared" ref="IU21:IU52" si="208">IT21*IS21</f>
        <v>0</v>
      </c>
      <c r="IV21" s="367">
        <f>IU21*各项系数!$E$12</f>
        <v>0</v>
      </c>
      <c r="IW21" s="388">
        <f t="shared" ref="IW21:IW52" si="209">IQ21</f>
        <v>0.0147845858944002</v>
      </c>
      <c r="IX21" s="388">
        <f t="shared" ref="IX21:IX52" si="210">IR21</f>
        <v>0.150802776122882</v>
      </c>
      <c r="IY21" s="447">
        <f>各项系数!$F$76/4*($NB21^2-$MZ21^2*$EG21-$NA21^2*$EO21)*10^-2</f>
        <v>0</v>
      </c>
      <c r="IZ21" s="366">
        <f t="shared" si="149"/>
        <v>1</v>
      </c>
      <c r="JA21" s="367">
        <f t="shared" si="64"/>
        <v>0</v>
      </c>
      <c r="JB21" s="364">
        <f>IF($DE21&lt;&gt;$JB$9,0,$JA21*各项系数!$F$32*10^-3*10^2)*各项系数!$J$4</f>
        <v>0</v>
      </c>
      <c r="JC21" s="123">
        <v>1</v>
      </c>
      <c r="JD21" s="251">
        <f t="shared" ref="JD21:JD52" si="211">JC21*JB21</f>
        <v>0</v>
      </c>
      <c r="JE21" s="339">
        <f>JD21*各项系数!$E$32</f>
        <v>0</v>
      </c>
      <c r="JF21" s="364">
        <f>IF($DE21&lt;&gt;$JF$9,0,$JA21*VLOOKUP($JF$9,各项系数!$D$4:$F$540,2,0)*10^-3*10^2)*各项系数!$J$4</f>
        <v>0</v>
      </c>
      <c r="JG21" s="123">
        <v>1</v>
      </c>
      <c r="JH21" s="251">
        <f t="shared" si="66"/>
        <v>0</v>
      </c>
      <c r="JI21" s="339">
        <f>JH21*VLOOKUP($JF$9,各项系数!$D$4:$F$540,3,0)</f>
        <v>0</v>
      </c>
      <c r="JJ21" s="364">
        <f t="shared" ref="JJ21:JJ52" si="212">JH21+JD21</f>
        <v>0</v>
      </c>
      <c r="JK21" s="251">
        <f t="shared" ref="JK21:JK52" si="213">JI21+JE21</f>
        <v>0</v>
      </c>
      <c r="JL21" s="364">
        <f>IF($DF21&lt;&gt;$JL$9,0,各项系数!$F$76/4*($NE21^2-$NC21^2)*10^-2*各项系数!$F$39*10^-3*10^2)*各项系数!$J$4</f>
        <v>0</v>
      </c>
      <c r="JM21" s="123">
        <v>1</v>
      </c>
      <c r="JN21" s="251">
        <f t="shared" ref="JN21:JN52" si="214">JM21*JL21</f>
        <v>0</v>
      </c>
      <c r="JO21" s="339">
        <f>JN21*各项系数!$E$39</f>
        <v>0</v>
      </c>
      <c r="JP21" s="364">
        <f>IF($DF21&lt;&gt;$JP$9,0,各项系数!$F$76/4*($NE21^2-$NC21^2)*10^-2*各项系数!$F$36*10^-3*10^2)*各项系数!$J$4</f>
        <v>0</v>
      </c>
      <c r="JQ21" s="123">
        <v>1</v>
      </c>
      <c r="JR21" s="251">
        <f t="shared" ref="JR21:JR52" si="215">JQ21*JP21</f>
        <v>0</v>
      </c>
      <c r="JS21" s="339">
        <f>JR21*各项系数!$E$36</f>
        <v>0</v>
      </c>
      <c r="JT21" s="364">
        <f>IF($DF21&lt;&gt;$JT$9,0,各项系数!$F$76/4*($NE21^2-$NC21^2)*10^-2*各项系数!$F$40*10^-3*10^2)*各项系数!$J$4</f>
        <v>0</v>
      </c>
      <c r="JU21" s="123">
        <v>1</v>
      </c>
      <c r="JV21" s="251">
        <f t="shared" ref="JV21:JV52" si="216">JU21*JT21</f>
        <v>0</v>
      </c>
      <c r="JW21" s="339">
        <f>JV21*各项系数!$E$40</f>
        <v>0</v>
      </c>
      <c r="JX21" s="364">
        <f>IF($DF21&lt;&gt;$JX$9,0,各项系数!$F$76/4*($NE21^2-$NC21^2)*10^-2*各项系数!$F$38*10^-3*10^2)*各项系数!$J$4</f>
        <v>0</v>
      </c>
      <c r="JY21" s="123">
        <v>1</v>
      </c>
      <c r="JZ21" s="251">
        <f t="shared" ref="JZ21:JZ52" si="217">JY21*JX21</f>
        <v>0</v>
      </c>
      <c r="KA21" s="339">
        <f>JZ21*各项系数!$E$38</f>
        <v>0</v>
      </c>
      <c r="KB21" s="364">
        <f>IF($DF21&lt;&gt;$KB$9,0,各项系数!$F$76/4*($NE21^2-$NC21^2)*10^-2*各项系数!$F$41*10^-3*10^2)*各项系数!$J$4</f>
        <v>0</v>
      </c>
      <c r="KC21" s="123">
        <v>1</v>
      </c>
      <c r="KD21" s="251">
        <f t="shared" ref="KD21:KD52" si="218">KC21*KB21</f>
        <v>0</v>
      </c>
      <c r="KE21" s="339">
        <f>KD21*各项系数!$E$41</f>
        <v>0</v>
      </c>
      <c r="KF21" s="251">
        <f t="shared" ref="KF21:KF52" si="219">KD21+JZ21+JV21+JR21+JN21</f>
        <v>0</v>
      </c>
      <c r="KG21" s="251">
        <f t="shared" ref="KG21:KG52" si="220">KE21+KA21+JW21+JS21+JO21</f>
        <v>0</v>
      </c>
      <c r="KH21" s="302">
        <f>各项系数!$F$76/4*($NG21^2-$NE21^2)*10^-2*各项系数!$F$44*10^-3*10^2*各项系数!$J$4*0.75*$U21</f>
        <v>0.0516449780108115</v>
      </c>
      <c r="KI21" s="123">
        <v>1</v>
      </c>
      <c r="KJ21" s="251">
        <f t="shared" ref="KJ21:KJ52" si="221">KI21*KH21</f>
        <v>0.0516449780108115</v>
      </c>
      <c r="KK21" s="251">
        <f>ROUND(KJ21*各项系数!$E$44,GT21)</f>
        <v>0.6</v>
      </c>
      <c r="KL21" s="302">
        <f>各项系数!$F$76/4*($NF21^2-$NE21^2)*10^-2*各项系数!$F$46*10^-3*10^2*各项系数!$J$4*PI()/4*R21</f>
        <v>0.00966958463492884</v>
      </c>
      <c r="KM21" s="123">
        <v>1</v>
      </c>
      <c r="KN21" s="251">
        <f t="shared" ref="KN21:KN52" si="222">$KL21*$KM21</f>
        <v>0.00966958463492884</v>
      </c>
      <c r="KO21" s="251">
        <f>KN21*各项系数!$E$46</f>
        <v>0.652696962857696</v>
      </c>
      <c r="KP21" s="302">
        <f>各项系数!$F$76/4*($NH21^2-$NE21^2)*10^-2*(VLOOKUP($KP$9,各项系数!$D$1:$F$143,3,0))*10^-3*10^2*各项系数!$J$4</f>
        <v>0.0523031910655334</v>
      </c>
      <c r="KQ21" s="123">
        <v>1</v>
      </c>
      <c r="KR21" s="251">
        <f t="shared" si="150"/>
        <v>0.0523031910655334</v>
      </c>
      <c r="KS21" s="251">
        <f>KR21*(VLOOKUP($KP$9,各项系数!$D$1:$F$143,2,0))</f>
        <v>0.889154248114067</v>
      </c>
      <c r="KT21" s="302">
        <f>各项系数!$F$76/4*($NI21^2-$NF21^2)*10^-2*(VLOOKUP($KT$9,各项系数!$D$1:$F$143,3,0))*10^-3*10^2*各项系数!$J$4</f>
        <v>0.0533184784129499</v>
      </c>
      <c r="KU21" s="123">
        <v>1</v>
      </c>
      <c r="KV21" s="251">
        <f t="shared" si="151"/>
        <v>0.0533184784129499</v>
      </c>
      <c r="KW21" s="251">
        <f>KV21*(VLOOKUP($KT$9,各项系数!$D$1:$F$143,2,0))</f>
        <v>0.906414133020149</v>
      </c>
      <c r="KX21" s="251">
        <f>各项系数!$F$76/4*($NH21^2-$NE21^2)*10^-2*(VLOOKUP($KX$9,各项系数!$D$1:$F$143,3,0))*10^-3*10^2*各项系数!$J$4</f>
        <v>0.0523031910655334</v>
      </c>
      <c r="KY21" s="479">
        <v>1</v>
      </c>
      <c r="KZ21" s="251">
        <f t="shared" si="152"/>
        <v>0.0523031910655334</v>
      </c>
      <c r="LA21" s="251">
        <f>KZ21*(VLOOKUP($KX$9,各项系数!$D$1:$F$143,2,0))</f>
        <v>0.889154248114067</v>
      </c>
      <c r="LB21" s="251">
        <f>各项系数!$F$76/4*($NI21^2-$NF21^2)*10^-2*(VLOOKUP($LB$9,各项系数!$D$1:$F$143,3,0))*10^-3*10^2*各项系数!$J$4</f>
        <v>0.0533184784129499</v>
      </c>
      <c r="LC21" s="479">
        <v>1</v>
      </c>
      <c r="LD21" s="251">
        <f t="shared" si="153"/>
        <v>0.0533184784129499</v>
      </c>
      <c r="LE21" s="251">
        <f>LD21*(VLOOKUP($LB$9,各项系数!$D$1:$F$143,2,0))</f>
        <v>0.906414133020149</v>
      </c>
      <c r="LF21" s="302">
        <f>各项系数!$F$76/4*($NH21^2-$NE21^2)*10^-2*(VLOOKUP(AN21,各项系数!$D$1:$F$143,3,0))*10^-3*10^2*各项系数!$J$4</f>
        <v>0.0530246143905752</v>
      </c>
      <c r="LG21" s="123">
        <v>1</v>
      </c>
      <c r="LH21" s="251">
        <f t="shared" ref="LH21:LH52" si="223">LG21*LF21</f>
        <v>0.0530246143905752</v>
      </c>
      <c r="LI21" s="251">
        <f>LH21*(VLOOKUP(AN21,各项系数!$D$1:$F$143,2,0))</f>
        <v>0.530246143905752</v>
      </c>
      <c r="LJ21" s="302">
        <f>各项系数!$F$76/4*($NI21^2-$NF21^2)*10^-2*(VLOOKUP(AN21,各项系数!$D$1:$F$143,3,0))*10^-3*10^2*各项系数!$J$4</f>
        <v>0.0540539057014044</v>
      </c>
      <c r="LK21" s="123">
        <v>1</v>
      </c>
      <c r="LL21" s="251">
        <f t="shared" ref="LL21:LL52" si="224">LK21*LJ21</f>
        <v>0.0540539057014044</v>
      </c>
      <c r="LM21" s="251">
        <f>LL21*(VLOOKUP(AN21,各项系数!$D$1:$F$143,2,0))</f>
        <v>0.540539057014044</v>
      </c>
      <c r="LN21" s="251">
        <f>各项系数!$F$76/4*($NH21^2-$NE21^2)*10^-2*(VLOOKUP($LN$9,各项系数!$D$1:$F$143,3,0))*10^-3*10^2*各项系数!$J$4</f>
        <v>0.0530246143905752</v>
      </c>
      <c r="LO21" s="479">
        <v>1</v>
      </c>
      <c r="LP21" s="251">
        <f t="shared" ref="LP21:LP52" si="225">LO21*LN21</f>
        <v>0.0530246143905752</v>
      </c>
      <c r="LQ21" s="251">
        <f>LP21*(VLOOKUP($LN$9,各项系数!$D$1:$F$143,2,0))</f>
        <v>0.583270758296327</v>
      </c>
      <c r="LR21" s="251">
        <f>各项系数!$F$76/4*($NI21^2-$NF21^2)*10^-2*(VLOOKUP($LR$9,各项系数!$D$1:$F$143,3,0))*10^-3*10^2*各项系数!$J$4</f>
        <v>0.0540539057014044</v>
      </c>
      <c r="LS21" s="479">
        <v>1</v>
      </c>
      <c r="LT21" s="251">
        <f t="shared" ref="LT21:LT52" si="226">LS21*LR21</f>
        <v>0.0540539057014044</v>
      </c>
      <c r="LU21" s="251">
        <f>LT21*(VLOOKUP($LR$9,各项系数!$D$1:$F$143,2,0))</f>
        <v>0.594592962715448</v>
      </c>
      <c r="LV21" s="499">
        <f t="shared" si="154"/>
        <v>19.34156963</v>
      </c>
      <c r="LW21" s="499">
        <f t="shared" si="155"/>
        <v>15.04344305</v>
      </c>
      <c r="LX21" s="499">
        <f t="shared" si="156"/>
        <v>4.37651763166006</v>
      </c>
      <c r="LY21" s="515">
        <f t="shared" si="157"/>
        <v>4.29812658</v>
      </c>
      <c r="LZ21" s="516">
        <f t="shared" si="86"/>
        <v>1</v>
      </c>
      <c r="MA21" s="517">
        <f t="shared" si="87"/>
        <v>19.34156963</v>
      </c>
      <c r="MB21" s="517">
        <f t="shared" si="158"/>
        <v>4.96250454</v>
      </c>
      <c r="MC21" s="499">
        <f t="shared" si="159"/>
        <v>0</v>
      </c>
      <c r="MD21" s="499">
        <f t="shared" si="160"/>
        <v>0</v>
      </c>
      <c r="ME21" s="499">
        <f t="shared" si="161"/>
        <v>0</v>
      </c>
      <c r="MF21" s="499">
        <f t="shared" si="162"/>
        <v>0</v>
      </c>
      <c r="MG21" s="516">
        <f t="shared" si="163"/>
        <v>1</v>
      </c>
      <c r="MH21" s="517">
        <f t="shared" si="88"/>
        <v>0</v>
      </c>
      <c r="MI21" s="517">
        <f t="shared" si="164"/>
        <v>0</v>
      </c>
      <c r="MJ21" s="251">
        <f t="shared" si="89"/>
        <v>4.96250454</v>
      </c>
      <c r="MK21" s="251">
        <f t="shared" si="165"/>
        <v>4.96250454</v>
      </c>
      <c r="ML21" s="251">
        <f t="shared" ref="ML21:ML52" si="227">$ER21*$EQ21*10^-2</f>
        <v>0</v>
      </c>
      <c r="MM21" s="251">
        <f t="shared" si="91"/>
        <v>0</v>
      </c>
      <c r="MN21" s="95">
        <f t="shared" si="92"/>
        <v>6.36250454</v>
      </c>
      <c r="MO21" s="251">
        <f t="shared" si="166"/>
        <v>0</v>
      </c>
      <c r="MP21" s="251">
        <f t="shared" si="167"/>
        <v>6.36250454</v>
      </c>
      <c r="MQ21" s="251">
        <f t="shared" ref="MQ21:MQ52" si="228">MP21</f>
        <v>6.36250454</v>
      </c>
      <c r="MR21" s="314">
        <f t="shared" si="168"/>
        <v>6.36250454</v>
      </c>
      <c r="MS21" s="530">
        <f t="shared" si="94"/>
        <v>6.36250454</v>
      </c>
      <c r="MT21" s="530">
        <f t="shared" si="95"/>
        <v>6.52250454</v>
      </c>
      <c r="MU21" s="530">
        <f t="shared" si="96"/>
        <v>6.76250454</v>
      </c>
      <c r="MV21" s="530">
        <f t="shared" si="97"/>
        <v>9.16250454</v>
      </c>
      <c r="MW21" s="530">
        <f t="shared" si="98"/>
        <v>9.32250454</v>
      </c>
      <c r="MX21" s="326">
        <f t="shared" si="99"/>
        <v>5.44250454</v>
      </c>
      <c r="MY21" s="326">
        <f t="shared" si="100"/>
        <v>0</v>
      </c>
      <c r="MZ21" s="251">
        <f t="shared" si="101"/>
        <v>6.84250454</v>
      </c>
      <c r="NA21" s="251">
        <f t="shared" si="102"/>
        <v>0</v>
      </c>
      <c r="NB21" s="251">
        <f t="shared" si="169"/>
        <v>6.84250454</v>
      </c>
      <c r="NC21" s="326">
        <f t="shared" ref="NC21:NC52" si="229">NB21</f>
        <v>6.84250454</v>
      </c>
      <c r="ND21" s="314">
        <f t="shared" si="104"/>
        <v>6.84250454</v>
      </c>
      <c r="NE21" s="537">
        <f t="shared" si="105"/>
        <v>6.84250454</v>
      </c>
      <c r="NF21" s="530">
        <f t="shared" si="106"/>
        <v>7.00250454</v>
      </c>
      <c r="NG21" s="538">
        <f t="shared" si="107"/>
        <v>7.24250454</v>
      </c>
      <c r="NH21" s="326">
        <f t="shared" si="108"/>
        <v>9.64250454</v>
      </c>
      <c r="NI21" s="530">
        <f t="shared" si="109"/>
        <v>9.80250454</v>
      </c>
      <c r="NK21" s="539">
        <f t="shared" si="110"/>
        <v>0.198097270139183</v>
      </c>
      <c r="NL21" s="539">
        <f t="shared" si="111"/>
        <v>9.45018408081161</v>
      </c>
      <c r="NM21" s="539">
        <f t="shared" si="112"/>
        <v>0.198097270139183</v>
      </c>
      <c r="NN21" s="539">
        <f t="shared" si="113"/>
        <v>9.5001208212697</v>
      </c>
      <c r="NO21" s="539">
        <f t="shared" si="114"/>
        <v>0.208194945598663</v>
      </c>
      <c r="NP21" s="539">
        <f t="shared" si="115"/>
        <v>9.63920901898446</v>
      </c>
      <c r="NQ21" s="539">
        <f t="shared" si="116"/>
        <v>0.208194945598663</v>
      </c>
      <c r="NR21" s="539">
        <f t="shared" si="117"/>
        <v>9.69223363337504</v>
      </c>
      <c r="NS21" s="539">
        <f t="shared" si="118"/>
        <v>0.207096374805778</v>
      </c>
      <c r="NT21" s="539">
        <f t="shared" si="119"/>
        <v>0.207096374805778</v>
      </c>
      <c r="NU21" s="539">
        <f t="shared" si="120"/>
        <v>0.217864530233592</v>
      </c>
      <c r="NV21" s="539">
        <f t="shared" si="121"/>
        <v>0.217864530233592</v>
      </c>
      <c r="NW21">
        <f t="shared" si="122"/>
        <v>0.230180591325005</v>
      </c>
      <c r="NX21">
        <f>各项系数!$M$9*NK21</f>
        <v>0.0594291810417549</v>
      </c>
      <c r="NY21">
        <f t="shared" si="123"/>
        <v>0.207096374805778</v>
      </c>
      <c r="OB21" s="82" t="str">
        <f t="shared" si="124"/>
        <v>1*16</v>
      </c>
      <c r="OC21" s="546">
        <f t="shared" si="125"/>
        <v>165.416818206689</v>
      </c>
      <c r="OD21" s="546">
        <f>SQRT(4*EY21/PI()/EH21/各项系数!$J$4/各项系数!$F$5*10000000)</f>
        <v>166.32412244418</v>
      </c>
      <c r="OE21" s="547">
        <f t="shared" si="126"/>
        <v>15.0434430827558</v>
      </c>
      <c r="OF21" s="547">
        <f t="shared" si="127"/>
        <v>15.2089209566661</v>
      </c>
      <c r="OG21" s="82">
        <v>15.3</v>
      </c>
      <c r="OH21" s="548">
        <f t="shared" si="186"/>
        <v>-0.0910790433338846</v>
      </c>
    </row>
    <row r="22" customHeight="1" spans="1:398">
      <c r="A22" s="66">
        <v>25</v>
      </c>
      <c r="B22" s="67"/>
      <c r="C22" s="68">
        <v>0.9</v>
      </c>
      <c r="D22" s="69" t="s">
        <v>150</v>
      </c>
      <c r="E22" s="77">
        <f t="shared" si="175"/>
        <v>10.84140886</v>
      </c>
      <c r="F22" s="75">
        <v>208.046961644752</v>
      </c>
      <c r="G22" s="74"/>
      <c r="H22" s="23"/>
      <c r="I22" s="78"/>
      <c r="J22" s="23"/>
      <c r="K22" s="23"/>
      <c r="L22" s="118" t="s">
        <v>467</v>
      </c>
      <c r="M22" s="124">
        <f t="shared" si="2"/>
        <v>0.9</v>
      </c>
      <c r="N22" s="124">
        <f t="shared" si="3"/>
        <v>0</v>
      </c>
      <c r="O22" s="123"/>
      <c r="P22" s="120">
        <v>0.1</v>
      </c>
      <c r="Q22" s="162">
        <f t="shared" si="170"/>
        <v>0.1</v>
      </c>
      <c r="R22" s="169">
        <v>0.8</v>
      </c>
      <c r="S22" s="171" t="str">
        <f>各项系数!$D$44</f>
        <v>磁性钢带</v>
      </c>
      <c r="T22" s="123">
        <v>0.2</v>
      </c>
      <c r="U22" s="123">
        <v>2</v>
      </c>
      <c r="V22" s="169"/>
      <c r="W22" s="170">
        <v>1.4</v>
      </c>
      <c r="X22" s="164">
        <f t="shared" si="171"/>
        <v>0.2</v>
      </c>
      <c r="Y22" s="219"/>
      <c r="Z22" s="220"/>
      <c r="AA22" s="217">
        <v>1.011</v>
      </c>
      <c r="AB22" s="186">
        <f>PI()*EJ22*EJ22/4*EH22*(1-H22)*AA22*各项系数!$F$5*各项系数!$J$4*10^-7</f>
        <v>0.212807374667777</v>
      </c>
      <c r="AC22" s="186">
        <f t="shared" si="176"/>
        <v>208.046961644752</v>
      </c>
      <c r="AD22" s="186">
        <f t="shared" si="5"/>
        <v>24.0581280607511</v>
      </c>
      <c r="AE22" s="186">
        <f>POWER(4*EU22/PI()/EG22/10^-7/EH22/(1-H22)/各项系数!$F$5/各项系数!$J$4,0.5)</f>
        <v>209.188090412333</v>
      </c>
      <c r="AF22" s="218">
        <v>1</v>
      </c>
      <c r="AG22" s="85">
        <f>IF(EM22=0,0,PI()*ER22*ER22/4*EP22*(1-K22)*(1+AF22)*各项系数!$F$5*各项系数!$J$4*10^-7)</f>
        <v>0</v>
      </c>
      <c r="AH22" s="85">
        <f t="shared" si="177"/>
        <v>0</v>
      </c>
      <c r="AI22" s="85">
        <f t="shared" si="128"/>
        <v>0</v>
      </c>
      <c r="AJ22" s="85">
        <f>IF(OR(EP22="",EP22=0),0,POWER(4*EW22/PI()/EO22/10^-7/EP22/(1-K22)/各项系数!$F$5/各项系数!$J$4,0.5))</f>
        <v>0</v>
      </c>
      <c r="AK22" s="85" t="str">
        <f t="shared" si="8"/>
        <v>√</v>
      </c>
      <c r="AL22" s="85">
        <f t="shared" si="178"/>
        <v>15.2402072525014</v>
      </c>
      <c r="AM22" s="250">
        <f t="shared" si="179"/>
        <v>25</v>
      </c>
      <c r="AN22" s="118" t="s">
        <v>486</v>
      </c>
      <c r="AO22" s="259">
        <f>AP22+各项系数!$M$9*$NK22</f>
        <v>14.9413796593151</v>
      </c>
      <c r="AP22" s="259">
        <f>AQ22*(1+$BI22+(VLOOKUP($AM22,$A$12:$B$323,2,0))+各项系数!$J$6+各项系数!$M$5)*(1+$E$2)</f>
        <v>14.8526862751993</v>
      </c>
      <c r="AQ22" s="260">
        <f>AR22+各项系数!$L$9*$NK22</f>
        <v>15.155802321632</v>
      </c>
      <c r="AR22" s="260">
        <f>AS22*(1+$BJ22+各项系数!$J$5+各项系数!$L$5)</f>
        <v>15.0671089375162</v>
      </c>
      <c r="AS22" s="260">
        <f t="shared" si="129"/>
        <v>14.7716754289374</v>
      </c>
      <c r="AT22" s="259">
        <f>AU22+各项系数!$M$9*$NM22</f>
        <v>15.3523278971108</v>
      </c>
      <c r="AU22" s="259">
        <f>AV22*(1+$BI22+(VLOOKUP($AM22,$A$12:$B$323,2,0))+各项系数!$J$6+各项系数!$M$5)*(1+$E$2)</f>
        <v>15.263634512995</v>
      </c>
      <c r="AV22" s="260">
        <f>AW22+各项系数!$L$9*$NM22</f>
        <v>15.5751372581582</v>
      </c>
      <c r="AW22" s="260">
        <f>AX22*(1+$BJ22+各项系数!$J$5+各项系数!$L$5)</f>
        <v>15.4864438740424</v>
      </c>
      <c r="AX22" s="260">
        <f t="shared" si="130"/>
        <v>15.1827881118063</v>
      </c>
      <c r="AY22" s="259">
        <f>AZ22+各项系数!$M$9*$NS22</f>
        <v>15.7238377972782</v>
      </c>
      <c r="AZ22" s="259">
        <f>BA22*(1+$BI22+(VLOOKUP($AM22,$A$12:$B$214,2,0))+各项系数!$J$6+各项系数!$M$5)*(1+$E$2)</f>
        <v>15.6317411369404</v>
      </c>
      <c r="BA22" s="260">
        <f>BB22+各项系数!$L$9*$NS22</f>
        <v>15.9507562621841</v>
      </c>
      <c r="BB22" s="260">
        <f>BC22*(1+$BJ22+各项系数!$J$5+各项系数!$L$5)</f>
        <v>15.8586596018463</v>
      </c>
      <c r="BC22" s="262">
        <f t="shared" si="131"/>
        <v>15.5477054920061</v>
      </c>
      <c r="BD22" s="259">
        <f>BE22+各项系数!$M$9*$NS22</f>
        <v>16.141750220083</v>
      </c>
      <c r="BE22" s="259">
        <f>BF22*(1+$BI22+(VLOOKUP($AM22,$A$12:$B$214,2,0))+各项系数!$J$6+各项系数!$M$5)*(1+$E$2)</f>
        <v>16.0496535597452</v>
      </c>
      <c r="BF22" s="260">
        <f>BG22+各项系数!$L$9*$NS22</f>
        <v>16.3771975099441</v>
      </c>
      <c r="BG22" s="260">
        <f>BH22*(1+$BJ22+各项系数!$J$5+各项系数!$L$5)</f>
        <v>16.2851008496063</v>
      </c>
      <c r="BH22" s="262">
        <f t="shared" si="132"/>
        <v>15.9657851466728</v>
      </c>
      <c r="BI22" s="67"/>
      <c r="BJ22" s="272"/>
      <c r="BK22" s="123"/>
      <c r="BL22" s="259">
        <f>BM22+各项系数!$M$9*$NM22</f>
        <v>15.1474502593096</v>
      </c>
      <c r="BM22" s="259">
        <f>BN22*(1+$CF22+(VLOOKUP($AM22,$A$12:$B$323,2,0))+各项系数!$J$6+各项系数!$M$5)*(1+$E$2)</f>
        <v>15.0587568751938</v>
      </c>
      <c r="BN22" s="260">
        <f>BO22+各项系数!$L$9*$NM22</f>
        <v>15.3660784440753</v>
      </c>
      <c r="BO22" s="260">
        <f>BP22*(1+$CG22+各项系数!$J$5+各项系数!$L$5)</f>
        <v>15.2773850599595</v>
      </c>
      <c r="BP22" s="260">
        <f t="shared" si="133"/>
        <v>14.8324126795723</v>
      </c>
      <c r="BQ22" s="259">
        <f>BR22+各项系数!$M$9*$NM22</f>
        <v>15.5011192206065</v>
      </c>
      <c r="BR22" s="259">
        <f>BS22*(1+$CF22+(VLOOKUP($AM22,$A$12:$B$323,2,0))+各项系数!$J$6+各项系数!$M$5)*(1+$E$2)</f>
        <v>15.4124258364907</v>
      </c>
      <c r="BS22" s="260">
        <f>BT22+各项系数!$L$9*$NM22</f>
        <v>15.7269651392763</v>
      </c>
      <c r="BT22" s="260">
        <f>BU22*(1+$CG22+各项系数!$J$5+各项系数!$L$5)</f>
        <v>15.6382717551605</v>
      </c>
      <c r="BU22" s="260">
        <f t="shared" si="134"/>
        <v>15.1827881118063</v>
      </c>
      <c r="BV22" s="259">
        <f>BW22+各项系数!$M$9*$NT22</f>
        <v>15.8563958665007</v>
      </c>
      <c r="BW22" s="259">
        <f>BX22*(1+$CF22+(VLOOKUP($AM22,$A$12:$B$214,2,0))+各项系数!$J$6+各项系数!$M$5)*(1+$E$2)</f>
        <v>15.7642992061629</v>
      </c>
      <c r="BX22" s="260">
        <f>BY22+各项系数!$L$9*$NT$12</f>
        <v>16.0860195981254</v>
      </c>
      <c r="BY22" s="260">
        <f>BZ22*(1+$CG22+各项系数!$J$5+各项系数!$L$5)</f>
        <v>16.0777561949704</v>
      </c>
      <c r="BZ22" s="262">
        <f t="shared" si="11"/>
        <v>15.6094720339519</v>
      </c>
      <c r="CA22" s="259">
        <f>CB22+各项系数!$M$9*$NT22</f>
        <v>16.2160583224812</v>
      </c>
      <c r="CB22" s="259">
        <f>CC22*(1+$CF22+(VLOOKUP($AM22,$A$12:$B$214,2,0))+各项系数!$J$6+各项系数!$M$5)*(1+$E$2)</f>
        <v>16.1239616621434</v>
      </c>
      <c r="CC22" s="260">
        <f>CD22+各项系数!$L$9*$NT$12</f>
        <v>16.453022104228</v>
      </c>
      <c r="CD22" s="260">
        <f>CE22*(1+$CG22+各项系数!$J$5+各项系数!$L$5)</f>
        <v>16.444758701073</v>
      </c>
      <c r="CE22" s="262">
        <f t="shared" si="135"/>
        <v>15.9657851466728</v>
      </c>
      <c r="CF22" s="277">
        <f t="shared" si="136"/>
        <v>0</v>
      </c>
      <c r="CG22" s="277">
        <f t="shared" si="12"/>
        <v>0.01</v>
      </c>
      <c r="CH22" s="123"/>
      <c r="CI22" s="259">
        <f>CJ22+各项系数!$M$9*$NO22</f>
        <v>15.326393397009</v>
      </c>
      <c r="CJ22" s="259">
        <f>CK22*(1+$DC22+(VLOOKUP($AM22,$A$12:$B$323,2,0))+各项系数!$J$6+各项系数!$M$5)*(1+$E$2)+各项系数!$M$9*$NK22</f>
        <v>15.2332245893926</v>
      </c>
      <c r="CK22" s="260">
        <f>CL22+各项系数!$L$9*$NO22</f>
        <v>15.4536032706906</v>
      </c>
      <c r="CL22" s="260">
        <f>CM22*(1+$DD22+各项系数!$J$5+各项系数!$L$5)</f>
        <v>15.3604344630742</v>
      </c>
      <c r="CM22" s="260">
        <f t="shared" si="13"/>
        <v>15.0592494736021</v>
      </c>
      <c r="CN22" s="259">
        <f>CO22+各项系数!$M$9*$NO22</f>
        <v>15.6987586500183</v>
      </c>
      <c r="CO22" s="259">
        <f>CP22*(1+$DC22+(VLOOKUP($AM22,$A$12:$B$323,2,0))+各项系数!$J$6+各项系数!$M$5)*(1+$E$2)+各项系数!$M$9*$NK22</f>
        <v>15.6055898424018</v>
      </c>
      <c r="CP22" s="260">
        <f>CQ22+各项系数!$L$9*$NO22</f>
        <v>15.8335678145776</v>
      </c>
      <c r="CQ22" s="260">
        <f>CR22*(1+$DD22+各项系数!$J$5+各项系数!$L$5)</f>
        <v>15.7403990069612</v>
      </c>
      <c r="CR22" s="260">
        <f t="shared" si="14"/>
        <v>15.4317637323149</v>
      </c>
      <c r="CS22" s="259">
        <f>CT22+各项系数!$M$9*$NU22</f>
        <v>16.077205100862</v>
      </c>
      <c r="CT22" s="259">
        <f t="shared" si="15"/>
        <v>15.9803815870354</v>
      </c>
      <c r="CU22" s="260">
        <f>CV22+各项系数!$L$9*$NU22</f>
        <v>16.3065118235055</v>
      </c>
      <c r="CV22" s="260">
        <f>CW22*(1+$DD22+各项系数!$J$5+各项系数!$L$5)</f>
        <v>16.2096883096789</v>
      </c>
      <c r="CW22" s="262">
        <f t="shared" si="16"/>
        <v>15.8918512839989</v>
      </c>
      <c r="CX22" s="259">
        <f>CY22+各项系数!$M$9*$NU22</f>
        <v>16.5212332174508</v>
      </c>
      <c r="CY22" s="259">
        <f t="shared" si="17"/>
        <v>16.4244097036242</v>
      </c>
      <c r="CZ22" s="260">
        <f>DA22+各项系数!$L$9*$NU22</f>
        <v>16.759601738392</v>
      </c>
      <c r="DA22" s="260">
        <f>DB22*(1+$DD22+各项系数!$J$5+各项系数!$L$5)</f>
        <v>16.6627782245654</v>
      </c>
      <c r="DB22" s="262">
        <f t="shared" si="18"/>
        <v>16.3360570829073</v>
      </c>
      <c r="DC22" s="277">
        <f t="shared" si="137"/>
        <v>0</v>
      </c>
      <c r="DD22" s="277">
        <f t="shared" si="19"/>
        <v>0</v>
      </c>
      <c r="DE22" s="69"/>
      <c r="DF22" s="69"/>
      <c r="DG22" s="259">
        <f>DH22+各项系数!$M$9*$NQ22</f>
        <v>15.5391783475755</v>
      </c>
      <c r="DH22" s="259">
        <f>DI22*(1+$EA22+(VLOOKUP($AM22,$A$12:$B$323,2,0))+各项系数!$J$6+各项系数!$M$5)*(1+$E$2)+各项系数!$M$9*$NK22</f>
        <v>15.446009539959</v>
      </c>
      <c r="DI22" s="260">
        <f>DJ22+各项系数!$L$9*$NQ22</f>
        <v>15.6707307712686</v>
      </c>
      <c r="DJ22" s="260">
        <f>DK22*(1+$EB22+各项系数!$J$5+各项系数!$L$5)</f>
        <v>15.5775619636522</v>
      </c>
      <c r="DK22" s="260">
        <f t="shared" si="20"/>
        <v>15.1238465666526</v>
      </c>
      <c r="DL22" s="259">
        <f>DM22+各项系数!$M$9*$NQ22</f>
        <v>15.9153229139357</v>
      </c>
      <c r="DM22" s="259">
        <f>DN22*(1+$EA22+(VLOOKUP($AM22,$A$12:$B$323,2,0))+各项系数!$J$6+各项系数!$M$5)*(1+$E$2)+各项系数!$M$9*$NK22</f>
        <v>15.8221541063193</v>
      </c>
      <c r="DN22" s="260">
        <f>DO22+各项系数!$L$9*$NQ22</f>
        <v>16.0545517573505</v>
      </c>
      <c r="DO22" s="260">
        <f>DP22*(1+$EB22+各项系数!$J$5+各项系数!$L$5)</f>
        <v>15.9613829497341</v>
      </c>
      <c r="DP22" s="260">
        <f t="shared" si="21"/>
        <v>15.4964883007127</v>
      </c>
      <c r="DQ22" s="259">
        <f>DR22+各项系数!$M$9*$NV22</f>
        <v>16.2991885158195</v>
      </c>
      <c r="DR22" s="259">
        <f t="shared" si="22"/>
        <v>16.2023650019929</v>
      </c>
      <c r="DS22" s="260">
        <f>DT22+各项系数!$L$9*$NV22</f>
        <v>16.5330255122377</v>
      </c>
      <c r="DT22" s="260">
        <f>DU22*(1+$EB22+各项系数!$J$5+各项系数!$L$5)</f>
        <v>16.4362019984111</v>
      </c>
      <c r="DU22" s="262">
        <f t="shared" si="23"/>
        <v>15.9574776683603</v>
      </c>
      <c r="DV22" s="259">
        <f>DW22+各项系数!$M$9*$NV22</f>
        <v>16.4346706103276</v>
      </c>
      <c r="DW22" s="259">
        <f t="shared" si="24"/>
        <v>16.337847096501</v>
      </c>
      <c r="DX22" s="260">
        <f>DY22+各项系数!$L$9*$NV22</f>
        <v>16.67127254745</v>
      </c>
      <c r="DY22" s="260">
        <f>DZ22*(1+$EB22+各项系数!$J$5+各项系数!$L$5)</f>
        <v>16.5744490336234</v>
      </c>
      <c r="DZ22" s="262">
        <f t="shared" si="25"/>
        <v>16.0916980908965</v>
      </c>
      <c r="EA22" s="277">
        <f t="shared" ref="EA22:EA53" si="230">BI22+$EA$2</f>
        <v>0</v>
      </c>
      <c r="EB22" s="277">
        <f t="shared" si="27"/>
        <v>0.01</v>
      </c>
      <c r="EC22" s="302">
        <f t="shared" si="138"/>
        <v>1</v>
      </c>
      <c r="ED22" s="302" t="str">
        <f t="shared" si="180"/>
        <v>1*25</v>
      </c>
      <c r="EE22" s="251">
        <f t="shared" si="187"/>
        <v>25</v>
      </c>
      <c r="EF22" s="251" t="str">
        <f>LOOKUP(EH22,{1,7,10,14,19,24,30,37,48,61},{1,"1+6","2+8","4+10","1+6+12","2+8+14","4+10+16","1+6+12+18","3+9+15+21","1+6+12+18+24"})</f>
        <v>1+6</v>
      </c>
      <c r="EG22" s="250">
        <f t="shared" si="29"/>
        <v>1</v>
      </c>
      <c r="EH22" s="260">
        <f>IF(AM22&lt;10,1,IF(AND(AM22&gt;=10,AM22&lt;=35),7,LOOKUP(AM22,{50,70,95,120,150,185,240,300,400,500,630},{10,14,19,24,30,37,48,61,61,61,61})*1))</f>
        <v>7</v>
      </c>
      <c r="EI22" s="250">
        <f>IF(EH22=0,0,VLOOKUP(EH22,各项系数!$D$142:$E$195,2,0))*1</f>
        <v>3</v>
      </c>
      <c r="EJ22" s="305">
        <f t="shared" si="141"/>
        <v>208.046961644752</v>
      </c>
      <c r="EK22" s="251">
        <f t="shared" si="181"/>
        <v>0</v>
      </c>
      <c r="EL22" s="251">
        <f t="shared" si="31"/>
        <v>0</v>
      </c>
      <c r="EM22" s="251">
        <f t="shared" si="182"/>
        <v>0</v>
      </c>
      <c r="EN22" s="251">
        <f>IF(EP22=0,0,LOOKUP(EP22,{1,7,10,14,19,24,30,37,48,61},{1,"1+6","2+8","4+10","1+6+12","2+8+14","4+10+16","1+6+12+18","3+9+15+21","1+6+12+18+24"}))</f>
        <v>0</v>
      </c>
      <c r="EO22" s="251">
        <f t="shared" si="183"/>
        <v>0</v>
      </c>
      <c r="EP22" s="251">
        <f>IF(EM22=0,0,IF(EM22&lt;10,1,IF(AND(EM22&gt;=10,EM22&lt;=35),7,LOOKUP(EM22,{50,70,95,120,150,185,240,300},{10,14,19,24,30,37,48,61})*1)))</f>
        <v>0</v>
      </c>
      <c r="EQ22" s="251">
        <f>IF(EP22=0,0,VLOOKUP(EP22,各项系数!$D$142:$E$195,2,0))*1</f>
        <v>0</v>
      </c>
      <c r="ER22" s="251">
        <f t="shared" si="184"/>
        <v>0</v>
      </c>
      <c r="ES22" s="302">
        <f t="shared" si="185"/>
        <v>1</v>
      </c>
      <c r="ET22" s="251">
        <f>VLOOKUP(ES22,各项系数!$D$142:$E$195,2,0)*1</f>
        <v>1</v>
      </c>
      <c r="EU22" s="311">
        <f>((各项系数!$F$76/4*$EJ22^2*$EG22*$EH22*1*10^-7)*(1-$H22)*AA22)*(VLOOKUP($EY$9,各项系数!$D$4:$F$143,3,0))*各项系数!$J$4</f>
        <v>0.212807374667777</v>
      </c>
      <c r="EV22" s="312">
        <f>EU22*(VLOOKUP($EY$9,各项系数!$D$4:$F$143,2,0))</f>
        <v>13.9388830407394</v>
      </c>
      <c r="EW22" s="324">
        <f>(IF($EO22=0,0,(各项系数!$F$76/4*$ER22^2*$EO22*$EP22*1*10^-7))*(1-$K22)*$AF22)*(VLOOKUP($EY$9,各项系数!$D$4:$F$143,3,0))*各项系数!$J$4</f>
        <v>0</v>
      </c>
      <c r="EX22" s="325">
        <f>EW22*(VLOOKUP($EY$9,各项系数!$D$4:$F$143,2,0))</f>
        <v>0</v>
      </c>
      <c r="EY22" s="251">
        <f>((各项系数!$F$76/4*$EJ22^2*$EG22*$EH22*1*10^-7)*(1-$H22)*AA22+IF($EO22=0,0,(各项系数!$F$76/4*$ER22^2*$EO22*$EP22*1*10^-7))*(1-$K22)*$AF22)*(VLOOKUP($EY$9,各项系数!$D$4:$F$143,3,0))*各项系数!$J$4</f>
        <v>0.212807374667777</v>
      </c>
      <c r="EZ22" s="123">
        <v>1</v>
      </c>
      <c r="FA22" s="251">
        <f t="shared" si="188"/>
        <v>0.212807374667777</v>
      </c>
      <c r="FB22" s="326">
        <f>FA22*(VLOOKUP($EY$9,各项系数!$D$4:$F$143,2,0))</f>
        <v>13.9388830407394</v>
      </c>
      <c r="FC22" s="327"/>
      <c r="FD22" s="302">
        <f>各项系数!$F$76/4*($MN22^2-MK22^2)*10^-2*(VLOOKUP(L22,各项系数!$D$1:$F$143,3,0))*10^-3*10^2*$EG22*各项系数!$J$4</f>
        <v>0.0220999884165747</v>
      </c>
      <c r="FE22" s="339">
        <f>FD22*VLOOKUP(L22,各项系数!$D$1:$F$143,2,0)</f>
        <v>0.225419881849062</v>
      </c>
      <c r="FF22" s="250">
        <f>各项系数!$F$76/4*($MO22^2-ML22^2)*10^-2*(VLOOKUP(L22,各项系数!$D$1:$F$143,3,0))*10^-3*10^2*$EO22*各项系数!$J$4</f>
        <v>0</v>
      </c>
      <c r="FG22" s="339">
        <f>FF22*VLOOKUP(L22,各项系数!$D$1:$F$143,2,0)</f>
        <v>0</v>
      </c>
      <c r="FH22" s="302">
        <f t="shared" si="142"/>
        <v>0.0220999884165747</v>
      </c>
      <c r="FI22" s="123">
        <v>1</v>
      </c>
      <c r="FJ22" s="251">
        <f t="shared" si="189"/>
        <v>0.0220999884165747</v>
      </c>
      <c r="FK22" s="339">
        <f>FJ22*VLOOKUP(L22,各项系数!$D$1:$F$143,2,0)</f>
        <v>0.225419881849062</v>
      </c>
      <c r="FL22" s="302"/>
      <c r="FM22" s="123"/>
      <c r="FN22" s="251"/>
      <c r="FO22" s="339"/>
      <c r="FP22" s="364">
        <f t="shared" si="190"/>
        <v>0.0220999884165747</v>
      </c>
      <c r="FQ22" s="364">
        <f t="shared" si="191"/>
        <v>0.225419881849062</v>
      </c>
      <c r="FR22" s="365">
        <f>各项系数!$F$76/4*($MQ22^2-$MN22^2*$EG22-$MO22^2*$EO22)*10^-2</f>
        <v>0</v>
      </c>
      <c r="FS22" s="366">
        <f t="shared" si="143"/>
        <v>1</v>
      </c>
      <c r="FT22" s="367">
        <f t="shared" si="40"/>
        <v>0</v>
      </c>
      <c r="FU22" s="388">
        <f>$FT22*(VLOOKUP($FT$9,各项系数!$D$1:$F$143,3,0))*10^-3*10^2*各项系数!$J$55</f>
        <v>0</v>
      </c>
      <c r="FV22" s="389">
        <v>1</v>
      </c>
      <c r="FW22" s="390">
        <f t="shared" si="192"/>
        <v>0</v>
      </c>
      <c r="FX22" s="367">
        <f>FW22*(VLOOKUP($FT$9,各项系数!$D$1:$F$143,2,0))</f>
        <v>0</v>
      </c>
      <c r="FY22" s="388">
        <f>IF($BK22&lt;&gt;$FY$9,0,各项系数!$F$76/4*($MS22^2-$MQ22^2)*10^-2*(VLOOKUP($FY$9,各项系数!$D$1:$F$143,3,0))*10^-3*10^2)*各项系数!$J$4</f>
        <v>0</v>
      </c>
      <c r="FZ22" s="389">
        <v>1</v>
      </c>
      <c r="GA22" s="390">
        <f t="shared" si="193"/>
        <v>0</v>
      </c>
      <c r="GB22" s="367">
        <f>GA22*(VLOOKUP($FY$9,各项系数!$D$1:$F$143,2,0))</f>
        <v>0</v>
      </c>
      <c r="GC22" s="388">
        <f>IF($BK22&lt;&gt;$GC$9,0,各项系数!$F$76/4*($MS22^2-$MQ22^2)*10^-2*(VLOOKUP($GC$9,各项系数!$D$1:$F$143,3,0))*10^-3*10^2)*各项系数!$J$4</f>
        <v>0</v>
      </c>
      <c r="GD22" s="389">
        <v>1</v>
      </c>
      <c r="GE22" s="390">
        <f t="shared" si="194"/>
        <v>0</v>
      </c>
      <c r="GF22" s="367">
        <f>GE22*(VLOOKUP($GC$9,各项系数!$D$1:$F$143,2,0))</f>
        <v>0</v>
      </c>
      <c r="GG22" s="388">
        <f>IF($BK22&lt;&gt;$GG$9,0,各项系数!$F$76/4*($MS22^2-$MQ22^2)*10^-2*(VLOOKUP($GG$9,各项系数!$D$1:$F$143,3,0))*10^-3*10^2)*各项系数!$J$4</f>
        <v>0</v>
      </c>
      <c r="GH22" s="389">
        <v>1</v>
      </c>
      <c r="GI22" s="390">
        <f t="shared" si="195"/>
        <v>0</v>
      </c>
      <c r="GJ22" s="367">
        <f>GI22*(VLOOKUP($GG$9,各项系数!$D$1:$F$143,2,0))</f>
        <v>0</v>
      </c>
      <c r="GK22" s="388">
        <f>IF($BK22&lt;&gt;$GK$9,0,各项系数!$F$76/4*($MS22^2-$MQ22^2)*10^-2*(VLOOKUP($GK$9,各项系数!$D$1:$F$143,3,0))*10^-3*10^2)*各项系数!$J$4</f>
        <v>0</v>
      </c>
      <c r="GL22" s="389">
        <v>1</v>
      </c>
      <c r="GM22" s="390">
        <f t="shared" si="196"/>
        <v>0</v>
      </c>
      <c r="GN22" s="367">
        <f>GM22*(VLOOKUP($GK$9,各项系数!$D$1:$F$143,2,0))</f>
        <v>0</v>
      </c>
      <c r="GO22" s="390">
        <f t="shared" si="197"/>
        <v>0</v>
      </c>
      <c r="GP22" s="390">
        <f t="shared" si="198"/>
        <v>0</v>
      </c>
      <c r="GQ22" s="406">
        <f>各项系数!$F$76/4*($MU22^2-$MS22^2)*10^-2*(VLOOKUP($S22,各项系数!$D$1:$F$143,3,0))*10^-3*10^2*各项系数!$J$4</f>
        <v>0.0611702661612893</v>
      </c>
      <c r="GR22" s="389">
        <v>1</v>
      </c>
      <c r="GS22" s="390">
        <f t="shared" si="199"/>
        <v>0.0611702661612893</v>
      </c>
      <c r="GT22" s="390">
        <f t="shared" si="200"/>
        <v>1</v>
      </c>
      <c r="GU22" s="390">
        <f>ROUND($GS22*(VLOOKUP($S22,各项系数!$D$1:$F$143,2,0))+$E$3*GS22,GT22)</f>
        <v>0.7</v>
      </c>
      <c r="GV22" s="406">
        <f>各项系数!$F$76/4*($MT22^2-$MS22^2)*10^-2*(VLOOKUP($GV$9,各项系数!$D$1:$F$143,3,0))*10^-3*10^2*各项系数!$J$4*PI()/4*R22</f>
        <v>0.0113442540734876</v>
      </c>
      <c r="GW22" s="389">
        <v>1</v>
      </c>
      <c r="GX22" s="390">
        <f t="shared" si="201"/>
        <v>0.0113442540734876</v>
      </c>
      <c r="GY22" s="390">
        <f>$GX22*(VLOOKUP($GV$9,各项系数!$D$1:$F$143,2,0))</f>
        <v>0.765737149960411</v>
      </c>
      <c r="GZ22" s="406">
        <f>各项系数!$F$76/4*($MV22^2-$MS22^2)*10^-2*(VLOOKUP($GZ$9,各项系数!$D$1:$F$143,3,0))*10^-3*10^2*各项系数!$J$4</f>
        <v>0.0599108934834023</v>
      </c>
      <c r="HA22" s="389">
        <v>1</v>
      </c>
      <c r="HB22" s="390">
        <f t="shared" si="144"/>
        <v>0.0599108934834023</v>
      </c>
      <c r="HC22" s="390">
        <f>HB22*(VLOOKUP($GZ$9,各项系数!$D$1:$F$143,2,0))</f>
        <v>1.01848518921784</v>
      </c>
      <c r="HD22" s="406">
        <f>各项系数!$F$76/4*($MW22^2-$MT22^2)*10^-2*(VLOOKUP($HD$9,各项系数!$D$1:$F$143,3,0))*10^-3*10^2*各项系数!$J$4</f>
        <v>0.0609261808308188</v>
      </c>
      <c r="HE22" s="389">
        <v>1</v>
      </c>
      <c r="HF22" s="390">
        <f t="shared" si="145"/>
        <v>0.0609261808308188</v>
      </c>
      <c r="HG22" s="390">
        <f>HF22*(VLOOKUP($HD$9,各项系数!$D$1:$F$143,2,0))</f>
        <v>1.03574507412392</v>
      </c>
      <c r="HH22" s="406">
        <f>各项系数!$F$76/4*($MV22^2-$MS22^2)*10^-2*(VLOOKUP($HH$9,各项系数!$D$1:$F$143,3,0))*10^-3*10^2*各项系数!$J$4</f>
        <v>0.0599108934834023</v>
      </c>
      <c r="HI22" s="420">
        <v>1</v>
      </c>
      <c r="HJ22" s="390">
        <f t="shared" si="146"/>
        <v>0.0599108934834023</v>
      </c>
      <c r="HK22" s="390">
        <f>HJ22*(VLOOKUP($HH$9,各项系数!$D$1:$F$143,2,0))</f>
        <v>1.01848518921784</v>
      </c>
      <c r="HL22" s="406">
        <f>各项系数!$F$76/4*($MW22^2-$MT22^2)*10^-2*(VLOOKUP($HL$9,各项系数!$D$1:$F$143,3,0))*10^-3*10^2*各项系数!$J$4</f>
        <v>0.0609261808308188</v>
      </c>
      <c r="HM22" s="420">
        <v>1</v>
      </c>
      <c r="HN22" s="390">
        <f t="shared" si="147"/>
        <v>0.0609261808308188</v>
      </c>
      <c r="HO22" s="390">
        <f>HN22*(VLOOKUP($HL$9,各项系数!$D$1:$F$143,2,0))</f>
        <v>1.03574507412392</v>
      </c>
      <c r="HP22" s="406">
        <f>各项系数!$F$76/4*($MV22^2-$MS22^2)*10^-2*(VLOOKUP(AN22,各项系数!$D$1:$F$143,3,0))*10^-3*10^2*各项系数!$J$4</f>
        <v>0.0607372506348975</v>
      </c>
      <c r="HQ22" s="389">
        <v>1</v>
      </c>
      <c r="HR22" s="390">
        <f t="shared" si="202"/>
        <v>0.0607372506348975</v>
      </c>
      <c r="HS22" s="390">
        <f>HR22*(VLOOKUP(AN22,各项系数!$D$1:$F$143,2,0))</f>
        <v>0.607372506348975</v>
      </c>
      <c r="HT22" s="406">
        <f>各项系数!$F$76/4*($MW22^2-$MT22^2)*10^-2*(VLOOKUP(AN22,各项系数!$D$1:$F$143,3,0))*10^-3*10^2*各项系数!$J$4</f>
        <v>0.0617665419457267</v>
      </c>
      <c r="HU22" s="389">
        <v>1</v>
      </c>
      <c r="HV22" s="390">
        <f t="shared" si="203"/>
        <v>0.0617665419457267</v>
      </c>
      <c r="HW22" s="390">
        <f>HV22*(VLOOKUP(AN22,各项系数!$D$1:$F$143,2,0))</f>
        <v>0.617665419457267</v>
      </c>
      <c r="HX22" s="406">
        <f>各项系数!$F$76/4*($MV22^2-$MS22^2)*10^-2*(VLOOKUP($HX$9,各项系数!$D$1:$F$143,3,0))*10^-3*10^2*各项系数!$J$4</f>
        <v>0.0607372506348975</v>
      </c>
      <c r="HY22" s="420">
        <v>1</v>
      </c>
      <c r="HZ22" s="390">
        <f t="shared" si="204"/>
        <v>0.0607372506348975</v>
      </c>
      <c r="IA22" s="390">
        <f>HZ22*(VLOOKUP($HX$9,各项系数!$D$1:$F$143,2,0))</f>
        <v>0.668109756983872</v>
      </c>
      <c r="IB22" s="406">
        <f>各项系数!$F$76/4*($MW22^2-$MT22^2)*10^-2*(VLOOKUP($IB$9,各项系数!$D$1:$F$143,3,0))*10^-3*10^2*各项系数!$J$4</f>
        <v>0.0617665419457267</v>
      </c>
      <c r="IC22" s="420">
        <v>1</v>
      </c>
      <c r="ID22" s="390">
        <f t="shared" si="205"/>
        <v>0.0617665419457267</v>
      </c>
      <c r="IE22" s="390">
        <f>ID22*(VLOOKUP($IB$9,各项系数!$D$1:$F$143,2,0))</f>
        <v>0.679431961402993</v>
      </c>
      <c r="IF22" s="429"/>
      <c r="IG22" s="406">
        <f t="shared" si="148"/>
        <v>0.00920146041387433</v>
      </c>
      <c r="IH22" s="389">
        <v>1</v>
      </c>
      <c r="II22" s="390">
        <f t="shared" si="206"/>
        <v>0.00920146041387433</v>
      </c>
      <c r="IJ22" s="390">
        <f>II22*(VLOOKUP($IG$8,各项系数!$D$1:$F$143,2,0))</f>
        <v>0.230036510346858</v>
      </c>
      <c r="IK22" s="406">
        <f>(各项系数!$F$76/4*($MX22^2-$MK22^2)*$EG22)*10^-2*(VLOOKUP($IG$8,各项系数!$D$1:$F$143,3,0))*10^-3*10^2*各项系数!$J$4</f>
        <v>0.00920146041387433</v>
      </c>
      <c r="IL22" s="389">
        <f>IK22*(VLOOKUP($IG$8,各项系数!$D$1:$F$143,2,0))</f>
        <v>0.230036510346858</v>
      </c>
      <c r="IM22" s="390">
        <f>(各项系数!$F$76/4*(($MM22+3*$X22)^2-MM22^2)*$EO22)*10^-2*(VLOOKUP($IG$8,各项系数!$D$1:$F$143,3,0))*10^-3*10^2*各项系数!$J$4</f>
        <v>0</v>
      </c>
      <c r="IN22" s="389">
        <f>IM22*(VLOOKUP($IG$8,各项系数!$D$1:$F$143,2,0))</f>
        <v>0</v>
      </c>
      <c r="IO22" s="406">
        <f>各项系数!$F$76/4*($MZ22^2-$MX22^2)*10^-2*(VLOOKUP(L22,各项系数!$D$1:$F$143,3,0))*10^-3*10^2*$ES22*各项系数!$J$4</f>
        <v>0.0239567639226259</v>
      </c>
      <c r="IP22" s="389">
        <v>1</v>
      </c>
      <c r="IQ22" s="390">
        <f t="shared" si="207"/>
        <v>0.0239567639226259</v>
      </c>
      <c r="IR22" s="367">
        <f>IQ22*(VLOOKUP(L22,各项系数!$D$1:$F$143,2,0))</f>
        <v>0.244358992010784</v>
      </c>
      <c r="IS22" s="406">
        <f>IF($L22&lt;&gt;$IS$9,0,各项系数!$F$76/4*($MZ22^2-$MX22^2)*10^-2*各项系数!$F$12*10^-3*10^2)*$ES22*各项系数!$J$4</f>
        <v>0</v>
      </c>
      <c r="IT22" s="389">
        <v>1</v>
      </c>
      <c r="IU22" s="390">
        <f t="shared" si="208"/>
        <v>0</v>
      </c>
      <c r="IV22" s="367">
        <f>IU22*各项系数!$E$12</f>
        <v>0</v>
      </c>
      <c r="IW22" s="388">
        <f t="shared" si="209"/>
        <v>0.0239567639226259</v>
      </c>
      <c r="IX22" s="388">
        <f t="shared" si="210"/>
        <v>0.244358992010784</v>
      </c>
      <c r="IY22" s="447">
        <f>各项系数!$F$76/4*($NB22^2-$MZ22^2*$EG22-$NA22^2*$EO22)*10^-2</f>
        <v>0</v>
      </c>
      <c r="IZ22" s="366">
        <f t="shared" ref="IZ22:IZ85" si="231">VLOOKUP(EC22,$A$38:$B$65,2,0)</f>
        <v>1</v>
      </c>
      <c r="JA22" s="367">
        <f t="shared" si="64"/>
        <v>0</v>
      </c>
      <c r="JB22" s="364">
        <f>IF($DE22&lt;&gt;$JB$9,0,$JA22*各项系数!$F$32*10^-3*10^2)*各项系数!$J$4</f>
        <v>0</v>
      </c>
      <c r="JC22" s="123">
        <v>1</v>
      </c>
      <c r="JD22" s="251">
        <f t="shared" si="211"/>
        <v>0</v>
      </c>
      <c r="JE22" s="339">
        <f>JD22*各项系数!$E$32</f>
        <v>0</v>
      </c>
      <c r="JF22" s="364">
        <f>IF($DE22&lt;&gt;$JF$9,0,$JA22*VLOOKUP($JF$9,各项系数!$D$4:$F$540,2,0)*10^-3*10^2)*各项系数!$J$4</f>
        <v>0</v>
      </c>
      <c r="JG22" s="123">
        <v>1</v>
      </c>
      <c r="JH22" s="251">
        <f t="shared" si="66"/>
        <v>0</v>
      </c>
      <c r="JI22" s="339">
        <f>JH22*VLOOKUP($JF$9,各项系数!$D$4:$F$540,3,0)</f>
        <v>0</v>
      </c>
      <c r="JJ22" s="364">
        <f t="shared" si="212"/>
        <v>0</v>
      </c>
      <c r="JK22" s="251">
        <f t="shared" si="213"/>
        <v>0</v>
      </c>
      <c r="JL22" s="364">
        <f>IF($DF22&lt;&gt;$JL$9,0,各项系数!$F$76/4*($NE22^2-$NC22^2)*10^-2*各项系数!$F$39*10^-3*10^2)*各项系数!$J$4</f>
        <v>0</v>
      </c>
      <c r="JM22" s="123">
        <v>1</v>
      </c>
      <c r="JN22" s="251">
        <f t="shared" si="214"/>
        <v>0</v>
      </c>
      <c r="JO22" s="339">
        <f>JN22*各项系数!$E$39</f>
        <v>0</v>
      </c>
      <c r="JP22" s="364">
        <f>IF($DF22&lt;&gt;$JP$9,0,各项系数!$F$76/4*($NE22^2-$NC22^2)*10^-2*各项系数!$F$36*10^-3*10^2)*各项系数!$J$4</f>
        <v>0</v>
      </c>
      <c r="JQ22" s="123">
        <v>1</v>
      </c>
      <c r="JR22" s="251">
        <f t="shared" si="215"/>
        <v>0</v>
      </c>
      <c r="JS22" s="339">
        <f>JR22*各项系数!$E$36</f>
        <v>0</v>
      </c>
      <c r="JT22" s="364">
        <f>IF($DF22&lt;&gt;$JT$9,0,各项系数!$F$76/4*($NE22^2-$NC22^2)*10^-2*各项系数!$F$40*10^-3*10^2)*各项系数!$J$4</f>
        <v>0</v>
      </c>
      <c r="JU22" s="123">
        <v>1</v>
      </c>
      <c r="JV22" s="251">
        <f t="shared" si="216"/>
        <v>0</v>
      </c>
      <c r="JW22" s="339">
        <f>JV22*各项系数!$E$40</f>
        <v>0</v>
      </c>
      <c r="JX22" s="364">
        <f>IF($DF22&lt;&gt;$JX$9,0,各项系数!$F$76/4*($NE22^2-$NC22^2)*10^-2*各项系数!$F$38*10^-3*10^2)*各项系数!$J$4</f>
        <v>0</v>
      </c>
      <c r="JY22" s="123">
        <v>1</v>
      </c>
      <c r="JZ22" s="251">
        <f t="shared" si="217"/>
        <v>0</v>
      </c>
      <c r="KA22" s="339">
        <f>JZ22*各项系数!$E$38</f>
        <v>0</v>
      </c>
      <c r="KB22" s="364">
        <f>IF($DF22&lt;&gt;$KB$9,0,各项系数!$F$76/4*($NE22^2-$NC22^2)*10^-2*各项系数!$F$41*10^-3*10^2)*各项系数!$J$4</f>
        <v>0</v>
      </c>
      <c r="KC22" s="123">
        <v>1</v>
      </c>
      <c r="KD22" s="251">
        <f t="shared" si="218"/>
        <v>0</v>
      </c>
      <c r="KE22" s="339">
        <f>KD22*各项系数!$E$41</f>
        <v>0</v>
      </c>
      <c r="KF22" s="251">
        <f t="shared" si="219"/>
        <v>0</v>
      </c>
      <c r="KG22" s="251">
        <f t="shared" si="220"/>
        <v>0</v>
      </c>
      <c r="KH22" s="302">
        <f>各项系数!$F$76/4*($NG22^2-$NE22^2)*10^-2*各项系数!$F$44*10^-3*10^2*各项系数!$J$4*0.75*$U22</f>
        <v>0.0983553921770794</v>
      </c>
      <c r="KI22" s="123">
        <v>1</v>
      </c>
      <c r="KJ22" s="251">
        <f t="shared" si="221"/>
        <v>0.0983553921770794</v>
      </c>
      <c r="KK22" s="251">
        <f>ROUND(KJ22*各项系数!$E$44,GT22)</f>
        <v>1.1</v>
      </c>
      <c r="KL22" s="302">
        <f>各项系数!$F$76/4*($NF22^2-$NE22^2)*10^-2*各项系数!$F$46*10^-3*10^2*各项系数!$J$4*PI()/4*R22</f>
        <v>0.0121823540339041</v>
      </c>
      <c r="KM22" s="123">
        <v>1</v>
      </c>
      <c r="KN22" s="251">
        <f t="shared" si="222"/>
        <v>0.0121823540339041</v>
      </c>
      <c r="KO22" s="251">
        <f>KN22*各项系数!$E$46</f>
        <v>0.822308897288525</v>
      </c>
      <c r="KP22" s="302">
        <f>各项系数!$F$76/4*($NH22^2-$NE22^2)*10^-2*(VLOOKUP($KP$9,各项系数!$D$1:$F$143,3,0))*10^-3*10^2*各项系数!$J$4</f>
        <v>0.0637182210362143</v>
      </c>
      <c r="KQ22" s="123">
        <v>1</v>
      </c>
      <c r="KR22" s="251">
        <f t="shared" si="150"/>
        <v>0.0637182210362143</v>
      </c>
      <c r="KS22" s="251">
        <f>KR22*(VLOOKUP($KP$9,各项系数!$D$1:$F$143,2,0))</f>
        <v>1.08320975761564</v>
      </c>
      <c r="KT22" s="302">
        <f>各项系数!$F$76/4*($NI22^2-$NF22^2)*10^-2*(VLOOKUP($KT$9,各项系数!$D$1:$F$143,3,0))*10^-3*10^2*各项系数!$J$4</f>
        <v>0.0647335083836308</v>
      </c>
      <c r="KU22" s="123">
        <v>1</v>
      </c>
      <c r="KV22" s="251">
        <f t="shared" si="151"/>
        <v>0.0647335083836308</v>
      </c>
      <c r="KW22" s="251">
        <f>KV22*(VLOOKUP($KT$9,各项系数!$D$1:$F$143,2,0))</f>
        <v>1.10046964252172</v>
      </c>
      <c r="KX22" s="251">
        <f>各项系数!$F$76/4*($NH22^2-$NE22^2)*10^-2*(VLOOKUP($KX$9,各项系数!$D$1:$F$143,3,0))*10^-3*10^2*各项系数!$J$4</f>
        <v>0.0637182210362143</v>
      </c>
      <c r="KY22" s="479">
        <v>1</v>
      </c>
      <c r="KZ22" s="251">
        <f t="shared" si="152"/>
        <v>0.0637182210362143</v>
      </c>
      <c r="LA22" s="251">
        <f>KZ22*(VLOOKUP($KX$9,各项系数!$D$1:$F$143,2,0))</f>
        <v>1.08320975761564</v>
      </c>
      <c r="LB22" s="251">
        <f>各项系数!$F$76/4*($NI22^2-$NF22^2)*10^-2*(VLOOKUP($LB$9,各项系数!$D$1:$F$143,3,0))*10^-3*10^2*各项系数!$J$4</f>
        <v>0.0647335083836308</v>
      </c>
      <c r="LC22" s="479">
        <v>1</v>
      </c>
      <c r="LD22" s="251">
        <f t="shared" si="153"/>
        <v>0.0647335083836308</v>
      </c>
      <c r="LE22" s="251">
        <f>LD22*(VLOOKUP($LB$9,各项系数!$D$1:$F$143,2,0))</f>
        <v>1.10046964252172</v>
      </c>
      <c r="LF22" s="302">
        <f>各项系数!$F$76/4*($NH22^2-$NE22^2)*10^-2*(VLOOKUP(AN22,各项系数!$D$1:$F$143,3,0))*10^-3*10^2*各项系数!$J$4</f>
        <v>0.0645970930505069</v>
      </c>
      <c r="LG22" s="123">
        <v>1</v>
      </c>
      <c r="LH22" s="251">
        <f t="shared" si="223"/>
        <v>0.0645970930505069</v>
      </c>
      <c r="LI22" s="251">
        <f>LH22*(VLOOKUP(AN22,各项系数!$D$1:$F$143,2,0))</f>
        <v>0.645970930505069</v>
      </c>
      <c r="LJ22" s="302">
        <f>各项系数!$F$76/4*($NI22^2-$NF22^2)*10^-2*(VLOOKUP(AN22,各项系数!$D$1:$F$143,3,0))*10^-3*10^2*各项系数!$J$4</f>
        <v>0.065626384361336</v>
      </c>
      <c r="LK22" s="123">
        <v>1</v>
      </c>
      <c r="LL22" s="251">
        <f t="shared" si="224"/>
        <v>0.065626384361336</v>
      </c>
      <c r="LM22" s="251">
        <f>LL22*(VLOOKUP(AN22,各项系数!$D$1:$F$143,2,0))</f>
        <v>0.65626384361336</v>
      </c>
      <c r="LN22" s="251">
        <f>各项系数!$F$76/4*($NH22^2-$NE22^2)*10^-2*(VLOOKUP($LN$9,各项系数!$D$1:$F$143,3,0))*10^-3*10^2*各项系数!$J$4</f>
        <v>0.0645970930505069</v>
      </c>
      <c r="LO22" s="479">
        <v>1</v>
      </c>
      <c r="LP22" s="251">
        <f t="shared" si="225"/>
        <v>0.0645970930505069</v>
      </c>
      <c r="LQ22" s="251">
        <f>LP22*(VLOOKUP($LN$9,各项系数!$D$1:$F$143,2,0))</f>
        <v>0.710568023555575</v>
      </c>
      <c r="LR22" s="251">
        <f>各项系数!$F$76/4*($NI22^2-$NF22^2)*10^-2*(VLOOKUP($LR$9,各项系数!$D$1:$F$143,3,0))*10^-3*10^2*各项系数!$J$4</f>
        <v>0.065626384361336</v>
      </c>
      <c r="LS22" s="479">
        <v>1</v>
      </c>
      <c r="LT22" s="251">
        <f t="shared" si="226"/>
        <v>0.065626384361336</v>
      </c>
      <c r="LU22" s="251">
        <f>LT22*(VLOOKUP($LR$9,各项系数!$D$1:$F$143,2,0))</f>
        <v>0.721890227974696</v>
      </c>
      <c r="LV22" s="499">
        <f t="shared" si="154"/>
        <v>30.59533041</v>
      </c>
      <c r="LW22" s="499">
        <f t="shared" si="155"/>
        <v>23.79636809</v>
      </c>
      <c r="LX22" s="499">
        <f t="shared" si="156"/>
        <v>5.50440522429644</v>
      </c>
      <c r="LY22" s="515">
        <f t="shared" si="157"/>
        <v>6.79896232</v>
      </c>
      <c r="LZ22" s="516">
        <f t="shared" si="86"/>
        <v>1</v>
      </c>
      <c r="MA22" s="517">
        <f t="shared" si="87"/>
        <v>30.59533041</v>
      </c>
      <c r="MB22" s="517">
        <f t="shared" si="158"/>
        <v>6.24140886</v>
      </c>
      <c r="MC22" s="499">
        <f t="shared" si="159"/>
        <v>0</v>
      </c>
      <c r="MD22" s="499">
        <f t="shared" si="160"/>
        <v>0</v>
      </c>
      <c r="ME22" s="499">
        <f t="shared" si="161"/>
        <v>0</v>
      </c>
      <c r="MF22" s="499">
        <f t="shared" si="162"/>
        <v>0</v>
      </c>
      <c r="MG22" s="516">
        <f t="shared" si="163"/>
        <v>1</v>
      </c>
      <c r="MH22" s="517">
        <f t="shared" si="88"/>
        <v>0</v>
      </c>
      <c r="MI22" s="517">
        <f t="shared" si="164"/>
        <v>0</v>
      </c>
      <c r="MJ22" s="251">
        <f t="shared" si="89"/>
        <v>6.24140886</v>
      </c>
      <c r="MK22" s="251">
        <f t="shared" si="165"/>
        <v>6.24140886</v>
      </c>
      <c r="ML22" s="251">
        <f t="shared" si="227"/>
        <v>0</v>
      </c>
      <c r="MM22" s="251">
        <f t="shared" si="91"/>
        <v>0</v>
      </c>
      <c r="MN22" s="251">
        <f t="shared" si="92"/>
        <v>8.04140886</v>
      </c>
      <c r="MO22" s="251">
        <f t="shared" si="166"/>
        <v>0</v>
      </c>
      <c r="MP22" s="251">
        <f t="shared" si="167"/>
        <v>8.04140886</v>
      </c>
      <c r="MQ22" s="251">
        <f t="shared" si="228"/>
        <v>8.04140886</v>
      </c>
      <c r="MR22" s="314">
        <f t="shared" si="168"/>
        <v>8.04140886</v>
      </c>
      <c r="MS22" s="530">
        <f t="shared" si="94"/>
        <v>8.04140886</v>
      </c>
      <c r="MT22" s="530">
        <f t="shared" si="95"/>
        <v>8.20140886</v>
      </c>
      <c r="MU22" s="530">
        <f t="shared" ref="MU12:MU75" si="232">MS22+(T22*U22*1.5)</f>
        <v>8.64140886</v>
      </c>
      <c r="MV22" s="530">
        <f t="shared" si="97"/>
        <v>10.84140886</v>
      </c>
      <c r="MW22" s="530">
        <f t="shared" si="98"/>
        <v>11.00140886</v>
      </c>
      <c r="MX22" s="326">
        <f t="shared" ref="MX12:MX75" si="233">MK22+3*X22</f>
        <v>6.84140886</v>
      </c>
      <c r="MY22" s="326">
        <f t="shared" si="100"/>
        <v>0</v>
      </c>
      <c r="MZ22" s="251">
        <f t="shared" si="101"/>
        <v>8.64140886</v>
      </c>
      <c r="NA22" s="251">
        <f t="shared" si="102"/>
        <v>0</v>
      </c>
      <c r="NB22" s="251">
        <f t="shared" si="169"/>
        <v>8.64140886</v>
      </c>
      <c r="NC22" s="326">
        <f t="shared" si="229"/>
        <v>8.64140886</v>
      </c>
      <c r="ND22" s="314">
        <f t="shared" ref="ND13:ND76" si="234">IF(IY22=0,NC22,ROUND(SQRT((PI()*NC22*NC22/4-(IY22-JA22))*4/PI()),8))</f>
        <v>8.64140886</v>
      </c>
      <c r="NE22" s="537">
        <f t="shared" ref="NE13:NE76" si="235">ND22+3*O22</f>
        <v>8.64140886</v>
      </c>
      <c r="NF22" s="530">
        <f t="shared" si="106"/>
        <v>8.80140886</v>
      </c>
      <c r="NG22" s="538">
        <f t="shared" ref="NG12:NG75" si="236">NE22+(T22*U22*1.5)</f>
        <v>9.24140886</v>
      </c>
      <c r="NH22" s="326">
        <f t="shared" si="108"/>
        <v>11.44140886</v>
      </c>
      <c r="NI22" s="530">
        <f t="shared" si="109"/>
        <v>11.60140886</v>
      </c>
      <c r="NK22" s="539">
        <f t="shared" si="110"/>
        <v>0.295644613719249</v>
      </c>
      <c r="NL22" s="539">
        <f t="shared" si="111"/>
        <v>14.7716754289374</v>
      </c>
      <c r="NM22" s="539">
        <f t="shared" si="112"/>
        <v>0.295644613719249</v>
      </c>
      <c r="NN22" s="539">
        <f t="shared" si="113"/>
        <v>14.8324126795723</v>
      </c>
      <c r="NO22" s="539">
        <f t="shared" si="114"/>
        <v>0.310562692054784</v>
      </c>
      <c r="NP22" s="539">
        <f t="shared" si="115"/>
        <v>15.0592494736021</v>
      </c>
      <c r="NQ22" s="539">
        <f t="shared" si="116"/>
        <v>0.310562692054784</v>
      </c>
      <c r="NR22" s="539">
        <f t="shared" si="117"/>
        <v>15.1238465666526</v>
      </c>
      <c r="NS22" s="539">
        <f t="shared" si="118"/>
        <v>0.306988867792737</v>
      </c>
      <c r="NT22" s="539">
        <f t="shared" si="119"/>
        <v>0.306988867792737</v>
      </c>
      <c r="NU22" s="539">
        <f t="shared" si="120"/>
        <v>0.322745046088688</v>
      </c>
      <c r="NV22" s="539">
        <f t="shared" si="121"/>
        <v>0.322745046088688</v>
      </c>
      <c r="NW22">
        <f t="shared" si="122"/>
        <v>0.356814879880539</v>
      </c>
      <c r="NX22">
        <f>各项系数!$M$9*NK22</f>
        <v>0.0886933841157748</v>
      </c>
      <c r="NY22">
        <f t="shared" si="123"/>
        <v>0.306988867792737</v>
      </c>
      <c r="OB22" s="82" t="str">
        <f t="shared" si="124"/>
        <v>1*25</v>
      </c>
      <c r="OC22" s="546">
        <f t="shared" si="125"/>
        <v>208.046961644752</v>
      </c>
      <c r="OD22" s="546">
        <f>SQRT(4*EY22/PI()/EH22/各项系数!$J$4/各项系数!$F$5*10000000)</f>
        <v>209.188090412333</v>
      </c>
      <c r="OE22" s="547">
        <f t="shared" si="126"/>
        <v>23.7963680126124</v>
      </c>
      <c r="OF22" s="547">
        <f t="shared" si="127"/>
        <v>24.0581280607511</v>
      </c>
      <c r="OG22" s="82">
        <v>24.2</v>
      </c>
      <c r="OH22" s="548">
        <f t="shared" si="186"/>
        <v>-0.141871939248869</v>
      </c>
    </row>
    <row r="23" customHeight="1" spans="1:398">
      <c r="A23" s="66">
        <v>35</v>
      </c>
      <c r="B23" s="67"/>
      <c r="C23" s="68">
        <v>0.9</v>
      </c>
      <c r="D23" s="69" t="s">
        <v>166</v>
      </c>
      <c r="E23" s="77">
        <f t="shared" si="175"/>
        <v>11.95163935</v>
      </c>
      <c r="F23" s="75">
        <v>245.05464536043</v>
      </c>
      <c r="G23" s="74"/>
      <c r="H23" s="23"/>
      <c r="I23" s="78"/>
      <c r="J23" s="23"/>
      <c r="K23" s="23"/>
      <c r="L23" s="118" t="s">
        <v>467</v>
      </c>
      <c r="M23" s="124">
        <f t="shared" si="2"/>
        <v>0.9</v>
      </c>
      <c r="N23" s="124">
        <f t="shared" si="3"/>
        <v>0</v>
      </c>
      <c r="O23" s="123"/>
      <c r="P23" s="120">
        <v>0.1</v>
      </c>
      <c r="Q23" s="162">
        <f t="shared" si="170"/>
        <v>0.1</v>
      </c>
      <c r="R23" s="169">
        <v>0.8</v>
      </c>
      <c r="S23" s="171" t="str">
        <f>各项系数!$D$44</f>
        <v>磁性钢带</v>
      </c>
      <c r="T23" s="123">
        <v>0.2</v>
      </c>
      <c r="U23" s="123">
        <v>2</v>
      </c>
      <c r="V23" s="169"/>
      <c r="W23" s="170">
        <v>1.4</v>
      </c>
      <c r="X23" s="164">
        <f t="shared" si="171"/>
        <v>0.2</v>
      </c>
      <c r="Y23" s="219"/>
      <c r="Z23" s="220"/>
      <c r="AA23" s="217">
        <v>1.011</v>
      </c>
      <c r="AB23" s="186">
        <f>PI()*EJ23*EJ23/4*EH23*(1-H23)*AA23*各项系数!$F$5*各项系数!$J$4*10^-7</f>
        <v>0.295249926304339</v>
      </c>
      <c r="AC23" s="186">
        <f t="shared" si="176"/>
        <v>245.05464536043</v>
      </c>
      <c r="AD23" s="186">
        <f t="shared" si="5"/>
        <v>33.3783570613855</v>
      </c>
      <c r="AE23" s="186">
        <f>POWER(4*EU23/PI()/EG23/10^-7/EH23/(1-H23)/各项系数!$F$5/各项系数!$J$4,0.5)</f>
        <v>246.398759704805</v>
      </c>
      <c r="AF23" s="218">
        <v>1</v>
      </c>
      <c r="AG23" s="85">
        <f>IF(EM23=0,0,PI()*ER23*ER23/4*EP23*(1-K23)*(1+AF23)*各项系数!$F$5*各项系数!$J$4*10^-7)</f>
        <v>0</v>
      </c>
      <c r="AH23" s="85">
        <f t="shared" si="177"/>
        <v>0</v>
      </c>
      <c r="AI23" s="85">
        <f t="shared" si="128"/>
        <v>0</v>
      </c>
      <c r="AJ23" s="85">
        <f>IF(OR(EP23="",EP23=0),0,POWER(4*EW23/PI()/EO23/10^-7/EP23/(1-K23)/各项系数!$F$5/各项系数!$J$4,0.5))</f>
        <v>0</v>
      </c>
      <c r="AK23" s="85" t="str">
        <f t="shared" si="8"/>
        <v>√</v>
      </c>
      <c r="AL23" s="85">
        <f t="shared" si="178"/>
        <v>20.9109026215879</v>
      </c>
      <c r="AM23" s="250">
        <f t="shared" si="179"/>
        <v>35</v>
      </c>
      <c r="AN23" s="118" t="s">
        <v>486</v>
      </c>
      <c r="AO23" s="259">
        <f>AP23+各项系数!$M$9*$NK23</f>
        <v>20.5008849231254</v>
      </c>
      <c r="AP23" s="259">
        <f>AQ23*(1+$BI23+(VLOOKUP($AM23,$A$12:$B$323,2,0))+各项系数!$J$6+各项系数!$M$5)*(1+$E$2)</f>
        <v>20.3842853917605</v>
      </c>
      <c r="AQ23" s="260">
        <f>AR23+各项系数!$L$9*$NK23</f>
        <v>20.8002912160822</v>
      </c>
      <c r="AR23" s="260">
        <f>AS23*(1+$BJ23+各项系数!$J$5+各项系数!$L$5)</f>
        <v>20.6836916847173</v>
      </c>
      <c r="AS23" s="260">
        <f t="shared" si="129"/>
        <v>20.278129102664</v>
      </c>
      <c r="AT23" s="259">
        <f>AU23+各项系数!$M$9*$NM23</f>
        <v>20.9601572267653</v>
      </c>
      <c r="AU23" s="259">
        <f>AV23*(1+$BI23+(VLOOKUP($AM23,$A$12:$B$323,2,0))+各项系数!$J$6+各项系数!$M$5)*(1+$E$2)</f>
        <v>20.8435576954004</v>
      </c>
      <c r="AV23" s="260">
        <f>AW23+各项系数!$L$9*$NM23</f>
        <v>21.268936423878</v>
      </c>
      <c r="AW23" s="260">
        <f>AX23*(1+$BJ23+各项系数!$J$5+各项系数!$L$5)</f>
        <v>21.1523368925131</v>
      </c>
      <c r="AX23" s="260">
        <f t="shared" si="130"/>
        <v>20.7375851887383</v>
      </c>
      <c r="AY23" s="259">
        <f>AZ23+各项系数!$M$9*$NS23</f>
        <v>21.3889018331849</v>
      </c>
      <c r="AZ23" s="259">
        <f>BA23*(1+$BI23+(VLOOKUP($AM23,$A$12:$B$214,2,0))+各项系数!$J$6+各项系数!$M$5)*(1+$E$2)</f>
        <v>21.2684337835331</v>
      </c>
      <c r="BA23" s="260">
        <f>BB23+各项系数!$L$9*$NS23</f>
        <v>21.7024834525848</v>
      </c>
      <c r="BB23" s="260">
        <f>BC23*(1+$BJ23+各项系数!$J$5+各项系数!$L$5)</f>
        <v>21.582015402933</v>
      </c>
      <c r="BC23" s="262">
        <f t="shared" si="131"/>
        <v>21.1588386303264</v>
      </c>
      <c r="BD23" s="259">
        <f>BE23+各项系数!$M$9*$NS23</f>
        <v>21.8551383218339</v>
      </c>
      <c r="BE23" s="259">
        <f>BF23*(1+$BI23+(VLOOKUP($AM23,$A$12:$B$214,2,0))+各项系数!$J$6+各项系数!$M$5)*(1+$E$2)</f>
        <v>21.7346702721821</v>
      </c>
      <c r="BF23" s="260">
        <f>BG23+各项系数!$L$9*$NS23</f>
        <v>22.1782349716144</v>
      </c>
      <c r="BG23" s="260">
        <f>BH23*(1+$BJ23+各项系数!$J$5+各项系数!$L$5)</f>
        <v>22.0577669219625</v>
      </c>
      <c r="BH23" s="262">
        <f t="shared" si="132"/>
        <v>21.6252616881986</v>
      </c>
      <c r="BI23" s="67"/>
      <c r="BJ23" s="272"/>
      <c r="BK23" s="123"/>
      <c r="BL23" s="259">
        <f>BM23+各项系数!$M$9*$NM23</f>
        <v>20.7681280969473</v>
      </c>
      <c r="BM23" s="259">
        <f>BN23*(1+$CF23+(VLOOKUP($AM23,$A$12:$B$323,2,0))+各项系数!$J$6+各项系数!$M$5)*(1+$E$2)</f>
        <v>20.6515285655824</v>
      </c>
      <c r="BN23" s="260">
        <f>BO23+各项系数!$L$9*$NM23</f>
        <v>21.0729883322269</v>
      </c>
      <c r="BO23" s="260">
        <f>BP23*(1+$CG23+各项系数!$J$5+各项系数!$L$5)</f>
        <v>20.956388800862</v>
      </c>
      <c r="BP23" s="260">
        <f t="shared" si="133"/>
        <v>20.3460085445262</v>
      </c>
      <c r="BQ23" s="259">
        <f>BR23+各项系数!$M$9*$NM23</f>
        <v>21.163385561615</v>
      </c>
      <c r="BR23" s="259">
        <f>BS23*(1+$CF23+(VLOOKUP($AM23,$A$12:$B$323,2,0))+各项系数!$J$6+各项系数!$M$5)*(1+$E$2)</f>
        <v>21.0467860302501</v>
      </c>
      <c r="BS23" s="260">
        <f>BT23+各项系数!$L$9*$NM23</f>
        <v>21.4763122757654</v>
      </c>
      <c r="BT23" s="260">
        <f>BU23*(1+$CG23+各项系数!$J$5+各项系数!$L$5)</f>
        <v>21.3597127444005</v>
      </c>
      <c r="BU23" s="260">
        <f t="shared" si="134"/>
        <v>20.7375851887383</v>
      </c>
      <c r="BV23" s="259">
        <f>BW23+各项系数!$M$9*$NT23</f>
        <v>21.5558543734601</v>
      </c>
      <c r="BW23" s="259">
        <f>BX23*(1+$CF23+(VLOOKUP($AM23,$A$12:$B$214,2,0))+各项系数!$J$6+各项系数!$M$5)*(1+$E$2)</f>
        <v>21.4353863238083</v>
      </c>
      <c r="BX23" s="260">
        <f>BY23+各项系数!$L$9*$NT$12</f>
        <v>21.8728431875595</v>
      </c>
      <c r="BY23" s="260">
        <f>BZ23*(1+$CG23+各项系数!$J$5+各项系数!$L$5)</f>
        <v>21.8645797844045</v>
      </c>
      <c r="BZ23" s="262">
        <f t="shared" si="11"/>
        <v>21.2277473634995</v>
      </c>
      <c r="CA23" s="259">
        <f>CB23+各项系数!$M$9*$NT23</f>
        <v>21.9571053328113</v>
      </c>
      <c r="CB23" s="259">
        <f>CC23*(1+$CF23+(VLOOKUP($AM23,$A$12:$B$214,2,0))+各项系数!$J$6+各项系数!$M$5)*(1+$E$2)</f>
        <v>21.8366372831595</v>
      </c>
      <c r="CC23" s="260">
        <f>CD23+各项系数!$L$9*$NT$12</f>
        <v>22.2822829419995</v>
      </c>
      <c r="CD23" s="260">
        <f>CE23*(1+$CG23+各项系数!$J$5+各项系数!$L$5)</f>
        <v>22.2740195388445</v>
      </c>
      <c r="CE23" s="262">
        <f t="shared" si="135"/>
        <v>21.6252616881986</v>
      </c>
      <c r="CF23" s="277">
        <f t="shared" si="136"/>
        <v>0</v>
      </c>
      <c r="CG23" s="277">
        <f t="shared" si="12"/>
        <v>0.01</v>
      </c>
      <c r="CH23" s="123"/>
      <c r="CI23" s="259">
        <f>CJ23+各项系数!$M$9*$NO23</f>
        <v>20.9537594335117</v>
      </c>
      <c r="CJ23" s="259">
        <f>CK23*(1+$DC23+(VLOOKUP($AM23,$A$12:$B$323,2,0))+各项系数!$J$6+各项系数!$M$5)*(1+$E$2)+各项系数!$M$9*$NK23</f>
        <v>20.8322159675598</v>
      </c>
      <c r="CK23" s="260">
        <f>CL23+各项系数!$L$9*$NO23</f>
        <v>21.1383841185662</v>
      </c>
      <c r="CL23" s="260">
        <f>CM23*(1+$DD23+各项系数!$J$5+各项系数!$L$5)</f>
        <v>21.0168406526143</v>
      </c>
      <c r="CM23" s="260">
        <f t="shared" si="13"/>
        <v>20.6047457378571</v>
      </c>
      <c r="CN23" s="259">
        <f>CO23+各项系数!$M$9*$NO23</f>
        <v>21.3744487523651</v>
      </c>
      <c r="CO23" s="259">
        <f>CP23*(1+$DC23+(VLOOKUP($AM23,$A$12:$B$323,2,0))+各项系数!$J$6+各项系数!$M$5)*(1+$E$2)+各项系数!$M$9*$NK23</f>
        <v>21.2529052864132</v>
      </c>
      <c r="CP23" s="260">
        <f>CQ23+各项系数!$L$9*$NO23</f>
        <v>21.5676589337228</v>
      </c>
      <c r="CQ23" s="260">
        <f>CR23*(1+$DD23+各项系数!$J$5+各项系数!$L$5)</f>
        <v>21.4461154677709</v>
      </c>
      <c r="CR23" s="260">
        <f t="shared" si="14"/>
        <v>21.0256033997754</v>
      </c>
      <c r="CS23" s="259">
        <f>CT23+各项系数!$M$9*$NU23</f>
        <v>21.7822237622119</v>
      </c>
      <c r="CT23" s="259">
        <f t="shared" si="15"/>
        <v>21.656560347985</v>
      </c>
      <c r="CU23" s="260">
        <f>CV23+各项系数!$L$9*$NU23</f>
        <v>22.0985309673316</v>
      </c>
      <c r="CV23" s="260">
        <f>CW23*(1+$DD23+各项系数!$J$5+各项系数!$L$5)</f>
        <v>21.9728675531047</v>
      </c>
      <c r="CW23" s="262">
        <f t="shared" si="16"/>
        <v>21.5420270128477</v>
      </c>
      <c r="CX23" s="259">
        <f>CY23+各项系数!$M$9*$NU23</f>
        <v>22.2745759446449</v>
      </c>
      <c r="CY23" s="259">
        <f t="shared" si="17"/>
        <v>22.148912530418</v>
      </c>
      <c r="CZ23" s="260">
        <f>DA23+各项系数!$L$9*$NU23</f>
        <v>22.6009311534877</v>
      </c>
      <c r="DA23" s="260">
        <f>DB23*(1+$DD23+各项系数!$J$5+各项系数!$L$5)</f>
        <v>22.4752677392608</v>
      </c>
      <c r="DB23" s="262">
        <f t="shared" si="18"/>
        <v>22.0345762149615</v>
      </c>
      <c r="DC23" s="277">
        <f t="shared" si="137"/>
        <v>0</v>
      </c>
      <c r="DD23" s="277">
        <f t="shared" si="19"/>
        <v>0</v>
      </c>
      <c r="DE23" s="69"/>
      <c r="DF23" s="69"/>
      <c r="DG23" s="259">
        <f>DH23+各项系数!$M$9*$NQ23</f>
        <v>21.2280995752927</v>
      </c>
      <c r="DH23" s="259">
        <f>DI23*(1+$EA23+(VLOOKUP($AM23,$A$12:$B$323,2,0))+各项系数!$J$6+各项系数!$M$5)*(1+$E$2)+各项系数!$M$9*$NK23</f>
        <v>21.1065561093408</v>
      </c>
      <c r="DI23" s="260">
        <f>DJ23+各项系数!$L$9*$NQ23</f>
        <v>21.4183230387509</v>
      </c>
      <c r="DJ23" s="260">
        <f>DK23*(1+$EB23+各项系数!$J$5+各项系数!$L$5)</f>
        <v>21.296779572799</v>
      </c>
      <c r="DK23" s="260">
        <f t="shared" si="20"/>
        <v>20.676485022135</v>
      </c>
      <c r="DL23" s="259">
        <f>DM23+各项系数!$M$9*$NQ23</f>
        <v>21.6458326450237</v>
      </c>
      <c r="DM23" s="259">
        <f>DN23*(1+$EA23+(VLOOKUP($AM23,$A$12:$B$323,2,0))+各项系数!$J$6+各项系数!$M$5)*(1+$E$2)+各项系数!$M$9*$NK23</f>
        <v>21.5242891790718</v>
      </c>
      <c r="DN23" s="260">
        <f>DO23+各项系数!$L$9*$NQ23</f>
        <v>21.8445812731703</v>
      </c>
      <c r="DO23" s="260">
        <f>DP23*(1+$EB23+各项系数!$J$5+各项系数!$L$5)</f>
        <v>21.7230378072184</v>
      </c>
      <c r="DP23" s="260">
        <f t="shared" si="21"/>
        <v>21.0903279681732</v>
      </c>
      <c r="DQ23" s="259">
        <f>DR23+各项系数!$M$9*$NV23</f>
        <v>22.066788227137</v>
      </c>
      <c r="DR23" s="259">
        <f t="shared" si="22"/>
        <v>21.9411248129101</v>
      </c>
      <c r="DS23" s="260">
        <f>DT23+各项系数!$L$9*$NV23</f>
        <v>22.3889028703164</v>
      </c>
      <c r="DT23" s="260">
        <f>DU23*(1+$EB23+各项系数!$J$5+各项系数!$L$5)</f>
        <v>22.2632394560895</v>
      </c>
      <c r="DU23" s="262">
        <f t="shared" si="23"/>
        <v>21.6147955884364</v>
      </c>
      <c r="DV23" s="259">
        <f>DW23+各项系数!$M$9*$NV23</f>
        <v>22.2084847762424</v>
      </c>
      <c r="DW23" s="259">
        <f t="shared" si="24"/>
        <v>22.0828213620155</v>
      </c>
      <c r="DX23" s="260">
        <f>DY23+各项系数!$L$9*$NV23</f>
        <v>22.5334911857301</v>
      </c>
      <c r="DY23" s="260">
        <f>DZ23*(1+$EB23+各项系数!$J$5+各项系数!$L$5)</f>
        <v>22.4078277715032</v>
      </c>
      <c r="DZ23" s="262">
        <f t="shared" si="25"/>
        <v>21.7551725936924</v>
      </c>
      <c r="EA23" s="277">
        <f t="shared" si="230"/>
        <v>0</v>
      </c>
      <c r="EB23" s="277">
        <f t="shared" si="27"/>
        <v>0.01</v>
      </c>
      <c r="EC23" s="302">
        <f t="shared" si="138"/>
        <v>1</v>
      </c>
      <c r="ED23" s="302" t="str">
        <f t="shared" si="180"/>
        <v>1*35</v>
      </c>
      <c r="EE23" s="251">
        <f t="shared" si="187"/>
        <v>35</v>
      </c>
      <c r="EF23" s="251" t="str">
        <f>LOOKUP(EH23,{1,7,10,14,19,24,30,37,48,61},{1,"1+6","2+8","4+10","1+6+12","2+8+14","4+10+16","1+6+12+18","3+9+15+21","1+6+12+18+24"})</f>
        <v>1+6</v>
      </c>
      <c r="EG23" s="250">
        <f t="shared" si="29"/>
        <v>1</v>
      </c>
      <c r="EH23" s="260">
        <f>IF(AM23&lt;10,1,IF(AND(AM23&gt;=10,AM23&lt;=35),7,LOOKUP(AM23,{50,70,95,120,150,185,240,300,400,500,630},{10,14,19,24,30,37,48,61,61,61,61})*1))</f>
        <v>7</v>
      </c>
      <c r="EI23" s="250">
        <f>IF(EH23=0,0,VLOOKUP(EH23,各项系数!$D$142:$E$195,2,0))*1</f>
        <v>3</v>
      </c>
      <c r="EJ23" s="305">
        <f t="shared" si="141"/>
        <v>245.05464536043</v>
      </c>
      <c r="EK23" s="251">
        <f t="shared" si="181"/>
        <v>0</v>
      </c>
      <c r="EL23" s="251">
        <f t="shared" si="31"/>
        <v>0</v>
      </c>
      <c r="EM23" s="251">
        <f t="shared" si="182"/>
        <v>0</v>
      </c>
      <c r="EN23" s="251">
        <f>IF(EP23=0,0,LOOKUP(EP23,{1,7,10,14,19,24,30,37,48,61},{1,"1+6","2+8","4+10","1+6+12","2+8+14","4+10+16","1+6+12+18","3+9+15+21","1+6+12+18+24"}))</f>
        <v>0</v>
      </c>
      <c r="EO23" s="251">
        <f t="shared" si="183"/>
        <v>0</v>
      </c>
      <c r="EP23" s="251">
        <f>IF(EM23=0,0,IF(EM23&lt;10,1,IF(AND(EM23&gt;=10,EM23&lt;=35),7,LOOKUP(EM23,{50,70,95,120,150,185,240,300},{10,14,19,24,30,37,48,61})*1)))</f>
        <v>0</v>
      </c>
      <c r="EQ23" s="251">
        <f>IF(EP23=0,0,VLOOKUP(EP23,各项系数!$D$142:$E$195,2,0))*1</f>
        <v>0</v>
      </c>
      <c r="ER23" s="251">
        <f t="shared" si="184"/>
        <v>0</v>
      </c>
      <c r="ES23" s="302">
        <f t="shared" si="185"/>
        <v>1</v>
      </c>
      <c r="ET23" s="251">
        <f>VLOOKUP(ES23,各项系数!$D$142:$E$195,2,0)*1</f>
        <v>1</v>
      </c>
      <c r="EU23" s="311">
        <f>((各项系数!$F$76/4*$EJ23^2*$EG23*$EH23*1*10^-7)*(1-$H23)*AA23)*(VLOOKUP($EY$9,各项系数!$D$4:$F$143,3,0))*各项系数!$J$4</f>
        <v>0.295249926304339</v>
      </c>
      <c r="EV23" s="312">
        <f>EU23*(VLOOKUP($EY$9,各项系数!$D$4:$F$143,2,0))</f>
        <v>19.3388701729342</v>
      </c>
      <c r="EW23" s="324">
        <f>(IF($EO23=0,0,(各项系数!$F$76/4*$ER23^2*$EO23*$EP23*1*10^-7))*(1-$K23)*$AF23)*(VLOOKUP($EY$9,各项系数!$D$4:$F$143,3,0))*各项系数!$J$4</f>
        <v>0</v>
      </c>
      <c r="EX23" s="325">
        <f>EW23*(VLOOKUP($EY$9,各项系数!$D$4:$F$143,2,0))</f>
        <v>0</v>
      </c>
      <c r="EY23" s="251">
        <f>((各项系数!$F$76/4*$EJ23^2*$EG23*$EH23*1*10^-7)*(1-$H23)*AA23+IF($EO23=0,0,(各项系数!$F$76/4*$ER23^2*$EO23*$EP23*1*10^-7))*(1-$K23)*$AF23)*(VLOOKUP($EY$9,各项系数!$D$4:$F$143,3,0))*各项系数!$J$4</f>
        <v>0.295249926304339</v>
      </c>
      <c r="EZ23" s="123">
        <v>1</v>
      </c>
      <c r="FA23" s="251">
        <f t="shared" si="188"/>
        <v>0.295249926304339</v>
      </c>
      <c r="FB23" s="326">
        <f>FA23*(VLOOKUP($EY$9,各项系数!$D$4:$F$143,2,0))</f>
        <v>19.3388701729342</v>
      </c>
      <c r="FC23" s="327"/>
      <c r="FD23" s="302">
        <f>各项系数!$F$76/4*($MN23^2-MK23^2)*10^-2*(VLOOKUP(L23,各项系数!$D$1:$F$143,3,0))*10^-3*10^2*$EG23*各项系数!$J$4</f>
        <v>0.02553573638308</v>
      </c>
      <c r="FE23" s="339">
        <f>FD23*VLOOKUP(L23,各项系数!$D$1:$F$143,2,0)</f>
        <v>0.260464511107416</v>
      </c>
      <c r="FF23" s="250">
        <f>各项系数!$F$76/4*($MO23^2-ML23^2)*10^-2*(VLOOKUP(L23,各项系数!$D$1:$F$143,3,0))*10^-3*10^2*$EO23*各项系数!$J$4</f>
        <v>0</v>
      </c>
      <c r="FG23" s="339">
        <f>FF23*VLOOKUP(L23,各项系数!$D$1:$F$143,2,0)</f>
        <v>0</v>
      </c>
      <c r="FH23" s="302">
        <f t="shared" si="142"/>
        <v>0.02553573638308</v>
      </c>
      <c r="FI23" s="123">
        <v>1</v>
      </c>
      <c r="FJ23" s="251">
        <f t="shared" si="189"/>
        <v>0.02553573638308</v>
      </c>
      <c r="FK23" s="339">
        <f>FJ23*VLOOKUP(L23,各项系数!$D$1:$F$143,2,0)</f>
        <v>0.260464511107416</v>
      </c>
      <c r="FL23" s="302"/>
      <c r="FM23" s="123"/>
      <c r="FN23" s="251"/>
      <c r="FO23" s="339"/>
      <c r="FP23" s="364">
        <f t="shared" si="190"/>
        <v>0.02553573638308</v>
      </c>
      <c r="FQ23" s="364">
        <f t="shared" si="191"/>
        <v>0.260464511107416</v>
      </c>
      <c r="FR23" s="365">
        <f>各项系数!$F$76/4*($MQ23^2-$MN23^2*$EG23-$MO23^2*$EO23)*10^-2</f>
        <v>0</v>
      </c>
      <c r="FS23" s="366">
        <f t="shared" si="143"/>
        <v>1</v>
      </c>
      <c r="FT23" s="367">
        <f t="shared" si="40"/>
        <v>0</v>
      </c>
      <c r="FU23" s="388">
        <f>$FT23*(VLOOKUP($FT$9,各项系数!$D$1:$F$143,3,0))*10^-3*10^2*各项系数!$J$55</f>
        <v>0</v>
      </c>
      <c r="FV23" s="389">
        <v>1</v>
      </c>
      <c r="FW23" s="390">
        <f t="shared" si="192"/>
        <v>0</v>
      </c>
      <c r="FX23" s="367">
        <f>FW23*(VLOOKUP($FT$9,各项系数!$D$1:$F$143,2,0))</f>
        <v>0</v>
      </c>
      <c r="FY23" s="388">
        <f>IF($BK23&lt;&gt;$FY$9,0,各项系数!$F$76/4*($MS23^2-$MQ23^2)*10^-2*(VLOOKUP($FY$9,各项系数!$D$1:$F$143,3,0))*10^-3*10^2)*各项系数!$J$4</f>
        <v>0</v>
      </c>
      <c r="FZ23" s="389">
        <v>1</v>
      </c>
      <c r="GA23" s="390">
        <f t="shared" si="193"/>
        <v>0</v>
      </c>
      <c r="GB23" s="367">
        <f>GA23*(VLOOKUP($FY$9,各项系数!$D$1:$F$143,2,0))</f>
        <v>0</v>
      </c>
      <c r="GC23" s="388">
        <f>IF($BK23&lt;&gt;$GC$9,0,各项系数!$F$76/4*($MS23^2-$MQ23^2)*10^-2*(VLOOKUP($GC$9,各项系数!$D$1:$F$143,3,0))*10^-3*10^2)*各项系数!$J$4</f>
        <v>0</v>
      </c>
      <c r="GD23" s="389">
        <v>1</v>
      </c>
      <c r="GE23" s="390">
        <f t="shared" si="194"/>
        <v>0</v>
      </c>
      <c r="GF23" s="367">
        <f>GE23*(VLOOKUP($GC$9,各项系数!$D$1:$F$143,2,0))</f>
        <v>0</v>
      </c>
      <c r="GG23" s="388">
        <f>IF($BK23&lt;&gt;$GG$9,0,各项系数!$F$76/4*($MS23^2-$MQ23^2)*10^-2*(VLOOKUP($GG$9,各项系数!$D$1:$F$143,3,0))*10^-3*10^2)*各项系数!$J$4</f>
        <v>0</v>
      </c>
      <c r="GH23" s="389">
        <v>1</v>
      </c>
      <c r="GI23" s="390">
        <f t="shared" si="195"/>
        <v>0</v>
      </c>
      <c r="GJ23" s="367">
        <f>GI23*(VLOOKUP($GG$9,各项系数!$D$1:$F$143,2,0))</f>
        <v>0</v>
      </c>
      <c r="GK23" s="388">
        <f>IF($BK23&lt;&gt;$GK$9,0,各项系数!$F$76/4*($MS23^2-$MQ23^2)*10^-2*(VLOOKUP($GK$9,各项系数!$D$1:$F$143,3,0))*10^-3*10^2)*各项系数!$J$4</f>
        <v>0</v>
      </c>
      <c r="GL23" s="389">
        <v>1</v>
      </c>
      <c r="GM23" s="390">
        <f t="shared" si="196"/>
        <v>0</v>
      </c>
      <c r="GN23" s="367">
        <f>GM23*(VLOOKUP($GK$9,各项系数!$D$1:$F$143,2,0))</f>
        <v>0</v>
      </c>
      <c r="GO23" s="390">
        <f t="shared" si="197"/>
        <v>0</v>
      </c>
      <c r="GP23" s="390">
        <f t="shared" si="198"/>
        <v>0</v>
      </c>
      <c r="GQ23" s="406">
        <f>各项系数!$F$76/4*($MU23^2-$MS23^2)*10^-2*(VLOOKUP($S23,各项系数!$D$1:$F$143,3,0))*10^-3*10^2*各项系数!$J$4</f>
        <v>0.0693119477061595</v>
      </c>
      <c r="GR23" s="389">
        <v>1</v>
      </c>
      <c r="GS23" s="390">
        <f t="shared" si="199"/>
        <v>0.0693119477061595</v>
      </c>
      <c r="GT23" s="390">
        <f t="shared" si="200"/>
        <v>1</v>
      </c>
      <c r="GU23" s="390">
        <f>ROUND($GS23*(VLOOKUP($S23,各项系数!$D$1:$F$143,2,0))+$E$3*GS23,GT23)</f>
        <v>0.7</v>
      </c>
      <c r="GV23" s="406">
        <f>各项系数!$F$76/4*($MT23^2-$MS23^2)*10^-2*(VLOOKUP($GV$9,各项系数!$D$1:$F$143,3,0))*10^-3*10^2*各项系数!$J$4*PI()/4*R23</f>
        <v>0.0128950609563579</v>
      </c>
      <c r="GW23" s="389">
        <v>1</v>
      </c>
      <c r="GX23" s="390">
        <f t="shared" si="201"/>
        <v>0.0128950609563579</v>
      </c>
      <c r="GY23" s="390">
        <f>$GX23*(VLOOKUP($GV$9,各项系数!$D$1:$F$143,2,0))</f>
        <v>0.870416614554158</v>
      </c>
      <c r="GZ23" s="406">
        <f>各项系数!$F$76/4*($MV23^2-$MS23^2)*10^-2*(VLOOKUP($GZ$9,各项系数!$D$1:$F$143,3,0))*10^-3*10^2*各项系数!$J$4</f>
        <v>0.0669559120409839</v>
      </c>
      <c r="HA23" s="389">
        <v>1</v>
      </c>
      <c r="HB23" s="390">
        <f t="shared" si="144"/>
        <v>0.0669559120409839</v>
      </c>
      <c r="HC23" s="390">
        <f>HB23*(VLOOKUP($GZ$9,各项系数!$D$1:$F$143,2,0))</f>
        <v>1.13825050469673</v>
      </c>
      <c r="HD23" s="406">
        <f>各项系数!$F$76/4*($MW23^2-$MT23^2)*10^-2*(VLOOKUP($HD$9,各项系数!$D$1:$F$143,3,0))*10^-3*10^2*各项系数!$J$4</f>
        <v>0.0679711993884004</v>
      </c>
      <c r="HE23" s="389">
        <v>1</v>
      </c>
      <c r="HF23" s="390">
        <f t="shared" si="145"/>
        <v>0.0679711993884004</v>
      </c>
      <c r="HG23" s="390">
        <f>HF23*(VLOOKUP($HD$9,各项系数!$D$1:$F$143,2,0))</f>
        <v>1.15551038960281</v>
      </c>
      <c r="HH23" s="406">
        <f>各项系数!$F$76/4*($MV23^2-$MS23^2)*10^-2*(VLOOKUP($HH$9,各项系数!$D$1:$F$143,3,0))*10^-3*10^2*各项系数!$J$4</f>
        <v>0.0669559120409839</v>
      </c>
      <c r="HI23" s="420">
        <v>1</v>
      </c>
      <c r="HJ23" s="390">
        <f t="shared" si="146"/>
        <v>0.0669559120409839</v>
      </c>
      <c r="HK23" s="390">
        <f>HJ23*(VLOOKUP($HH$9,各项系数!$D$1:$F$143,2,0))</f>
        <v>1.13825050469673</v>
      </c>
      <c r="HL23" s="406">
        <f>各项系数!$F$76/4*($MW23^2-$MT23^2)*10^-2*(VLOOKUP($HL$9,各项系数!$D$1:$F$143,3,0))*10^-3*10^2*各项系数!$J$4</f>
        <v>0.0679711993884004</v>
      </c>
      <c r="HM23" s="420">
        <v>1</v>
      </c>
      <c r="HN23" s="390">
        <f t="shared" si="147"/>
        <v>0.0679711993884004</v>
      </c>
      <c r="HO23" s="390">
        <f>HN23*(VLOOKUP($HL$9,各项系数!$D$1:$F$143,2,0))</f>
        <v>1.15551038960281</v>
      </c>
      <c r="HP23" s="406">
        <f>各项系数!$F$76/4*($MV23^2-$MS23^2)*10^-2*(VLOOKUP(AN23,各项系数!$D$1:$F$143,3,0))*10^-3*10^2*各项系数!$J$4</f>
        <v>0.0678794418622388</v>
      </c>
      <c r="HQ23" s="389">
        <v>1</v>
      </c>
      <c r="HR23" s="390">
        <f t="shared" si="202"/>
        <v>0.0678794418622388</v>
      </c>
      <c r="HS23" s="390">
        <f>HR23*(VLOOKUP(AN23,各项系数!$D$1:$F$143,2,0))</f>
        <v>0.678794418622388</v>
      </c>
      <c r="HT23" s="406">
        <f>各项系数!$F$76/4*($MW23^2-$MT23^2)*10^-2*(VLOOKUP(AN23,各项系数!$D$1:$F$143,3,0))*10^-3*10^2*各项系数!$J$4</f>
        <v>0.068908733173068</v>
      </c>
      <c r="HU23" s="389">
        <v>1</v>
      </c>
      <c r="HV23" s="390">
        <f t="shared" si="203"/>
        <v>0.068908733173068</v>
      </c>
      <c r="HW23" s="390">
        <f>HV23*(VLOOKUP(AN23,各项系数!$D$1:$F$143,2,0))</f>
        <v>0.68908733173068</v>
      </c>
      <c r="HX23" s="406">
        <f>各项系数!$F$76/4*($MV23^2-$MS23^2)*10^-2*(VLOOKUP($HX$9,各项系数!$D$1:$F$143,3,0))*10^-3*10^2*各项系数!$J$4</f>
        <v>0.0678794418622388</v>
      </c>
      <c r="HY23" s="420">
        <v>1</v>
      </c>
      <c r="HZ23" s="390">
        <f t="shared" si="204"/>
        <v>0.0678794418622388</v>
      </c>
      <c r="IA23" s="390">
        <f>HZ23*(VLOOKUP($HX$9,各项系数!$D$1:$F$143,2,0))</f>
        <v>0.746673860484627</v>
      </c>
      <c r="IB23" s="406">
        <f>各项系数!$F$76/4*($MW23^2-$MT23^2)*10^-2*(VLOOKUP($IB$9,各项系数!$D$1:$F$143,3,0))*10^-3*10^2*各项系数!$J$4</f>
        <v>0.068908733173068</v>
      </c>
      <c r="IC23" s="420">
        <v>1</v>
      </c>
      <c r="ID23" s="390">
        <f t="shared" si="205"/>
        <v>0.068908733173068</v>
      </c>
      <c r="IE23" s="390">
        <f>ID23*(VLOOKUP($IB$9,各项系数!$D$1:$F$143,2,0))</f>
        <v>0.757996064903748</v>
      </c>
      <c r="IF23" s="429"/>
      <c r="IG23" s="406">
        <f t="shared" si="148"/>
        <v>0.0107631640350131</v>
      </c>
      <c r="IH23" s="389">
        <v>1</v>
      </c>
      <c r="II23" s="390">
        <f t="shared" si="206"/>
        <v>0.0107631640350131</v>
      </c>
      <c r="IJ23" s="390">
        <f>II23*(VLOOKUP($IG$8,各项系数!$D$1:$F$143,2,0))</f>
        <v>0.269079100875328</v>
      </c>
      <c r="IK23" s="406">
        <f>(各项系数!$F$76/4*($MX23^2-$MK23^2)*$EG23)*10^-2*(VLOOKUP($IG$8,各项系数!$D$1:$F$143,3,0))*10^-3*10^2*各项系数!$J$4</f>
        <v>0.0107631640350131</v>
      </c>
      <c r="IL23" s="389">
        <f>IK23*(VLOOKUP($IG$8,各项系数!$D$1:$F$143,2,0))</f>
        <v>0.269079100875328</v>
      </c>
      <c r="IM23" s="390">
        <f>(各项系数!$F$76/4*(($MM23+3*$X23)^2-MM23^2)*$EO23)*10^-2*(VLOOKUP($IG$8,各项系数!$D$1:$F$143,3,0))*10^-3*10^2*各项系数!$J$4</f>
        <v>0</v>
      </c>
      <c r="IN23" s="389">
        <f>IM23*(VLOOKUP($IG$8,各项系数!$D$1:$F$143,2,0))</f>
        <v>0</v>
      </c>
      <c r="IO23" s="406">
        <f>各项系数!$F$76/4*($MZ23^2-$MX23^2)*10^-2*(VLOOKUP(L23,各项系数!$D$1:$F$143,3,0))*10^-3*10^2*$ES23*各项系数!$J$4</f>
        <v>0.0273925118891312</v>
      </c>
      <c r="IP23" s="389">
        <v>1</v>
      </c>
      <c r="IQ23" s="390">
        <f t="shared" si="207"/>
        <v>0.0273925118891312</v>
      </c>
      <c r="IR23" s="367">
        <f>IQ23*(VLOOKUP(L23,各项系数!$D$1:$F$143,2,0))</f>
        <v>0.279403621269139</v>
      </c>
      <c r="IS23" s="406">
        <f>IF($L23&lt;&gt;$IS$9,0,各项系数!$F$76/4*($MZ23^2-$MX23^2)*10^-2*各项系数!$F$12*10^-3*10^2)*$ES23*各项系数!$J$4</f>
        <v>0</v>
      </c>
      <c r="IT23" s="389">
        <v>1</v>
      </c>
      <c r="IU23" s="390">
        <f t="shared" si="208"/>
        <v>0</v>
      </c>
      <c r="IV23" s="367">
        <f>IU23*各项系数!$E$12</f>
        <v>0</v>
      </c>
      <c r="IW23" s="388">
        <f t="shared" si="209"/>
        <v>0.0273925118891312</v>
      </c>
      <c r="IX23" s="388">
        <f t="shared" si="210"/>
        <v>0.279403621269139</v>
      </c>
      <c r="IY23" s="447">
        <f>各项系数!$F$76/4*($NB23^2-$MZ23^2*$EG23-$NA23^2*$EO23)*10^-2</f>
        <v>0</v>
      </c>
      <c r="IZ23" s="366">
        <f t="shared" si="231"/>
        <v>1</v>
      </c>
      <c r="JA23" s="367">
        <f t="shared" si="64"/>
        <v>0</v>
      </c>
      <c r="JB23" s="364">
        <f>IF($DE23&lt;&gt;$JB$9,0,$JA23*各项系数!$F$32*10^-3*10^2)*各项系数!$J$4</f>
        <v>0</v>
      </c>
      <c r="JC23" s="123">
        <v>1</v>
      </c>
      <c r="JD23" s="251">
        <f t="shared" si="211"/>
        <v>0</v>
      </c>
      <c r="JE23" s="339">
        <f>JD23*各项系数!$E$32</f>
        <v>0</v>
      </c>
      <c r="JF23" s="364">
        <f>IF($DE23&lt;&gt;$JF$9,0,$JA23*VLOOKUP($JF$9,各项系数!$D$4:$F$540,2,0)*10^-3*10^2)*各项系数!$J$4</f>
        <v>0</v>
      </c>
      <c r="JG23" s="123">
        <v>1</v>
      </c>
      <c r="JH23" s="251">
        <f t="shared" si="66"/>
        <v>0</v>
      </c>
      <c r="JI23" s="339">
        <f>JH23*VLOOKUP($JF$9,各项系数!$D$4:$F$540,3,0)</f>
        <v>0</v>
      </c>
      <c r="JJ23" s="364">
        <f t="shared" si="212"/>
        <v>0</v>
      </c>
      <c r="JK23" s="251">
        <f t="shared" si="213"/>
        <v>0</v>
      </c>
      <c r="JL23" s="364">
        <f>IF($DF23&lt;&gt;$JL$9,0,各项系数!$F$76/4*($NE23^2-$NC23^2)*10^-2*各项系数!$F$39*10^-3*10^2)*各项系数!$J$4</f>
        <v>0</v>
      </c>
      <c r="JM23" s="123">
        <v>1</v>
      </c>
      <c r="JN23" s="251">
        <f t="shared" si="214"/>
        <v>0</v>
      </c>
      <c r="JO23" s="339">
        <f>JN23*各项系数!$E$39</f>
        <v>0</v>
      </c>
      <c r="JP23" s="364">
        <f>IF($DF23&lt;&gt;$JP$9,0,各项系数!$F$76/4*($NE23^2-$NC23^2)*10^-2*各项系数!$F$36*10^-3*10^2)*各项系数!$J$4</f>
        <v>0</v>
      </c>
      <c r="JQ23" s="123">
        <v>1</v>
      </c>
      <c r="JR23" s="251">
        <f t="shared" si="215"/>
        <v>0</v>
      </c>
      <c r="JS23" s="339">
        <f>JR23*各项系数!$E$36</f>
        <v>0</v>
      </c>
      <c r="JT23" s="364">
        <f>IF($DF23&lt;&gt;$JT$9,0,各项系数!$F$76/4*($NE23^2-$NC23^2)*10^-2*各项系数!$F$40*10^-3*10^2)*各项系数!$J$4</f>
        <v>0</v>
      </c>
      <c r="JU23" s="123">
        <v>1</v>
      </c>
      <c r="JV23" s="251">
        <f t="shared" si="216"/>
        <v>0</v>
      </c>
      <c r="JW23" s="339">
        <f>JV23*各项系数!$E$40</f>
        <v>0</v>
      </c>
      <c r="JX23" s="364">
        <f>IF($DF23&lt;&gt;$JX$9,0,各项系数!$F$76/4*($NE23^2-$NC23^2)*10^-2*各项系数!$F$38*10^-3*10^2)*各项系数!$J$4</f>
        <v>0</v>
      </c>
      <c r="JY23" s="123">
        <v>1</v>
      </c>
      <c r="JZ23" s="251">
        <f t="shared" si="217"/>
        <v>0</v>
      </c>
      <c r="KA23" s="339">
        <f>JZ23*各项系数!$E$38</f>
        <v>0</v>
      </c>
      <c r="KB23" s="364">
        <f>IF($DF23&lt;&gt;$KB$9,0,各项系数!$F$76/4*($NE23^2-$NC23^2)*10^-2*各项系数!$F$41*10^-3*10^2)*各项系数!$J$4</f>
        <v>0</v>
      </c>
      <c r="KC23" s="123">
        <v>1</v>
      </c>
      <c r="KD23" s="251">
        <f t="shared" si="218"/>
        <v>0</v>
      </c>
      <c r="KE23" s="339">
        <f>KD23*各项系数!$E$41</f>
        <v>0</v>
      </c>
      <c r="KF23" s="251">
        <f t="shared" si="219"/>
        <v>0</v>
      </c>
      <c r="KG23" s="251">
        <f t="shared" si="220"/>
        <v>0</v>
      </c>
      <c r="KH23" s="302">
        <f>各项系数!$F$76/4*($NG23^2-$NE23^2)*10^-2*各项系数!$F$44*10^-3*10^2*各项系数!$J$4*0.75*$U23</f>
        <v>0.110567914494385</v>
      </c>
      <c r="KI23" s="123">
        <v>1</v>
      </c>
      <c r="KJ23" s="251">
        <f t="shared" si="221"/>
        <v>0.110567914494385</v>
      </c>
      <c r="KK23" s="251">
        <f>ROUND(KJ23*各项系数!$E$44,GT23)</f>
        <v>1.2</v>
      </c>
      <c r="KL23" s="302">
        <f>各项系数!$F$76/4*($NF23^2-$NE23^2)*10^-2*各项系数!$F$46*10^-3*10^2*各项系数!$J$4*PI()/4*R23</f>
        <v>0.0137331609167744</v>
      </c>
      <c r="KM23" s="123">
        <v>1</v>
      </c>
      <c r="KN23" s="251">
        <f t="shared" si="222"/>
        <v>0.0137331609167744</v>
      </c>
      <c r="KO23" s="251">
        <f>KN23*各项系数!$E$46</f>
        <v>0.926988361882272</v>
      </c>
      <c r="KP23" s="302">
        <f>各项系数!$F$76/4*($NH23^2-$NE23^2)*10^-2*(VLOOKUP($KP$9,各项系数!$D$1:$F$143,3,0))*10^-3*10^2*各项系数!$J$4</f>
        <v>0.0707632395937959</v>
      </c>
      <c r="KQ23" s="123">
        <v>1</v>
      </c>
      <c r="KR23" s="251">
        <f t="shared" si="150"/>
        <v>0.0707632395937959</v>
      </c>
      <c r="KS23" s="251">
        <f>KR23*(VLOOKUP($KP$9,各项系数!$D$1:$F$143,2,0))</f>
        <v>1.20297507309453</v>
      </c>
      <c r="KT23" s="302">
        <f>各项系数!$F$76/4*($NI23^2-$NF23^2)*10^-2*(VLOOKUP($KT$9,各项系数!$D$1:$F$143,3,0))*10^-3*10^2*各项系数!$J$4</f>
        <v>0.0717785269412124</v>
      </c>
      <c r="KU23" s="123">
        <v>1</v>
      </c>
      <c r="KV23" s="251">
        <f t="shared" si="151"/>
        <v>0.0717785269412124</v>
      </c>
      <c r="KW23" s="251">
        <f>KV23*(VLOOKUP($KT$9,各项系数!$D$1:$F$143,2,0))</f>
        <v>1.22023495800061</v>
      </c>
      <c r="KX23" s="251">
        <f>各项系数!$F$76/4*($NH23^2-$NE23^2)*10^-2*(VLOOKUP($KX$9,各项系数!$D$1:$F$143,3,0))*10^-3*10^2*各项系数!$J$4</f>
        <v>0.0707632395937959</v>
      </c>
      <c r="KY23" s="479">
        <v>1</v>
      </c>
      <c r="KZ23" s="251">
        <f t="shared" si="152"/>
        <v>0.0707632395937959</v>
      </c>
      <c r="LA23" s="251">
        <f>KZ23*(VLOOKUP($KX$9,各项系数!$D$1:$F$143,2,0))</f>
        <v>1.20297507309453</v>
      </c>
      <c r="LB23" s="251">
        <f>各项系数!$F$76/4*($NI23^2-$NF23^2)*10^-2*(VLOOKUP($LB$9,各项系数!$D$1:$F$143,3,0))*10^-3*10^2*各项系数!$J$4</f>
        <v>0.0717785269412124</v>
      </c>
      <c r="LC23" s="479">
        <v>1</v>
      </c>
      <c r="LD23" s="251">
        <f t="shared" si="153"/>
        <v>0.0717785269412124</v>
      </c>
      <c r="LE23" s="251">
        <f>LD23*(VLOOKUP($LB$9,各项系数!$D$1:$F$143,2,0))</f>
        <v>1.22023495800061</v>
      </c>
      <c r="LF23" s="302">
        <f>各项系数!$F$76/4*($NH23^2-$NE23^2)*10^-2*(VLOOKUP(AN23,各项系数!$D$1:$F$143,3,0))*10^-3*10^2*各项系数!$J$4</f>
        <v>0.0717392842778482</v>
      </c>
      <c r="LG23" s="123">
        <v>1</v>
      </c>
      <c r="LH23" s="251">
        <f t="shared" si="223"/>
        <v>0.0717392842778482</v>
      </c>
      <c r="LI23" s="251">
        <f>LH23*(VLOOKUP(AN23,各项系数!$D$1:$F$143,2,0))</f>
        <v>0.717392842778482</v>
      </c>
      <c r="LJ23" s="302">
        <f>各项系数!$F$76/4*($NI23^2-$NF23^2)*10^-2*(VLOOKUP(AN23,各项系数!$D$1:$F$143,3,0))*10^-3*10^2*各项系数!$J$4</f>
        <v>0.0727685755886774</v>
      </c>
      <c r="LK23" s="123">
        <v>1</v>
      </c>
      <c r="LL23" s="251">
        <f t="shared" si="224"/>
        <v>0.0727685755886774</v>
      </c>
      <c r="LM23" s="251">
        <f>LL23*(VLOOKUP(AN23,各项系数!$D$1:$F$143,2,0))</f>
        <v>0.727685755886774</v>
      </c>
      <c r="LN23" s="251">
        <f>各项系数!$F$76/4*($NH23^2-$NE23^2)*10^-2*(VLOOKUP($LN$9,各项系数!$D$1:$F$143,3,0))*10^-3*10^2*各项系数!$J$4</f>
        <v>0.0717392842778482</v>
      </c>
      <c r="LO23" s="479">
        <v>1</v>
      </c>
      <c r="LP23" s="251">
        <f t="shared" si="225"/>
        <v>0.0717392842778482</v>
      </c>
      <c r="LQ23" s="251">
        <f>LP23*(VLOOKUP($LN$9,各项系数!$D$1:$F$143,2,0))</f>
        <v>0.78913212705633</v>
      </c>
      <c r="LR23" s="251">
        <f>各项系数!$F$76/4*($NI23^2-$NF23^2)*10^-2*(VLOOKUP($LR$9,各项系数!$D$1:$F$143,3,0))*10^-3*10^2*各项系数!$J$4</f>
        <v>0.0727685755886774</v>
      </c>
      <c r="LS23" s="479">
        <v>1</v>
      </c>
      <c r="LT23" s="251">
        <f t="shared" si="226"/>
        <v>0.0727685755886774</v>
      </c>
      <c r="LU23" s="251">
        <f>LT23*(VLOOKUP($LR$9,各项系数!$D$1:$F$143,2,0))</f>
        <v>0.800454331475451</v>
      </c>
      <c r="LV23" s="499">
        <f t="shared" si="154"/>
        <v>42.44810127</v>
      </c>
      <c r="LW23" s="499">
        <f t="shared" si="155"/>
        <v>33.01518987</v>
      </c>
      <c r="LX23" s="499">
        <f t="shared" si="156"/>
        <v>6.48353648246262</v>
      </c>
      <c r="LY23" s="515">
        <f t="shared" si="157"/>
        <v>9.4329114</v>
      </c>
      <c r="LZ23" s="516">
        <f t="shared" si="86"/>
        <v>1</v>
      </c>
      <c r="MA23" s="517">
        <f t="shared" si="87"/>
        <v>42.44810127</v>
      </c>
      <c r="MB23" s="517">
        <f t="shared" si="158"/>
        <v>7.35163935</v>
      </c>
      <c r="MC23" s="499">
        <f t="shared" si="159"/>
        <v>0</v>
      </c>
      <c r="MD23" s="499">
        <f t="shared" si="160"/>
        <v>0</v>
      </c>
      <c r="ME23" s="499">
        <f t="shared" si="161"/>
        <v>0</v>
      </c>
      <c r="MF23" s="499">
        <f t="shared" si="162"/>
        <v>0</v>
      </c>
      <c r="MG23" s="516">
        <f t="shared" si="163"/>
        <v>1</v>
      </c>
      <c r="MH23" s="517">
        <f t="shared" si="88"/>
        <v>0</v>
      </c>
      <c r="MI23" s="517">
        <f t="shared" si="164"/>
        <v>0</v>
      </c>
      <c r="MJ23" s="251">
        <f t="shared" si="89"/>
        <v>7.35163935</v>
      </c>
      <c r="MK23" s="251">
        <f t="shared" si="165"/>
        <v>7.35163935</v>
      </c>
      <c r="ML23" s="251">
        <f t="shared" si="227"/>
        <v>0</v>
      </c>
      <c r="MM23" s="251">
        <f t="shared" si="91"/>
        <v>0</v>
      </c>
      <c r="MN23" s="251">
        <f t="shared" si="92"/>
        <v>9.15163935</v>
      </c>
      <c r="MO23" s="251">
        <f t="shared" si="166"/>
        <v>0</v>
      </c>
      <c r="MP23" s="251">
        <f t="shared" si="167"/>
        <v>9.15163935</v>
      </c>
      <c r="MQ23" s="251">
        <f t="shared" si="228"/>
        <v>9.15163935</v>
      </c>
      <c r="MR23" s="314">
        <f t="shared" si="168"/>
        <v>9.15163935</v>
      </c>
      <c r="MS23" s="530">
        <f t="shared" si="94"/>
        <v>9.15163935</v>
      </c>
      <c r="MT23" s="530">
        <f t="shared" si="95"/>
        <v>9.31163935</v>
      </c>
      <c r="MU23" s="530">
        <f t="shared" si="232"/>
        <v>9.75163935</v>
      </c>
      <c r="MV23" s="530">
        <f t="shared" si="97"/>
        <v>11.95163935</v>
      </c>
      <c r="MW23" s="530">
        <f t="shared" si="98"/>
        <v>12.11163935</v>
      </c>
      <c r="MX23" s="326">
        <f t="shared" si="233"/>
        <v>7.95163935</v>
      </c>
      <c r="MY23" s="326">
        <f t="shared" si="100"/>
        <v>0</v>
      </c>
      <c r="MZ23" s="251">
        <f t="shared" si="101"/>
        <v>9.75163935</v>
      </c>
      <c r="NA23" s="251">
        <f t="shared" si="102"/>
        <v>0</v>
      </c>
      <c r="NB23" s="251">
        <f t="shared" si="169"/>
        <v>9.75163935</v>
      </c>
      <c r="NC23" s="326">
        <f t="shared" si="229"/>
        <v>9.75163935</v>
      </c>
      <c r="ND23" s="314">
        <f t="shared" si="234"/>
        <v>9.75163935</v>
      </c>
      <c r="NE23" s="537">
        <f t="shared" si="235"/>
        <v>9.75163935</v>
      </c>
      <c r="NF23" s="530">
        <f t="shared" si="106"/>
        <v>9.91163935</v>
      </c>
      <c r="NG23" s="538">
        <f t="shared" si="236"/>
        <v>10.35163935</v>
      </c>
      <c r="NH23" s="326">
        <f t="shared" si="108"/>
        <v>12.55163935</v>
      </c>
      <c r="NI23" s="530">
        <f t="shared" si="109"/>
        <v>12.71163935</v>
      </c>
      <c r="NK23" s="539">
        <f t="shared" si="110"/>
        <v>0.388665104549658</v>
      </c>
      <c r="NL23" s="539">
        <f t="shared" si="111"/>
        <v>20.278129102664</v>
      </c>
      <c r="NM23" s="539">
        <f t="shared" si="112"/>
        <v>0.388665104549658</v>
      </c>
      <c r="NN23" s="539">
        <f t="shared" si="113"/>
        <v>20.3460085445262</v>
      </c>
      <c r="NO23" s="539">
        <f t="shared" si="114"/>
        <v>0.405144886506331</v>
      </c>
      <c r="NP23" s="539">
        <f t="shared" si="115"/>
        <v>20.6047457378571</v>
      </c>
      <c r="NQ23" s="539">
        <f t="shared" si="116"/>
        <v>0.405144886506331</v>
      </c>
      <c r="NR23" s="539">
        <f t="shared" si="117"/>
        <v>20.676485022135</v>
      </c>
      <c r="NS23" s="539">
        <f t="shared" si="118"/>
        <v>0.401560165506016</v>
      </c>
      <c r="NT23" s="539">
        <f t="shared" si="119"/>
        <v>0.401560165506016</v>
      </c>
      <c r="NU23" s="539">
        <f t="shared" si="120"/>
        <v>0.418878047423106</v>
      </c>
      <c r="NV23" s="539">
        <f t="shared" si="121"/>
        <v>0.418878047423106</v>
      </c>
      <c r="NW23">
        <f t="shared" si="122"/>
        <v>0.457977052255817</v>
      </c>
      <c r="NX23">
        <f>各项系数!$M$9*NK23</f>
        <v>0.116599531364897</v>
      </c>
      <c r="NY23">
        <f t="shared" si="123"/>
        <v>0.401560165506016</v>
      </c>
      <c r="OB23" s="82" t="str">
        <f t="shared" si="124"/>
        <v>1*35</v>
      </c>
      <c r="OC23" s="546">
        <f t="shared" si="125"/>
        <v>245.05464536043</v>
      </c>
      <c r="OD23" s="546">
        <f>SQRT(4*EY23/PI()/EH23/各项系数!$J$4/各项系数!$F$5*10000000)</f>
        <v>246.398759704805</v>
      </c>
      <c r="OE23" s="547">
        <f t="shared" si="126"/>
        <v>33.0151899716969</v>
      </c>
      <c r="OF23" s="547">
        <f t="shared" si="127"/>
        <v>33.3783570613855</v>
      </c>
      <c r="OG23" s="82">
        <v>33.2</v>
      </c>
      <c r="OH23" s="548">
        <f t="shared" si="186"/>
        <v>0.178357061385533</v>
      </c>
    </row>
    <row r="24" customHeight="1" spans="1:398">
      <c r="A24" s="66">
        <v>50</v>
      </c>
      <c r="B24" s="67"/>
      <c r="C24" s="68">
        <v>1</v>
      </c>
      <c r="D24" s="69" t="s">
        <v>181</v>
      </c>
      <c r="E24" s="77">
        <f t="shared" si="175"/>
        <v>14.3429382</v>
      </c>
      <c r="F24" s="75">
        <v>238.573455311777</v>
      </c>
      <c r="G24" s="74"/>
      <c r="H24" s="23"/>
      <c r="I24" s="78"/>
      <c r="J24" s="23"/>
      <c r="K24" s="23"/>
      <c r="L24" s="118" t="s">
        <v>467</v>
      </c>
      <c r="M24" s="124">
        <f t="shared" si="2"/>
        <v>1</v>
      </c>
      <c r="N24" s="124">
        <f t="shared" si="3"/>
        <v>0</v>
      </c>
      <c r="O24" s="123"/>
      <c r="P24" s="120">
        <v>0.1</v>
      </c>
      <c r="Q24" s="162">
        <f t="shared" ref="Q24:Q33" si="237">$Q$12</f>
        <v>0.1</v>
      </c>
      <c r="R24" s="169">
        <v>0.8</v>
      </c>
      <c r="S24" s="171" t="str">
        <f>各项系数!$D$44</f>
        <v>磁性钢带</v>
      </c>
      <c r="T24" s="123">
        <v>0.2</v>
      </c>
      <c r="U24" s="123">
        <v>2</v>
      </c>
      <c r="V24" s="169"/>
      <c r="W24" s="170">
        <v>1.4</v>
      </c>
      <c r="X24" s="164">
        <f t="shared" ref="X24:X33" si="238">$X$12</f>
        <v>0.2</v>
      </c>
      <c r="Y24" s="219"/>
      <c r="Z24" s="220"/>
      <c r="AA24" s="217">
        <v>1.011</v>
      </c>
      <c r="AB24" s="186">
        <f>PI()*EJ24*EJ24/4*EH24*(1-H24)*AA24*各项系数!$F$5*各项系数!$J$4*10^-7</f>
        <v>0.399769926055488</v>
      </c>
      <c r="AC24" s="186">
        <f t="shared" si="176"/>
        <v>238.573455311777</v>
      </c>
      <c r="AD24" s="186">
        <f t="shared" si="5"/>
        <v>45.1944679590854</v>
      </c>
      <c r="AE24" s="186">
        <f>POWER(4*EU24/PI()/EG24/10^-7/EH24/(1-H24)/各项系数!$F$5/各项系数!$J$4,0.5)</f>
        <v>239.882020603408</v>
      </c>
      <c r="AF24" s="218">
        <v>1</v>
      </c>
      <c r="AG24" s="85">
        <f>IF(EM24=0,0,PI()*ER24*ER24/4*EP24*(1-K24)*(1+AF24)*各项系数!$F$5*各项系数!$J$4*10^-7)</f>
        <v>0</v>
      </c>
      <c r="AH24" s="85">
        <f t="shared" si="177"/>
        <v>0</v>
      </c>
      <c r="AI24" s="85">
        <f t="shared" si="128"/>
        <v>0</v>
      </c>
      <c r="AJ24" s="85">
        <f>IF(OR(EP24="",EP24=0),0,POWER(4*EW24/PI()/EO24/10^-7/EP24/(1-K24)/各项系数!$F$5/各项系数!$J$4,0.5))</f>
        <v>0</v>
      </c>
      <c r="AK24" s="85" t="str">
        <f t="shared" si="8"/>
        <v>√</v>
      </c>
      <c r="AL24" s="85">
        <f t="shared" si="178"/>
        <v>28.2385214288552</v>
      </c>
      <c r="AM24" s="250">
        <f t="shared" si="179"/>
        <v>50</v>
      </c>
      <c r="AN24" s="118" t="s">
        <v>486</v>
      </c>
      <c r="AO24" s="259">
        <f>AP24+各项系数!$M$9*$NK24</f>
        <v>27.6848249302502</v>
      </c>
      <c r="AP24" s="259">
        <f>AQ24*(1+$BI24+(VLOOKUP($AM24,$A$12:$B$323,2,0))+各项系数!$J$6+各项系数!$M$5)*(1+$E$2)</f>
        <v>27.5290396185037</v>
      </c>
      <c r="AQ24" s="260">
        <f>AR24+各项系数!$L$9*$NK24</f>
        <v>28.0908567535752</v>
      </c>
      <c r="AR24" s="260">
        <f>AS24*(1+$BJ24+各项系数!$J$5+各项系数!$L$5)</f>
        <v>27.9350714418286</v>
      </c>
      <c r="AS24" s="260">
        <f t="shared" si="129"/>
        <v>27.3873249429692</v>
      </c>
      <c r="AT24" s="259">
        <f>AU24+各项系数!$M$9*$NM24</f>
        <v>28.2481812814112</v>
      </c>
      <c r="AU24" s="259">
        <f>AV24*(1+$BI24+(VLOOKUP($AM24,$A$12:$B$323,2,0))+各项系数!$J$6+各项系数!$M$5)*(1+$E$2)</f>
        <v>28.0923959696647</v>
      </c>
      <c r="AV24" s="260">
        <f>AW24+各项系数!$L$9*$NM24</f>
        <v>28.6657101731272</v>
      </c>
      <c r="AW24" s="260">
        <f>AX24*(1+$BJ24+各项系数!$J$5+各项系数!$L$5)</f>
        <v>28.5099248613807</v>
      </c>
      <c r="AX24" s="260">
        <f t="shared" si="130"/>
        <v>27.9509067268438</v>
      </c>
      <c r="AY24" s="259">
        <f>AZ24+各项系数!$M$9*$NS24</f>
        <v>28.8002023502173</v>
      </c>
      <c r="AZ24" s="259">
        <f>BA24*(1+$BI24+(VLOOKUP($AM24,$A$12:$B$214,2,0))+各项系数!$J$6+各项系数!$M$5)*(1+$E$2)</f>
        <v>28.6395464464481</v>
      </c>
      <c r="BA24" s="260">
        <f>BB24+各项系数!$L$9*$NS24</f>
        <v>29.2240269861715</v>
      </c>
      <c r="BB24" s="260">
        <f>BC24*(1+$BJ24+各项系数!$J$5+各项系数!$L$5)</f>
        <v>29.0633710824023</v>
      </c>
      <c r="BC24" s="262">
        <f t="shared" si="131"/>
        <v>28.4935010611787</v>
      </c>
      <c r="BD24" s="259">
        <f>BE24+各项系数!$M$9*$NS24</f>
        <v>29.3705228863874</v>
      </c>
      <c r="BE24" s="259">
        <f>BF24*(1+$BI24+(VLOOKUP($AM24,$A$12:$B$214,2,0))+各项系数!$J$6+各项系数!$M$5)*(1+$E$2)</f>
        <v>29.2098669826181</v>
      </c>
      <c r="BF24" s="260">
        <f>BG24+各项系数!$L$9*$NS24</f>
        <v>29.8059867169573</v>
      </c>
      <c r="BG24" s="260">
        <f>BH24*(1+$BJ24+各项系数!$J$5+各项系数!$L$5)</f>
        <v>29.6453308131881</v>
      </c>
      <c r="BH24" s="262">
        <f t="shared" si="132"/>
        <v>29.064049816851</v>
      </c>
      <c r="BI24" s="67"/>
      <c r="BJ24" s="272"/>
      <c r="BK24" s="123"/>
      <c r="BL24" s="259">
        <f>BM24+各项系数!$M$9*$NM24</f>
        <v>28.0372662217652</v>
      </c>
      <c r="BM24" s="259">
        <f>BN24*(1+$CF24+(VLOOKUP($AM24,$A$12:$B$323,2,0))+各项系数!$J$6+各项系数!$M$5)*(1+$E$2)</f>
        <v>27.8814809100186</v>
      </c>
      <c r="BN24" s="260">
        <f>BO24+各项系数!$L$9*$NM24</f>
        <v>28.4504907245088</v>
      </c>
      <c r="BO24" s="260">
        <f>BP24*(1+$CG24+各项系数!$J$5+各项系数!$L$5)</f>
        <v>28.2947054127623</v>
      </c>
      <c r="BP24" s="260">
        <f t="shared" si="133"/>
        <v>27.4705877793808</v>
      </c>
      <c r="BQ24" s="259">
        <f>BR24+各项系数!$M$9*$NM24</f>
        <v>28.5221001673343</v>
      </c>
      <c r="BR24" s="259">
        <f>BS24*(1+$CF24+(VLOOKUP($AM24,$A$12:$B$323,2,0))+各项系数!$J$6+各项系数!$M$5)*(1+$E$2)</f>
        <v>28.3663148555877</v>
      </c>
      <c r="BS24" s="260">
        <f>BT24+各项系数!$L$9*$NM24</f>
        <v>28.9452192403956</v>
      </c>
      <c r="BT24" s="260">
        <f>BU24*(1+$CG24+各项系数!$J$5+各项系数!$L$5)</f>
        <v>28.7894339286491</v>
      </c>
      <c r="BU24" s="260">
        <f t="shared" si="134"/>
        <v>27.9509067268438</v>
      </c>
      <c r="BV24" s="259">
        <f>BW24+各项系数!$M$9*$NT24</f>
        <v>29.0151784837379</v>
      </c>
      <c r="BW24" s="259">
        <f>BX24*(1+$CF24+(VLOOKUP($AM24,$A$12:$B$214,2,0))+各项系数!$J$6+各项系数!$M$5)*(1+$E$2)</f>
        <v>28.8545225799687</v>
      </c>
      <c r="BX24" s="260">
        <f>BY24+各项系数!$L$9*$NT$12</f>
        <v>29.4433903877231</v>
      </c>
      <c r="BY24" s="260">
        <f>BZ24*(1+$CG24+各项系数!$J$5+各项系数!$L$5)</f>
        <v>29.4351269845682</v>
      </c>
      <c r="BZ24" s="262">
        <f t="shared" si="11"/>
        <v>28.5777931889011</v>
      </c>
      <c r="CA24" s="259">
        <f>CB24+各项系数!$M$9*$NT24</f>
        <v>29.5060059239905</v>
      </c>
      <c r="CB24" s="259">
        <f>CC24*(1+$CF24+(VLOOKUP($AM24,$A$12:$B$214,2,0))+各项系数!$J$6+各项系数!$M$5)*(1+$E$2)</f>
        <v>29.3453500202213</v>
      </c>
      <c r="CC24" s="260">
        <f>CD24+各项系数!$L$9*$NT$12</f>
        <v>29.9442347145115</v>
      </c>
      <c r="CD24" s="260">
        <f>CE24*(1+$CG24+各项系数!$J$5+各项系数!$L$5)</f>
        <v>29.9359713113566</v>
      </c>
      <c r="CE24" s="262">
        <f t="shared" si="135"/>
        <v>29.064049816851</v>
      </c>
      <c r="CF24" s="277">
        <f t="shared" si="136"/>
        <v>0</v>
      </c>
      <c r="CG24" s="277">
        <f t="shared" si="12"/>
        <v>0.01</v>
      </c>
      <c r="CH24" s="123"/>
      <c r="CI24" s="259">
        <f>CJ24+各项系数!$M$9*$NO24</f>
        <v>28.2579710453672</v>
      </c>
      <c r="CJ24" s="259">
        <f>CK24*(1+$DC24+(VLOOKUP($AM24,$A$12:$B$323,2,0))+各项系数!$J$6+各项系数!$M$5)*(1+$E$2)+各项系数!$M$9*$NK24</f>
        <v>28.0962551906006</v>
      </c>
      <c r="CK24" s="260">
        <f>CL24+各项系数!$L$9*$NO24</f>
        <v>28.5106835498511</v>
      </c>
      <c r="CL24" s="260">
        <f>CM24*(1+$DD24+各项系数!$J$5+各项系数!$L$5)</f>
        <v>28.3489676950845</v>
      </c>
      <c r="CM24" s="260">
        <f t="shared" si="13"/>
        <v>27.7931055834161</v>
      </c>
      <c r="CN24" s="259">
        <f>CO24+各项系数!$M$9*$NO24</f>
        <v>28.7827444117418</v>
      </c>
      <c r="CO24" s="259">
        <f>CP24*(1+$DC24+(VLOOKUP($AM24,$A$12:$B$323,2,0))+各项系数!$J$6+各项系数!$M$5)*(1+$E$2)+各项系数!$M$9*$NK24</f>
        <v>28.6210285569752</v>
      </c>
      <c r="CP24" s="260">
        <f>CQ24+各项系数!$L$9*$NO24</f>
        <v>29.0461665767639</v>
      </c>
      <c r="CQ24" s="260">
        <f>CR24*(1+$DD24+各项系数!$J$5+各项系数!$L$5)</f>
        <v>28.8844507219973</v>
      </c>
      <c r="CR24" s="260">
        <f t="shared" si="14"/>
        <v>28.3180889431346</v>
      </c>
      <c r="CS24" s="259">
        <f>CT24+各项系数!$M$9*$NU24</f>
        <v>29.2746101035934</v>
      </c>
      <c r="CT24" s="259">
        <f t="shared" si="15"/>
        <v>29.107772226816</v>
      </c>
      <c r="CU24" s="260">
        <f>CV24+各项系数!$L$9*$NU24</f>
        <v>29.7018083947102</v>
      </c>
      <c r="CV24" s="260">
        <f>CW24*(1+$DD24+各项系数!$J$5+各项系数!$L$5)</f>
        <v>29.5349705179328</v>
      </c>
      <c r="CW24" s="262">
        <f t="shared" si="16"/>
        <v>28.9558534489537</v>
      </c>
      <c r="CX24" s="259">
        <f>CY24+各项系数!$M$9*$NU24</f>
        <v>29.8710463335475</v>
      </c>
      <c r="CY24" s="259">
        <f t="shared" si="17"/>
        <v>29.7042084567701</v>
      </c>
      <c r="CZ24" s="260">
        <f>DA24+各项系数!$L$9*$NU24</f>
        <v>30.3104167926226</v>
      </c>
      <c r="DA24" s="260">
        <f>DB24*(1+$DD24+各项系数!$J$5+各项系数!$L$5)</f>
        <v>30.1435789158452</v>
      </c>
      <c r="DB24" s="262">
        <f t="shared" si="18"/>
        <v>29.5525283488678</v>
      </c>
      <c r="DC24" s="277">
        <f t="shared" si="137"/>
        <v>0</v>
      </c>
      <c r="DD24" s="277">
        <f t="shared" si="19"/>
        <v>0</v>
      </c>
      <c r="DE24" s="69"/>
      <c r="DF24" s="69"/>
      <c r="DG24" s="259">
        <f>DH24+各项系数!$M$9*$NQ24</f>
        <v>28.6182851120929</v>
      </c>
      <c r="DH24" s="259">
        <f>DI24*(1+$EA24+(VLOOKUP($AM24,$A$12:$B$323,2,0))+各项系数!$J$6+各项系数!$M$5)*(1+$E$2)+各项系数!$M$9*$NK24</f>
        <v>28.4565692573263</v>
      </c>
      <c r="DI24" s="260">
        <f>DJ24+各项系数!$L$9*$NQ24</f>
        <v>28.8783509648773</v>
      </c>
      <c r="DJ24" s="260">
        <f>DK24*(1+$EB24+各项系数!$J$5+各项系数!$L$5)</f>
        <v>28.7166351101107</v>
      </c>
      <c r="DK24" s="260">
        <f t="shared" si="20"/>
        <v>27.8802282622434</v>
      </c>
      <c r="DL24" s="259">
        <f>DM24+各项系数!$M$9*$NQ24</f>
        <v>29.1255946627252</v>
      </c>
      <c r="DM24" s="259">
        <f>DN24*(1+$EA24+(VLOOKUP($AM24,$A$12:$B$323,2,0))+各项系数!$J$6+各项系数!$M$5)*(1+$E$2)+各项系数!$M$9*$NK24</f>
        <v>28.9638788079587</v>
      </c>
      <c r="DN24" s="260">
        <f>DO24+各项系数!$L$9*$NQ24</f>
        <v>29.396013771645</v>
      </c>
      <c r="DO24" s="260">
        <f>DP24*(1+$EB24+各项系数!$J$5+各项系数!$L$5)</f>
        <v>29.2342979168784</v>
      </c>
      <c r="DP24" s="260">
        <f t="shared" si="21"/>
        <v>28.3828135115324</v>
      </c>
      <c r="DQ24" s="259">
        <f>DR24+各项系数!$M$9*$NV24</f>
        <v>29.6473580660505</v>
      </c>
      <c r="DR24" s="259">
        <f t="shared" si="22"/>
        <v>29.4805201892731</v>
      </c>
      <c r="DS24" s="260">
        <f>DT24+各项系数!$L$9*$NV24</f>
        <v>30.0821634584419</v>
      </c>
      <c r="DT24" s="260">
        <f>DU24*(1+$EB24+各项系数!$J$5+各项系数!$L$5)</f>
        <v>29.9153255816646</v>
      </c>
      <c r="DU24" s="262">
        <f t="shared" si="23"/>
        <v>29.0440054190918</v>
      </c>
      <c r="DV24" s="259">
        <f>DW24+各项系数!$M$9*$NV24</f>
        <v>29.7661776205598</v>
      </c>
      <c r="DW24" s="259">
        <f t="shared" si="24"/>
        <v>29.5993397437824</v>
      </c>
      <c r="DX24" s="260">
        <f>DY24+各项系数!$L$9*$NV24</f>
        <v>30.2034079018188</v>
      </c>
      <c r="DY24" s="260">
        <f>DZ24*(1+$EB24+各项系数!$J$5+各项系数!$L$5)</f>
        <v>30.0365700250414</v>
      </c>
      <c r="DZ24" s="262">
        <f t="shared" si="25"/>
        <v>29.161718470914</v>
      </c>
      <c r="EA24" s="277">
        <f t="shared" si="230"/>
        <v>0</v>
      </c>
      <c r="EB24" s="277">
        <f t="shared" si="27"/>
        <v>0.01</v>
      </c>
      <c r="EC24" s="302">
        <f t="shared" si="138"/>
        <v>1</v>
      </c>
      <c r="ED24" s="302" t="str">
        <f t="shared" si="180"/>
        <v>1*50</v>
      </c>
      <c r="EE24" s="251">
        <f t="shared" si="187"/>
        <v>50</v>
      </c>
      <c r="EF24" s="251" t="str">
        <f>LOOKUP(EH24,{1,7,10,14,19,24,30,37,48,61},{1,"1+6","2+8","4+10","1+6+12","2+8+14","4+10+16","1+6+12+18","3+9+15+21","1+6+12+18+24"})</f>
        <v>2+8</v>
      </c>
      <c r="EG24" s="250">
        <f t="shared" si="29"/>
        <v>1</v>
      </c>
      <c r="EH24" s="260">
        <f>IF(AM24&lt;10,1,IF(AND(AM24&gt;=10,AM24&lt;=35),7,LOOKUP(AM24,{50,70,95,120,150,185,240,300,400,500,630},{10,14,19,24,30,37,48,61,61,61,61})*1))</f>
        <v>10</v>
      </c>
      <c r="EI24" s="250">
        <f>IF(EH24=0,0,VLOOKUP(EH24,各项系数!$D$142:$E$195,2,0))*1</f>
        <v>4</v>
      </c>
      <c r="EJ24" s="305">
        <f t="shared" si="141"/>
        <v>238.573455311777</v>
      </c>
      <c r="EK24" s="251">
        <f t="shared" si="181"/>
        <v>0</v>
      </c>
      <c r="EL24" s="251">
        <f t="shared" si="31"/>
        <v>0</v>
      </c>
      <c r="EM24" s="251">
        <f t="shared" si="182"/>
        <v>0</v>
      </c>
      <c r="EN24" s="251">
        <f>IF(EP24=0,0,LOOKUP(EP24,{1,7,10,14,19,24,30,37,48,61},{1,"1+6","2+8","4+10","1+6+12","2+8+14","4+10+16","1+6+12+18","3+9+15+21","1+6+12+18+24"}))</f>
        <v>0</v>
      </c>
      <c r="EO24" s="251">
        <f t="shared" si="183"/>
        <v>0</v>
      </c>
      <c r="EP24" s="251">
        <f>IF(EM24=0,0,IF(EM24&lt;10,1,IF(AND(EM24&gt;=10,EM24&lt;=35),7,LOOKUP(EM24,{50,70,95,120,150,185,240,300},{10,14,19,24,30,37,48,61})*1)))</f>
        <v>0</v>
      </c>
      <c r="EQ24" s="251">
        <f>IF(EP24=0,0,VLOOKUP(EP24,各项系数!$D$142:$E$195,2,0))*1</f>
        <v>0</v>
      </c>
      <c r="ER24" s="251">
        <f t="shared" si="184"/>
        <v>0</v>
      </c>
      <c r="ES24" s="302">
        <f t="shared" si="185"/>
        <v>1</v>
      </c>
      <c r="ET24" s="251">
        <f>VLOOKUP(ES24,各项系数!$D$142:$E$195,2,0)*1</f>
        <v>1</v>
      </c>
      <c r="EU24" s="311">
        <f>((各项系数!$F$76/4*$EJ24^2*$EG24*$EH24*1*10^-7)*(1-$H24)*AA24)*(VLOOKUP($EY$9,各项系数!$D$4:$F$143,3,0))*各项系数!$J$4</f>
        <v>0.399769926055488</v>
      </c>
      <c r="EV24" s="312">
        <f>EU24*(VLOOKUP($EY$9,各项系数!$D$4:$F$143,2,0))</f>
        <v>26.1849301566345</v>
      </c>
      <c r="EW24" s="324">
        <f>(IF($EO24=0,0,(各项系数!$F$76/4*$ER24^2*$EO24*$EP24*1*10^-7))*(1-$K24)*$AF24)*(VLOOKUP($EY$9,各项系数!$D$4:$F$143,3,0))*各项系数!$J$4</f>
        <v>0</v>
      </c>
      <c r="EX24" s="325">
        <f>EW24*(VLOOKUP($EY$9,各项系数!$D$4:$F$143,2,0))</f>
        <v>0</v>
      </c>
      <c r="EY24" s="251">
        <f>((各项系数!$F$76/4*$EJ24^2*$EG24*$EH24*1*10^-7)*(1-$H24)*AA24+IF($EO24=0,0,(各项系数!$F$76/4*$ER24^2*$EO24*$EP24*1*10^-7))*(1-$K24)*$AF24)*(VLOOKUP($EY$9,各项系数!$D$4:$F$143,3,0))*各项系数!$J$4</f>
        <v>0.399769926055488</v>
      </c>
      <c r="EZ24" s="123">
        <v>1</v>
      </c>
      <c r="FA24" s="251">
        <f t="shared" si="188"/>
        <v>0.399769926055488</v>
      </c>
      <c r="FB24" s="326">
        <f>FA24*(VLOOKUP($EY$9,各项系数!$D$4:$F$143,2,0))</f>
        <v>26.1849301566345</v>
      </c>
      <c r="FC24" s="327"/>
      <c r="FD24" s="302">
        <f>各项系数!$F$76/4*($MN24^2-MK24^2)*10^-2*(VLOOKUP(L24,各项系数!$D$1:$F$143,3,0))*10^-3*10^2*$EG24*各项系数!$J$4</f>
        <v>0.0362516100214283</v>
      </c>
      <c r="FE24" s="339">
        <f>FD24*VLOOKUP(L24,各项系数!$D$1:$F$143,2,0)</f>
        <v>0.369766422218568</v>
      </c>
      <c r="FF24" s="250">
        <f>各项系数!$F$76/4*($MO24^2-ML24^2)*10^-2*(VLOOKUP(L24,各项系数!$D$1:$F$143,3,0))*10^-3*10^2*$EO24*各项系数!$J$4</f>
        <v>0</v>
      </c>
      <c r="FG24" s="339">
        <f>FF24*VLOOKUP(L24,各项系数!$D$1:$F$143,2,0)</f>
        <v>0</v>
      </c>
      <c r="FH24" s="302">
        <f t="shared" si="142"/>
        <v>0.0362516100214283</v>
      </c>
      <c r="FI24" s="123">
        <v>1</v>
      </c>
      <c r="FJ24" s="251">
        <f t="shared" si="189"/>
        <v>0.0362516100214283</v>
      </c>
      <c r="FK24" s="339">
        <f>FJ24*VLOOKUP(L24,各项系数!$D$1:$F$143,2,0)</f>
        <v>0.369766422218568</v>
      </c>
      <c r="FL24" s="302"/>
      <c r="FM24" s="123"/>
      <c r="FN24" s="251"/>
      <c r="FO24" s="339"/>
      <c r="FP24" s="364">
        <f t="shared" si="190"/>
        <v>0.0362516100214283</v>
      </c>
      <c r="FQ24" s="364">
        <f t="shared" si="191"/>
        <v>0.369766422218568</v>
      </c>
      <c r="FR24" s="365">
        <f>各项系数!$F$76/4*($MQ24^2-$MN24^2*$EG24-$MO24^2*$EO24)*10^-2</f>
        <v>0</v>
      </c>
      <c r="FS24" s="366">
        <f t="shared" si="143"/>
        <v>1</v>
      </c>
      <c r="FT24" s="367">
        <f t="shared" si="40"/>
        <v>0</v>
      </c>
      <c r="FU24" s="388">
        <f>$FT24*(VLOOKUP($FT$9,各项系数!$D$1:$F$143,3,0))*10^-3*10^2*各项系数!$J$55</f>
        <v>0</v>
      </c>
      <c r="FV24" s="389">
        <v>1</v>
      </c>
      <c r="FW24" s="390">
        <f t="shared" si="192"/>
        <v>0</v>
      </c>
      <c r="FX24" s="367">
        <f>FW24*(VLOOKUP($FT$9,各项系数!$D$1:$F$143,2,0))</f>
        <v>0</v>
      </c>
      <c r="FY24" s="388">
        <f>IF($BK24&lt;&gt;$FY$9,0,各项系数!$F$76/4*($MS24^2-$MQ24^2)*10^-2*(VLOOKUP($FY$9,各项系数!$D$1:$F$143,3,0))*10^-3*10^2)*各项系数!$J$4</f>
        <v>0</v>
      </c>
      <c r="FZ24" s="389">
        <v>1</v>
      </c>
      <c r="GA24" s="390">
        <f t="shared" si="193"/>
        <v>0</v>
      </c>
      <c r="GB24" s="367">
        <f>GA24*(VLOOKUP($FY$9,各项系数!$D$1:$F$143,2,0))</f>
        <v>0</v>
      </c>
      <c r="GC24" s="388">
        <f>IF($BK24&lt;&gt;$GC$9,0,各项系数!$F$76/4*($MS24^2-$MQ24^2)*10^-2*(VLOOKUP($GC$9,各项系数!$D$1:$F$143,3,0))*10^-3*10^2)*各项系数!$J$4</f>
        <v>0</v>
      </c>
      <c r="GD24" s="389">
        <v>1</v>
      </c>
      <c r="GE24" s="390">
        <f t="shared" si="194"/>
        <v>0</v>
      </c>
      <c r="GF24" s="367">
        <f>GE24*(VLOOKUP($GC$9,各项系数!$D$1:$F$143,2,0))</f>
        <v>0</v>
      </c>
      <c r="GG24" s="388">
        <f>IF($BK24&lt;&gt;$GG$9,0,各项系数!$F$76/4*($MS24^2-$MQ24^2)*10^-2*(VLOOKUP($GG$9,各项系数!$D$1:$F$143,3,0))*10^-3*10^2)*各项系数!$J$4</f>
        <v>0</v>
      </c>
      <c r="GH24" s="389">
        <v>1</v>
      </c>
      <c r="GI24" s="390">
        <f t="shared" si="195"/>
        <v>0</v>
      </c>
      <c r="GJ24" s="367">
        <f>GI24*(VLOOKUP($GG$9,各项系数!$D$1:$F$143,2,0))</f>
        <v>0</v>
      </c>
      <c r="GK24" s="388">
        <f>IF($BK24&lt;&gt;$GK$9,0,各项系数!$F$76/4*($MS24^2-$MQ24^2)*10^-2*(VLOOKUP($GK$9,各项系数!$D$1:$F$143,3,0))*10^-3*10^2)*各项系数!$J$4</f>
        <v>0</v>
      </c>
      <c r="GL24" s="389">
        <v>1</v>
      </c>
      <c r="GM24" s="390">
        <f t="shared" si="196"/>
        <v>0</v>
      </c>
      <c r="GN24" s="367">
        <f>GM24*(VLOOKUP($GK$9,各项系数!$D$1:$F$143,2,0))</f>
        <v>0</v>
      </c>
      <c r="GO24" s="390">
        <f t="shared" si="197"/>
        <v>0</v>
      </c>
      <c r="GP24" s="390">
        <f t="shared" si="198"/>
        <v>0</v>
      </c>
      <c r="GQ24" s="406">
        <f>各项系数!$F$76/4*($MU24^2-$MS24^2)*10^-2*(VLOOKUP($S24,各项系数!$D$1:$F$143,3,0))*10^-3*10^2*各项系数!$J$4</f>
        <v>0.0868481205015167</v>
      </c>
      <c r="GR24" s="389">
        <v>1</v>
      </c>
      <c r="GS24" s="390">
        <f t="shared" si="199"/>
        <v>0.0868481205015167</v>
      </c>
      <c r="GT24" s="390">
        <f t="shared" si="200"/>
        <v>1</v>
      </c>
      <c r="GU24" s="390">
        <f>ROUND($GS24*(VLOOKUP($S24,各项系数!$D$1:$F$143,2,0))+$E$3*GS24,GT24)</f>
        <v>0.9</v>
      </c>
      <c r="GV24" s="406">
        <f>各项系数!$F$76/4*($MT24^2-$MS24^2)*10^-2*(VLOOKUP($GV$9,各项系数!$D$1:$F$143,3,0))*10^-3*10^2*各项系数!$J$4*PI()/4*R24</f>
        <v>0.0162353067422398</v>
      </c>
      <c r="GW24" s="389">
        <v>1</v>
      </c>
      <c r="GX24" s="390">
        <f t="shared" si="201"/>
        <v>0.0162353067422398</v>
      </c>
      <c r="GY24" s="390">
        <f>$GX24*(VLOOKUP($GV$9,各项系数!$D$1:$F$143,2,0))</f>
        <v>1.09588320510119</v>
      </c>
      <c r="GZ24" s="406">
        <f>各项系数!$F$76/4*($MV24^2-$MS24^2)*10^-2*(VLOOKUP($GZ$9,各项系数!$D$1:$F$143,3,0))*10^-3*10^2*各项系数!$J$4</f>
        <v>0.0821300087053383</v>
      </c>
      <c r="HA24" s="389">
        <v>1</v>
      </c>
      <c r="HB24" s="390">
        <f t="shared" si="144"/>
        <v>0.0821300087053383</v>
      </c>
      <c r="HC24" s="390">
        <f>HB24*(VLOOKUP($GZ$9,各项系数!$D$1:$F$143,2,0))</f>
        <v>1.39621014799075</v>
      </c>
      <c r="HD24" s="406">
        <f>各项系数!$F$76/4*($MW24^2-$MT24^2)*10^-2*(VLOOKUP($HD$9,各项系数!$D$1:$F$143,3,0))*10^-3*10^2*各项系数!$J$4</f>
        <v>0.0831452960527548</v>
      </c>
      <c r="HE24" s="389">
        <v>1</v>
      </c>
      <c r="HF24" s="390">
        <f t="shared" si="145"/>
        <v>0.0831452960527548</v>
      </c>
      <c r="HG24" s="390">
        <f>HF24*(VLOOKUP($HD$9,各项系数!$D$1:$F$143,2,0))</f>
        <v>1.41347003289683</v>
      </c>
      <c r="HH24" s="406">
        <f>各项系数!$F$76/4*($MV24^2-$MS24^2)*10^-2*(VLOOKUP($HH$9,各项系数!$D$1:$F$143,3,0))*10^-3*10^2*各项系数!$J$4</f>
        <v>0.0821300087053383</v>
      </c>
      <c r="HI24" s="420">
        <v>1</v>
      </c>
      <c r="HJ24" s="390">
        <f t="shared" si="146"/>
        <v>0.0821300087053383</v>
      </c>
      <c r="HK24" s="390">
        <f>HJ24*(VLOOKUP($HH$9,各项系数!$D$1:$F$143,2,0))</f>
        <v>1.39621014799075</v>
      </c>
      <c r="HL24" s="406">
        <f>各项系数!$F$76/4*($MW24^2-$MT24^2)*10^-2*(VLOOKUP($HL$9,各项系数!$D$1:$F$143,3,0))*10^-3*10^2*各项系数!$J$4</f>
        <v>0.0831452960527548</v>
      </c>
      <c r="HM24" s="420">
        <v>1</v>
      </c>
      <c r="HN24" s="390">
        <f t="shared" si="147"/>
        <v>0.0831452960527548</v>
      </c>
      <c r="HO24" s="390">
        <f>HN24*(VLOOKUP($HL$9,各项系数!$D$1:$F$143,2,0))</f>
        <v>1.41347003289683</v>
      </c>
      <c r="HP24" s="406">
        <f>各项系数!$F$76/4*($MV24^2-$MS24^2)*10^-2*(VLOOKUP(AN24,各项系数!$D$1:$F$143,3,0))*10^-3*10^2*各项系数!$J$4</f>
        <v>0.0832628364116188</v>
      </c>
      <c r="HQ24" s="389">
        <v>1</v>
      </c>
      <c r="HR24" s="390">
        <f t="shared" si="202"/>
        <v>0.0832628364116188</v>
      </c>
      <c r="HS24" s="390">
        <f>HR24*(VLOOKUP(AN24,各项系数!$D$1:$F$143,2,0))</f>
        <v>0.832628364116188</v>
      </c>
      <c r="HT24" s="406">
        <f>各项系数!$F$76/4*($MW24^2-$MT24^2)*10^-2*(VLOOKUP(AN24,各项系数!$D$1:$F$143,3,0))*10^-3*10^2*各项系数!$J$4</f>
        <v>0.084292127722448</v>
      </c>
      <c r="HU24" s="389">
        <v>1</v>
      </c>
      <c r="HV24" s="390">
        <f t="shared" si="203"/>
        <v>0.084292127722448</v>
      </c>
      <c r="HW24" s="390">
        <f>HV24*(VLOOKUP(AN24,各项系数!$D$1:$F$143,2,0))</f>
        <v>0.84292127722448</v>
      </c>
      <c r="HX24" s="406">
        <f>各项系数!$F$76/4*($MV24^2-$MS24^2)*10^-2*(VLOOKUP($HX$9,各项系数!$D$1:$F$143,3,0))*10^-3*10^2*各项系数!$J$4</f>
        <v>0.0832628364116188</v>
      </c>
      <c r="HY24" s="420">
        <v>1</v>
      </c>
      <c r="HZ24" s="390">
        <f t="shared" si="204"/>
        <v>0.0832628364116188</v>
      </c>
      <c r="IA24" s="390">
        <f>HZ24*(VLOOKUP($HX$9,各项系数!$D$1:$F$143,2,0))</f>
        <v>0.915891200527807</v>
      </c>
      <c r="IB24" s="406">
        <f>各项系数!$F$76/4*($MW24^2-$MT24^2)*10^-2*(VLOOKUP($IB$9,各项系数!$D$1:$F$143,3,0))*10^-3*10^2*各项系数!$J$4</f>
        <v>0.084292127722448</v>
      </c>
      <c r="IC24" s="420">
        <v>1</v>
      </c>
      <c r="ID24" s="390">
        <f t="shared" si="205"/>
        <v>0.084292127722448</v>
      </c>
      <c r="IE24" s="390">
        <f>ID24*(VLOOKUP($IB$9,各项系数!$D$1:$F$143,2,0))</f>
        <v>0.927213404946927</v>
      </c>
      <c r="IF24" s="429"/>
      <c r="IG24" s="406">
        <f t="shared" si="148"/>
        <v>0.0138455504222238</v>
      </c>
      <c r="IH24" s="389">
        <v>1</v>
      </c>
      <c r="II24" s="390">
        <f t="shared" si="206"/>
        <v>0.0138455504222238</v>
      </c>
      <c r="IJ24" s="390">
        <f>II24*(VLOOKUP($IG$8,各项系数!$D$1:$F$143,2,0))</f>
        <v>0.346138760555595</v>
      </c>
      <c r="IK24" s="406">
        <f>(各项系数!$F$76/4*($MX24^2-$MK24^2)*$EG24)*10^-2*(VLOOKUP($IG$8,各项系数!$D$1:$F$143,3,0))*10^-3*10^2*各项系数!$J$4</f>
        <v>0.0138455504222238</v>
      </c>
      <c r="IL24" s="389">
        <f>IK24*(VLOOKUP($IG$8,各项系数!$D$1:$F$143,2,0))</f>
        <v>0.346138760555595</v>
      </c>
      <c r="IM24" s="390">
        <f>(各项系数!$F$76/4*(($MM24+3*$X24)^2-MM24^2)*$EO24)*10^-2*(VLOOKUP($IG$8,各项系数!$D$1:$F$143,3,0))*10^-3*10^2*各项系数!$J$4</f>
        <v>0</v>
      </c>
      <c r="IN24" s="389">
        <f>IM24*(VLOOKUP($IG$8,各项系数!$D$1:$F$143,2,0))</f>
        <v>0</v>
      </c>
      <c r="IO24" s="406">
        <f>各项系数!$F$76/4*($MZ24^2-$MX24^2)*10^-2*(VLOOKUP(L24,各项系数!$D$1:$F$143,3,0))*10^-3*10^2*$ES24*各项系数!$J$4</f>
        <v>0.0383146939170406</v>
      </c>
      <c r="IP24" s="389">
        <v>1</v>
      </c>
      <c r="IQ24" s="390">
        <f t="shared" si="207"/>
        <v>0.0383146939170406</v>
      </c>
      <c r="IR24" s="367">
        <f>IQ24*(VLOOKUP(L24,各项系数!$D$1:$F$143,2,0))</f>
        <v>0.390809877953814</v>
      </c>
      <c r="IS24" s="406">
        <f>IF($L24&lt;&gt;$IS$9,0,各项系数!$F$76/4*($MZ24^2-$MX24^2)*10^-2*各项系数!$F$12*10^-3*10^2)*$ES24*各项系数!$J$4</f>
        <v>0</v>
      </c>
      <c r="IT24" s="389">
        <v>1</v>
      </c>
      <c r="IU24" s="390">
        <f t="shared" si="208"/>
        <v>0</v>
      </c>
      <c r="IV24" s="367">
        <f>IU24*各项系数!$E$12</f>
        <v>0</v>
      </c>
      <c r="IW24" s="388">
        <f t="shared" si="209"/>
        <v>0.0383146939170406</v>
      </c>
      <c r="IX24" s="388">
        <f t="shared" si="210"/>
        <v>0.390809877953814</v>
      </c>
      <c r="IY24" s="447">
        <f>各项系数!$F$76/4*($NB24^2-$MZ24^2*$EG24-$NA24^2*$EO24)*10^-2</f>
        <v>0</v>
      </c>
      <c r="IZ24" s="366">
        <f t="shared" si="231"/>
        <v>1</v>
      </c>
      <c r="JA24" s="367">
        <f t="shared" si="64"/>
        <v>0</v>
      </c>
      <c r="JB24" s="364">
        <f>IF($DE24&lt;&gt;$JB$9,0,$JA24*各项系数!$F$32*10^-3*10^2)*各项系数!$J$4</f>
        <v>0</v>
      </c>
      <c r="JC24" s="123">
        <v>1</v>
      </c>
      <c r="JD24" s="251">
        <f t="shared" si="211"/>
        <v>0</v>
      </c>
      <c r="JE24" s="339">
        <f>JD24*各项系数!$E$32</f>
        <v>0</v>
      </c>
      <c r="JF24" s="364">
        <f>IF($DE24&lt;&gt;$JF$9,0,$JA24*VLOOKUP($JF$9,各项系数!$D$4:$F$540,2,0)*10^-3*10^2)*各项系数!$J$4</f>
        <v>0</v>
      </c>
      <c r="JG24" s="123">
        <v>1</v>
      </c>
      <c r="JH24" s="251">
        <f t="shared" si="66"/>
        <v>0</v>
      </c>
      <c r="JI24" s="339">
        <f>JH24*VLOOKUP($JF$9,各项系数!$D$4:$F$540,3,0)</f>
        <v>0</v>
      </c>
      <c r="JJ24" s="364">
        <f t="shared" si="212"/>
        <v>0</v>
      </c>
      <c r="JK24" s="251">
        <f t="shared" si="213"/>
        <v>0</v>
      </c>
      <c r="JL24" s="364">
        <f>IF($DF24&lt;&gt;$JL$9,0,各项系数!$F$76/4*($NE24^2-$NC24^2)*10^-2*各项系数!$F$39*10^-3*10^2)*各项系数!$J$4</f>
        <v>0</v>
      </c>
      <c r="JM24" s="123">
        <v>1</v>
      </c>
      <c r="JN24" s="251">
        <f t="shared" si="214"/>
        <v>0</v>
      </c>
      <c r="JO24" s="339">
        <f>JN24*各项系数!$E$39</f>
        <v>0</v>
      </c>
      <c r="JP24" s="364">
        <f>IF($DF24&lt;&gt;$JP$9,0,各项系数!$F$76/4*($NE24^2-$NC24^2)*10^-2*各项系数!$F$36*10^-3*10^2)*各项系数!$J$4</f>
        <v>0</v>
      </c>
      <c r="JQ24" s="123">
        <v>1</v>
      </c>
      <c r="JR24" s="251">
        <f t="shared" si="215"/>
        <v>0</v>
      </c>
      <c r="JS24" s="339">
        <f>JR24*各项系数!$E$36</f>
        <v>0</v>
      </c>
      <c r="JT24" s="364">
        <f>IF($DF24&lt;&gt;$JT$9,0,各项系数!$F$76/4*($NE24^2-$NC24^2)*10^-2*各项系数!$F$40*10^-3*10^2)*各项系数!$J$4</f>
        <v>0</v>
      </c>
      <c r="JU24" s="123">
        <v>1</v>
      </c>
      <c r="JV24" s="251">
        <f t="shared" si="216"/>
        <v>0</v>
      </c>
      <c r="JW24" s="339">
        <f>JV24*各项系数!$E$40</f>
        <v>0</v>
      </c>
      <c r="JX24" s="364">
        <f>IF($DF24&lt;&gt;$JX$9,0,各项系数!$F$76/4*($NE24^2-$NC24^2)*10^-2*各项系数!$F$38*10^-3*10^2)*各项系数!$J$4</f>
        <v>0</v>
      </c>
      <c r="JY24" s="123">
        <v>1</v>
      </c>
      <c r="JZ24" s="251">
        <f t="shared" si="217"/>
        <v>0</v>
      </c>
      <c r="KA24" s="339">
        <f>JZ24*各项系数!$E$38</f>
        <v>0</v>
      </c>
      <c r="KB24" s="364">
        <f>IF($DF24&lt;&gt;$KB$9,0,各项系数!$F$76/4*($NE24^2-$NC24^2)*10^-2*各项系数!$F$41*10^-3*10^2)*各项系数!$J$4</f>
        <v>0</v>
      </c>
      <c r="KC24" s="123">
        <v>1</v>
      </c>
      <c r="KD24" s="251">
        <f t="shared" si="218"/>
        <v>0</v>
      </c>
      <c r="KE24" s="339">
        <f>KD24*各项系数!$E$41</f>
        <v>0</v>
      </c>
      <c r="KF24" s="251">
        <f t="shared" si="219"/>
        <v>0</v>
      </c>
      <c r="KG24" s="251">
        <f t="shared" si="220"/>
        <v>0</v>
      </c>
      <c r="KH24" s="302">
        <f>各项系数!$F$76/4*($NG24^2-$NE24^2)*10^-2*各项系数!$F$44*10^-3*10^2*各项系数!$J$4*0.75*$U24</f>
        <v>0.136872173687421</v>
      </c>
      <c r="KI24" s="123">
        <v>1</v>
      </c>
      <c r="KJ24" s="251">
        <f t="shared" si="221"/>
        <v>0.136872173687421</v>
      </c>
      <c r="KK24" s="251">
        <f>ROUND(KJ24*各项系数!$E$44,GT24)</f>
        <v>1.5</v>
      </c>
      <c r="KL24" s="302">
        <f>各项系数!$F$76/4*($NF24^2-$NE24^2)*10^-2*各项系数!$F$46*10^-3*10^2*各项系数!$J$4*PI()/4*R24</f>
        <v>0.0170734067026564</v>
      </c>
      <c r="KM24" s="123">
        <v>1</v>
      </c>
      <c r="KN24" s="251">
        <f t="shared" si="222"/>
        <v>0.0170734067026564</v>
      </c>
      <c r="KO24" s="251">
        <f>KN24*各项系数!$E$46</f>
        <v>1.1524549524293</v>
      </c>
      <c r="KP24" s="302">
        <f>各项系数!$F$76/4*($NH24^2-$NE24^2)*10^-2*(VLOOKUP($KP$9,各项系数!$D$1:$F$143,3,0))*10^-3*10^2*各项系数!$J$4</f>
        <v>0.0859373362581503</v>
      </c>
      <c r="KQ24" s="123">
        <v>1</v>
      </c>
      <c r="KR24" s="251">
        <f t="shared" si="150"/>
        <v>0.0859373362581503</v>
      </c>
      <c r="KS24" s="251">
        <f>KR24*(VLOOKUP($KP$9,各项系数!$D$1:$F$143,2,0))</f>
        <v>1.46093471638856</v>
      </c>
      <c r="KT24" s="302">
        <f>各项系数!$F$76/4*($NI24^2-$NF24^2)*10^-2*(VLOOKUP($KT$9,各项系数!$D$1:$F$143,3,0))*10^-3*10^2*各项系数!$J$4</f>
        <v>0.0869526236055669</v>
      </c>
      <c r="KU24" s="123">
        <v>1</v>
      </c>
      <c r="KV24" s="251">
        <f t="shared" si="151"/>
        <v>0.0869526236055669</v>
      </c>
      <c r="KW24" s="251">
        <f>KV24*(VLOOKUP($KT$9,各项系数!$D$1:$F$143,2,0))</f>
        <v>1.47819460129464</v>
      </c>
      <c r="KX24" s="251">
        <f>各项系数!$F$76/4*($NH24^2-$NE24^2)*10^-2*(VLOOKUP($KX$9,各项系数!$D$1:$F$143,3,0))*10^-3*10^2*各项系数!$J$4</f>
        <v>0.0859373362581503</v>
      </c>
      <c r="KY24" s="479">
        <v>1</v>
      </c>
      <c r="KZ24" s="251">
        <f t="shared" si="152"/>
        <v>0.0859373362581503</v>
      </c>
      <c r="LA24" s="251">
        <f>KZ24*(VLOOKUP($KX$9,各项系数!$D$1:$F$143,2,0))</f>
        <v>1.46093471638856</v>
      </c>
      <c r="LB24" s="251">
        <f>各项系数!$F$76/4*($NI24^2-$NF24^2)*10^-2*(VLOOKUP($LB$9,各项系数!$D$1:$F$143,3,0))*10^-3*10^2*各项系数!$J$4</f>
        <v>0.0869526236055669</v>
      </c>
      <c r="LC24" s="479">
        <v>1</v>
      </c>
      <c r="LD24" s="251">
        <f t="shared" si="153"/>
        <v>0.0869526236055669</v>
      </c>
      <c r="LE24" s="251">
        <f>LD24*(VLOOKUP($LB$9,各项系数!$D$1:$F$143,2,0))</f>
        <v>1.47819460129464</v>
      </c>
      <c r="LF24" s="302">
        <f>各项系数!$F$76/4*($NH24^2-$NE24^2)*10^-2*(VLOOKUP(AN24,各项系数!$D$1:$F$143,3,0))*10^-3*10^2*各项系数!$J$4</f>
        <v>0.0871226788272283</v>
      </c>
      <c r="LG24" s="123">
        <v>1</v>
      </c>
      <c r="LH24" s="251">
        <f t="shared" si="223"/>
        <v>0.0871226788272283</v>
      </c>
      <c r="LI24" s="251">
        <f>LH24*(VLOOKUP(AN24,各项系数!$D$1:$F$143,2,0))</f>
        <v>0.871226788272283</v>
      </c>
      <c r="LJ24" s="302">
        <f>各项系数!$F$76/4*($NI24^2-$NF24^2)*10^-2*(VLOOKUP(AN24,各项系数!$D$1:$F$143,3,0))*10^-3*10^2*各项系数!$J$4</f>
        <v>0.0881519701380575</v>
      </c>
      <c r="LK24" s="123">
        <v>1</v>
      </c>
      <c r="LL24" s="251">
        <f t="shared" si="224"/>
        <v>0.0881519701380575</v>
      </c>
      <c r="LM24" s="251">
        <f>LL24*(VLOOKUP(AN24,各项系数!$D$1:$F$143,2,0))</f>
        <v>0.881519701380575</v>
      </c>
      <c r="LN24" s="251">
        <f>各项系数!$F$76/4*($NH24^2-$NE24^2)*10^-2*(VLOOKUP($LN$9,各项系数!$D$1:$F$143,3,0))*10^-3*10^2*各项系数!$J$4</f>
        <v>0.0871226788272283</v>
      </c>
      <c r="LO24" s="479">
        <v>1</v>
      </c>
      <c r="LP24" s="251">
        <f t="shared" si="225"/>
        <v>0.0871226788272283</v>
      </c>
      <c r="LQ24" s="251">
        <f>LP24*(VLOOKUP($LN$9,各项系数!$D$1:$F$143,2,0))</f>
        <v>0.958349467099511</v>
      </c>
      <c r="LR24" s="251">
        <f>各项系数!$F$76/4*($NI24^2-$NF24^2)*10^-2*(VLOOKUP($LR$9,各项系数!$D$1:$F$143,3,0))*10^-3*10^2*各项系数!$J$4</f>
        <v>0.0881519701380575</v>
      </c>
      <c r="LS24" s="479">
        <v>1</v>
      </c>
      <c r="LT24" s="251">
        <f t="shared" si="226"/>
        <v>0.0881519701380575</v>
      </c>
      <c r="LU24" s="251">
        <f>LT24*(VLOOKUP($LR$9,各项系数!$D$1:$F$143,2,0))</f>
        <v>0.969671671518632</v>
      </c>
      <c r="LV24" s="499">
        <f t="shared" si="154"/>
        <v>71.52438036</v>
      </c>
      <c r="LW24" s="499">
        <f t="shared" si="155"/>
        <v>44.70273773</v>
      </c>
      <c r="LX24" s="499">
        <f t="shared" si="156"/>
        <v>7.54435507089642</v>
      </c>
      <c r="LY24" s="515">
        <f t="shared" si="157"/>
        <v>26.82164263</v>
      </c>
      <c r="LZ24" s="516">
        <f t="shared" si="86"/>
        <v>1</v>
      </c>
      <c r="MA24" s="517">
        <f t="shared" si="87"/>
        <v>71.52438036</v>
      </c>
      <c r="MB24" s="517">
        <f t="shared" si="158"/>
        <v>9.5429382</v>
      </c>
      <c r="MC24" s="499">
        <f t="shared" si="159"/>
        <v>0</v>
      </c>
      <c r="MD24" s="499">
        <f t="shared" si="160"/>
        <v>0</v>
      </c>
      <c r="ME24" s="499">
        <f t="shared" si="161"/>
        <v>0</v>
      </c>
      <c r="MF24" s="499">
        <f t="shared" si="162"/>
        <v>0</v>
      </c>
      <c r="MG24" s="516">
        <f t="shared" si="163"/>
        <v>1</v>
      </c>
      <c r="MH24" s="517">
        <f t="shared" si="88"/>
        <v>0</v>
      </c>
      <c r="MI24" s="517">
        <f t="shared" si="164"/>
        <v>0</v>
      </c>
      <c r="MJ24" s="251">
        <f t="shared" si="89"/>
        <v>9.5429382</v>
      </c>
      <c r="MK24" s="251">
        <f t="shared" si="165"/>
        <v>9.5429382</v>
      </c>
      <c r="ML24" s="251">
        <f t="shared" si="227"/>
        <v>0</v>
      </c>
      <c r="MM24" s="251">
        <f t="shared" si="91"/>
        <v>0</v>
      </c>
      <c r="MN24" s="251">
        <f t="shared" si="92"/>
        <v>11.5429382</v>
      </c>
      <c r="MO24" s="251">
        <f t="shared" si="166"/>
        <v>0</v>
      </c>
      <c r="MP24" s="251">
        <f t="shared" si="167"/>
        <v>11.5429382</v>
      </c>
      <c r="MQ24" s="251">
        <f t="shared" si="228"/>
        <v>11.5429382</v>
      </c>
      <c r="MR24" s="314">
        <f t="shared" si="168"/>
        <v>11.5429382</v>
      </c>
      <c r="MS24" s="530">
        <f t="shared" si="94"/>
        <v>11.5429382</v>
      </c>
      <c r="MT24" s="530">
        <f t="shared" si="95"/>
        <v>11.7029382</v>
      </c>
      <c r="MU24" s="530">
        <f t="shared" si="232"/>
        <v>12.1429382</v>
      </c>
      <c r="MV24" s="530">
        <f t="shared" si="97"/>
        <v>14.3429382</v>
      </c>
      <c r="MW24" s="530">
        <f t="shared" si="98"/>
        <v>14.5029382</v>
      </c>
      <c r="MX24" s="326">
        <f t="shared" si="233"/>
        <v>10.1429382</v>
      </c>
      <c r="MY24" s="326">
        <f t="shared" si="100"/>
        <v>0</v>
      </c>
      <c r="MZ24" s="251">
        <f t="shared" si="101"/>
        <v>12.1429382</v>
      </c>
      <c r="NA24" s="251">
        <f t="shared" si="102"/>
        <v>0</v>
      </c>
      <c r="NB24" s="251">
        <f t="shared" si="169"/>
        <v>12.1429382</v>
      </c>
      <c r="NC24" s="326">
        <f t="shared" si="229"/>
        <v>12.1429382</v>
      </c>
      <c r="ND24" s="314">
        <f t="shared" si="234"/>
        <v>12.1429382</v>
      </c>
      <c r="NE24" s="537">
        <f t="shared" si="235"/>
        <v>12.1429382</v>
      </c>
      <c r="NF24" s="530">
        <f t="shared" si="106"/>
        <v>12.3029382</v>
      </c>
      <c r="NG24" s="538">
        <f t="shared" si="236"/>
        <v>12.7429382</v>
      </c>
      <c r="NH24" s="326">
        <f t="shared" si="108"/>
        <v>14.9429382</v>
      </c>
      <c r="NI24" s="530">
        <f t="shared" si="109"/>
        <v>15.1029382</v>
      </c>
      <c r="NK24" s="539">
        <f t="shared" si="110"/>
        <v>0.519284372488535</v>
      </c>
      <c r="NL24" s="539">
        <f t="shared" si="111"/>
        <v>27.3873249429692</v>
      </c>
      <c r="NM24" s="539">
        <f t="shared" si="112"/>
        <v>0.519284372488535</v>
      </c>
      <c r="NN24" s="539">
        <f t="shared" si="113"/>
        <v>27.4705877793808</v>
      </c>
      <c r="NO24" s="539">
        <f t="shared" si="114"/>
        <v>0.539052849221981</v>
      </c>
      <c r="NP24" s="539">
        <f t="shared" si="115"/>
        <v>27.7931055834161</v>
      </c>
      <c r="NQ24" s="539">
        <f t="shared" si="116"/>
        <v>0.539052849221981</v>
      </c>
      <c r="NR24" s="539">
        <f t="shared" si="117"/>
        <v>27.8802282622434</v>
      </c>
      <c r="NS24" s="539">
        <f t="shared" si="118"/>
        <v>0.535519679230775</v>
      </c>
      <c r="NT24" s="539">
        <f t="shared" si="119"/>
        <v>0.535519679230775</v>
      </c>
      <c r="NU24" s="539">
        <f t="shared" si="120"/>
        <v>0.556126255924637</v>
      </c>
      <c r="NV24" s="539">
        <f t="shared" si="121"/>
        <v>0.556126255924637</v>
      </c>
      <c r="NW24">
        <f t="shared" si="122"/>
        <v>0.606132492990052</v>
      </c>
      <c r="NX24">
        <f>各项系数!$M$9*NK24</f>
        <v>0.15578531174656</v>
      </c>
      <c r="NY24">
        <f t="shared" si="123"/>
        <v>0.535519679230775</v>
      </c>
      <c r="OB24" s="82" t="str">
        <f t="shared" si="124"/>
        <v>1*50</v>
      </c>
      <c r="OC24" s="546">
        <f t="shared" si="125"/>
        <v>238.573455311777</v>
      </c>
      <c r="OD24" s="546">
        <f>SQRT(4*EY24/PI()/EH24/各项系数!$J$4/各项系数!$F$5*10000000)</f>
        <v>239.882020603408</v>
      </c>
      <c r="OE24" s="547">
        <f t="shared" si="126"/>
        <v>44.7027378428145</v>
      </c>
      <c r="OF24" s="547">
        <f t="shared" si="127"/>
        <v>45.1944679590854</v>
      </c>
      <c r="OG24" s="82">
        <v>45.1</v>
      </c>
      <c r="OH24" s="548">
        <f t="shared" si="186"/>
        <v>0.0944679590854136</v>
      </c>
    </row>
    <row r="25" customHeight="1" spans="1:398">
      <c r="A25" s="66">
        <v>70</v>
      </c>
      <c r="B25" s="67"/>
      <c r="C25" s="68">
        <v>1.1</v>
      </c>
      <c r="D25" s="69" t="s">
        <v>194</v>
      </c>
      <c r="E25" s="77">
        <f t="shared" si="175"/>
        <v>15.68525223</v>
      </c>
      <c r="F25" s="75">
        <v>242.295968589101</v>
      </c>
      <c r="G25" s="74"/>
      <c r="H25" s="78"/>
      <c r="I25" s="78"/>
      <c r="J25" s="78"/>
      <c r="K25" s="78"/>
      <c r="L25" s="118" t="s">
        <v>467</v>
      </c>
      <c r="M25" s="124">
        <f t="shared" si="2"/>
        <v>1.1</v>
      </c>
      <c r="N25" s="124">
        <f t="shared" si="3"/>
        <v>0</v>
      </c>
      <c r="O25" s="123"/>
      <c r="P25" s="120">
        <v>0.1</v>
      </c>
      <c r="Q25" s="162">
        <f t="shared" si="237"/>
        <v>0.1</v>
      </c>
      <c r="R25" s="169">
        <v>0.8</v>
      </c>
      <c r="S25" s="171" t="str">
        <f>各项系数!$D$44</f>
        <v>磁性钢带</v>
      </c>
      <c r="T25" s="123">
        <v>0.2</v>
      </c>
      <c r="U25" s="123">
        <v>2</v>
      </c>
      <c r="V25" s="169"/>
      <c r="W25" s="170">
        <v>1.4</v>
      </c>
      <c r="X25" s="164">
        <f t="shared" si="238"/>
        <v>0.2</v>
      </c>
      <c r="Y25" s="219"/>
      <c r="Z25" s="220"/>
      <c r="AA25" s="217">
        <v>1.013</v>
      </c>
      <c r="AB25" s="186">
        <f>PI()*EJ25*EJ25/4*EH25*(1-H25)*AA25*各项系数!$F$5*各项系数!$J$4*10^-7</f>
        <v>0.578421704096205</v>
      </c>
      <c r="AC25" s="186">
        <f t="shared" si="176"/>
        <v>242.295968589101</v>
      </c>
      <c r="AD25" s="186">
        <f t="shared" si="5"/>
        <v>65.3912649972251</v>
      </c>
      <c r="AE25" s="186">
        <f>POWER(4*EU25/PI()/EG25/10^-7/EH25/(1-H25)/各项系数!$F$5/各项系数!$J$4,0.5)</f>
        <v>243.865806884974</v>
      </c>
      <c r="AF25" s="218">
        <v>1</v>
      </c>
      <c r="AG25" s="85">
        <f>IF(EM25=0,0,PI()*ER25*ER25/4*EP25*(1-K25)*(1+AF25)*各项系数!$F$5*各项系数!$J$4*10^-7)</f>
        <v>0</v>
      </c>
      <c r="AH25" s="85">
        <f t="shared" si="177"/>
        <v>0</v>
      </c>
      <c r="AI25" s="85">
        <f t="shared" si="128"/>
        <v>0</v>
      </c>
      <c r="AJ25" s="85">
        <f>IF(OR(EP25="",EP25=0),0,POWER(4*EW25/PI()/EO25/10^-7/EP25/(1-K25)/各项系数!$F$5/各项系数!$J$4,0.5))</f>
        <v>0</v>
      </c>
      <c r="AK25" s="85" t="str">
        <f t="shared" si="8"/>
        <v>√</v>
      </c>
      <c r="AL25" s="85">
        <f t="shared" si="178"/>
        <v>40.4626011822344</v>
      </c>
      <c r="AM25" s="250">
        <f t="shared" si="179"/>
        <v>70</v>
      </c>
      <c r="AN25" s="118" t="s">
        <v>486</v>
      </c>
      <c r="AO25" s="259">
        <f>AP25+各项系数!$M$9*$NK25</f>
        <v>39.6692168453279</v>
      </c>
      <c r="AP25" s="259">
        <f>AQ25*(1+$BI25+(VLOOKUP($AM25,$A$12:$B$323,2,0))+各项系数!$J$6+各项系数!$M$5)*(1+$E$2)</f>
        <v>39.4547482426167</v>
      </c>
      <c r="AQ25" s="260">
        <f>AR25+各项系数!$L$9*$NK25</f>
        <v>40.2599471863436</v>
      </c>
      <c r="AR25" s="260">
        <f>AS25*(1+$BJ25+各项系数!$J$5+各项系数!$L$5)</f>
        <v>40.0454785836324</v>
      </c>
      <c r="AS25" s="260">
        <f t="shared" si="129"/>
        <v>39.2602731212083</v>
      </c>
      <c r="AT25" s="259">
        <f>AU25+各项系数!$M$9*$NM25</f>
        <v>40.2909989667713</v>
      </c>
      <c r="AU25" s="259">
        <f>AV25*(1+$BI25+(VLOOKUP($AM25,$A$12:$B$323,2,0))+各项系数!$J$6+各项系数!$M$5)*(1+$E$2)</f>
        <v>40.0765303640602</v>
      </c>
      <c r="AV25" s="260">
        <f>AW25+各项系数!$L$9*$NM25</f>
        <v>40.8944187388369</v>
      </c>
      <c r="AW25" s="260">
        <f>AX25*(1+$BJ25+各项系数!$J$5+各项系数!$L$5)</f>
        <v>40.6799501361257</v>
      </c>
      <c r="AX25" s="260">
        <f t="shared" si="130"/>
        <v>39.8823040550252</v>
      </c>
      <c r="AY25" s="259">
        <f>AZ25+各项系数!$M$9*$NS25</f>
        <v>40.9122191342305</v>
      </c>
      <c r="AZ25" s="259">
        <f>BA25*(1+$BI25+(VLOOKUP($AM25,$A$12:$B$214,2,0))+各项系数!$J$6+各项系数!$M$5)*(1+$E$2)</f>
        <v>40.692317442829</v>
      </c>
      <c r="BA25" s="260">
        <f>BB25+各项系数!$L$9*$NS25</f>
        <v>41.5227729008459</v>
      </c>
      <c r="BB25" s="260">
        <f>BC25*(1+$BJ25+各项系数!$J$5+各项系数!$L$5)</f>
        <v>41.3028712094443</v>
      </c>
      <c r="BC25" s="262">
        <f t="shared" si="131"/>
        <v>40.4930109896513</v>
      </c>
      <c r="BD25" s="259">
        <f>BE25+各项系数!$M$9*$NS25</f>
        <v>41.540965440683</v>
      </c>
      <c r="BE25" s="259">
        <f>BF25*(1+$BI25+(VLOOKUP($AM25,$A$12:$B$214,2,0))+各项系数!$J$6+各项系数!$M$5)*(1+$E$2)</f>
        <v>41.3210637492815</v>
      </c>
      <c r="BF25" s="260">
        <f>BG25+各项系数!$L$9*$NS25</f>
        <v>42.1643507645729</v>
      </c>
      <c r="BG25" s="260">
        <f>BH25*(1+$BJ25+各项系数!$J$5+各项系数!$L$5)</f>
        <v>41.9444490731714</v>
      </c>
      <c r="BH25" s="262">
        <f t="shared" si="132"/>
        <v>41.1220088952661</v>
      </c>
      <c r="BI25" s="67"/>
      <c r="BJ25" s="272"/>
      <c r="BK25" s="123"/>
      <c r="BL25" s="259">
        <f>BM25+各项系数!$M$9*$NM25</f>
        <v>40.1467294009262</v>
      </c>
      <c r="BM25" s="259">
        <f>BN25*(1+$CF25+(VLOOKUP($AM25,$A$12:$B$323,2,0))+各项系数!$J$6+各项系数!$M$5)*(1+$E$2)</f>
        <v>39.9322607982151</v>
      </c>
      <c r="BN25" s="260">
        <f>BO25+各项系数!$L$9*$NM25</f>
        <v>40.7472048961378</v>
      </c>
      <c r="BO25" s="260">
        <f>BP25*(1+$CG25+各项系数!$J$5+各项系数!$L$5)</f>
        <v>40.5327362934266</v>
      </c>
      <c r="BP25" s="260">
        <f t="shared" si="133"/>
        <v>39.3521711586666</v>
      </c>
      <c r="BQ25" s="259">
        <f>BR25+各项系数!$M$9*$NM25</f>
        <v>40.6818455465106</v>
      </c>
      <c r="BR25" s="259">
        <f>BS25*(1+$CF25+(VLOOKUP($AM25,$A$12:$B$323,2,0))+各项系数!$J$6+各项系数!$M$5)*(1+$E$2)</f>
        <v>40.4673769437994</v>
      </c>
      <c r="BS25" s="260">
        <f>BT25+各项系数!$L$9*$NM25</f>
        <v>41.2932417793872</v>
      </c>
      <c r="BT25" s="260">
        <f>BU25*(1+$CG25+各项系数!$J$5+各项系数!$L$5)</f>
        <v>41.078773176676</v>
      </c>
      <c r="BU25" s="260">
        <f t="shared" si="134"/>
        <v>39.8823040550252</v>
      </c>
      <c r="BV25" s="259">
        <f>BW25+各项系数!$M$9*$NT25</f>
        <v>41.1954459651071</v>
      </c>
      <c r="BW25" s="259">
        <f>BX25*(1+$CF25+(VLOOKUP($AM25,$A$12:$B$214,2,0))+各项系数!$J$6+各项系数!$M$5)*(1+$E$2)</f>
        <v>40.9755442737055</v>
      </c>
      <c r="BX25" s="260">
        <f>BY25+各项系数!$L$9*$NT$12</f>
        <v>41.8117798711281</v>
      </c>
      <c r="BY25" s="260">
        <f>BZ25*(1+$CG25+各项系数!$J$5+各项系数!$L$5)</f>
        <v>41.8035164679731</v>
      </c>
      <c r="BZ25" s="262">
        <f t="shared" si="11"/>
        <v>40.5859383184205</v>
      </c>
      <c r="CA25" s="259">
        <f>CB25+各项系数!$M$9*$NT25</f>
        <v>41.736555605375</v>
      </c>
      <c r="CB25" s="259">
        <f>CC25*(1+$CF25+(VLOOKUP($AM25,$A$12:$B$214,2,0))+各项系数!$J$6+各项系数!$M$5)*(1+$E$2)</f>
        <v>41.5166539139734</v>
      </c>
      <c r="CC25" s="260">
        <f>CD25+各项系数!$L$9*$NT$12</f>
        <v>42.363932565279</v>
      </c>
      <c r="CD25" s="260">
        <f>CE25*(1+$CG25+各项系数!$J$5+各项系数!$L$5)</f>
        <v>42.3556691621241</v>
      </c>
      <c r="CE25" s="262">
        <f t="shared" si="135"/>
        <v>41.1220088952661</v>
      </c>
      <c r="CF25" s="277">
        <f t="shared" si="136"/>
        <v>0</v>
      </c>
      <c r="CG25" s="277">
        <f t="shared" si="12"/>
        <v>0.01</v>
      </c>
      <c r="CH25" s="123"/>
      <c r="CI25" s="259">
        <f>CJ25+各项系数!$M$9*$NO25</f>
        <v>40.344381540211</v>
      </c>
      <c r="CJ25" s="259">
        <f>CK25*(1+$DC25+(VLOOKUP($AM25,$A$12:$B$323,2,0))+各项系数!$J$6+各项系数!$M$5)*(1+$E$2)+各项系数!$M$9*$NK25</f>
        <v>40.1234384518013</v>
      </c>
      <c r="CK25" s="260">
        <f>CL25+各项系数!$L$9*$NO25</f>
        <v>40.7234386215206</v>
      </c>
      <c r="CL25" s="260">
        <f>CM25*(1+$DD25+各项系数!$J$5+各项系数!$L$5)</f>
        <v>40.5024955331109</v>
      </c>
      <c r="CM25" s="260">
        <f t="shared" si="13"/>
        <v>39.7083289540303</v>
      </c>
      <c r="CN25" s="259">
        <f>CO25+各项系数!$M$9*$NO25</f>
        <v>40.927580676868</v>
      </c>
      <c r="CO25" s="259">
        <f>CP25*(1+$DC25+(VLOOKUP($AM25,$A$12:$B$323,2,0))+各项系数!$J$6+各项系数!$M$5)*(1+$E$2)+各项系数!$M$9*$NK25</f>
        <v>40.7066375884583</v>
      </c>
      <c r="CP25" s="260">
        <f>CQ25+各项系数!$L$9*$NO25</f>
        <v>41.3185397813747</v>
      </c>
      <c r="CQ25" s="260">
        <f>CR25*(1+$DD25+各项系数!$J$5+各项系数!$L$5)</f>
        <v>41.097596692965</v>
      </c>
      <c r="CR25" s="260">
        <f t="shared" si="14"/>
        <v>40.2917614636912</v>
      </c>
      <c r="CS25" s="259">
        <f>CT25+各项系数!$M$9*$NU25</f>
        <v>41.4299621764082</v>
      </c>
      <c r="CT25" s="259">
        <f t="shared" si="15"/>
        <v>41.20333456932</v>
      </c>
      <c r="CU25" s="260">
        <f>CV25+各项系数!$L$9*$NU25</f>
        <v>42.0442189482857</v>
      </c>
      <c r="CV25" s="260">
        <f>CW25*(1+$DD25+各项系数!$J$5+各项系数!$L$5)</f>
        <v>41.8175913411975</v>
      </c>
      <c r="CW25" s="262">
        <f t="shared" si="16"/>
        <v>40.9976385698014</v>
      </c>
      <c r="CX25" s="259">
        <f>CY25+各项系数!$M$9*$NU25</f>
        <v>42.0848241766447</v>
      </c>
      <c r="CY25" s="259">
        <f t="shared" si="17"/>
        <v>41.8581965695565</v>
      </c>
      <c r="CZ25" s="260">
        <f>DA25+各项系数!$L$9*$NU25</f>
        <v>42.7124454791393</v>
      </c>
      <c r="DA25" s="260">
        <f>DB25*(1+$DD25+各项系数!$J$5+各项系数!$L$5)</f>
        <v>42.4858178720511</v>
      </c>
      <c r="DB25" s="262">
        <f t="shared" si="18"/>
        <v>41.6527626196579</v>
      </c>
      <c r="DC25" s="277">
        <f t="shared" si="137"/>
        <v>0</v>
      </c>
      <c r="DD25" s="277">
        <f t="shared" si="19"/>
        <v>0</v>
      </c>
      <c r="DE25" s="69"/>
      <c r="DF25" s="69"/>
      <c r="DG25" s="259">
        <f>DH25+各项系数!$M$9*$NQ25</f>
        <v>40.8301811679053</v>
      </c>
      <c r="DH25" s="259">
        <f>DI25*(1+$EA25+(VLOOKUP($AM25,$A$12:$B$323,2,0))+各项系数!$J$6+各项系数!$M$5)*(1+$E$2)+各项系数!$M$9*$NK25</f>
        <v>40.6092380794956</v>
      </c>
      <c r="DI25" s="260">
        <f>DJ25+各项系数!$L$9*$NQ25</f>
        <v>41.2191525273311</v>
      </c>
      <c r="DJ25" s="260">
        <f>DK25*(1+$EB25+各项系数!$J$5+各项系数!$L$5)</f>
        <v>40.9982094389214</v>
      </c>
      <c r="DK25" s="260">
        <f t="shared" si="20"/>
        <v>39.8040868339043</v>
      </c>
      <c r="DL25" s="259">
        <f>DM25+各项系数!$M$9*$NQ25</f>
        <v>41.387772918553</v>
      </c>
      <c r="DM25" s="259">
        <f>DN25*(1+$EA25+(VLOOKUP($AM25,$A$12:$B$323,2,0))+各项系数!$J$6+各项系数!$M$5)*(1+$E$2)+各项系数!$M$9*$NK25</f>
        <v>41.1668298301433</v>
      </c>
      <c r="DN25" s="260">
        <f>DO25+各项系数!$L$9*$NQ25</f>
        <v>41.7881237014613</v>
      </c>
      <c r="DO25" s="260">
        <f>DP25*(1+$EB25+各项系数!$J$5+各项系数!$L$5)</f>
        <v>41.5671806130516</v>
      </c>
      <c r="DP25" s="260">
        <f t="shared" si="21"/>
        <v>40.356486032089</v>
      </c>
      <c r="DQ25" s="259">
        <f>DR25+各项系数!$M$9*$NV25</f>
        <v>41.9294360049862</v>
      </c>
      <c r="DR25" s="259">
        <f t="shared" si="22"/>
        <v>41.702808397898</v>
      </c>
      <c r="DS25" s="260">
        <f>DT25+各项系数!$L$9*$NV25</f>
        <v>42.5538861203041</v>
      </c>
      <c r="DT25" s="260">
        <f>DU25*(1+$EB25+各项系数!$J$5+各项系数!$L$5)</f>
        <v>42.3272585132159</v>
      </c>
      <c r="DU25" s="262">
        <f t="shared" si="23"/>
        <v>41.0944257409863</v>
      </c>
      <c r="DV25" s="259">
        <f>DW25+各项系数!$M$9*$NV25</f>
        <v>42.010710822747</v>
      </c>
      <c r="DW25" s="259">
        <f t="shared" si="24"/>
        <v>41.7840832156588</v>
      </c>
      <c r="DX25" s="260">
        <f>DY25+各项系数!$L$9*$NV25</f>
        <v>42.6368196078151</v>
      </c>
      <c r="DY25" s="260">
        <f>DZ25*(1+$EB25+各项系数!$J$5+各项系数!$L$5)</f>
        <v>42.4101920007269</v>
      </c>
      <c r="DZ25" s="262">
        <f t="shared" si="25"/>
        <v>41.1749436900262</v>
      </c>
      <c r="EA25" s="277">
        <f t="shared" si="230"/>
        <v>0</v>
      </c>
      <c r="EB25" s="277">
        <f t="shared" si="27"/>
        <v>0.01</v>
      </c>
      <c r="EC25" s="302">
        <f t="shared" si="138"/>
        <v>1</v>
      </c>
      <c r="ED25" s="302" t="str">
        <f t="shared" si="180"/>
        <v>1*70</v>
      </c>
      <c r="EE25" s="251">
        <f t="shared" si="187"/>
        <v>70</v>
      </c>
      <c r="EF25" s="251" t="str">
        <f>LOOKUP(EH25,{1,7,10,14,19,24,30,37,48,61},{1,"1+6","2+8","4+10","1+6+12","2+8+14","4+10+16","1+6+12+18","3+9+15+21","1+6+12+18+24"})</f>
        <v>4+10</v>
      </c>
      <c r="EG25" s="250">
        <f t="shared" si="29"/>
        <v>1</v>
      </c>
      <c r="EH25" s="260">
        <f>IF(AM25&lt;10,1,IF(AND(AM25&gt;=10,AM25&lt;=35),7,LOOKUP(AM25,{50,70,95,120,150,185,240,300,400,500,630},{10,14,19,24,30,37,48,61,61,61,61})*1))</f>
        <v>14</v>
      </c>
      <c r="EI25" s="250">
        <f>IF(EH25=0,0,VLOOKUP(EH25,各项系数!$D$142:$E$195,2,0))*1</f>
        <v>4.41</v>
      </c>
      <c r="EJ25" s="305">
        <f t="shared" si="141"/>
        <v>242.295968589101</v>
      </c>
      <c r="EK25" s="251">
        <f t="shared" si="181"/>
        <v>0</v>
      </c>
      <c r="EL25" s="251">
        <f t="shared" si="31"/>
        <v>0</v>
      </c>
      <c r="EM25" s="251">
        <f t="shared" si="182"/>
        <v>0</v>
      </c>
      <c r="EN25" s="251">
        <f>IF(EP25=0,0,LOOKUP(EP25,{1,7,10,14,19,24,30,37,48,61},{1,"1+6","2+8","4+10","1+6+12","2+8+14","4+10+16","1+6+12+18","3+9+15+21","1+6+12+18+24"}))</f>
        <v>0</v>
      </c>
      <c r="EO25" s="251">
        <f t="shared" si="183"/>
        <v>0</v>
      </c>
      <c r="EP25" s="251">
        <f>IF(EM25=0,0,IF(EM25&lt;10,1,IF(AND(EM25&gt;=10,EM25&lt;=35),7,LOOKUP(EM25,{50,70,95,120,150,185,240,300},{10,14,19,24,30,37,48,61})*1)))</f>
        <v>0</v>
      </c>
      <c r="EQ25" s="251">
        <f>IF(EP25=0,0,VLOOKUP(EP25,各项系数!$D$142:$E$195,2,0))*1</f>
        <v>0</v>
      </c>
      <c r="ER25" s="251">
        <f t="shared" si="184"/>
        <v>0</v>
      </c>
      <c r="ES25" s="302">
        <f t="shared" si="185"/>
        <v>1</v>
      </c>
      <c r="ET25" s="251">
        <f>VLOOKUP(ES25,各项系数!$D$142:$E$195,2,0)*1</f>
        <v>1</v>
      </c>
      <c r="EU25" s="311">
        <f>((各项系数!$F$76/4*$EJ25^2*$EG25*$EH25*1*10^-7)*(1-$H25)*AA25)*(VLOOKUP($EY$9,各项系数!$D$4:$F$143,3,0))*各项系数!$J$4</f>
        <v>0.578421704096204</v>
      </c>
      <c r="EV25" s="312">
        <f>EU25*(VLOOKUP($EY$9,各项系数!$D$4:$F$143,2,0))</f>
        <v>37.8866216183014</v>
      </c>
      <c r="EW25" s="324">
        <f>(IF($EO25=0,0,(各项系数!$F$76/4*$ER25^2*$EO25*$EP25*1*10^-7))*(1-$K25)*$AF25)*(VLOOKUP($EY$9,各项系数!$D$4:$F$143,3,0))*各项系数!$J$4</f>
        <v>0</v>
      </c>
      <c r="EX25" s="325">
        <f>EW25*(VLOOKUP($EY$9,各项系数!$D$4:$F$143,2,0))</f>
        <v>0</v>
      </c>
      <c r="EY25" s="251">
        <f>((各项系数!$F$76/4*$EJ25^2*$EG25*$EH25*1*10^-7)*(1-$H25)*AA25+IF($EO25=0,0,(各项系数!$F$76/4*$ER25^2*$EO25*$EP25*1*10^-7))*(1-$K25)*$AF25)*(VLOOKUP($EY$9,各项系数!$D$4:$F$143,3,0))*各项系数!$J$4</f>
        <v>0.578421704096204</v>
      </c>
      <c r="EZ25" s="123">
        <v>1</v>
      </c>
      <c r="FA25" s="251">
        <f t="shared" si="188"/>
        <v>0.578421704096204</v>
      </c>
      <c r="FB25" s="326">
        <f>FA25*(VLOOKUP($EY$9,各项系数!$D$4:$F$143,2,0))</f>
        <v>37.8866216183014</v>
      </c>
      <c r="FC25" s="327"/>
      <c r="FD25" s="302">
        <f>各项系数!$F$76/4*($MN25^2-MK25^2)*10^-2*(VLOOKUP(L25,各项系数!$D$1:$F$143,3,0))*10^-3*10^2*$EG25*各项系数!$J$4</f>
        <v>0.0445756008159794</v>
      </c>
      <c r="FE25" s="339">
        <f>FD25*VLOOKUP(L25,各项系数!$D$1:$F$143,2,0)</f>
        <v>0.45467112832299</v>
      </c>
      <c r="FF25" s="250">
        <f>各项系数!$F$76/4*($MO25^2-ML25^2)*10^-2*(VLOOKUP(L25,各项系数!$D$1:$F$143,3,0))*10^-3*10^2*$EO25*各项系数!$J$4</f>
        <v>0</v>
      </c>
      <c r="FG25" s="339">
        <f>FF25*VLOOKUP(L25,各项系数!$D$1:$F$143,2,0)</f>
        <v>0</v>
      </c>
      <c r="FH25" s="302">
        <f t="shared" si="142"/>
        <v>0.0445756008159794</v>
      </c>
      <c r="FI25" s="123">
        <v>1</v>
      </c>
      <c r="FJ25" s="251">
        <f t="shared" si="189"/>
        <v>0.0445756008159794</v>
      </c>
      <c r="FK25" s="339">
        <f>FJ25*VLOOKUP(L25,各项系数!$D$1:$F$143,2,0)</f>
        <v>0.45467112832299</v>
      </c>
      <c r="FL25" s="302"/>
      <c r="FM25" s="123"/>
      <c r="FN25" s="251"/>
      <c r="FO25" s="339"/>
      <c r="FP25" s="364">
        <f t="shared" si="190"/>
        <v>0.0445756008159794</v>
      </c>
      <c r="FQ25" s="364">
        <f t="shared" si="191"/>
        <v>0.45467112832299</v>
      </c>
      <c r="FR25" s="365">
        <f>各项系数!$F$76/4*($MQ25^2-$MN25^2*$EG25-$MO25^2*$EO25)*10^-2</f>
        <v>0</v>
      </c>
      <c r="FS25" s="366">
        <f t="shared" si="143"/>
        <v>1</v>
      </c>
      <c r="FT25" s="367">
        <f t="shared" si="40"/>
        <v>0</v>
      </c>
      <c r="FU25" s="388">
        <f>$FT25*(VLOOKUP($FT$9,各项系数!$D$1:$F$143,3,0))*10^-3*10^2*各项系数!$J$55</f>
        <v>0</v>
      </c>
      <c r="FV25" s="389">
        <v>1</v>
      </c>
      <c r="FW25" s="390">
        <f t="shared" si="192"/>
        <v>0</v>
      </c>
      <c r="FX25" s="367">
        <f>FW25*(VLOOKUP($FT$9,各项系数!$D$1:$F$143,2,0))</f>
        <v>0</v>
      </c>
      <c r="FY25" s="388">
        <f>IF($BK25&lt;&gt;$FY$9,0,各项系数!$F$76/4*($MS25^2-$MQ25^2)*10^-2*(VLOOKUP($FY$9,各项系数!$D$1:$F$143,3,0))*10^-3*10^2)*各项系数!$J$4</f>
        <v>0</v>
      </c>
      <c r="FZ25" s="389">
        <v>1</v>
      </c>
      <c r="GA25" s="390">
        <f t="shared" si="193"/>
        <v>0</v>
      </c>
      <c r="GB25" s="367">
        <f>GA25*(VLOOKUP($FY$9,各项系数!$D$1:$F$143,2,0))</f>
        <v>0</v>
      </c>
      <c r="GC25" s="388">
        <f>IF($BK25&lt;&gt;$GC$9,0,各项系数!$F$76/4*($MS25^2-$MQ25^2)*10^-2*(VLOOKUP($GC$9,各项系数!$D$1:$F$143,3,0))*10^-3*10^2)*各项系数!$J$4</f>
        <v>0</v>
      </c>
      <c r="GD25" s="389">
        <v>1</v>
      </c>
      <c r="GE25" s="390">
        <f t="shared" si="194"/>
        <v>0</v>
      </c>
      <c r="GF25" s="367">
        <f>GE25*(VLOOKUP($GC$9,各项系数!$D$1:$F$143,2,0))</f>
        <v>0</v>
      </c>
      <c r="GG25" s="388">
        <f>IF($BK25&lt;&gt;$GG$9,0,各项系数!$F$76/4*($MS25^2-$MQ25^2)*10^-2*(VLOOKUP($GG$9,各项系数!$D$1:$F$143,3,0))*10^-3*10^2)*各项系数!$J$4</f>
        <v>0</v>
      </c>
      <c r="GH25" s="389">
        <v>1</v>
      </c>
      <c r="GI25" s="390">
        <f t="shared" si="195"/>
        <v>0</v>
      </c>
      <c r="GJ25" s="367">
        <f>GI25*(VLOOKUP($GG$9,各项系数!$D$1:$F$143,2,0))</f>
        <v>0</v>
      </c>
      <c r="GK25" s="388">
        <f>IF($BK25&lt;&gt;$GK$9,0,各项系数!$F$76/4*($MS25^2-$MQ25^2)*10^-2*(VLOOKUP($GK$9,各项系数!$D$1:$F$143,3,0))*10^-3*10^2)*各项系数!$J$4</f>
        <v>0</v>
      </c>
      <c r="GL25" s="389">
        <v>1</v>
      </c>
      <c r="GM25" s="390">
        <f t="shared" si="196"/>
        <v>0</v>
      </c>
      <c r="GN25" s="367">
        <f>GM25*(VLOOKUP($GK$9,各项系数!$D$1:$F$143,2,0))</f>
        <v>0</v>
      </c>
      <c r="GO25" s="390">
        <f t="shared" si="197"/>
        <v>0</v>
      </c>
      <c r="GP25" s="390">
        <f t="shared" si="198"/>
        <v>0</v>
      </c>
      <c r="GQ25" s="406">
        <f>各项系数!$F$76/4*($MU25^2-$MS25^2)*10^-2*(VLOOKUP($S25,各项系数!$D$1:$F$143,3,0))*10^-3*10^2*各项系数!$J$4</f>
        <v>0.0966917461845687</v>
      </c>
      <c r="GR25" s="389">
        <v>1</v>
      </c>
      <c r="GS25" s="390">
        <f t="shared" si="199"/>
        <v>0.0966917461845687</v>
      </c>
      <c r="GT25" s="390">
        <f t="shared" si="200"/>
        <v>1</v>
      </c>
      <c r="GU25" s="390">
        <f>ROUND($GS25*(VLOOKUP($S25,各项系数!$D$1:$F$143,2,0))+$E$3*GS25,GT25)</f>
        <v>1</v>
      </c>
      <c r="GV25" s="406">
        <f>各项系数!$F$76/4*($MT25^2-$MS25^2)*10^-2*(VLOOKUP($GV$9,各项系数!$D$1:$F$143,3,0))*10^-3*10^2*各项系数!$J$4*PI()/4*R25</f>
        <v>0.0181102956345891</v>
      </c>
      <c r="GW25" s="389">
        <v>1</v>
      </c>
      <c r="GX25" s="390">
        <f t="shared" si="201"/>
        <v>0.0181102956345891</v>
      </c>
      <c r="GY25" s="390">
        <f>$GX25*(VLOOKUP($GV$9,各项系数!$D$1:$F$143,2,0))</f>
        <v>1.22244495533477</v>
      </c>
      <c r="GZ25" s="406">
        <f>各项系数!$F$76/4*($MV25^2-$MS25^2)*10^-2*(VLOOKUP($GZ$9,各项系数!$D$1:$F$143,3,0))*10^-3*10^2*各项系数!$J$4</f>
        <v>0.0906477240235801</v>
      </c>
      <c r="HA25" s="389">
        <v>1</v>
      </c>
      <c r="HB25" s="390">
        <f t="shared" si="144"/>
        <v>0.0906477240235801</v>
      </c>
      <c r="HC25" s="390">
        <f>HB25*(VLOOKUP($GZ$9,各项系数!$D$1:$F$143,2,0))</f>
        <v>1.54101130840086</v>
      </c>
      <c r="HD25" s="406">
        <f>各项系数!$F$76/4*($MW25^2-$MT25^2)*10^-2*(VLOOKUP($HD$9,各项系数!$D$1:$F$143,3,0))*10^-3*10^2*各项系数!$J$4</f>
        <v>0.0916630113709967</v>
      </c>
      <c r="HE25" s="389">
        <v>1</v>
      </c>
      <c r="HF25" s="390">
        <f t="shared" si="145"/>
        <v>0.0916630113709967</v>
      </c>
      <c r="HG25" s="390">
        <f>HF25*(VLOOKUP($HD$9,各项系数!$D$1:$F$143,2,0))</f>
        <v>1.55827119330694</v>
      </c>
      <c r="HH25" s="406">
        <f>各项系数!$F$76/4*($MV25^2-$MS25^2)*10^-2*(VLOOKUP($HH$9,各项系数!$D$1:$F$143,3,0))*10^-3*10^2*各项系数!$J$4</f>
        <v>0.0906477240235801</v>
      </c>
      <c r="HI25" s="420">
        <v>1</v>
      </c>
      <c r="HJ25" s="390">
        <f t="shared" si="146"/>
        <v>0.0906477240235801</v>
      </c>
      <c r="HK25" s="390">
        <f>HJ25*(VLOOKUP($HH$9,各项系数!$D$1:$F$143,2,0))</f>
        <v>1.54101130840086</v>
      </c>
      <c r="HL25" s="406">
        <f>各项系数!$F$76/4*($MW25^2-$MT25^2)*10^-2*(VLOOKUP($HL$9,各项系数!$D$1:$F$143,3,0))*10^-3*10^2*各项系数!$J$4</f>
        <v>0.0916630113709967</v>
      </c>
      <c r="HM25" s="420">
        <v>1</v>
      </c>
      <c r="HN25" s="390">
        <f t="shared" si="147"/>
        <v>0.0916630113709967</v>
      </c>
      <c r="HO25" s="390">
        <f>HN25*(VLOOKUP($HL$9,各项系数!$D$1:$F$143,2,0))</f>
        <v>1.55827119330694</v>
      </c>
      <c r="HP25" s="406">
        <f>各项系数!$F$76/4*($MV25^2-$MS25^2)*10^-2*(VLOOKUP(AN25,各项系数!$D$1:$F$143,3,0))*10^-3*10^2*各项系数!$J$4</f>
        <v>0.0918980374583881</v>
      </c>
      <c r="HQ25" s="389">
        <v>1</v>
      </c>
      <c r="HR25" s="390">
        <f t="shared" si="202"/>
        <v>0.0918980374583881</v>
      </c>
      <c r="HS25" s="390">
        <f>HR25*(VLOOKUP(AN25,各项系数!$D$1:$F$143,2,0))</f>
        <v>0.918980374583881</v>
      </c>
      <c r="HT25" s="406">
        <f>各项系数!$F$76/4*($MW25^2-$MT25^2)*10^-2*(VLOOKUP(AN25,各项系数!$D$1:$F$143,3,0))*10^-3*10^2*各项系数!$J$4</f>
        <v>0.0929273287692173</v>
      </c>
      <c r="HU25" s="389">
        <v>1</v>
      </c>
      <c r="HV25" s="390">
        <f t="shared" si="203"/>
        <v>0.0929273287692173</v>
      </c>
      <c r="HW25" s="390">
        <f>HV25*(VLOOKUP(AN25,各项系数!$D$1:$F$143,2,0))</f>
        <v>0.929273287692173</v>
      </c>
      <c r="HX25" s="406">
        <f>各项系数!$F$76/4*($MV25^2-$MS25^2)*10^-2*(VLOOKUP($HX$9,各项系数!$D$1:$F$143,3,0))*10^-3*10^2*各项系数!$J$4</f>
        <v>0.0918980374583881</v>
      </c>
      <c r="HY25" s="420">
        <v>1</v>
      </c>
      <c r="HZ25" s="390">
        <f t="shared" si="204"/>
        <v>0.0918980374583881</v>
      </c>
      <c r="IA25" s="390">
        <f>HZ25*(VLOOKUP($HX$9,各项系数!$D$1:$F$143,2,0))</f>
        <v>1.01087841204227</v>
      </c>
      <c r="IB25" s="406">
        <f>各项系数!$F$76/4*($MW25^2-$MT25^2)*10^-2*(VLOOKUP($IB$9,各项系数!$D$1:$F$143,3,0))*10^-3*10^2*各项系数!$J$4</f>
        <v>0.0929273287692173</v>
      </c>
      <c r="IC25" s="420">
        <v>1</v>
      </c>
      <c r="ID25" s="390">
        <f t="shared" si="205"/>
        <v>0.0929273287692173</v>
      </c>
      <c r="IE25" s="390">
        <f>ID25*(VLOOKUP($IB$9,各项系数!$D$1:$F$143,2,0))</f>
        <v>1.02220061646139</v>
      </c>
      <c r="IF25" s="429"/>
      <c r="IG25" s="406">
        <f t="shared" si="148"/>
        <v>0.0154523842942864</v>
      </c>
      <c r="IH25" s="389">
        <v>1</v>
      </c>
      <c r="II25" s="390">
        <f t="shared" si="206"/>
        <v>0.0154523842942864</v>
      </c>
      <c r="IJ25" s="390">
        <f>II25*(VLOOKUP($IG$8,各项系数!$D$1:$F$143,2,0))</f>
        <v>0.386309607357159</v>
      </c>
      <c r="IK25" s="406">
        <f>(各项系数!$F$76/4*($MX25^2-$MK25^2)*$EG25)*10^-2*(VLOOKUP($IG$8,各项系数!$D$1:$F$143,3,0))*10^-3*10^2*各项系数!$J$4</f>
        <v>0.0154523842942864</v>
      </c>
      <c r="IL25" s="389">
        <f>IK25*(VLOOKUP($IG$8,各项系数!$D$1:$F$143,2,0))</f>
        <v>0.386309607357159</v>
      </c>
      <c r="IM25" s="390">
        <f>(各项系数!$F$76/4*(($MM25+3*$X25)^2-MM25^2)*$EO25)*10^-2*(VLOOKUP($IG$8,各项系数!$D$1:$F$143,3,0))*10^-3*10^2*各项系数!$J$4</f>
        <v>0</v>
      </c>
      <c r="IN25" s="389">
        <f>IM25*(VLOOKUP($IG$8,各项系数!$D$1:$F$143,2,0))</f>
        <v>0</v>
      </c>
      <c r="IO25" s="406">
        <f>各项系数!$F$76/4*($MZ25^2-$MX25^2)*10^-2*(VLOOKUP(L25,各项系数!$D$1:$F$143,3,0))*10^-3*10^2*$ES25*各项系数!$J$4</f>
        <v>0.0468449931011531</v>
      </c>
      <c r="IP25" s="389">
        <v>1</v>
      </c>
      <c r="IQ25" s="390">
        <f t="shared" si="207"/>
        <v>0.0468449931011531</v>
      </c>
      <c r="IR25" s="367">
        <f>IQ25*(VLOOKUP(L25,各项系数!$D$1:$F$143,2,0))</f>
        <v>0.477818929631761</v>
      </c>
      <c r="IS25" s="406">
        <f>IF($L25&lt;&gt;$IS$9,0,各项系数!$F$76/4*($MZ25^2-$MX25^2)*10^-2*各项系数!$F$12*10^-3*10^2)*$ES25*各项系数!$J$4</f>
        <v>0</v>
      </c>
      <c r="IT25" s="389">
        <v>1</v>
      </c>
      <c r="IU25" s="390">
        <f t="shared" si="208"/>
        <v>0</v>
      </c>
      <c r="IV25" s="367">
        <f>IU25*各项系数!$E$12</f>
        <v>0</v>
      </c>
      <c r="IW25" s="388">
        <f t="shared" si="209"/>
        <v>0.0468449931011531</v>
      </c>
      <c r="IX25" s="388">
        <f t="shared" si="210"/>
        <v>0.477818929631761</v>
      </c>
      <c r="IY25" s="447">
        <f>各项系数!$F$76/4*($NB25^2-$MZ25^2*$EG25-$NA25^2*$EO25)*10^-2</f>
        <v>0</v>
      </c>
      <c r="IZ25" s="366">
        <f t="shared" si="231"/>
        <v>1</v>
      </c>
      <c r="JA25" s="367">
        <f t="shared" si="64"/>
        <v>0</v>
      </c>
      <c r="JB25" s="364">
        <f>IF($DE25&lt;&gt;$JB$9,0,$JA25*各项系数!$F$32*10^-3*10^2)*各项系数!$J$4</f>
        <v>0</v>
      </c>
      <c r="JC25" s="123">
        <v>1</v>
      </c>
      <c r="JD25" s="251">
        <f t="shared" si="211"/>
        <v>0</v>
      </c>
      <c r="JE25" s="339">
        <f>JD25*各项系数!$E$32</f>
        <v>0</v>
      </c>
      <c r="JF25" s="364">
        <f>IF($DE25&lt;&gt;$JF$9,0,$JA25*VLOOKUP($JF$9,各项系数!$D$4:$F$540,2,0)*10^-3*10^2)*各项系数!$J$4</f>
        <v>0</v>
      </c>
      <c r="JG25" s="123">
        <v>1</v>
      </c>
      <c r="JH25" s="251">
        <f t="shared" si="66"/>
        <v>0</v>
      </c>
      <c r="JI25" s="339">
        <f>JH25*VLOOKUP($JF$9,各项系数!$D$4:$F$540,3,0)</f>
        <v>0</v>
      </c>
      <c r="JJ25" s="364">
        <f t="shared" si="212"/>
        <v>0</v>
      </c>
      <c r="JK25" s="251">
        <f t="shared" si="213"/>
        <v>0</v>
      </c>
      <c r="JL25" s="364">
        <f>IF($DF25&lt;&gt;$JL$9,0,各项系数!$F$76/4*($NE25^2-$NC25^2)*10^-2*各项系数!$F$39*10^-3*10^2)*各项系数!$J$4</f>
        <v>0</v>
      </c>
      <c r="JM25" s="123">
        <v>1</v>
      </c>
      <c r="JN25" s="251">
        <f t="shared" si="214"/>
        <v>0</v>
      </c>
      <c r="JO25" s="339">
        <f>JN25*各项系数!$E$39</f>
        <v>0</v>
      </c>
      <c r="JP25" s="364">
        <f>IF($DF25&lt;&gt;$JP$9,0,各项系数!$F$76/4*($NE25^2-$NC25^2)*10^-2*各项系数!$F$36*10^-3*10^2)*各项系数!$J$4</f>
        <v>0</v>
      </c>
      <c r="JQ25" s="123">
        <v>1</v>
      </c>
      <c r="JR25" s="251">
        <f t="shared" si="215"/>
        <v>0</v>
      </c>
      <c r="JS25" s="339">
        <f>JR25*各项系数!$E$36</f>
        <v>0</v>
      </c>
      <c r="JT25" s="364">
        <f>IF($DF25&lt;&gt;$JT$9,0,各项系数!$F$76/4*($NE25^2-$NC25^2)*10^-2*各项系数!$F$40*10^-3*10^2)*各项系数!$J$4</f>
        <v>0</v>
      </c>
      <c r="JU25" s="123">
        <v>1</v>
      </c>
      <c r="JV25" s="251">
        <f t="shared" si="216"/>
        <v>0</v>
      </c>
      <c r="JW25" s="339">
        <f>JV25*各项系数!$E$40</f>
        <v>0</v>
      </c>
      <c r="JX25" s="364">
        <f>IF($DF25&lt;&gt;$JX$9,0,各项系数!$F$76/4*($NE25^2-$NC25^2)*10^-2*各项系数!$F$38*10^-3*10^2)*各项系数!$J$4</f>
        <v>0</v>
      </c>
      <c r="JY25" s="123">
        <v>1</v>
      </c>
      <c r="JZ25" s="251">
        <f t="shared" si="217"/>
        <v>0</v>
      </c>
      <c r="KA25" s="339">
        <f>JZ25*各项系数!$E$38</f>
        <v>0</v>
      </c>
      <c r="KB25" s="364">
        <f>IF($DF25&lt;&gt;$KB$9,0,各项系数!$F$76/4*($NE25^2-$NC25^2)*10^-2*各项系数!$F$41*10^-3*10^2)*各项系数!$J$4</f>
        <v>0</v>
      </c>
      <c r="KC25" s="123">
        <v>1</v>
      </c>
      <c r="KD25" s="251">
        <f t="shared" si="218"/>
        <v>0</v>
      </c>
      <c r="KE25" s="339">
        <f>KD25*各项系数!$E$41</f>
        <v>0</v>
      </c>
      <c r="KF25" s="251">
        <f t="shared" si="219"/>
        <v>0</v>
      </c>
      <c r="KG25" s="251">
        <f t="shared" si="220"/>
        <v>0</v>
      </c>
      <c r="KH25" s="302">
        <f>各项系数!$F$76/4*($NG25^2-$NE25^2)*10^-2*各项系数!$F$44*10^-3*10^2*各项系数!$J$4*0.75*$U25</f>
        <v>0.151637612211999</v>
      </c>
      <c r="KI25" s="123">
        <v>1</v>
      </c>
      <c r="KJ25" s="251">
        <f t="shared" si="221"/>
        <v>0.151637612211999</v>
      </c>
      <c r="KK25" s="251">
        <f>ROUND(KJ25*各项系数!$E$44,GT25)</f>
        <v>1.6</v>
      </c>
      <c r="KL25" s="302">
        <f>各项系数!$F$76/4*($NF25^2-$NE25^2)*10^-2*各项系数!$F$46*10^-3*10^2*各项系数!$J$4*PI()/4*R25</f>
        <v>0.0189483955950056</v>
      </c>
      <c r="KM25" s="123">
        <v>1</v>
      </c>
      <c r="KN25" s="251">
        <f t="shared" si="222"/>
        <v>0.0189483955950056</v>
      </c>
      <c r="KO25" s="251">
        <f>KN25*各项系数!$E$46</f>
        <v>1.27901670266288</v>
      </c>
      <c r="KP25" s="302">
        <f>各项系数!$F$76/4*($NH25^2-$NE25^2)*10^-2*(VLOOKUP($KP$9,各项系数!$D$1:$F$143,3,0))*10^-3*10^2*各项系数!$J$4</f>
        <v>0.0944550515763922</v>
      </c>
      <c r="KQ25" s="123">
        <v>1</v>
      </c>
      <c r="KR25" s="251">
        <f t="shared" si="150"/>
        <v>0.0944550515763922</v>
      </c>
      <c r="KS25" s="251">
        <f>KR25*(VLOOKUP($KP$9,各项系数!$D$1:$F$143,2,0))</f>
        <v>1.60573587679867</v>
      </c>
      <c r="KT25" s="302">
        <f>各项系数!$F$76/4*($NI25^2-$NF25^2)*10^-2*(VLOOKUP($KT$9,各项系数!$D$1:$F$143,3,0))*10^-3*10^2*各项系数!$J$4</f>
        <v>0.0954703389238087</v>
      </c>
      <c r="KU25" s="123">
        <v>1</v>
      </c>
      <c r="KV25" s="251">
        <f t="shared" si="151"/>
        <v>0.0954703389238087</v>
      </c>
      <c r="KW25" s="251">
        <f>KV25*(VLOOKUP($KT$9,各项系数!$D$1:$F$143,2,0))</f>
        <v>1.62299576170475</v>
      </c>
      <c r="KX25" s="251">
        <f>各项系数!$F$76/4*($NH25^2-$NE25^2)*10^-2*(VLOOKUP($KX$9,各项系数!$D$1:$F$143,3,0))*10^-3*10^2*各项系数!$J$4</f>
        <v>0.0944550515763922</v>
      </c>
      <c r="KY25" s="479">
        <v>1</v>
      </c>
      <c r="KZ25" s="251">
        <f t="shared" si="152"/>
        <v>0.0944550515763922</v>
      </c>
      <c r="LA25" s="251">
        <f>KZ25*(VLOOKUP($KX$9,各项系数!$D$1:$F$143,2,0))</f>
        <v>1.60573587679867</v>
      </c>
      <c r="LB25" s="251">
        <f>各项系数!$F$76/4*($NI25^2-$NF25^2)*10^-2*(VLOOKUP($LB$9,各项系数!$D$1:$F$143,3,0))*10^-3*10^2*各项系数!$J$4</f>
        <v>0.0954703389238087</v>
      </c>
      <c r="LC25" s="479">
        <v>1</v>
      </c>
      <c r="LD25" s="251">
        <f t="shared" si="153"/>
        <v>0.0954703389238087</v>
      </c>
      <c r="LE25" s="251">
        <f>LD25*(VLOOKUP($LB$9,各项系数!$D$1:$F$143,2,0))</f>
        <v>1.62299576170475</v>
      </c>
      <c r="LF25" s="302">
        <f>各项系数!$F$76/4*($NH25^2-$NE25^2)*10^-2*(VLOOKUP(AN25,各项系数!$D$1:$F$143,3,0))*10^-3*10^2*各项系数!$J$4</f>
        <v>0.0957578798739976</v>
      </c>
      <c r="LG25" s="123">
        <v>1</v>
      </c>
      <c r="LH25" s="251">
        <f t="shared" si="223"/>
        <v>0.0957578798739976</v>
      </c>
      <c r="LI25" s="251">
        <f>LH25*(VLOOKUP(AN25,各项系数!$D$1:$F$143,2,0))</f>
        <v>0.957578798739976</v>
      </c>
      <c r="LJ25" s="302">
        <f>各项系数!$F$76/4*($NI25^2-$NF25^2)*10^-2*(VLOOKUP(AN25,各项系数!$D$1:$F$143,3,0))*10^-3*10^2*各项系数!$J$4</f>
        <v>0.0967871711848268</v>
      </c>
      <c r="LK25" s="123">
        <v>1</v>
      </c>
      <c r="LL25" s="251">
        <f t="shared" si="224"/>
        <v>0.0967871711848268</v>
      </c>
      <c r="LM25" s="251">
        <f>LL25*(VLOOKUP(AN25,各项系数!$D$1:$F$143,2,0))</f>
        <v>0.967871711848268</v>
      </c>
      <c r="LN25" s="251">
        <f>各项系数!$F$76/4*($NH25^2-$NE25^2)*10^-2*(VLOOKUP($LN$9,各项系数!$D$1:$F$143,3,0))*10^-3*10^2*各项系数!$J$4</f>
        <v>0.0957578798739976</v>
      </c>
      <c r="LO25" s="479">
        <v>1</v>
      </c>
      <c r="LP25" s="251">
        <f t="shared" si="225"/>
        <v>0.0957578798739976</v>
      </c>
      <c r="LQ25" s="251">
        <f>LP25*(VLOOKUP($LN$9,各项系数!$D$1:$F$143,2,0))</f>
        <v>1.05333667861397</v>
      </c>
      <c r="LR25" s="251">
        <f>各项系数!$F$76/4*($NI25^2-$NF25^2)*10^-2*(VLOOKUP($LR$9,各项系数!$D$1:$F$143,3,0))*10^-3*10^2*各项系数!$J$4</f>
        <v>0.0967871711848268</v>
      </c>
      <c r="LS25" s="479">
        <v>1</v>
      </c>
      <c r="LT25" s="251">
        <f t="shared" si="226"/>
        <v>0.0967871711848268</v>
      </c>
      <c r="LU25" s="251">
        <f>LT25*(VLOOKUP($LR$9,各项系数!$D$1:$F$143,2,0))</f>
        <v>1.06465888303309</v>
      </c>
      <c r="LV25" s="499">
        <f t="shared" si="154"/>
        <v>89.6725331</v>
      </c>
      <c r="LW25" s="499">
        <f t="shared" si="155"/>
        <v>64.55208807</v>
      </c>
      <c r="LX25" s="499">
        <f t="shared" si="156"/>
        <v>9.06588502165955</v>
      </c>
      <c r="LY25" s="515">
        <f t="shared" si="157"/>
        <v>25.12044503</v>
      </c>
      <c r="LZ25" s="516">
        <f t="shared" si="86"/>
        <v>1</v>
      </c>
      <c r="MA25" s="517">
        <f t="shared" si="87"/>
        <v>89.6725331</v>
      </c>
      <c r="MB25" s="517">
        <f t="shared" si="158"/>
        <v>10.68525223</v>
      </c>
      <c r="MC25" s="499">
        <f t="shared" si="159"/>
        <v>0</v>
      </c>
      <c r="MD25" s="499">
        <f t="shared" si="160"/>
        <v>0</v>
      </c>
      <c r="ME25" s="499">
        <f t="shared" si="161"/>
        <v>0</v>
      </c>
      <c r="MF25" s="499">
        <f t="shared" si="162"/>
        <v>0</v>
      </c>
      <c r="MG25" s="516">
        <f t="shared" si="163"/>
        <v>1</v>
      </c>
      <c r="MH25" s="517">
        <f t="shared" si="88"/>
        <v>0</v>
      </c>
      <c r="MI25" s="517">
        <f t="shared" si="164"/>
        <v>0</v>
      </c>
      <c r="MJ25" s="251">
        <f t="shared" si="89"/>
        <v>10.68525223</v>
      </c>
      <c r="MK25" s="251">
        <f t="shared" si="165"/>
        <v>10.68525223</v>
      </c>
      <c r="ML25" s="251">
        <f t="shared" si="227"/>
        <v>0</v>
      </c>
      <c r="MM25" s="251">
        <f t="shared" si="91"/>
        <v>0</v>
      </c>
      <c r="MN25" s="251">
        <f t="shared" si="92"/>
        <v>12.88525223</v>
      </c>
      <c r="MO25" s="251">
        <f t="shared" si="166"/>
        <v>0</v>
      </c>
      <c r="MP25" s="251">
        <f t="shared" si="167"/>
        <v>12.88525223</v>
      </c>
      <c r="MQ25" s="251">
        <f t="shared" si="228"/>
        <v>12.88525223</v>
      </c>
      <c r="MR25" s="314">
        <f t="shared" si="168"/>
        <v>12.88525223</v>
      </c>
      <c r="MS25" s="530">
        <f t="shared" si="94"/>
        <v>12.88525223</v>
      </c>
      <c r="MT25" s="530">
        <f t="shared" si="95"/>
        <v>13.04525223</v>
      </c>
      <c r="MU25" s="530">
        <f t="shared" si="232"/>
        <v>13.48525223</v>
      </c>
      <c r="MV25" s="530">
        <f t="shared" si="97"/>
        <v>15.68525223</v>
      </c>
      <c r="MW25" s="530">
        <f t="shared" si="98"/>
        <v>15.84525223</v>
      </c>
      <c r="MX25" s="326">
        <f t="shared" si="233"/>
        <v>11.28525223</v>
      </c>
      <c r="MY25" s="326">
        <f t="shared" si="100"/>
        <v>0</v>
      </c>
      <c r="MZ25" s="251">
        <f t="shared" si="101"/>
        <v>13.48525223</v>
      </c>
      <c r="NA25" s="251">
        <f t="shared" si="102"/>
        <v>0</v>
      </c>
      <c r="NB25" s="251">
        <f t="shared" si="169"/>
        <v>13.48525223</v>
      </c>
      <c r="NC25" s="326">
        <f t="shared" si="229"/>
        <v>13.48525223</v>
      </c>
      <c r="ND25" s="314">
        <f t="shared" si="234"/>
        <v>13.48525223</v>
      </c>
      <c r="NE25" s="537">
        <f t="shared" si="235"/>
        <v>13.48525223</v>
      </c>
      <c r="NF25" s="530">
        <f t="shared" si="106"/>
        <v>13.64525223</v>
      </c>
      <c r="NG25" s="538">
        <f t="shared" si="236"/>
        <v>14.08525223</v>
      </c>
      <c r="NH25" s="326">
        <f t="shared" si="108"/>
        <v>16.28525223</v>
      </c>
      <c r="NI25" s="530">
        <f t="shared" si="109"/>
        <v>16.44525223</v>
      </c>
      <c r="NK25" s="539">
        <f t="shared" si="110"/>
        <v>0.714895342370572</v>
      </c>
      <c r="NL25" s="539">
        <f t="shared" si="111"/>
        <v>39.2602731212083</v>
      </c>
      <c r="NM25" s="539">
        <f t="shared" si="112"/>
        <v>0.714895342370572</v>
      </c>
      <c r="NN25" s="539">
        <f t="shared" si="113"/>
        <v>39.3521711586666</v>
      </c>
      <c r="NO25" s="539">
        <f t="shared" si="114"/>
        <v>0.736476961365641</v>
      </c>
      <c r="NP25" s="539">
        <f t="shared" si="115"/>
        <v>39.7083289540303</v>
      </c>
      <c r="NQ25" s="539">
        <f t="shared" si="116"/>
        <v>0.736476961365641</v>
      </c>
      <c r="NR25" s="539">
        <f t="shared" si="117"/>
        <v>39.8040868339043</v>
      </c>
      <c r="NS25" s="539">
        <f t="shared" si="118"/>
        <v>0.733005638005161</v>
      </c>
      <c r="NT25" s="539">
        <f t="shared" si="119"/>
        <v>0.733005638005161</v>
      </c>
      <c r="NU25" s="539">
        <f t="shared" si="120"/>
        <v>0.755425356960647</v>
      </c>
      <c r="NV25" s="539">
        <f t="shared" si="121"/>
        <v>0.755425356960647</v>
      </c>
      <c r="NW25">
        <f t="shared" si="122"/>
        <v>0.811587088555141</v>
      </c>
      <c r="NX25">
        <f>各项系数!$M$9*NK25</f>
        <v>0.214468602711172</v>
      </c>
      <c r="NY25">
        <f t="shared" si="123"/>
        <v>0.733005638005161</v>
      </c>
      <c r="OB25" s="82" t="str">
        <f t="shared" si="124"/>
        <v>1*70</v>
      </c>
      <c r="OC25" s="546">
        <f t="shared" si="125"/>
        <v>242.295968589101</v>
      </c>
      <c r="OD25" s="546">
        <f>SQRT(4*EY25/PI()/EH25/各项系数!$J$4/各项系数!$F$5*10000000)</f>
        <v>243.865806884974</v>
      </c>
      <c r="OE25" s="547">
        <f t="shared" si="126"/>
        <v>64.5520878551087</v>
      </c>
      <c r="OF25" s="547">
        <f t="shared" si="127"/>
        <v>65.3912649972251</v>
      </c>
      <c r="OG25" s="82">
        <v>65.2</v>
      </c>
      <c r="OH25" s="548">
        <f t="shared" si="186"/>
        <v>0.191264997225076</v>
      </c>
    </row>
    <row r="26" customHeight="1" spans="1:398">
      <c r="A26" s="66">
        <v>95</v>
      </c>
      <c r="B26" s="67">
        <v>0</v>
      </c>
      <c r="C26" s="68">
        <v>1.1</v>
      </c>
      <c r="D26" s="69" t="s">
        <v>204</v>
      </c>
      <c r="E26" s="77">
        <f t="shared" si="175"/>
        <v>17.45440285</v>
      </c>
      <c r="F26" s="75">
        <v>245.088056587712</v>
      </c>
      <c r="G26" s="74"/>
      <c r="H26" s="23"/>
      <c r="I26" s="78"/>
      <c r="J26" s="23"/>
      <c r="K26" s="23"/>
      <c r="L26" s="118" t="s">
        <v>467</v>
      </c>
      <c r="M26" s="124">
        <f t="shared" si="2"/>
        <v>1.1</v>
      </c>
      <c r="N26" s="124">
        <f t="shared" si="3"/>
        <v>0</v>
      </c>
      <c r="O26" s="123"/>
      <c r="P26" s="120">
        <v>0.1</v>
      </c>
      <c r="Q26" s="162">
        <f t="shared" si="237"/>
        <v>0.1</v>
      </c>
      <c r="R26" s="169">
        <v>0.8</v>
      </c>
      <c r="S26" s="171" t="str">
        <f>各项系数!$D$44</f>
        <v>磁性钢带</v>
      </c>
      <c r="T26" s="123">
        <v>0.2</v>
      </c>
      <c r="U26" s="123">
        <v>2</v>
      </c>
      <c r="V26" s="169"/>
      <c r="W26" s="170">
        <v>1.5</v>
      </c>
      <c r="X26" s="164">
        <f t="shared" si="238"/>
        <v>0.2</v>
      </c>
      <c r="Y26" s="219"/>
      <c r="Z26" s="220"/>
      <c r="AA26" s="217">
        <v>1.013</v>
      </c>
      <c r="AB26" s="186">
        <f>PI()*EJ26*EJ26/4*EH26*(1-H26)*AA26*各项系数!$F$5*各项系数!$J$4*10^-7</f>
        <v>0.803196977708722</v>
      </c>
      <c r="AC26" s="186">
        <f t="shared" si="176"/>
        <v>245.088056587712</v>
      </c>
      <c r="AD26" s="186">
        <f t="shared" si="5"/>
        <v>90.8023783381159</v>
      </c>
      <c r="AE26" s="186">
        <f>POWER(4*EU26/PI()/EG26/10^-7/EH26/(1-H26)/各项系数!$F$5/各项系数!$J$4,0.5)</f>
        <v>246.675984853019</v>
      </c>
      <c r="AF26" s="218">
        <v>1</v>
      </c>
      <c r="AG26" s="85">
        <f>IF(EM26=0,0,PI()*ER26*ER26/4*EP26*(1-K26)*(1+AF26)*各项系数!$F$5*各项系数!$J$4*10^-7)</f>
        <v>0</v>
      </c>
      <c r="AH26" s="85">
        <f t="shared" si="177"/>
        <v>0</v>
      </c>
      <c r="AI26" s="85">
        <f t="shared" si="128"/>
        <v>0</v>
      </c>
      <c r="AJ26" s="85">
        <f>IF(OR(EP26="",EP26=0),0,POWER(4*EW26/PI()/EO26/10^-7/EP26/(1-K26)/各项系数!$F$5/各项系数!$J$4,0.5))</f>
        <v>0</v>
      </c>
      <c r="AK26" s="85" t="str">
        <f t="shared" si="8"/>
        <v>√</v>
      </c>
      <c r="AL26" s="85">
        <f t="shared" si="178"/>
        <v>55.8705129993901</v>
      </c>
      <c r="AM26" s="250">
        <f t="shared" si="179"/>
        <v>95</v>
      </c>
      <c r="AN26" s="118" t="s">
        <v>486</v>
      </c>
      <c r="AO26" s="259">
        <f>AP26+各项系数!$M$9*$NK26</f>
        <v>54.7750127445001</v>
      </c>
      <c r="AP26" s="259">
        <f>AQ26*(1+$BI26+(VLOOKUP($AM26,$A$12:$B$323,2,0))+各项系数!$J$6+各项系数!$M$5)*(1+$E$2)</f>
        <v>54.4859103827676</v>
      </c>
      <c r="AQ26" s="260">
        <f>AR26+各项系数!$L$9*$NK26</f>
        <v>55.597867737518</v>
      </c>
      <c r="AR26" s="260">
        <f>AS26*(1+$BJ26+各项系数!$J$5+各项系数!$L$5)</f>
        <v>55.3087653757856</v>
      </c>
      <c r="AS26" s="260">
        <f t="shared" si="129"/>
        <v>54.2242797801819</v>
      </c>
      <c r="AT26" s="259">
        <f>AU26+各项系数!$M$9*$NM26</f>
        <v>55.5190489933168</v>
      </c>
      <c r="AU26" s="259">
        <f>AV26*(1+$BI26+(VLOOKUP($AM26,$A$12:$B$323,2,0))+各项系数!$J$6+各项系数!$M$5)*(1+$E$2)</f>
        <v>55.2299466315844</v>
      </c>
      <c r="AV26" s="260">
        <f>AW26+各项系数!$L$9*$NM26</f>
        <v>56.3570883995759</v>
      </c>
      <c r="AW26" s="260">
        <f>AX26*(1+$BJ26+各项系数!$J$5+各项系数!$L$5)</f>
        <v>56.0679860378435</v>
      </c>
      <c r="AX26" s="260">
        <f t="shared" si="130"/>
        <v>54.9686137625917</v>
      </c>
      <c r="AY26" s="259">
        <f>AZ26+各项系数!$M$9*$NS26</f>
        <v>56.1679420423495</v>
      </c>
      <c r="AZ26" s="259">
        <f>BA26*(1+$BI26+(VLOOKUP($AM26,$A$12:$B$214,2,0))+各项系数!$J$6+各项系数!$M$5)*(1+$E$2)</f>
        <v>55.8727490393904</v>
      </c>
      <c r="BA26" s="260">
        <f>BB26+各项系数!$L$9*$NS26</f>
        <v>57.0130092238678</v>
      </c>
      <c r="BB26" s="260">
        <f>BC26*(1+$BJ26+各项系数!$J$5+各项系数!$L$5)</f>
        <v>56.7178162209087</v>
      </c>
      <c r="BC26" s="262">
        <f t="shared" si="131"/>
        <v>55.6057021773615</v>
      </c>
      <c r="BD26" s="259">
        <f>BE26+各项系数!$M$9*$NS26</f>
        <v>56.9194399179617</v>
      </c>
      <c r="BE26" s="259">
        <f>BF26*(1+$BI26+(VLOOKUP($AM26,$A$12:$B$214,2,0))+各项系数!$J$6+各项系数!$M$5)*(1+$E$2)</f>
        <v>56.6242469150026</v>
      </c>
      <c r="BF26" s="260">
        <f>BG26+各项系数!$L$9*$NS26</f>
        <v>57.779843790819</v>
      </c>
      <c r="BG26" s="260">
        <f>BH26*(1+$BJ26+各项系数!$J$5+各项系数!$L$5)</f>
        <v>57.4846507878599</v>
      </c>
      <c r="BH26" s="262">
        <f t="shared" si="132"/>
        <v>56.3575007724117</v>
      </c>
      <c r="BI26" s="67"/>
      <c r="BJ26" s="272"/>
      <c r="BK26" s="123"/>
      <c r="BL26" s="259">
        <f>BM26+各项系数!$M$9*$NM26</f>
        <v>55.417411305553</v>
      </c>
      <c r="BM26" s="259">
        <f>BN26*(1+$CF26+(VLOOKUP($AM26,$A$12:$B$323,2,0))+各项系数!$J$6+各项系数!$M$5)*(1+$E$2)</f>
        <v>55.1283089438206</v>
      </c>
      <c r="BN26" s="260">
        <f>BO26+各项系数!$L$9*$NM26</f>
        <v>56.2533764732863</v>
      </c>
      <c r="BO26" s="260">
        <f>BP26*(1+$CG26+各项系数!$J$5+各项系数!$L$5)</f>
        <v>55.9642741115539</v>
      </c>
      <c r="BP26" s="260">
        <f t="shared" si="133"/>
        <v>54.3342467102465</v>
      </c>
      <c r="BQ26" s="259">
        <f>BR26+各项系数!$M$9*$NM26</f>
        <v>56.0577414081902</v>
      </c>
      <c r="BR26" s="259">
        <f>BS26*(1+$CF26+(VLOOKUP($AM26,$A$12:$B$323,2,0))+各项系数!$J$6+各项系数!$M$5)*(1+$E$2)</f>
        <v>55.7686390464578</v>
      </c>
      <c r="BS26" s="260">
        <f>BT26+各项系数!$L$9*$NM26</f>
        <v>56.9067745372018</v>
      </c>
      <c r="BT26" s="260">
        <f>BU26*(1+$CG26+各项系数!$J$5+各项系数!$L$5)</f>
        <v>56.6176721754694</v>
      </c>
      <c r="BU26" s="260">
        <f t="shared" si="134"/>
        <v>54.9686137625917</v>
      </c>
      <c r="BV26" s="259">
        <f>BW26+各项系数!$M$9*$NT26</f>
        <v>56.5438007136394</v>
      </c>
      <c r="BW26" s="259">
        <f>BX26*(1+$CF26+(VLOOKUP($AM26,$A$12:$B$214,2,0))+各项系数!$J$6+各项系数!$M$5)*(1+$E$2)</f>
        <v>56.2486077106804</v>
      </c>
      <c r="BX26" s="260">
        <f>BY26+各项系数!$L$9*$NT$12</f>
        <v>57.3965384802861</v>
      </c>
      <c r="BY26" s="260">
        <f>BZ26*(1+$CG26+各项系数!$J$5+各项系数!$L$5)</f>
        <v>57.3882750771311</v>
      </c>
      <c r="BZ26" s="262">
        <f t="shared" si="11"/>
        <v>55.7167719195448</v>
      </c>
      <c r="CA26" s="259">
        <f>CB26+各项系数!$M$9*$NT26</f>
        <v>57.1905524177233</v>
      </c>
      <c r="CB26" s="259">
        <f>CC26*(1+$CF26+(VLOOKUP($AM26,$A$12:$B$214,2,0))+各项系数!$J$6+各项系数!$M$5)*(1+$E$2)</f>
        <v>56.8953594147642</v>
      </c>
      <c r="CC26" s="260">
        <f>CD26+各项系数!$L$9*$NT$12</f>
        <v>58.056489198739</v>
      </c>
      <c r="CD26" s="260">
        <f>CE26*(1+$CG26+各项系数!$J$5+各项系数!$L$5)</f>
        <v>58.048225795584</v>
      </c>
      <c r="CE26" s="262">
        <f t="shared" si="135"/>
        <v>56.3575007724117</v>
      </c>
      <c r="CF26" s="277">
        <f t="shared" si="136"/>
        <v>0</v>
      </c>
      <c r="CG26" s="277">
        <f t="shared" si="12"/>
        <v>0.01</v>
      </c>
      <c r="CH26" s="123"/>
      <c r="CI26" s="259">
        <f>CJ26+各项系数!$M$9*$NO26</f>
        <v>55.5842009921312</v>
      </c>
      <c r="CJ26" s="259">
        <f>CK26*(1+$DC26+(VLOOKUP($AM26,$A$12:$B$323,2,0))+各项系数!$J$6+各项系数!$M$5)*(1+$E$2)+各项系数!$M$9*$NK26</f>
        <v>55.2878792609649</v>
      </c>
      <c r="CK26" s="260">
        <f>CL26+各项系数!$L$9*$NO26</f>
        <v>56.1212009175841</v>
      </c>
      <c r="CL26" s="260">
        <f>CM26*(1+$DD26+各项系数!$J$5+各项系数!$L$5)</f>
        <v>55.8248791864178</v>
      </c>
      <c r="CM26" s="260">
        <f t="shared" si="13"/>
        <v>54.7302737121743</v>
      </c>
      <c r="CN26" s="259">
        <f>CO26+各项系数!$M$9*$NO26</f>
        <v>56.2868983286768</v>
      </c>
      <c r="CO26" s="259">
        <f>CP26*(1+$DC26+(VLOOKUP($AM26,$A$12:$B$323,2,0))+各项系数!$J$6+各项系数!$M$5)*(1+$E$2)+各项系数!$M$9*$NK26</f>
        <v>55.9905765975105</v>
      </c>
      <c r="CP26" s="260">
        <f>CQ26+各项系数!$L$9*$NO26</f>
        <v>56.8382390161</v>
      </c>
      <c r="CQ26" s="260">
        <f>CR26*(1+$DD26+各项系数!$J$5+各项系数!$L$5)</f>
        <v>56.5419172849337</v>
      </c>
      <c r="CR26" s="260">
        <f t="shared" si="14"/>
        <v>55.4332522401311</v>
      </c>
      <c r="CS26" s="259">
        <f>CT26+各项系数!$M$9*$NU26</f>
        <v>56.7450748782539</v>
      </c>
      <c r="CT26" s="259">
        <f t="shared" si="15"/>
        <v>56.4424110758728</v>
      </c>
      <c r="CU26" s="260">
        <f>CV26+各项系数!$L$9*$NU26</f>
        <v>57.5942970161967</v>
      </c>
      <c r="CV26" s="260">
        <f>CW26*(1+$DD26+各项系数!$J$5+各项系数!$L$5)</f>
        <v>57.2916332138156</v>
      </c>
      <c r="CW26" s="262">
        <f t="shared" si="16"/>
        <v>56.168267856682</v>
      </c>
      <c r="CX26" s="259">
        <f>CY26+各项系数!$M$9*$NU26</f>
        <v>57.5245538543489</v>
      </c>
      <c r="CY26" s="259">
        <f t="shared" si="17"/>
        <v>57.2218900519678</v>
      </c>
      <c r="CZ26" s="260">
        <f>DA26+各项系数!$L$9*$NU26</f>
        <v>58.3896837264978</v>
      </c>
      <c r="DA26" s="260">
        <f>DB26*(1+$DD26+各项系数!$J$5+各项系数!$L$5)</f>
        <v>58.0870199241167</v>
      </c>
      <c r="DB26" s="262">
        <f t="shared" si="18"/>
        <v>56.948058749134</v>
      </c>
      <c r="DC26" s="277">
        <f t="shared" si="137"/>
        <v>0</v>
      </c>
      <c r="DD26" s="277">
        <f t="shared" si="19"/>
        <v>0</v>
      </c>
      <c r="DE26" s="69"/>
      <c r="DF26" s="69"/>
      <c r="DG26" s="259">
        <f>DH26+各项系数!$M$9*$NQ26</f>
        <v>56.2357327132902</v>
      </c>
      <c r="DH26" s="259">
        <f>DI26*(1+$EA26+(VLOOKUP($AM26,$A$12:$B$323,2,0))+各项系数!$J$6+各项系数!$M$5)*(1+$E$2)+各项系数!$M$9*$NK26</f>
        <v>55.9394109821238</v>
      </c>
      <c r="DI26" s="260">
        <f>DJ26+各项系数!$L$9*$NQ26</f>
        <v>56.786029204481</v>
      </c>
      <c r="DJ26" s="260">
        <f>DK26*(1+$EB26+各项系数!$J$5+各项系数!$L$5)</f>
        <v>56.4897074733147</v>
      </c>
      <c r="DK26" s="260">
        <f t="shared" si="20"/>
        <v>54.8443761876842</v>
      </c>
      <c r="DL26" s="259">
        <f>DM26+各项系数!$M$9*$NQ26</f>
        <v>56.9001438213523</v>
      </c>
      <c r="DM26" s="259">
        <f>DN26*(1+$EA26+(VLOOKUP($AM26,$A$12:$B$323,2,0))+各项系数!$J$6+各项系数!$M$5)*(1+$E$2)+各项系数!$M$9*$NK26</f>
        <v>56.603822090186</v>
      </c>
      <c r="DN26" s="260">
        <f>DO26+各项系数!$L$9*$NQ26</f>
        <v>57.4639997229118</v>
      </c>
      <c r="DO26" s="260">
        <f>DP26*(1+$EB26+各项系数!$J$5+各项系数!$L$5)</f>
        <v>57.1676779917455</v>
      </c>
      <c r="DP26" s="260">
        <f t="shared" si="21"/>
        <v>55.5025999919859</v>
      </c>
      <c r="DQ26" s="259">
        <f>DR26+各项系数!$M$9*$NV26</f>
        <v>57.4118121205816</v>
      </c>
      <c r="DR26" s="259">
        <f t="shared" si="22"/>
        <v>57.1091483182006</v>
      </c>
      <c r="DS26" s="260">
        <f>DT26+各项系数!$L$9*$NV26</f>
        <v>58.274641141021</v>
      </c>
      <c r="DT26" s="260">
        <f>DU26*(1+$EB26+各项系数!$J$5+各项系数!$L$5)</f>
        <v>57.9719773386399</v>
      </c>
      <c r="DU26" s="262">
        <f t="shared" si="23"/>
        <v>56.2834731443106</v>
      </c>
      <c r="DV26" s="259">
        <f>DW26+各项系数!$M$9*$NV26</f>
        <v>57.5392280405018</v>
      </c>
      <c r="DW26" s="259">
        <f t="shared" si="24"/>
        <v>57.2365642381207</v>
      </c>
      <c r="DX26" s="260">
        <f>DY26+各项系数!$L$9*$NV26</f>
        <v>58.4046573858375</v>
      </c>
      <c r="DY26" s="260">
        <f>DZ26*(1+$EB26+各项系数!$J$5+各项系数!$L$5)</f>
        <v>58.1019935834564</v>
      </c>
      <c r="DZ26" s="262">
        <f t="shared" si="25"/>
        <v>56.4097025082101</v>
      </c>
      <c r="EA26" s="277">
        <f t="shared" si="230"/>
        <v>0</v>
      </c>
      <c r="EB26" s="277">
        <f t="shared" si="27"/>
        <v>0.01</v>
      </c>
      <c r="EC26" s="302">
        <f t="shared" si="138"/>
        <v>1</v>
      </c>
      <c r="ED26" s="302" t="str">
        <f t="shared" si="180"/>
        <v>1*95</v>
      </c>
      <c r="EE26" s="251">
        <f t="shared" si="187"/>
        <v>95</v>
      </c>
      <c r="EF26" s="251" t="str">
        <f>LOOKUP(EH26,{1,7,10,14,19,24,30,37,48,61},{1,"1+6","2+8","4+10","1+6+12","2+8+14","4+10+16","1+6+12+18","3+9+15+21","1+6+12+18+24"})</f>
        <v>1+6+12</v>
      </c>
      <c r="EG26" s="250">
        <f t="shared" si="29"/>
        <v>1</v>
      </c>
      <c r="EH26" s="260">
        <f>IF(AM26&lt;10,1,IF(AND(AM26&gt;=10,AM26&lt;=35),7,LOOKUP(AM26,{50,70,95,120,150,185,240,300,400,500,630},{10,14,19,24,30,37,48,61,61,61,61})*1))</f>
        <v>19</v>
      </c>
      <c r="EI26" s="250">
        <f>IF(EH26=0,0,VLOOKUP(EH26,各项系数!$D$142:$E$195,2,0))*1</f>
        <v>5</v>
      </c>
      <c r="EJ26" s="305">
        <f t="shared" si="141"/>
        <v>245.088056587712</v>
      </c>
      <c r="EK26" s="251">
        <f t="shared" si="181"/>
        <v>0</v>
      </c>
      <c r="EL26" s="251">
        <f t="shared" si="31"/>
        <v>0</v>
      </c>
      <c r="EM26" s="251">
        <f t="shared" si="182"/>
        <v>0</v>
      </c>
      <c r="EN26" s="251">
        <f>IF(EP26=0,0,LOOKUP(EP26,{1,7,10,14,19,24,30,37,48,61},{1,"1+6","2+8","4+10","1+6+12","2+8+14","4+10+16","1+6+12+18","3+9+15+21","1+6+12+18+24"}))</f>
        <v>0</v>
      </c>
      <c r="EO26" s="251">
        <f t="shared" si="183"/>
        <v>0</v>
      </c>
      <c r="EP26" s="251">
        <f>IF(EM26=0,0,IF(EM26&lt;10,1,IF(AND(EM26&gt;=10,EM26&lt;=35),7,LOOKUP(EM26,{50,70,95,120,150,185,240,300},{10,14,19,24,30,37,48,61})*1)))</f>
        <v>0</v>
      </c>
      <c r="EQ26" s="251">
        <f>IF(EP26=0,0,VLOOKUP(EP26,各项系数!$D$142:$E$195,2,0))*1</f>
        <v>0</v>
      </c>
      <c r="ER26" s="251">
        <f t="shared" si="184"/>
        <v>0</v>
      </c>
      <c r="ES26" s="302">
        <f t="shared" si="185"/>
        <v>1</v>
      </c>
      <c r="ET26" s="251">
        <f>VLOOKUP(ES26,各项系数!$D$142:$E$195,2,0)*1</f>
        <v>1</v>
      </c>
      <c r="EU26" s="311">
        <f>((各项系数!$F$76/4*$EJ26^2*$EG26*$EH26*1*10^-7)*(1-$H26)*AA26)*(VLOOKUP($EY$9,各项系数!$D$4:$F$143,3,0))*各项系数!$J$4</f>
        <v>0.803196977708721</v>
      </c>
      <c r="EV26" s="312">
        <f>EU26*(VLOOKUP($EY$9,各项系数!$D$4:$F$143,2,0))</f>
        <v>52.6094020399212</v>
      </c>
      <c r="EW26" s="324">
        <f>(IF($EO26=0,0,(各项系数!$F$76/4*$ER26^2*$EO26*$EP26*1*10^-7))*(1-$K26)*$AF26)*(VLOOKUP($EY$9,各项系数!$D$4:$F$143,3,0))*各项系数!$J$4</f>
        <v>0</v>
      </c>
      <c r="EX26" s="325">
        <f>EW26*(VLOOKUP($EY$9,各项系数!$D$4:$F$143,2,0))</f>
        <v>0</v>
      </c>
      <c r="EY26" s="251">
        <f>((各项系数!$F$76/4*$EJ26^2*$EG26*$EH26*1*10^-7)*(1-$H26)*AA26+IF($EO26=0,0,(各项系数!$F$76/4*$ER26^2*$EO26*$EP26*1*10^-7))*(1-$K26)*$AF26)*(VLOOKUP($EY$9,各项系数!$D$4:$F$143,3,0))*各项系数!$J$4</f>
        <v>0.803196977708721</v>
      </c>
      <c r="EZ26" s="123">
        <v>1</v>
      </c>
      <c r="FA26" s="251">
        <f t="shared" si="188"/>
        <v>0.803196977708721</v>
      </c>
      <c r="FB26" s="326">
        <f>FA26*(VLOOKUP($EY$9,各项系数!$D$4:$F$143,2,0))</f>
        <v>52.6094020399212</v>
      </c>
      <c r="FC26" s="327"/>
      <c r="FD26" s="302">
        <f>各项系数!$F$76/4*($MN26^2-MK26^2)*10^-2*(VLOOKUP(L26,各项系数!$D$1:$F$143,3,0))*10^-3*10^2*$EG26*各项系数!$J$4</f>
        <v>0.0505106313348185</v>
      </c>
      <c r="FE26" s="339">
        <f>FD26*VLOOKUP(L26,各项系数!$D$1:$F$143,2,0)</f>
        <v>0.515208439615149</v>
      </c>
      <c r="FF26" s="250">
        <f>各项系数!$F$76/4*($MO26^2-ML26^2)*10^-2*(VLOOKUP(L26,各项系数!$D$1:$F$143,3,0))*10^-3*10^2*$EO26*各项系数!$J$4</f>
        <v>0</v>
      </c>
      <c r="FG26" s="339">
        <f>FF26*VLOOKUP(L26,各项系数!$D$1:$F$143,2,0)</f>
        <v>0</v>
      </c>
      <c r="FH26" s="302">
        <f t="shared" si="142"/>
        <v>0.0505106313348185</v>
      </c>
      <c r="FI26" s="123">
        <v>1</v>
      </c>
      <c r="FJ26" s="251">
        <f t="shared" si="189"/>
        <v>0.0505106313348185</v>
      </c>
      <c r="FK26" s="339">
        <f>FJ26*VLOOKUP(L26,各项系数!$D$1:$F$143,2,0)</f>
        <v>0.515208439615149</v>
      </c>
      <c r="FL26" s="302"/>
      <c r="FM26" s="123"/>
      <c r="FN26" s="251"/>
      <c r="FO26" s="339"/>
      <c r="FP26" s="364">
        <f t="shared" si="190"/>
        <v>0.0505106313348185</v>
      </c>
      <c r="FQ26" s="364">
        <f t="shared" si="191"/>
        <v>0.515208439615149</v>
      </c>
      <c r="FR26" s="365">
        <f>各项系数!$F$76/4*($MQ26^2-$MN26^2*$EG26-$MO26^2*$EO26)*10^-2</f>
        <v>0</v>
      </c>
      <c r="FS26" s="366">
        <f t="shared" si="143"/>
        <v>1</v>
      </c>
      <c r="FT26" s="367">
        <f t="shared" si="40"/>
        <v>0</v>
      </c>
      <c r="FU26" s="388">
        <f>$FT26*(VLOOKUP($FT$9,各项系数!$D$1:$F$143,3,0))*10^-3*10^2*各项系数!$J$55</f>
        <v>0</v>
      </c>
      <c r="FV26" s="389">
        <v>1</v>
      </c>
      <c r="FW26" s="390">
        <f t="shared" si="192"/>
        <v>0</v>
      </c>
      <c r="FX26" s="367">
        <f>FW26*(VLOOKUP($FT$9,各项系数!$D$1:$F$143,2,0))</f>
        <v>0</v>
      </c>
      <c r="FY26" s="388">
        <f>IF($BK26&lt;&gt;$FY$9,0,各项系数!$F$76/4*($MS26^2-$MQ26^2)*10^-2*(VLOOKUP($FY$9,各项系数!$D$1:$F$143,3,0))*10^-3*10^2)*各项系数!$J$4</f>
        <v>0</v>
      </c>
      <c r="FZ26" s="389">
        <v>1</v>
      </c>
      <c r="GA26" s="390">
        <f t="shared" si="193"/>
        <v>0</v>
      </c>
      <c r="GB26" s="367">
        <f>GA26*(VLOOKUP($FY$9,各项系数!$D$1:$F$143,2,0))</f>
        <v>0</v>
      </c>
      <c r="GC26" s="388">
        <f>IF($BK26&lt;&gt;$GC$9,0,各项系数!$F$76/4*($MS26^2-$MQ26^2)*10^-2*(VLOOKUP($GC$9,各项系数!$D$1:$F$143,3,0))*10^-3*10^2)*各项系数!$J$4</f>
        <v>0</v>
      </c>
      <c r="GD26" s="389">
        <v>1</v>
      </c>
      <c r="GE26" s="390">
        <f t="shared" si="194"/>
        <v>0</v>
      </c>
      <c r="GF26" s="367">
        <f>GE26*(VLOOKUP($GC$9,各项系数!$D$1:$F$143,2,0))</f>
        <v>0</v>
      </c>
      <c r="GG26" s="388">
        <f>IF($BK26&lt;&gt;$GG$9,0,各项系数!$F$76/4*($MS26^2-$MQ26^2)*10^-2*(VLOOKUP($GG$9,各项系数!$D$1:$F$143,3,0))*10^-3*10^2)*各项系数!$J$4</f>
        <v>0</v>
      </c>
      <c r="GH26" s="389">
        <v>1</v>
      </c>
      <c r="GI26" s="390">
        <f t="shared" si="195"/>
        <v>0</v>
      </c>
      <c r="GJ26" s="367">
        <f>GI26*(VLOOKUP($GG$9,各项系数!$D$1:$F$143,2,0))</f>
        <v>0</v>
      </c>
      <c r="GK26" s="388">
        <f>IF($BK26&lt;&gt;$GK$9,0,各项系数!$F$76/4*($MS26^2-$MQ26^2)*10^-2*(VLOOKUP($GK$9,各项系数!$D$1:$F$143,3,0))*10^-3*10^2)*各项系数!$J$4</f>
        <v>0</v>
      </c>
      <c r="GL26" s="389">
        <v>1</v>
      </c>
      <c r="GM26" s="390">
        <f t="shared" si="196"/>
        <v>0</v>
      </c>
      <c r="GN26" s="367">
        <f>GM26*(VLOOKUP($GK$9,各项系数!$D$1:$F$143,2,0))</f>
        <v>0</v>
      </c>
      <c r="GO26" s="390">
        <f t="shared" si="197"/>
        <v>0</v>
      </c>
      <c r="GP26" s="390">
        <f t="shared" si="198"/>
        <v>0</v>
      </c>
      <c r="GQ26" s="406">
        <f>各项系数!$F$76/4*($MU26^2-$MS26^2)*10^-2*(VLOOKUP($S26,各项系数!$D$1:$F$143,3,0))*10^-3*10^2*各项系数!$J$4</f>
        <v>0.108198838413657</v>
      </c>
      <c r="GR26" s="389">
        <v>1</v>
      </c>
      <c r="GS26" s="390">
        <f t="shared" si="199"/>
        <v>0.108198838413657</v>
      </c>
      <c r="GT26" s="390">
        <f t="shared" si="200"/>
        <v>1</v>
      </c>
      <c r="GU26" s="390">
        <f>ROUND($GS26*(VLOOKUP($S26,各项系数!$D$1:$F$143,2,0))+$E$3*GS26,GT26)</f>
        <v>1.2</v>
      </c>
      <c r="GV26" s="406">
        <f>各项系数!$F$76/4*($MT26^2-$MS26^2)*10^-2*(VLOOKUP($GV$9,各项系数!$D$1:$F$143,3,0))*10^-3*10^2*各项系数!$J$4*PI()/4*R26</f>
        <v>0.020302137422105</v>
      </c>
      <c r="GW26" s="389">
        <v>1</v>
      </c>
      <c r="GX26" s="390">
        <f t="shared" si="201"/>
        <v>0.020302137422105</v>
      </c>
      <c r="GY26" s="390">
        <f>$GX26*(VLOOKUP($GV$9,各项系数!$D$1:$F$143,2,0))</f>
        <v>1.37039427599209</v>
      </c>
      <c r="GZ26" s="406">
        <f>各项系数!$F$76/4*($MV26^2-$MS26^2)*10^-2*(VLOOKUP($GZ$9,各项系数!$D$1:$F$143,3,0))*10^-3*10^2*各项系数!$J$4</f>
        <v>0.108470781356192</v>
      </c>
      <c r="HA26" s="389">
        <v>1</v>
      </c>
      <c r="HB26" s="390">
        <f t="shared" si="144"/>
        <v>0.108470781356192</v>
      </c>
      <c r="HC26" s="390">
        <f>HB26*(VLOOKUP($GZ$9,各项系数!$D$1:$F$143,2,0))</f>
        <v>1.84400328305526</v>
      </c>
      <c r="HD26" s="406">
        <f>各项系数!$F$76/4*($MW26^2-$MT26^2)*10^-2*(VLOOKUP($HD$9,各项系数!$D$1:$F$143,3,0))*10^-3*10^2*各项系数!$J$4</f>
        <v>0.109558589228424</v>
      </c>
      <c r="HE26" s="389">
        <v>1</v>
      </c>
      <c r="HF26" s="390">
        <f t="shared" si="145"/>
        <v>0.109558589228424</v>
      </c>
      <c r="HG26" s="390">
        <f>HF26*(VLOOKUP($HD$9,各项系数!$D$1:$F$143,2,0))</f>
        <v>1.8624960168832</v>
      </c>
      <c r="HH26" s="406">
        <f>各项系数!$F$76/4*($MV26^2-$MS26^2)*10^-2*(VLOOKUP($HH$9,各项系数!$D$1:$F$143,3,0))*10^-3*10^2*各项系数!$J$4</f>
        <v>0.108470781356192</v>
      </c>
      <c r="HI26" s="420">
        <v>1</v>
      </c>
      <c r="HJ26" s="390">
        <f t="shared" si="146"/>
        <v>0.108470781356192</v>
      </c>
      <c r="HK26" s="390">
        <f>HJ26*(VLOOKUP($HH$9,各项系数!$D$1:$F$143,2,0))</f>
        <v>1.84400328305526</v>
      </c>
      <c r="HL26" s="406">
        <f>各项系数!$F$76/4*($MW26^2-$MT26^2)*10^-2*(VLOOKUP($HL$9,各项系数!$D$1:$F$143,3,0))*10^-3*10^2*各项系数!$J$4</f>
        <v>0.109558589228424</v>
      </c>
      <c r="HM26" s="420">
        <v>1</v>
      </c>
      <c r="HN26" s="390">
        <f t="shared" si="147"/>
        <v>0.109558589228424</v>
      </c>
      <c r="HO26" s="390">
        <f>HN26*(VLOOKUP($HL$9,各项系数!$D$1:$F$143,2,0))</f>
        <v>1.8624960168832</v>
      </c>
      <c r="HP26" s="406">
        <f>各项系数!$F$76/4*($MV26^2-$MS26^2)*10^-2*(VLOOKUP(AN26,各项系数!$D$1:$F$143,3,0))*10^-3*10^2*各项系数!$J$4</f>
        <v>0.109966930064553</v>
      </c>
      <c r="HQ26" s="389">
        <v>1</v>
      </c>
      <c r="HR26" s="390">
        <f t="shared" si="202"/>
        <v>0.109966930064553</v>
      </c>
      <c r="HS26" s="390">
        <f>HR26*(VLOOKUP(AN26,各项系数!$D$1:$F$143,2,0))</f>
        <v>1.09966930064553</v>
      </c>
      <c r="HT26" s="406">
        <f>各项系数!$F$76/4*($MW26^2-$MT26^2)*10^-2*(VLOOKUP(AN26,各项系数!$D$1:$F$143,3,0))*10^-3*10^2*各项系数!$J$4</f>
        <v>0.111069742183298</v>
      </c>
      <c r="HU26" s="389">
        <v>1</v>
      </c>
      <c r="HV26" s="390">
        <f t="shared" si="203"/>
        <v>0.111069742183298</v>
      </c>
      <c r="HW26" s="390">
        <f>HV26*(VLOOKUP(AN26,各项系数!$D$1:$F$143,2,0))</f>
        <v>1.11069742183298</v>
      </c>
      <c r="HX26" s="406">
        <f>各项系数!$F$76/4*($MV26^2-$MS26^2)*10^-2*(VLOOKUP($HX$9,各项系数!$D$1:$F$143,3,0))*10^-3*10^2*各项系数!$J$4</f>
        <v>0.109966930064553</v>
      </c>
      <c r="HY26" s="420">
        <v>1</v>
      </c>
      <c r="HZ26" s="390">
        <f t="shared" si="204"/>
        <v>0.109966930064553</v>
      </c>
      <c r="IA26" s="390">
        <f>HZ26*(VLOOKUP($HX$9,各项系数!$D$1:$F$143,2,0))</f>
        <v>1.20963623071008</v>
      </c>
      <c r="IB26" s="406">
        <f>各项系数!$F$76/4*($MW26^2-$MT26^2)*10^-2*(VLOOKUP($IB$9,各项系数!$D$1:$F$143,3,0))*10^-3*10^2*各项系数!$J$4</f>
        <v>0.111069742183298</v>
      </c>
      <c r="IC26" s="420">
        <v>1</v>
      </c>
      <c r="ID26" s="390">
        <f t="shared" si="205"/>
        <v>0.111069742183298</v>
      </c>
      <c r="IE26" s="390">
        <f>ID26*(VLOOKUP($IB$9,各项系数!$D$1:$F$143,2,0))</f>
        <v>1.22176716401628</v>
      </c>
      <c r="IF26" s="429"/>
      <c r="IG26" s="406">
        <f t="shared" si="148"/>
        <v>0.0176596270492265</v>
      </c>
      <c r="IH26" s="389">
        <v>1</v>
      </c>
      <c r="II26" s="390">
        <f t="shared" si="206"/>
        <v>0.0176596270492265</v>
      </c>
      <c r="IJ26" s="390">
        <f>II26*(VLOOKUP($IG$8,各项系数!$D$1:$F$143,2,0))</f>
        <v>0.441490676230663</v>
      </c>
      <c r="IK26" s="406">
        <f>(各项系数!$F$76/4*($MX26^2-$MK26^2)*$EG26)*10^-2*(VLOOKUP($IG$8,各项系数!$D$1:$F$143,3,0))*10^-3*10^2*各项系数!$J$4</f>
        <v>0.0176596270492265</v>
      </c>
      <c r="IL26" s="389">
        <f>IK26*(VLOOKUP($IG$8,各项系数!$D$1:$F$143,2,0))</f>
        <v>0.441490676230663</v>
      </c>
      <c r="IM26" s="390">
        <f>(各项系数!$F$76/4*(($MM26+3*$X26)^2-MM26^2)*$EO26)*10^-2*(VLOOKUP($IG$8,各项系数!$D$1:$F$143,3,0))*10^-3*10^2*各项系数!$J$4</f>
        <v>0</v>
      </c>
      <c r="IN26" s="389">
        <f>IM26*(VLOOKUP($IG$8,各项系数!$D$1:$F$143,2,0))</f>
        <v>0</v>
      </c>
      <c r="IO26" s="406">
        <f>各项系数!$F$76/4*($MZ26^2-$MX26^2)*10^-2*(VLOOKUP(L26,各项系数!$D$1:$F$143,3,0))*10^-3*10^2*$ES26*各项系数!$J$4</f>
        <v>0.0527800236199921</v>
      </c>
      <c r="IP26" s="389">
        <v>1</v>
      </c>
      <c r="IQ26" s="390">
        <f t="shared" si="207"/>
        <v>0.0527800236199921</v>
      </c>
      <c r="IR26" s="367">
        <f>IQ26*(VLOOKUP(L26,各项系数!$D$1:$F$143,2,0))</f>
        <v>0.53835624092392</v>
      </c>
      <c r="IS26" s="406">
        <f>IF($L26&lt;&gt;$IS$9,0,各项系数!$F$76/4*($MZ26^2-$MX26^2)*10^-2*各项系数!$F$12*10^-3*10^2)*$ES26*各项系数!$J$4</f>
        <v>0</v>
      </c>
      <c r="IT26" s="389">
        <v>1</v>
      </c>
      <c r="IU26" s="390">
        <f t="shared" si="208"/>
        <v>0</v>
      </c>
      <c r="IV26" s="367">
        <f>IU26*各项系数!$E$12</f>
        <v>0</v>
      </c>
      <c r="IW26" s="388">
        <f t="shared" si="209"/>
        <v>0.0527800236199921</v>
      </c>
      <c r="IX26" s="388">
        <f t="shared" si="210"/>
        <v>0.53835624092392</v>
      </c>
      <c r="IY26" s="447">
        <f>各项系数!$F$76/4*($NB26^2-$MZ26^2*$EG26-$NA26^2*$EO26)*10^-2</f>
        <v>0</v>
      </c>
      <c r="IZ26" s="366">
        <f t="shared" si="231"/>
        <v>1</v>
      </c>
      <c r="JA26" s="367">
        <f t="shared" si="64"/>
        <v>0</v>
      </c>
      <c r="JB26" s="364">
        <f>IF($DE26&lt;&gt;$JB$9,0,$JA26*各项系数!$F$32*10^-3*10^2)*各项系数!$J$4</f>
        <v>0</v>
      </c>
      <c r="JC26" s="123">
        <v>1</v>
      </c>
      <c r="JD26" s="251">
        <f t="shared" si="211"/>
        <v>0</v>
      </c>
      <c r="JE26" s="339">
        <f>JD26*各项系数!$E$32</f>
        <v>0</v>
      </c>
      <c r="JF26" s="364">
        <f>IF($DE26&lt;&gt;$JF$9,0,$JA26*VLOOKUP($JF$9,各项系数!$D$4:$F$540,2,0)*10^-3*10^2)*各项系数!$J$4</f>
        <v>0</v>
      </c>
      <c r="JG26" s="123">
        <v>1</v>
      </c>
      <c r="JH26" s="251">
        <f t="shared" si="66"/>
        <v>0</v>
      </c>
      <c r="JI26" s="339">
        <f>JH26*VLOOKUP($JF$9,各项系数!$D$4:$F$540,3,0)</f>
        <v>0</v>
      </c>
      <c r="JJ26" s="364">
        <f t="shared" si="212"/>
        <v>0</v>
      </c>
      <c r="JK26" s="251">
        <f t="shared" si="213"/>
        <v>0</v>
      </c>
      <c r="JL26" s="364">
        <f>IF($DF26&lt;&gt;$JL$9,0,各项系数!$F$76/4*($NE26^2-$NC26^2)*10^-2*各项系数!$F$39*10^-3*10^2)*各项系数!$J$4</f>
        <v>0</v>
      </c>
      <c r="JM26" s="123">
        <v>1</v>
      </c>
      <c r="JN26" s="251">
        <f t="shared" si="214"/>
        <v>0</v>
      </c>
      <c r="JO26" s="339">
        <f>JN26*各项系数!$E$39</f>
        <v>0</v>
      </c>
      <c r="JP26" s="364">
        <f>IF($DF26&lt;&gt;$JP$9,0,各项系数!$F$76/4*($NE26^2-$NC26^2)*10^-2*各项系数!$F$36*10^-3*10^2)*各项系数!$J$4</f>
        <v>0</v>
      </c>
      <c r="JQ26" s="123">
        <v>1</v>
      </c>
      <c r="JR26" s="251">
        <f t="shared" si="215"/>
        <v>0</v>
      </c>
      <c r="JS26" s="339">
        <f>JR26*各项系数!$E$36</f>
        <v>0</v>
      </c>
      <c r="JT26" s="364">
        <f>IF($DF26&lt;&gt;$JT$9,0,各项系数!$F$76/4*($NE26^2-$NC26^2)*10^-2*各项系数!$F$40*10^-3*10^2)*各项系数!$J$4</f>
        <v>0</v>
      </c>
      <c r="JU26" s="123">
        <v>1</v>
      </c>
      <c r="JV26" s="251">
        <f t="shared" si="216"/>
        <v>0</v>
      </c>
      <c r="JW26" s="339">
        <f>JV26*各项系数!$E$40</f>
        <v>0</v>
      </c>
      <c r="JX26" s="364">
        <f>IF($DF26&lt;&gt;$JX$9,0,各项系数!$F$76/4*($NE26^2-$NC26^2)*10^-2*各项系数!$F$38*10^-3*10^2)*各项系数!$J$4</f>
        <v>0</v>
      </c>
      <c r="JY26" s="123">
        <v>1</v>
      </c>
      <c r="JZ26" s="251">
        <f t="shared" si="217"/>
        <v>0</v>
      </c>
      <c r="KA26" s="339">
        <f>JZ26*各项系数!$E$38</f>
        <v>0</v>
      </c>
      <c r="KB26" s="364">
        <f>IF($DF26&lt;&gt;$KB$9,0,各项系数!$F$76/4*($NE26^2-$NC26^2)*10^-2*各项系数!$F$41*10^-3*10^2)*各项系数!$J$4</f>
        <v>0</v>
      </c>
      <c r="KC26" s="123">
        <v>1</v>
      </c>
      <c r="KD26" s="251">
        <f t="shared" si="218"/>
        <v>0</v>
      </c>
      <c r="KE26" s="339">
        <f>KD26*各项系数!$E$41</f>
        <v>0</v>
      </c>
      <c r="KF26" s="251">
        <f t="shared" si="219"/>
        <v>0</v>
      </c>
      <c r="KG26" s="251">
        <f t="shared" si="220"/>
        <v>0</v>
      </c>
      <c r="KH26" s="302">
        <f>各项系数!$F$76/4*($NG26^2-$NE26^2)*10^-2*各项系数!$F$44*10^-3*10^2*各项系数!$J$4*0.75*$U26</f>
        <v>0.168898250555631</v>
      </c>
      <c r="KI26" s="123">
        <v>1</v>
      </c>
      <c r="KJ26" s="251">
        <f t="shared" si="221"/>
        <v>0.168898250555631</v>
      </c>
      <c r="KK26" s="251">
        <f>ROUND(KJ26*各项系数!$E$44,GT26)</f>
        <v>1.8</v>
      </c>
      <c r="KL26" s="302">
        <f>各项系数!$F$76/4*($NF26^2-$NE26^2)*10^-2*各项系数!$F$46*10^-3*10^2*各项系数!$J$4*PI()/4*R26</f>
        <v>0.0211402373825215</v>
      </c>
      <c r="KM26" s="123">
        <v>1</v>
      </c>
      <c r="KN26" s="251">
        <f t="shared" si="222"/>
        <v>0.0211402373825215</v>
      </c>
      <c r="KO26" s="251">
        <f>KN26*各项系数!$E$46</f>
        <v>1.4269660233202</v>
      </c>
      <c r="KP26" s="302">
        <f>各项系数!$F$76/4*($NH26^2-$NE26^2)*10^-2*(VLOOKUP($KP$9,各项系数!$D$1:$F$143,3,0))*10^-3*10^2*各项系数!$J$4</f>
        <v>0.112550060877062</v>
      </c>
      <c r="KQ26" s="123">
        <v>1</v>
      </c>
      <c r="KR26" s="251">
        <f t="shared" si="150"/>
        <v>0.112550060877062</v>
      </c>
      <c r="KS26" s="251">
        <f>KR26*(VLOOKUP($KP$9,各项系数!$D$1:$F$143,2,0))</f>
        <v>1.91335103491005</v>
      </c>
      <c r="KT26" s="302">
        <f>各项系数!$F$76/4*($NI26^2-$NF26^2)*10^-2*(VLOOKUP($KT$9,各项系数!$D$1:$F$143,3,0))*10^-3*10^2*各项系数!$J$4</f>
        <v>0.113637868749294</v>
      </c>
      <c r="KU26" s="123">
        <v>1</v>
      </c>
      <c r="KV26" s="251">
        <f t="shared" si="151"/>
        <v>0.113637868749294</v>
      </c>
      <c r="KW26" s="251">
        <f>KV26*(VLOOKUP($KT$9,各项系数!$D$1:$F$143,2,0))</f>
        <v>1.93184376873799</v>
      </c>
      <c r="KX26" s="251">
        <f>各项系数!$F$76/4*($NH26^2-$NE26^2)*10^-2*(VLOOKUP($KX$9,各项系数!$D$1:$F$143,3,0))*10^-3*10^2*各项系数!$J$4</f>
        <v>0.112550060877062</v>
      </c>
      <c r="KY26" s="479">
        <v>1</v>
      </c>
      <c r="KZ26" s="251">
        <f t="shared" si="152"/>
        <v>0.112550060877062</v>
      </c>
      <c r="LA26" s="251">
        <f>KZ26*(VLOOKUP($KX$9,各项系数!$D$1:$F$143,2,0))</f>
        <v>1.91335103491005</v>
      </c>
      <c r="LB26" s="251">
        <f>各项系数!$F$76/4*($NI26^2-$NF26^2)*10^-2*(VLOOKUP($LB$9,各项系数!$D$1:$F$143,3,0))*10^-3*10^2*各项系数!$J$4</f>
        <v>0.113637868749294</v>
      </c>
      <c r="LC26" s="479">
        <v>1</v>
      </c>
      <c r="LD26" s="251">
        <f t="shared" si="153"/>
        <v>0.113637868749294</v>
      </c>
      <c r="LE26" s="251">
        <f>LD26*(VLOOKUP($LB$9,各项系数!$D$1:$F$143,2,0))</f>
        <v>1.93184376873799</v>
      </c>
      <c r="LF26" s="302">
        <f>各项系数!$F$76/4*($NH26^2-$NE26^2)*10^-2*(VLOOKUP(AN26,各项系数!$D$1:$F$143,3,0))*10^-3*10^2*各项系数!$J$4</f>
        <v>0.114102475509849</v>
      </c>
      <c r="LG26" s="123">
        <v>1</v>
      </c>
      <c r="LH26" s="251">
        <f t="shared" si="223"/>
        <v>0.114102475509849</v>
      </c>
      <c r="LI26" s="251">
        <f>LH26*(VLOOKUP(AN26,各项系数!$D$1:$F$143,2,0))</f>
        <v>1.14102475509849</v>
      </c>
      <c r="LJ26" s="302">
        <f>各项系数!$F$76/4*($NI26^2-$NF26^2)*10^-2*(VLOOKUP(AN26,各项系数!$D$1:$F$143,3,0))*10^-3*10^2*各项系数!$J$4</f>
        <v>0.115205287628594</v>
      </c>
      <c r="LK26" s="123">
        <v>1</v>
      </c>
      <c r="LL26" s="251">
        <f t="shared" si="224"/>
        <v>0.115205287628594</v>
      </c>
      <c r="LM26" s="251">
        <f>LL26*(VLOOKUP(AN26,各项系数!$D$1:$F$143,2,0))</f>
        <v>1.15205287628594</v>
      </c>
      <c r="LN26" s="251">
        <f>各项系数!$F$76/4*($NH26^2-$NE26^2)*10^-2*(VLOOKUP($LN$9,各项系数!$D$1:$F$143,3,0))*10^-3*10^2*各项系数!$J$4</f>
        <v>0.114102475509849</v>
      </c>
      <c r="LO26" s="479">
        <v>1</v>
      </c>
      <c r="LP26" s="251">
        <f t="shared" si="225"/>
        <v>0.114102475509849</v>
      </c>
      <c r="LQ26" s="251">
        <f>LP26*(VLOOKUP($LN$9,各项系数!$D$1:$F$143,2,0))</f>
        <v>1.25512723060834</v>
      </c>
      <c r="LR26" s="251">
        <f>各项系数!$F$76/4*($NI26^2-$NF26^2)*10^-2*(VLOOKUP($LR$9,各项系数!$D$1:$F$143,3,0))*10^-3*10^2*各项系数!$J$4</f>
        <v>0.115205287628594</v>
      </c>
      <c r="LS26" s="479">
        <v>1</v>
      </c>
      <c r="LT26" s="251">
        <f t="shared" si="226"/>
        <v>0.115205287628594</v>
      </c>
      <c r="LU26" s="251">
        <f>LT26*(VLOOKUP($LR$9,各项系数!$D$1:$F$143,2,0))</f>
        <v>1.26725816391454</v>
      </c>
      <c r="LV26" s="499">
        <f t="shared" si="154"/>
        <v>117.94354788</v>
      </c>
      <c r="LW26" s="499">
        <f t="shared" si="155"/>
        <v>89.63709639</v>
      </c>
      <c r="LX26" s="499">
        <f t="shared" si="156"/>
        <v>10.6831407272855</v>
      </c>
      <c r="LY26" s="515">
        <f t="shared" si="157"/>
        <v>28.30645149</v>
      </c>
      <c r="LZ26" s="516">
        <f t="shared" si="86"/>
        <v>1</v>
      </c>
      <c r="MA26" s="517">
        <f t="shared" si="87"/>
        <v>117.94354788</v>
      </c>
      <c r="MB26" s="517">
        <f t="shared" si="158"/>
        <v>12.25440285</v>
      </c>
      <c r="MC26" s="499">
        <f t="shared" si="159"/>
        <v>0</v>
      </c>
      <c r="MD26" s="499">
        <f t="shared" si="160"/>
        <v>0</v>
      </c>
      <c r="ME26" s="499">
        <f t="shared" si="161"/>
        <v>0</v>
      </c>
      <c r="MF26" s="499">
        <f t="shared" si="162"/>
        <v>0</v>
      </c>
      <c r="MG26" s="516">
        <f t="shared" si="163"/>
        <v>1</v>
      </c>
      <c r="MH26" s="517">
        <f t="shared" si="88"/>
        <v>0</v>
      </c>
      <c r="MI26" s="517">
        <f t="shared" si="164"/>
        <v>0</v>
      </c>
      <c r="MJ26" s="251">
        <f t="shared" si="89"/>
        <v>12.25440285</v>
      </c>
      <c r="MK26" s="251">
        <f t="shared" si="165"/>
        <v>12.25440285</v>
      </c>
      <c r="ML26" s="251">
        <f t="shared" si="227"/>
        <v>0</v>
      </c>
      <c r="MM26" s="251">
        <f t="shared" si="91"/>
        <v>0</v>
      </c>
      <c r="MN26" s="251">
        <f t="shared" si="92"/>
        <v>14.45440285</v>
      </c>
      <c r="MO26" s="251">
        <f t="shared" si="166"/>
        <v>0</v>
      </c>
      <c r="MP26" s="251">
        <f t="shared" si="167"/>
        <v>14.45440285</v>
      </c>
      <c r="MQ26" s="251">
        <f t="shared" si="228"/>
        <v>14.45440285</v>
      </c>
      <c r="MR26" s="314">
        <f t="shared" si="168"/>
        <v>14.45440285</v>
      </c>
      <c r="MS26" s="530">
        <f t="shared" si="94"/>
        <v>14.45440285</v>
      </c>
      <c r="MT26" s="530">
        <f t="shared" si="95"/>
        <v>14.61440285</v>
      </c>
      <c r="MU26" s="530">
        <f t="shared" si="232"/>
        <v>15.05440285</v>
      </c>
      <c r="MV26" s="530">
        <f t="shared" si="97"/>
        <v>17.45440285</v>
      </c>
      <c r="MW26" s="530">
        <f t="shared" si="98"/>
        <v>17.61440285</v>
      </c>
      <c r="MX26" s="326">
        <f t="shared" si="233"/>
        <v>12.85440285</v>
      </c>
      <c r="MY26" s="326">
        <f t="shared" si="100"/>
        <v>0</v>
      </c>
      <c r="MZ26" s="251">
        <f t="shared" si="101"/>
        <v>15.05440285</v>
      </c>
      <c r="NA26" s="251">
        <f t="shared" si="102"/>
        <v>0</v>
      </c>
      <c r="NB26" s="251">
        <f t="shared" si="169"/>
        <v>15.05440285</v>
      </c>
      <c r="NC26" s="326">
        <f t="shared" si="229"/>
        <v>15.05440285</v>
      </c>
      <c r="ND26" s="314">
        <f t="shared" si="234"/>
        <v>15.05440285</v>
      </c>
      <c r="NE26" s="537">
        <f t="shared" si="235"/>
        <v>15.05440285</v>
      </c>
      <c r="NF26" s="530">
        <f t="shared" si="106"/>
        <v>15.21440285</v>
      </c>
      <c r="NG26" s="538">
        <f t="shared" si="236"/>
        <v>15.65440285</v>
      </c>
      <c r="NH26" s="326">
        <f t="shared" si="108"/>
        <v>18.05440285</v>
      </c>
      <c r="NI26" s="530">
        <f t="shared" si="109"/>
        <v>18.21440285</v>
      </c>
      <c r="NK26" s="539">
        <f t="shared" si="110"/>
        <v>0.963674539108093</v>
      </c>
      <c r="NL26" s="539">
        <f t="shared" si="111"/>
        <v>54.2242797801819</v>
      </c>
      <c r="NM26" s="539">
        <f t="shared" si="112"/>
        <v>0.963674539108093</v>
      </c>
      <c r="NN26" s="539">
        <f t="shared" si="113"/>
        <v>54.3342467102465</v>
      </c>
      <c r="NO26" s="539">
        <f t="shared" si="114"/>
        <v>0.987739103887789</v>
      </c>
      <c r="NP26" s="539">
        <f t="shared" si="115"/>
        <v>54.7302737121743</v>
      </c>
      <c r="NQ26" s="539">
        <f t="shared" si="116"/>
        <v>0.987739103887789</v>
      </c>
      <c r="NR26" s="539">
        <f t="shared" si="117"/>
        <v>54.8443761876842</v>
      </c>
      <c r="NS26" s="539">
        <f t="shared" si="118"/>
        <v>0.983976676530198</v>
      </c>
      <c r="NT26" s="539">
        <f t="shared" si="119"/>
        <v>0.983976676530198</v>
      </c>
      <c r="NU26" s="539">
        <f t="shared" si="120"/>
        <v>1.00887934127031</v>
      </c>
      <c r="NV26" s="539">
        <f t="shared" si="121"/>
        <v>1.00887934127031</v>
      </c>
      <c r="NW26">
        <f t="shared" si="122"/>
        <v>1.07187337752175</v>
      </c>
      <c r="NX26">
        <f>各项系数!$M$9*NK26</f>
        <v>0.289102361732428</v>
      </c>
      <c r="NY26">
        <f t="shared" si="123"/>
        <v>0.983976676530198</v>
      </c>
      <c r="OB26" s="82" t="str">
        <f t="shared" si="124"/>
        <v>1*95</v>
      </c>
      <c r="OC26" s="546">
        <f t="shared" si="125"/>
        <v>245.088056587712</v>
      </c>
      <c r="OD26" s="546">
        <f>SQRT(4*EY26/PI()/EH26/各项系数!$J$4/各项系数!$F$5*10000000)</f>
        <v>246.675984853019</v>
      </c>
      <c r="OE26" s="547">
        <f t="shared" si="126"/>
        <v>89.6370960889596</v>
      </c>
      <c r="OF26" s="547">
        <f t="shared" si="127"/>
        <v>90.8023783381159</v>
      </c>
      <c r="OG26" s="82">
        <v>90.5</v>
      </c>
      <c r="OH26" s="548">
        <f t="shared" si="186"/>
        <v>0.302378338115929</v>
      </c>
    </row>
    <row r="27" customHeight="1" spans="1:398">
      <c r="A27" s="66">
        <v>120</v>
      </c>
      <c r="B27" s="67">
        <v>0</v>
      </c>
      <c r="C27" s="68">
        <v>1.2</v>
      </c>
      <c r="D27" s="69" t="s">
        <v>217</v>
      </c>
      <c r="E27" s="77">
        <f t="shared" si="175"/>
        <v>20.29526822</v>
      </c>
      <c r="F27" s="75">
        <v>244.921136962963</v>
      </c>
      <c r="G27" s="74"/>
      <c r="H27" s="23"/>
      <c r="I27" s="78"/>
      <c r="J27" s="23"/>
      <c r="K27" s="23"/>
      <c r="L27" s="118" t="s">
        <v>467</v>
      </c>
      <c r="M27" s="124">
        <f t="shared" si="2"/>
        <v>1.2</v>
      </c>
      <c r="N27" s="124">
        <f t="shared" si="3"/>
        <v>0</v>
      </c>
      <c r="O27" s="123"/>
      <c r="P27" s="120">
        <v>0.1</v>
      </c>
      <c r="Q27" s="162">
        <f t="shared" si="237"/>
        <v>0.1</v>
      </c>
      <c r="R27" s="169">
        <v>0.8</v>
      </c>
      <c r="S27" s="171" t="str">
        <f>各项系数!$D$44</f>
        <v>磁性钢带</v>
      </c>
      <c r="T27" s="123">
        <v>0.2</v>
      </c>
      <c r="U27" s="123">
        <v>2</v>
      </c>
      <c r="V27" s="169"/>
      <c r="W27" s="170">
        <v>1.6</v>
      </c>
      <c r="X27" s="164">
        <f t="shared" si="238"/>
        <v>0.2</v>
      </c>
      <c r="Y27" s="219"/>
      <c r="Z27" s="220"/>
      <c r="AA27" s="217">
        <v>1.013</v>
      </c>
      <c r="AB27" s="186">
        <f>PI()*EJ27*EJ27/4*EH27*(1-H27)*AA27*各项系数!$F$5*各项系数!$J$4*10^-7</f>
        <v>1.01318311567178</v>
      </c>
      <c r="AC27" s="186">
        <f t="shared" si="176"/>
        <v>244.921136962963</v>
      </c>
      <c r="AD27" s="186">
        <f t="shared" si="5"/>
        <v>114.541562217361</v>
      </c>
      <c r="AE27" s="186">
        <f>POWER(4*EU27/PI()/EG27/10^-7/EH27/(1-H27)/各项系数!$F$5/各项系数!$J$4,0.5)</f>
        <v>246.50798375415</v>
      </c>
      <c r="AF27" s="218">
        <v>1</v>
      </c>
      <c r="AG27" s="85">
        <f>IF(EM27=0,0,PI()*ER27*ER27/4*EP27*(1-K27)*(1+AF27)*各项系数!$F$5*各项系数!$J$4*10^-7)</f>
        <v>0</v>
      </c>
      <c r="AH27" s="85">
        <f t="shared" si="177"/>
        <v>0</v>
      </c>
      <c r="AI27" s="85">
        <f t="shared" si="128"/>
        <v>0</v>
      </c>
      <c r="AJ27" s="85">
        <f>IF(OR(EP27="",EP27=0),0,POWER(4*EW27/PI()/EO27/10^-7/EP27/(1-K27)/各项系数!$F$5/各项系数!$J$4,0.5))</f>
        <v>0</v>
      </c>
      <c r="AK27" s="85" t="str">
        <f t="shared" si="8"/>
        <v>√</v>
      </c>
      <c r="AL27" s="85">
        <f t="shared" si="178"/>
        <v>70.4840800001159</v>
      </c>
      <c r="AM27" s="250">
        <f t="shared" si="179"/>
        <v>120</v>
      </c>
      <c r="AN27" s="118" t="s">
        <v>486</v>
      </c>
      <c r="AO27" s="259">
        <f>AP27+各项系数!$M$9*$NK27</f>
        <v>69.1020392157999</v>
      </c>
      <c r="AP27" s="259">
        <f>AQ27*(1+$BI27+(VLOOKUP($AM27,$A$12:$B$323,2,0))+各项系数!$J$6+各项系数!$M$5)*(1+$E$2)</f>
        <v>68.7371735812572</v>
      </c>
      <c r="AQ27" s="260">
        <f>AR27+各项系数!$L$9*$NK27</f>
        <v>70.1399730420992</v>
      </c>
      <c r="AR27" s="260">
        <f>AS27*(1+$BJ27+各项系数!$J$5+各项系数!$L$5)</f>
        <v>69.7751074075566</v>
      </c>
      <c r="AS27" s="260">
        <f t="shared" si="129"/>
        <v>68.4069680466241</v>
      </c>
      <c r="AT27" s="259">
        <f>AU27+各项系数!$M$9*$NM27</f>
        <v>70.0320199777875</v>
      </c>
      <c r="AU27" s="259">
        <f>AV27*(1+$BI27+(VLOOKUP($AM27,$A$12:$B$323,2,0))+各项系数!$J$6+各项系数!$M$5)*(1+$E$2)</f>
        <v>69.6671543432449</v>
      </c>
      <c r="AV27" s="260">
        <f>AW27+各项系数!$L$9*$NM27</f>
        <v>71.0889330033111</v>
      </c>
      <c r="AW27" s="260">
        <f>AX27*(1+$BJ27+各项系数!$J$5+各项系数!$L$5)</f>
        <v>70.7240673687685</v>
      </c>
      <c r="AX27" s="260">
        <f t="shared" si="130"/>
        <v>69.337320949773</v>
      </c>
      <c r="AY27" s="259">
        <f>AZ27+各项系数!$M$9*$NS27</f>
        <v>70.7467922855354</v>
      </c>
      <c r="AZ27" s="259">
        <f>BA27*(1+$BI27+(VLOOKUP($AM27,$A$12:$B$214,2,0))+各项系数!$J$6+各项系数!$M$5)*(1+$E$2)</f>
        <v>70.3747293551851</v>
      </c>
      <c r="BA27" s="260">
        <f>BB27+各项系数!$L$9*$NS27</f>
        <v>71.8109483216174</v>
      </c>
      <c r="BB27" s="260">
        <f>BC27*(1+$BJ27+各项系数!$J$5+各项系数!$L$5)</f>
        <v>71.4388853912671</v>
      </c>
      <c r="BC27" s="262">
        <f t="shared" si="131"/>
        <v>70.0381229326148</v>
      </c>
      <c r="BD27" s="259">
        <f>BE27+各项系数!$M$9*$NS27</f>
        <v>71.6847321161048</v>
      </c>
      <c r="BE27" s="259">
        <f>BF27*(1+$BI27+(VLOOKUP($AM27,$A$12:$B$214,2,0))+各项系数!$J$6+各项系数!$M$5)*(1+$E$2)</f>
        <v>71.3126691857545</v>
      </c>
      <c r="BF27" s="260">
        <f>BG27+各项系数!$L$9*$NS27</f>
        <v>72.7680297813822</v>
      </c>
      <c r="BG27" s="260">
        <f>BH27*(1+$BJ27+各项系数!$J$5+各项系数!$L$5)</f>
        <v>72.3959668510319</v>
      </c>
      <c r="BH27" s="262">
        <f t="shared" si="132"/>
        <v>70.9764380892469</v>
      </c>
      <c r="BI27" s="67"/>
      <c r="BJ27" s="272"/>
      <c r="BK27" s="123"/>
      <c r="BL27" s="259">
        <f>BM27+各项系数!$M$9*$NM27</f>
        <v>69.9111686467819</v>
      </c>
      <c r="BM27" s="259">
        <f>BN27*(1+$CF27+(VLOOKUP($AM27,$A$12:$B$323,2,0))+各项系数!$J$6+各项系数!$M$5)*(1+$E$2)</f>
        <v>69.5463030122392</v>
      </c>
      <c r="BN27" s="260">
        <f>BO27+各项系数!$L$9*$NM27</f>
        <v>70.9656153186115</v>
      </c>
      <c r="BO27" s="260">
        <f>BP27*(1+$CG27+各项系数!$J$5+各项系数!$L$5)</f>
        <v>70.6007496840688</v>
      </c>
      <c r="BP27" s="260">
        <f t="shared" si="133"/>
        <v>68.5444171689989</v>
      </c>
      <c r="BQ27" s="259">
        <f>BR27+各项系数!$M$9*$NM27</f>
        <v>70.7115257230953</v>
      </c>
      <c r="BR27" s="259">
        <f>BS27*(1+$CF27+(VLOOKUP($AM27,$A$12:$B$323,2,0))+各项系数!$J$6+各项系数!$M$5)*(1+$E$2)</f>
        <v>70.3466600885527</v>
      </c>
      <c r="BS27" s="260">
        <f>BT27+各项系数!$L$9*$NM27</f>
        <v>71.7823062128088</v>
      </c>
      <c r="BT27" s="260">
        <f>BU27*(1+$CG27+各项系数!$J$5+各项系数!$L$5)</f>
        <v>71.4174405782662</v>
      </c>
      <c r="BU27" s="260">
        <f t="shared" si="134"/>
        <v>69.337320949773</v>
      </c>
      <c r="BV27" s="259">
        <f>BW27+各项系数!$M$9*$NT27</f>
        <v>71.2165708882048</v>
      </c>
      <c r="BW27" s="259">
        <f>BX27*(1+$CF27+(VLOOKUP($AM27,$A$12:$B$214,2,0))+各项系数!$J$6+各项系数!$M$5)*(1+$E$2)</f>
        <v>70.8445079578545</v>
      </c>
      <c r="BX27" s="260">
        <f>BY27+各项系数!$L$9*$NT$12</f>
        <v>72.2903142427087</v>
      </c>
      <c r="BY27" s="260">
        <f>BZ27*(1+$CG27+各项系数!$J$5+各项系数!$L$5)</f>
        <v>72.2820508395537</v>
      </c>
      <c r="BZ27" s="262">
        <f t="shared" si="11"/>
        <v>70.1767483879162</v>
      </c>
      <c r="CA27" s="259">
        <f>CB27+各项系数!$M$9*$NT27</f>
        <v>72.023777672728</v>
      </c>
      <c r="CB27" s="259">
        <f>CC27*(1+$CF27+(VLOOKUP($AM27,$A$12:$B$214,2,0))+各项系数!$J$6+各项系数!$M$5)*(1+$E$2)</f>
        <v>71.6517147423777</v>
      </c>
      <c r="CC27" s="260">
        <f>CD27+各项系数!$L$9*$NT$12</f>
        <v>73.1139946350793</v>
      </c>
      <c r="CD27" s="260">
        <f>CE27*(1+$CG27+各项系数!$J$5+各项系数!$L$5)</f>
        <v>73.1057312319243</v>
      </c>
      <c r="CE27" s="262">
        <f t="shared" si="135"/>
        <v>70.9764380892469</v>
      </c>
      <c r="CF27" s="277">
        <f t="shared" si="136"/>
        <v>0</v>
      </c>
      <c r="CG27" s="277">
        <f t="shared" si="12"/>
        <v>0.01</v>
      </c>
      <c r="CH27" s="123"/>
      <c r="CI27" s="259">
        <f>CJ27+各项系数!$M$9*$NO27</f>
        <v>70.0799775770486</v>
      </c>
      <c r="CJ27" s="259">
        <f>CK27*(1+$DC27+(VLOOKUP($AM27,$A$12:$B$323,2,0))+各项系数!$J$6+各项系数!$M$5)*(1+$E$2)+各项系数!$M$9*$NK27</f>
        <v>69.706717938048</v>
      </c>
      <c r="CK27" s="260">
        <f>CL27+各项系数!$L$9*$NO27</f>
        <v>70.756992146434</v>
      </c>
      <c r="CL27" s="260">
        <f>CM27*(1+$DD27+各项系数!$J$5+各项系数!$L$5)</f>
        <v>70.3837325074334</v>
      </c>
      <c r="CM27" s="260">
        <f t="shared" si="13"/>
        <v>69.0036593210131</v>
      </c>
      <c r="CN27" s="259">
        <f>CO27+各项系数!$M$9*$NO27</f>
        <v>70.9658634992803</v>
      </c>
      <c r="CO27" s="259">
        <f>CP27*(1+$DC27+(VLOOKUP($AM27,$A$12:$B$323,2,0))+各项系数!$J$6+各项系数!$M$5)*(1+$E$2)+各项系数!$M$9*$NK27</f>
        <v>70.5926038602797</v>
      </c>
      <c r="CP27" s="260">
        <f>CQ27+各项系数!$L$9*$NO27</f>
        <v>71.6609573732011</v>
      </c>
      <c r="CQ27" s="260">
        <f>CR27*(1+$DD27+各项系数!$J$5+各项系数!$L$5)</f>
        <v>71.2876977342004</v>
      </c>
      <c r="CR27" s="260">
        <f t="shared" si="14"/>
        <v>69.8898997394122</v>
      </c>
      <c r="CS27" s="259">
        <f>CT27+各项系数!$M$9*$NU27</f>
        <v>71.4169119622471</v>
      </c>
      <c r="CT27" s="259">
        <f t="shared" si="15"/>
        <v>71.0362035974507</v>
      </c>
      <c r="CU27" s="260">
        <f>CV27+各项系数!$L$9*$NU27</f>
        <v>72.485922038215</v>
      </c>
      <c r="CV27" s="260">
        <f>CW27*(1+$DD27+各项系数!$J$5+各项系数!$L$5)</f>
        <v>72.1052136734186</v>
      </c>
      <c r="CW27" s="262">
        <f t="shared" si="16"/>
        <v>70.6913859543319</v>
      </c>
      <c r="CX27" s="259">
        <f>CY27+各项系数!$M$9*$NU27</f>
        <v>72.3846982999983</v>
      </c>
      <c r="CY27" s="259">
        <f t="shared" si="17"/>
        <v>72.0039899352019</v>
      </c>
      <c r="CZ27" s="260">
        <f>DA27+各项系数!$L$9*$NU27</f>
        <v>73.4734591175529</v>
      </c>
      <c r="DA27" s="260">
        <f>DB27*(1+$DD27+各项系数!$J$5+各项系数!$L$5)</f>
        <v>73.0927507527565</v>
      </c>
      <c r="DB27" s="262">
        <f t="shared" si="18"/>
        <v>71.659559561526</v>
      </c>
      <c r="DC27" s="277">
        <f t="shared" si="137"/>
        <v>0</v>
      </c>
      <c r="DD27" s="277">
        <f t="shared" si="19"/>
        <v>0</v>
      </c>
      <c r="DE27" s="69"/>
      <c r="DF27" s="69"/>
      <c r="DG27" s="259">
        <f>DH27+各项系数!$M$9*$NQ27</f>
        <v>70.8994072967303</v>
      </c>
      <c r="DH27" s="259">
        <f>DI27*(1+$EA27+(VLOOKUP($AM27,$A$12:$B$323,2,0))+各项系数!$J$6+各项系数!$M$5)*(1+$E$2)+各项系数!$M$9*$NK27</f>
        <v>70.5261476577296</v>
      </c>
      <c r="DI27" s="260">
        <f>DJ27+各项系数!$L$9*$NQ27</f>
        <v>71.5931449216194</v>
      </c>
      <c r="DJ27" s="260">
        <f>DK27*(1+$EB27+各项系数!$J$5+各项系数!$L$5)</f>
        <v>71.2198852826187</v>
      </c>
      <c r="DK27" s="260">
        <f t="shared" si="20"/>
        <v>69.1455196918629</v>
      </c>
      <c r="DL27" s="259">
        <f>DM27+各项系数!$M$9*$NQ27</f>
        <v>71.7254507788303</v>
      </c>
      <c r="DM27" s="259">
        <f>DN27*(1+$EA27+(VLOOKUP($AM27,$A$12:$B$323,2,0))+各项系数!$J$6+各项系数!$M$5)*(1+$E$2)+各项系数!$M$9*$NK27</f>
        <v>71.3521911398297</v>
      </c>
      <c r="DN27" s="260">
        <f>DO27+各项系数!$L$9*$NQ27</f>
        <v>72.4360464339663</v>
      </c>
      <c r="DO27" s="260">
        <f>DP27*(1+$EB27+各项系数!$J$5+各项系数!$L$5)</f>
        <v>72.0627867949657</v>
      </c>
      <c r="DP27" s="260">
        <f t="shared" si="21"/>
        <v>69.963870674724</v>
      </c>
      <c r="DQ27" s="259">
        <f>DR27+各项系数!$M$9*$NV27</f>
        <v>72.2540687933915</v>
      </c>
      <c r="DR27" s="259">
        <f t="shared" si="22"/>
        <v>71.8733604285951</v>
      </c>
      <c r="DS27" s="260">
        <f>DT27+各项系数!$L$9*$NV27</f>
        <v>73.340163702648</v>
      </c>
      <c r="DT27" s="260">
        <f>DU27*(1+$EB27+各项系数!$J$5+各项系数!$L$5)</f>
        <v>72.9594553378516</v>
      </c>
      <c r="DU27" s="262">
        <f t="shared" si="23"/>
        <v>70.8344226581084</v>
      </c>
      <c r="DV27" s="259">
        <f>DW27+各项系数!$M$9*$NV27</f>
        <v>72.3862012824474</v>
      </c>
      <c r="DW27" s="259">
        <f t="shared" si="24"/>
        <v>72.005492917651</v>
      </c>
      <c r="DX27" s="260">
        <f>DY27+各项系数!$L$9*$NV27</f>
        <v>73.4749927731133</v>
      </c>
      <c r="DY27" s="260">
        <f>DZ27*(1+$EB27+各项系数!$J$5+各项系数!$L$5)</f>
        <v>73.0942844083169</v>
      </c>
      <c r="DZ27" s="262">
        <f t="shared" si="25"/>
        <v>70.9653246682688</v>
      </c>
      <c r="EA27" s="277">
        <f t="shared" si="230"/>
        <v>0</v>
      </c>
      <c r="EB27" s="277">
        <f t="shared" si="27"/>
        <v>0.01</v>
      </c>
      <c r="EC27" s="302">
        <f t="shared" si="138"/>
        <v>1</v>
      </c>
      <c r="ED27" s="302" t="str">
        <f t="shared" si="180"/>
        <v>1*120</v>
      </c>
      <c r="EE27" s="251">
        <f t="shared" si="187"/>
        <v>120</v>
      </c>
      <c r="EF27" s="251" t="str">
        <f>LOOKUP(EH27,{1,7,10,14,19,24,30,37,48,61},{1,"1+6","2+8","4+10","1+6+12","2+8+14","4+10+16","1+6+12+18","3+9+15+21","1+6+12+18+24"})</f>
        <v>2+8+14</v>
      </c>
      <c r="EG27" s="250">
        <f t="shared" si="29"/>
        <v>1</v>
      </c>
      <c r="EH27" s="260">
        <f>VLOOKUP(EE27,各项系数!$B$87:$C$110,2,0)</f>
        <v>24</v>
      </c>
      <c r="EI27" s="250">
        <f>IF(EH27=0,0,VLOOKUP(EH27,各项系数!$D$142:$E$195,2,0))*1</f>
        <v>6</v>
      </c>
      <c r="EJ27" s="305">
        <f t="shared" si="141"/>
        <v>244.921136962963</v>
      </c>
      <c r="EK27" s="251">
        <f t="shared" si="181"/>
        <v>0</v>
      </c>
      <c r="EL27" s="251">
        <f t="shared" si="31"/>
        <v>0</v>
      </c>
      <c r="EM27" s="251">
        <f t="shared" si="182"/>
        <v>0</v>
      </c>
      <c r="EN27" s="251">
        <f>IF(EP27=0,0,LOOKUP(EP27,{1,7,10,14,19,24,30,37,48,61},{1,"1+6","2+8","4+10","1+6+12","2+8+14","4+10+16","1+6+12+18","3+9+15+21","1+6+12+18+24"}))</f>
        <v>0</v>
      </c>
      <c r="EO27" s="251">
        <f t="shared" si="183"/>
        <v>0</v>
      </c>
      <c r="EP27" s="251">
        <f>IF(EM27=0,0,IF(EM27&lt;10,1,IF(AND(EM27&gt;=10,EM27&lt;=35),7,LOOKUP(EM27,{50,70,95,120,150,185,240,300},{10,14,19,24,30,37,48,61})*1)))</f>
        <v>0</v>
      </c>
      <c r="EQ27" s="251">
        <f>IF(EP27=0,0,VLOOKUP(EP27,各项系数!$D$142:$E$195,2,0))*1</f>
        <v>0</v>
      </c>
      <c r="ER27" s="251">
        <f t="shared" si="184"/>
        <v>0</v>
      </c>
      <c r="ES27" s="302">
        <f t="shared" si="185"/>
        <v>1</v>
      </c>
      <c r="ET27" s="251">
        <f>VLOOKUP(ES27,各项系数!$D$142:$E$195,2,0)*1</f>
        <v>1</v>
      </c>
      <c r="EU27" s="311">
        <f>((各项系数!$F$76/4*$EJ27^2*$EG27*$EH27*1*10^-7)*(1-$H27)*AA27)*(VLOOKUP($EY$9,各项系数!$D$4:$F$143,3,0))*各项系数!$J$4</f>
        <v>1.01318311567178</v>
      </c>
      <c r="EV27" s="312">
        <f>EU27*(VLOOKUP($EY$9,各项系数!$D$4:$F$143,2,0))</f>
        <v>66.3634940765016</v>
      </c>
      <c r="EW27" s="324">
        <f>(IF($EO27=0,0,(各项系数!$F$76/4*$ER27^2*$EO27*$EP27*1*10^-7))*(1-$K27)*$AF27)*(VLOOKUP($EY$9,各项系数!$D$4:$F$143,3,0))*各项系数!$J$4</f>
        <v>0</v>
      </c>
      <c r="EX27" s="325">
        <f>EW27*(VLOOKUP($EY$9,各项系数!$D$4:$F$143,2,0))</f>
        <v>0</v>
      </c>
      <c r="EY27" s="251">
        <f>((各项系数!$F$76/4*$EJ27^2*$EG27*$EH27*1*10^-7)*(1-$H27)*AA27+IF($EO27=0,0,(各项系数!$F$76/4*$ER27^2*$EO27*$EP27*1*10^-7))*(1-$K27)*$AF27)*(VLOOKUP($EY$9,各项系数!$D$4:$F$143,3,0))*各项系数!$J$4</f>
        <v>1.01318311567178</v>
      </c>
      <c r="EZ27" s="123">
        <v>1</v>
      </c>
      <c r="FA27" s="251">
        <f t="shared" si="188"/>
        <v>1.01318311567178</v>
      </c>
      <c r="FB27" s="326">
        <f>FA27*(VLOOKUP($EY$9,各项系数!$D$4:$F$143,2,0))</f>
        <v>66.3634940765016</v>
      </c>
      <c r="FC27" s="327"/>
      <c r="FD27" s="302">
        <f>各项系数!$F$76/4*($MN27^2-MK27^2)*10^-2*(VLOOKUP(L27,各项系数!$D$1:$F$143,3,0))*10^-3*10^2*$EG27*各项系数!$J$4</f>
        <v>0.0655865437622437</v>
      </c>
      <c r="FE27" s="339">
        <f>FD27*VLOOKUP(L27,各项系数!$D$1:$F$143,2,0)</f>
        <v>0.668982746374886</v>
      </c>
      <c r="FF27" s="250">
        <f>各项系数!$F$76/4*($MO27^2-ML27^2)*10^-2*(VLOOKUP(L27,各项系数!$D$1:$F$143,3,0))*10^-3*10^2*$EO27*各项系数!$J$4</f>
        <v>0</v>
      </c>
      <c r="FG27" s="339">
        <f>FF27*VLOOKUP(L27,各项系数!$D$1:$F$143,2,0)</f>
        <v>0</v>
      </c>
      <c r="FH27" s="302">
        <f t="shared" si="142"/>
        <v>0.0655865437622437</v>
      </c>
      <c r="FI27" s="123">
        <v>1</v>
      </c>
      <c r="FJ27" s="251">
        <f t="shared" si="189"/>
        <v>0.0655865437622437</v>
      </c>
      <c r="FK27" s="339">
        <f>FJ27*VLOOKUP(L27,各项系数!$D$1:$F$143,2,0)</f>
        <v>0.668982746374886</v>
      </c>
      <c r="FL27" s="302"/>
      <c r="FM27" s="123"/>
      <c r="FN27" s="251"/>
      <c r="FO27" s="339"/>
      <c r="FP27" s="364">
        <f t="shared" si="190"/>
        <v>0.0655865437622437</v>
      </c>
      <c r="FQ27" s="364">
        <f t="shared" si="191"/>
        <v>0.668982746374886</v>
      </c>
      <c r="FR27" s="365">
        <f>各项系数!$F$76/4*($MQ27^2-$MN27^2*$EG27-$MO27^2*$EO27)*10^-2</f>
        <v>0</v>
      </c>
      <c r="FS27" s="366">
        <f t="shared" si="143"/>
        <v>1</v>
      </c>
      <c r="FT27" s="367">
        <f t="shared" si="40"/>
        <v>0</v>
      </c>
      <c r="FU27" s="388">
        <f>$FT27*(VLOOKUP($FT$9,各项系数!$D$1:$F$143,3,0))*10^-3*10^2*各项系数!$J$55</f>
        <v>0</v>
      </c>
      <c r="FV27" s="389">
        <v>1</v>
      </c>
      <c r="FW27" s="390">
        <f t="shared" si="192"/>
        <v>0</v>
      </c>
      <c r="FX27" s="367">
        <f>FW27*(VLOOKUP($FT$9,各项系数!$D$1:$F$143,2,0))</f>
        <v>0</v>
      </c>
      <c r="FY27" s="388">
        <f>IF($BK27&lt;&gt;$FY$9,0,各项系数!$F$76/4*($MS27^2-$MQ27^2)*10^-2*(VLOOKUP($FY$9,各项系数!$D$1:$F$143,3,0))*10^-3*10^2)*各项系数!$J$4</f>
        <v>0</v>
      </c>
      <c r="FZ27" s="389">
        <v>1</v>
      </c>
      <c r="GA27" s="390">
        <f t="shared" si="193"/>
        <v>0</v>
      </c>
      <c r="GB27" s="367">
        <f>GA27*(VLOOKUP($FY$9,各项系数!$D$1:$F$143,2,0))</f>
        <v>0</v>
      </c>
      <c r="GC27" s="388">
        <f>IF($BK27&lt;&gt;$GC$9,0,各项系数!$F$76/4*($MS27^2-$MQ27^2)*10^-2*(VLOOKUP($GC$9,各项系数!$D$1:$F$143,3,0))*10^-3*10^2)*各项系数!$J$4</f>
        <v>0</v>
      </c>
      <c r="GD27" s="389">
        <v>1</v>
      </c>
      <c r="GE27" s="390">
        <f t="shared" si="194"/>
        <v>0</v>
      </c>
      <c r="GF27" s="367">
        <f>GE27*(VLOOKUP($GC$9,各项系数!$D$1:$F$143,2,0))</f>
        <v>0</v>
      </c>
      <c r="GG27" s="388">
        <f>IF($BK27&lt;&gt;$GG$9,0,各项系数!$F$76/4*($MS27^2-$MQ27^2)*10^-2*(VLOOKUP($GG$9,各项系数!$D$1:$F$143,3,0))*10^-3*10^2)*各项系数!$J$4</f>
        <v>0</v>
      </c>
      <c r="GH27" s="389">
        <v>1</v>
      </c>
      <c r="GI27" s="390">
        <f t="shared" si="195"/>
        <v>0</v>
      </c>
      <c r="GJ27" s="367">
        <f>GI27*(VLOOKUP($GG$9,各项系数!$D$1:$F$143,2,0))</f>
        <v>0</v>
      </c>
      <c r="GK27" s="388">
        <f>IF($BK27&lt;&gt;$GK$9,0,各项系数!$F$76/4*($MS27^2-$MQ27^2)*10^-2*(VLOOKUP($GK$9,各项系数!$D$1:$F$143,3,0))*10^-3*10^2)*各项系数!$J$4</f>
        <v>0</v>
      </c>
      <c r="GL27" s="389">
        <v>1</v>
      </c>
      <c r="GM27" s="390">
        <f t="shared" si="196"/>
        <v>0</v>
      </c>
      <c r="GN27" s="367">
        <f>GM27*(VLOOKUP($GK$9,各项系数!$D$1:$F$143,2,0))</f>
        <v>0</v>
      </c>
      <c r="GO27" s="390">
        <f t="shared" si="197"/>
        <v>0</v>
      </c>
      <c r="GP27" s="390">
        <f t="shared" si="198"/>
        <v>0</v>
      </c>
      <c r="GQ27" s="406">
        <f>各项系数!$F$76/4*($MU27^2-$MS27^2)*10^-2*(VLOOKUP($S27,各项系数!$D$1:$F$143,3,0))*10^-3*10^2*各项系数!$J$4</f>
        <v>0.127565163729958</v>
      </c>
      <c r="GR27" s="389">
        <v>1</v>
      </c>
      <c r="GS27" s="390">
        <f t="shared" si="199"/>
        <v>0.127565163729958</v>
      </c>
      <c r="GT27" s="390">
        <f t="shared" si="200"/>
        <v>0</v>
      </c>
      <c r="GU27" s="390">
        <f>ROUND($GS27*(VLOOKUP($S27,各项系数!$D$1:$F$143,2,0))+$E$3*GS27,GT27)</f>
        <v>1</v>
      </c>
      <c r="GV27" s="406">
        <f>各项系数!$F$76/4*($MT27^2-$MS27^2)*10^-2*(VLOOKUP($GV$9,各项系数!$D$1:$F$143,3,0))*10^-3*10^2*各项系数!$J$4*PI()/4*R27</f>
        <v>0.0239909860255422</v>
      </c>
      <c r="GW27" s="389">
        <v>1</v>
      </c>
      <c r="GX27" s="390">
        <f t="shared" si="201"/>
        <v>0.0239909860255422</v>
      </c>
      <c r="GY27" s="390">
        <f>$GX27*(VLOOKUP($GV$9,各项系数!$D$1:$F$143,2,0))</f>
        <v>1.6193915567241</v>
      </c>
      <c r="GZ27" s="406">
        <f>各项系数!$F$76/4*($MV27^2-$MS27^2)*10^-2*(VLOOKUP($GZ$9,各项系数!$D$1:$F$143,3,0))*10^-3*10^2*各项系数!$J$4</f>
        <v>0.135579066288032</v>
      </c>
      <c r="HA27" s="389">
        <v>1</v>
      </c>
      <c r="HB27" s="390">
        <f t="shared" si="144"/>
        <v>0.135579066288032</v>
      </c>
      <c r="HC27" s="390">
        <f>HB27*(VLOOKUP($GZ$9,各项系数!$D$1:$F$143,2,0))</f>
        <v>2.30484412689654</v>
      </c>
      <c r="HD27" s="406">
        <f>各项系数!$F$76/4*($MW27^2-$MT27^2)*10^-2*(VLOOKUP($HD$9,各项系数!$D$1:$F$143,3,0))*10^-3*10^2*各项系数!$J$4</f>
        <v>0.136739394685079</v>
      </c>
      <c r="HE27" s="389">
        <v>1</v>
      </c>
      <c r="HF27" s="390">
        <f t="shared" si="145"/>
        <v>0.136739394685079</v>
      </c>
      <c r="HG27" s="390">
        <f>HF27*(VLOOKUP($HD$9,各项系数!$D$1:$F$143,2,0))</f>
        <v>2.32456970964634</v>
      </c>
      <c r="HH27" s="406">
        <f>各项系数!$F$76/4*($MV27^2-$MS27^2)*10^-2*(VLOOKUP($HH$9,各项系数!$D$1:$F$143,3,0))*10^-3*10^2*各项系数!$J$4</f>
        <v>0.135579066288032</v>
      </c>
      <c r="HI27" s="420">
        <v>1</v>
      </c>
      <c r="HJ27" s="390">
        <f t="shared" si="146"/>
        <v>0.135579066288032</v>
      </c>
      <c r="HK27" s="390">
        <f>HJ27*(VLOOKUP($HH$9,各项系数!$D$1:$F$143,2,0))</f>
        <v>2.30484412689654</v>
      </c>
      <c r="HL27" s="406">
        <f>各项系数!$F$76/4*($MW27^2-$MT27^2)*10^-2*(VLOOKUP($HL$9,各项系数!$D$1:$F$143,3,0))*10^-3*10^2*各项系数!$J$4</f>
        <v>0.136739394685079</v>
      </c>
      <c r="HM27" s="420">
        <v>1</v>
      </c>
      <c r="HN27" s="390">
        <f t="shared" si="147"/>
        <v>0.136739394685079</v>
      </c>
      <c r="HO27" s="390">
        <f>HN27*(VLOOKUP($HL$9,各项系数!$D$1:$F$143,2,0))</f>
        <v>2.32456970964634</v>
      </c>
      <c r="HP27" s="406">
        <f>各项系数!$F$76/4*($MV27^2-$MS27^2)*10^-2*(VLOOKUP(AN27,各项系数!$D$1:$F$143,3,0))*10^-3*10^2*各项系数!$J$4</f>
        <v>0.137449122374763</v>
      </c>
      <c r="HQ27" s="389">
        <v>1</v>
      </c>
      <c r="HR27" s="390">
        <f t="shared" si="202"/>
        <v>0.137449122374763</v>
      </c>
      <c r="HS27" s="390">
        <f>HR27*(VLOOKUP(AN27,各项系数!$D$1:$F$143,2,0))</f>
        <v>1.37449122374763</v>
      </c>
      <c r="HT27" s="406">
        <f>各项系数!$F$76/4*($MW27^2-$MT27^2)*10^-2*(VLOOKUP(AN27,各项系数!$D$1:$F$143,3,0))*10^-3*10^2*各项系数!$J$4</f>
        <v>0.138625455301425</v>
      </c>
      <c r="HU27" s="389">
        <v>1</v>
      </c>
      <c r="HV27" s="390">
        <f t="shared" si="203"/>
        <v>0.138625455301425</v>
      </c>
      <c r="HW27" s="390">
        <f>HV27*(VLOOKUP(AN27,各项系数!$D$1:$F$143,2,0))</f>
        <v>1.38625455301425</v>
      </c>
      <c r="HX27" s="406">
        <f>各项系数!$F$76/4*($MV27^2-$MS27^2)*10^-2*(VLOOKUP($HX$9,各项系数!$D$1:$F$143,3,0))*10^-3*10^2*各项系数!$J$4</f>
        <v>0.137449122374763</v>
      </c>
      <c r="HY27" s="420">
        <v>1</v>
      </c>
      <c r="HZ27" s="390">
        <f t="shared" si="204"/>
        <v>0.137449122374763</v>
      </c>
      <c r="IA27" s="390">
        <f>HZ27*(VLOOKUP($HX$9,各项系数!$D$1:$F$143,2,0))</f>
        <v>1.51194034612239</v>
      </c>
      <c r="IB27" s="406">
        <f>各项系数!$F$76/4*($MW27^2-$MT27^2)*10^-2*(VLOOKUP($IB$9,各项系数!$D$1:$F$143,3,0))*10^-3*10^2*各项系数!$J$4</f>
        <v>0.138625455301425</v>
      </c>
      <c r="IC27" s="420">
        <v>1</v>
      </c>
      <c r="ID27" s="390">
        <f t="shared" si="205"/>
        <v>0.138625455301425</v>
      </c>
      <c r="IE27" s="390">
        <f>ID27*(VLOOKUP($IB$9,各项系数!$D$1:$F$143,2,0))</f>
        <v>1.52488000831568</v>
      </c>
      <c r="IF27" s="429"/>
      <c r="IG27" s="406">
        <f t="shared" si="148"/>
        <v>0.0210930657102754</v>
      </c>
      <c r="IH27" s="389">
        <v>1</v>
      </c>
      <c r="II27" s="390">
        <f t="shared" si="206"/>
        <v>0.0210930657102754</v>
      </c>
      <c r="IJ27" s="390">
        <f>II27*(VLOOKUP($IG$8,各项系数!$D$1:$F$143,2,0))</f>
        <v>0.527326642756886</v>
      </c>
      <c r="IK27" s="406">
        <f>(各项系数!$F$76/4*($MX27^2-$MK27^2)*$EG27)*10^-2*(VLOOKUP($IG$8,各项系数!$D$1:$F$143,3,0))*10^-3*10^2*各项系数!$J$4</f>
        <v>0.0210930657102754</v>
      </c>
      <c r="IL27" s="389">
        <f>IK27*(VLOOKUP($IG$8,各项系数!$D$1:$F$143,2,0))</f>
        <v>0.527326642756886</v>
      </c>
      <c r="IM27" s="390">
        <f>(各项系数!$F$76/4*(($MM27+3*$X27)^2-MM27^2)*$EO27)*10^-2*(VLOOKUP($IG$8,各项系数!$D$1:$F$143,3,0))*10^-3*10^2*各项系数!$J$4</f>
        <v>0</v>
      </c>
      <c r="IN27" s="389">
        <f>IM27*(VLOOKUP($IG$8,各项系数!$D$1:$F$143,2,0))</f>
        <v>0</v>
      </c>
      <c r="IO27" s="406">
        <f>各项系数!$F$76/4*($MZ27^2-$MX27^2)*10^-2*(VLOOKUP(L27,各项系数!$D$1:$F$143,3,0))*10^-3*10^2*$ES27*各项系数!$J$4</f>
        <v>0.0680622444369785</v>
      </c>
      <c r="IP27" s="389">
        <v>1</v>
      </c>
      <c r="IQ27" s="390">
        <f t="shared" si="207"/>
        <v>0.0680622444369785</v>
      </c>
      <c r="IR27" s="367">
        <f>IQ27*(VLOOKUP(L27,各项系数!$D$1:$F$143,2,0))</f>
        <v>0.694234893257181</v>
      </c>
      <c r="IS27" s="406">
        <f>IF($L27&lt;&gt;$IS$9,0,各项系数!$F$76/4*($MZ27^2-$MX27^2)*10^-2*各项系数!$F$12*10^-3*10^2)*$ES27*各项系数!$J$4</f>
        <v>0</v>
      </c>
      <c r="IT27" s="389">
        <v>1</v>
      </c>
      <c r="IU27" s="390">
        <f t="shared" si="208"/>
        <v>0</v>
      </c>
      <c r="IV27" s="367">
        <f>IU27*各项系数!$E$12</f>
        <v>0</v>
      </c>
      <c r="IW27" s="388">
        <f t="shared" si="209"/>
        <v>0.0680622444369785</v>
      </c>
      <c r="IX27" s="388">
        <f t="shared" si="210"/>
        <v>0.694234893257181</v>
      </c>
      <c r="IY27" s="447">
        <f>各项系数!$F$76/4*($NB27^2-$MZ27^2*$EG27-$NA27^2*$EO27)*10^-2</f>
        <v>0</v>
      </c>
      <c r="IZ27" s="366">
        <f t="shared" si="231"/>
        <v>1</v>
      </c>
      <c r="JA27" s="367">
        <f t="shared" si="64"/>
        <v>0</v>
      </c>
      <c r="JB27" s="364">
        <f>IF($DE27&lt;&gt;$JB$9,0,$JA27*各项系数!$F$32*10^-3*10^2)*各项系数!$J$4</f>
        <v>0</v>
      </c>
      <c r="JC27" s="123">
        <v>1</v>
      </c>
      <c r="JD27" s="251">
        <f t="shared" si="211"/>
        <v>0</v>
      </c>
      <c r="JE27" s="339">
        <f>JD27*各项系数!$E$32</f>
        <v>0</v>
      </c>
      <c r="JF27" s="364">
        <f>IF($DE27&lt;&gt;$JF$9,0,$JA27*VLOOKUP($JF$9,各项系数!$D$4:$F$540,2,0)*10^-3*10^2)*各项系数!$J$4</f>
        <v>0</v>
      </c>
      <c r="JG27" s="123">
        <v>1</v>
      </c>
      <c r="JH27" s="251">
        <f t="shared" si="66"/>
        <v>0</v>
      </c>
      <c r="JI27" s="339">
        <f>JH27*VLOOKUP($JF$9,各项系数!$D$4:$F$540,3,0)</f>
        <v>0</v>
      </c>
      <c r="JJ27" s="364">
        <f t="shared" si="212"/>
        <v>0</v>
      </c>
      <c r="JK27" s="251">
        <f t="shared" si="213"/>
        <v>0</v>
      </c>
      <c r="JL27" s="364">
        <f>IF($DF27&lt;&gt;$JL$9,0,各项系数!$F$76/4*($NE27^2-$NC27^2)*10^-2*各项系数!$F$39*10^-3*10^2)*各项系数!$J$4</f>
        <v>0</v>
      </c>
      <c r="JM27" s="123">
        <v>1</v>
      </c>
      <c r="JN27" s="251">
        <f t="shared" si="214"/>
        <v>0</v>
      </c>
      <c r="JO27" s="339">
        <f>JN27*各项系数!$E$39</f>
        <v>0</v>
      </c>
      <c r="JP27" s="364">
        <f>IF($DF27&lt;&gt;$JP$9,0,各项系数!$F$76/4*($NE27^2-$NC27^2)*10^-2*各项系数!$F$36*10^-3*10^2)*各项系数!$J$4</f>
        <v>0</v>
      </c>
      <c r="JQ27" s="123">
        <v>1</v>
      </c>
      <c r="JR27" s="251">
        <f t="shared" si="215"/>
        <v>0</v>
      </c>
      <c r="JS27" s="339">
        <f>JR27*各项系数!$E$36</f>
        <v>0</v>
      </c>
      <c r="JT27" s="364">
        <f>IF($DF27&lt;&gt;$JT$9,0,各项系数!$F$76/4*($NE27^2-$NC27^2)*10^-2*各项系数!$F$40*10^-3*10^2)*各项系数!$J$4</f>
        <v>0</v>
      </c>
      <c r="JU27" s="123">
        <v>1</v>
      </c>
      <c r="JV27" s="251">
        <f t="shared" si="216"/>
        <v>0</v>
      </c>
      <c r="JW27" s="339">
        <f>JV27*各项系数!$E$40</f>
        <v>0</v>
      </c>
      <c r="JX27" s="364">
        <f>IF($DF27&lt;&gt;$JX$9,0,各项系数!$F$76/4*($NE27^2-$NC27^2)*10^-2*各项系数!$F$38*10^-3*10^2)*各项系数!$J$4</f>
        <v>0</v>
      </c>
      <c r="JY27" s="123">
        <v>1</v>
      </c>
      <c r="JZ27" s="251">
        <f t="shared" si="217"/>
        <v>0</v>
      </c>
      <c r="KA27" s="339">
        <f>JZ27*各项系数!$E$38</f>
        <v>0</v>
      </c>
      <c r="KB27" s="364">
        <f>IF($DF27&lt;&gt;$KB$9,0,各项系数!$F$76/4*($NE27^2-$NC27^2)*10^-2*各项系数!$F$41*10^-3*10^2)*各项系数!$J$4</f>
        <v>0</v>
      </c>
      <c r="KC27" s="123">
        <v>1</v>
      </c>
      <c r="KD27" s="251">
        <f t="shared" si="218"/>
        <v>0</v>
      </c>
      <c r="KE27" s="339">
        <f>KD27*各项系数!$E$41</f>
        <v>0</v>
      </c>
      <c r="KF27" s="251">
        <f t="shared" si="219"/>
        <v>0</v>
      </c>
      <c r="KG27" s="251">
        <f t="shared" si="220"/>
        <v>0</v>
      </c>
      <c r="KH27" s="302">
        <f>各项系数!$F$76/4*($NG27^2-$NE27^2)*10^-2*各项系数!$F$44*10^-3*10^2*各项系数!$J$4*0.75*$U27</f>
        <v>0.197947738530082</v>
      </c>
      <c r="KI27" s="123">
        <v>1</v>
      </c>
      <c r="KJ27" s="251">
        <f t="shared" si="221"/>
        <v>0.197947738530082</v>
      </c>
      <c r="KK27" s="251">
        <f>ROUND(KJ27*各项系数!$E$44,GT27)</f>
        <v>2</v>
      </c>
      <c r="KL27" s="302">
        <f>各项系数!$F$76/4*($NF27^2-$NE27^2)*10^-2*各项系数!$F$46*10^-3*10^2*各项系数!$J$4*PI()/4*R27</f>
        <v>0.0248290859859588</v>
      </c>
      <c r="KM27" s="123">
        <v>1</v>
      </c>
      <c r="KN27" s="251">
        <f t="shared" si="222"/>
        <v>0.0248290859859588</v>
      </c>
      <c r="KO27" s="251">
        <f>KN27*各项系数!$E$46</f>
        <v>1.67596330405222</v>
      </c>
      <c r="KP27" s="302">
        <f>各项系数!$F$76/4*($NH27^2-$NE27^2)*10^-2*(VLOOKUP($KP$9,各项系数!$D$1:$F$143,3,0))*10^-3*10^2*各项系数!$J$4</f>
        <v>0.13993029777696</v>
      </c>
      <c r="KQ27" s="123">
        <v>1</v>
      </c>
      <c r="KR27" s="251">
        <f t="shared" si="150"/>
        <v>0.13993029777696</v>
      </c>
      <c r="KS27" s="251">
        <f>KR27*(VLOOKUP($KP$9,各项系数!$D$1:$F$143,2,0))</f>
        <v>2.37881506220831</v>
      </c>
      <c r="KT27" s="302">
        <f>各项系数!$F$76/4*($NI27^2-$NF27^2)*10^-2*(VLOOKUP($KT$9,各项系数!$D$1:$F$143,3,0))*10^-3*10^2*各项系数!$J$4</f>
        <v>0.141090626174007</v>
      </c>
      <c r="KU27" s="123">
        <v>1</v>
      </c>
      <c r="KV27" s="251">
        <f t="shared" si="151"/>
        <v>0.141090626174007</v>
      </c>
      <c r="KW27" s="251">
        <f>KV27*(VLOOKUP($KT$9,各项系数!$D$1:$F$143,2,0))</f>
        <v>2.39854064495812</v>
      </c>
      <c r="KX27" s="251">
        <f>各项系数!$F$76/4*($NH27^2-$NE27^2)*10^-2*(VLOOKUP($KX$9,各项系数!$D$1:$F$143,3,0))*10^-3*10^2*各项系数!$J$4</f>
        <v>0.13993029777696</v>
      </c>
      <c r="KY27" s="479">
        <v>1</v>
      </c>
      <c r="KZ27" s="251">
        <f t="shared" si="152"/>
        <v>0.13993029777696</v>
      </c>
      <c r="LA27" s="251">
        <f>KZ27*(VLOOKUP($KX$9,各项系数!$D$1:$F$143,2,0))</f>
        <v>2.37881506220831</v>
      </c>
      <c r="LB27" s="251">
        <f>各项系数!$F$76/4*($NI27^2-$NF27^2)*10^-2*(VLOOKUP($LB$9,各项系数!$D$1:$F$143,3,0))*10^-3*10^2*各项系数!$J$4</f>
        <v>0.141090626174007</v>
      </c>
      <c r="LC27" s="479">
        <v>1</v>
      </c>
      <c r="LD27" s="251">
        <f t="shared" si="153"/>
        <v>0.141090626174007</v>
      </c>
      <c r="LE27" s="251">
        <f>LD27*(VLOOKUP($LB$9,各项系数!$D$1:$F$143,2,0))</f>
        <v>2.39854064495812</v>
      </c>
      <c r="LF27" s="302">
        <f>各项系数!$F$76/4*($NH27^2-$NE27^2)*10^-2*(VLOOKUP(AN27,各项系数!$D$1:$F$143,3,0))*10^-3*10^2*各项系数!$J$4</f>
        <v>0.141860370849745</v>
      </c>
      <c r="LG27" s="123">
        <v>1</v>
      </c>
      <c r="LH27" s="251">
        <f t="shared" si="223"/>
        <v>0.141860370849745</v>
      </c>
      <c r="LI27" s="251">
        <f>LH27*(VLOOKUP(AN27,各项系数!$D$1:$F$143,2,0))</f>
        <v>1.41860370849745</v>
      </c>
      <c r="LJ27" s="302">
        <f>各项系数!$F$76/4*($NI27^2-$NF27^2)*10^-2*(VLOOKUP(AN27,各项系数!$D$1:$F$143,3,0))*10^-3*10^2*各项系数!$J$4</f>
        <v>0.143036703776407</v>
      </c>
      <c r="LK27" s="123">
        <v>1</v>
      </c>
      <c r="LL27" s="251">
        <f t="shared" si="224"/>
        <v>0.143036703776407</v>
      </c>
      <c r="LM27" s="251">
        <f>LL27*(VLOOKUP(AN27,各项系数!$D$1:$F$143,2,0))</f>
        <v>1.43036703776407</v>
      </c>
      <c r="LN27" s="251">
        <f>各项系数!$F$76/4*($NH27^2-$NE27^2)*10^-2*(VLOOKUP($LN$9,各项系数!$D$1:$F$143,3,0))*10^-3*10^2*各项系数!$J$4</f>
        <v>0.141860370849745</v>
      </c>
      <c r="LO27" s="479">
        <v>1</v>
      </c>
      <c r="LP27" s="251">
        <f t="shared" si="225"/>
        <v>0.141860370849745</v>
      </c>
      <c r="LQ27" s="251">
        <f>LP27*(VLOOKUP($LN$9,各项系数!$D$1:$F$143,2,0))</f>
        <v>1.5604640793472</v>
      </c>
      <c r="LR27" s="251">
        <f>各项系数!$F$76/4*($NI27^2-$NF27^2)*10^-2*(VLOOKUP($LR$9,各项系数!$D$1:$F$143,3,0))*10^-3*10^2*各项系数!$J$4</f>
        <v>0.143036703776407</v>
      </c>
      <c r="LS27" s="479">
        <v>1</v>
      </c>
      <c r="LT27" s="251">
        <f t="shared" si="226"/>
        <v>0.143036703776407</v>
      </c>
      <c r="LU27" s="251">
        <f>LT27*(VLOOKUP($LR$9,各项系数!$D$1:$F$143,2,0))</f>
        <v>1.57340374154048</v>
      </c>
      <c r="LV27" s="499">
        <f t="shared" si="154"/>
        <v>169.60744657</v>
      </c>
      <c r="LW27" s="499">
        <f t="shared" si="155"/>
        <v>113.07163105</v>
      </c>
      <c r="LX27" s="499">
        <f t="shared" si="156"/>
        <v>11.9986362575321</v>
      </c>
      <c r="LY27" s="515">
        <f t="shared" si="157"/>
        <v>56.53581552</v>
      </c>
      <c r="LZ27" s="516">
        <f t="shared" si="86"/>
        <v>1</v>
      </c>
      <c r="MA27" s="517">
        <f t="shared" si="87"/>
        <v>169.60744657</v>
      </c>
      <c r="MB27" s="517">
        <f t="shared" si="158"/>
        <v>14.69526822</v>
      </c>
      <c r="MC27" s="499">
        <f t="shared" si="159"/>
        <v>0</v>
      </c>
      <c r="MD27" s="499">
        <f t="shared" si="160"/>
        <v>0</v>
      </c>
      <c r="ME27" s="499">
        <f t="shared" si="161"/>
        <v>0</v>
      </c>
      <c r="MF27" s="499">
        <f t="shared" si="162"/>
        <v>0</v>
      </c>
      <c r="MG27" s="516">
        <f t="shared" si="163"/>
        <v>1</v>
      </c>
      <c r="MH27" s="517">
        <f t="shared" si="88"/>
        <v>0</v>
      </c>
      <c r="MI27" s="517">
        <f t="shared" si="164"/>
        <v>0</v>
      </c>
      <c r="MJ27" s="251">
        <f t="shared" si="89"/>
        <v>14.69526822</v>
      </c>
      <c r="MK27" s="251">
        <f t="shared" si="165"/>
        <v>14.69526822</v>
      </c>
      <c r="ML27" s="251">
        <f t="shared" si="227"/>
        <v>0</v>
      </c>
      <c r="MM27" s="251">
        <f t="shared" si="91"/>
        <v>0</v>
      </c>
      <c r="MN27" s="251">
        <f t="shared" si="92"/>
        <v>17.09526822</v>
      </c>
      <c r="MO27" s="251">
        <f t="shared" si="166"/>
        <v>0</v>
      </c>
      <c r="MP27" s="251">
        <f t="shared" si="167"/>
        <v>17.09526822</v>
      </c>
      <c r="MQ27" s="251">
        <f t="shared" si="228"/>
        <v>17.09526822</v>
      </c>
      <c r="MR27" s="314">
        <f t="shared" si="168"/>
        <v>17.09526822</v>
      </c>
      <c r="MS27" s="530">
        <f t="shared" si="94"/>
        <v>17.09526822</v>
      </c>
      <c r="MT27" s="530">
        <f t="shared" si="95"/>
        <v>17.25526822</v>
      </c>
      <c r="MU27" s="530">
        <f t="shared" si="232"/>
        <v>17.69526822</v>
      </c>
      <c r="MV27" s="530">
        <f t="shared" si="97"/>
        <v>20.29526822</v>
      </c>
      <c r="MW27" s="530">
        <f t="shared" si="98"/>
        <v>20.45526822</v>
      </c>
      <c r="MX27" s="326">
        <f t="shared" si="233"/>
        <v>15.29526822</v>
      </c>
      <c r="MY27" s="326">
        <f t="shared" si="100"/>
        <v>0</v>
      </c>
      <c r="MZ27" s="251">
        <f t="shared" si="101"/>
        <v>17.69526822</v>
      </c>
      <c r="NA27" s="251">
        <f t="shared" si="102"/>
        <v>0</v>
      </c>
      <c r="NB27" s="251">
        <f t="shared" si="169"/>
        <v>17.69526822</v>
      </c>
      <c r="NC27" s="326">
        <f t="shared" si="229"/>
        <v>17.69526822</v>
      </c>
      <c r="ND27" s="314">
        <f t="shared" si="234"/>
        <v>17.69526822</v>
      </c>
      <c r="NE27" s="537">
        <f t="shared" si="235"/>
        <v>17.69526822</v>
      </c>
      <c r="NF27" s="530">
        <f t="shared" si="106"/>
        <v>17.85526822</v>
      </c>
      <c r="NG27" s="538">
        <f t="shared" si="236"/>
        <v>18.29526822</v>
      </c>
      <c r="NH27" s="326">
        <f t="shared" si="108"/>
        <v>20.89526822</v>
      </c>
      <c r="NI27" s="530">
        <f t="shared" si="109"/>
        <v>21.05526822</v>
      </c>
      <c r="NK27" s="539">
        <f t="shared" si="110"/>
        <v>1.21621878180879</v>
      </c>
      <c r="NL27" s="539">
        <f t="shared" si="111"/>
        <v>68.4069680466241</v>
      </c>
      <c r="NM27" s="539">
        <f t="shared" si="112"/>
        <v>1.21621878180879</v>
      </c>
      <c r="NN27" s="539">
        <f t="shared" si="113"/>
        <v>68.5444171689989</v>
      </c>
      <c r="NO27" s="539">
        <f t="shared" si="114"/>
        <v>1.24419879666878</v>
      </c>
      <c r="NP27" s="539">
        <f t="shared" si="115"/>
        <v>69.0036593210131</v>
      </c>
      <c r="NQ27" s="539">
        <f t="shared" si="116"/>
        <v>1.24419879666878</v>
      </c>
      <c r="NR27" s="539">
        <f t="shared" si="117"/>
        <v>69.1455196918629</v>
      </c>
      <c r="NS27" s="539">
        <f t="shared" si="118"/>
        <v>1.24020976783433</v>
      </c>
      <c r="NT27" s="539">
        <f t="shared" si="119"/>
        <v>1.24020976783433</v>
      </c>
      <c r="NU27" s="539">
        <f t="shared" si="120"/>
        <v>1.26902788265474</v>
      </c>
      <c r="NV27" s="539">
        <f t="shared" si="121"/>
        <v>1.26902788265474</v>
      </c>
      <c r="NW27">
        <f t="shared" si="122"/>
        <v>1.34378394553874</v>
      </c>
      <c r="NX27">
        <f>各项系数!$M$9*NK27</f>
        <v>0.364865634542636</v>
      </c>
      <c r="NY27">
        <f t="shared" si="123"/>
        <v>1.24020976783433</v>
      </c>
      <c r="OB27" s="82" t="str">
        <f t="shared" si="124"/>
        <v>1*120</v>
      </c>
      <c r="OC27" s="546">
        <f t="shared" si="125"/>
        <v>244.921136962963</v>
      </c>
      <c r="OD27" s="546">
        <f>SQRT(4*EY27/PI()/EH27/各项系数!$J$4/各项系数!$F$5*10000000)</f>
        <v>246.50798375415</v>
      </c>
      <c r="OE27" s="547">
        <f t="shared" si="126"/>
        <v>113.071631014177</v>
      </c>
      <c r="OF27" s="547">
        <f t="shared" si="127"/>
        <v>114.541562217361</v>
      </c>
      <c r="OG27" s="82">
        <v>114.2</v>
      </c>
      <c r="OH27" s="548">
        <f t="shared" si="186"/>
        <v>0.3415622173613</v>
      </c>
    </row>
    <row r="28" customHeight="1" spans="1:398">
      <c r="A28" s="66">
        <v>150</v>
      </c>
      <c r="B28" s="67">
        <v>0</v>
      </c>
      <c r="C28" s="68">
        <v>1.4</v>
      </c>
      <c r="D28" s="69" t="s">
        <v>61</v>
      </c>
      <c r="E28" s="77">
        <f t="shared" si="175"/>
        <v>21.59782927</v>
      </c>
      <c r="F28" s="75">
        <v>243.335870228497</v>
      </c>
      <c r="G28" s="74"/>
      <c r="H28" s="23"/>
      <c r="I28" s="78"/>
      <c r="J28" s="23"/>
      <c r="K28" s="23"/>
      <c r="L28" s="118" t="s">
        <v>467</v>
      </c>
      <c r="M28" s="124">
        <f t="shared" si="2"/>
        <v>1.4</v>
      </c>
      <c r="N28" s="124">
        <f t="shared" si="3"/>
        <v>0</v>
      </c>
      <c r="O28" s="123"/>
      <c r="P28" s="120">
        <v>0.1</v>
      </c>
      <c r="Q28" s="162">
        <f t="shared" si="237"/>
        <v>0.1</v>
      </c>
      <c r="R28" s="169">
        <v>0.8</v>
      </c>
      <c r="S28" s="171" t="str">
        <f>各项系数!$D$44</f>
        <v>磁性钢带</v>
      </c>
      <c r="T28" s="123">
        <v>0.2</v>
      </c>
      <c r="U28" s="123">
        <v>2</v>
      </c>
      <c r="V28" s="169"/>
      <c r="W28" s="170">
        <v>1.6</v>
      </c>
      <c r="X28" s="164">
        <f t="shared" si="238"/>
        <v>0.2</v>
      </c>
      <c r="Y28" s="219"/>
      <c r="Z28" s="220"/>
      <c r="AA28" s="217">
        <v>1.015</v>
      </c>
      <c r="AB28" s="186">
        <f>PI()*EJ28*EJ28/4*EH28*(1-H28)*AA28*各项系数!$F$5*各项系数!$J$4*10^-7</f>
        <v>1.25260541945236</v>
      </c>
      <c r="AC28" s="186">
        <f t="shared" si="176"/>
        <v>243.335870228497</v>
      </c>
      <c r="AD28" s="186">
        <f t="shared" si="5"/>
        <v>141.608539825376</v>
      </c>
      <c r="AE28" s="186">
        <f>POWER(4*EU28/PI()/EG28/10^-7/EH28/(1-H28)/各项系数!$F$5/各项系数!$J$4,0.5)</f>
        <v>245.154096286311</v>
      </c>
      <c r="AF28" s="218">
        <v>1</v>
      </c>
      <c r="AG28" s="85">
        <f>IF(EM28=0,0,PI()*ER28*ER28/4*EP28*(1-K28)*(1+AF28)*各项系数!$F$5*各项系数!$J$4*10^-7)</f>
        <v>0</v>
      </c>
      <c r="AH28" s="85">
        <f t="shared" si="177"/>
        <v>0</v>
      </c>
      <c r="AI28" s="85">
        <f t="shared" si="128"/>
        <v>0</v>
      </c>
      <c r="AJ28" s="85">
        <f>IF(OR(EP28="",EP28=0),0,POWER(4*EW28/PI()/EO28/10^-7/EP28/(1-K28)/各项系数!$F$5/各项系数!$J$4,0.5))</f>
        <v>0</v>
      </c>
      <c r="AK28" s="85" t="str">
        <f t="shared" si="8"/>
        <v>√</v>
      </c>
      <c r="AL28" s="85">
        <f t="shared" si="178"/>
        <v>86.9007089906238</v>
      </c>
      <c r="AM28" s="250">
        <f t="shared" si="179"/>
        <v>150</v>
      </c>
      <c r="AN28" s="118" t="s">
        <v>486</v>
      </c>
      <c r="AO28" s="259">
        <f>AP28+各项系数!$M$9*$NK28</f>
        <v>85.1967735202194</v>
      </c>
      <c r="AP28" s="259">
        <f>AQ28*(1+$BI28+(VLOOKUP($AM28,$A$12:$B$323,2,0))+各项系数!$J$6+各项系数!$M$5)*(1+$E$2)</f>
        <v>84.7523366339695</v>
      </c>
      <c r="AQ28" s="260">
        <f>AR28+各项系数!$L$9*$NK28</f>
        <v>86.4819761571117</v>
      </c>
      <c r="AR28" s="260">
        <f>AS28*(1+$BJ28+各项系数!$J$5+各项系数!$L$5)</f>
        <v>86.0375392708618</v>
      </c>
      <c r="AS28" s="260">
        <f t="shared" si="129"/>
        <v>84.3505286969233</v>
      </c>
      <c r="AT28" s="259">
        <f>AU28+各项系数!$M$9*$NM28</f>
        <v>86.1915491117629</v>
      </c>
      <c r="AU28" s="259">
        <f>AV28*(1+$BI28+(VLOOKUP($AM28,$A$12:$B$323,2,0))+各项系数!$J$6+各项系数!$M$5)*(1+$E$2)</f>
        <v>85.7471122255129</v>
      </c>
      <c r="AV28" s="260">
        <f>AW28+各项系数!$L$9*$NM28</f>
        <v>87.4970532913397</v>
      </c>
      <c r="AW28" s="260">
        <f>AX28*(1+$BJ28+各项系数!$J$5+各项系数!$L$5)</f>
        <v>87.0526164050898</v>
      </c>
      <c r="AX28" s="260">
        <f t="shared" si="130"/>
        <v>85.3457023579311</v>
      </c>
      <c r="AY28" s="259">
        <f>AZ28+各项系数!$M$9*$NS28</f>
        <v>86.9653718151194</v>
      </c>
      <c r="AZ28" s="259">
        <f>BA28*(1+$BI28+(VLOOKUP($AM28,$A$12:$B$214,2,0))+各项系数!$J$6+各项系数!$M$5)*(1+$E$2)</f>
        <v>86.5131917948796</v>
      </c>
      <c r="BA28" s="260">
        <f>BB28+各项系数!$L$9*$NS28</f>
        <v>88.2787671376322</v>
      </c>
      <c r="BB28" s="260">
        <f>BC28*(1+$BJ28+各项系数!$J$5+各项系数!$L$5)</f>
        <v>87.8265871173924</v>
      </c>
      <c r="BC28" s="262">
        <f t="shared" si="131"/>
        <v>86.1044971739141</v>
      </c>
      <c r="BD28" s="259">
        <f>BE28+各项系数!$M$9*$NS28</f>
        <v>87.9681064752446</v>
      </c>
      <c r="BE28" s="259">
        <f>BF28*(1+$BI28+(VLOOKUP($AM28,$A$12:$B$214,2,0))+各项系数!$J$6+各项系数!$M$5)*(1+$E$2)</f>
        <v>87.5159264550048</v>
      </c>
      <c r="BF28" s="260">
        <f>BG28+各项系数!$L$9*$NS28</f>
        <v>89.301965770413</v>
      </c>
      <c r="BG28" s="260">
        <f>BH28*(1+$BJ28+各项系数!$J$5+各项系数!$L$5)</f>
        <v>88.8497857501732</v>
      </c>
      <c r="BH28" s="262">
        <f t="shared" si="132"/>
        <v>87.1076330884051</v>
      </c>
      <c r="BI28" s="67"/>
      <c r="BJ28" s="272"/>
      <c r="BK28" s="123"/>
      <c r="BL28" s="259">
        <f>BM28+各项系数!$M$9*$NM28</f>
        <v>86.1718163990703</v>
      </c>
      <c r="BM28" s="259">
        <f>BN28*(1+$CF28+(VLOOKUP($AM28,$A$12:$B$323,2,0))+各项系数!$J$6+各项系数!$M$5)*(1+$E$2)</f>
        <v>85.7273795128204</v>
      </c>
      <c r="BN28" s="260">
        <f>BO28+各项系数!$L$9*$NM28</f>
        <v>87.4769178702249</v>
      </c>
      <c r="BO28" s="260">
        <f>BP28*(1+$CG28+各项系数!$J$5+各项系数!$L$5)</f>
        <v>87.0324809839749</v>
      </c>
      <c r="BP28" s="260">
        <f t="shared" si="133"/>
        <v>84.4975543533737</v>
      </c>
      <c r="BQ28" s="259">
        <f>BR28+各项系数!$M$9*$NM28</f>
        <v>87.0279369948706</v>
      </c>
      <c r="BR28" s="259">
        <f>BS28*(1+$CF28+(VLOOKUP($AM28,$A$12:$B$323,2,0))+各项系数!$J$6+各项系数!$M$5)*(1+$E$2)</f>
        <v>86.5835001086206</v>
      </c>
      <c r="BS28" s="260">
        <f>BT28+各项系数!$L$9*$NM28</f>
        <v>88.350510314919</v>
      </c>
      <c r="BT28" s="260">
        <f>BU28*(1+$CG28+各项系数!$J$5+各项系数!$L$5)</f>
        <v>87.9060734286691</v>
      </c>
      <c r="BU28" s="260">
        <f t="shared" si="134"/>
        <v>85.3457023579311</v>
      </c>
      <c r="BV28" s="259">
        <f>BW28+各项系数!$M$9*$NT28</f>
        <v>87.5237526907578</v>
      </c>
      <c r="BW28" s="259">
        <f>BX28*(1+$CF28+(VLOOKUP($AM28,$A$12:$B$214,2,0))+各项系数!$J$6+各项系数!$M$5)*(1+$E$2)</f>
        <v>87.071572670518</v>
      </c>
      <c r="BX28" s="260">
        <f>BY28+各项系数!$L$9*$NT$12</f>
        <v>88.8485435413449</v>
      </c>
      <c r="BY28" s="260">
        <f>BZ28*(1+$CG28+各项系数!$J$5+各项系数!$L$5)</f>
        <v>88.8402801381899</v>
      </c>
      <c r="BZ28" s="262">
        <f t="shared" si="11"/>
        <v>86.2526991632912</v>
      </c>
      <c r="CA28" s="259">
        <f>CB28+各项系数!$M$9*$NT28</f>
        <v>88.3867229947678</v>
      </c>
      <c r="CB28" s="259">
        <f>CC28*(1+$CF28+(VLOOKUP($AM28,$A$12:$B$214,2,0))+各项系数!$J$6+各项系数!$M$5)*(1+$E$2)</f>
        <v>87.934542974528</v>
      </c>
      <c r="CC28" s="260">
        <f>CD28+各项系数!$L$9*$NT$12</f>
        <v>89.7291254842122</v>
      </c>
      <c r="CD28" s="260">
        <f>CE28*(1+$CG28+各项系数!$J$5+各项系数!$L$5)</f>
        <v>89.7208620810573</v>
      </c>
      <c r="CE28" s="262">
        <f t="shared" si="135"/>
        <v>87.1076330884051</v>
      </c>
      <c r="CF28" s="277">
        <f t="shared" si="136"/>
        <v>0</v>
      </c>
      <c r="CG28" s="277">
        <f t="shared" si="12"/>
        <v>0.01</v>
      </c>
      <c r="CH28" s="123"/>
      <c r="CI28" s="259">
        <f>CJ28+各项系数!$M$9*$NO28</f>
        <v>86.2912163182106</v>
      </c>
      <c r="CJ28" s="259">
        <f>CK28*(1+$DC28+(VLOOKUP($AM28,$A$12:$B$323,2,0))+各项系数!$J$6+各项系数!$M$5)*(1+$E$2)+各项系数!$M$9*$NK28</f>
        <v>85.8378807667303</v>
      </c>
      <c r="CK28" s="260">
        <f>CL28+各项系数!$L$9*$NO28</f>
        <v>87.1361672249799</v>
      </c>
      <c r="CL28" s="260">
        <f>CM28*(1+$DD28+各项系数!$J$5+各项系数!$L$5)</f>
        <v>86.6828316734995</v>
      </c>
      <c r="CM28" s="260">
        <f t="shared" si="13"/>
        <v>84.9831683073525</v>
      </c>
      <c r="CN28" s="259">
        <f>CO28+各项系数!$M$9*$NO28</f>
        <v>87.2418970699981</v>
      </c>
      <c r="CO28" s="259">
        <f>CP28*(1+$DC28+(VLOOKUP($AM28,$A$12:$B$323,2,0))+各项系数!$J$6+各项系数!$M$5)*(1+$E$2)+各项系数!$M$9*$NK28</f>
        <v>86.7885615185178</v>
      </c>
      <c r="CP28" s="260">
        <f>CQ28+各项系数!$L$9*$NO28</f>
        <v>88.1062496247631</v>
      </c>
      <c r="CQ28" s="260">
        <f>CR28*(1+$DD28+各项系数!$J$5+各项系数!$L$5)</f>
        <v>87.6529140732827</v>
      </c>
      <c r="CR28" s="260">
        <f t="shared" si="14"/>
        <v>85.9342294836105</v>
      </c>
      <c r="CS28" s="259">
        <f>CT28+各项系数!$M$9*$NU28</f>
        <v>87.6724246768664</v>
      </c>
      <c r="CT28" s="259">
        <f t="shared" si="15"/>
        <v>87.2110945614079</v>
      </c>
      <c r="CU28" s="260">
        <f>CV28+各项系数!$L$9*$NU28</f>
        <v>88.9909128177632</v>
      </c>
      <c r="CV28" s="260">
        <f>CW28*(1+$DD28+各项系数!$J$5+各项系数!$L$5)</f>
        <v>88.5295827023048</v>
      </c>
      <c r="CW28" s="262">
        <f t="shared" si="16"/>
        <v>86.7937085316714</v>
      </c>
      <c r="CX28" s="259">
        <f>CY28+各项系数!$M$9*$NU28</f>
        <v>88.7050058441733</v>
      </c>
      <c r="CY28" s="259">
        <f t="shared" si="17"/>
        <v>88.2436757287149</v>
      </c>
      <c r="CZ28" s="260">
        <f>DA28+各项系数!$L$9*$NU28</f>
        <v>90.0445670701172</v>
      </c>
      <c r="DA28" s="260">
        <f>DB28*(1+$DD28+各项系数!$J$5+各项系数!$L$5)</f>
        <v>89.5832369546588</v>
      </c>
      <c r="DB28" s="262">
        <f t="shared" si="18"/>
        <v>87.8267028967243</v>
      </c>
      <c r="DC28" s="277">
        <f t="shared" si="137"/>
        <v>0</v>
      </c>
      <c r="DD28" s="277">
        <f t="shared" si="19"/>
        <v>0</v>
      </c>
      <c r="DE28" s="69"/>
      <c r="DF28" s="69"/>
      <c r="DG28" s="259">
        <f>DH28+各项系数!$M$9*$NQ28</f>
        <v>87.2769117794544</v>
      </c>
      <c r="DH28" s="259">
        <f>DI28*(1+$EA28+(VLOOKUP($AM28,$A$12:$B$323,2,0))+各项系数!$J$6+各项系数!$M$5)*(1+$E$2)+各项系数!$M$9*$NK28</f>
        <v>86.823576227974</v>
      </c>
      <c r="DI28" s="260">
        <f>DJ28+各项系数!$L$9*$NQ28</f>
        <v>88.1419789201266</v>
      </c>
      <c r="DJ28" s="260">
        <f>DK28*(1+$EB28+各项系数!$J$5+各项系数!$L$5)</f>
        <v>87.6886433686462</v>
      </c>
      <c r="DK28" s="260">
        <f t="shared" si="20"/>
        <v>85.1346052122778</v>
      </c>
      <c r="DL28" s="259">
        <f>DM28+各项系数!$M$9*$NQ28</f>
        <v>88.1587187810412</v>
      </c>
      <c r="DM28" s="259">
        <f>DN28*(1+$EA28+(VLOOKUP($AM28,$A$12:$B$323,2,0))+各项系数!$J$6+各项系数!$M$5)*(1+$E$2)+各项系数!$M$9*$NK28</f>
        <v>87.7053832295609</v>
      </c>
      <c r="DN28" s="260">
        <f>DO28+各项系数!$L$9*$NQ28</f>
        <v>89.0417819829703</v>
      </c>
      <c r="DO28" s="260">
        <f>DP28*(1+$EB28+各项系数!$J$5+各项系数!$L$5)</f>
        <v>88.5884464314899</v>
      </c>
      <c r="DP28" s="260">
        <f t="shared" si="21"/>
        <v>86.0082004189222</v>
      </c>
      <c r="DQ28" s="259">
        <f>DR28+各项系数!$M$9*$NV28</f>
        <v>88.6770508227646</v>
      </c>
      <c r="DR28" s="259">
        <f t="shared" si="22"/>
        <v>88.2157207073062</v>
      </c>
      <c r="DS28" s="260">
        <f>DT28+各项系数!$L$9*$NV28</f>
        <v>90.0160415380675</v>
      </c>
      <c r="DT28" s="260">
        <f>DU28*(1+$EB28+各项系数!$J$5+各项系数!$L$5)</f>
        <v>89.5547114226091</v>
      </c>
      <c r="DU28" s="262">
        <f t="shared" si="23"/>
        <v>86.9463217695234</v>
      </c>
      <c r="DV28" s="259">
        <f>DW28+各项系数!$M$9*$NV28</f>
        <v>88.6935072030766</v>
      </c>
      <c r="DW28" s="259">
        <f t="shared" si="24"/>
        <v>88.2321770876182</v>
      </c>
      <c r="DX28" s="260">
        <f>DY28+各项系数!$L$9*$NV28</f>
        <v>90.0328337628757</v>
      </c>
      <c r="DY28" s="260">
        <f>DZ28*(1+$EB28+各项系数!$J$5+各项系数!$L$5)</f>
        <v>89.5715036474173</v>
      </c>
      <c r="DZ28" s="262">
        <f t="shared" si="25"/>
        <v>86.9626249004051</v>
      </c>
      <c r="EA28" s="277">
        <f t="shared" si="230"/>
        <v>0</v>
      </c>
      <c r="EB28" s="277">
        <f t="shared" si="27"/>
        <v>0.01</v>
      </c>
      <c r="EC28" s="302">
        <f t="shared" si="138"/>
        <v>1</v>
      </c>
      <c r="ED28" s="302" t="str">
        <f t="shared" si="180"/>
        <v>1*150</v>
      </c>
      <c r="EE28" s="251">
        <f t="shared" ref="EE28:EE91" si="239">IF($D28="",0,IF(COUNTIF($D28,"*+*")&gt;0,MID($D28,FIND("*",$D28)+1,FIND("+",$D28)-FIND("*",$D28)-1),RIGHT($D28,(LEN($D28)-FIND("*",$D28)))))*1</f>
        <v>150</v>
      </c>
      <c r="EF28" s="251" t="str">
        <f>LOOKUP(EH28,{1,7,10,14,19,24,30,37,48,61},{1,"1+6","2+8","4+10","1+6+12","2+8+14","4+10+16","1+6+12+18","3+9+15+21","1+6+12+18+24"})</f>
        <v>4+10+16</v>
      </c>
      <c r="EG28" s="250">
        <f t="shared" si="29"/>
        <v>1</v>
      </c>
      <c r="EH28" s="260">
        <f>VLOOKUP(EE28,各项系数!$B$87:$C$110,2,0)</f>
        <v>30</v>
      </c>
      <c r="EI28" s="250">
        <f>IF(EH28=0,0,VLOOKUP(EH28,各项系数!$D$142:$E$195,2,0))*1</f>
        <v>6.41</v>
      </c>
      <c r="EJ28" s="305">
        <f t="shared" si="141"/>
        <v>243.335870228497</v>
      </c>
      <c r="EK28" s="251">
        <f t="shared" si="181"/>
        <v>0</v>
      </c>
      <c r="EL28" s="251">
        <f t="shared" si="31"/>
        <v>0</v>
      </c>
      <c r="EM28" s="251">
        <f t="shared" si="182"/>
        <v>0</v>
      </c>
      <c r="EN28" s="251">
        <f>IF(EP28=0,0,LOOKUP(EP28,{1,7,10,14,19,24,30,37,48,61},{1,"1+6","2+8","4+10","1+6+12","2+8+14","4+10+16","1+6+12+18","3+9+15+21","1+6+12+18+24"}))</f>
        <v>0</v>
      </c>
      <c r="EO28" s="251">
        <f t="shared" si="183"/>
        <v>0</v>
      </c>
      <c r="EP28" s="251">
        <f>IF(EM28=0,0,IF(EM28&lt;10,1,IF(AND(EM28&gt;=10,EM28&lt;=35),7,LOOKUP(EM28,{50,70,95,120,150,185,240,300},{10,14,19,24,30,37,48,61})*1)))</f>
        <v>0</v>
      </c>
      <c r="EQ28" s="251">
        <f>IF(EP28=0,0,VLOOKUP(EP28,各项系数!$D$142:$E$195,2,0))*1</f>
        <v>0</v>
      </c>
      <c r="ER28" s="251">
        <f t="shared" si="184"/>
        <v>0</v>
      </c>
      <c r="ES28" s="302">
        <f t="shared" si="185"/>
        <v>1</v>
      </c>
      <c r="ET28" s="251">
        <f>VLOOKUP(ES28,各项系数!$D$142:$E$195,2,0)*1</f>
        <v>1</v>
      </c>
      <c r="EU28" s="311">
        <f>((各项系数!$F$76/4*$EJ28^2*$EG28*$EH28*1*10^-7)*(1-$H28)*AA28)*(VLOOKUP($EY$9,各项系数!$D$4:$F$143,3,0))*各项系数!$J$4</f>
        <v>1.25260541945236</v>
      </c>
      <c r="EV28" s="312">
        <f>EU28*(VLOOKUP($EY$9,各项系数!$D$4:$F$143,2,0))</f>
        <v>82.0456549741294</v>
      </c>
      <c r="EW28" s="324">
        <f>(IF($EO28=0,0,(各项系数!$F$76/4*$ER28^2*$EO28*$EP28*1*10^-7))*(1-$K28)*$AF28)*(VLOOKUP($EY$9,各项系数!$D$4:$F$143,3,0))*各项系数!$J$4</f>
        <v>0</v>
      </c>
      <c r="EX28" s="325">
        <f>EW28*(VLOOKUP($EY$9,各项系数!$D$4:$F$143,2,0))</f>
        <v>0</v>
      </c>
      <c r="EY28" s="251">
        <f>((各项系数!$F$76/4*$EJ28^2*$EG28*$EH28*1*10^-7)*(1-$H28)*AA28+IF($EO28=0,0,(各项系数!$F$76/4*$ER28^2*$EO28*$EP28*1*10^-7))*(1-$K28)*$AF28)*(VLOOKUP($EY$9,各项系数!$D$4:$F$143,3,0))*各项系数!$J$4</f>
        <v>1.25260541945236</v>
      </c>
      <c r="EZ28" s="123">
        <v>1</v>
      </c>
      <c r="FA28" s="251">
        <f t="shared" si="188"/>
        <v>1.25260541945236</v>
      </c>
      <c r="FB28" s="326">
        <f>FA28*(VLOOKUP($EY$9,各项系数!$D$4:$F$143,2,0))</f>
        <v>82.0456549741294</v>
      </c>
      <c r="FC28" s="327"/>
      <c r="FD28" s="302">
        <f>各项系数!$F$76/4*($MN28^2-MK28^2)*10^-2*(VLOOKUP(L28,各项系数!$D$1:$F$143,3,0))*10^-3*10^2*$EG28*各项系数!$J$4</f>
        <v>0.0818252115970481</v>
      </c>
      <c r="FE28" s="339">
        <f>FD28*VLOOKUP(L28,各项系数!$D$1:$F$143,2,0)</f>
        <v>0.83461715828989</v>
      </c>
      <c r="FF28" s="250">
        <f>各项系数!$F$76/4*($MO28^2-ML28^2)*10^-2*(VLOOKUP(L28,各项系数!$D$1:$F$143,3,0))*10^-3*10^2*$EO28*各项系数!$J$4</f>
        <v>0</v>
      </c>
      <c r="FG28" s="339">
        <f>FF28*VLOOKUP(L28,各项系数!$D$1:$F$143,2,0)</f>
        <v>0</v>
      </c>
      <c r="FH28" s="302">
        <f t="shared" si="142"/>
        <v>0.0818252115970481</v>
      </c>
      <c r="FI28" s="123">
        <v>1</v>
      </c>
      <c r="FJ28" s="251">
        <f t="shared" si="189"/>
        <v>0.0818252115970481</v>
      </c>
      <c r="FK28" s="339">
        <f>FJ28*VLOOKUP(L28,各项系数!$D$1:$F$143,2,0)</f>
        <v>0.83461715828989</v>
      </c>
      <c r="FL28" s="302"/>
      <c r="FM28" s="123"/>
      <c r="FN28" s="251"/>
      <c r="FO28" s="339"/>
      <c r="FP28" s="364">
        <f t="shared" si="190"/>
        <v>0.0818252115970481</v>
      </c>
      <c r="FQ28" s="364">
        <f t="shared" si="191"/>
        <v>0.83461715828989</v>
      </c>
      <c r="FR28" s="365">
        <f>各项系数!$F$76/4*($MQ28^2-$MN28^2*$EG28-$MO28^2*$EO28)*10^-2</f>
        <v>0</v>
      </c>
      <c r="FS28" s="366">
        <f t="shared" si="143"/>
        <v>1</v>
      </c>
      <c r="FT28" s="367">
        <f t="shared" si="40"/>
        <v>0</v>
      </c>
      <c r="FU28" s="388">
        <f>$FT28*(VLOOKUP($FT$9,各项系数!$D$1:$F$143,3,0))*10^-3*10^2*各项系数!$J$55</f>
        <v>0</v>
      </c>
      <c r="FV28" s="389">
        <v>1</v>
      </c>
      <c r="FW28" s="390">
        <f t="shared" si="192"/>
        <v>0</v>
      </c>
      <c r="FX28" s="367">
        <f>FW28*(VLOOKUP($FT$9,各项系数!$D$1:$F$143,2,0))</f>
        <v>0</v>
      </c>
      <c r="FY28" s="388">
        <f>IF($BK28&lt;&gt;$FY$9,0,各项系数!$F$76/4*($MS28^2-$MQ28^2)*10^-2*(VLOOKUP($FY$9,各项系数!$D$1:$F$143,3,0))*10^-3*10^2)*各项系数!$J$4</f>
        <v>0</v>
      </c>
      <c r="FZ28" s="389">
        <v>1</v>
      </c>
      <c r="GA28" s="390">
        <f t="shared" si="193"/>
        <v>0</v>
      </c>
      <c r="GB28" s="367">
        <f>GA28*(VLOOKUP($FY$9,各项系数!$D$1:$F$143,2,0))</f>
        <v>0</v>
      </c>
      <c r="GC28" s="388">
        <f>IF($BK28&lt;&gt;$GC$9,0,各项系数!$F$76/4*($MS28^2-$MQ28^2)*10^-2*(VLOOKUP($GC$9,各项系数!$D$1:$F$143,3,0))*10^-3*10^2)*各项系数!$J$4</f>
        <v>0</v>
      </c>
      <c r="GD28" s="389">
        <v>1</v>
      </c>
      <c r="GE28" s="390">
        <f t="shared" si="194"/>
        <v>0</v>
      </c>
      <c r="GF28" s="367">
        <f>GE28*(VLOOKUP($GC$9,各项系数!$D$1:$F$143,2,0))</f>
        <v>0</v>
      </c>
      <c r="GG28" s="388">
        <f>IF($BK28&lt;&gt;$GG$9,0,各项系数!$F$76/4*($MS28^2-$MQ28^2)*10^-2*(VLOOKUP($GG$9,各项系数!$D$1:$F$143,3,0))*10^-3*10^2)*各项系数!$J$4</f>
        <v>0</v>
      </c>
      <c r="GH28" s="389">
        <v>1</v>
      </c>
      <c r="GI28" s="390">
        <f t="shared" si="195"/>
        <v>0</v>
      </c>
      <c r="GJ28" s="367">
        <f>GI28*(VLOOKUP($GG$9,各项系数!$D$1:$F$143,2,0))</f>
        <v>0</v>
      </c>
      <c r="GK28" s="388">
        <f>IF($BK28&lt;&gt;$GK$9,0,各项系数!$F$76/4*($MS28^2-$MQ28^2)*10^-2*(VLOOKUP($GK$9,各项系数!$D$1:$F$143,3,0))*10^-3*10^2)*各项系数!$J$4</f>
        <v>0</v>
      </c>
      <c r="GL28" s="389">
        <v>1</v>
      </c>
      <c r="GM28" s="390">
        <f t="shared" si="196"/>
        <v>0</v>
      </c>
      <c r="GN28" s="367">
        <f>GM28*(VLOOKUP($GK$9,各项系数!$D$1:$F$143,2,0))</f>
        <v>0</v>
      </c>
      <c r="GO28" s="390">
        <f t="shared" si="197"/>
        <v>0</v>
      </c>
      <c r="GP28" s="390">
        <f t="shared" si="198"/>
        <v>0</v>
      </c>
      <c r="GQ28" s="406">
        <f>各项系数!$F$76/4*($MU28^2-$MS28^2)*10^-2*(VLOOKUP($S28,各项系数!$D$1:$F$143,3,0))*10^-3*10^2*各项系数!$J$4</f>
        <v>0.137117267871731</v>
      </c>
      <c r="GR28" s="389">
        <v>1</v>
      </c>
      <c r="GS28" s="390">
        <f t="shared" si="199"/>
        <v>0.137117267871731</v>
      </c>
      <c r="GT28" s="390">
        <f t="shared" si="200"/>
        <v>0</v>
      </c>
      <c r="GU28" s="390">
        <f>ROUND($GS28*(VLOOKUP($S28,各项系数!$D$1:$F$143,2,0))+$E$3*GS28,GT28)</f>
        <v>1</v>
      </c>
      <c r="GV28" s="406">
        <f>各项系数!$F$76/4*($MT28^2-$MS28^2)*10^-2*(VLOOKUP($GV$9,各项系数!$D$1:$F$143,3,0))*10^-3*10^2*各项系数!$J$4*PI()/4*R28</f>
        <v>0.025810446632951</v>
      </c>
      <c r="GW28" s="389">
        <v>1</v>
      </c>
      <c r="GX28" s="390">
        <f t="shared" si="201"/>
        <v>0.025810446632951</v>
      </c>
      <c r="GY28" s="390">
        <f>$GX28*(VLOOKUP($GV$9,各项系数!$D$1:$F$143,2,0))</f>
        <v>1.74220514772419</v>
      </c>
      <c r="GZ28" s="406">
        <f>各项系数!$F$76/4*($MV28^2-$MS28^2)*10^-2*(VLOOKUP($GZ$9,各项系数!$D$1:$F$143,3,0))*10^-3*10^2*各项系数!$J$4</f>
        <v>0.14502530738305</v>
      </c>
      <c r="HA28" s="389">
        <v>1</v>
      </c>
      <c r="HB28" s="390">
        <f t="shared" si="144"/>
        <v>0.14502530738305</v>
      </c>
      <c r="HC28" s="390">
        <f>HB28*(VLOOKUP($GZ$9,各项系数!$D$1:$F$143,2,0))</f>
        <v>2.46543022551185</v>
      </c>
      <c r="HD28" s="406">
        <f>各项系数!$F$76/4*($MW28^2-$MT28^2)*10^-2*(VLOOKUP($HD$9,各项系数!$D$1:$F$143,3,0))*10^-3*10^2*各项系数!$J$4</f>
        <v>0.146185635780098</v>
      </c>
      <c r="HE28" s="389">
        <v>1</v>
      </c>
      <c r="HF28" s="390">
        <f t="shared" si="145"/>
        <v>0.146185635780098</v>
      </c>
      <c r="HG28" s="390">
        <f>HF28*(VLOOKUP($HD$9,各项系数!$D$1:$F$143,2,0))</f>
        <v>2.48515580826166</v>
      </c>
      <c r="HH28" s="406">
        <f>各项系数!$F$76/4*($MV28^2-$MS28^2)*10^-2*(VLOOKUP($HH$9,各项系数!$D$1:$F$143,3,0))*10^-3*10^2*各项系数!$J$4</f>
        <v>0.14502530738305</v>
      </c>
      <c r="HI28" s="420">
        <v>1</v>
      </c>
      <c r="HJ28" s="390">
        <f t="shared" si="146"/>
        <v>0.14502530738305</v>
      </c>
      <c r="HK28" s="390">
        <f>HJ28*(VLOOKUP($HH$9,各项系数!$D$1:$F$143,2,0))</f>
        <v>2.46543022551185</v>
      </c>
      <c r="HL28" s="406">
        <f>各项系数!$F$76/4*($MW28^2-$MT28^2)*10^-2*(VLOOKUP($HL$9,各项系数!$D$1:$F$143,3,0))*10^-3*10^2*各项系数!$J$4</f>
        <v>0.146185635780098</v>
      </c>
      <c r="HM28" s="420">
        <v>1</v>
      </c>
      <c r="HN28" s="390">
        <f t="shared" si="147"/>
        <v>0.146185635780098</v>
      </c>
      <c r="HO28" s="390">
        <f>HN28*(VLOOKUP($HL$9,各项系数!$D$1:$F$143,2,0))</f>
        <v>2.48515580826166</v>
      </c>
      <c r="HP28" s="406">
        <f>各项系数!$F$76/4*($MV28^2-$MS28^2)*10^-2*(VLOOKUP(AN28,各项系数!$D$1:$F$143,3,0))*10^-3*10^2*各项系数!$J$4</f>
        <v>0.147025656450403</v>
      </c>
      <c r="HQ28" s="389">
        <v>1</v>
      </c>
      <c r="HR28" s="390">
        <f t="shared" si="202"/>
        <v>0.147025656450403</v>
      </c>
      <c r="HS28" s="390">
        <f>HR28*(VLOOKUP(AN28,各项系数!$D$1:$F$143,2,0))</f>
        <v>1.47025656450403</v>
      </c>
      <c r="HT28" s="406">
        <f>各项系数!$F$76/4*($MW28^2-$MT28^2)*10^-2*(VLOOKUP(AN28,各项系数!$D$1:$F$143,3,0))*10^-3*10^2*各项系数!$J$4</f>
        <v>0.148201989377064</v>
      </c>
      <c r="HU28" s="389">
        <v>1</v>
      </c>
      <c r="HV28" s="390">
        <f t="shared" si="203"/>
        <v>0.148201989377064</v>
      </c>
      <c r="HW28" s="390">
        <f>HV28*(VLOOKUP(AN28,各项系数!$D$1:$F$143,2,0))</f>
        <v>1.48201989377064</v>
      </c>
      <c r="HX28" s="406">
        <f>各项系数!$F$76/4*($MV28^2-$MS28^2)*10^-2*(VLOOKUP($HX$9,各项系数!$D$1:$F$143,3,0))*10^-3*10^2*各项系数!$J$4</f>
        <v>0.147025656450403</v>
      </c>
      <c r="HY28" s="420">
        <v>1</v>
      </c>
      <c r="HZ28" s="390">
        <f t="shared" si="204"/>
        <v>0.147025656450403</v>
      </c>
      <c r="IA28" s="390">
        <f>HZ28*(VLOOKUP($HX$9,各项系数!$D$1:$F$143,2,0))</f>
        <v>1.61728222095443</v>
      </c>
      <c r="IB28" s="406">
        <f>各项系数!$F$76/4*($MW28^2-$MT28^2)*10^-2*(VLOOKUP($IB$9,各项系数!$D$1:$F$143,3,0))*10^-3*10^2*各项系数!$J$4</f>
        <v>0.148201989377064</v>
      </c>
      <c r="IC28" s="420">
        <v>1</v>
      </c>
      <c r="ID28" s="390">
        <f t="shared" si="205"/>
        <v>0.148201989377064</v>
      </c>
      <c r="IE28" s="390">
        <f>ID28*(VLOOKUP($IB$9,各项系数!$D$1:$F$143,2,0))</f>
        <v>1.63022188314771</v>
      </c>
      <c r="IF28" s="429"/>
      <c r="IG28" s="406">
        <f t="shared" si="148"/>
        <v>0.0223626515059996</v>
      </c>
      <c r="IH28" s="389">
        <v>1</v>
      </c>
      <c r="II28" s="390">
        <f t="shared" si="206"/>
        <v>0.0223626515059996</v>
      </c>
      <c r="IJ28" s="390">
        <f>II28*(VLOOKUP($IG$8,各项系数!$D$1:$F$143,2,0))</f>
        <v>0.559066287649989</v>
      </c>
      <c r="IK28" s="406">
        <f>(各项系数!$F$76/4*($MX28^2-$MK28^2)*$EG28)*10^-2*(VLOOKUP($IG$8,各项系数!$D$1:$F$143,3,0))*10^-3*10^2*各项系数!$J$4</f>
        <v>0.0223626515059996</v>
      </c>
      <c r="IL28" s="389">
        <f>IK28*(VLOOKUP($IG$8,各项系数!$D$1:$F$143,2,0))</f>
        <v>0.559066287649989</v>
      </c>
      <c r="IM28" s="390">
        <f>(各项系数!$F$76/4*(($MM28+3*$X28)^2-MM28^2)*$EO28)*10^-2*(VLOOKUP($IG$8,各项系数!$D$1:$F$143,3,0))*10^-3*10^2*各项系数!$J$4</f>
        <v>0</v>
      </c>
      <c r="IN28" s="389">
        <f>IM28*(VLOOKUP($IG$8,各项系数!$D$1:$F$143,2,0))</f>
        <v>0</v>
      </c>
      <c r="IO28" s="406">
        <f>各项系数!$F$76/4*($MZ28^2-$MX28^2)*10^-2*(VLOOKUP(L28,各项系数!$D$1:$F$143,3,0))*10^-3*10^2*$ES28*各项系数!$J$4</f>
        <v>0.0847135290509055</v>
      </c>
      <c r="IP28" s="389">
        <v>1</v>
      </c>
      <c r="IQ28" s="390">
        <f t="shared" si="207"/>
        <v>0.0847135290509055</v>
      </c>
      <c r="IR28" s="367">
        <f>IQ28*(VLOOKUP(L28,各项系数!$D$1:$F$143,2,0))</f>
        <v>0.864077996319236</v>
      </c>
      <c r="IS28" s="406">
        <f>IF($L28&lt;&gt;$IS$9,0,各项系数!$F$76/4*($MZ28^2-$MX28^2)*10^-2*各项系数!$F$12*10^-3*10^2)*$ES28*各项系数!$J$4</f>
        <v>0</v>
      </c>
      <c r="IT28" s="389">
        <v>1</v>
      </c>
      <c r="IU28" s="390">
        <f t="shared" si="208"/>
        <v>0</v>
      </c>
      <c r="IV28" s="367">
        <f>IU28*各项系数!$E$12</f>
        <v>0</v>
      </c>
      <c r="IW28" s="388">
        <f t="shared" si="209"/>
        <v>0.0847135290509055</v>
      </c>
      <c r="IX28" s="388">
        <f t="shared" si="210"/>
        <v>0.864077996319236</v>
      </c>
      <c r="IY28" s="447">
        <f>各项系数!$F$76/4*($NB28^2-$MZ28^2*$EG28-$NA28^2*$EO28)*10^-2</f>
        <v>0</v>
      </c>
      <c r="IZ28" s="366">
        <f t="shared" si="231"/>
        <v>1</v>
      </c>
      <c r="JA28" s="367">
        <f t="shared" si="64"/>
        <v>0</v>
      </c>
      <c r="JB28" s="364">
        <f>IF($DE28&lt;&gt;$JB$9,0,$JA28*各项系数!$F$32*10^-3*10^2)*各项系数!$J$4</f>
        <v>0</v>
      </c>
      <c r="JC28" s="123">
        <v>1</v>
      </c>
      <c r="JD28" s="251">
        <f t="shared" si="211"/>
        <v>0</v>
      </c>
      <c r="JE28" s="339">
        <f>JD28*各项系数!$E$32</f>
        <v>0</v>
      </c>
      <c r="JF28" s="364">
        <f>IF($DE28&lt;&gt;$JF$9,0,$JA28*VLOOKUP($JF$9,各项系数!$D$4:$F$540,2,0)*10^-3*10^2)*各项系数!$J$4</f>
        <v>0</v>
      </c>
      <c r="JG28" s="123">
        <v>1</v>
      </c>
      <c r="JH28" s="251">
        <f t="shared" si="66"/>
        <v>0</v>
      </c>
      <c r="JI28" s="339">
        <f>JH28*VLOOKUP($JF$9,各项系数!$D$4:$F$540,3,0)</f>
        <v>0</v>
      </c>
      <c r="JJ28" s="364">
        <f t="shared" si="212"/>
        <v>0</v>
      </c>
      <c r="JK28" s="251">
        <f t="shared" si="213"/>
        <v>0</v>
      </c>
      <c r="JL28" s="364">
        <f>IF($DF28&lt;&gt;$JL$9,0,各项系数!$F$76/4*($NE28^2-$NC28^2)*10^-2*各项系数!$F$39*10^-3*10^2)*各项系数!$J$4</f>
        <v>0</v>
      </c>
      <c r="JM28" s="123">
        <v>1</v>
      </c>
      <c r="JN28" s="251">
        <f t="shared" si="214"/>
        <v>0</v>
      </c>
      <c r="JO28" s="339">
        <f>JN28*各项系数!$E$39</f>
        <v>0</v>
      </c>
      <c r="JP28" s="364">
        <f>IF($DF28&lt;&gt;$JP$9,0,各项系数!$F$76/4*($NE28^2-$NC28^2)*10^-2*各项系数!$F$36*10^-3*10^2)*各项系数!$J$4</f>
        <v>0</v>
      </c>
      <c r="JQ28" s="123">
        <v>1</v>
      </c>
      <c r="JR28" s="251">
        <f t="shared" si="215"/>
        <v>0</v>
      </c>
      <c r="JS28" s="339">
        <f>JR28*各项系数!$E$36</f>
        <v>0</v>
      </c>
      <c r="JT28" s="364">
        <f>IF($DF28&lt;&gt;$JT$9,0,各项系数!$F$76/4*($NE28^2-$NC28^2)*10^-2*各项系数!$F$40*10^-3*10^2)*各项系数!$J$4</f>
        <v>0</v>
      </c>
      <c r="JU28" s="123">
        <v>1</v>
      </c>
      <c r="JV28" s="251">
        <f t="shared" si="216"/>
        <v>0</v>
      </c>
      <c r="JW28" s="339">
        <f>JV28*各项系数!$E$40</f>
        <v>0</v>
      </c>
      <c r="JX28" s="364">
        <f>IF($DF28&lt;&gt;$JX$9,0,各项系数!$F$76/4*($NE28^2-$NC28^2)*10^-2*各项系数!$F$38*10^-3*10^2)*各项系数!$J$4</f>
        <v>0</v>
      </c>
      <c r="JY28" s="123">
        <v>1</v>
      </c>
      <c r="JZ28" s="251">
        <f t="shared" si="217"/>
        <v>0</v>
      </c>
      <c r="KA28" s="339">
        <f>JZ28*各项系数!$E$38</f>
        <v>0</v>
      </c>
      <c r="KB28" s="364">
        <f>IF($DF28&lt;&gt;$KB$9,0,各项系数!$F$76/4*($NE28^2-$NC28^2)*10^-2*各项系数!$F$41*10^-3*10^2)*各项系数!$J$4</f>
        <v>0</v>
      </c>
      <c r="KC28" s="123">
        <v>1</v>
      </c>
      <c r="KD28" s="251">
        <f t="shared" si="218"/>
        <v>0</v>
      </c>
      <c r="KE28" s="339">
        <f>KD28*各项系数!$E$41</f>
        <v>0</v>
      </c>
      <c r="KF28" s="251">
        <f t="shared" si="219"/>
        <v>0</v>
      </c>
      <c r="KG28" s="251">
        <f t="shared" si="220"/>
        <v>0</v>
      </c>
      <c r="KH28" s="302">
        <f>各项系数!$F$76/4*($NG28^2-$NE28^2)*10^-2*各项系数!$F$44*10^-3*10^2*各项系数!$J$4*0.75*$U28</f>
        <v>0.212275894742742</v>
      </c>
      <c r="KI28" s="123">
        <v>1</v>
      </c>
      <c r="KJ28" s="251">
        <f t="shared" si="221"/>
        <v>0.212275894742742</v>
      </c>
      <c r="KK28" s="251">
        <f>ROUND(KJ28*各项系数!$E$44,GT28)</f>
        <v>2</v>
      </c>
      <c r="KL28" s="302">
        <f>各项系数!$F$76/4*($NF28^2-$NE28^2)*10^-2*各项系数!$F$46*10^-3*10^2*各项系数!$J$4*PI()/4*R28</f>
        <v>0.0266485465933673</v>
      </c>
      <c r="KM28" s="123">
        <v>1</v>
      </c>
      <c r="KN28" s="251">
        <f t="shared" si="222"/>
        <v>0.0266485465933673</v>
      </c>
      <c r="KO28" s="251">
        <f>KN28*各项系数!$E$46</f>
        <v>1.79877689505229</v>
      </c>
      <c r="KP28" s="302">
        <f>各项系数!$F$76/4*($NH28^2-$NE28^2)*10^-2*(VLOOKUP($KP$9,各项系数!$D$1:$F$143,3,0))*10^-3*10^2*各项系数!$J$4</f>
        <v>0.149376538871978</v>
      </c>
      <c r="KQ28" s="123">
        <v>1</v>
      </c>
      <c r="KR28" s="251">
        <f t="shared" si="150"/>
        <v>0.149376538871978</v>
      </c>
      <c r="KS28" s="251">
        <f>KR28*(VLOOKUP($KP$9,各项系数!$D$1:$F$143,2,0))</f>
        <v>2.53940116082363</v>
      </c>
      <c r="KT28" s="302">
        <f>各项系数!$F$76/4*($NI28^2-$NF28^2)*10^-2*(VLOOKUP($KT$9,各项系数!$D$1:$F$143,3,0))*10^-3*10^2*各项系数!$J$4</f>
        <v>0.150536867269026</v>
      </c>
      <c r="KU28" s="123">
        <v>1</v>
      </c>
      <c r="KV28" s="251">
        <f t="shared" si="151"/>
        <v>0.150536867269026</v>
      </c>
      <c r="KW28" s="251">
        <f>KV28*(VLOOKUP($KT$9,各项系数!$D$1:$F$143,2,0))</f>
        <v>2.55912674357344</v>
      </c>
      <c r="KX28" s="251">
        <f>各项系数!$F$76/4*($NH28^2-$NE28^2)*10^-2*(VLOOKUP($KX$9,各项系数!$D$1:$F$143,3,0))*10^-3*10^2*各项系数!$J$4</f>
        <v>0.149376538871978</v>
      </c>
      <c r="KY28" s="479">
        <v>1</v>
      </c>
      <c r="KZ28" s="251">
        <f t="shared" si="152"/>
        <v>0.149376538871978</v>
      </c>
      <c r="LA28" s="251">
        <f>KZ28*(VLOOKUP($KX$9,各项系数!$D$1:$F$143,2,0))</f>
        <v>2.53940116082363</v>
      </c>
      <c r="LB28" s="251">
        <f>各项系数!$F$76/4*($NI28^2-$NF28^2)*10^-2*(VLOOKUP($LB$9,各项系数!$D$1:$F$143,3,0))*10^-3*10^2*各项系数!$J$4</f>
        <v>0.150536867269026</v>
      </c>
      <c r="LC28" s="479">
        <v>1</v>
      </c>
      <c r="LD28" s="251">
        <f t="shared" si="153"/>
        <v>0.150536867269026</v>
      </c>
      <c r="LE28" s="251">
        <f>LD28*(VLOOKUP($LB$9,各项系数!$D$1:$F$143,2,0))</f>
        <v>2.55912674357344</v>
      </c>
      <c r="LF28" s="302">
        <f>各项系数!$F$76/4*($NH28^2-$NE28^2)*10^-2*(VLOOKUP(AN28,各项系数!$D$1:$F$143,3,0))*10^-3*10^2*各项系数!$J$4</f>
        <v>0.151436904925385</v>
      </c>
      <c r="LG28" s="123">
        <v>1</v>
      </c>
      <c r="LH28" s="251">
        <f t="shared" si="223"/>
        <v>0.151436904925385</v>
      </c>
      <c r="LI28" s="251">
        <f>LH28*(VLOOKUP(AN28,各项系数!$D$1:$F$143,2,0))</f>
        <v>1.51436904925385</v>
      </c>
      <c r="LJ28" s="302">
        <f>各项系数!$F$76/4*($NI28^2-$NF28^2)*10^-2*(VLOOKUP(AN28,各项系数!$D$1:$F$143,3,0))*10^-3*10^2*各项系数!$J$4</f>
        <v>0.152613237852047</v>
      </c>
      <c r="LK28" s="123">
        <v>1</v>
      </c>
      <c r="LL28" s="251">
        <f t="shared" si="224"/>
        <v>0.152613237852047</v>
      </c>
      <c r="LM28" s="251">
        <f>LL28*(VLOOKUP(AN28,各项系数!$D$1:$F$143,2,0))</f>
        <v>1.52613237852047</v>
      </c>
      <c r="LN28" s="251">
        <f>各项系数!$F$76/4*($NH28^2-$NE28^2)*10^-2*(VLOOKUP($LN$9,各项系数!$D$1:$F$143,3,0))*10^-3*10^2*各项系数!$J$4</f>
        <v>0.151436904925385</v>
      </c>
      <c r="LO28" s="479">
        <v>1</v>
      </c>
      <c r="LP28" s="251">
        <f t="shared" si="225"/>
        <v>0.151436904925385</v>
      </c>
      <c r="LQ28" s="251">
        <f>LP28*(VLOOKUP($LN$9,各项系数!$D$1:$F$143,2,0))</f>
        <v>1.66580595417923</v>
      </c>
      <c r="LR28" s="251">
        <f>各项系数!$F$76/4*($NI28^2-$NF28^2)*10^-2*(VLOOKUP($LR$9,各项系数!$D$1:$F$143,3,0))*10^-3*10^2*各项系数!$J$4</f>
        <v>0.152613237852047</v>
      </c>
      <c r="LS28" s="479">
        <v>1</v>
      </c>
      <c r="LT28" s="251">
        <f t="shared" si="226"/>
        <v>0.152613237852047</v>
      </c>
      <c r="LU28" s="251">
        <f>LT28*(VLOOKUP($LR$9,各项系数!$D$1:$F$143,2,0))</f>
        <v>1.67874561637251</v>
      </c>
      <c r="LV28" s="499">
        <f t="shared" si="154"/>
        <v>191.08130826</v>
      </c>
      <c r="LW28" s="499">
        <f t="shared" si="155"/>
        <v>139.51580252</v>
      </c>
      <c r="LX28" s="499">
        <f t="shared" si="156"/>
        <v>13.3280545048377</v>
      </c>
      <c r="LY28" s="515">
        <f t="shared" si="157"/>
        <v>51.56550574</v>
      </c>
      <c r="LZ28" s="516">
        <f t="shared" si="86"/>
        <v>1</v>
      </c>
      <c r="MA28" s="517">
        <f t="shared" si="87"/>
        <v>191.08130826</v>
      </c>
      <c r="MB28" s="517">
        <f t="shared" si="158"/>
        <v>15.59782927</v>
      </c>
      <c r="MC28" s="499">
        <f t="shared" si="159"/>
        <v>0</v>
      </c>
      <c r="MD28" s="499">
        <f t="shared" si="160"/>
        <v>0</v>
      </c>
      <c r="ME28" s="499">
        <f t="shared" si="161"/>
        <v>0</v>
      </c>
      <c r="MF28" s="499">
        <f t="shared" si="162"/>
        <v>0</v>
      </c>
      <c r="MG28" s="516">
        <f t="shared" si="163"/>
        <v>1</v>
      </c>
      <c r="MH28" s="517">
        <f t="shared" si="88"/>
        <v>0</v>
      </c>
      <c r="MI28" s="517">
        <f t="shared" si="164"/>
        <v>0</v>
      </c>
      <c r="MJ28" s="251">
        <f t="shared" si="89"/>
        <v>15.59782927</v>
      </c>
      <c r="MK28" s="251">
        <f t="shared" si="165"/>
        <v>15.59782927</v>
      </c>
      <c r="ML28" s="251">
        <f t="shared" si="227"/>
        <v>0</v>
      </c>
      <c r="MM28" s="251">
        <f t="shared" si="91"/>
        <v>0</v>
      </c>
      <c r="MN28" s="251">
        <f t="shared" si="92"/>
        <v>18.39782927</v>
      </c>
      <c r="MO28" s="251">
        <f t="shared" si="166"/>
        <v>0</v>
      </c>
      <c r="MP28" s="251">
        <f t="shared" si="167"/>
        <v>18.39782927</v>
      </c>
      <c r="MQ28" s="251">
        <f t="shared" si="228"/>
        <v>18.39782927</v>
      </c>
      <c r="MR28" s="314">
        <f t="shared" si="168"/>
        <v>18.39782927</v>
      </c>
      <c r="MS28" s="530">
        <f t="shared" si="94"/>
        <v>18.39782927</v>
      </c>
      <c r="MT28" s="530">
        <f t="shared" si="95"/>
        <v>18.55782927</v>
      </c>
      <c r="MU28" s="530">
        <f t="shared" si="232"/>
        <v>18.99782927</v>
      </c>
      <c r="MV28" s="530">
        <f t="shared" si="97"/>
        <v>21.59782927</v>
      </c>
      <c r="MW28" s="530">
        <f t="shared" si="98"/>
        <v>21.75782927</v>
      </c>
      <c r="MX28" s="326">
        <f t="shared" si="233"/>
        <v>16.19782927</v>
      </c>
      <c r="MY28" s="326">
        <f t="shared" si="100"/>
        <v>0</v>
      </c>
      <c r="MZ28" s="251">
        <f t="shared" si="101"/>
        <v>18.99782927</v>
      </c>
      <c r="NA28" s="251">
        <f t="shared" si="102"/>
        <v>0</v>
      </c>
      <c r="NB28" s="251">
        <f t="shared" si="169"/>
        <v>18.99782927</v>
      </c>
      <c r="NC28" s="326">
        <f t="shared" si="229"/>
        <v>18.99782927</v>
      </c>
      <c r="ND28" s="314">
        <f t="shared" si="234"/>
        <v>18.99782927</v>
      </c>
      <c r="NE28" s="537">
        <f t="shared" si="235"/>
        <v>18.99782927</v>
      </c>
      <c r="NF28" s="530">
        <f t="shared" si="106"/>
        <v>19.15782927</v>
      </c>
      <c r="NG28" s="538">
        <f t="shared" si="236"/>
        <v>19.59782927</v>
      </c>
      <c r="NH28" s="326">
        <f t="shared" si="108"/>
        <v>22.19782927</v>
      </c>
      <c r="NI28" s="530">
        <f t="shared" si="109"/>
        <v>22.35782927</v>
      </c>
      <c r="NK28" s="539">
        <f t="shared" si="110"/>
        <v>1.48145628749981</v>
      </c>
      <c r="NL28" s="539">
        <f t="shared" si="111"/>
        <v>84.3505286969233</v>
      </c>
      <c r="NM28" s="539">
        <f t="shared" si="112"/>
        <v>1.48145628749981</v>
      </c>
      <c r="NN28" s="539">
        <f t="shared" si="113"/>
        <v>84.4975543533737</v>
      </c>
      <c r="NO28" s="539">
        <f t="shared" si="114"/>
        <v>1.51111850493465</v>
      </c>
      <c r="NP28" s="539">
        <f t="shared" si="115"/>
        <v>84.9831683073525</v>
      </c>
      <c r="NQ28" s="539">
        <f t="shared" si="116"/>
        <v>1.51111850493465</v>
      </c>
      <c r="NR28" s="539">
        <f t="shared" si="117"/>
        <v>85.1346052122778</v>
      </c>
      <c r="NS28" s="539">
        <f t="shared" si="118"/>
        <v>1.50726673413276</v>
      </c>
      <c r="NT28" s="539">
        <f t="shared" si="119"/>
        <v>1.50726673413276</v>
      </c>
      <c r="NU28" s="539">
        <f t="shared" si="120"/>
        <v>1.53776705152801</v>
      </c>
      <c r="NV28" s="539">
        <f t="shared" si="121"/>
        <v>1.53776705152801</v>
      </c>
      <c r="NW28">
        <f t="shared" si="122"/>
        <v>1.61857355537154</v>
      </c>
      <c r="NX28">
        <f>各项系数!$M$9*NK28</f>
        <v>0.444436886249942</v>
      </c>
      <c r="NY28">
        <f t="shared" si="123"/>
        <v>1.50726673413276</v>
      </c>
      <c r="OB28" s="82" t="str">
        <f t="shared" si="124"/>
        <v>1*150</v>
      </c>
      <c r="OC28" s="546">
        <f t="shared" si="125"/>
        <v>243.335870228497</v>
      </c>
      <c r="OD28" s="546">
        <f>SQRT(4*EY28/PI()/EH28/各项系数!$J$4/各项系数!$F$5*10000000)</f>
        <v>245.154096286311</v>
      </c>
      <c r="OE28" s="547">
        <f t="shared" si="126"/>
        <v>139.515802783622</v>
      </c>
      <c r="OF28" s="547">
        <f t="shared" si="127"/>
        <v>141.608539825376</v>
      </c>
      <c r="OG28" s="82">
        <v>140.7</v>
      </c>
      <c r="OH28" s="548">
        <f t="shared" si="186"/>
        <v>0.908539825376238</v>
      </c>
    </row>
    <row r="29" customHeight="1" spans="1:398">
      <c r="A29" s="66">
        <v>185</v>
      </c>
      <c r="B29" s="67">
        <v>0</v>
      </c>
      <c r="C29" s="68">
        <v>1.6</v>
      </c>
      <c r="D29" s="69" t="s">
        <v>64</v>
      </c>
      <c r="E29" s="77">
        <f t="shared" si="175"/>
        <v>23.75686581</v>
      </c>
      <c r="F29" s="75">
        <v>245.09808262108</v>
      </c>
      <c r="G29" s="74"/>
      <c r="H29" s="23"/>
      <c r="I29" s="78"/>
      <c r="J29" s="23"/>
      <c r="K29" s="23"/>
      <c r="L29" s="118" t="s">
        <v>467</v>
      </c>
      <c r="M29" s="124">
        <f t="shared" si="2"/>
        <v>1.6</v>
      </c>
      <c r="N29" s="124">
        <f t="shared" si="3"/>
        <v>0</v>
      </c>
      <c r="O29" s="123"/>
      <c r="P29" s="120">
        <v>0.1</v>
      </c>
      <c r="Q29" s="162">
        <f t="shared" si="237"/>
        <v>0.1</v>
      </c>
      <c r="R29" s="169">
        <v>0.8</v>
      </c>
      <c r="S29" s="171" t="str">
        <f>各项系数!$D$44</f>
        <v>磁性钢带</v>
      </c>
      <c r="T29" s="123">
        <v>0.2</v>
      </c>
      <c r="U29" s="123">
        <v>2</v>
      </c>
      <c r="V29" s="169"/>
      <c r="W29" s="170">
        <v>1.7</v>
      </c>
      <c r="X29" s="164">
        <f t="shared" si="238"/>
        <v>0.2</v>
      </c>
      <c r="Y29" s="219"/>
      <c r="Z29" s="220"/>
      <c r="AA29" s="217">
        <v>1.015</v>
      </c>
      <c r="AB29" s="186">
        <f>PI()*EJ29*EJ29/4*EH29*(1-H29)*AA29*各项系数!$F$5*各项系数!$J$4*10^-7</f>
        <v>1.56733675087884</v>
      </c>
      <c r="AC29" s="186">
        <f t="shared" si="176"/>
        <v>245.09808262108</v>
      </c>
      <c r="AD29" s="186">
        <f t="shared" si="5"/>
        <v>177.189293020653</v>
      </c>
      <c r="AE29" s="186">
        <f>POWER(4*EU29/PI()/EG29/10^-7/EH29/(1-H29)/各项系数!$F$5/各项系数!$J$4,0.5)</f>
        <v>246.929476077883</v>
      </c>
      <c r="AF29" s="218">
        <v>1</v>
      </c>
      <c r="AG29" s="85">
        <f>IF(EM29=0,0,PI()*ER29*ER29/4*EP29*(1-K29)*(1+AF29)*各项系数!$F$5*各项系数!$J$4*10^-7)</f>
        <v>0</v>
      </c>
      <c r="AH29" s="85">
        <f t="shared" si="177"/>
        <v>0</v>
      </c>
      <c r="AI29" s="85">
        <f t="shared" si="128"/>
        <v>0</v>
      </c>
      <c r="AJ29" s="85">
        <f>IF(OR(EP29="",EP29=0),0,POWER(4*EW29/PI()/EO29/10^-7/EP29/(1-K29)/各项系数!$F$5/各项系数!$J$4,0.5))</f>
        <v>0</v>
      </c>
      <c r="AK29" s="85" t="str">
        <f t="shared" si="8"/>
        <v>√</v>
      </c>
      <c r="AL29" s="85">
        <f t="shared" si="178"/>
        <v>108.618342969658</v>
      </c>
      <c r="AM29" s="250">
        <f t="shared" si="179"/>
        <v>185</v>
      </c>
      <c r="AN29" s="118" t="s">
        <v>486</v>
      </c>
      <c r="AO29" s="259">
        <f>AP29+各项系数!$M$9*$NK29</f>
        <v>106.48857153888</v>
      </c>
      <c r="AP29" s="259">
        <f>AQ29*(1+$BI29+(VLOOKUP($AM29,$A$12:$B$323,2,0))+各项系数!$J$6+各项系数!$M$5)*(1+$E$2)</f>
        <v>105.93572319319</v>
      </c>
      <c r="AQ29" s="260">
        <f>AR29+各项系数!$L$9*$NK29</f>
        <v>108.097676727745</v>
      </c>
      <c r="AR29" s="260">
        <f>AS29*(1+$BJ29+各项系数!$J$5+各项系数!$L$5)</f>
        <v>107.544828382055</v>
      </c>
      <c r="AS29" s="260">
        <f t="shared" si="129"/>
        <v>105.436106256917</v>
      </c>
      <c r="AT29" s="259">
        <f>AU29+各项系数!$M$9*$NM29</f>
        <v>107.654347253951</v>
      </c>
      <c r="AU29" s="259">
        <f>AV29*(1+$BI29+(VLOOKUP($AM29,$A$12:$B$323,2,0))+各项系数!$J$6+各项系数!$M$5)*(1+$E$2)</f>
        <v>107.101498908261</v>
      </c>
      <c r="AV29" s="260">
        <f>AW29+各项系数!$L$9*$NM29</f>
        <v>109.28724378394</v>
      </c>
      <c r="AW29" s="260">
        <f>AX29*(1+$BJ29+各项系数!$J$5+各项系数!$L$5)</f>
        <v>108.73439543825</v>
      </c>
      <c r="AX29" s="260">
        <f t="shared" si="130"/>
        <v>106.602348468873</v>
      </c>
      <c r="AY29" s="259">
        <f>AZ29+各项系数!$M$9*$NS29</f>
        <v>108.444166513704</v>
      </c>
      <c r="AZ29" s="259">
        <f>BA29*(1+$BI29+(VLOOKUP($AM29,$A$12:$B$214,2,0))+各项系数!$J$6+各项系数!$M$5)*(1+$E$2)</f>
        <v>107.882754099801</v>
      </c>
      <c r="BA29" s="260">
        <f>BB29+各项系数!$L$9*$NS29</f>
        <v>110.08444295898</v>
      </c>
      <c r="BB29" s="260">
        <f>BC29*(1+$BJ29+各项系数!$J$5+各项系数!$L$5)</f>
        <v>109.523030545077</v>
      </c>
      <c r="BC29" s="262">
        <f t="shared" si="131"/>
        <v>107.375520142233</v>
      </c>
      <c r="BD29" s="259">
        <f>BE29+各项系数!$M$9*$NS29</f>
        <v>109.618398739142</v>
      </c>
      <c r="BE29" s="259">
        <f>BF29*(1+$BI29+(VLOOKUP($AM29,$A$12:$B$214,2,0))+各项系数!$J$6+各项系数!$M$5)*(1+$E$2)</f>
        <v>109.05698632524</v>
      </c>
      <c r="BF29" s="260">
        <f>BG29+各项系数!$L$9*$NS29</f>
        <v>111.282639107387</v>
      </c>
      <c r="BG29" s="260">
        <f>BH29*(1+$BJ29+各项系数!$J$5+各项系数!$L$5)</f>
        <v>110.721226693484</v>
      </c>
      <c r="BH29" s="262">
        <f t="shared" si="132"/>
        <v>108.550222248514</v>
      </c>
      <c r="BI29" s="67"/>
      <c r="BJ29" s="272"/>
      <c r="BK29" s="123"/>
      <c r="BL29" s="259">
        <f>BM29+各项系数!$M$9*$NM29</f>
        <v>107.695764092405</v>
      </c>
      <c r="BM29" s="259">
        <f>BN29*(1+$CF29+(VLOOKUP($AM29,$A$12:$B$323,2,0))+各项系数!$J$6+各项系数!$M$5)*(1+$E$2)</f>
        <v>107.142915746715</v>
      </c>
      <c r="BN29" s="260">
        <f>BO29+各项系数!$L$9*$NM29</f>
        <v>109.329505863995</v>
      </c>
      <c r="BO29" s="260">
        <f>BP29*(1+$CG29+各项系数!$J$5+各项系数!$L$5)</f>
        <v>108.776657518305</v>
      </c>
      <c r="BP29" s="260">
        <f t="shared" si="133"/>
        <v>105.608405357578</v>
      </c>
      <c r="BQ29" s="259">
        <f>BR29+各项系数!$M$9*$NM29</f>
        <v>108.699050268946</v>
      </c>
      <c r="BR29" s="259">
        <f>BS29*(1+$CF29+(VLOOKUP($AM29,$A$12:$B$323,2,0))+各项系数!$J$6+各项系数!$M$5)*(1+$E$2)</f>
        <v>108.146201923256</v>
      </c>
      <c r="BS29" s="260">
        <f>BT29+各项系数!$L$9*$NM29</f>
        <v>110.353267268628</v>
      </c>
      <c r="BT29" s="260">
        <f>BU29*(1+$CG29+各项系数!$J$5+各项系数!$L$5)</f>
        <v>109.800418922939</v>
      </c>
      <c r="BU29" s="260">
        <f t="shared" si="134"/>
        <v>106.602348468873</v>
      </c>
      <c r="BV29" s="259">
        <f>BW29+各项系数!$M$9*$NT29</f>
        <v>109.129540895131</v>
      </c>
      <c r="BW29" s="259">
        <f>BX29*(1+$CF29+(VLOOKUP($AM29,$A$12:$B$214,2,0))+各项系数!$J$6+各项系数!$M$5)*(1+$E$2)</f>
        <v>108.568128481228</v>
      </c>
      <c r="BX29" s="260">
        <f>BY29+各项系数!$L$9*$NT$12</f>
        <v>110.783804572682</v>
      </c>
      <c r="BY29" s="260">
        <f>BZ29*(1+$CG29+各项系数!$J$5+各项系数!$L$5)</f>
        <v>110.775541169527</v>
      </c>
      <c r="BZ29" s="262">
        <f t="shared" si="11"/>
        <v>107.549069096628</v>
      </c>
      <c r="CA29" s="259">
        <f>CB29+各项系数!$M$9*$NT29</f>
        <v>110.140104886645</v>
      </c>
      <c r="CB29" s="259">
        <f>CC29*(1+$CF29+(VLOOKUP($AM29,$A$12:$B$214,2,0))+各项系数!$J$6+各项系数!$M$5)*(1+$E$2)</f>
        <v>109.578692472742</v>
      </c>
      <c r="CC29" s="260">
        <f>CD29+各项系数!$L$9*$NT$12</f>
        <v>111.814992319124</v>
      </c>
      <c r="CD29" s="260">
        <f>CE29*(1+$CG29+各项系数!$J$5+各项系数!$L$5)</f>
        <v>111.80672891597</v>
      </c>
      <c r="CE29" s="262">
        <f t="shared" si="135"/>
        <v>108.550222248514</v>
      </c>
      <c r="CF29" s="277">
        <f t="shared" si="136"/>
        <v>0</v>
      </c>
      <c r="CG29" s="277">
        <f t="shared" si="12"/>
        <v>0.01</v>
      </c>
      <c r="CH29" s="123"/>
      <c r="CI29" s="259">
        <f>CJ29+各项系数!$M$9*$NO29</f>
        <v>107.754903709747</v>
      </c>
      <c r="CJ29" s="259">
        <f>CK29*(1+$DC29+(VLOOKUP($AM29,$A$12:$B$323,2,0))+各项系数!$J$6+各项系数!$M$5)*(1+$E$2)+各项系数!$M$9*$NK29</f>
        <v>107.192292298143</v>
      </c>
      <c r="CK29" s="260">
        <f>CL29+各项系数!$L$9*$NO29</f>
        <v>108.815759135157</v>
      </c>
      <c r="CL29" s="260">
        <f>CM29*(1+$DD29+各项系数!$J$5+各项系数!$L$5)</f>
        <v>108.253147723553</v>
      </c>
      <c r="CM29" s="260">
        <f t="shared" si="13"/>
        <v>106.130536983876</v>
      </c>
      <c r="CN29" s="259">
        <f>CO29+各项系数!$M$9*$NO29</f>
        <v>108.873828657577</v>
      </c>
      <c r="CO29" s="259">
        <f>CP29*(1+$DC29+(VLOOKUP($AM29,$A$12:$B$323,2,0))+各项系数!$J$6+各项系数!$M$5)*(1+$E$2)+各项系数!$M$9*$NK29</f>
        <v>108.311217245973</v>
      </c>
      <c r="CP29" s="260">
        <f>CQ29+各项系数!$L$9*$NO29</f>
        <v>109.957519286004</v>
      </c>
      <c r="CQ29" s="260">
        <f>CR29*(1+$DD29+各项系数!$J$5+各项系数!$L$5)</f>
        <v>109.3949078744</v>
      </c>
      <c r="CR29" s="260">
        <f t="shared" si="14"/>
        <v>107.249909680784</v>
      </c>
      <c r="CS29" s="259">
        <f>CT29+各项系数!$M$9*$NU29</f>
        <v>109.214697288887</v>
      </c>
      <c r="CT29" s="259">
        <f t="shared" si="15"/>
        <v>108.643270379082</v>
      </c>
      <c r="CU29" s="260">
        <f>CV29+各项系数!$L$9*$NU29</f>
        <v>110.860479978655</v>
      </c>
      <c r="CV29" s="260">
        <f>CW29*(1+$DD29+各项系数!$J$5+各项系数!$L$5)</f>
        <v>110.28905306885</v>
      </c>
      <c r="CW29" s="262">
        <f t="shared" si="16"/>
        <v>108.126522616519</v>
      </c>
      <c r="CX29" s="259">
        <f>CY29+各项系数!$M$9*$NU29</f>
        <v>110.420641428206</v>
      </c>
      <c r="CY29" s="259">
        <f t="shared" si="17"/>
        <v>109.849214518401</v>
      </c>
      <c r="CZ29" s="260">
        <f>DA29+各项系数!$L$9*$NU29</f>
        <v>112.091035222858</v>
      </c>
      <c r="DA29" s="260">
        <f>DB29*(1+$DD29+各项系数!$J$5+各项系数!$L$5)</f>
        <v>111.519608313053</v>
      </c>
      <c r="DB29" s="262">
        <f t="shared" si="18"/>
        <v>109.332949326523</v>
      </c>
      <c r="DC29" s="277">
        <f t="shared" si="137"/>
        <v>0</v>
      </c>
      <c r="DD29" s="277">
        <f t="shared" si="19"/>
        <v>0</v>
      </c>
      <c r="DE29" s="69"/>
      <c r="DF29" s="69"/>
      <c r="DG29" s="259">
        <f>DH29+各项系数!$M$9*$NQ29</f>
        <v>108.973632693245</v>
      </c>
      <c r="DH29" s="259">
        <f>DI29*(1+$EA29+(VLOOKUP($AM29,$A$12:$B$323,2,0))+各项系数!$J$6+各项系数!$M$5)*(1+$E$2)+各项系数!$M$9*$NK29</f>
        <v>108.411021281641</v>
      </c>
      <c r="DI29" s="260">
        <f>DJ29+各项系数!$L$9*$NQ29</f>
        <v>110.059360138726</v>
      </c>
      <c r="DJ29" s="260">
        <f>DK29*(1+$EB29+各项系数!$J$5+各项系数!$L$5)</f>
        <v>109.496748727122</v>
      </c>
      <c r="DK29" s="260">
        <f t="shared" si="20"/>
        <v>106.307523036041</v>
      </c>
      <c r="DL29" s="259">
        <f>DM29+各项系数!$M$9*$NQ29</f>
        <v>110.004210675934</v>
      </c>
      <c r="DM29" s="259">
        <f>DN29*(1+$EA29+(VLOOKUP($AM29,$A$12:$B$323,2,0))+各项系数!$J$6+各项系数!$M$5)*(1+$E$2)+各项系数!$M$9*$NK29</f>
        <v>109.44159926433</v>
      </c>
      <c r="DN29" s="260">
        <f>DO29+各项系数!$L$9*$NQ29</f>
        <v>111.110970325144</v>
      </c>
      <c r="DO29" s="260">
        <f>DP29*(1+$EB29+各项系数!$J$5+各项系数!$L$5)</f>
        <v>110.54835891354</v>
      </c>
      <c r="DP29" s="260">
        <f t="shared" si="21"/>
        <v>107.328503799553</v>
      </c>
      <c r="DQ29" s="259">
        <f>DR29+各项系数!$M$9*$NV29</f>
        <v>110.454248533944</v>
      </c>
      <c r="DR29" s="259">
        <f t="shared" si="22"/>
        <v>109.882821624139</v>
      </c>
      <c r="DS29" s="260">
        <f>DT29+各项系数!$L$9*$NV29</f>
        <v>112.125328187897</v>
      </c>
      <c r="DT29" s="260">
        <f>DU29*(1+$EB29+各项系数!$J$5+各项系数!$L$5)</f>
        <v>111.553901278092</v>
      </c>
      <c r="DU29" s="262">
        <f t="shared" si="23"/>
        <v>108.304758522419</v>
      </c>
      <c r="DV29" s="259">
        <f>DW29+各项系数!$M$9*$NV29</f>
        <v>110.395666195273</v>
      </c>
      <c r="DW29" s="259">
        <f t="shared" si="24"/>
        <v>109.824239285468</v>
      </c>
      <c r="DX29" s="260">
        <f>DY29+各项系数!$L$9*$NV29</f>
        <v>112.065550291294</v>
      </c>
      <c r="DY29" s="260">
        <f>DZ29*(1+$EB29+各项系数!$J$5+各项系数!$L$5)</f>
        <v>111.494123381489</v>
      </c>
      <c r="DZ29" s="262">
        <f t="shared" si="25"/>
        <v>108.246721729601</v>
      </c>
      <c r="EA29" s="277">
        <f t="shared" si="230"/>
        <v>0</v>
      </c>
      <c r="EB29" s="277">
        <f t="shared" si="27"/>
        <v>0.01</v>
      </c>
      <c r="EC29" s="302">
        <f t="shared" si="138"/>
        <v>1</v>
      </c>
      <c r="ED29" s="302" t="str">
        <f t="shared" si="180"/>
        <v>1*185</v>
      </c>
      <c r="EE29" s="251">
        <f t="shared" si="239"/>
        <v>185</v>
      </c>
      <c r="EF29" s="251" t="str">
        <f>LOOKUP(EH29,{1,7,10,14,19,24,30,37,48,61},{1,"1+6","2+8","4+10","1+6+12","2+8+14","4+10+16","1+6+12+18","3+9+15+21","1+6+12+18+24"})</f>
        <v>1+6+12+18</v>
      </c>
      <c r="EG29" s="250">
        <f t="shared" si="29"/>
        <v>1</v>
      </c>
      <c r="EH29" s="260">
        <f>VLOOKUP(EE29,各项系数!$B$87:$C$110,2,0)</f>
        <v>37</v>
      </c>
      <c r="EI29" s="250">
        <f>IF(EH29=0,0,VLOOKUP(EH29,各项系数!$D$142:$E$195,2,0))*1</f>
        <v>7</v>
      </c>
      <c r="EJ29" s="305">
        <f t="shared" si="141"/>
        <v>245.09808262108</v>
      </c>
      <c r="EK29" s="251">
        <f t="shared" si="181"/>
        <v>0</v>
      </c>
      <c r="EL29" s="251">
        <f t="shared" si="31"/>
        <v>0</v>
      </c>
      <c r="EM29" s="251">
        <f t="shared" si="182"/>
        <v>0</v>
      </c>
      <c r="EN29" s="251">
        <f>IF(EP29=0,0,LOOKUP(EP29,{1,7,10,14,19,24,30,37,48,61},{1,"1+6","2+8","4+10","1+6+12","2+8+14","4+10+16","1+6+12+18","3+9+15+21","1+6+12+18+24"}))</f>
        <v>0</v>
      </c>
      <c r="EO29" s="251">
        <f t="shared" si="183"/>
        <v>0</v>
      </c>
      <c r="EP29" s="251">
        <f>IF(EM29=0,0,IF(EM29&lt;10,1,IF(AND(EM29&gt;=10,EM29&lt;=35),7,LOOKUP(EM29,{50,70,95,120,150,185,240,300},{10,14,19,24,30,37,48,61})*1)))</f>
        <v>0</v>
      </c>
      <c r="EQ29" s="251">
        <f>IF(EP29=0,0,VLOOKUP(EP29,各项系数!$D$142:$E$195,2,0))*1</f>
        <v>0</v>
      </c>
      <c r="ER29" s="251">
        <f t="shared" si="184"/>
        <v>0</v>
      </c>
      <c r="ES29" s="302">
        <f t="shared" si="185"/>
        <v>1</v>
      </c>
      <c r="ET29" s="251">
        <f>VLOOKUP(ES29,各项系数!$D$142:$E$195,2,0)*1</f>
        <v>1</v>
      </c>
      <c r="EU29" s="311">
        <f>((各项系数!$F$76/4*$EJ29^2*$EG29*$EH29*1*10^-7)*(1-$H29)*AA29)*(VLOOKUP($EY$9,各项系数!$D$4:$F$143,3,0))*各项系数!$J$4</f>
        <v>1.56733675087884</v>
      </c>
      <c r="EV29" s="312">
        <f>EU29*(VLOOKUP($EY$9,各项系数!$D$4:$F$143,2,0))</f>
        <v>102.660557182564</v>
      </c>
      <c r="EW29" s="324">
        <f>(IF($EO29=0,0,(各项系数!$F$76/4*$ER29^2*$EO29*$EP29*1*10^-7))*(1-$K29)*$AF29)*(VLOOKUP($EY$9,各项系数!$D$4:$F$143,3,0))*各项系数!$J$4</f>
        <v>0</v>
      </c>
      <c r="EX29" s="325">
        <f>EW29*(VLOOKUP($EY$9,各项系数!$D$4:$F$143,2,0))</f>
        <v>0</v>
      </c>
      <c r="EY29" s="251">
        <f>((各项系数!$F$76/4*$EJ29^2*$EG29*$EH29*1*10^-7)*(1-$H29)*AA29+IF($EO29=0,0,(各项系数!$F$76/4*$ER29^2*$EO29*$EP29*1*10^-7))*(1-$K29)*$AF29)*(VLOOKUP($EY$9,各项系数!$D$4:$F$143,3,0))*各项系数!$J$4</f>
        <v>1.56733675087884</v>
      </c>
      <c r="EZ29" s="123">
        <v>1</v>
      </c>
      <c r="FA29" s="251">
        <f t="shared" si="188"/>
        <v>1.56733675087884</v>
      </c>
      <c r="FB29" s="326">
        <f>FA29*(VLOOKUP($EY$9,各项系数!$D$4:$F$143,2,0))</f>
        <v>102.660557182564</v>
      </c>
      <c r="FC29" s="327"/>
      <c r="FD29" s="302">
        <f>各项系数!$F$76/4*($MN29^2-MK29^2)*10^-2*(VLOOKUP(L29,各项系数!$D$1:$F$143,3,0))*10^-3*10^2*$EG29*各项系数!$J$4</f>
        <v>0.103191967426064</v>
      </c>
      <c r="FE29" s="339">
        <f>FD29*VLOOKUP(L29,各项系数!$D$1:$F$143,2,0)</f>
        <v>1.05255806774586</v>
      </c>
      <c r="FF29" s="250">
        <f>各项系数!$F$76/4*($MO29^2-ML29^2)*10^-2*(VLOOKUP(L29,各项系数!$D$1:$F$143,3,0))*10^-3*10^2*$EO29*各项系数!$J$4</f>
        <v>0</v>
      </c>
      <c r="FG29" s="339">
        <f>FF29*VLOOKUP(L29,各项系数!$D$1:$F$143,2,0)</f>
        <v>0</v>
      </c>
      <c r="FH29" s="302">
        <f t="shared" si="142"/>
        <v>0.103191967426064</v>
      </c>
      <c r="FI29" s="123">
        <v>1</v>
      </c>
      <c r="FJ29" s="251">
        <f t="shared" si="189"/>
        <v>0.103191967426064</v>
      </c>
      <c r="FK29" s="339">
        <f>FJ29*VLOOKUP(L29,各项系数!$D$1:$F$143,2,0)</f>
        <v>1.05255806774586</v>
      </c>
      <c r="FL29" s="302"/>
      <c r="FM29" s="123"/>
      <c r="FN29" s="251"/>
      <c r="FO29" s="339"/>
      <c r="FP29" s="364">
        <f t="shared" si="190"/>
        <v>0.103191967426064</v>
      </c>
      <c r="FQ29" s="364">
        <f t="shared" si="191"/>
        <v>1.05255806774586</v>
      </c>
      <c r="FR29" s="365">
        <f>各项系数!$F$76/4*($MQ29^2-$MN29^2*$EG29-$MO29^2*$EO29)*10^-2</f>
        <v>0</v>
      </c>
      <c r="FS29" s="366">
        <f t="shared" si="143"/>
        <v>1</v>
      </c>
      <c r="FT29" s="367">
        <f t="shared" si="40"/>
        <v>0</v>
      </c>
      <c r="FU29" s="388">
        <f>$FT29*(VLOOKUP($FT$9,各项系数!$D$1:$F$143,3,0))*10^-3*10^2*各项系数!$J$55</f>
        <v>0</v>
      </c>
      <c r="FV29" s="389">
        <v>1</v>
      </c>
      <c r="FW29" s="390">
        <f t="shared" si="192"/>
        <v>0</v>
      </c>
      <c r="FX29" s="367">
        <f>FW29*(VLOOKUP($FT$9,各项系数!$D$1:$F$143,2,0))</f>
        <v>0</v>
      </c>
      <c r="FY29" s="388">
        <f>IF($BK29&lt;&gt;$FY$9,0,各项系数!$F$76/4*($MS29^2-$MQ29^2)*10^-2*(VLOOKUP($FY$9,各项系数!$D$1:$F$143,3,0))*10^-3*10^2)*各项系数!$J$4</f>
        <v>0</v>
      </c>
      <c r="FZ29" s="389">
        <v>1</v>
      </c>
      <c r="GA29" s="390">
        <f t="shared" si="193"/>
        <v>0</v>
      </c>
      <c r="GB29" s="367">
        <f>GA29*(VLOOKUP($FY$9,各项系数!$D$1:$F$143,2,0))</f>
        <v>0</v>
      </c>
      <c r="GC29" s="388">
        <f>IF($BK29&lt;&gt;$GC$9,0,各项系数!$F$76/4*($MS29^2-$MQ29^2)*10^-2*(VLOOKUP($GC$9,各项系数!$D$1:$F$143,3,0))*10^-3*10^2)*各项系数!$J$4</f>
        <v>0</v>
      </c>
      <c r="GD29" s="389">
        <v>1</v>
      </c>
      <c r="GE29" s="390">
        <f t="shared" si="194"/>
        <v>0</v>
      </c>
      <c r="GF29" s="367">
        <f>GE29*(VLOOKUP($GC$9,各项系数!$D$1:$F$143,2,0))</f>
        <v>0</v>
      </c>
      <c r="GG29" s="388">
        <f>IF($BK29&lt;&gt;$GG$9,0,各项系数!$F$76/4*($MS29^2-$MQ29^2)*10^-2*(VLOOKUP($GG$9,各项系数!$D$1:$F$143,3,0))*10^-3*10^2)*各项系数!$J$4</f>
        <v>0</v>
      </c>
      <c r="GH29" s="389">
        <v>1</v>
      </c>
      <c r="GI29" s="390">
        <f t="shared" si="195"/>
        <v>0</v>
      </c>
      <c r="GJ29" s="367">
        <f>GI29*(VLOOKUP($GG$9,各项系数!$D$1:$F$143,2,0))</f>
        <v>0</v>
      </c>
      <c r="GK29" s="388">
        <f>IF($BK29&lt;&gt;$GK$9,0,各项系数!$F$76/4*($MS29^2-$MQ29^2)*10^-2*(VLOOKUP($GK$9,各项系数!$D$1:$F$143,3,0))*10^-3*10^2)*各项系数!$J$4</f>
        <v>0</v>
      </c>
      <c r="GL29" s="389">
        <v>1</v>
      </c>
      <c r="GM29" s="390">
        <f t="shared" si="196"/>
        <v>0</v>
      </c>
      <c r="GN29" s="367">
        <f>GM29*(VLOOKUP($GK$9,各项系数!$D$1:$F$143,2,0))</f>
        <v>0</v>
      </c>
      <c r="GO29" s="390">
        <f t="shared" si="197"/>
        <v>0</v>
      </c>
      <c r="GP29" s="390">
        <f t="shared" si="198"/>
        <v>0</v>
      </c>
      <c r="GQ29" s="406">
        <f>各项系数!$F$76/4*($MU29^2-$MS29^2)*10^-2*(VLOOKUP($S29,各项系数!$D$1:$F$143,3,0))*10^-3*10^2*各项系数!$J$4</f>
        <v>0.151483520453611</v>
      </c>
      <c r="GR29" s="389">
        <v>1</v>
      </c>
      <c r="GS29" s="390">
        <f t="shared" si="199"/>
        <v>0.151483520453611</v>
      </c>
      <c r="GT29" s="390">
        <f t="shared" si="200"/>
        <v>0</v>
      </c>
      <c r="GU29" s="390">
        <f>ROUND($GS29*(VLOOKUP($S29,各项系数!$D$1:$F$143,2,0))+$E$3*GS29,GT29)</f>
        <v>2</v>
      </c>
      <c r="GV29" s="406">
        <f>各项系数!$F$76/4*($MT29^2-$MS29^2)*10^-2*(VLOOKUP($GV$9,各项系数!$D$1:$F$143,3,0))*10^-3*10^2*各项系数!$J$4*PI()/4*R29</f>
        <v>0.0285468940439984</v>
      </c>
      <c r="GW29" s="389">
        <v>1</v>
      </c>
      <c r="GX29" s="390">
        <f t="shared" si="201"/>
        <v>0.0285468940439984</v>
      </c>
      <c r="GY29" s="390">
        <f>$GX29*(VLOOKUP($GV$9,各项系数!$D$1:$F$143,2,0))</f>
        <v>1.92691534796989</v>
      </c>
      <c r="GZ29" s="406">
        <f>各项系数!$F$76/4*($MV29^2-$MS29^2)*10^-2*(VLOOKUP($GZ$9,各项系数!$D$1:$F$143,3,0))*10^-3*10^2*各项系数!$J$4</f>
        <v>0.169954895209587</v>
      </c>
      <c r="HA29" s="389">
        <v>1</v>
      </c>
      <c r="HB29" s="390">
        <f t="shared" si="144"/>
        <v>0.169954895209587</v>
      </c>
      <c r="HC29" s="390">
        <f>HB29*(VLOOKUP($GZ$9,各项系数!$D$1:$F$143,2,0))</f>
        <v>2.88923321856298</v>
      </c>
      <c r="HD29" s="406">
        <f>各项系数!$F$76/4*($MW29^2-$MT29^2)*10^-2*(VLOOKUP($HD$9,各项系数!$D$1:$F$143,3,0))*10^-3*10^2*各项系数!$J$4</f>
        <v>0.17118774413145</v>
      </c>
      <c r="HE29" s="389">
        <v>1</v>
      </c>
      <c r="HF29" s="390">
        <f t="shared" si="145"/>
        <v>0.17118774413145</v>
      </c>
      <c r="HG29" s="390">
        <f>HF29*(VLOOKUP($HD$9,各项系数!$D$1:$F$143,2,0))</f>
        <v>2.91019165023465</v>
      </c>
      <c r="HH29" s="406">
        <f>各项系数!$F$76/4*($MV29^2-$MS29^2)*10^-2*(VLOOKUP($HH$9,各项系数!$D$1:$F$143,3,0))*10^-3*10^2*各项系数!$J$4</f>
        <v>0.169954895209587</v>
      </c>
      <c r="HI29" s="420">
        <v>1</v>
      </c>
      <c r="HJ29" s="390">
        <f t="shared" si="146"/>
        <v>0.169954895209587</v>
      </c>
      <c r="HK29" s="390">
        <f>HJ29*(VLOOKUP($HH$9,各项系数!$D$1:$F$143,2,0))</f>
        <v>2.88923321856298</v>
      </c>
      <c r="HL29" s="406">
        <f>各项系数!$F$76/4*($MW29^2-$MT29^2)*10^-2*(VLOOKUP($HL$9,各项系数!$D$1:$F$143,3,0))*10^-3*10^2*各项系数!$J$4</f>
        <v>0.17118774413145</v>
      </c>
      <c r="HM29" s="420">
        <v>1</v>
      </c>
      <c r="HN29" s="390">
        <f t="shared" si="147"/>
        <v>0.17118774413145</v>
      </c>
      <c r="HO29" s="390">
        <f>HN29*(VLOOKUP($HL$9,各项系数!$D$1:$F$143,2,0))</f>
        <v>2.91019165023465</v>
      </c>
      <c r="HP29" s="406">
        <f>各项系数!$F$76/4*($MV29^2-$MS29^2)*10^-2*(VLOOKUP(AN29,各项系数!$D$1:$F$143,3,0))*10^-3*10^2*各项系数!$J$4</f>
        <v>0.172299100660754</v>
      </c>
      <c r="HQ29" s="389">
        <v>1</v>
      </c>
      <c r="HR29" s="390">
        <f t="shared" si="202"/>
        <v>0.172299100660754</v>
      </c>
      <c r="HS29" s="390">
        <f>HR29*(VLOOKUP(AN29,各项系数!$D$1:$F$143,2,0))</f>
        <v>1.72299100660754</v>
      </c>
      <c r="HT29" s="406">
        <f>各项系数!$F$76/4*($MW29^2-$MT29^2)*10^-2*(VLOOKUP(AN29,各项系数!$D$1:$F$143,3,0))*10^-3*10^2*各项系数!$J$4</f>
        <v>0.173548954395332</v>
      </c>
      <c r="HU29" s="389">
        <v>1</v>
      </c>
      <c r="HV29" s="390">
        <f t="shared" si="203"/>
        <v>0.173548954395332</v>
      </c>
      <c r="HW29" s="390">
        <f>HV29*(VLOOKUP(AN29,各项系数!$D$1:$F$143,2,0))</f>
        <v>1.73548954395332</v>
      </c>
      <c r="HX29" s="406">
        <f>各项系数!$F$76/4*($MV29^2-$MS29^2)*10^-2*(VLOOKUP($HX$9,各项系数!$D$1:$F$143,3,0))*10^-3*10^2*各项系数!$J$4</f>
        <v>0.172299100660754</v>
      </c>
      <c r="HY29" s="420">
        <v>1</v>
      </c>
      <c r="HZ29" s="390">
        <f t="shared" si="204"/>
        <v>0.172299100660754</v>
      </c>
      <c r="IA29" s="390">
        <f>HZ29*(VLOOKUP($HX$9,各项系数!$D$1:$F$143,2,0))</f>
        <v>1.89529010726829</v>
      </c>
      <c r="IB29" s="406">
        <f>各项系数!$F$76/4*($MW29^2-$MT29^2)*10^-2*(VLOOKUP($IB$9,各项系数!$D$1:$F$143,3,0))*10^-3*10^2*各项系数!$J$4</f>
        <v>0.173548954395332</v>
      </c>
      <c r="IC29" s="420">
        <v>1</v>
      </c>
      <c r="ID29" s="390">
        <f t="shared" si="205"/>
        <v>0.173548954395332</v>
      </c>
      <c r="IE29" s="390">
        <f>ID29*(VLOOKUP($IB$9,各项系数!$D$1:$F$143,2,0))</f>
        <v>1.90903849834865</v>
      </c>
      <c r="IF29" s="429"/>
      <c r="IG29" s="406">
        <f t="shared" si="148"/>
        <v>0.0245556673094168</v>
      </c>
      <c r="IH29" s="389">
        <v>1</v>
      </c>
      <c r="II29" s="390">
        <f t="shared" si="206"/>
        <v>0.0245556673094168</v>
      </c>
      <c r="IJ29" s="390">
        <f>II29*(VLOOKUP($IG$8,各项系数!$D$1:$F$143,2,0))</f>
        <v>0.61389168273542</v>
      </c>
      <c r="IK29" s="406">
        <f>(各项系数!$F$76/4*($MX29^2-$MK29^2)*$EG29)*10^-2*(VLOOKUP($IG$8,各项系数!$D$1:$F$143,3,0))*10^-3*10^2*各项系数!$J$4</f>
        <v>0.0245556673094168</v>
      </c>
      <c r="IL29" s="389">
        <f>IK29*(VLOOKUP($IG$8,各项系数!$D$1:$F$143,2,0))</f>
        <v>0.61389168273542</v>
      </c>
      <c r="IM29" s="390">
        <f>(各项系数!$F$76/4*(($MM29+3*$X29)^2-MM29^2)*$EO29)*10^-2*(VLOOKUP($IG$8,各项系数!$D$1:$F$143,3,0))*10^-3*10^2*各项系数!$J$4</f>
        <v>0</v>
      </c>
      <c r="IN29" s="389">
        <f>IM29*(VLOOKUP($IG$8,各项系数!$D$1:$F$143,2,0))</f>
        <v>0</v>
      </c>
      <c r="IO29" s="406">
        <f>各项系数!$F$76/4*($MZ29^2-$MX29^2)*10^-2*(VLOOKUP(L29,各项系数!$D$1:$F$143,3,0))*10^-3*10^2*$ES29*各项系数!$J$4</f>
        <v>0.106492901659044</v>
      </c>
      <c r="IP29" s="389">
        <v>1</v>
      </c>
      <c r="IQ29" s="390">
        <f t="shared" si="207"/>
        <v>0.106492901659044</v>
      </c>
      <c r="IR29" s="367">
        <f>IQ29*(VLOOKUP(L29,各项系数!$D$1:$F$143,2,0))</f>
        <v>1.08622759692225</v>
      </c>
      <c r="IS29" s="406">
        <f>IF($L29&lt;&gt;$IS$9,0,各项系数!$F$76/4*($MZ29^2-$MX29^2)*10^-2*各项系数!$F$12*10^-3*10^2)*$ES29*各项系数!$J$4</f>
        <v>0</v>
      </c>
      <c r="IT29" s="389">
        <v>1</v>
      </c>
      <c r="IU29" s="390">
        <f t="shared" si="208"/>
        <v>0</v>
      </c>
      <c r="IV29" s="367">
        <f>IU29*各项系数!$E$12</f>
        <v>0</v>
      </c>
      <c r="IW29" s="388">
        <f t="shared" si="209"/>
        <v>0.106492901659044</v>
      </c>
      <c r="IX29" s="388">
        <f t="shared" si="210"/>
        <v>1.08622759692225</v>
      </c>
      <c r="IY29" s="447">
        <f>各项系数!$F$76/4*($NB29^2-$MZ29^2*$EG29-$NA29^2*$EO29)*10^-2</f>
        <v>0</v>
      </c>
      <c r="IZ29" s="366">
        <f t="shared" si="231"/>
        <v>1</v>
      </c>
      <c r="JA29" s="367">
        <f t="shared" si="64"/>
        <v>0</v>
      </c>
      <c r="JB29" s="364">
        <f>IF($DE29&lt;&gt;$JB$9,0,$JA29*各项系数!$F$32*10^-3*10^2)*各项系数!$J$4</f>
        <v>0</v>
      </c>
      <c r="JC29" s="123">
        <v>1</v>
      </c>
      <c r="JD29" s="251">
        <f t="shared" si="211"/>
        <v>0</v>
      </c>
      <c r="JE29" s="339">
        <f>JD29*各项系数!$E$32</f>
        <v>0</v>
      </c>
      <c r="JF29" s="364">
        <f>IF($DE29&lt;&gt;$JF$9,0,$JA29*VLOOKUP($JF$9,各项系数!$D$4:$F$540,2,0)*10^-3*10^2)*各项系数!$J$4</f>
        <v>0</v>
      </c>
      <c r="JG29" s="123">
        <v>1</v>
      </c>
      <c r="JH29" s="251">
        <f t="shared" si="66"/>
        <v>0</v>
      </c>
      <c r="JI29" s="339">
        <f>JH29*VLOOKUP($JF$9,各项系数!$D$4:$F$540,3,0)</f>
        <v>0</v>
      </c>
      <c r="JJ29" s="364">
        <f t="shared" si="212"/>
        <v>0</v>
      </c>
      <c r="JK29" s="251">
        <f t="shared" si="213"/>
        <v>0</v>
      </c>
      <c r="JL29" s="364">
        <f>IF($DF29&lt;&gt;$JL$9,0,各项系数!$F$76/4*($NE29^2-$NC29^2)*10^-2*各项系数!$F$39*10^-3*10^2)*各项系数!$J$4</f>
        <v>0</v>
      </c>
      <c r="JM29" s="123">
        <v>1</v>
      </c>
      <c r="JN29" s="251">
        <f t="shared" si="214"/>
        <v>0</v>
      </c>
      <c r="JO29" s="339">
        <f>JN29*各项系数!$E$39</f>
        <v>0</v>
      </c>
      <c r="JP29" s="364">
        <f>IF($DF29&lt;&gt;$JP$9,0,各项系数!$F$76/4*($NE29^2-$NC29^2)*10^-2*各项系数!$F$36*10^-3*10^2)*各项系数!$J$4</f>
        <v>0</v>
      </c>
      <c r="JQ29" s="123">
        <v>1</v>
      </c>
      <c r="JR29" s="251">
        <f t="shared" si="215"/>
        <v>0</v>
      </c>
      <c r="JS29" s="339">
        <f>JR29*各项系数!$E$36</f>
        <v>0</v>
      </c>
      <c r="JT29" s="364">
        <f>IF($DF29&lt;&gt;$JT$9,0,各项系数!$F$76/4*($NE29^2-$NC29^2)*10^-2*各项系数!$F$40*10^-3*10^2)*各项系数!$J$4</f>
        <v>0</v>
      </c>
      <c r="JU29" s="123">
        <v>1</v>
      </c>
      <c r="JV29" s="251">
        <f t="shared" si="216"/>
        <v>0</v>
      </c>
      <c r="JW29" s="339">
        <f>JV29*各项系数!$E$40</f>
        <v>0</v>
      </c>
      <c r="JX29" s="364">
        <f>IF($DF29&lt;&gt;$JX$9,0,各项系数!$F$76/4*($NE29^2-$NC29^2)*10^-2*各项系数!$F$38*10^-3*10^2)*各项系数!$J$4</f>
        <v>0</v>
      </c>
      <c r="JY29" s="123">
        <v>1</v>
      </c>
      <c r="JZ29" s="251">
        <f t="shared" si="217"/>
        <v>0</v>
      </c>
      <c r="KA29" s="339">
        <f>JZ29*各项系数!$E$38</f>
        <v>0</v>
      </c>
      <c r="KB29" s="364">
        <f>IF($DF29&lt;&gt;$KB$9,0,各项系数!$F$76/4*($NE29^2-$NC29^2)*10^-2*各项系数!$F$41*10^-3*10^2)*各项系数!$J$4</f>
        <v>0</v>
      </c>
      <c r="KC29" s="123">
        <v>1</v>
      </c>
      <c r="KD29" s="251">
        <f t="shared" si="218"/>
        <v>0</v>
      </c>
      <c r="KE29" s="339">
        <f>KD29*各项系数!$E$41</f>
        <v>0</v>
      </c>
      <c r="KF29" s="251">
        <f t="shared" si="219"/>
        <v>0</v>
      </c>
      <c r="KG29" s="251">
        <f t="shared" si="220"/>
        <v>0</v>
      </c>
      <c r="KH29" s="302">
        <f>各项系数!$F$76/4*($NG29^2-$NE29^2)*10^-2*各项系数!$F$44*10^-3*10^2*各项系数!$J$4*0.75*$U29</f>
        <v>0.233825273615562</v>
      </c>
      <c r="KI29" s="123">
        <v>1</v>
      </c>
      <c r="KJ29" s="251">
        <f t="shared" si="221"/>
        <v>0.233825273615562</v>
      </c>
      <c r="KK29" s="251">
        <f>ROUND(KJ29*各项系数!$E$44,GT29)</f>
        <v>3</v>
      </c>
      <c r="KL29" s="302">
        <f>各项系数!$F$76/4*($NF29^2-$NE29^2)*10^-2*各项系数!$F$46*10^-3*10^2*各项系数!$J$4*PI()/4*R29</f>
        <v>0.029384994004415</v>
      </c>
      <c r="KM29" s="123">
        <v>1</v>
      </c>
      <c r="KN29" s="251">
        <f t="shared" si="222"/>
        <v>0.029384994004415</v>
      </c>
      <c r="KO29" s="251">
        <f>KN29*各项系数!$E$46</f>
        <v>1.98348709529801</v>
      </c>
      <c r="KP29" s="302">
        <f>各项系数!$F$76/4*($NH29^2-$NE29^2)*10^-2*(VLOOKUP($KP$9,各项系数!$D$1:$F$143,3,0))*10^-3*10^2*各项系数!$J$4</f>
        <v>0.174578078666573</v>
      </c>
      <c r="KQ29" s="123">
        <v>1</v>
      </c>
      <c r="KR29" s="251">
        <f t="shared" si="150"/>
        <v>0.174578078666573</v>
      </c>
      <c r="KS29" s="251">
        <f>KR29*(VLOOKUP($KP$9,各项系数!$D$1:$F$143,2,0))</f>
        <v>2.96782733733174</v>
      </c>
      <c r="KT29" s="302">
        <f>各项系数!$F$76/4*($NI29^2-$NF29^2)*10^-2*(VLOOKUP($KT$9,各项系数!$D$1:$F$143,3,0))*10^-3*10^2*各项系数!$J$4</f>
        <v>0.175810927588436</v>
      </c>
      <c r="KU29" s="123">
        <v>1</v>
      </c>
      <c r="KV29" s="251">
        <f t="shared" si="151"/>
        <v>0.175810927588436</v>
      </c>
      <c r="KW29" s="251">
        <f>KV29*(VLOOKUP($KT$9,各项系数!$D$1:$F$143,2,0))</f>
        <v>2.98878576900341</v>
      </c>
      <c r="KX29" s="251">
        <f>各项系数!$F$76/4*($NH29^2-$NE29^2)*10^-2*(VLOOKUP($KX$9,各项系数!$D$1:$F$143,3,0))*10^-3*10^2*各项系数!$J$4</f>
        <v>0.174578078666573</v>
      </c>
      <c r="KY29" s="479">
        <v>1</v>
      </c>
      <c r="KZ29" s="251">
        <f t="shared" si="152"/>
        <v>0.174578078666573</v>
      </c>
      <c r="LA29" s="251">
        <f>KZ29*(VLOOKUP($KX$9,各项系数!$D$1:$F$143,2,0))</f>
        <v>2.96782733733174</v>
      </c>
      <c r="LB29" s="251">
        <f>各项系数!$F$76/4*($NI29^2-$NF29^2)*10^-2*(VLOOKUP($LB$9,各项系数!$D$1:$F$143,3,0))*10^-3*10^2*各项系数!$J$4</f>
        <v>0.175810927588436</v>
      </c>
      <c r="LC29" s="479">
        <v>1</v>
      </c>
      <c r="LD29" s="251">
        <f t="shared" si="153"/>
        <v>0.175810927588436</v>
      </c>
      <c r="LE29" s="251">
        <f>LD29*(VLOOKUP($LB$9,各项系数!$D$1:$F$143,2,0))</f>
        <v>2.98878576900341</v>
      </c>
      <c r="LF29" s="302">
        <f>各项系数!$F$76/4*($NH29^2-$NE29^2)*10^-2*(VLOOKUP(AN29,各项系数!$D$1:$F$143,3,0))*10^-3*10^2*各项系数!$J$4</f>
        <v>0.176986052165422</v>
      </c>
      <c r="LG29" s="123">
        <v>1</v>
      </c>
      <c r="LH29" s="251">
        <f t="shared" si="223"/>
        <v>0.176986052165422</v>
      </c>
      <c r="LI29" s="251">
        <f>LH29*(VLOOKUP(AN29,各项系数!$D$1:$F$143,2,0))</f>
        <v>1.76986052165422</v>
      </c>
      <c r="LJ29" s="302">
        <f>各项系数!$F$76/4*($NI29^2-$NF29^2)*10^-2*(VLOOKUP(AN29,各项系数!$D$1:$F$143,3,0))*10^-3*10^2*各项系数!$J$4</f>
        <v>0.178235905900001</v>
      </c>
      <c r="LK29" s="123">
        <v>1</v>
      </c>
      <c r="LL29" s="251">
        <f t="shared" si="224"/>
        <v>0.178235905900001</v>
      </c>
      <c r="LM29" s="251">
        <f>LL29*(VLOOKUP(AN29,各项系数!$D$1:$F$143,2,0))</f>
        <v>1.78235905900001</v>
      </c>
      <c r="LN29" s="251">
        <f>各项系数!$F$76/4*($NH29^2-$NE29^2)*10^-2*(VLOOKUP($LN$9,各项系数!$D$1:$F$143,3,0))*10^-3*10^2*各项系数!$J$4</f>
        <v>0.176986052165422</v>
      </c>
      <c r="LO29" s="479">
        <v>1</v>
      </c>
      <c r="LP29" s="251">
        <f t="shared" si="225"/>
        <v>0.176986052165422</v>
      </c>
      <c r="LQ29" s="251">
        <f>LP29*(VLOOKUP($LN$9,各项系数!$D$1:$F$143,2,0))</f>
        <v>1.94684657381964</v>
      </c>
      <c r="LR29" s="251">
        <f>各项系数!$F$76/4*($NI29^2-$NF29^2)*10^-2*(VLOOKUP($LR$9,各项系数!$D$1:$F$143,3,0))*10^-3*10^2*各项系数!$J$4</f>
        <v>0.178235905900001</v>
      </c>
      <c r="LS29" s="479">
        <v>1</v>
      </c>
      <c r="LT29" s="251">
        <f t="shared" si="226"/>
        <v>0.178235905900001</v>
      </c>
      <c r="LU29" s="251">
        <f>LT29*(VLOOKUP($LR$9,各项系数!$D$1:$F$143,2,0))</f>
        <v>1.96059496490001</v>
      </c>
      <c r="LV29" s="499">
        <f t="shared" si="154"/>
        <v>231.18826747</v>
      </c>
      <c r="LW29" s="499">
        <f t="shared" si="155"/>
        <v>174.57073258</v>
      </c>
      <c r="LX29" s="499">
        <f t="shared" si="156"/>
        <v>14.9087343552108</v>
      </c>
      <c r="LY29" s="515">
        <f t="shared" si="157"/>
        <v>56.61753489</v>
      </c>
      <c r="LZ29" s="516">
        <f t="shared" si="86"/>
        <v>1</v>
      </c>
      <c r="MA29" s="517">
        <f t="shared" si="87"/>
        <v>231.18826747</v>
      </c>
      <c r="MB29" s="517">
        <f t="shared" si="158"/>
        <v>17.15686581</v>
      </c>
      <c r="MC29" s="499">
        <f t="shared" si="159"/>
        <v>0</v>
      </c>
      <c r="MD29" s="499">
        <f t="shared" si="160"/>
        <v>0</v>
      </c>
      <c r="ME29" s="499">
        <f t="shared" si="161"/>
        <v>0</v>
      </c>
      <c r="MF29" s="499">
        <f t="shared" si="162"/>
        <v>0</v>
      </c>
      <c r="MG29" s="516">
        <f t="shared" si="163"/>
        <v>1</v>
      </c>
      <c r="MH29" s="517">
        <f t="shared" si="88"/>
        <v>0</v>
      </c>
      <c r="MI29" s="517">
        <f t="shared" si="164"/>
        <v>0</v>
      </c>
      <c r="MJ29" s="251">
        <f t="shared" si="89"/>
        <v>17.15686581</v>
      </c>
      <c r="MK29" s="251">
        <f t="shared" si="165"/>
        <v>17.15686581</v>
      </c>
      <c r="ML29" s="251">
        <f t="shared" si="227"/>
        <v>0</v>
      </c>
      <c r="MM29" s="251">
        <f t="shared" si="91"/>
        <v>0</v>
      </c>
      <c r="MN29" s="251">
        <f t="shared" si="92"/>
        <v>20.35686581</v>
      </c>
      <c r="MO29" s="251">
        <f t="shared" si="166"/>
        <v>0</v>
      </c>
      <c r="MP29" s="251">
        <f t="shared" si="167"/>
        <v>20.35686581</v>
      </c>
      <c r="MQ29" s="251">
        <f t="shared" si="228"/>
        <v>20.35686581</v>
      </c>
      <c r="MR29" s="314">
        <f t="shared" si="168"/>
        <v>20.35686581</v>
      </c>
      <c r="MS29" s="530">
        <f t="shared" si="94"/>
        <v>20.35686581</v>
      </c>
      <c r="MT29" s="530">
        <f t="shared" si="95"/>
        <v>20.51686581</v>
      </c>
      <c r="MU29" s="530">
        <f t="shared" si="232"/>
        <v>20.95686581</v>
      </c>
      <c r="MV29" s="530">
        <f t="shared" si="97"/>
        <v>23.75686581</v>
      </c>
      <c r="MW29" s="530">
        <f t="shared" si="98"/>
        <v>23.91686581</v>
      </c>
      <c r="MX29" s="326">
        <f t="shared" si="233"/>
        <v>17.75686581</v>
      </c>
      <c r="MY29" s="326">
        <f t="shared" si="100"/>
        <v>0</v>
      </c>
      <c r="MZ29" s="251">
        <f t="shared" si="101"/>
        <v>20.95686581</v>
      </c>
      <c r="NA29" s="251">
        <f t="shared" si="102"/>
        <v>0</v>
      </c>
      <c r="NB29" s="251">
        <f t="shared" si="169"/>
        <v>20.95686581</v>
      </c>
      <c r="NC29" s="326">
        <f t="shared" si="229"/>
        <v>20.95686581</v>
      </c>
      <c r="ND29" s="314">
        <f t="shared" si="234"/>
        <v>20.95686581</v>
      </c>
      <c r="NE29" s="537">
        <f t="shared" si="235"/>
        <v>20.95686581</v>
      </c>
      <c r="NF29" s="530">
        <f t="shared" si="106"/>
        <v>21.11686581</v>
      </c>
      <c r="NG29" s="538">
        <f t="shared" si="236"/>
        <v>21.55686581</v>
      </c>
      <c r="NH29" s="326">
        <f t="shared" si="108"/>
        <v>24.35686581</v>
      </c>
      <c r="NI29" s="530">
        <f t="shared" si="109"/>
        <v>24.51686581</v>
      </c>
      <c r="NK29" s="539">
        <f t="shared" si="110"/>
        <v>1.84282781896565</v>
      </c>
      <c r="NL29" s="539">
        <f t="shared" si="111"/>
        <v>105.436106256917</v>
      </c>
      <c r="NM29" s="539">
        <f t="shared" si="112"/>
        <v>1.84282781896565</v>
      </c>
      <c r="NN29" s="539">
        <f t="shared" si="113"/>
        <v>105.608405357578</v>
      </c>
      <c r="NO29" s="539">
        <f t="shared" si="114"/>
        <v>1.87537137201272</v>
      </c>
      <c r="NP29" s="539">
        <f t="shared" si="115"/>
        <v>106.130536983876</v>
      </c>
      <c r="NQ29" s="539">
        <f t="shared" si="116"/>
        <v>1.87537137201272</v>
      </c>
      <c r="NR29" s="539">
        <f t="shared" si="117"/>
        <v>106.307523036041</v>
      </c>
      <c r="NS29" s="539">
        <f t="shared" si="118"/>
        <v>1.87137471300965</v>
      </c>
      <c r="NT29" s="539">
        <f t="shared" si="119"/>
        <v>1.87137471300965</v>
      </c>
      <c r="NU29" s="539">
        <f t="shared" si="120"/>
        <v>1.90475636601713</v>
      </c>
      <c r="NV29" s="539">
        <f t="shared" si="121"/>
        <v>1.90475636601713</v>
      </c>
      <c r="NW29">
        <f t="shared" si="122"/>
        <v>1.99431133941926</v>
      </c>
      <c r="NX29">
        <f>各项系数!$M$9*NK29</f>
        <v>0.552848345689696</v>
      </c>
      <c r="NY29">
        <f t="shared" si="123"/>
        <v>1.87137471300965</v>
      </c>
      <c r="OB29" s="82" t="str">
        <f t="shared" si="124"/>
        <v>1*185</v>
      </c>
      <c r="OC29" s="546">
        <f t="shared" si="125"/>
        <v>245.09808262108</v>
      </c>
      <c r="OD29" s="546">
        <f>SQRT(4*EY29/PI()/EH29/各项系数!$J$4/各项系数!$F$5*10000000)</f>
        <v>246.929476077883</v>
      </c>
      <c r="OE29" s="547">
        <f t="shared" si="126"/>
        <v>174.570732040052</v>
      </c>
      <c r="OF29" s="547">
        <f t="shared" si="127"/>
        <v>177.189293020653</v>
      </c>
      <c r="OG29" s="82">
        <v>176.9</v>
      </c>
      <c r="OH29" s="548">
        <f t="shared" si="186"/>
        <v>0.289293020652764</v>
      </c>
    </row>
    <row r="30" customHeight="1" spans="1:398">
      <c r="A30" s="66">
        <v>240</v>
      </c>
      <c r="B30" s="67">
        <v>0</v>
      </c>
      <c r="C30" s="68">
        <v>1.7</v>
      </c>
      <c r="D30" s="69" t="s">
        <v>244</v>
      </c>
      <c r="E30" s="77">
        <f t="shared" ref="E30:E45" si="240">MV30</f>
        <v>27.10615008</v>
      </c>
      <c r="F30" s="75">
        <v>246.701228113631</v>
      </c>
      <c r="G30" s="74"/>
      <c r="H30" s="78"/>
      <c r="I30" s="78"/>
      <c r="J30" s="78"/>
      <c r="K30" s="78"/>
      <c r="L30" s="118" t="s">
        <v>467</v>
      </c>
      <c r="M30" s="124">
        <f t="shared" si="2"/>
        <v>1.7</v>
      </c>
      <c r="N30" s="124">
        <f t="shared" si="3"/>
        <v>0</v>
      </c>
      <c r="O30" s="123"/>
      <c r="P30" s="120">
        <v>0.1</v>
      </c>
      <c r="Q30" s="162">
        <f t="shared" si="237"/>
        <v>0.1</v>
      </c>
      <c r="R30" s="169">
        <v>0.8</v>
      </c>
      <c r="S30" s="171" t="str">
        <f>各项系数!$D$44</f>
        <v>磁性钢带</v>
      </c>
      <c r="T30" s="123">
        <v>0.5</v>
      </c>
      <c r="U30" s="123">
        <v>2</v>
      </c>
      <c r="V30" s="169"/>
      <c r="W30" s="170">
        <v>1.8</v>
      </c>
      <c r="X30" s="164">
        <f t="shared" si="238"/>
        <v>0.2</v>
      </c>
      <c r="Y30" s="219"/>
      <c r="Z30" s="220"/>
      <c r="AA30" s="217">
        <v>1.015</v>
      </c>
      <c r="AB30" s="186">
        <f>PI()*EJ30*EJ30/4*EH30*(1-H30)*AA30*各项系数!$F$5*各项系数!$J$4*10^-7</f>
        <v>2.05998769246807</v>
      </c>
      <c r="AC30" s="186">
        <f t="shared" ref="AC30:AC45" si="241">EJ30</f>
        <v>246.701228113631</v>
      </c>
      <c r="AD30" s="186">
        <f t="shared" si="5"/>
        <v>232.884070800354</v>
      </c>
      <c r="AE30" s="186">
        <f>POWER(4*EU30/PI()/EG30/10^-7/EH30/(1-H30)/各项系数!$F$5/各项系数!$J$4,0.5)</f>
        <v>248.544600408187</v>
      </c>
      <c r="AF30" s="218">
        <v>1</v>
      </c>
      <c r="AG30" s="85">
        <f>IF(EM30=0,0,PI()*ER30*ER30/4*EP30*(1-K30)*(1+AF30)*各项系数!$F$5*各项系数!$J$4*10^-7)</f>
        <v>0</v>
      </c>
      <c r="AH30" s="85">
        <f t="shared" ref="AH30:AH45" si="242">ER30</f>
        <v>0</v>
      </c>
      <c r="AI30" s="85">
        <f t="shared" si="128"/>
        <v>0</v>
      </c>
      <c r="AJ30" s="85">
        <f>IF(OR(EP30="",EP30=0),0,POWER(4*EW30/PI()/EO30/10^-7/EP30/(1-K30)/各项系数!$F$5/各项系数!$J$4,0.5))</f>
        <v>0</v>
      </c>
      <c r="AK30" s="85" t="str">
        <f t="shared" si="8"/>
        <v>√</v>
      </c>
      <c r="AL30" s="85">
        <f t="shared" ref="AL30:AL45" si="243">AO30*(1+0.02)</f>
        <v>142.484603285923</v>
      </c>
      <c r="AM30" s="250">
        <f t="shared" ref="AM30:AM45" si="244">EE30*1</f>
        <v>240</v>
      </c>
      <c r="AN30" s="118" t="s">
        <v>486</v>
      </c>
      <c r="AO30" s="259">
        <f>AP30+各项系数!$M$9*$NK30</f>
        <v>139.690787535218</v>
      </c>
      <c r="AP30" s="259">
        <f>AQ30*(1+$BI30+(VLOOKUP($AM30,$A$12:$B$323,2,0))+各项系数!$J$6+各项系数!$M$5)*(1+$E$2)</f>
        <v>138.97175865776</v>
      </c>
      <c r="AQ30" s="260">
        <f>AR30+各项系数!$L$9*$NK30</f>
        <v>141.807916997714</v>
      </c>
      <c r="AR30" s="260">
        <f>AS30*(1+$BJ30+各项系数!$J$5+各项系数!$L$5)</f>
        <v>141.088888120256</v>
      </c>
      <c r="AS30" s="260">
        <f t="shared" si="129"/>
        <v>138.322439333585</v>
      </c>
      <c r="AT30" s="259">
        <f>AU30+各项系数!$M$9*$NM30</f>
        <v>141.106975391665</v>
      </c>
      <c r="AU30" s="259">
        <f>AV30*(1+$BI30+(VLOOKUP($AM30,$A$12:$B$323,2,0))+各项系数!$J$6+各项系数!$M$5)*(1+$E$2)</f>
        <v>140.387946514206</v>
      </c>
      <c r="AV30" s="260">
        <f>AW30+各项系数!$L$9*$NM30</f>
        <v>143.253006647149</v>
      </c>
      <c r="AW30" s="260">
        <f>AX30*(1+$BJ30+各项系数!$J$5+各项系数!$L$5)</f>
        <v>142.533977769691</v>
      </c>
      <c r="AX30" s="260">
        <f t="shared" si="130"/>
        <v>139.739193891854</v>
      </c>
      <c r="AY30" s="259">
        <f>AZ30+各项系数!$M$9*$NS30</f>
        <v>141.946545861212</v>
      </c>
      <c r="AZ30" s="259">
        <f>BA30*(1+$BI30+(VLOOKUP($AM30,$A$12:$B$214,2,0))+各项系数!$J$6+各项系数!$M$5)*(1+$E$2)</f>
        <v>141.21763320803</v>
      </c>
      <c r="BA30" s="260">
        <f>BB30+各项系数!$L$9*$NS30</f>
        <v>144.099625722479</v>
      </c>
      <c r="BB30" s="260">
        <f>BC30*(1+$BJ30+各项系数!$J$5+各项系数!$L$5)</f>
        <v>143.370713069297</v>
      </c>
      <c r="BC30" s="262">
        <f t="shared" si="131"/>
        <v>140.559522616958</v>
      </c>
      <c r="BD30" s="259">
        <f>BE30+各项系数!$M$9*$NS30</f>
        <v>143.371687669813</v>
      </c>
      <c r="BE30" s="259">
        <f>BF30*(1+$BI30+(VLOOKUP($AM30,$A$12:$B$214,2,0))+各项系数!$J$6+各项系数!$M$5)*(1+$E$2)</f>
        <v>142.64277501663</v>
      </c>
      <c r="BF30" s="260">
        <f>BG30+各项系数!$L$9*$NS30</f>
        <v>145.553852057786</v>
      </c>
      <c r="BG30" s="260">
        <f>BH30*(1+$BJ30+各项系数!$J$5+各项系数!$L$5)</f>
        <v>144.824939404603</v>
      </c>
      <c r="BH30" s="262">
        <f t="shared" si="132"/>
        <v>141.985234710396</v>
      </c>
      <c r="BI30" s="67"/>
      <c r="BJ30" s="272"/>
      <c r="BK30" s="123"/>
      <c r="BL30" s="259">
        <f>BM30+各项系数!$M$9*$NM30</f>
        <v>141.257624417084</v>
      </c>
      <c r="BM30" s="259">
        <f>BN30*(1+$CF30+(VLOOKUP($AM30,$A$12:$B$323,2,0))+各项系数!$J$6+各项系数!$M$5)*(1+$E$2)</f>
        <v>140.538595539626</v>
      </c>
      <c r="BN30" s="260">
        <f>BO30+各项系数!$L$9*$NM30</f>
        <v>143.406730142475</v>
      </c>
      <c r="BO30" s="260">
        <f>BP30*(1+$CG30+各项系数!$J$5+各项系数!$L$5)</f>
        <v>142.687701265017</v>
      </c>
      <c r="BP30" s="260">
        <f t="shared" si="133"/>
        <v>138.531748800987</v>
      </c>
      <c r="BQ30" s="259">
        <f>BR30+各项系数!$M$9*$NM30</f>
        <v>142.476419491805</v>
      </c>
      <c r="BR30" s="259">
        <f>BS30*(1+$CF30+(VLOOKUP($AM30,$A$12:$B$323,2,0))+各项系数!$J$6+各项系数!$M$5)*(1+$E$2)</f>
        <v>141.757390614347</v>
      </c>
      <c r="BS30" s="260">
        <f>BT30+各项系数!$L$9*$NM30</f>
        <v>144.650398586068</v>
      </c>
      <c r="BT30" s="260">
        <f>BU30*(1+$CG30+各项系数!$J$5+各项系数!$L$5)</f>
        <v>143.93136970861</v>
      </c>
      <c r="BU30" s="260">
        <f t="shared" si="134"/>
        <v>139.739193891854</v>
      </c>
      <c r="BV30" s="259">
        <f>BW30+各项系数!$M$9*$NT30</f>
        <v>142.830405708491</v>
      </c>
      <c r="BW30" s="259">
        <f>BX30*(1+$CF30+(VLOOKUP($AM30,$A$12:$B$214,2,0))+各项系数!$J$6+各项系数!$M$5)*(1+$E$2)</f>
        <v>142.101493055308</v>
      </c>
      <c r="BX30" s="260">
        <f>BY30+各项系数!$L$9*$NT$12</f>
        <v>145.001523525825</v>
      </c>
      <c r="BY30" s="260">
        <f>BZ30*(1+$CG30+各项系数!$J$5+各项系数!$L$5)</f>
        <v>144.99326012267</v>
      </c>
      <c r="BZ30" s="262">
        <f t="shared" si="11"/>
        <v>140.770155458903</v>
      </c>
      <c r="CA30" s="259">
        <f>CB30+各项系数!$M$9*$NT30</f>
        <v>144.056906704948</v>
      </c>
      <c r="CB30" s="259">
        <f>CC30*(1+$CF30+(VLOOKUP($AM30,$A$12:$B$214,2,0))+各项系数!$J$6+各项系数!$M$5)*(1+$E$2)</f>
        <v>143.327994051765</v>
      </c>
      <c r="CC30" s="260">
        <f>CD30+各项系数!$L$9*$NT$12</f>
        <v>146.253055154862</v>
      </c>
      <c r="CD30" s="260">
        <f>CE30*(1+$CG30+各项系数!$J$5+各项系数!$L$5)</f>
        <v>146.244791751707</v>
      </c>
      <c r="CE30" s="262">
        <f t="shared" si="135"/>
        <v>141.985234710396</v>
      </c>
      <c r="CF30" s="277">
        <f t="shared" si="136"/>
        <v>0</v>
      </c>
      <c r="CG30" s="277">
        <f t="shared" si="12"/>
        <v>0.01</v>
      </c>
      <c r="CH30" s="123"/>
      <c r="CI30" s="259">
        <f>CJ30+各项系数!$M$9*$NO30</f>
        <v>141.234583898017</v>
      </c>
      <c r="CJ30" s="259">
        <f>CK30*(1+$DC30+(VLOOKUP($AM30,$A$12:$B$323,2,0))+各项系数!$J$6+各项系数!$M$5)*(1+$E$2)+各项系数!$M$9*$NK30</f>
        <v>140.504402769675</v>
      </c>
      <c r="CK30" s="260">
        <f>CL30+各项系数!$L$9*$NO30</f>
        <v>142.638136624711</v>
      </c>
      <c r="CL30" s="260">
        <f>CM30*(1+$DD30+各项系数!$J$5+各项系数!$L$5)</f>
        <v>141.907955496369</v>
      </c>
      <c r="CM30" s="260">
        <f t="shared" si="13"/>
        <v>139.125446565067</v>
      </c>
      <c r="CN30" s="259">
        <f>CO30+各项系数!$M$9*$NO30</f>
        <v>142.601165059737</v>
      </c>
      <c r="CO30" s="259">
        <f>CP30*(1+$DC30+(VLOOKUP($AM30,$A$12:$B$323,2,0))+各项系数!$J$6+各项系数!$M$5)*(1+$E$2)+各项系数!$M$9*$NK30</f>
        <v>141.870983931395</v>
      </c>
      <c r="CP30" s="260">
        <f>CQ30+各项系数!$L$9*$NO30</f>
        <v>144.032607197895</v>
      </c>
      <c r="CQ30" s="260">
        <f>CR30*(1+$DD30+各项系数!$J$5+各项系数!$L$5)</f>
        <v>143.302426069553</v>
      </c>
      <c r="CR30" s="260">
        <f t="shared" si="14"/>
        <v>140.492574577993</v>
      </c>
      <c r="CS30" s="259">
        <f>CT30+各项系数!$M$9*$NU30</f>
        <v>142.828360296557</v>
      </c>
      <c r="CT30" s="259">
        <f t="shared" si="15"/>
        <v>142.088043962503</v>
      </c>
      <c r="CU30" s="260">
        <f>CV30+各项系数!$L$9*$NU30</f>
        <v>144.987799961738</v>
      </c>
      <c r="CV30" s="260">
        <f>CW30*(1+$DD30+各项系数!$J$5+各项系数!$L$5)</f>
        <v>144.247483627684</v>
      </c>
      <c r="CW30" s="262">
        <f t="shared" si="16"/>
        <v>141.419101595768</v>
      </c>
      <c r="CX30" s="259">
        <f>CY30+各项系数!$M$9*$NU30</f>
        <v>144.287079425738</v>
      </c>
      <c r="CY30" s="259">
        <f t="shared" si="17"/>
        <v>143.546763091683</v>
      </c>
      <c r="CZ30" s="260">
        <f>DA30+各项系数!$L$9*$NU30</f>
        <v>146.476288869065</v>
      </c>
      <c r="DA30" s="260">
        <f>DB30*(1+$DD30+各项系数!$J$5+各项系数!$L$5)</f>
        <v>145.73597253501</v>
      </c>
      <c r="DB30" s="262">
        <f t="shared" si="18"/>
        <v>142.878404446089</v>
      </c>
      <c r="DC30" s="277">
        <f t="shared" si="137"/>
        <v>0</v>
      </c>
      <c r="DD30" s="277">
        <f t="shared" si="19"/>
        <v>0</v>
      </c>
      <c r="DE30" s="69"/>
      <c r="DF30" s="69"/>
      <c r="DG30" s="259">
        <f>DH30+各项系数!$M$9*$NQ30</f>
        <v>142.814299554237</v>
      </c>
      <c r="DH30" s="259">
        <f>DI30*(1+$EA30+(VLOOKUP($AM30,$A$12:$B$323,2,0))+各项系数!$J$6+各项系数!$M$5)*(1+$E$2)+各项系数!$M$9*$NK30</f>
        <v>142.084118425895</v>
      </c>
      <c r="DI30" s="260">
        <f>DJ30+各项系数!$L$9*$NQ30</f>
        <v>144.250091375956</v>
      </c>
      <c r="DJ30" s="260">
        <f>DK30*(1+$EB30+各项系数!$J$5+各项系数!$L$5)</f>
        <v>143.519910247614</v>
      </c>
      <c r="DK30" s="260">
        <f t="shared" si="20"/>
        <v>139.339718687004</v>
      </c>
      <c r="DL30" s="259">
        <f>DM30+各项系数!$M$9*$NQ30</f>
        <v>144.061991835468</v>
      </c>
      <c r="DM30" s="259">
        <f>DN30*(1+$EA30+(VLOOKUP($AM30,$A$12:$B$323,2,0))+各项系数!$J$6+各项系数!$M$5)*(1+$E$2)+各项系数!$M$9*$NK30</f>
        <v>143.331810707126</v>
      </c>
      <c r="DN30" s="260">
        <f>DO30+各项系数!$L$9*$NQ30</f>
        <v>145.523246764967</v>
      </c>
      <c r="DO30" s="260">
        <f>DP30*(1+$EB30+各项系数!$J$5+各项系数!$L$5)</f>
        <v>144.793065636625</v>
      </c>
      <c r="DP30" s="260">
        <f t="shared" si="21"/>
        <v>140.575791880219</v>
      </c>
      <c r="DQ30" s="259">
        <f>DR30+各项系数!$M$9*$NV30</f>
        <v>144.431889586342</v>
      </c>
      <c r="DR30" s="259">
        <f t="shared" si="22"/>
        <v>143.691573252288</v>
      </c>
      <c r="DS30" s="260">
        <f>DT30+各项系数!$L$9*$NV30</f>
        <v>146.624054339069</v>
      </c>
      <c r="DT30" s="260">
        <f>DU30*(1+$EB30+各项系数!$J$5+各项系数!$L$5)</f>
        <v>145.883738005015</v>
      </c>
      <c r="DU30" s="262">
        <f t="shared" si="23"/>
        <v>141.634697092248</v>
      </c>
      <c r="DV30" s="259">
        <f>DW30+各项系数!$M$9*$NV30</f>
        <v>144.33880541969</v>
      </c>
      <c r="DW30" s="259">
        <f t="shared" si="24"/>
        <v>143.598489085635</v>
      </c>
      <c r="DX30" s="260">
        <f>DY30+各项系数!$L$9*$NV30</f>
        <v>146.529070495546</v>
      </c>
      <c r="DY30" s="260">
        <f>DZ30*(1+$EB30+各项系数!$J$5+各项系数!$L$5)</f>
        <v>145.788754161492</v>
      </c>
      <c r="DZ30" s="262">
        <f t="shared" si="25"/>
        <v>141.542479768439</v>
      </c>
      <c r="EA30" s="277">
        <f t="shared" si="230"/>
        <v>0</v>
      </c>
      <c r="EB30" s="277">
        <f t="shared" si="27"/>
        <v>0.01</v>
      </c>
      <c r="EC30" s="302">
        <f t="shared" si="138"/>
        <v>1</v>
      </c>
      <c r="ED30" s="302" t="str">
        <f t="shared" si="180"/>
        <v>1*240</v>
      </c>
      <c r="EE30" s="251">
        <f t="shared" si="239"/>
        <v>240</v>
      </c>
      <c r="EF30" s="251" t="str">
        <f>LOOKUP(EH30,{1,7,10,14,19,24,30,37,48,61},{1,"1+6","2+8","4+10","1+6+12","2+8+14","4+10+16","1+6+12+18","3+9+15+21","1+6+12+18+24"})</f>
        <v>3+9+15+21</v>
      </c>
      <c r="EG30" s="250">
        <f t="shared" si="29"/>
        <v>1</v>
      </c>
      <c r="EH30" s="260">
        <f>VLOOKUP(EE30,各项系数!$B$87:$C$110,2,0)</f>
        <v>48</v>
      </c>
      <c r="EI30" s="250">
        <f>IF(EH30=0,0,VLOOKUP(EH30,各项系数!$D$142:$E$195,2,0))*1</f>
        <v>8.15</v>
      </c>
      <c r="EJ30" s="305">
        <f t="shared" si="141"/>
        <v>246.701228113631</v>
      </c>
      <c r="EK30" s="251">
        <f t="shared" ref="EK30:EK45" si="245">IF(COUNTIF($D30,"*+*")&gt;0,MID($D30,FIND("+",$D30)+1,LEN($D30)),0)</f>
        <v>0</v>
      </c>
      <c r="EL30" s="251">
        <f t="shared" si="31"/>
        <v>0</v>
      </c>
      <c r="EM30" s="251">
        <f t="shared" si="182"/>
        <v>0</v>
      </c>
      <c r="EN30" s="251">
        <f>IF(EP30=0,0,LOOKUP(EP30,{1,7,10,14,19,24,30,37,48,61},{1,"1+6","2+8","4+10","1+6+12","2+8+14","4+10+16","1+6+12+18","3+9+15+21","1+6+12+18+24"}))</f>
        <v>0</v>
      </c>
      <c r="EO30" s="251">
        <f t="shared" ref="EO30:EO45" si="246">IF(EK30=0,0,MID(EK30,1,1))</f>
        <v>0</v>
      </c>
      <c r="EP30" s="251">
        <f>IF(EM30=0,0,IF(EM30&lt;10,1,IF(AND(EM30&gt;=10,EM30&lt;=35),7,LOOKUP(EM30,{50,70,95,120,150,185,240,300},{10,14,19,24,30,37,48,61})*1)))</f>
        <v>0</v>
      </c>
      <c r="EQ30" s="251">
        <f>IF(EP30=0,0,VLOOKUP(EP30,各项系数!$D$142:$E$195,2,0))*1</f>
        <v>0</v>
      </c>
      <c r="ER30" s="251">
        <f t="shared" ref="ER30:ER45" si="247">$I30-$J30</f>
        <v>0</v>
      </c>
      <c r="ES30" s="302">
        <f t="shared" si="185"/>
        <v>1</v>
      </c>
      <c r="ET30" s="251">
        <f>VLOOKUP(ES30,各项系数!$D$142:$E$195,2,0)*1</f>
        <v>1</v>
      </c>
      <c r="EU30" s="311">
        <f>((各项系数!$F$76/4*$EJ30^2*$EG30*$EH30*1*10^-7)*(1-$H30)*AA30)*(VLOOKUP($EY$9,各项系数!$D$4:$F$143,3,0))*各项系数!$J$4</f>
        <v>2.05998769246807</v>
      </c>
      <c r="EV30" s="312">
        <f>EU30*(VLOOKUP($EY$9,各项系数!$D$4:$F$143,2,0))</f>
        <v>134.929193856658</v>
      </c>
      <c r="EW30" s="324">
        <f>(IF($EO30=0,0,(各项系数!$F$76/4*$ER30^2*$EO30*$EP30*1*10^-7))*(1-$K30)*$AF30)*(VLOOKUP($EY$9,各项系数!$D$4:$F$143,3,0))*各项系数!$J$4</f>
        <v>0</v>
      </c>
      <c r="EX30" s="325">
        <f>EW30*(VLOOKUP($EY$9,各项系数!$D$4:$F$143,2,0))</f>
        <v>0</v>
      </c>
      <c r="EY30" s="251">
        <f>((各项系数!$F$76/4*$EJ30^2*$EG30*$EH30*1*10^-7)*(1-$H30)*AA30+IF($EO30=0,0,(各项系数!$F$76/4*$ER30^2*$EO30*$EP30*1*10^-7))*(1-$K30)*$AF30)*(VLOOKUP($EY$9,各项系数!$D$4:$F$143,3,0))*各项系数!$J$4</f>
        <v>2.05998769246807</v>
      </c>
      <c r="EZ30" s="123">
        <v>1</v>
      </c>
      <c r="FA30" s="251">
        <f t="shared" si="188"/>
        <v>2.05998769246807</v>
      </c>
      <c r="FB30" s="326">
        <f>FA30*(VLOOKUP($EY$9,各项系数!$D$4:$F$143,2,0))</f>
        <v>134.929193856658</v>
      </c>
      <c r="FC30" s="327"/>
      <c r="FD30" s="302">
        <f>各项系数!$F$76/4*($MN30^2-MK30^2)*10^-2*(VLOOKUP(L30,各项系数!$D$1:$F$143,3,0))*10^-3*10^2*$EG30*各项系数!$J$4</f>
        <v>0.127465764990174</v>
      </c>
      <c r="FE30" s="339">
        <f>FD30*VLOOKUP(L30,各项系数!$D$1:$F$143,2,0)</f>
        <v>1.30015080289977</v>
      </c>
      <c r="FF30" s="250">
        <f>各项系数!$F$76/4*($MO30^2-ML30^2)*10^-2*(VLOOKUP(L30,各项系数!$D$1:$F$143,3,0))*10^-3*10^2*$EO30*各项系数!$J$4</f>
        <v>0</v>
      </c>
      <c r="FG30" s="339">
        <f>FF30*VLOOKUP(L30,各项系数!$D$1:$F$143,2,0)</f>
        <v>0</v>
      </c>
      <c r="FH30" s="302">
        <f t="shared" si="142"/>
        <v>0.127465764990174</v>
      </c>
      <c r="FI30" s="123">
        <v>1</v>
      </c>
      <c r="FJ30" s="251">
        <f t="shared" si="189"/>
        <v>0.127465764990174</v>
      </c>
      <c r="FK30" s="339">
        <f>FJ30*VLOOKUP(L30,各项系数!$D$1:$F$143,2,0)</f>
        <v>1.30015080289977</v>
      </c>
      <c r="FL30" s="302"/>
      <c r="FM30" s="123"/>
      <c r="FN30" s="251"/>
      <c r="FO30" s="339"/>
      <c r="FP30" s="364">
        <f t="shared" si="190"/>
        <v>0.127465764990174</v>
      </c>
      <c r="FQ30" s="364">
        <f t="shared" si="191"/>
        <v>1.30015080289977</v>
      </c>
      <c r="FR30" s="365">
        <f>各项系数!$F$76/4*($MQ30^2-$MN30^2*$EG30-$MO30^2*$EO30)*10^-2</f>
        <v>0</v>
      </c>
      <c r="FS30" s="366">
        <f t="shared" si="143"/>
        <v>1</v>
      </c>
      <c r="FT30" s="367">
        <f t="shared" si="40"/>
        <v>0</v>
      </c>
      <c r="FU30" s="388">
        <f>$FT30*(VLOOKUP($FT$9,各项系数!$D$1:$F$143,3,0))*10^-3*10^2*各项系数!$J$55</f>
        <v>0</v>
      </c>
      <c r="FV30" s="389">
        <v>1</v>
      </c>
      <c r="FW30" s="390">
        <f t="shared" si="192"/>
        <v>0</v>
      </c>
      <c r="FX30" s="367">
        <f>FW30*(VLOOKUP($FT$9,各项系数!$D$1:$F$143,2,0))</f>
        <v>0</v>
      </c>
      <c r="FY30" s="388">
        <f>IF($BK30&lt;&gt;$FY$9,0,各项系数!$F$76/4*($MS30^2-$MQ30^2)*10^-2*(VLOOKUP($FY$9,各项系数!$D$1:$F$143,3,0))*10^-3*10^2)*各项系数!$J$4</f>
        <v>0</v>
      </c>
      <c r="FZ30" s="389">
        <v>1</v>
      </c>
      <c r="GA30" s="390">
        <f t="shared" si="193"/>
        <v>0</v>
      </c>
      <c r="GB30" s="367">
        <f>GA30*(VLOOKUP($FY$9,各项系数!$D$1:$F$143,2,0))</f>
        <v>0</v>
      </c>
      <c r="GC30" s="388">
        <f>IF($BK30&lt;&gt;$GC$9,0,各项系数!$F$76/4*($MS30^2-$MQ30^2)*10^-2*(VLOOKUP($GC$9,各项系数!$D$1:$F$143,3,0))*10^-3*10^2)*各项系数!$J$4</f>
        <v>0</v>
      </c>
      <c r="GD30" s="389">
        <v>1</v>
      </c>
      <c r="GE30" s="390">
        <f t="shared" si="194"/>
        <v>0</v>
      </c>
      <c r="GF30" s="367">
        <f>GE30*(VLOOKUP($GC$9,各项系数!$D$1:$F$143,2,0))</f>
        <v>0</v>
      </c>
      <c r="GG30" s="388">
        <f>IF($BK30&lt;&gt;$GG$9,0,各项系数!$F$76/4*($MS30^2-$MQ30^2)*10^-2*(VLOOKUP($GG$9,各项系数!$D$1:$F$143,3,0))*10^-3*10^2)*各项系数!$J$4</f>
        <v>0</v>
      </c>
      <c r="GH30" s="389">
        <v>1</v>
      </c>
      <c r="GI30" s="390">
        <f t="shared" si="195"/>
        <v>0</v>
      </c>
      <c r="GJ30" s="367">
        <f>GI30*(VLOOKUP($GG$9,各项系数!$D$1:$F$143,2,0))</f>
        <v>0</v>
      </c>
      <c r="GK30" s="388">
        <f>IF($BK30&lt;&gt;$GK$9,0,各项系数!$F$76/4*($MS30^2-$MQ30^2)*10^-2*(VLOOKUP($GK$9,各项系数!$D$1:$F$143,3,0))*10^-3*10^2)*各项系数!$J$4</f>
        <v>0</v>
      </c>
      <c r="GL30" s="389">
        <v>1</v>
      </c>
      <c r="GM30" s="390">
        <f t="shared" si="196"/>
        <v>0</v>
      </c>
      <c r="GN30" s="367">
        <f>GM30*(VLOOKUP($GK$9,各项系数!$D$1:$F$143,2,0))</f>
        <v>0</v>
      </c>
      <c r="GO30" s="390">
        <f t="shared" si="197"/>
        <v>0</v>
      </c>
      <c r="GP30" s="390">
        <f t="shared" si="198"/>
        <v>0</v>
      </c>
      <c r="GQ30" s="406">
        <f>各项系数!$F$76/4*($MU30^2-$MS30^2)*10^-2*(VLOOKUP($S30,各项系数!$D$1:$F$143,3,0))*10^-3*10^2*各项系数!$J$4</f>
        <v>0.444695608782861</v>
      </c>
      <c r="GR30" s="389">
        <v>1</v>
      </c>
      <c r="GS30" s="390">
        <f t="shared" si="199"/>
        <v>0.444695608782861</v>
      </c>
      <c r="GT30" s="390">
        <f t="shared" si="200"/>
        <v>0</v>
      </c>
      <c r="GU30" s="390">
        <f>ROUND($GS30*(VLOOKUP($S30,各项系数!$D$1:$F$143,2,0))+$E$3*GS30,GT30)</f>
        <v>5</v>
      </c>
      <c r="GV30" s="406">
        <f>各项系数!$F$76/4*($MT30^2-$MS30^2)*10^-2*(VLOOKUP($GV$9,各项系数!$D$1:$F$143,3,0))*10^-3*10^2*各项系数!$J$4*PI()/4*R30</f>
        <v>0.0329459190807111</v>
      </c>
      <c r="GW30" s="389">
        <v>1</v>
      </c>
      <c r="GX30" s="390">
        <f t="shared" si="201"/>
        <v>0.0329459190807111</v>
      </c>
      <c r="GY30" s="390">
        <f>$GX30*(VLOOKUP($GV$9,各项系数!$D$1:$F$143,2,0))</f>
        <v>2.223849537948</v>
      </c>
      <c r="GZ30" s="406">
        <f>各项系数!$F$76/4*($MV30^2-$MS30^2)*10^-2*(VLOOKUP($GZ$9,各项系数!$D$1:$F$143,3,0))*10^-3*10^2*各项系数!$J$4</f>
        <v>0.206461719546814</v>
      </c>
      <c r="HA30" s="389">
        <v>1</v>
      </c>
      <c r="HB30" s="390">
        <f t="shared" si="144"/>
        <v>0.206461719546814</v>
      </c>
      <c r="HC30" s="390">
        <f>HB30*(VLOOKUP($GZ$9,各项系数!$D$1:$F$143,2,0))</f>
        <v>3.50984923229583</v>
      </c>
      <c r="HD30" s="406">
        <f>各项系数!$F$76/4*($MW30^2-$MT30^2)*10^-2*(VLOOKUP($HD$9,各项系数!$D$1:$F$143,3,0))*10^-3*10^2*各项系数!$J$4</f>
        <v>0.207767088993492</v>
      </c>
      <c r="HE30" s="389">
        <v>1</v>
      </c>
      <c r="HF30" s="390">
        <f t="shared" si="145"/>
        <v>0.207767088993492</v>
      </c>
      <c r="HG30" s="390">
        <f>HF30*(VLOOKUP($HD$9,各项系数!$D$1:$F$143,2,0))</f>
        <v>3.53204051288936</v>
      </c>
      <c r="HH30" s="406">
        <f>各项系数!$F$76/4*($MV30^2-$MS30^2)*10^-2*(VLOOKUP($HH$9,各项系数!$D$1:$F$143,3,0))*10^-3*10^2*各项系数!$J$4</f>
        <v>0.206461719546814</v>
      </c>
      <c r="HI30" s="420">
        <v>1</v>
      </c>
      <c r="HJ30" s="390">
        <f t="shared" si="146"/>
        <v>0.206461719546814</v>
      </c>
      <c r="HK30" s="390">
        <f>HJ30*(VLOOKUP($HH$9,各项系数!$D$1:$F$143,2,0))</f>
        <v>3.50984923229583</v>
      </c>
      <c r="HL30" s="406">
        <f>各项系数!$F$76/4*($MW30^2-$MT30^2)*10^-2*(VLOOKUP($HL$9,各项系数!$D$1:$F$143,3,0))*10^-3*10^2*各项系数!$J$4</f>
        <v>0.207767088993492</v>
      </c>
      <c r="HM30" s="420">
        <v>1</v>
      </c>
      <c r="HN30" s="390">
        <f t="shared" si="147"/>
        <v>0.207767088993492</v>
      </c>
      <c r="HO30" s="390">
        <f>HN30*(VLOOKUP($HL$9,各项系数!$D$1:$F$143,2,0))</f>
        <v>3.53204051288936</v>
      </c>
      <c r="HP30" s="406">
        <f>各项系数!$F$76/4*($MV30^2-$MS30^2)*10^-2*(VLOOKUP(AN30,各项系数!$D$1:$F$143,3,0))*10^-3*10^2*各项系数!$J$4</f>
        <v>0.209309467402632</v>
      </c>
      <c r="HQ30" s="389">
        <v>1</v>
      </c>
      <c r="HR30" s="390">
        <f t="shared" si="202"/>
        <v>0.209309467402632</v>
      </c>
      <c r="HS30" s="390">
        <f>HR30*(VLOOKUP(AN30,各项系数!$D$1:$F$143,2,0))</f>
        <v>2.09309467402632</v>
      </c>
      <c r="HT30" s="406">
        <f>各项系数!$F$76/4*($MW30^2-$MT30^2)*10^-2*(VLOOKUP(AN30,各项系数!$D$1:$F$143,3,0))*10^-3*10^2*各项系数!$J$4</f>
        <v>0.210632841945126</v>
      </c>
      <c r="HU30" s="389">
        <v>1</v>
      </c>
      <c r="HV30" s="390">
        <f t="shared" si="203"/>
        <v>0.210632841945126</v>
      </c>
      <c r="HW30" s="390">
        <f>HV30*(VLOOKUP(AN30,各项系数!$D$1:$F$143,2,0))</f>
        <v>2.10632841945126</v>
      </c>
      <c r="HX30" s="406">
        <f>各项系数!$F$76/4*($MV30^2-$MS30^2)*10^-2*(VLOOKUP($HX$9,各项系数!$D$1:$F$143,3,0))*10^-3*10^2*各项系数!$J$4</f>
        <v>0.209309467402632</v>
      </c>
      <c r="HY30" s="420">
        <v>1</v>
      </c>
      <c r="HZ30" s="390">
        <f t="shared" si="204"/>
        <v>0.209309467402632</v>
      </c>
      <c r="IA30" s="390">
        <f>HZ30*(VLOOKUP($HX$9,各项系数!$D$1:$F$143,2,0))</f>
        <v>2.30240414142895</v>
      </c>
      <c r="IB30" s="406">
        <f>各项系数!$F$76/4*($MW30^2-$MT30^2)*10^-2*(VLOOKUP($IB$9,各项系数!$D$1:$F$143,3,0))*10^-3*10^2*各项系数!$J$4</f>
        <v>0.210632841945126</v>
      </c>
      <c r="IC30" s="420">
        <v>1</v>
      </c>
      <c r="ID30" s="390">
        <f t="shared" si="205"/>
        <v>0.210632841945126</v>
      </c>
      <c r="IE30" s="390">
        <f>ID30*(VLOOKUP($IB$9,各项系数!$D$1:$F$143,2,0))</f>
        <v>2.31696126139639</v>
      </c>
      <c r="IF30" s="429"/>
      <c r="IG30" s="406">
        <f t="shared" si="148"/>
        <v>0.0287042724555669</v>
      </c>
      <c r="IH30" s="389">
        <v>1</v>
      </c>
      <c r="II30" s="390">
        <f t="shared" si="206"/>
        <v>0.0287042724555669</v>
      </c>
      <c r="IJ30" s="390">
        <f>II30*(VLOOKUP($IG$8,各项系数!$D$1:$F$143,2,0))</f>
        <v>0.717606811389173</v>
      </c>
      <c r="IK30" s="406">
        <f>(各项系数!$F$76/4*($MX30^2-$MK30^2)*$EG30)*10^-2*(VLOOKUP($IG$8,各项系数!$D$1:$F$143,3,0))*10^-3*10^2*各项系数!$J$4</f>
        <v>0.0287042724555669</v>
      </c>
      <c r="IL30" s="389">
        <f>IK30*(VLOOKUP($IG$8,各项系数!$D$1:$F$143,2,0))</f>
        <v>0.717606811389173</v>
      </c>
      <c r="IM30" s="390">
        <f>(各项系数!$F$76/4*(($MM30+3*$X30)^2-MM30^2)*$EO30)*10^-2*(VLOOKUP($IG$8,各项系数!$D$1:$F$143,3,0))*10^-3*10^2*各项系数!$J$4</f>
        <v>0</v>
      </c>
      <c r="IN30" s="389">
        <f>IM30*(VLOOKUP($IG$8,各项系数!$D$1:$F$143,2,0))</f>
        <v>0</v>
      </c>
      <c r="IO30" s="406">
        <f>各项系数!$F$76/4*($MZ30^2-$MX30^2)*10^-2*(VLOOKUP(L30,各项系数!$D$1:$F$143,3,0))*10^-3*10^2*$ES30*各项系数!$J$4</f>
        <v>0.130973007612715</v>
      </c>
      <c r="IP30" s="389">
        <v>1</v>
      </c>
      <c r="IQ30" s="390">
        <f t="shared" si="207"/>
        <v>0.130973007612715</v>
      </c>
      <c r="IR30" s="367">
        <f>IQ30*(VLOOKUP(L30,各项系数!$D$1:$F$143,2,0))</f>
        <v>1.33592467764969</v>
      </c>
      <c r="IS30" s="406">
        <f>IF($L30&lt;&gt;$IS$9,0,各项系数!$F$76/4*($MZ30^2-$MX30^2)*10^-2*各项系数!$F$12*10^-3*10^2)*$ES30*各项系数!$J$4</f>
        <v>0</v>
      </c>
      <c r="IT30" s="389">
        <v>1</v>
      </c>
      <c r="IU30" s="390">
        <f t="shared" si="208"/>
        <v>0</v>
      </c>
      <c r="IV30" s="367">
        <f>IU30*各项系数!$E$12</f>
        <v>0</v>
      </c>
      <c r="IW30" s="388">
        <f t="shared" si="209"/>
        <v>0.130973007612715</v>
      </c>
      <c r="IX30" s="388">
        <f t="shared" si="210"/>
        <v>1.33592467764969</v>
      </c>
      <c r="IY30" s="447">
        <f>各项系数!$F$76/4*($NB30^2-$MZ30^2*$EG30-$NA30^2*$EO30)*10^-2</f>
        <v>0</v>
      </c>
      <c r="IZ30" s="366">
        <f t="shared" si="231"/>
        <v>1</v>
      </c>
      <c r="JA30" s="367">
        <f t="shared" si="64"/>
        <v>0</v>
      </c>
      <c r="JB30" s="364">
        <f>IF($DE30&lt;&gt;$JB$9,0,$JA30*各项系数!$F$32*10^-3*10^2)*各项系数!$J$4</f>
        <v>0</v>
      </c>
      <c r="JC30" s="123">
        <v>1</v>
      </c>
      <c r="JD30" s="251">
        <f t="shared" si="211"/>
        <v>0</v>
      </c>
      <c r="JE30" s="339">
        <f>JD30*各项系数!$E$32</f>
        <v>0</v>
      </c>
      <c r="JF30" s="364">
        <f>IF($DE30&lt;&gt;$JF$9,0,$JA30*VLOOKUP($JF$9,各项系数!$D$4:$F$540,2,0)*10^-3*10^2)*各项系数!$J$4</f>
        <v>0</v>
      </c>
      <c r="JG30" s="123">
        <v>1</v>
      </c>
      <c r="JH30" s="251">
        <f t="shared" si="66"/>
        <v>0</v>
      </c>
      <c r="JI30" s="339">
        <f>JH30*VLOOKUP($JF$9,各项系数!$D$4:$F$540,3,0)</f>
        <v>0</v>
      </c>
      <c r="JJ30" s="364">
        <f t="shared" si="212"/>
        <v>0</v>
      </c>
      <c r="JK30" s="251">
        <f t="shared" si="213"/>
        <v>0</v>
      </c>
      <c r="JL30" s="364">
        <f>IF($DF30&lt;&gt;$JL$9,0,各项系数!$F$76/4*($NE30^2-$NC30^2)*10^-2*各项系数!$F$39*10^-3*10^2)*各项系数!$J$4</f>
        <v>0</v>
      </c>
      <c r="JM30" s="123">
        <v>1</v>
      </c>
      <c r="JN30" s="251">
        <f t="shared" si="214"/>
        <v>0</v>
      </c>
      <c r="JO30" s="339">
        <f>JN30*各项系数!$E$39</f>
        <v>0</v>
      </c>
      <c r="JP30" s="364">
        <f>IF($DF30&lt;&gt;$JP$9,0,各项系数!$F$76/4*($NE30^2-$NC30^2)*10^-2*各项系数!$F$36*10^-3*10^2)*各项系数!$J$4</f>
        <v>0</v>
      </c>
      <c r="JQ30" s="123">
        <v>1</v>
      </c>
      <c r="JR30" s="251">
        <f t="shared" si="215"/>
        <v>0</v>
      </c>
      <c r="JS30" s="339">
        <f>JR30*各项系数!$E$36</f>
        <v>0</v>
      </c>
      <c r="JT30" s="364">
        <f>IF($DF30&lt;&gt;$JT$9,0,各项系数!$F$76/4*($NE30^2-$NC30^2)*10^-2*各项系数!$F$40*10^-3*10^2)*各项系数!$J$4</f>
        <v>0</v>
      </c>
      <c r="JU30" s="123">
        <v>1</v>
      </c>
      <c r="JV30" s="251">
        <f t="shared" si="216"/>
        <v>0</v>
      </c>
      <c r="JW30" s="339">
        <f>JV30*各项系数!$E$40</f>
        <v>0</v>
      </c>
      <c r="JX30" s="364">
        <f>IF($DF30&lt;&gt;$JX$9,0,各项系数!$F$76/4*($NE30^2-$NC30^2)*10^-2*各项系数!$F$38*10^-3*10^2)*各项系数!$J$4</f>
        <v>0</v>
      </c>
      <c r="JY30" s="123">
        <v>1</v>
      </c>
      <c r="JZ30" s="251">
        <f t="shared" si="217"/>
        <v>0</v>
      </c>
      <c r="KA30" s="339">
        <f>JZ30*各项系数!$E$38</f>
        <v>0</v>
      </c>
      <c r="KB30" s="364">
        <f>IF($DF30&lt;&gt;$KB$9,0,各项系数!$F$76/4*($NE30^2-$NC30^2)*10^-2*各项系数!$F$41*10^-3*10^2)*各项系数!$J$4</f>
        <v>0</v>
      </c>
      <c r="KC30" s="123">
        <v>1</v>
      </c>
      <c r="KD30" s="251">
        <f t="shared" si="218"/>
        <v>0</v>
      </c>
      <c r="KE30" s="339">
        <f>KD30*各项系数!$E$41</f>
        <v>0</v>
      </c>
      <c r="KF30" s="251">
        <f t="shared" si="219"/>
        <v>0</v>
      </c>
      <c r="KG30" s="251">
        <f t="shared" si="220"/>
        <v>0</v>
      </c>
      <c r="KH30" s="302">
        <f>各项系数!$F$76/4*($NG30^2-$NE30^2)*10^-2*各项系数!$F$44*10^-3*10^2*各项系数!$J$4*0.75*$U30</f>
        <v>0.683543395512154</v>
      </c>
      <c r="KI30" s="123">
        <v>1</v>
      </c>
      <c r="KJ30" s="251">
        <f t="shared" si="221"/>
        <v>0.683543395512154</v>
      </c>
      <c r="KK30" s="251">
        <f>ROUND(KJ30*各项系数!$E$44,GT30)</f>
        <v>7</v>
      </c>
      <c r="KL30" s="302">
        <f>各项系数!$F$76/4*($NF30^2-$NE30^2)*10^-2*各项系数!$F$46*10^-3*10^2*各项系数!$J$4*PI()/4*R30</f>
        <v>0.0337840190411272</v>
      </c>
      <c r="KM30" s="123">
        <v>1</v>
      </c>
      <c r="KN30" s="251">
        <f t="shared" si="222"/>
        <v>0.0337840190411272</v>
      </c>
      <c r="KO30" s="251">
        <f>KN30*各项系数!$E$46</f>
        <v>2.28042128527609</v>
      </c>
      <c r="KP30" s="302">
        <f>各项系数!$F$76/4*($NH30^2-$NE30^2)*10^-2*(VLOOKUP($KP$9,各项系数!$D$1:$F$143,3,0))*10^-3*10^2*各项系数!$J$4</f>
        <v>0.211356854971858</v>
      </c>
      <c r="KQ30" s="123">
        <v>1</v>
      </c>
      <c r="KR30" s="251">
        <f t="shared" si="150"/>
        <v>0.211356854971858</v>
      </c>
      <c r="KS30" s="251">
        <f>KR30*(VLOOKUP($KP$9,各项系数!$D$1:$F$143,2,0))</f>
        <v>3.59306653452158</v>
      </c>
      <c r="KT30" s="302">
        <f>各项系数!$F$76/4*($NI30^2-$NF30^2)*10^-2*(VLOOKUP($KT$9,各项系数!$D$1:$F$143,3,0))*10^-3*10^2*各项系数!$J$4</f>
        <v>0.212662224418536</v>
      </c>
      <c r="KU30" s="123">
        <v>1</v>
      </c>
      <c r="KV30" s="251">
        <f t="shared" si="151"/>
        <v>0.212662224418536</v>
      </c>
      <c r="KW30" s="251">
        <f>KV30*(VLOOKUP($KT$9,各项系数!$D$1:$F$143,2,0))</f>
        <v>3.61525781511511</v>
      </c>
      <c r="KX30" s="251">
        <f>各项系数!$F$76/4*($NH30^2-$NE30^2)*10^-2*(VLOOKUP($KX$9,各项系数!$D$1:$F$143,3,0))*10^-3*10^2*各项系数!$J$4</f>
        <v>0.211356854971858</v>
      </c>
      <c r="KY30" s="479">
        <v>1</v>
      </c>
      <c r="KZ30" s="251">
        <f t="shared" si="152"/>
        <v>0.211356854971858</v>
      </c>
      <c r="LA30" s="251">
        <f>KZ30*(VLOOKUP($KX$9,各项系数!$D$1:$F$143,2,0))</f>
        <v>3.59306653452158</v>
      </c>
      <c r="LB30" s="251">
        <f>各项系数!$F$76/4*($NI30^2-$NF30^2)*10^-2*(VLOOKUP($LB$9,各项系数!$D$1:$F$143,3,0))*10^-3*10^2*各项系数!$J$4</f>
        <v>0.212662224418536</v>
      </c>
      <c r="LC30" s="479">
        <v>1</v>
      </c>
      <c r="LD30" s="251">
        <f t="shared" si="153"/>
        <v>0.212662224418536</v>
      </c>
      <c r="LE30" s="251">
        <f>LD30*(VLOOKUP($LB$9,各项系数!$D$1:$F$143,2,0))</f>
        <v>3.61525781511511</v>
      </c>
      <c r="LF30" s="302">
        <f>各项系数!$F$76/4*($NH30^2-$NE30^2)*10^-2*(VLOOKUP(AN30,各项系数!$D$1:$F$143,3,0))*10^-3*10^2*各项系数!$J$4</f>
        <v>0.214272121936987</v>
      </c>
      <c r="LG30" s="123">
        <v>1</v>
      </c>
      <c r="LH30" s="251">
        <f t="shared" si="223"/>
        <v>0.214272121936987</v>
      </c>
      <c r="LI30" s="251">
        <f>LH30*(VLOOKUP(AN30,各项系数!$D$1:$F$143,2,0))</f>
        <v>2.14272121936987</v>
      </c>
      <c r="LJ30" s="302">
        <f>各项系数!$F$76/4*($NI30^2-$NF30^2)*10^-2*(VLOOKUP(AN30,各项系数!$D$1:$F$143,3,0))*10^-3*10^2*各项系数!$J$4</f>
        <v>0.215595496479481</v>
      </c>
      <c r="LK30" s="123">
        <v>1</v>
      </c>
      <c r="LL30" s="251">
        <f t="shared" si="224"/>
        <v>0.215595496479481</v>
      </c>
      <c r="LM30" s="251">
        <f>LL30*(VLOOKUP(AN30,各项系数!$D$1:$F$143,2,0))</f>
        <v>2.15595496479481</v>
      </c>
      <c r="LN30" s="251">
        <f>各项系数!$F$76/4*($NH30^2-$NE30^2)*10^-2*(VLOOKUP($LN$9,各项系数!$D$1:$F$143,3,0))*10^-3*10^2*各项系数!$J$4</f>
        <v>0.214272121936987</v>
      </c>
      <c r="LO30" s="479">
        <v>1</v>
      </c>
      <c r="LP30" s="251">
        <f t="shared" si="225"/>
        <v>0.214272121936987</v>
      </c>
      <c r="LQ30" s="251">
        <f>LP30*(VLOOKUP($LN$9,各项系数!$D$1:$F$143,2,0))</f>
        <v>2.35699334130685</v>
      </c>
      <c r="LR30" s="251">
        <f>各项系数!$F$76/4*($NI30^2-$NF30^2)*10^-2*(VLOOKUP($LR$9,各项系数!$D$1:$F$143,3,0))*10^-3*10^2*各项系数!$J$4</f>
        <v>0.215595496479481</v>
      </c>
      <c r="LS30" s="479">
        <v>1</v>
      </c>
      <c r="LT30" s="251">
        <f t="shared" si="226"/>
        <v>0.215595496479481</v>
      </c>
      <c r="LU30" s="251">
        <f>LT30*(VLOOKUP($LR$9,各项系数!$D$1:$F$143,2,0))</f>
        <v>2.3715504612743</v>
      </c>
      <c r="LV30" s="499">
        <f t="shared" si="154"/>
        <v>317.50291821</v>
      </c>
      <c r="LW30" s="499">
        <f t="shared" si="155"/>
        <v>229.44243407</v>
      </c>
      <c r="LX30" s="499">
        <f t="shared" si="156"/>
        <v>17.0919624472503</v>
      </c>
      <c r="LY30" s="515">
        <f t="shared" si="157"/>
        <v>88.06048414</v>
      </c>
      <c r="LZ30" s="516">
        <f t="shared" si="86"/>
        <v>1</v>
      </c>
      <c r="MA30" s="517">
        <f t="shared" si="87"/>
        <v>317.50291821</v>
      </c>
      <c r="MB30" s="517">
        <f t="shared" si="158"/>
        <v>20.10615008</v>
      </c>
      <c r="MC30" s="499">
        <f t="shared" si="159"/>
        <v>0</v>
      </c>
      <c r="MD30" s="499">
        <f t="shared" si="160"/>
        <v>0</v>
      </c>
      <c r="ME30" s="499">
        <f t="shared" si="161"/>
        <v>0</v>
      </c>
      <c r="MF30" s="499">
        <f t="shared" si="162"/>
        <v>0</v>
      </c>
      <c r="MG30" s="516">
        <f t="shared" si="163"/>
        <v>1</v>
      </c>
      <c r="MH30" s="517">
        <f t="shared" si="88"/>
        <v>0</v>
      </c>
      <c r="MI30" s="517">
        <f t="shared" si="164"/>
        <v>0</v>
      </c>
      <c r="MJ30" s="251">
        <f t="shared" si="89"/>
        <v>20.10615008</v>
      </c>
      <c r="MK30" s="251">
        <f t="shared" si="165"/>
        <v>20.10615008</v>
      </c>
      <c r="ML30" s="251">
        <f t="shared" si="227"/>
        <v>0</v>
      </c>
      <c r="MM30" s="251">
        <f t="shared" si="91"/>
        <v>0</v>
      </c>
      <c r="MN30" s="251">
        <f t="shared" si="92"/>
        <v>23.50615008</v>
      </c>
      <c r="MO30" s="251">
        <f t="shared" si="166"/>
        <v>0</v>
      </c>
      <c r="MP30" s="251">
        <f t="shared" si="167"/>
        <v>23.50615008</v>
      </c>
      <c r="MQ30" s="251">
        <f t="shared" si="228"/>
        <v>23.50615008</v>
      </c>
      <c r="MR30" s="314">
        <f t="shared" si="168"/>
        <v>23.50615008</v>
      </c>
      <c r="MS30" s="530">
        <f t="shared" si="94"/>
        <v>23.50615008</v>
      </c>
      <c r="MT30" s="530">
        <f t="shared" si="95"/>
        <v>23.66615008</v>
      </c>
      <c r="MU30" s="530">
        <f t="shared" si="232"/>
        <v>25.00615008</v>
      </c>
      <c r="MV30" s="530">
        <f t="shared" si="97"/>
        <v>27.10615008</v>
      </c>
      <c r="MW30" s="530">
        <f t="shared" si="98"/>
        <v>27.26615008</v>
      </c>
      <c r="MX30" s="326">
        <f t="shared" si="233"/>
        <v>20.70615008</v>
      </c>
      <c r="MY30" s="326">
        <f t="shared" si="100"/>
        <v>0</v>
      </c>
      <c r="MZ30" s="251">
        <f t="shared" si="101"/>
        <v>24.10615008</v>
      </c>
      <c r="NA30" s="251">
        <f t="shared" si="102"/>
        <v>0</v>
      </c>
      <c r="NB30" s="251">
        <f t="shared" si="169"/>
        <v>24.10615008</v>
      </c>
      <c r="NC30" s="326">
        <f t="shared" si="229"/>
        <v>24.10615008</v>
      </c>
      <c r="ND30" s="314">
        <f t="shared" si="234"/>
        <v>24.10615008</v>
      </c>
      <c r="NE30" s="537">
        <f t="shared" si="235"/>
        <v>24.10615008</v>
      </c>
      <c r="NF30" s="530">
        <f t="shared" si="106"/>
        <v>24.26615008</v>
      </c>
      <c r="NG30" s="538">
        <f t="shared" si="236"/>
        <v>25.60615008</v>
      </c>
      <c r="NH30" s="326">
        <f t="shared" si="108"/>
        <v>27.70615008</v>
      </c>
      <c r="NI30" s="530">
        <f t="shared" si="109"/>
        <v>27.86615008</v>
      </c>
      <c r="NK30" s="539">
        <f t="shared" si="110"/>
        <v>2.39676292486087</v>
      </c>
      <c r="NL30" s="539">
        <f t="shared" si="111"/>
        <v>138.322439333585</v>
      </c>
      <c r="NM30" s="539">
        <f t="shared" si="112"/>
        <v>2.39676292486087</v>
      </c>
      <c r="NN30" s="539">
        <f t="shared" si="113"/>
        <v>138.531748800987</v>
      </c>
      <c r="NO30" s="539">
        <f t="shared" si="114"/>
        <v>2.43393709447334</v>
      </c>
      <c r="NP30" s="539">
        <f t="shared" si="115"/>
        <v>139.125446565067</v>
      </c>
      <c r="NQ30" s="539">
        <f t="shared" si="116"/>
        <v>2.43393709447334</v>
      </c>
      <c r="NR30" s="539">
        <f t="shared" si="117"/>
        <v>139.339718687004</v>
      </c>
      <c r="NS30" s="539">
        <f t="shared" si="118"/>
        <v>2.42970884394158</v>
      </c>
      <c r="NT30" s="539">
        <f t="shared" si="119"/>
        <v>2.42970884394158</v>
      </c>
      <c r="NU30" s="539">
        <f t="shared" si="120"/>
        <v>2.46772111351446</v>
      </c>
      <c r="NV30" s="539">
        <f t="shared" si="121"/>
        <v>2.46772111351446</v>
      </c>
      <c r="NW30">
        <f t="shared" si="122"/>
        <v>2.84145853364373</v>
      </c>
      <c r="NX30">
        <f>各项系数!$M$9*NK30</f>
        <v>0.719028877458262</v>
      </c>
      <c r="NY30">
        <f t="shared" si="123"/>
        <v>2.42970884394158</v>
      </c>
      <c r="OB30" s="82" t="str">
        <f t="shared" si="124"/>
        <v>1*240</v>
      </c>
      <c r="OC30" s="546">
        <f t="shared" si="125"/>
        <v>246.701228113631</v>
      </c>
      <c r="OD30" s="546">
        <f>SQRT(4*EY30/PI()/EH30/各项系数!$J$4/各项系数!$F$5*10000000)</f>
        <v>248.544600408187</v>
      </c>
      <c r="OE30" s="547">
        <f t="shared" si="126"/>
        <v>229.442434286063</v>
      </c>
      <c r="OF30" s="547">
        <f t="shared" si="127"/>
        <v>232.884070800354</v>
      </c>
      <c r="OG30" s="82">
        <v>232.1</v>
      </c>
      <c r="OH30" s="548">
        <f t="shared" si="186"/>
        <v>0.784070800353646</v>
      </c>
    </row>
    <row r="31" customHeight="1" spans="1:398">
      <c r="A31" s="66">
        <v>300</v>
      </c>
      <c r="B31" s="67">
        <v>0</v>
      </c>
      <c r="C31" s="68">
        <v>1.8</v>
      </c>
      <c r="D31" s="69" t="s">
        <v>253</v>
      </c>
      <c r="E31" s="79">
        <f t="shared" si="240"/>
        <v>29.46063242</v>
      </c>
      <c r="F31" s="75">
        <v>245.118138379664</v>
      </c>
      <c r="G31" s="74"/>
      <c r="H31" s="78"/>
      <c r="I31" s="78"/>
      <c r="J31" s="78"/>
      <c r="K31" s="78"/>
      <c r="L31" s="118" t="s">
        <v>467</v>
      </c>
      <c r="M31" s="124">
        <f t="shared" si="2"/>
        <v>1.8</v>
      </c>
      <c r="N31" s="124">
        <f t="shared" si="3"/>
        <v>0</v>
      </c>
      <c r="O31" s="123"/>
      <c r="P31" s="120">
        <v>0.1</v>
      </c>
      <c r="Q31" s="162">
        <f t="shared" si="237"/>
        <v>0.1</v>
      </c>
      <c r="R31" s="169">
        <v>0.8</v>
      </c>
      <c r="S31" s="171" t="str">
        <f>各项系数!$D$44</f>
        <v>磁性钢带</v>
      </c>
      <c r="T31" s="123">
        <v>0.5</v>
      </c>
      <c r="U31" s="123">
        <v>2</v>
      </c>
      <c r="V31" s="169"/>
      <c r="W31" s="170">
        <v>1.9</v>
      </c>
      <c r="X31" s="164">
        <f t="shared" si="238"/>
        <v>0.2</v>
      </c>
      <c r="Y31" s="219"/>
      <c r="Z31" s="220"/>
      <c r="AA31" s="217">
        <v>1.02</v>
      </c>
      <c r="AB31" s="186">
        <f>PI()*EJ31*EJ31/4*EH31*(1-H31)*AA31*各项系数!$F$5*各项系数!$J$4*10^-7</f>
        <v>2.59714160229395</v>
      </c>
      <c r="AC31" s="186">
        <f t="shared" si="241"/>
        <v>245.118138379664</v>
      </c>
      <c r="AD31" s="186">
        <f t="shared" si="5"/>
        <v>293.609962330657</v>
      </c>
      <c r="AE31" s="186">
        <f>POWER(4*EU31/PI()/EG31/10^-7/EH31/(1-H31)/各项系数!$F$5/各项系数!$J$4,0.5)</f>
        <v>247.557184904753</v>
      </c>
      <c r="AF31" s="218">
        <v>1</v>
      </c>
      <c r="AG31" s="85">
        <f>IF(EM31=0,0,PI()*ER31*ER31/4*EP31*(1-K31)*(1+AF31)*各项系数!$F$5*各项系数!$J$4*10^-7)</f>
        <v>0</v>
      </c>
      <c r="AH31" s="85">
        <f t="shared" si="242"/>
        <v>0</v>
      </c>
      <c r="AI31" s="85">
        <f t="shared" si="128"/>
        <v>0</v>
      </c>
      <c r="AJ31" s="85">
        <f>IF(OR(EP31="",EP31=0),0,POWER(4*EW31/PI()/EO31/10^-7/EP31/(1-K31)/各项系数!$F$5/各项系数!$J$4,0.5))</f>
        <v>0</v>
      </c>
      <c r="AK31" s="85" t="str">
        <f t="shared" si="8"/>
        <v>√</v>
      </c>
      <c r="AL31" s="85">
        <f t="shared" si="243"/>
        <v>179.243636304166</v>
      </c>
      <c r="AM31" s="250">
        <f t="shared" si="244"/>
        <v>300</v>
      </c>
      <c r="AN31" s="118" t="s">
        <v>486</v>
      </c>
      <c r="AO31" s="259">
        <f>AP31+各项系数!$M$9*$NK31</f>
        <v>175.729055200163</v>
      </c>
      <c r="AP31" s="259">
        <f>AQ31*(1+$BI31+(VLOOKUP($AM31,$A$12:$B$323,2,0))+各项系数!$J$6+各项系数!$M$5)*(1+$E$2)</f>
        <v>174.833422657985</v>
      </c>
      <c r="AQ31" s="260">
        <f>AR31+各项系数!$L$9*$NK31</f>
        <v>178.401451691821</v>
      </c>
      <c r="AR31" s="260">
        <f>AS31*(1+$BJ31+各项系数!$J$5+各项系数!$L$5)</f>
        <v>177.505819149643</v>
      </c>
      <c r="AS31" s="260">
        <f t="shared" si="129"/>
        <v>174.025312891807</v>
      </c>
      <c r="AT31" s="259">
        <f>AU31+各项系数!$M$9*$NM31</f>
        <v>177.357095164296</v>
      </c>
      <c r="AU31" s="259">
        <f>AV31*(1+$BI31+(VLOOKUP($AM31,$A$12:$B$323,2,0))+各项系数!$J$6+各项系数!$M$5)*(1+$E$2)</f>
        <v>176.461462622118</v>
      </c>
      <c r="AV31" s="260">
        <f>AW31+各项系数!$L$9*$NM31</f>
        <v>180.062716961344</v>
      </c>
      <c r="AW31" s="260">
        <f>AX31*(1+$BJ31+各项系数!$J$5+各项系数!$L$5)</f>
        <v>179.167084419166</v>
      </c>
      <c r="AX31" s="260">
        <f t="shared" si="130"/>
        <v>175.654004332516</v>
      </c>
      <c r="AY31" s="259">
        <f>AZ31+各项系数!$M$9*$NS31</f>
        <v>178.190392850716</v>
      </c>
      <c r="AZ31" s="259">
        <f>BA31*(1+$BI31+(VLOOKUP($AM31,$A$12:$B$214,2,0))+各项系数!$J$6+各项系数!$M$5)*(1+$E$2)</f>
        <v>177.283973697032</v>
      </c>
      <c r="BA31" s="260">
        <f>BB31+各项系数!$L$9*$NS31</f>
        <v>180.902013976563</v>
      </c>
      <c r="BB31" s="260">
        <f>BC31*(1+$BJ31+各项系数!$J$5+各项系数!$L$5)</f>
        <v>179.995594822879</v>
      </c>
      <c r="BC31" s="262">
        <f t="shared" si="131"/>
        <v>176.466269434195</v>
      </c>
      <c r="BD31" s="259">
        <f>BE31+各项系数!$M$9*$NS31</f>
        <v>179.827884208789</v>
      </c>
      <c r="BE31" s="259">
        <f>BF31*(1+$BI31+(VLOOKUP($AM31,$A$12:$B$214,2,0))+各项系数!$J$6+各项系数!$M$5)*(1+$E$2)</f>
        <v>178.921465055105</v>
      </c>
      <c r="BF31" s="260">
        <f>BG31+各项系数!$L$9*$NS31</f>
        <v>182.572923525618</v>
      </c>
      <c r="BG31" s="260">
        <f>BH31*(1+$BJ31+各项系数!$J$5+各项系数!$L$5)</f>
        <v>181.666504371933</v>
      </c>
      <c r="BH31" s="262">
        <f t="shared" si="132"/>
        <v>178.104416050915</v>
      </c>
      <c r="BI31" s="67"/>
      <c r="BJ31" s="272"/>
      <c r="BK31" s="123"/>
      <c r="BL31" s="259">
        <f>BM31+各项系数!$M$9*$NM31</f>
        <v>177.677385847022</v>
      </c>
      <c r="BM31" s="259">
        <f>BN31*(1+$CF31+(VLOOKUP($AM31,$A$12:$B$323,2,0))+各项系数!$J$6+各项系数!$M$5)*(1+$E$2)</f>
        <v>176.781753304844</v>
      </c>
      <c r="BN31" s="260">
        <f>BO31+各项系数!$L$9*$NM31</f>
        <v>180.389544188616</v>
      </c>
      <c r="BO31" s="260">
        <f>BP31*(1+$CG31+各项系数!$J$5+各项系数!$L$5)</f>
        <v>179.493911646438</v>
      </c>
      <c r="BP31" s="260">
        <f t="shared" si="133"/>
        <v>174.265933637319</v>
      </c>
      <c r="BQ31" s="259">
        <f>BR31+各项系数!$M$9*$NM31</f>
        <v>179.078504406754</v>
      </c>
      <c r="BR31" s="259">
        <f>BS31*(1+$CF31+(VLOOKUP($AM31,$A$12:$B$323,2,0))+各项系数!$J$6+各项系数!$M$5)*(1+$E$2)</f>
        <v>178.182871864576</v>
      </c>
      <c r="BS31" s="260">
        <f>BT31+各项系数!$L$9*$NM31</f>
        <v>181.81925700467</v>
      </c>
      <c r="BT31" s="260">
        <f>BU31*(1+$CG31+各项系数!$J$5+各项系数!$L$5)</f>
        <v>180.923624462492</v>
      </c>
      <c r="BU31" s="260">
        <f t="shared" si="134"/>
        <v>175.654004332516</v>
      </c>
      <c r="BV31" s="259">
        <f>BW31+各项系数!$M$9*$NT31</f>
        <v>179.283862262339</v>
      </c>
      <c r="BW31" s="259">
        <f>BX31*(1+$CF31+(VLOOKUP($AM31,$A$12:$B$214,2,0))+各项系数!$J$6+各项系数!$M$5)*(1+$E$2)</f>
        <v>178.377443108654</v>
      </c>
      <c r="BX31" s="260">
        <f>BY31+各项系数!$L$9*$NT$12</f>
        <v>182.017799090464</v>
      </c>
      <c r="BY31" s="260">
        <f>BZ31*(1+$CG31+各项系数!$J$5+各项系数!$L$5)</f>
        <v>182.009535687309</v>
      </c>
      <c r="BZ31" s="262">
        <f t="shared" si="11"/>
        <v>176.708287075057</v>
      </c>
      <c r="CA31" s="259">
        <f>CB31+各项系数!$M$9*$NT31</f>
        <v>180.69311485057</v>
      </c>
      <c r="CB31" s="259">
        <f>CC31*(1+$CF31+(VLOOKUP($AM31,$A$12:$B$214,2,0))+各项系数!$J$6+各项系数!$M$5)*(1+$E$2)</f>
        <v>179.786695696886</v>
      </c>
      <c r="CC31" s="260">
        <f>CD31+各项系数!$L$9*$NT$12</f>
        <v>183.455811935598</v>
      </c>
      <c r="CD31" s="260">
        <f>CE31*(1+$CG31+各项系数!$J$5+各项系数!$L$5)</f>
        <v>183.447548532443</v>
      </c>
      <c r="CE31" s="262">
        <f t="shared" si="135"/>
        <v>178.104416050915</v>
      </c>
      <c r="CF31" s="277">
        <f t="shared" si="136"/>
        <v>0</v>
      </c>
      <c r="CG31" s="277">
        <f t="shared" si="12"/>
        <v>0.01</v>
      </c>
      <c r="CH31" s="123"/>
      <c r="CI31" s="259">
        <f>CJ31+各项系数!$M$9*$NO31</f>
        <v>177.524938269087</v>
      </c>
      <c r="CJ31" s="259">
        <f>CK31*(1+$DC31+(VLOOKUP($AM31,$A$12:$B$323,2,0))+各项系数!$J$6+各项系数!$M$5)*(1+$E$2)+各项系数!$M$9*$NK31</f>
        <v>176.617184091933</v>
      </c>
      <c r="CK31" s="260">
        <f>CL31+各项系数!$L$9*$NO31</f>
        <v>179.307705663015</v>
      </c>
      <c r="CL31" s="260">
        <f>CM31*(1+$DD31+各项系数!$J$5+各项系数!$L$5)</f>
        <v>178.39995148586</v>
      </c>
      <c r="CM31" s="260">
        <f t="shared" si="13"/>
        <v>174.901913221431</v>
      </c>
      <c r="CN31" s="259">
        <f>CO31+各项系数!$M$9*$NO31</f>
        <v>179.10061561101</v>
      </c>
      <c r="CO31" s="259">
        <f>CP31*(1+$DC31+(VLOOKUP($AM31,$A$12:$B$323,2,0))+各项系数!$J$6+各项系数!$M$5)*(1+$E$2)+各项系数!$M$9*$NK31</f>
        <v>178.192861433855</v>
      </c>
      <c r="CP31" s="260">
        <f>CQ31+各项系数!$L$9*$NO31</f>
        <v>180.915539685385</v>
      </c>
      <c r="CQ31" s="260">
        <f>CR31*(1+$DD31+各项系数!$J$5+各项系数!$L$5)</f>
        <v>180.00778550823</v>
      </c>
      <c r="CR31" s="260">
        <f t="shared" si="14"/>
        <v>176.4782210865</v>
      </c>
      <c r="CS31" s="259">
        <f>CT31+各项系数!$M$9*$NU31</f>
        <v>179.147690327468</v>
      </c>
      <c r="CT31" s="259">
        <f t="shared" si="15"/>
        <v>178.228898108819</v>
      </c>
      <c r="CU31" s="260">
        <f>CV31+各项系数!$L$9*$NU31</f>
        <v>181.866222560019</v>
      </c>
      <c r="CV31" s="260">
        <f>CW31*(1+$DD31+各项系数!$J$5+各项系数!$L$5)</f>
        <v>180.94743034137</v>
      </c>
      <c r="CW31" s="262">
        <f t="shared" si="16"/>
        <v>177.399441511147</v>
      </c>
      <c r="CX31" s="259">
        <f>CY31+各项系数!$M$9*$NU31</f>
        <v>180.82062441282</v>
      </c>
      <c r="CY31" s="259">
        <f t="shared" si="17"/>
        <v>179.901832194171</v>
      </c>
      <c r="CZ31" s="260">
        <f>DA31+各项系数!$L$9*$NU31</f>
        <v>183.573298157317</v>
      </c>
      <c r="DA31" s="260">
        <f>DB31*(1+$DD31+各项系数!$J$5+各项系数!$L$5)</f>
        <v>182.654505938668</v>
      </c>
      <c r="DB31" s="262">
        <f t="shared" si="18"/>
        <v>179.07304503791</v>
      </c>
      <c r="DC31" s="277">
        <f t="shared" si="137"/>
        <v>0</v>
      </c>
      <c r="DD31" s="277">
        <f t="shared" si="19"/>
        <v>0</v>
      </c>
      <c r="DE31" s="69"/>
      <c r="DF31" s="69"/>
      <c r="DG31" s="259">
        <f>DH31+各项系数!$M$9*$NQ31</f>
        <v>179.487147197302</v>
      </c>
      <c r="DH31" s="259">
        <f>DI31*(1+$EA31+(VLOOKUP($AM31,$A$12:$B$323,2,0))+各项系数!$J$6+各项系数!$M$5)*(1+$E$2)+各项系数!$M$9*$NK31</f>
        <v>178.579393020147</v>
      </c>
      <c r="DI31" s="260">
        <f>DJ31+各项系数!$L$9*$NQ31</f>
        <v>181.309959671397</v>
      </c>
      <c r="DJ31" s="260">
        <f>DK31*(1+$EB31+各项系数!$J$5+各项系数!$L$5)</f>
        <v>180.402205494242</v>
      </c>
      <c r="DK31" s="260">
        <f t="shared" si="20"/>
        <v>175.147772324507</v>
      </c>
      <c r="DL31" s="259">
        <f>DM31+各项系数!$M$9*$NQ31</f>
        <v>180.918768363906</v>
      </c>
      <c r="DM31" s="259">
        <f>DN31*(1+$EA31+(VLOOKUP($AM31,$A$12:$B$323,2,0))+各项系数!$J$6+各项系数!$M$5)*(1+$E$2)+各项系数!$M$9*$NK31</f>
        <v>180.011014186751</v>
      </c>
      <c r="DN31" s="260">
        <f>DO31+各项系数!$L$9*$NQ31</f>
        <v>182.770797596503</v>
      </c>
      <c r="DO31" s="260">
        <f>DP31*(1+$EB31+各项系数!$J$5+各项系数!$L$5)</f>
        <v>181.863043419348</v>
      </c>
      <c r="DP31" s="260">
        <f t="shared" si="21"/>
        <v>176.566061572183</v>
      </c>
      <c r="DQ31" s="259">
        <f>DR31+各项系数!$M$9*$NV31</f>
        <v>181.135785059089</v>
      </c>
      <c r="DR31" s="259">
        <f t="shared" si="22"/>
        <v>180.21699284044</v>
      </c>
      <c r="DS31" s="260">
        <f>DT31+各项系数!$L$9*$NV31</f>
        <v>183.89489065351</v>
      </c>
      <c r="DT31" s="260">
        <f>DU31*(1+$EB31+各项系数!$J$5+各项系数!$L$5)</f>
        <v>182.976098434861</v>
      </c>
      <c r="DU31" s="262">
        <f t="shared" si="23"/>
        <v>177.646697509573</v>
      </c>
      <c r="DV31" s="259">
        <f>DW31+各项系数!$M$9*$NV31</f>
        <v>181.016815985589</v>
      </c>
      <c r="DW31" s="259">
        <f t="shared" si="24"/>
        <v>180.09802376694</v>
      </c>
      <c r="DX31" s="260">
        <f>DY31+各项系数!$L$9*$NV31</f>
        <v>183.773493639734</v>
      </c>
      <c r="DY31" s="260">
        <f>DZ31*(1+$EB31+各项系数!$J$5+各项系数!$L$5)</f>
        <v>182.854701421085</v>
      </c>
      <c r="DZ31" s="262">
        <f t="shared" si="25"/>
        <v>177.528836331151</v>
      </c>
      <c r="EA31" s="277">
        <f t="shared" si="230"/>
        <v>0</v>
      </c>
      <c r="EB31" s="277">
        <f t="shared" si="27"/>
        <v>0.01</v>
      </c>
      <c r="EC31" s="302">
        <f t="shared" si="138"/>
        <v>1</v>
      </c>
      <c r="ED31" s="302" t="str">
        <f t="shared" si="180"/>
        <v>1*300</v>
      </c>
      <c r="EE31" s="251">
        <f t="shared" si="239"/>
        <v>300</v>
      </c>
      <c r="EF31" s="251" t="str">
        <f>LOOKUP(EH31,{1,7,10,14,19,24,30,37,48,61},{1,"1+6","2+8","4+10","1+6+12","2+8+14","4+10+16","1+6+12+18","3+9+15+21","1+6+12+18+24"})</f>
        <v>1+6+12+18+24</v>
      </c>
      <c r="EG31" s="250">
        <f t="shared" si="29"/>
        <v>1</v>
      </c>
      <c r="EH31" s="260">
        <f>VLOOKUP(EE31,各项系数!$B$87:$C$110,2,0)</f>
        <v>61</v>
      </c>
      <c r="EI31" s="250">
        <f>IF(EH31=0,0,VLOOKUP(EH31,各项系数!$D$142:$E$195,2,0))*1</f>
        <v>9</v>
      </c>
      <c r="EJ31" s="305">
        <f t="shared" si="141"/>
        <v>245.118138379664</v>
      </c>
      <c r="EK31" s="251">
        <f t="shared" si="245"/>
        <v>0</v>
      </c>
      <c r="EL31" s="251">
        <f t="shared" si="31"/>
        <v>0</v>
      </c>
      <c r="EM31" s="251">
        <f t="shared" si="182"/>
        <v>0</v>
      </c>
      <c r="EN31" s="251">
        <f>IF(EP31=0,0,LOOKUP(EP31,{1,7,10,14,19,24,30,37,48,61},{1,"1+6","2+8","4+10","1+6+12","2+8+14","4+10+16","1+6+12+18","3+9+15+21","1+6+12+18+24"}))</f>
        <v>0</v>
      </c>
      <c r="EO31" s="251">
        <f t="shared" si="246"/>
        <v>0</v>
      </c>
      <c r="EP31" s="251">
        <f>IF(EM31=0,0,IF(EM31&lt;10,1,IF(AND(EM31&gt;=10,EM31&lt;=35),7,LOOKUP(EM31,{50,70,95,120,150,185,240,300},{10,14,19,24,30,37,48,61})*1)))</f>
        <v>0</v>
      </c>
      <c r="EQ31" s="251">
        <f>IF(EP31=0,0,VLOOKUP(EP31,各项系数!$D$142:$E$195,2,0))*1</f>
        <v>0</v>
      </c>
      <c r="ER31" s="251">
        <f t="shared" si="247"/>
        <v>0</v>
      </c>
      <c r="ES31" s="302">
        <f t="shared" si="185"/>
        <v>1</v>
      </c>
      <c r="ET31" s="251">
        <f>VLOOKUP(ES31,各项系数!$D$142:$E$195,2,0)*1</f>
        <v>1</v>
      </c>
      <c r="EU31" s="311">
        <f>((各项系数!$F$76/4*$EJ31^2*$EG31*$EH31*1*10^-7)*(1-$H31)*AA31)*(VLOOKUP($EY$9,各项系数!$D$4:$F$143,3,0))*各项系数!$J$4</f>
        <v>2.59714160229395</v>
      </c>
      <c r="EV31" s="312">
        <f>EU31*(VLOOKUP($EY$9,各项系数!$D$4:$F$143,2,0))</f>
        <v>170.112774950253</v>
      </c>
      <c r="EW31" s="324">
        <f>(IF($EO31=0,0,(各项系数!$F$76/4*$ER31^2*$EO31*$EP31*1*10^-7))*(1-$K31)*$AF31)*(VLOOKUP($EY$9,各项系数!$D$4:$F$143,3,0))*各项系数!$J$4</f>
        <v>0</v>
      </c>
      <c r="EX31" s="325">
        <f>EW31*(VLOOKUP($EY$9,各项系数!$D$4:$F$143,2,0))</f>
        <v>0</v>
      </c>
      <c r="EY31" s="251">
        <f>((各项系数!$F$76/4*$EJ31^2*$EG31*$EH31*1*10^-7)*(1-$H31)*AA31+IF($EO31=0,0,(各项系数!$F$76/4*$ER31^2*$EO31*$EP31*1*10^-7))*(1-$K31)*$AF31)*(VLOOKUP($EY$9,各项系数!$D$4:$F$143,3,0))*各项系数!$J$4</f>
        <v>2.59714160229395</v>
      </c>
      <c r="EZ31" s="123">
        <v>1</v>
      </c>
      <c r="FA31" s="251">
        <f t="shared" si="188"/>
        <v>2.59714160229395</v>
      </c>
      <c r="FB31" s="326">
        <f>FA31*(VLOOKUP($EY$9,各项系数!$D$4:$F$143,2,0))</f>
        <v>170.112774950253</v>
      </c>
      <c r="FC31" s="327"/>
      <c r="FD31" s="302">
        <f>各项系数!$F$76/4*($MN31^2-MK31^2)*10^-2*(VLOOKUP(L31,各项系数!$D$1:$F$143,3,0))*10^-3*10^2*$EG31*各项系数!$J$4</f>
        <v>0.147679459454488</v>
      </c>
      <c r="FE31" s="339">
        <f>FD31*VLOOKUP(L31,各项系数!$D$1:$F$143,2,0)</f>
        <v>1.50633048643578</v>
      </c>
      <c r="FF31" s="250">
        <f>各项系数!$F$76/4*($MO31^2-ML31^2)*10^-2*(VLOOKUP(L31,各项系数!$D$1:$F$143,3,0))*10^-3*10^2*$EO31*各项系数!$J$4</f>
        <v>0</v>
      </c>
      <c r="FG31" s="339">
        <f>FF31*VLOOKUP(L31,各项系数!$D$1:$F$143,2,0)</f>
        <v>0</v>
      </c>
      <c r="FH31" s="302">
        <f t="shared" si="142"/>
        <v>0.147679459454488</v>
      </c>
      <c r="FI31" s="123">
        <v>1</v>
      </c>
      <c r="FJ31" s="251">
        <f t="shared" si="189"/>
        <v>0.147679459454488</v>
      </c>
      <c r="FK31" s="339">
        <f>FJ31*VLOOKUP(L31,各项系数!$D$1:$F$143,2,0)</f>
        <v>1.50633048643578</v>
      </c>
      <c r="FL31" s="302"/>
      <c r="FM31" s="123"/>
      <c r="FN31" s="251"/>
      <c r="FO31" s="339"/>
      <c r="FP31" s="364">
        <f t="shared" si="190"/>
        <v>0.147679459454488</v>
      </c>
      <c r="FQ31" s="364">
        <f t="shared" si="191"/>
        <v>1.50633048643578</v>
      </c>
      <c r="FR31" s="365">
        <f>各项系数!$F$76/4*($MQ31^2-$MN31^2*$EG31-$MO31^2*$EO31)*10^-2</f>
        <v>0</v>
      </c>
      <c r="FS31" s="366">
        <f t="shared" si="143"/>
        <v>1</v>
      </c>
      <c r="FT31" s="367">
        <f t="shared" si="40"/>
        <v>0</v>
      </c>
      <c r="FU31" s="388">
        <f>$FT31*(VLOOKUP($FT$9,各项系数!$D$1:$F$143,3,0))*10^-3*10^2*各项系数!$J$55</f>
        <v>0</v>
      </c>
      <c r="FV31" s="389">
        <v>1</v>
      </c>
      <c r="FW31" s="390">
        <f t="shared" si="192"/>
        <v>0</v>
      </c>
      <c r="FX31" s="367">
        <f>FW31*(VLOOKUP($FT$9,各项系数!$D$1:$F$143,2,0))</f>
        <v>0</v>
      </c>
      <c r="FY31" s="388">
        <f>IF($BK31&lt;&gt;$FY$9,0,各项系数!$F$76/4*($MS31^2-$MQ31^2)*10^-2*(VLOOKUP($FY$9,各项系数!$D$1:$F$143,3,0))*10^-3*10^2)*各项系数!$J$4</f>
        <v>0</v>
      </c>
      <c r="FZ31" s="389">
        <v>1</v>
      </c>
      <c r="GA31" s="390">
        <f t="shared" si="193"/>
        <v>0</v>
      </c>
      <c r="GB31" s="367">
        <f>GA31*(VLOOKUP($FY$9,各项系数!$D$1:$F$143,2,0))</f>
        <v>0</v>
      </c>
      <c r="GC31" s="388">
        <f>IF($BK31&lt;&gt;$GC$9,0,各项系数!$F$76/4*($MS31^2-$MQ31^2)*10^-2*(VLOOKUP($GC$9,各项系数!$D$1:$F$143,3,0))*10^-3*10^2)*各项系数!$J$4</f>
        <v>0</v>
      </c>
      <c r="GD31" s="389">
        <v>1</v>
      </c>
      <c r="GE31" s="390">
        <f t="shared" si="194"/>
        <v>0</v>
      </c>
      <c r="GF31" s="367">
        <f>GE31*(VLOOKUP($GC$9,各项系数!$D$1:$F$143,2,0))</f>
        <v>0</v>
      </c>
      <c r="GG31" s="388">
        <f>IF($BK31&lt;&gt;$GG$9,0,各项系数!$F$76/4*($MS31^2-$MQ31^2)*10^-2*(VLOOKUP($GG$9,各项系数!$D$1:$F$143,3,0))*10^-3*10^2)*各项系数!$J$4</f>
        <v>0</v>
      </c>
      <c r="GH31" s="389">
        <v>1</v>
      </c>
      <c r="GI31" s="390">
        <f t="shared" si="195"/>
        <v>0</v>
      </c>
      <c r="GJ31" s="367">
        <f>GI31*(VLOOKUP($GG$9,各项系数!$D$1:$F$143,2,0))</f>
        <v>0</v>
      </c>
      <c r="GK31" s="388">
        <f>IF($BK31&lt;&gt;$GK$9,0,各项系数!$F$76/4*($MS31^2-$MQ31^2)*10^-2*(VLOOKUP($GK$9,各项系数!$D$1:$F$143,3,0))*10^-3*10^2)*各项系数!$J$4</f>
        <v>0</v>
      </c>
      <c r="GL31" s="389">
        <v>1</v>
      </c>
      <c r="GM31" s="390">
        <f t="shared" si="196"/>
        <v>0</v>
      </c>
      <c r="GN31" s="367">
        <f>GM31*(VLOOKUP($GK$9,各项系数!$D$1:$F$143,2,0))</f>
        <v>0</v>
      </c>
      <c r="GO31" s="390">
        <f t="shared" si="197"/>
        <v>0</v>
      </c>
      <c r="GP31" s="390">
        <f t="shared" si="198"/>
        <v>0</v>
      </c>
      <c r="GQ31" s="406">
        <f>各项系数!$F$76/4*($MU31^2-$MS31^2)*10^-2*(VLOOKUP($S31,各项系数!$D$1:$F$143,3,0))*10^-3*10^2*各项系数!$J$4</f>
        <v>0.484194409402016</v>
      </c>
      <c r="GR31" s="389">
        <v>1</v>
      </c>
      <c r="GS31" s="390">
        <f t="shared" si="199"/>
        <v>0.484194409402016</v>
      </c>
      <c r="GT31" s="390">
        <f t="shared" si="200"/>
        <v>0</v>
      </c>
      <c r="GU31" s="390">
        <f>ROUND($GS31*(VLOOKUP($S31,各项系数!$D$1:$F$143,2,0))+$E$3*GS31,GT31)</f>
        <v>5</v>
      </c>
      <c r="GV31" s="406">
        <f>各项系数!$F$76/4*($MT31^2-$MS31^2)*10^-2*(VLOOKUP($GV$9,各项系数!$D$1:$F$143,3,0))*10^-3*10^2*各项系数!$J$4*PI()/4*R31</f>
        <v>0.0359553716871646</v>
      </c>
      <c r="GW31" s="389">
        <v>1</v>
      </c>
      <c r="GX31" s="390">
        <f t="shared" si="201"/>
        <v>0.0359553716871646</v>
      </c>
      <c r="GY31" s="390">
        <f>$GX31*(VLOOKUP($GV$9,各项系数!$D$1:$F$143,2,0))</f>
        <v>2.42698758888361</v>
      </c>
      <c r="GZ31" s="406">
        <f>各项系数!$F$76/4*($MV31^2-$MS31^2)*10^-2*(VLOOKUP($GZ$9,各项系数!$D$1:$F$143,3,0))*10^-3*10^2*各项系数!$J$4</f>
        <v>0.237346993872167</v>
      </c>
      <c r="HA31" s="389">
        <v>1</v>
      </c>
      <c r="HB31" s="390">
        <f t="shared" si="144"/>
        <v>0.237346993872167</v>
      </c>
      <c r="HC31" s="390">
        <f>HB31*(VLOOKUP($GZ$9,各项系数!$D$1:$F$143,2,0))</f>
        <v>4.03489889582685</v>
      </c>
      <c r="HD31" s="406">
        <f>各项系数!$F$76/4*($MW31^2-$MT31^2)*10^-2*(VLOOKUP($HD$9,各项系数!$D$1:$F$143,3,0))*10^-3*10^2*各项系数!$J$4</f>
        <v>0.238724883843661</v>
      </c>
      <c r="HE31" s="389">
        <v>1</v>
      </c>
      <c r="HF31" s="390">
        <f t="shared" si="145"/>
        <v>0.238724883843661</v>
      </c>
      <c r="HG31" s="390">
        <f>HF31*(VLOOKUP($HD$9,各项系数!$D$1:$F$143,2,0))</f>
        <v>4.05832302534224</v>
      </c>
      <c r="HH31" s="406">
        <f>各项系数!$F$76/4*($MV31^2-$MS31^2)*10^-2*(VLOOKUP($HH$9,各项系数!$D$1:$F$143,3,0))*10^-3*10^2*各项系数!$J$4</f>
        <v>0.237346993872167</v>
      </c>
      <c r="HI31" s="420">
        <v>1</v>
      </c>
      <c r="HJ31" s="390">
        <f t="shared" si="146"/>
        <v>0.237346993872167</v>
      </c>
      <c r="HK31" s="390">
        <f>HJ31*(VLOOKUP($HH$9,各项系数!$D$1:$F$143,2,0))</f>
        <v>4.03489889582685</v>
      </c>
      <c r="HL31" s="406">
        <f>各项系数!$F$76/4*($MW31^2-$MT31^2)*10^-2*(VLOOKUP($HL$9,各项系数!$D$1:$F$143,3,0))*10^-3*10^2*各项系数!$J$4</f>
        <v>0.238724883843661</v>
      </c>
      <c r="HM31" s="420">
        <v>1</v>
      </c>
      <c r="HN31" s="390">
        <f t="shared" si="147"/>
        <v>0.238724883843661</v>
      </c>
      <c r="HO31" s="390">
        <f>HN31*(VLOOKUP($HL$9,各项系数!$D$1:$F$143,2,0))</f>
        <v>4.05832302534224</v>
      </c>
      <c r="HP31" s="406">
        <f>各项系数!$F$76/4*($MV31^2-$MS31^2)*10^-2*(VLOOKUP(AN31,各项系数!$D$1:$F$143,3,0))*10^-3*10^2*各项系数!$J$4</f>
        <v>0.240620745511784</v>
      </c>
      <c r="HQ31" s="389">
        <v>1</v>
      </c>
      <c r="HR31" s="390">
        <f t="shared" si="202"/>
        <v>0.240620745511784</v>
      </c>
      <c r="HS31" s="390">
        <f>HR31*(VLOOKUP(AN31,各项系数!$D$1:$F$143,2,0))</f>
        <v>2.40620745511784</v>
      </c>
      <c r="HT31" s="406">
        <f>各项系数!$F$76/4*($MW31^2-$MT31^2)*10^-2*(VLOOKUP(AN31,各项系数!$D$1:$F$143,3,0))*10^-3*10^2*各项系数!$J$4</f>
        <v>0.242017640862194</v>
      </c>
      <c r="HU31" s="389">
        <v>1</v>
      </c>
      <c r="HV31" s="390">
        <f t="shared" si="203"/>
        <v>0.242017640862194</v>
      </c>
      <c r="HW31" s="390">
        <f>HV31*(VLOOKUP(AN31,各项系数!$D$1:$F$143,2,0))</f>
        <v>2.42017640862194</v>
      </c>
      <c r="HX31" s="406">
        <f>各项系数!$F$76/4*($MV31^2-$MS31^2)*10^-2*(VLOOKUP($HX$9,各项系数!$D$1:$F$143,3,0))*10^-3*10^2*各项系数!$J$4</f>
        <v>0.240620745511784</v>
      </c>
      <c r="HY31" s="420">
        <v>1</v>
      </c>
      <c r="HZ31" s="390">
        <f t="shared" si="204"/>
        <v>0.240620745511784</v>
      </c>
      <c r="IA31" s="390">
        <f>HZ31*(VLOOKUP($HX$9,各项系数!$D$1:$F$143,2,0))</f>
        <v>2.64682820062962</v>
      </c>
      <c r="IB31" s="406">
        <f>各项系数!$F$76/4*($MW31^2-$MT31^2)*10^-2*(VLOOKUP($IB$9,各项系数!$D$1:$F$143,3,0))*10^-3*10^2*各项系数!$J$4</f>
        <v>0.242017640862194</v>
      </c>
      <c r="IC31" s="420">
        <v>1</v>
      </c>
      <c r="ID31" s="390">
        <f t="shared" si="205"/>
        <v>0.242017640862194</v>
      </c>
      <c r="IE31" s="390">
        <f>ID31*(VLOOKUP($IB$9,各项系数!$D$1:$F$143,2,0))</f>
        <v>2.66219404948414</v>
      </c>
      <c r="IF31" s="429"/>
      <c r="IG31" s="406">
        <f t="shared" si="148"/>
        <v>0.0314535413464165</v>
      </c>
      <c r="IH31" s="389">
        <v>1</v>
      </c>
      <c r="II31" s="390">
        <f t="shared" si="206"/>
        <v>0.0314535413464165</v>
      </c>
      <c r="IJ31" s="390">
        <f>II31*(VLOOKUP($IG$8,各项系数!$D$1:$F$143,2,0))</f>
        <v>0.786338533660413</v>
      </c>
      <c r="IK31" s="406">
        <f>(各项系数!$F$76/4*($MX31^2-$MK31^2)*$EG31)*10^-2*(VLOOKUP($IG$8,各项系数!$D$1:$F$143,3,0))*10^-3*10^2*各项系数!$J$4</f>
        <v>0.0314535413464165</v>
      </c>
      <c r="IL31" s="389">
        <f>IK31*(VLOOKUP($IG$8,各项系数!$D$1:$F$143,2,0))</f>
        <v>0.786338533660413</v>
      </c>
      <c r="IM31" s="390">
        <f>(各项系数!$F$76/4*(($MM31+3*$X31)^2-MM31^2)*$EO31)*10^-2*(VLOOKUP($IG$8,各项系数!$D$1:$F$143,3,0))*10^-3*10^2*各项系数!$J$4</f>
        <v>0</v>
      </c>
      <c r="IN31" s="389">
        <f>IM31*(VLOOKUP($IG$8,各项系数!$D$1:$F$143,2,0))</f>
        <v>0</v>
      </c>
      <c r="IO31" s="406">
        <f>各项系数!$F$76/4*($MZ31^2-$MX31^2)*10^-2*(VLOOKUP(L31,各项系数!$D$1:$F$143,3,0))*10^-3*10^2*$ES31*各项系数!$J$4</f>
        <v>0.151393010466591</v>
      </c>
      <c r="IP31" s="389">
        <v>1</v>
      </c>
      <c r="IQ31" s="390">
        <f t="shared" si="207"/>
        <v>0.151393010466591</v>
      </c>
      <c r="IR31" s="367">
        <f>IQ31*(VLOOKUP(L31,各项系数!$D$1:$F$143,2,0))</f>
        <v>1.54420870675923</v>
      </c>
      <c r="IS31" s="406">
        <f>IF($L31&lt;&gt;$IS$9,0,各项系数!$F$76/4*($MZ31^2-$MX31^2)*10^-2*各项系数!$F$12*10^-3*10^2)*$ES31*各项系数!$J$4</f>
        <v>0</v>
      </c>
      <c r="IT31" s="389">
        <v>1</v>
      </c>
      <c r="IU31" s="390">
        <f t="shared" si="208"/>
        <v>0</v>
      </c>
      <c r="IV31" s="367">
        <f>IU31*各项系数!$E$12</f>
        <v>0</v>
      </c>
      <c r="IW31" s="388">
        <f t="shared" si="209"/>
        <v>0.151393010466591</v>
      </c>
      <c r="IX31" s="388">
        <f t="shared" si="210"/>
        <v>1.54420870675923</v>
      </c>
      <c r="IY31" s="447">
        <f>各项系数!$F$76/4*($NB31^2-$MZ31^2*$EG31-$NA31^2*$EO31)*10^-2</f>
        <v>0</v>
      </c>
      <c r="IZ31" s="366">
        <f t="shared" si="231"/>
        <v>1</v>
      </c>
      <c r="JA31" s="367">
        <f t="shared" si="64"/>
        <v>0</v>
      </c>
      <c r="JB31" s="364">
        <f>IF($DE31&lt;&gt;$JB$9,0,$JA31*各项系数!$F$32*10^-3*10^2)*各项系数!$J$4</f>
        <v>0</v>
      </c>
      <c r="JC31" s="123">
        <v>1</v>
      </c>
      <c r="JD31" s="251">
        <f t="shared" si="211"/>
        <v>0</v>
      </c>
      <c r="JE31" s="339">
        <f>JD31*各项系数!$E$32</f>
        <v>0</v>
      </c>
      <c r="JF31" s="364">
        <f>IF($DE31&lt;&gt;$JF$9,0,$JA31*VLOOKUP($JF$9,各项系数!$D$4:$F$540,2,0)*10^-3*10^2)*各项系数!$J$4</f>
        <v>0</v>
      </c>
      <c r="JG31" s="123">
        <v>1</v>
      </c>
      <c r="JH31" s="251">
        <f t="shared" si="66"/>
        <v>0</v>
      </c>
      <c r="JI31" s="339">
        <f>JH31*VLOOKUP($JF$9,各项系数!$D$4:$F$540,3,0)</f>
        <v>0</v>
      </c>
      <c r="JJ31" s="364">
        <f t="shared" si="212"/>
        <v>0</v>
      </c>
      <c r="JK31" s="251">
        <f t="shared" si="213"/>
        <v>0</v>
      </c>
      <c r="JL31" s="364">
        <f>IF($DF31&lt;&gt;$JL$9,0,各项系数!$F$76/4*($NE31^2-$NC31^2)*10^-2*各项系数!$F$39*10^-3*10^2)*各项系数!$J$4</f>
        <v>0</v>
      </c>
      <c r="JM31" s="123">
        <v>1</v>
      </c>
      <c r="JN31" s="251">
        <f t="shared" si="214"/>
        <v>0</v>
      </c>
      <c r="JO31" s="339">
        <f>JN31*各项系数!$E$39</f>
        <v>0</v>
      </c>
      <c r="JP31" s="364">
        <f>IF($DF31&lt;&gt;$JP$9,0,各项系数!$F$76/4*($NE31^2-$NC31^2)*10^-2*各项系数!$F$36*10^-3*10^2)*各项系数!$J$4</f>
        <v>0</v>
      </c>
      <c r="JQ31" s="123">
        <v>1</v>
      </c>
      <c r="JR31" s="251">
        <f t="shared" si="215"/>
        <v>0</v>
      </c>
      <c r="JS31" s="339">
        <f>JR31*各项系数!$E$36</f>
        <v>0</v>
      </c>
      <c r="JT31" s="364">
        <f>IF($DF31&lt;&gt;$JT$9,0,各项系数!$F$76/4*($NE31^2-$NC31^2)*10^-2*各项系数!$F$40*10^-3*10^2)*各项系数!$J$4</f>
        <v>0</v>
      </c>
      <c r="JU31" s="123">
        <v>1</v>
      </c>
      <c r="JV31" s="251">
        <f t="shared" si="216"/>
        <v>0</v>
      </c>
      <c r="JW31" s="339">
        <f>JV31*各项系数!$E$40</f>
        <v>0</v>
      </c>
      <c r="JX31" s="364">
        <f>IF($DF31&lt;&gt;$JX$9,0,各项系数!$F$76/4*($NE31^2-$NC31^2)*10^-2*各项系数!$F$38*10^-3*10^2)*各项系数!$J$4</f>
        <v>0</v>
      </c>
      <c r="JY31" s="123">
        <v>1</v>
      </c>
      <c r="JZ31" s="251">
        <f t="shared" si="217"/>
        <v>0</v>
      </c>
      <c r="KA31" s="339">
        <f>JZ31*各项系数!$E$38</f>
        <v>0</v>
      </c>
      <c r="KB31" s="364">
        <f>IF($DF31&lt;&gt;$KB$9,0,各项系数!$F$76/4*($NE31^2-$NC31^2)*10^-2*各项系数!$F$41*10^-3*10^2)*各项系数!$J$4</f>
        <v>0</v>
      </c>
      <c r="KC31" s="123">
        <v>1</v>
      </c>
      <c r="KD31" s="251">
        <f t="shared" si="218"/>
        <v>0</v>
      </c>
      <c r="KE31" s="339">
        <f>KD31*各项系数!$E$41</f>
        <v>0</v>
      </c>
      <c r="KF31" s="251">
        <f t="shared" si="219"/>
        <v>0</v>
      </c>
      <c r="KG31" s="251">
        <f t="shared" si="220"/>
        <v>0</v>
      </c>
      <c r="KH31" s="302">
        <f>各项系数!$F$76/4*($NG31^2-$NE31^2)*10^-2*各项系数!$F$44*10^-3*10^2*各项系数!$J$4*0.75*$U31</f>
        <v>0.742791596440888</v>
      </c>
      <c r="KI31" s="123">
        <v>1</v>
      </c>
      <c r="KJ31" s="251">
        <f t="shared" si="221"/>
        <v>0.742791596440888</v>
      </c>
      <c r="KK31" s="251">
        <f>ROUND(KJ31*各项系数!$E$44,GT31)</f>
        <v>8</v>
      </c>
      <c r="KL31" s="302">
        <f>各项系数!$F$76/4*($NF31^2-$NE31^2)*10^-2*各项系数!$F$46*10^-3*10^2*各项系数!$J$4*PI()/4*R31</f>
        <v>0.0367934716475811</v>
      </c>
      <c r="KM31" s="123">
        <v>1</v>
      </c>
      <c r="KN31" s="251">
        <f t="shared" si="222"/>
        <v>0.0367934716475811</v>
      </c>
      <c r="KO31" s="251">
        <f>KN31*各项系数!$E$46</f>
        <v>2.48355933621173</v>
      </c>
      <c r="KP31" s="302">
        <f>各项系数!$F$76/4*($NH31^2-$NE31^2)*10^-2*(VLOOKUP($KP$9,各项系数!$D$1:$F$143,3,0))*10^-3*10^2*各项系数!$J$4</f>
        <v>0.242514081265269</v>
      </c>
      <c r="KQ31" s="123">
        <v>1</v>
      </c>
      <c r="KR31" s="251">
        <f t="shared" si="150"/>
        <v>0.242514081265269</v>
      </c>
      <c r="KS31" s="251">
        <f>KR31*(VLOOKUP($KP$9,各项系数!$D$1:$F$143,2,0))</f>
        <v>4.12273938150958</v>
      </c>
      <c r="KT31" s="302">
        <f>各项系数!$F$76/4*($NI31^2-$NF31^2)*10^-2*(VLOOKUP($KT$9,各项系数!$D$1:$F$143,3,0))*10^-3*10^2*各项系数!$J$4</f>
        <v>0.243891971236763</v>
      </c>
      <c r="KU31" s="123">
        <v>1</v>
      </c>
      <c r="KV31" s="251">
        <f t="shared" si="151"/>
        <v>0.243891971236763</v>
      </c>
      <c r="KW31" s="251">
        <f>KV31*(VLOOKUP($KT$9,各项系数!$D$1:$F$143,2,0))</f>
        <v>4.14616351102497</v>
      </c>
      <c r="KX31" s="251">
        <f>各项系数!$F$76/4*($NH31^2-$NE31^2)*10^-2*(VLOOKUP($KX$9,各项系数!$D$1:$F$143,3,0))*10^-3*10^2*各项系数!$J$4</f>
        <v>0.242514081265269</v>
      </c>
      <c r="KY31" s="479">
        <v>1</v>
      </c>
      <c r="KZ31" s="251">
        <f t="shared" si="152"/>
        <v>0.242514081265269</v>
      </c>
      <c r="LA31" s="251">
        <f>KZ31*(VLOOKUP($KX$9,各项系数!$D$1:$F$143,2,0))</f>
        <v>4.12273938150958</v>
      </c>
      <c r="LB31" s="251">
        <f>各项系数!$F$76/4*($NI31^2-$NF31^2)*10^-2*(VLOOKUP($LB$9,各项系数!$D$1:$F$143,3,0))*10^-3*10^2*各项系数!$J$4</f>
        <v>0.243891971236763</v>
      </c>
      <c r="LC31" s="479">
        <v>1</v>
      </c>
      <c r="LD31" s="251">
        <f t="shared" si="153"/>
        <v>0.243891971236763</v>
      </c>
      <c r="LE31" s="251">
        <f>LD31*(VLOOKUP($LB$9,各项系数!$D$1:$F$143,2,0))</f>
        <v>4.14616351102497</v>
      </c>
      <c r="LF31" s="302">
        <f>各项系数!$F$76/4*($NH31^2-$NE31^2)*10^-2*(VLOOKUP(AN31,各项系数!$D$1:$F$143,3,0))*10^-3*10^2*各项系数!$J$4</f>
        <v>0.245859103075825</v>
      </c>
      <c r="LG31" s="123">
        <v>1</v>
      </c>
      <c r="LH31" s="251">
        <f t="shared" si="223"/>
        <v>0.245859103075825</v>
      </c>
      <c r="LI31" s="251">
        <f>LH31*(VLOOKUP(AN31,各项系数!$D$1:$F$143,2,0))</f>
        <v>2.45859103075825</v>
      </c>
      <c r="LJ31" s="302">
        <f>各项系数!$F$76/4*($NI31^2-$NF31^2)*10^-2*(VLOOKUP(AN31,各项系数!$D$1:$F$143,3,0))*10^-3*10^2*各项系数!$J$4</f>
        <v>0.247255998426236</v>
      </c>
      <c r="LK31" s="123">
        <v>1</v>
      </c>
      <c r="LL31" s="251">
        <f t="shared" si="224"/>
        <v>0.247255998426236</v>
      </c>
      <c r="LM31" s="251">
        <f>LL31*(VLOOKUP(AN31,各项系数!$D$1:$F$143,2,0))</f>
        <v>2.47255998426236</v>
      </c>
      <c r="LN31" s="251">
        <f>各项系数!$F$76/4*($NH31^2-$NE31^2)*10^-2*(VLOOKUP($LN$9,各项系数!$D$1:$F$143,3,0))*10^-3*10^2*各项系数!$J$4</f>
        <v>0.245859103075825</v>
      </c>
      <c r="LO31" s="479">
        <v>1</v>
      </c>
      <c r="LP31" s="251">
        <f t="shared" si="225"/>
        <v>0.245859103075825</v>
      </c>
      <c r="LQ31" s="251">
        <f>LP31*(VLOOKUP($LN$9,各项系数!$D$1:$F$143,2,0))</f>
        <v>2.70445013383407</v>
      </c>
      <c r="LR31" s="251">
        <f>各项系数!$F$76/4*($NI31^2-$NF31^2)*10^-2*(VLOOKUP($LR$9,各项系数!$D$1:$F$143,3,0))*10^-3*10^2*各项系数!$J$4</f>
        <v>0.247255998426236</v>
      </c>
      <c r="LS31" s="479">
        <v>1</v>
      </c>
      <c r="LT31" s="251">
        <f t="shared" si="226"/>
        <v>0.247255998426236</v>
      </c>
      <c r="LU31" s="251">
        <f>LT31*(VLOOKUP($LR$9,各项系数!$D$1:$F$143,2,0))</f>
        <v>2.71981598268859</v>
      </c>
      <c r="LV31" s="499">
        <f t="shared" si="154"/>
        <v>382.23090445</v>
      </c>
      <c r="LW31" s="499">
        <f t="shared" si="155"/>
        <v>287.85290335</v>
      </c>
      <c r="LX31" s="499">
        <f t="shared" si="156"/>
        <v>19.1443385785994</v>
      </c>
      <c r="LY31" s="515">
        <f t="shared" si="157"/>
        <v>94.3780011</v>
      </c>
      <c r="LZ31" s="516">
        <f t="shared" si="86"/>
        <v>1</v>
      </c>
      <c r="MA31" s="517">
        <f t="shared" si="87"/>
        <v>382.23090445</v>
      </c>
      <c r="MB31" s="517">
        <f t="shared" si="158"/>
        <v>22.06063242</v>
      </c>
      <c r="MC31" s="499">
        <f t="shared" si="159"/>
        <v>0</v>
      </c>
      <c r="MD31" s="499">
        <f t="shared" si="160"/>
        <v>0</v>
      </c>
      <c r="ME31" s="499">
        <f t="shared" si="161"/>
        <v>0</v>
      </c>
      <c r="MF31" s="499">
        <f t="shared" si="162"/>
        <v>0</v>
      </c>
      <c r="MG31" s="516">
        <f t="shared" si="163"/>
        <v>1</v>
      </c>
      <c r="MH31" s="517">
        <f t="shared" si="88"/>
        <v>0</v>
      </c>
      <c r="MI31" s="517">
        <f t="shared" si="164"/>
        <v>0</v>
      </c>
      <c r="MJ31" s="251">
        <f t="shared" si="89"/>
        <v>22.06063242</v>
      </c>
      <c r="MK31" s="251">
        <f t="shared" si="165"/>
        <v>22.06063242</v>
      </c>
      <c r="ML31" s="251">
        <f t="shared" si="227"/>
        <v>0</v>
      </c>
      <c r="MM31" s="251">
        <f t="shared" si="91"/>
        <v>0</v>
      </c>
      <c r="MN31" s="251">
        <f t="shared" si="92"/>
        <v>25.66063242</v>
      </c>
      <c r="MO31" s="251">
        <f t="shared" si="166"/>
        <v>0</v>
      </c>
      <c r="MP31" s="251">
        <f t="shared" si="167"/>
        <v>25.66063242</v>
      </c>
      <c r="MQ31" s="251">
        <f t="shared" si="228"/>
        <v>25.66063242</v>
      </c>
      <c r="MR31" s="314">
        <f t="shared" si="168"/>
        <v>25.66063242</v>
      </c>
      <c r="MS31" s="530">
        <f t="shared" si="94"/>
        <v>25.66063242</v>
      </c>
      <c r="MT31" s="530">
        <f t="shared" si="95"/>
        <v>25.82063242</v>
      </c>
      <c r="MU31" s="530">
        <f t="shared" si="232"/>
        <v>27.16063242</v>
      </c>
      <c r="MV31" s="530">
        <f t="shared" si="97"/>
        <v>29.46063242</v>
      </c>
      <c r="MW31" s="530">
        <f t="shared" si="98"/>
        <v>29.62063242</v>
      </c>
      <c r="MX31" s="326">
        <f t="shared" si="233"/>
        <v>22.66063242</v>
      </c>
      <c r="MY31" s="326">
        <f t="shared" si="100"/>
        <v>0</v>
      </c>
      <c r="MZ31" s="251">
        <f t="shared" si="101"/>
        <v>26.26063242</v>
      </c>
      <c r="NA31" s="251">
        <f t="shared" si="102"/>
        <v>0</v>
      </c>
      <c r="NB31" s="251">
        <f t="shared" si="169"/>
        <v>26.26063242</v>
      </c>
      <c r="NC31" s="326">
        <f t="shared" si="229"/>
        <v>26.26063242</v>
      </c>
      <c r="ND31" s="314">
        <f t="shared" si="234"/>
        <v>26.26063242</v>
      </c>
      <c r="NE31" s="537">
        <f t="shared" si="235"/>
        <v>26.26063242</v>
      </c>
      <c r="NF31" s="530">
        <f t="shared" si="106"/>
        <v>26.42063242</v>
      </c>
      <c r="NG31" s="538">
        <f t="shared" si="236"/>
        <v>27.76063242</v>
      </c>
      <c r="NH31" s="326">
        <f t="shared" si="108"/>
        <v>30.06063242</v>
      </c>
      <c r="NI31" s="530">
        <f t="shared" si="109"/>
        <v>30.22063242</v>
      </c>
      <c r="NK31" s="539">
        <f t="shared" si="110"/>
        <v>2.98544180726022</v>
      </c>
      <c r="NL31" s="539">
        <f t="shared" si="111"/>
        <v>174.025312891807</v>
      </c>
      <c r="NM31" s="539">
        <f t="shared" si="112"/>
        <v>2.98544180726022</v>
      </c>
      <c r="NN31" s="539">
        <f t="shared" si="113"/>
        <v>174.265933637319</v>
      </c>
      <c r="NO31" s="539">
        <f t="shared" si="114"/>
        <v>3.02584725718278</v>
      </c>
      <c r="NP31" s="539">
        <f t="shared" si="115"/>
        <v>174.901913221431</v>
      </c>
      <c r="NQ31" s="539">
        <f t="shared" si="116"/>
        <v>3.02584725718278</v>
      </c>
      <c r="NR31" s="539">
        <f t="shared" si="117"/>
        <v>175.147772324507</v>
      </c>
      <c r="NS31" s="539">
        <f t="shared" si="118"/>
        <v>3.02139717894738</v>
      </c>
      <c r="NT31" s="539">
        <f t="shared" si="119"/>
        <v>3.02139717894738</v>
      </c>
      <c r="NU31" s="539">
        <f t="shared" si="120"/>
        <v>3.06264072883036</v>
      </c>
      <c r="NV31" s="539">
        <f t="shared" si="121"/>
        <v>3.06264072883036</v>
      </c>
      <c r="NW31">
        <f t="shared" si="122"/>
        <v>3.46963621666223</v>
      </c>
      <c r="NX31">
        <f>各项系数!$M$9*NK31</f>
        <v>0.895632542178065</v>
      </c>
      <c r="NY31">
        <f t="shared" si="123"/>
        <v>3.02139717894738</v>
      </c>
      <c r="OB31" s="82" t="str">
        <f t="shared" si="124"/>
        <v>1*300</v>
      </c>
      <c r="OC31" s="546">
        <f t="shared" si="125"/>
        <v>245.118138379664</v>
      </c>
      <c r="OD31" s="546">
        <f>SQRT(4*EY31/PI()/EH31/各项系数!$J$4/各项系数!$F$5*10000000)</f>
        <v>247.557184904753</v>
      </c>
      <c r="OE31" s="547">
        <f t="shared" si="126"/>
        <v>287.852904245743</v>
      </c>
      <c r="OF31" s="547">
        <f t="shared" si="127"/>
        <v>293.609962330657</v>
      </c>
      <c r="OG31" s="82">
        <v>292</v>
      </c>
      <c r="OH31" s="548">
        <f t="shared" si="186"/>
        <v>1.60996233065731</v>
      </c>
    </row>
    <row r="32" customHeight="1" spans="1:398">
      <c r="A32" s="66">
        <v>400</v>
      </c>
      <c r="B32" s="67">
        <v>0</v>
      </c>
      <c r="C32" s="68">
        <v>2</v>
      </c>
      <c r="D32" s="69" t="s">
        <v>262</v>
      </c>
      <c r="E32" s="79">
        <f t="shared" si="240"/>
        <v>32.94630719</v>
      </c>
      <c r="F32" s="75">
        <v>277.181191063812</v>
      </c>
      <c r="G32" s="74"/>
      <c r="H32" s="23"/>
      <c r="I32" s="78"/>
      <c r="J32" s="23"/>
      <c r="K32" s="23"/>
      <c r="L32" s="118" t="s">
        <v>467</v>
      </c>
      <c r="M32" s="124">
        <f t="shared" si="2"/>
        <v>2</v>
      </c>
      <c r="N32" s="124">
        <f t="shared" si="3"/>
        <v>0</v>
      </c>
      <c r="O32" s="123"/>
      <c r="P32" s="120">
        <v>0.1</v>
      </c>
      <c r="Q32" s="162">
        <f t="shared" si="237"/>
        <v>0.1</v>
      </c>
      <c r="R32" s="169">
        <v>0.8</v>
      </c>
      <c r="S32" s="171" t="str">
        <f>各项系数!$D$44</f>
        <v>磁性钢带</v>
      </c>
      <c r="T32" s="123">
        <v>0.5</v>
      </c>
      <c r="U32" s="123">
        <v>2</v>
      </c>
      <c r="V32" s="169"/>
      <c r="W32" s="170">
        <v>2</v>
      </c>
      <c r="X32" s="164">
        <f t="shared" si="238"/>
        <v>0.2</v>
      </c>
      <c r="Y32" s="219"/>
      <c r="Z32" s="220"/>
      <c r="AA32" s="226">
        <v>1.02</v>
      </c>
      <c r="AB32" s="186">
        <f>PI()*EJ32*EJ32/4*EH32*(1-H32)*AA32*各项系数!$F$5*各项系数!$J$4*10^-7</f>
        <v>3.32102575101844</v>
      </c>
      <c r="AC32" s="186">
        <f t="shared" si="241"/>
        <v>277.181191063812</v>
      </c>
      <c r="AD32" s="186">
        <f t="shared" si="5"/>
        <v>375.445930554736</v>
      </c>
      <c r="AE32" s="186">
        <f>POWER(4*EU32/PI()/EG32/10^-7/EH32/(1-H32)/各项系数!$F$5/各项系数!$J$4,0.5)</f>
        <v>279.939280797005</v>
      </c>
      <c r="AF32" s="218">
        <v>1</v>
      </c>
      <c r="AG32" s="85">
        <f>IF(EM32=0,0,PI()*ER32*ER32/4*EP32*(1-K32)*(1+AF32)*各项系数!$F$5*各项系数!$J$4*10^-7)</f>
        <v>0</v>
      </c>
      <c r="AH32" s="85">
        <f t="shared" si="242"/>
        <v>0</v>
      </c>
      <c r="AI32" s="85">
        <f t="shared" si="128"/>
        <v>0</v>
      </c>
      <c r="AJ32" s="85">
        <f>IF(OR(EP32="",EP32=0),0,POWER(4*EW32/PI()/EO32/10^-7/EP32/(1-K32)/各项系数!$F$5/各项系数!$J$4,0.5))</f>
        <v>0</v>
      </c>
      <c r="AK32" s="85" t="str">
        <f t="shared" si="8"/>
        <v>√</v>
      </c>
      <c r="AL32" s="85">
        <f t="shared" si="243"/>
        <v>228.91260202419</v>
      </c>
      <c r="AM32" s="250">
        <f t="shared" si="244"/>
        <v>400</v>
      </c>
      <c r="AN32" s="118" t="s">
        <v>486</v>
      </c>
      <c r="AO32" s="259">
        <f>AP32+各项系数!$M$9*$NK32</f>
        <v>224.424119631559</v>
      </c>
      <c r="AP32" s="259">
        <f>AQ32*(1+$BI32+(VLOOKUP($AM32,$A$12:$B$323,2,0))+各项系数!$J$6+各项系数!$M$5)*(1+$E$2)</f>
        <v>223.286899507344</v>
      </c>
      <c r="AQ32" s="260">
        <f>AR32+各项系数!$L$9*$NK32</f>
        <v>227.843775007494</v>
      </c>
      <c r="AR32" s="260">
        <f>AS32*(1+$BJ32+各项系数!$J$5+各项系数!$L$5)</f>
        <v>226.70655488328</v>
      </c>
      <c r="AS32" s="260">
        <f t="shared" si="129"/>
        <v>222.261328316941</v>
      </c>
      <c r="AT32" s="259">
        <f>AU32+各项系数!$M$9*$NM32</f>
        <v>226.348367922797</v>
      </c>
      <c r="AU32" s="259">
        <f>AV32*(1+$BI32+(VLOOKUP($AM32,$A$12:$B$323,2,0))+各项系数!$J$6+各项系数!$M$5)*(1+$E$2)</f>
        <v>225.211147798583</v>
      </c>
      <c r="AV32" s="260">
        <f>AW32+各项系数!$L$9*$NM32</f>
        <v>229.807293672023</v>
      </c>
      <c r="AW32" s="260">
        <f>AX32*(1+$BJ32+各项系数!$J$5+各项系数!$L$5)</f>
        <v>228.670073547809</v>
      </c>
      <c r="AX32" s="260">
        <f t="shared" si="130"/>
        <v>224.186346615499</v>
      </c>
      <c r="AY32" s="259">
        <f>AZ32+各项系数!$M$9*$NS32</f>
        <v>227.198588403339</v>
      </c>
      <c r="AZ32" s="259">
        <f>BA32*(1+$BI32+(VLOOKUP($AM32,$A$12:$B$214,2,0))+各项系数!$J$6+各项系数!$M$5)*(1+$E$2)</f>
        <v>226.049204805672</v>
      </c>
      <c r="BA32" s="260">
        <f>BB32+各项系数!$L$9*$NS32</f>
        <v>230.662453883338</v>
      </c>
      <c r="BB32" s="260">
        <f>BC32*(1+$BJ32+各项系数!$J$5+各项系数!$L$5)</f>
        <v>229.513070285671</v>
      </c>
      <c r="BC32" s="262">
        <f t="shared" si="131"/>
        <v>225.012814005559</v>
      </c>
      <c r="BD32" s="259">
        <f>BE32+各项系数!$M$9*$NS32</f>
        <v>229.132785530305</v>
      </c>
      <c r="BE32" s="259">
        <f>BF32*(1+$BI32+(VLOOKUP($AM32,$A$12:$B$214,2,0))+各项系数!$J$6+各项系数!$M$5)*(1+$E$2)</f>
        <v>227.983401932637</v>
      </c>
      <c r="BF32" s="260">
        <f>BG32+各项系数!$L$9*$NS32</f>
        <v>232.636124421058</v>
      </c>
      <c r="BG32" s="260">
        <f>BH32*(1+$BJ32+各项系数!$J$5+各项系数!$L$5)</f>
        <v>231.48674082339</v>
      </c>
      <c r="BH32" s="262">
        <f t="shared" si="132"/>
        <v>226.947785120971</v>
      </c>
      <c r="BI32" s="67"/>
      <c r="BJ32" s="272"/>
      <c r="BK32" s="123"/>
      <c r="BL32" s="259">
        <f>BM32+各项系数!$M$9*$NM32</f>
        <v>226.889353694465</v>
      </c>
      <c r="BM32" s="259">
        <f>BN32*(1+$CF32+(VLOOKUP($AM32,$A$12:$B$323,2,0))+各项系数!$J$6+各项系数!$M$5)*(1+$E$2)</f>
        <v>225.75213357025</v>
      </c>
      <c r="BN32" s="260">
        <f>BO32+各项系数!$L$9*$NM32</f>
        <v>230.359319969643</v>
      </c>
      <c r="BO32" s="260">
        <f>BP32*(1+$CG32+各项系数!$J$5+各项系数!$L$5)</f>
        <v>229.222099845429</v>
      </c>
      <c r="BP32" s="260">
        <f t="shared" si="133"/>
        <v>222.545728005271</v>
      </c>
      <c r="BQ32" s="259">
        <f>BR32+各项系数!$M$9*$NM32</f>
        <v>228.545394119629</v>
      </c>
      <c r="BR32" s="259">
        <f>BS32*(1+$CF32+(VLOOKUP($AM32,$A$12:$B$323,2,0))+各项系数!$J$6+各项系数!$M$5)*(1+$E$2)</f>
        <v>227.408173995415</v>
      </c>
      <c r="BS32" s="260">
        <f>BT32+各项系数!$L$9*$NM32</f>
        <v>232.049157138178</v>
      </c>
      <c r="BT32" s="260">
        <f>BU32*(1+$CG32+各项系数!$J$5+各项系数!$L$5)</f>
        <v>230.911937013964</v>
      </c>
      <c r="BU32" s="260">
        <f t="shared" si="134"/>
        <v>224.186346615499</v>
      </c>
      <c r="BV32" s="259">
        <f>BW32+各项系数!$M$9*$NT32</f>
        <v>228.573973473441</v>
      </c>
      <c r="BW32" s="259">
        <f>BX32*(1+$CF32+(VLOOKUP($AM32,$A$12:$B$214,2,0))+各项系数!$J$6+各项系数!$M$5)*(1+$E$2)</f>
        <v>227.424589875774</v>
      </c>
      <c r="BX32" s="260">
        <f>BY32+各项系数!$L$9*$NT$12</f>
        <v>232.065908036504</v>
      </c>
      <c r="BY32" s="260">
        <f>BZ32*(1+$CG32+各项系数!$J$5+各项系数!$L$5)</f>
        <v>232.057644633349</v>
      </c>
      <c r="BZ32" s="262">
        <f t="shared" si="11"/>
        <v>225.298684110047</v>
      </c>
      <c r="CA32" s="259">
        <f>CB32+各项系数!$M$9*$NT32</f>
        <v>230.238576033868</v>
      </c>
      <c r="CB32" s="259">
        <f>CC32*(1+$CF32+(VLOOKUP($AM32,$A$12:$B$214,2,0))+各项系数!$J$6+各项系数!$M$5)*(1+$E$2)</f>
        <v>229.0891924362</v>
      </c>
      <c r="CC32" s="260">
        <f>CD32+各项系数!$L$9*$NT$12</f>
        <v>233.764482077755</v>
      </c>
      <c r="CD32" s="260">
        <f>CE32*(1+$CG32+各项系数!$J$5+各项系数!$L$5)</f>
        <v>233.7562186746</v>
      </c>
      <c r="CE32" s="262">
        <f t="shared" si="135"/>
        <v>226.947785120971</v>
      </c>
      <c r="CF32" s="277">
        <f t="shared" si="136"/>
        <v>0</v>
      </c>
      <c r="CG32" s="277">
        <f t="shared" si="12"/>
        <v>0.01</v>
      </c>
      <c r="CH32" s="123"/>
      <c r="CI32" s="259">
        <f>CJ32+各项系数!$M$9*$NO32</f>
        <v>226.572810835035</v>
      </c>
      <c r="CJ32" s="259">
        <f>CK32*(1+$DC32+(VLOOKUP($AM32,$A$12:$B$323,2,0))+各项系数!$J$6+各项系数!$M$5)*(1+$E$2)+各项系数!$M$9*$NK32</f>
        <v>225.422044841212</v>
      </c>
      <c r="CK32" s="260">
        <f>CL32+各项系数!$L$9*$NO32</f>
        <v>228.862066037753</v>
      </c>
      <c r="CL32" s="260">
        <f>CM32*(1+$DD32+各项系数!$J$5+各项系数!$L$5)</f>
        <v>227.71130004393</v>
      </c>
      <c r="CM32" s="260">
        <f t="shared" si="13"/>
        <v>223.246372592088</v>
      </c>
      <c r="CN32" s="259">
        <f>CO32+各项系数!$M$9*$NO32</f>
        <v>228.441940576578</v>
      </c>
      <c r="CO32" s="259">
        <f>CP32*(1+$DC32+(VLOOKUP($AM32,$A$12:$B$323,2,0))+各项系数!$J$6+各项系数!$M$5)*(1+$E$2)+各项系数!$M$9*$NK32</f>
        <v>227.291174582755</v>
      </c>
      <c r="CP32" s="260">
        <f>CQ32+各项系数!$L$9*$NO32</f>
        <v>230.769341284225</v>
      </c>
      <c r="CQ32" s="260">
        <f>CR32*(1+$DD32+各项系数!$J$5+各项系数!$L$5)</f>
        <v>229.618575290403</v>
      </c>
      <c r="CR32" s="260">
        <f t="shared" si="14"/>
        <v>225.116250284709</v>
      </c>
      <c r="CS32" s="259">
        <f>CT32+各项系数!$M$9*$NU32</f>
        <v>228.267106432607</v>
      </c>
      <c r="CT32" s="259">
        <f t="shared" si="15"/>
        <v>227.103925535342</v>
      </c>
      <c r="CU32" s="260">
        <f>CV32+各项系数!$L$9*$NU32</f>
        <v>231.73869952586</v>
      </c>
      <c r="CV32" s="260">
        <f>CW32*(1+$DD32+各项系数!$J$5+各项系数!$L$5)</f>
        <v>230.575518628595</v>
      </c>
      <c r="CW32" s="262">
        <f t="shared" si="16"/>
        <v>226.054430028035</v>
      </c>
      <c r="CX32" s="259">
        <f>CY32+各项系数!$M$9*$NU32</f>
        <v>230.238611693549</v>
      </c>
      <c r="CY32" s="259">
        <f t="shared" si="17"/>
        <v>229.075430796285</v>
      </c>
      <c r="CZ32" s="260">
        <f>DA32+各项系数!$L$9*$NU32</f>
        <v>233.750439588046</v>
      </c>
      <c r="DA32" s="260">
        <f>DB32*(1+$DD32+各项系数!$J$5+各项系数!$L$5)</f>
        <v>232.587258690782</v>
      </c>
      <c r="DB32" s="262">
        <f t="shared" si="18"/>
        <v>228.026724206649</v>
      </c>
      <c r="DC32" s="277">
        <f t="shared" si="137"/>
        <v>0</v>
      </c>
      <c r="DD32" s="277">
        <f t="shared" si="19"/>
        <v>0</v>
      </c>
      <c r="DE32" s="69"/>
      <c r="DF32" s="69"/>
      <c r="DG32" s="259">
        <f>DH32+各项系数!$M$9*$NQ32</f>
        <v>229.0532642246</v>
      </c>
      <c r="DH32" s="259">
        <f>DI32*(1+$EA32+(VLOOKUP($AM32,$A$12:$B$323,2,0))+各项系数!$J$6+各项系数!$M$5)*(1+$E$2)+各项系数!$M$9*$NK32</f>
        <v>227.902498230778</v>
      </c>
      <c r="DI32" s="260">
        <f>DJ32+各项系数!$L$9*$NQ32</f>
        <v>231.393140925065</v>
      </c>
      <c r="DJ32" s="260">
        <f>DK32*(1+$EB32+各项系数!$J$5+各项系数!$L$5)</f>
        <v>230.242374931242</v>
      </c>
      <c r="DK32" s="260">
        <f t="shared" si="20"/>
        <v>223.536286341012</v>
      </c>
      <c r="DL32" s="259">
        <f>DM32+各项系数!$M$9*$NQ32</f>
        <v>230.741412656998</v>
      </c>
      <c r="DM32" s="259">
        <f>DN32*(1+$EA32+(VLOOKUP($AM32,$A$12:$B$323,2,0))+各项系数!$J$6+各项系数!$M$5)*(1+$E$2)+各项系数!$M$9*$NK32</f>
        <v>229.590646663175</v>
      </c>
      <c r="DN32" s="260">
        <f>DO32+各项系数!$L$9*$NQ32</f>
        <v>233.115741366286</v>
      </c>
      <c r="DO32" s="260">
        <f>DP32*(1+$EB32+各项系数!$J$5+各项系数!$L$5)</f>
        <v>231.964975372464</v>
      </c>
      <c r="DP32" s="260">
        <f t="shared" si="21"/>
        <v>225.208713953848</v>
      </c>
      <c r="DQ32" s="259">
        <f>DR32+各项系数!$M$9*$NV32</f>
        <v>230.776563023115</v>
      </c>
      <c r="DR32" s="259">
        <f t="shared" si="22"/>
        <v>229.613382125851</v>
      </c>
      <c r="DS32" s="260">
        <f>DT32+各项系数!$L$9*$NV32</f>
        <v>234.299369516174</v>
      </c>
      <c r="DT32" s="260">
        <f>DU32*(1+$EB32+各项系数!$J$5+各项系数!$L$5)</f>
        <v>233.13618861891</v>
      </c>
      <c r="DU32" s="262">
        <f t="shared" si="23"/>
        <v>226.345814193116</v>
      </c>
      <c r="DV32" s="259">
        <f>DW32+各项系数!$M$9*$NV32</f>
        <v>230.522878959825</v>
      </c>
      <c r="DW32" s="259">
        <f t="shared" si="24"/>
        <v>229.359698062561</v>
      </c>
      <c r="DX32" s="260">
        <f>DY32+各项系数!$L$9*$NV32</f>
        <v>234.040508227103</v>
      </c>
      <c r="DY32" s="260">
        <f>DZ32*(1+$EB32+各项系数!$J$5+各项系数!$L$5)</f>
        <v>232.877327329838</v>
      </c>
      <c r="DZ32" s="262">
        <f t="shared" si="25"/>
        <v>226.094492553241</v>
      </c>
      <c r="EA32" s="277">
        <f t="shared" si="230"/>
        <v>0</v>
      </c>
      <c r="EB32" s="277">
        <f t="shared" si="27"/>
        <v>0.01</v>
      </c>
      <c r="EC32" s="302">
        <f t="shared" si="138"/>
        <v>1</v>
      </c>
      <c r="ED32" s="302" t="str">
        <f t="shared" si="180"/>
        <v>1*400</v>
      </c>
      <c r="EE32" s="251">
        <f t="shared" si="239"/>
        <v>400</v>
      </c>
      <c r="EF32" s="251" t="str">
        <f>LOOKUP(EH32,{1,7,10,14,19,24,30,37,48,61},{1,"1+6","2+8","4+10","1+6+12","2+8+14","4+10+16","1+6+12+18","3+9+15+21","1+6+12+18+24"})</f>
        <v>1+6+12+18+24</v>
      </c>
      <c r="EG32" s="250">
        <f t="shared" si="29"/>
        <v>1</v>
      </c>
      <c r="EH32" s="260">
        <f>VLOOKUP(EE32,各项系数!$B$87:$C$110,2,0)</f>
        <v>61</v>
      </c>
      <c r="EI32" s="250">
        <f>IF(EH32=0,0,VLOOKUP(EH32,各项系数!$D$142:$E$195,2,0))*1</f>
        <v>9</v>
      </c>
      <c r="EJ32" s="305">
        <f t="shared" si="141"/>
        <v>277.181191063812</v>
      </c>
      <c r="EK32" s="251">
        <f t="shared" si="245"/>
        <v>0</v>
      </c>
      <c r="EL32" s="251">
        <f t="shared" si="31"/>
        <v>0</v>
      </c>
      <c r="EM32" s="251">
        <f t="shared" si="182"/>
        <v>0</v>
      </c>
      <c r="EN32" s="251">
        <f>IF(EP32=0,0,LOOKUP(EP32,{1,7,10,14,19,24,30,37,48,61},{1,"1+6","2+8","4+10","1+6+12","2+8+14","4+10+16","1+6+12+18","3+9+15+21","1+6+12+18+24"}))</f>
        <v>0</v>
      </c>
      <c r="EO32" s="251">
        <f t="shared" si="246"/>
        <v>0</v>
      </c>
      <c r="EP32" s="251">
        <f>IF(EM32=0,0,IF(EM32&lt;10,1,IF(AND(EM32&gt;=10,EM32&lt;=35),7,LOOKUP(EM32,{50,70,95,120,150,185,240,300},{10,14,19,24,30,37,48,61})*1)))</f>
        <v>0</v>
      </c>
      <c r="EQ32" s="251">
        <f>IF(EP32=0,0,VLOOKUP(EP32,各项系数!$D$142:$E$195,2,0))*1</f>
        <v>0</v>
      </c>
      <c r="ER32" s="251">
        <f t="shared" si="247"/>
        <v>0</v>
      </c>
      <c r="ES32" s="302">
        <f t="shared" si="185"/>
        <v>1</v>
      </c>
      <c r="ET32" s="251">
        <f>VLOOKUP(ES32,各项系数!$D$142:$E$195,2,0)*1</f>
        <v>1</v>
      </c>
      <c r="EU32" s="311">
        <f>((各项系数!$F$76/4*$EJ32^2*$EG32*$EH32*1*10^-7)*(1-$H32)*AA32)*(VLOOKUP($EY$9,各项系数!$D$4:$F$143,3,0))*各项系数!$J$4</f>
        <v>3.32102575101844</v>
      </c>
      <c r="EV32" s="312">
        <f>EU32*(VLOOKUP($EY$9,各项系数!$D$4:$F$143,2,0))</f>
        <v>217.527186691708</v>
      </c>
      <c r="EW32" s="324">
        <f>(IF($EO32=0,0,(各项系数!$F$76/4*$ER32^2*$EO32*$EP32*1*10^-7))*(1-$K32)*$AF32)*(VLOOKUP($EY$9,各项系数!$D$4:$F$143,3,0))*各项系数!$J$4</f>
        <v>0</v>
      </c>
      <c r="EX32" s="325">
        <f>EW32*(VLOOKUP($EY$9,各项系数!$D$4:$F$143,2,0))</f>
        <v>0</v>
      </c>
      <c r="EY32" s="251">
        <f>((各项系数!$F$76/4*$EJ32^2*$EG32*$EH32*1*10^-7)*(1-$H32)*AA32+IF($EO32=0,0,(各项系数!$F$76/4*$ER32^2*$EO32*$EP32*1*10^-7))*(1-$K32)*$AF32)*(VLOOKUP($EY$9,各项系数!$D$4:$F$143,3,0))*各项系数!$J$4</f>
        <v>3.32102575101844</v>
      </c>
      <c r="EZ32" s="123">
        <v>1</v>
      </c>
      <c r="FA32" s="251">
        <f t="shared" si="188"/>
        <v>3.32102575101844</v>
      </c>
      <c r="FB32" s="326">
        <f>FA32*(VLOOKUP($EY$9,各项系数!$D$4:$F$143,2,0))</f>
        <v>217.527186691708</v>
      </c>
      <c r="FC32" s="327"/>
      <c r="FD32" s="302">
        <f>各项系数!$F$76/4*($MN32^2-MK32^2)*10^-2*(VLOOKUP(L32,各项系数!$D$1:$F$143,3,0))*10^-3*10^2*$EG32*各项系数!$J$4</f>
        <v>0.185308308033047</v>
      </c>
      <c r="FE32" s="339">
        <f>FD32*VLOOKUP(L32,各项系数!$D$1:$F$143,2,0)</f>
        <v>1.89014474193708</v>
      </c>
      <c r="FF32" s="250">
        <f>各项系数!$F$76/4*($MO32^2-ML32^2)*10^-2*(VLOOKUP(L32,各项系数!$D$1:$F$143,3,0))*10^-3*10^2*$EO32*各项系数!$J$4</f>
        <v>0</v>
      </c>
      <c r="FG32" s="339">
        <f>FF32*VLOOKUP(L32,各项系数!$D$1:$F$143,2,0)</f>
        <v>0</v>
      </c>
      <c r="FH32" s="302">
        <f t="shared" si="142"/>
        <v>0.185308308033047</v>
      </c>
      <c r="FI32" s="123">
        <v>1</v>
      </c>
      <c r="FJ32" s="251">
        <f t="shared" si="189"/>
        <v>0.185308308033047</v>
      </c>
      <c r="FK32" s="339">
        <f>FJ32*VLOOKUP(L32,各项系数!$D$1:$F$143,2,0)</f>
        <v>1.89014474193708</v>
      </c>
      <c r="FL32" s="302"/>
      <c r="FM32" s="123"/>
      <c r="FN32" s="251"/>
      <c r="FO32" s="339"/>
      <c r="FP32" s="364">
        <f t="shared" si="190"/>
        <v>0.185308308033047</v>
      </c>
      <c r="FQ32" s="364">
        <f t="shared" si="191"/>
        <v>1.89014474193708</v>
      </c>
      <c r="FR32" s="365">
        <f>各项系数!$F$76/4*($MQ32^2-$MN32^2*$EG32-$MO32^2*$EO32)*10^-2</f>
        <v>0</v>
      </c>
      <c r="FS32" s="366">
        <f t="shared" si="143"/>
        <v>1</v>
      </c>
      <c r="FT32" s="367">
        <f t="shared" si="40"/>
        <v>0</v>
      </c>
      <c r="FU32" s="388">
        <f>$FT32*(VLOOKUP($FT$9,各项系数!$D$1:$F$143,3,0))*10^-3*10^2*各项系数!$J$55</f>
        <v>0</v>
      </c>
      <c r="FV32" s="389">
        <v>1</v>
      </c>
      <c r="FW32" s="390">
        <f t="shared" si="192"/>
        <v>0</v>
      </c>
      <c r="FX32" s="367">
        <f>FW32*(VLOOKUP($FT$9,各项系数!$D$1:$F$143,2,0))</f>
        <v>0</v>
      </c>
      <c r="FY32" s="388">
        <f>IF($BK32&lt;&gt;$FY$9,0,各项系数!$F$76/4*($MS32^2-$MQ32^2)*10^-2*(VLOOKUP($FY$9,各项系数!$D$1:$F$143,3,0))*10^-3*10^2)*各项系数!$J$4</f>
        <v>0</v>
      </c>
      <c r="FZ32" s="389">
        <v>1</v>
      </c>
      <c r="GA32" s="390">
        <f t="shared" si="193"/>
        <v>0</v>
      </c>
      <c r="GB32" s="367">
        <f>GA32*(VLOOKUP($FY$9,各项系数!$D$1:$F$143,2,0))</f>
        <v>0</v>
      </c>
      <c r="GC32" s="388">
        <f>IF($BK32&lt;&gt;$GC$9,0,各项系数!$F$76/4*($MS32^2-$MQ32^2)*10^-2*(VLOOKUP($GC$9,各项系数!$D$1:$F$143,3,0))*10^-3*10^2)*各项系数!$J$4</f>
        <v>0</v>
      </c>
      <c r="GD32" s="389">
        <v>1</v>
      </c>
      <c r="GE32" s="390">
        <f t="shared" si="194"/>
        <v>0</v>
      </c>
      <c r="GF32" s="367">
        <f>GE32*(VLOOKUP($GC$9,各项系数!$D$1:$F$143,2,0))</f>
        <v>0</v>
      </c>
      <c r="GG32" s="388">
        <f>IF($BK32&lt;&gt;$GG$9,0,各项系数!$F$76/4*($MS32^2-$MQ32^2)*10^-2*(VLOOKUP($GG$9,各项系数!$D$1:$F$143,3,0))*10^-3*10^2)*各项系数!$J$4</f>
        <v>0</v>
      </c>
      <c r="GH32" s="389">
        <v>1</v>
      </c>
      <c r="GI32" s="390">
        <f t="shared" si="195"/>
        <v>0</v>
      </c>
      <c r="GJ32" s="367">
        <f>GI32*(VLOOKUP($GG$9,各项系数!$D$1:$F$143,2,0))</f>
        <v>0</v>
      </c>
      <c r="GK32" s="388">
        <f>IF($BK32&lt;&gt;$GK$9,0,各项系数!$F$76/4*($MS32^2-$MQ32^2)*10^-2*(VLOOKUP($GK$9,各项系数!$D$1:$F$143,3,0))*10^-3*10^2)*各项系数!$J$4</f>
        <v>0</v>
      </c>
      <c r="GL32" s="389">
        <v>1</v>
      </c>
      <c r="GM32" s="390">
        <f t="shared" si="196"/>
        <v>0</v>
      </c>
      <c r="GN32" s="367">
        <f>GM32*(VLOOKUP($GK$9,各项系数!$D$1:$F$143,2,0))</f>
        <v>0</v>
      </c>
      <c r="GO32" s="390">
        <f t="shared" si="197"/>
        <v>0</v>
      </c>
      <c r="GP32" s="390">
        <f t="shared" si="198"/>
        <v>0</v>
      </c>
      <c r="GQ32" s="406">
        <f>各项系数!$F$76/4*($MU32^2-$MS32^2)*10^-2*(VLOOKUP($S32,各项系数!$D$1:$F$143,3,0))*10^-3*10^2*各项系数!$J$4</f>
        <v>0.544431715705309</v>
      </c>
      <c r="GR32" s="389">
        <v>1</v>
      </c>
      <c r="GS32" s="390">
        <f t="shared" si="199"/>
        <v>0.544431715705309</v>
      </c>
      <c r="GT32" s="390">
        <f t="shared" si="200"/>
        <v>0</v>
      </c>
      <c r="GU32" s="390">
        <f>ROUND($GS32*(VLOOKUP($S32,各项系数!$D$1:$F$143,2,0))+$E$3*GS32,GT32)</f>
        <v>6</v>
      </c>
      <c r="GV32" s="406">
        <f>各项系数!$F$76/4*($MT32^2-$MS32^2)*10^-2*(VLOOKUP($GV$9,各项系数!$D$1:$F$143,3,0))*10^-3*10^2*各项系数!$J$4*PI()/4*R32</f>
        <v>0.0405449115116287</v>
      </c>
      <c r="GW32" s="389">
        <v>1</v>
      </c>
      <c r="GX32" s="390">
        <f t="shared" si="201"/>
        <v>0.0405449115116287</v>
      </c>
      <c r="GY32" s="390">
        <f>$GX32*(VLOOKUP($GV$9,各项系数!$D$1:$F$143,2,0))</f>
        <v>2.73678152703494</v>
      </c>
      <c r="GZ32" s="406">
        <f>各项系数!$F$76/4*($MV32^2-$MS32^2)*10^-2*(VLOOKUP($GZ$9,各项系数!$D$1:$F$143,3,0))*10^-3*10^2*各项系数!$J$4</f>
        <v>0.280530304814931</v>
      </c>
      <c r="HA32" s="389">
        <v>1</v>
      </c>
      <c r="HB32" s="390">
        <f t="shared" si="144"/>
        <v>0.280530304814931</v>
      </c>
      <c r="HC32" s="390">
        <f>HB32*(VLOOKUP($GZ$9,各项系数!$D$1:$F$143,2,0))</f>
        <v>4.76901518185383</v>
      </c>
      <c r="HD32" s="406">
        <f>各项系数!$F$76/4*($MW32^2-$MT32^2)*10^-2*(VLOOKUP($HD$9,各项系数!$D$1:$F$143,3,0))*10^-3*10^2*各项系数!$J$4</f>
        <v>0.28198071531124</v>
      </c>
      <c r="HE32" s="389">
        <v>1</v>
      </c>
      <c r="HF32" s="390">
        <f t="shared" si="145"/>
        <v>0.28198071531124</v>
      </c>
      <c r="HG32" s="390">
        <f>HF32*(VLOOKUP($HD$9,各项系数!$D$1:$F$143,2,0))</f>
        <v>4.79367216029108</v>
      </c>
      <c r="HH32" s="406">
        <f>各项系数!$F$76/4*($MV32^2-$MS32^2)*10^-2*(VLOOKUP($HH$9,各项系数!$D$1:$F$143,3,0))*10^-3*10^2*各项系数!$J$4</f>
        <v>0.280530304814931</v>
      </c>
      <c r="HI32" s="420">
        <v>1</v>
      </c>
      <c r="HJ32" s="390">
        <f t="shared" si="146"/>
        <v>0.280530304814931</v>
      </c>
      <c r="HK32" s="390">
        <f>HJ32*(VLOOKUP($HH$9,各项系数!$D$1:$F$143,2,0))</f>
        <v>4.76901518185383</v>
      </c>
      <c r="HL32" s="406">
        <f>各项系数!$F$76/4*($MW32^2-$MT32^2)*10^-2*(VLOOKUP($HL$9,各项系数!$D$1:$F$143,3,0))*10^-3*10^2*各项系数!$J$4</f>
        <v>0.28198071531124</v>
      </c>
      <c r="HM32" s="420">
        <v>1</v>
      </c>
      <c r="HN32" s="390">
        <f t="shared" si="147"/>
        <v>0.28198071531124</v>
      </c>
      <c r="HO32" s="390">
        <f>HN32*(VLOOKUP($HL$9,各项系数!$D$1:$F$143,2,0))</f>
        <v>4.79367216029108</v>
      </c>
      <c r="HP32" s="406">
        <f>各项系数!$F$76/4*($MV32^2-$MS32^2)*10^-2*(VLOOKUP(AN32,各项系数!$D$1:$F$143,3,0))*10^-3*10^2*各项系数!$J$4</f>
        <v>0.28439968832962</v>
      </c>
      <c r="HQ32" s="389">
        <v>1</v>
      </c>
      <c r="HR32" s="390">
        <f t="shared" si="202"/>
        <v>0.28439968832962</v>
      </c>
      <c r="HS32" s="390">
        <f>HR32*(VLOOKUP(AN32,各项系数!$D$1:$F$143,2,0))</f>
        <v>2.8439968832962</v>
      </c>
      <c r="HT32" s="406">
        <f>各项系数!$F$76/4*($MW32^2-$MT32^2)*10^-2*(VLOOKUP(AN32,各项系数!$D$1:$F$143,3,0))*10^-3*10^2*各项系数!$J$4</f>
        <v>0.285870104487947</v>
      </c>
      <c r="HU32" s="389">
        <v>1</v>
      </c>
      <c r="HV32" s="390">
        <f t="shared" si="203"/>
        <v>0.285870104487947</v>
      </c>
      <c r="HW32" s="390">
        <f>HV32*(VLOOKUP(AN32,各项系数!$D$1:$F$143,2,0))</f>
        <v>2.85870104487947</v>
      </c>
      <c r="HX32" s="406">
        <f>各项系数!$F$76/4*($MV32^2-$MS32^2)*10^-2*(VLOOKUP($HX$9,各项系数!$D$1:$F$143,3,0))*10^-3*10^2*各项系数!$J$4</f>
        <v>0.28439968832962</v>
      </c>
      <c r="HY32" s="420">
        <v>1</v>
      </c>
      <c r="HZ32" s="390">
        <f t="shared" si="204"/>
        <v>0.28439968832962</v>
      </c>
      <c r="IA32" s="390">
        <f>HZ32*(VLOOKUP($HX$9,各项系数!$D$1:$F$143,2,0))</f>
        <v>3.12839657162582</v>
      </c>
      <c r="IB32" s="406">
        <f>各项系数!$F$76/4*($MW32^2-$MT32^2)*10^-2*(VLOOKUP($IB$9,各项系数!$D$1:$F$143,3,0))*10^-3*10^2*各项系数!$J$4</f>
        <v>0.285870104487947</v>
      </c>
      <c r="IC32" s="420">
        <v>1</v>
      </c>
      <c r="ID32" s="390">
        <f t="shared" si="205"/>
        <v>0.285870104487947</v>
      </c>
      <c r="IE32" s="390">
        <f>ID32*(VLOOKUP($IB$9,各项系数!$D$1:$F$143,2,0))</f>
        <v>3.14457114936742</v>
      </c>
      <c r="IF32" s="429"/>
      <c r="IG32" s="406">
        <f t="shared" si="148"/>
        <v>0.0355126703095725</v>
      </c>
      <c r="IH32" s="389">
        <v>1</v>
      </c>
      <c r="II32" s="390">
        <f t="shared" si="206"/>
        <v>0.0355126703095725</v>
      </c>
      <c r="IJ32" s="390">
        <f>II32*(VLOOKUP($IG$8,各项系数!$D$1:$F$143,2,0))</f>
        <v>0.887816757739313</v>
      </c>
      <c r="IK32" s="406">
        <f>(各项系数!$F$76/4*($MX32^2-$MK32^2)*$EG32)*10^-2*(VLOOKUP($IG$8,各项系数!$D$1:$F$143,3,0))*10^-3*10^2*各项系数!$J$4</f>
        <v>0.0355126703095725</v>
      </c>
      <c r="IL32" s="389">
        <f>IK32*(VLOOKUP($IG$8,各项系数!$D$1:$F$143,2,0))</f>
        <v>0.887816757739313</v>
      </c>
      <c r="IM32" s="390">
        <f>(各项系数!$F$76/4*(($MM32+3*$X32)^2-MM32^2)*$EO32)*10^-2*(VLOOKUP($IG$8,各项系数!$D$1:$F$143,3,0))*10^-3*10^2*各项系数!$J$4</f>
        <v>0</v>
      </c>
      <c r="IN32" s="389">
        <f>IM32*(VLOOKUP($IG$8,各项系数!$D$1:$F$143,2,0))</f>
        <v>0</v>
      </c>
      <c r="IO32" s="406">
        <f>各项系数!$F$76/4*($MZ32^2-$MX32^2)*10^-2*(VLOOKUP(L32,各项系数!$D$1:$F$143,3,0))*10^-3*10^2*$ES32*各项系数!$J$4</f>
        <v>0.189434475824272</v>
      </c>
      <c r="IP32" s="389">
        <v>1</v>
      </c>
      <c r="IQ32" s="390">
        <f t="shared" si="207"/>
        <v>0.189434475824272</v>
      </c>
      <c r="IR32" s="367">
        <f>IQ32*(VLOOKUP(L32,各项系数!$D$1:$F$143,2,0))</f>
        <v>1.93223165340757</v>
      </c>
      <c r="IS32" s="406">
        <f>IF($L32&lt;&gt;$IS$9,0,各项系数!$F$76/4*($MZ32^2-$MX32^2)*10^-2*各项系数!$F$12*10^-3*10^2)*$ES32*各项系数!$J$4</f>
        <v>0</v>
      </c>
      <c r="IT32" s="389">
        <v>1</v>
      </c>
      <c r="IU32" s="390">
        <f t="shared" si="208"/>
        <v>0</v>
      </c>
      <c r="IV32" s="367">
        <f>IU32*各项系数!$E$12</f>
        <v>0</v>
      </c>
      <c r="IW32" s="388">
        <f t="shared" si="209"/>
        <v>0.189434475824272</v>
      </c>
      <c r="IX32" s="388">
        <f t="shared" si="210"/>
        <v>1.93223165340757</v>
      </c>
      <c r="IY32" s="447">
        <f>各项系数!$F$76/4*($NB32^2-$MZ32^2*$EG32-$NA32^2*$EO32)*10^-2</f>
        <v>0</v>
      </c>
      <c r="IZ32" s="366">
        <f t="shared" si="231"/>
        <v>1</v>
      </c>
      <c r="JA32" s="367">
        <f t="shared" si="64"/>
        <v>0</v>
      </c>
      <c r="JB32" s="364">
        <f>IF($DE32&lt;&gt;$JB$9,0,$JA32*各项系数!$F$32*10^-3*10^2)*各项系数!$J$4</f>
        <v>0</v>
      </c>
      <c r="JC32" s="123">
        <v>1</v>
      </c>
      <c r="JD32" s="251">
        <f t="shared" si="211"/>
        <v>0</v>
      </c>
      <c r="JE32" s="339">
        <f>JD32*各项系数!$E$32</f>
        <v>0</v>
      </c>
      <c r="JF32" s="364">
        <f>IF($DE32&lt;&gt;$JF$9,0,$JA32*VLOOKUP($JF$9,各项系数!$D$4:$F$540,2,0)*10^-3*10^2)*各项系数!$J$4</f>
        <v>0</v>
      </c>
      <c r="JG32" s="123">
        <v>1</v>
      </c>
      <c r="JH32" s="251">
        <f t="shared" si="66"/>
        <v>0</v>
      </c>
      <c r="JI32" s="339">
        <f>JH32*VLOOKUP($JF$9,各项系数!$D$4:$F$540,3,0)</f>
        <v>0</v>
      </c>
      <c r="JJ32" s="364">
        <f t="shared" si="212"/>
        <v>0</v>
      </c>
      <c r="JK32" s="251">
        <f t="shared" si="213"/>
        <v>0</v>
      </c>
      <c r="JL32" s="364">
        <f>IF($DF32&lt;&gt;$JL$9,0,各项系数!$F$76/4*($NE32^2-$NC32^2)*10^-2*各项系数!$F$39*10^-3*10^2)*各项系数!$J$4</f>
        <v>0</v>
      </c>
      <c r="JM32" s="123">
        <v>1</v>
      </c>
      <c r="JN32" s="251">
        <f t="shared" si="214"/>
        <v>0</v>
      </c>
      <c r="JO32" s="339">
        <f>JN32*各项系数!$E$39</f>
        <v>0</v>
      </c>
      <c r="JP32" s="364">
        <f>IF($DF32&lt;&gt;$JP$9,0,各项系数!$F$76/4*($NE32^2-$NC32^2)*10^-2*各项系数!$F$36*10^-3*10^2)*各项系数!$J$4</f>
        <v>0</v>
      </c>
      <c r="JQ32" s="123">
        <v>1</v>
      </c>
      <c r="JR32" s="251">
        <f t="shared" si="215"/>
        <v>0</v>
      </c>
      <c r="JS32" s="339">
        <f>JR32*各项系数!$E$36</f>
        <v>0</v>
      </c>
      <c r="JT32" s="364">
        <f>IF($DF32&lt;&gt;$JT$9,0,各项系数!$F$76/4*($NE32^2-$NC32^2)*10^-2*各项系数!$F$40*10^-3*10^2)*各项系数!$J$4</f>
        <v>0</v>
      </c>
      <c r="JU32" s="123">
        <v>1</v>
      </c>
      <c r="JV32" s="251">
        <f t="shared" si="216"/>
        <v>0</v>
      </c>
      <c r="JW32" s="339">
        <f>JV32*各项系数!$E$40</f>
        <v>0</v>
      </c>
      <c r="JX32" s="364">
        <f>IF($DF32&lt;&gt;$JX$9,0,各项系数!$F$76/4*($NE32^2-$NC32^2)*10^-2*各项系数!$F$38*10^-3*10^2)*各项系数!$J$4</f>
        <v>0</v>
      </c>
      <c r="JY32" s="123">
        <v>1</v>
      </c>
      <c r="JZ32" s="251">
        <f t="shared" si="217"/>
        <v>0</v>
      </c>
      <c r="KA32" s="339">
        <f>JZ32*各项系数!$E$38</f>
        <v>0</v>
      </c>
      <c r="KB32" s="364">
        <f>IF($DF32&lt;&gt;$KB$9,0,各项系数!$F$76/4*($NE32^2-$NC32^2)*10^-2*各项系数!$F$41*10^-3*10^2)*各项系数!$J$4</f>
        <v>0</v>
      </c>
      <c r="KC32" s="123">
        <v>1</v>
      </c>
      <c r="KD32" s="251">
        <f t="shared" si="218"/>
        <v>0</v>
      </c>
      <c r="KE32" s="339">
        <f>KD32*各项系数!$E$41</f>
        <v>0</v>
      </c>
      <c r="KF32" s="251">
        <f t="shared" si="219"/>
        <v>0</v>
      </c>
      <c r="KG32" s="251">
        <f t="shared" si="220"/>
        <v>0</v>
      </c>
      <c r="KH32" s="302">
        <f>各项系数!$F$76/4*($NG32^2-$NE32^2)*10^-2*各项系数!$F$44*10^-3*10^2*各项系数!$J$4*0.75*$U32</f>
        <v>0.833147555895829</v>
      </c>
      <c r="KI32" s="123">
        <v>1</v>
      </c>
      <c r="KJ32" s="251">
        <f t="shared" si="221"/>
        <v>0.833147555895829</v>
      </c>
      <c r="KK32" s="251">
        <f>ROUND(KJ32*各项系数!$E$44,GT32)</f>
        <v>9</v>
      </c>
      <c r="KL32" s="302">
        <f>各项系数!$F$76/4*($NF32^2-$NE32^2)*10^-2*各项系数!$F$46*10^-3*10^2*各项系数!$J$4*PI()/4*R32</f>
        <v>0.0413830114720453</v>
      </c>
      <c r="KM32" s="123">
        <v>1</v>
      </c>
      <c r="KN32" s="251">
        <f t="shared" si="222"/>
        <v>0.0413830114720453</v>
      </c>
      <c r="KO32" s="251">
        <f>KN32*各项系数!$E$46</f>
        <v>2.79335327436306</v>
      </c>
      <c r="KP32" s="302">
        <f>各项系数!$F$76/4*($NH32^2-$NE32^2)*10^-2*(VLOOKUP($KP$9,各项系数!$D$1:$F$143,3,0))*10^-3*10^2*各项系数!$J$4</f>
        <v>0.285969344176091</v>
      </c>
      <c r="KQ32" s="123">
        <v>1</v>
      </c>
      <c r="KR32" s="251">
        <f t="shared" si="150"/>
        <v>0.285969344176091</v>
      </c>
      <c r="KS32" s="251">
        <f>KR32*(VLOOKUP($KP$9,各项系数!$D$1:$F$143,2,0))</f>
        <v>4.86147885099355</v>
      </c>
      <c r="KT32" s="302">
        <f>各项系数!$F$76/4*($NI32^2-$NF32^2)*10^-2*(VLOOKUP($KT$9,各项系数!$D$1:$F$143,3,0))*10^-3*10^2*各项系数!$J$4</f>
        <v>0.287419754672401</v>
      </c>
      <c r="KU32" s="123">
        <v>1</v>
      </c>
      <c r="KV32" s="251">
        <f t="shared" si="151"/>
        <v>0.287419754672401</v>
      </c>
      <c r="KW32" s="251">
        <f>KV32*(VLOOKUP($KT$9,各项系数!$D$1:$F$143,2,0))</f>
        <v>4.88613582943082</v>
      </c>
      <c r="KX32" s="251">
        <f>各项系数!$F$76/4*($NH32^2-$NE32^2)*10^-2*(VLOOKUP($KX$9,各项系数!$D$1:$F$143,3,0))*10^-3*10^2*各项系数!$J$4</f>
        <v>0.285969344176091</v>
      </c>
      <c r="KY32" s="479">
        <v>1</v>
      </c>
      <c r="KZ32" s="251">
        <f t="shared" si="152"/>
        <v>0.285969344176091</v>
      </c>
      <c r="LA32" s="251">
        <f>KZ32*(VLOOKUP($KX$9,各项系数!$D$1:$F$143,2,0))</f>
        <v>4.86147885099355</v>
      </c>
      <c r="LB32" s="251">
        <f>各项系数!$F$76/4*($NI32^2-$NF32^2)*10^-2*(VLOOKUP($LB$9,各项系数!$D$1:$F$143,3,0))*10^-3*10^2*各项系数!$J$4</f>
        <v>0.287419754672401</v>
      </c>
      <c r="LC32" s="479">
        <v>1</v>
      </c>
      <c r="LD32" s="251">
        <f t="shared" si="153"/>
        <v>0.287419754672401</v>
      </c>
      <c r="LE32" s="251">
        <f>LD32*(VLOOKUP($LB$9,各项系数!$D$1:$F$143,2,0))</f>
        <v>4.88613582943082</v>
      </c>
      <c r="LF32" s="302">
        <f>各项系数!$F$76/4*($NH32^2-$NE32^2)*10^-2*(VLOOKUP(AN32,各项系数!$D$1:$F$143,3,0))*10^-3*10^2*各项系数!$J$4</f>
        <v>0.289913748923348</v>
      </c>
      <c r="LG32" s="123">
        <v>1</v>
      </c>
      <c r="LH32" s="251">
        <f t="shared" si="223"/>
        <v>0.289913748923348</v>
      </c>
      <c r="LI32" s="251">
        <f>LH32*(VLOOKUP(AN32,各项系数!$D$1:$F$143,2,0))</f>
        <v>2.89913748923348</v>
      </c>
      <c r="LJ32" s="302">
        <f>各项系数!$F$76/4*($NI32^2-$NF32^2)*10^-2*(VLOOKUP(AN32,各项系数!$D$1:$F$143,3,0))*10^-3*10^2*各项系数!$J$4</f>
        <v>0.291384165081675</v>
      </c>
      <c r="LK32" s="123">
        <v>1</v>
      </c>
      <c r="LL32" s="251">
        <f t="shared" si="224"/>
        <v>0.291384165081675</v>
      </c>
      <c r="LM32" s="251">
        <f>LL32*(VLOOKUP(AN32,各项系数!$D$1:$F$143,2,0))</f>
        <v>2.91384165081675</v>
      </c>
      <c r="LN32" s="251">
        <f>各项系数!$F$76/4*($NH32^2-$NE32^2)*10^-2*(VLOOKUP($LN$9,各项系数!$D$1:$F$143,3,0))*10^-3*10^2*各项系数!$J$4</f>
        <v>0.289913748923348</v>
      </c>
      <c r="LO32" s="479">
        <v>1</v>
      </c>
      <c r="LP32" s="251">
        <f t="shared" si="225"/>
        <v>0.289913748923348</v>
      </c>
      <c r="LQ32" s="251">
        <f>LP32*(VLOOKUP($LN$9,各项系数!$D$1:$F$143,2,0))</f>
        <v>3.18905123815682</v>
      </c>
      <c r="LR32" s="251">
        <f>各项系数!$F$76/4*($NI32^2-$NF32^2)*10^-2*(VLOOKUP($LR$9,各项系数!$D$1:$F$143,3,0))*10^-3*10^2*各项系数!$J$4</f>
        <v>0.291384165081675</v>
      </c>
      <c r="LS32" s="479">
        <v>1</v>
      </c>
      <c r="LT32" s="251">
        <f t="shared" si="226"/>
        <v>0.291384165081675</v>
      </c>
      <c r="LU32" s="251">
        <f>LT32*(VLOOKUP($LR$9,各项系数!$D$1:$F$143,2,0))</f>
        <v>3.20522581589843</v>
      </c>
      <c r="LV32" s="499">
        <f t="shared" si="154"/>
        <v>488.76760464</v>
      </c>
      <c r="LW32" s="499">
        <f t="shared" si="155"/>
        <v>368.08424547</v>
      </c>
      <c r="LX32" s="499">
        <f t="shared" si="156"/>
        <v>21.6485430716806</v>
      </c>
      <c r="LY32" s="515">
        <f t="shared" si="157"/>
        <v>120.68335917</v>
      </c>
      <c r="LZ32" s="516">
        <f t="shared" si="86"/>
        <v>1</v>
      </c>
      <c r="MA32" s="517">
        <f t="shared" si="87"/>
        <v>488.76760464</v>
      </c>
      <c r="MB32" s="517">
        <f t="shared" si="158"/>
        <v>24.94630719</v>
      </c>
      <c r="MC32" s="499">
        <f t="shared" si="159"/>
        <v>0</v>
      </c>
      <c r="MD32" s="499">
        <f t="shared" si="160"/>
        <v>0</v>
      </c>
      <c r="ME32" s="499">
        <f t="shared" si="161"/>
        <v>0</v>
      </c>
      <c r="MF32" s="499">
        <f t="shared" si="162"/>
        <v>0</v>
      </c>
      <c r="MG32" s="516">
        <f t="shared" si="163"/>
        <v>1</v>
      </c>
      <c r="MH32" s="517">
        <f t="shared" si="88"/>
        <v>0</v>
      </c>
      <c r="MI32" s="517">
        <f t="shared" si="164"/>
        <v>0</v>
      </c>
      <c r="MJ32" s="251">
        <f t="shared" si="89"/>
        <v>24.94630719</v>
      </c>
      <c r="MK32" s="251">
        <f t="shared" si="165"/>
        <v>24.94630719</v>
      </c>
      <c r="ML32" s="251">
        <f t="shared" si="227"/>
        <v>0</v>
      </c>
      <c r="MM32" s="251">
        <f t="shared" si="91"/>
        <v>0</v>
      </c>
      <c r="MN32" s="251">
        <f t="shared" si="92"/>
        <v>28.94630719</v>
      </c>
      <c r="MO32" s="251">
        <f t="shared" si="166"/>
        <v>0</v>
      </c>
      <c r="MP32" s="251">
        <f t="shared" si="167"/>
        <v>28.94630719</v>
      </c>
      <c r="MQ32" s="251">
        <f t="shared" si="228"/>
        <v>28.94630719</v>
      </c>
      <c r="MR32" s="314">
        <f t="shared" si="168"/>
        <v>28.94630719</v>
      </c>
      <c r="MS32" s="530">
        <f t="shared" si="94"/>
        <v>28.94630719</v>
      </c>
      <c r="MT32" s="530">
        <f t="shared" si="95"/>
        <v>29.10630719</v>
      </c>
      <c r="MU32" s="530">
        <f t="shared" si="232"/>
        <v>30.44630719</v>
      </c>
      <c r="MV32" s="530">
        <f t="shared" si="97"/>
        <v>32.94630719</v>
      </c>
      <c r="MW32" s="530">
        <f t="shared" si="98"/>
        <v>33.10630719</v>
      </c>
      <c r="MX32" s="326">
        <f t="shared" si="233"/>
        <v>25.54630719</v>
      </c>
      <c r="MY32" s="326">
        <f t="shared" si="100"/>
        <v>0</v>
      </c>
      <c r="MZ32" s="251">
        <f t="shared" si="101"/>
        <v>29.54630719</v>
      </c>
      <c r="NA32" s="251">
        <f t="shared" si="102"/>
        <v>0</v>
      </c>
      <c r="NB32" s="251">
        <f t="shared" si="169"/>
        <v>29.54630719</v>
      </c>
      <c r="NC32" s="326">
        <f t="shared" si="229"/>
        <v>29.54630719</v>
      </c>
      <c r="ND32" s="314">
        <f t="shared" si="234"/>
        <v>29.54630719</v>
      </c>
      <c r="NE32" s="537">
        <f t="shared" si="235"/>
        <v>29.54630719</v>
      </c>
      <c r="NF32" s="530">
        <f t="shared" si="106"/>
        <v>29.70630719</v>
      </c>
      <c r="NG32" s="538">
        <f t="shared" si="236"/>
        <v>31.04630719</v>
      </c>
      <c r="NH32" s="326">
        <f t="shared" si="108"/>
        <v>33.54630719</v>
      </c>
      <c r="NI32" s="530">
        <f t="shared" si="109"/>
        <v>33.70630719</v>
      </c>
      <c r="NK32" s="539">
        <f t="shared" si="110"/>
        <v>3.79073374738111</v>
      </c>
      <c r="NL32" s="539">
        <f t="shared" si="111"/>
        <v>222.261328316941</v>
      </c>
      <c r="NM32" s="539">
        <f t="shared" si="112"/>
        <v>3.79073374738111</v>
      </c>
      <c r="NN32" s="539">
        <f t="shared" si="113"/>
        <v>222.545728005271</v>
      </c>
      <c r="NO32" s="539">
        <f t="shared" si="114"/>
        <v>3.83588664607563</v>
      </c>
      <c r="NP32" s="539">
        <f t="shared" si="115"/>
        <v>223.246372592088</v>
      </c>
      <c r="NQ32" s="539">
        <f t="shared" si="116"/>
        <v>3.83588664607563</v>
      </c>
      <c r="NR32" s="539">
        <f t="shared" si="117"/>
        <v>223.536286341012</v>
      </c>
      <c r="NS32" s="539">
        <f t="shared" si="118"/>
        <v>3.83127865889274</v>
      </c>
      <c r="NT32" s="539">
        <f t="shared" si="119"/>
        <v>3.83127865889274</v>
      </c>
      <c r="NU32" s="539">
        <f t="shared" si="120"/>
        <v>3.87726965754768</v>
      </c>
      <c r="NV32" s="539">
        <f t="shared" si="121"/>
        <v>3.87726965754768</v>
      </c>
      <c r="NW32">
        <f t="shared" si="122"/>
        <v>4.33516546308642</v>
      </c>
      <c r="NX32">
        <f>各项系数!$M$9*NK32</f>
        <v>1.13722012421433</v>
      </c>
      <c r="NY32">
        <f t="shared" si="123"/>
        <v>3.83127865889274</v>
      </c>
      <c r="OB32" s="82" t="str">
        <f t="shared" si="124"/>
        <v>1*400</v>
      </c>
      <c r="OC32" s="546">
        <f t="shared" si="125"/>
        <v>277.181191063812</v>
      </c>
      <c r="OD32" s="546">
        <f>SQRT(4*EY32/PI()/EH32/各项系数!$J$4/各项系数!$F$5*10000000)</f>
        <v>279.939280797005</v>
      </c>
      <c r="OE32" s="547">
        <f t="shared" si="126"/>
        <v>368.084245641898</v>
      </c>
      <c r="OF32" s="547">
        <f t="shared" si="127"/>
        <v>375.445930554736</v>
      </c>
      <c r="OG32" s="82">
        <v>371.7</v>
      </c>
      <c r="OH32" s="548">
        <f t="shared" si="186"/>
        <v>3.74593055473559</v>
      </c>
    </row>
    <row r="33" customHeight="1" spans="1:398">
      <c r="A33" s="66">
        <v>500</v>
      </c>
      <c r="B33" s="67">
        <v>0</v>
      </c>
      <c r="C33" s="68">
        <v>2.2</v>
      </c>
      <c r="D33" s="74" t="s">
        <v>271</v>
      </c>
      <c r="E33" s="79">
        <f t="shared" si="240"/>
        <v>36.86927378</v>
      </c>
      <c r="F33" s="75">
        <v>314.103042329295</v>
      </c>
      <c r="G33" s="74"/>
      <c r="H33" s="23"/>
      <c r="I33" s="78"/>
      <c r="J33" s="23"/>
      <c r="K33" s="23"/>
      <c r="L33" s="118" t="s">
        <v>467</v>
      </c>
      <c r="M33" s="124">
        <f t="shared" si="2"/>
        <v>2.2</v>
      </c>
      <c r="N33" s="124">
        <f t="shared" si="3"/>
        <v>0</v>
      </c>
      <c r="O33" s="23"/>
      <c r="P33" s="120">
        <v>0.1</v>
      </c>
      <c r="Q33" s="165">
        <f t="shared" si="237"/>
        <v>0.1</v>
      </c>
      <c r="R33" s="172">
        <v>0.8</v>
      </c>
      <c r="S33" s="173" t="str">
        <f>各项系数!$D$44</f>
        <v>磁性钢带</v>
      </c>
      <c r="T33" s="78">
        <v>0.5</v>
      </c>
      <c r="U33" s="78">
        <v>2</v>
      </c>
      <c r="V33" s="172"/>
      <c r="W33" s="174">
        <v>2.1</v>
      </c>
      <c r="X33" s="164">
        <f t="shared" si="238"/>
        <v>0.2</v>
      </c>
      <c r="Y33" s="219"/>
      <c r="Z33" s="220"/>
      <c r="AA33" s="217">
        <v>1.02</v>
      </c>
      <c r="AB33" s="186">
        <f>PI()*EJ33*EJ33/4*EH33*(1-H33)*AA33*各项系数!$F$5*各项系数!$J$4*10^-7</f>
        <v>4.26470519939525</v>
      </c>
      <c r="AC33" s="186">
        <f t="shared" si="241"/>
        <v>314.103042329295</v>
      </c>
      <c r="AD33" s="186">
        <f t="shared" si="5"/>
        <v>482.13002011127</v>
      </c>
      <c r="AE33" s="186">
        <f>POWER(4*EU33/PI()/EG33/10^-7/EH33/(1-H33)/各项系数!$F$5/各项系数!$J$4,0.5)</f>
        <v>317.228522715927</v>
      </c>
      <c r="AF33" s="218">
        <v>1</v>
      </c>
      <c r="AG33" s="85">
        <f>IF(EM33=0,0,PI()*ER33*ER33/4*EP33*(1-K33)*(1+AF33)*各项系数!$F$5*各项系数!$J$4*10^-7)</f>
        <v>0</v>
      </c>
      <c r="AH33" s="85">
        <f t="shared" si="242"/>
        <v>0</v>
      </c>
      <c r="AI33" s="85">
        <f t="shared" si="128"/>
        <v>0</v>
      </c>
      <c r="AJ33" s="85">
        <f>IF(OR(EP33="",EP33=0),0,POWER(4*EW33/PI()/EO33/10^-7/EP33/(1-K33)/各项系数!$F$5/各项系数!$J$4,0.5))</f>
        <v>0</v>
      </c>
      <c r="AK33" s="85" t="str">
        <f t="shared" si="8"/>
        <v>√</v>
      </c>
      <c r="AL33" s="85">
        <f t="shared" si="243"/>
        <v>293.555691978316</v>
      </c>
      <c r="AM33" s="127">
        <f t="shared" si="244"/>
        <v>500</v>
      </c>
      <c r="AN33" s="118" t="s">
        <v>486</v>
      </c>
      <c r="AO33" s="259">
        <f>AP33+各项系数!$M$9*$NK33</f>
        <v>287.799698017957</v>
      </c>
      <c r="AP33" s="259">
        <f>AQ33*(1+$BI33+(VLOOKUP($AM33,$A$12:$B$323,2,0))+各项系数!$J$6+各项系数!$M$5)*(1+$E$2)</f>
        <v>286.350486785016</v>
      </c>
      <c r="AQ33" s="260">
        <f>AR33+各项系数!$L$9*$NK33</f>
        <v>292.194374270424</v>
      </c>
      <c r="AR33" s="260">
        <f>AS33*(1+$BJ33+各项系数!$J$5+各项系数!$L$5)</f>
        <v>290.745163037482</v>
      </c>
      <c r="AS33" s="260">
        <f t="shared" si="129"/>
        <v>285.044277487728</v>
      </c>
      <c r="AT33" s="259">
        <f>AU33+各项系数!$M$9*$NM33</f>
        <v>290.069757285785</v>
      </c>
      <c r="AU33" s="259">
        <f>AV33*(1+$BI33+(VLOOKUP($AM33,$A$12:$B$323,2,0))+各项系数!$J$6+各项系数!$M$5)*(1+$E$2)</f>
        <v>288.620546052843</v>
      </c>
      <c r="AV33" s="260">
        <f>AW33+各项系数!$L$9*$NM33</f>
        <v>294.510761278411</v>
      </c>
      <c r="AW33" s="260">
        <f>AX33*(1+$BJ33+各项系数!$J$5+各项系数!$L$5)</f>
        <v>293.06155004547</v>
      </c>
      <c r="AX33" s="260">
        <f t="shared" si="130"/>
        <v>287.315245142617</v>
      </c>
      <c r="AY33" s="259">
        <f>AZ33+各项系数!$M$9*$NS33</f>
        <v>290.928874851955</v>
      </c>
      <c r="AZ33" s="259">
        <f>BA33*(1+$BI33+(VLOOKUP($AM33,$A$12:$B$214,2,0))+各项系数!$J$6+各项系数!$M$5)*(1+$E$2)</f>
        <v>289.465940036484</v>
      </c>
      <c r="BA33" s="260">
        <f>BB33+各项系数!$L$9*$NS33</f>
        <v>295.373408200494</v>
      </c>
      <c r="BB33" s="260">
        <f>BC33*(1+$BJ33+各项系数!$J$5+各项系数!$L$5)</f>
        <v>293.910473385023</v>
      </c>
      <c r="BC33" s="262">
        <f t="shared" si="131"/>
        <v>288.147522926493</v>
      </c>
      <c r="BD33" s="259">
        <f>BE33+各项系数!$M$9*$NS33</f>
        <v>293.209380397296</v>
      </c>
      <c r="BE33" s="259">
        <f>BF33*(1+$BI33+(VLOOKUP($AM33,$A$12:$B$214,2,0))+各项系数!$J$6+各项系数!$M$5)*(1+$E$2)</f>
        <v>291.746445581825</v>
      </c>
      <c r="BF33" s="260">
        <f>BG33+各项系数!$L$9*$NS33</f>
        <v>297.700454675332</v>
      </c>
      <c r="BG33" s="260">
        <f>BH33*(1+$BJ33+各项系数!$J$5+各项系数!$L$5)</f>
        <v>296.23751985986</v>
      </c>
      <c r="BH33" s="262">
        <f t="shared" si="132"/>
        <v>290.428941039079</v>
      </c>
      <c r="BI33" s="67"/>
      <c r="BJ33" s="272"/>
      <c r="BK33" s="69"/>
      <c r="BL33" s="259">
        <f>BM33+各项系数!$M$9*$NM33</f>
        <v>290.931795523643</v>
      </c>
      <c r="BM33" s="259">
        <f>BN33*(1+$CF33+(VLOOKUP($AM33,$A$12:$B$323,2,0))+各项系数!$J$6+各项系数!$M$5)*(1+$E$2)</f>
        <v>289.482584290701</v>
      </c>
      <c r="BN33" s="260">
        <f>BO33+各项系数!$L$9*$NM33</f>
        <v>295.390392133369</v>
      </c>
      <c r="BO33" s="260">
        <f>BP33*(1+$CG33+各项系数!$J$5+各项系数!$L$5)</f>
        <v>293.941180900427</v>
      </c>
      <c r="BP33" s="260">
        <f t="shared" si="133"/>
        <v>285.379787281968</v>
      </c>
      <c r="BQ33" s="259">
        <f>BR33+各项系数!$M$9*$NM33</f>
        <v>292.885446688183</v>
      </c>
      <c r="BR33" s="259">
        <f>BS33*(1+$CF33+(VLOOKUP($AM33,$A$12:$B$323,2,0))+各项系数!$J$6+各项系数!$M$5)*(1+$E$2)</f>
        <v>291.436235455241</v>
      </c>
      <c r="BS33" s="260">
        <f>BT33+各项系数!$L$9*$NM33</f>
        <v>297.383913729838</v>
      </c>
      <c r="BT33" s="260">
        <f>BU33*(1+$CG33+各项系数!$J$5+各项系数!$L$5)</f>
        <v>295.934702496896</v>
      </c>
      <c r="BU33" s="260">
        <f t="shared" si="134"/>
        <v>287.315245142617</v>
      </c>
      <c r="BV33" s="259">
        <f>BW33+各项系数!$M$9*$NT33</f>
        <v>292.667364628844</v>
      </c>
      <c r="BW33" s="259">
        <f>BX33*(1+$CF33+(VLOOKUP($AM33,$A$12:$B$214,2,0))+各项系数!$J$6+各项系数!$M$5)*(1+$E$2)</f>
        <v>291.204429813373</v>
      </c>
      <c r="BX33" s="260">
        <f>BY33+各项系数!$L$9*$NT$12</f>
        <v>297.147377360585</v>
      </c>
      <c r="BY33" s="260">
        <f>BZ33*(1+$CG33+各项系数!$J$5+各项系数!$L$5)</f>
        <v>297.13911395743</v>
      </c>
      <c r="BZ33" s="262">
        <f t="shared" si="11"/>
        <v>288.484576657699</v>
      </c>
      <c r="CA33" s="259">
        <f>CB33+各项系数!$M$9*$NT33</f>
        <v>294.630006035409</v>
      </c>
      <c r="CB33" s="259">
        <f>CC33*(1+$CF33+(VLOOKUP($AM33,$A$12:$B$214,2,0))+各项系数!$J$6+各项系数!$M$5)*(1+$E$2)</f>
        <v>293.167071219938</v>
      </c>
      <c r="CC33" s="260">
        <f>CD33+各项系数!$L$9*$NT$12</f>
        <v>299.150072673406</v>
      </c>
      <c r="CD33" s="260">
        <f>CE33*(1+$CG33+各项系数!$J$5+各项系数!$L$5)</f>
        <v>299.141809270251</v>
      </c>
      <c r="CE33" s="262">
        <f t="shared" si="135"/>
        <v>290.428941039079</v>
      </c>
      <c r="CF33" s="277">
        <f t="shared" si="136"/>
        <v>0</v>
      </c>
      <c r="CG33" s="277">
        <f t="shared" si="12"/>
        <v>0.01</v>
      </c>
      <c r="CH33" s="127"/>
      <c r="CI33" s="259">
        <f>CJ33+各项系数!$M$9*$NO33</f>
        <v>290.387338003062</v>
      </c>
      <c r="CJ33" s="259">
        <f>CK33*(1+$DC33+(VLOOKUP($AM33,$A$12:$B$323,2,0))+各项系数!$J$6+各项系数!$M$5)*(1+$E$2)+各项系数!$M$9*$NK33</f>
        <v>288.922972131167</v>
      </c>
      <c r="CK33" s="260">
        <f>CL33+各项系数!$L$9*$NO33</f>
        <v>293.340572345127</v>
      </c>
      <c r="CL33" s="260">
        <f>CM33*(1+$DD33+各项系数!$J$5+各项系数!$L$5)</f>
        <v>291.876206473232</v>
      </c>
      <c r="CM33" s="260">
        <f t="shared" si="13"/>
        <v>286.153143601208</v>
      </c>
      <c r="CN33" s="259">
        <f>CO33+各项系数!$M$9*$NO33</f>
        <v>292.59952279371</v>
      </c>
      <c r="CO33" s="259">
        <f>CP33*(1+$DC33+(VLOOKUP($AM33,$A$12:$B$323,2,0))+各项系数!$J$6+各项系数!$M$5)*(1+$E$2)+各项系数!$M$9*$NK33</f>
        <v>291.135156921814</v>
      </c>
      <c r="CP33" s="260">
        <f>CQ33+各项系数!$L$9*$NO33</f>
        <v>295.597903764156</v>
      </c>
      <c r="CQ33" s="260">
        <f>CR33*(1+$DD33+各项系数!$J$5+各项系数!$L$5)</f>
        <v>294.13353789226</v>
      </c>
      <c r="CR33" s="260">
        <f t="shared" si="14"/>
        <v>288.366213619863</v>
      </c>
      <c r="CS33" s="259">
        <f>CT33+各项系数!$M$9*$NU33</f>
        <v>292.124350554123</v>
      </c>
      <c r="CT33" s="259">
        <f t="shared" si="15"/>
        <v>290.646009669711</v>
      </c>
      <c r="CU33" s="260">
        <f>CV33+各项系数!$L$9*$NU33</f>
        <v>296.57756088746</v>
      </c>
      <c r="CV33" s="260">
        <f>CW33*(1+$DD33+各项系数!$J$5+各项系数!$L$5)</f>
        <v>295.099220003047</v>
      </c>
      <c r="CW33" s="262">
        <f t="shared" si="16"/>
        <v>289.312960787301</v>
      </c>
      <c r="CX33" s="259">
        <f>CY33+各项系数!$M$9*$NU33</f>
        <v>294.444029640141</v>
      </c>
      <c r="CY33" s="259">
        <f t="shared" si="17"/>
        <v>292.965688755728</v>
      </c>
      <c r="CZ33" s="260">
        <f>DA33+各项系数!$L$9*$NU33</f>
        <v>298.944580362987</v>
      </c>
      <c r="DA33" s="260">
        <f>DB33*(1+$DD33+各项系数!$J$5+各项系数!$L$5)</f>
        <v>297.466239478574</v>
      </c>
      <c r="DB33" s="262">
        <f t="shared" si="18"/>
        <v>291.633568116249</v>
      </c>
      <c r="DC33" s="277">
        <f t="shared" si="137"/>
        <v>0</v>
      </c>
      <c r="DD33" s="277">
        <f t="shared" si="19"/>
        <v>0</v>
      </c>
      <c r="DE33" s="95"/>
      <c r="DF33" s="95"/>
      <c r="DG33" s="259">
        <f>DH33+各项系数!$M$9*$NQ33</f>
        <v>293.536146584061</v>
      </c>
      <c r="DH33" s="259">
        <f>DI33*(1+$EA33+(VLOOKUP($AM33,$A$12:$B$323,2,0))+各项系数!$J$6+各项系数!$M$5)*(1+$E$2)+各项系数!$M$9*$NK33</f>
        <v>292.071780712166</v>
      </c>
      <c r="DI33" s="260">
        <f>DJ33+各项系数!$L$9*$NQ33</f>
        <v>296.553642325739</v>
      </c>
      <c r="DJ33" s="260">
        <f>DK33*(1+$EB33+各项系数!$J$5+各项系数!$L$5)</f>
        <v>295.089276453843</v>
      </c>
      <c r="DK33" s="260">
        <f t="shared" si="20"/>
        <v>286.494443159071</v>
      </c>
      <c r="DL33" s="259">
        <f>DM33+各项系数!$M$9*$NQ33</f>
        <v>295.523511156196</v>
      </c>
      <c r="DM33" s="259">
        <f>DN33*(1+$EA33+(VLOOKUP($AM33,$A$12:$B$323,2,0))+各项系数!$J$6+各项系数!$M$5)*(1+$E$2)+各项系数!$M$9*$NK33</f>
        <v>294.0591452843</v>
      </c>
      <c r="DN33" s="260">
        <f>DO33+各项系数!$L$9*$NQ33</f>
        <v>298.581565358529</v>
      </c>
      <c r="DO33" s="260">
        <f>DP33*(1+$EB33+各项系数!$J$5+各项系数!$L$5)</f>
        <v>297.117199486634</v>
      </c>
      <c r="DP33" s="260">
        <f t="shared" si="21"/>
        <v>288.46330047246</v>
      </c>
      <c r="DQ33" s="259">
        <f>DR33+各项系数!$M$9*$NV33</f>
        <v>295.30568379352</v>
      </c>
      <c r="DR33" s="259">
        <f t="shared" si="22"/>
        <v>293.827342909107</v>
      </c>
      <c r="DS33" s="260">
        <f>DT33+各项系数!$L$9*$NV33</f>
        <v>299.823819295007</v>
      </c>
      <c r="DT33" s="260">
        <f>DU33*(1+$EB33+各项系数!$J$5+各项系数!$L$5)</f>
        <v>298.345478410594</v>
      </c>
      <c r="DU33" s="262">
        <f t="shared" si="23"/>
        <v>289.65580428213</v>
      </c>
      <c r="DV33" s="259">
        <f>DW33+各项系数!$M$9*$NV33</f>
        <v>294.882219544999</v>
      </c>
      <c r="DW33" s="259">
        <f t="shared" si="24"/>
        <v>293.403878660586</v>
      </c>
      <c r="DX33" s="260">
        <f>DY33+各项系数!$L$9*$NV33</f>
        <v>299.391712918966</v>
      </c>
      <c r="DY33" s="260">
        <f>DZ33*(1+$EB33+各项系数!$J$5+各项系数!$L$5)</f>
        <v>297.913372034553</v>
      </c>
      <c r="DZ33" s="262">
        <f t="shared" si="25"/>
        <v>289.236283528692</v>
      </c>
      <c r="EA33" s="277">
        <f t="shared" si="230"/>
        <v>0</v>
      </c>
      <c r="EB33" s="277">
        <f t="shared" si="27"/>
        <v>0.01</v>
      </c>
      <c r="EC33" s="302">
        <f t="shared" si="138"/>
        <v>1</v>
      </c>
      <c r="ED33" s="304" t="str">
        <f t="shared" si="180"/>
        <v>1*500</v>
      </c>
      <c r="EE33" s="251">
        <f t="shared" si="239"/>
        <v>500</v>
      </c>
      <c r="EF33" s="95" t="str">
        <f>LOOKUP(EH33,{1,7,10,14,19,24,30,37,48,61},{1,"1+6","2+8","4+10","1+6+12","2+8+14","4+10+16","1+6+12+18","3+9+15+21","1+6+12+18+24"})</f>
        <v>1+6+12+18+24</v>
      </c>
      <c r="EG33" s="250">
        <f t="shared" si="29"/>
        <v>1</v>
      </c>
      <c r="EH33" s="260">
        <f>VLOOKUP(EE33,各项系数!$B$87:$C$110,2,0)</f>
        <v>61</v>
      </c>
      <c r="EI33" s="250">
        <f>IF(EH33=0,0,VLOOKUP(EH33,各项系数!$D$142:$E$195,2,0))*1</f>
        <v>9</v>
      </c>
      <c r="EJ33" s="305">
        <f t="shared" si="141"/>
        <v>314.103042329295</v>
      </c>
      <c r="EK33" s="95">
        <f t="shared" si="245"/>
        <v>0</v>
      </c>
      <c r="EL33" s="251">
        <f t="shared" si="31"/>
        <v>0</v>
      </c>
      <c r="EM33" s="95">
        <f t="shared" si="182"/>
        <v>0</v>
      </c>
      <c r="EN33" s="95">
        <f>IF(EP33=0,0,LOOKUP(EP33,{1,7,10,14,19,24,30,37,48,61},{1,"1+6","2+8","4+10","1+6+12","2+8+14","4+10+16","1+6+12+18","3+9+15+21","1+6+12+18+24"}))</f>
        <v>0</v>
      </c>
      <c r="EO33" s="95">
        <f t="shared" si="246"/>
        <v>0</v>
      </c>
      <c r="EP33" s="95">
        <f>IF(EM33=0,0,IF(EM33&lt;10,1,IF(AND(EM33&gt;=10,EM33&lt;=35),7,LOOKUP(EM33,{50,70,95,120,150,185,240,300},{10,14,19,24,30,37,48,61})*1)))</f>
        <v>0</v>
      </c>
      <c r="EQ33" s="251">
        <f>IF(EP33=0,0,VLOOKUP(EP33,各项系数!$D$142:$E$195,2,0))*1</f>
        <v>0</v>
      </c>
      <c r="ER33" s="95">
        <f t="shared" si="247"/>
        <v>0</v>
      </c>
      <c r="ES33" s="304">
        <f t="shared" si="185"/>
        <v>1</v>
      </c>
      <c r="ET33" s="251">
        <f>VLOOKUP(ES33,各项系数!$D$142:$E$195,2,0)*1</f>
        <v>1</v>
      </c>
      <c r="EU33" s="311">
        <f>((各项系数!$F$76/4*$EJ33^2*$EG33*$EH33*1*10^-7)*(1-$H33)*AA33)*(VLOOKUP($EY$9,各项系数!$D$4:$F$143,3,0))*各项系数!$J$4</f>
        <v>4.26470519939524</v>
      </c>
      <c r="EV33" s="312">
        <f>EU33*(VLOOKUP($EY$9,各项系数!$D$4:$F$143,2,0))</f>
        <v>279.338190560388</v>
      </c>
      <c r="EW33" s="324">
        <f>(IF($EO33=0,0,(各项系数!$F$76/4*$ER33^2*$EO33*$EP33*1*10^-7))*(1-$K33)*$AF33)*(VLOOKUP($EY$9,各项系数!$D$4:$F$143,3,0))*各项系数!$J$4</f>
        <v>0</v>
      </c>
      <c r="EX33" s="325">
        <f>EW33*(VLOOKUP($EY$9,各项系数!$D$4:$F$143,2,0))</f>
        <v>0</v>
      </c>
      <c r="EY33" s="251">
        <f>((各项系数!$F$76/4*$EJ33^2*$EG33*$EH33*1*10^-7)*(1-$H33)*AA33+IF($EO33=0,0,(各项系数!$F$76/4*$ER33^2*$EO33*$EP33*1*10^-7))*(1-$K33)*$AF33)*(VLOOKUP($EY$9,各项系数!$D$4:$F$143,3,0))*各项系数!$J$4</f>
        <v>4.26470519939524</v>
      </c>
      <c r="EZ33" s="123">
        <v>1</v>
      </c>
      <c r="FA33" s="251">
        <f t="shared" si="188"/>
        <v>4.26470519939524</v>
      </c>
      <c r="FB33" s="326">
        <f>FA33*(VLOOKUP($EY$9,各项系数!$D$4:$F$143,2,0))</f>
        <v>279.338190560388</v>
      </c>
      <c r="FC33" s="329"/>
      <c r="FD33" s="302">
        <f>各项系数!$F$76/4*($MN33^2-MK33^2)*10^-2*(VLOOKUP(L33,各项系数!$D$1:$F$143,3,0))*10^-3*10^2*$EG33*各项系数!$J$4</f>
        <v>0.230489116170586</v>
      </c>
      <c r="FE33" s="339">
        <f>FD33*VLOOKUP(L33,各项系数!$D$1:$F$143,2,0)</f>
        <v>2.35098898493998</v>
      </c>
      <c r="FF33" s="250">
        <f>各项系数!$F$76/4*($MO33^2-ML33^2)*10^-2*(VLOOKUP(L33,各项系数!$D$1:$F$143,3,0))*10^-3*10^2*$EO33*各项系数!$J$4</f>
        <v>0</v>
      </c>
      <c r="FG33" s="339">
        <f>FF33*VLOOKUP(L33,各项系数!$D$1:$F$143,2,0)</f>
        <v>0</v>
      </c>
      <c r="FH33" s="302">
        <f t="shared" si="142"/>
        <v>0.230489116170586</v>
      </c>
      <c r="FI33" s="123">
        <v>1</v>
      </c>
      <c r="FJ33" s="251">
        <f t="shared" si="189"/>
        <v>0.230489116170586</v>
      </c>
      <c r="FK33" s="339">
        <f>FJ33*VLOOKUP(L33,各项系数!$D$1:$F$143,2,0)</f>
        <v>2.35098898493998</v>
      </c>
      <c r="FL33" s="304"/>
      <c r="FM33" s="127"/>
      <c r="FN33" s="251"/>
      <c r="FO33" s="339"/>
      <c r="FP33" s="364">
        <f t="shared" si="190"/>
        <v>0.230489116170586</v>
      </c>
      <c r="FQ33" s="364">
        <f t="shared" si="191"/>
        <v>2.35098898493998</v>
      </c>
      <c r="FR33" s="365">
        <f>各项系数!$F$76/4*($MQ33^2-$MN33^2*$EG33-$MO33^2*$EO33)*10^-2</f>
        <v>0</v>
      </c>
      <c r="FS33" s="366">
        <f t="shared" si="143"/>
        <v>1</v>
      </c>
      <c r="FT33" s="367">
        <f t="shared" si="40"/>
        <v>0</v>
      </c>
      <c r="FU33" s="388">
        <f>$FT33*(VLOOKUP($FT$9,各项系数!$D$1:$F$143,3,0))*10^-3*10^2*各项系数!$J$55</f>
        <v>0</v>
      </c>
      <c r="FV33" s="389">
        <v>1</v>
      </c>
      <c r="FW33" s="390">
        <f t="shared" si="192"/>
        <v>0</v>
      </c>
      <c r="FX33" s="367">
        <f>FW33*(VLOOKUP($FT$9,各项系数!$D$1:$F$143,2,0))</f>
        <v>0</v>
      </c>
      <c r="FY33" s="388">
        <f>IF($BK33&lt;&gt;$FY$9,0,各项系数!$F$76/4*($MS33^2-$MQ33^2)*10^-2*(VLOOKUP($FY$9,各项系数!$D$1:$F$143,3,0))*10^-3*10^2)*各项系数!$J$4</f>
        <v>0</v>
      </c>
      <c r="FZ33" s="389">
        <v>1</v>
      </c>
      <c r="GA33" s="390">
        <f t="shared" si="193"/>
        <v>0</v>
      </c>
      <c r="GB33" s="367">
        <f>GA33*(VLOOKUP($FY$9,各项系数!$D$1:$F$143,2,0))</f>
        <v>0</v>
      </c>
      <c r="GC33" s="388">
        <f>IF($BK33&lt;&gt;$GC$9,0,各项系数!$F$76/4*($MS33^2-$MQ33^2)*10^-2*(VLOOKUP($GC$9,各项系数!$D$1:$F$143,3,0))*10^-3*10^2)*各项系数!$J$4</f>
        <v>0</v>
      </c>
      <c r="GD33" s="389">
        <v>1</v>
      </c>
      <c r="GE33" s="390">
        <f t="shared" si="194"/>
        <v>0</v>
      </c>
      <c r="GF33" s="367">
        <f>GE33*(VLOOKUP($GC$9,各项系数!$D$1:$F$143,2,0))</f>
        <v>0</v>
      </c>
      <c r="GG33" s="388">
        <f>IF($BK33&lt;&gt;$GG$9,0,各项系数!$F$76/4*($MS33^2-$MQ33^2)*10^-2*(VLOOKUP($GG$9,各项系数!$D$1:$F$143,3,0))*10^-3*10^2)*各项系数!$J$4</f>
        <v>0</v>
      </c>
      <c r="GH33" s="389">
        <v>1</v>
      </c>
      <c r="GI33" s="390">
        <f t="shared" si="195"/>
        <v>0</v>
      </c>
      <c r="GJ33" s="367">
        <f>GI33*(VLOOKUP($GG$9,各项系数!$D$1:$F$143,2,0))</f>
        <v>0</v>
      </c>
      <c r="GK33" s="388">
        <f>IF($BK33&lt;&gt;$GK$9,0,各项系数!$F$76/4*($MS33^2-$MQ33^2)*10^-2*(VLOOKUP($GK$9,各项系数!$D$1:$F$143,3,0))*10^-3*10^2)*各项系数!$J$4</f>
        <v>0</v>
      </c>
      <c r="GL33" s="389">
        <v>1</v>
      </c>
      <c r="GM33" s="390">
        <f t="shared" si="196"/>
        <v>0</v>
      </c>
      <c r="GN33" s="367">
        <f>GM33*(VLOOKUP($GK$9,各项系数!$D$1:$F$143,2,0))</f>
        <v>0</v>
      </c>
      <c r="GO33" s="390">
        <f t="shared" si="197"/>
        <v>0</v>
      </c>
      <c r="GP33" s="390">
        <f t="shared" si="198"/>
        <v>0</v>
      </c>
      <c r="GQ33" s="406">
        <f>各项系数!$F$76/4*($MU33^2-$MS33^2)*10^-2*(VLOOKUP($S33,各项系数!$D$1:$F$143,3,0))*10^-3*10^2*各项系数!$J$4</f>
        <v>0.61268603012693</v>
      </c>
      <c r="GR33" s="389">
        <v>1</v>
      </c>
      <c r="GS33" s="390">
        <f t="shared" si="199"/>
        <v>0.61268603012693</v>
      </c>
      <c r="GT33" s="390">
        <f t="shared" si="200"/>
        <v>0</v>
      </c>
      <c r="GU33" s="390">
        <f>ROUND($GS33*(VLOOKUP($S33,各项系数!$D$1:$F$143,2,0))+$E$3*GS33,GT33)</f>
        <v>7</v>
      </c>
      <c r="GV33" s="406">
        <f>各项系数!$F$76/4*($MT33^2-$MS33^2)*10^-2*(VLOOKUP($GV$9,各项系数!$D$1:$F$143,3,0))*10^-3*10^2*各项系数!$J$4*PI()/4*R33</f>
        <v>0.0457452750978129</v>
      </c>
      <c r="GW33" s="389">
        <v>1</v>
      </c>
      <c r="GX33" s="390">
        <f t="shared" si="201"/>
        <v>0.0457452750978129</v>
      </c>
      <c r="GY33" s="390">
        <f>$GX33*(VLOOKUP($GV$9,各项系数!$D$1:$F$143,2,0))</f>
        <v>3.08780606910237</v>
      </c>
      <c r="GZ33" s="406">
        <f>各项系数!$F$76/4*($MV33^2-$MS33^2)*10^-2*(VLOOKUP($GZ$9,各项系数!$D$1:$F$143,3,0))*10^-3*10^2*各项系数!$J$4</f>
        <v>0.330945035134645</v>
      </c>
      <c r="HA33" s="389">
        <v>1</v>
      </c>
      <c r="HB33" s="390">
        <f t="shared" si="144"/>
        <v>0.330945035134645</v>
      </c>
      <c r="HC33" s="390">
        <f>HB33*(VLOOKUP($GZ$9,各项系数!$D$1:$F$143,2,0))</f>
        <v>5.62606559728897</v>
      </c>
      <c r="HD33" s="406">
        <f>各项系数!$F$76/4*($MW33^2-$MT33^2)*10^-2*(VLOOKUP($HD$9,各项系数!$D$1:$F$143,3,0))*10^-3*10^2*各项系数!$J$4</f>
        <v>0.33246796615577</v>
      </c>
      <c r="HE33" s="389">
        <v>1</v>
      </c>
      <c r="HF33" s="390">
        <f t="shared" si="145"/>
        <v>0.33246796615577</v>
      </c>
      <c r="HG33" s="390">
        <f>HF33*(VLOOKUP($HD$9,各项系数!$D$1:$F$143,2,0))</f>
        <v>5.65195542464809</v>
      </c>
      <c r="HH33" s="406">
        <f>各项系数!$F$76/4*($MV33^2-$MS33^2)*10^-2*(VLOOKUP($HH$9,各项系数!$D$1:$F$143,3,0))*10^-3*10^2*各项系数!$J$4</f>
        <v>0.330945035134645</v>
      </c>
      <c r="HI33" s="420">
        <v>1</v>
      </c>
      <c r="HJ33" s="390">
        <f t="shared" si="146"/>
        <v>0.330945035134645</v>
      </c>
      <c r="HK33" s="390">
        <f>HJ33*(VLOOKUP($HH$9,各项系数!$D$1:$F$143,2,0))</f>
        <v>5.62606559728897</v>
      </c>
      <c r="HL33" s="406">
        <f>各项系数!$F$76/4*($MW33^2-$MT33^2)*10^-2*(VLOOKUP($HL$9,各项系数!$D$1:$F$143,3,0))*10^-3*10^2*各项系数!$J$4</f>
        <v>0.33246796615577</v>
      </c>
      <c r="HM33" s="420">
        <v>1</v>
      </c>
      <c r="HN33" s="390">
        <f t="shared" si="147"/>
        <v>0.33246796615577</v>
      </c>
      <c r="HO33" s="390">
        <f>HN33*(VLOOKUP($HL$9,各项系数!$D$1:$F$143,2,0))</f>
        <v>5.65195542464809</v>
      </c>
      <c r="HP33" s="406">
        <f>各项系数!$F$76/4*($MV33^2-$MS33^2)*10^-2*(VLOOKUP(AN33,各项系数!$D$1:$F$143,3,0))*10^-3*10^2*各项系数!$J$4</f>
        <v>0.335509794239951</v>
      </c>
      <c r="HQ33" s="389">
        <v>1</v>
      </c>
      <c r="HR33" s="390">
        <f t="shared" si="202"/>
        <v>0.335509794239951</v>
      </c>
      <c r="HS33" s="390">
        <f>HR33*(VLOOKUP(AN33,各项系数!$D$1:$F$143,2,0))</f>
        <v>3.35509794239951</v>
      </c>
      <c r="HT33" s="406">
        <f>各项系数!$F$76/4*($MW33^2-$MT33^2)*10^-2*(VLOOKUP(AN33,各项系数!$D$1:$F$143,3,0))*10^-3*10^2*各项系数!$J$4</f>
        <v>0.337053731206194</v>
      </c>
      <c r="HU33" s="389">
        <v>1</v>
      </c>
      <c r="HV33" s="390">
        <f t="shared" si="203"/>
        <v>0.337053731206194</v>
      </c>
      <c r="HW33" s="390">
        <f>HV33*(VLOOKUP(AN33,各项系数!$D$1:$F$143,2,0))</f>
        <v>3.37053731206194</v>
      </c>
      <c r="HX33" s="406">
        <f>各项系数!$F$76/4*($MV33^2-$MS33^2)*10^-2*(VLOOKUP($HX$9,各项系数!$D$1:$F$143,3,0))*10^-3*10^2*各项系数!$J$4</f>
        <v>0.335509794239951</v>
      </c>
      <c r="HY33" s="420">
        <v>1</v>
      </c>
      <c r="HZ33" s="390">
        <f t="shared" si="204"/>
        <v>0.335509794239951</v>
      </c>
      <c r="IA33" s="390">
        <f>HZ33*(VLOOKUP($HX$9,各项系数!$D$1:$F$143,2,0))</f>
        <v>3.69060773663946</v>
      </c>
      <c r="IB33" s="406">
        <f>各项系数!$F$76/4*($MW33^2-$MT33^2)*10^-2*(VLOOKUP($IB$9,各项系数!$D$1:$F$143,3,0))*10^-3*10^2*各项系数!$J$4</f>
        <v>0.337053731206194</v>
      </c>
      <c r="IC33" s="420">
        <v>1</v>
      </c>
      <c r="ID33" s="390">
        <f t="shared" si="205"/>
        <v>0.337053731206194</v>
      </c>
      <c r="IE33" s="390">
        <f>ID33*(VLOOKUP($IB$9,各项系数!$D$1:$F$143,2,0))</f>
        <v>3.70759104326814</v>
      </c>
      <c r="IF33" s="395"/>
      <c r="IG33" s="406">
        <f t="shared" si="148"/>
        <v>0.0401869149851319</v>
      </c>
      <c r="IH33" s="389">
        <v>1</v>
      </c>
      <c r="II33" s="390">
        <f t="shared" si="206"/>
        <v>0.0401869149851319</v>
      </c>
      <c r="IJ33" s="390">
        <f>II33*(VLOOKUP($IG$8,各项系数!$D$1:$F$143,2,0))</f>
        <v>1.0046728746283</v>
      </c>
      <c r="IK33" s="406">
        <f>(各项系数!$F$76/4*($MX33^2-$MK33^2)*$EG33)*10^-2*(VLOOKUP($IG$8,各项系数!$D$1:$F$143,3,0))*10^-3*10^2*各项系数!$J$4</f>
        <v>0.0401869149851319</v>
      </c>
      <c r="IL33" s="389">
        <f>IK33*(VLOOKUP($IG$8,各项系数!$D$1:$F$143,2,0))</f>
        <v>1.0046728746283</v>
      </c>
      <c r="IM33" s="390">
        <f>(各项系数!$F$76/4*(($MM33+3*$X33)^2-MM33^2)*$EO33)*10^-2*(VLOOKUP($IG$8,各项系数!$D$1:$F$143,3,0))*10^-3*10^2*各项系数!$J$4</f>
        <v>0</v>
      </c>
      <c r="IN33" s="389">
        <f>IM33*(VLOOKUP($IG$8,各项系数!$D$1:$F$143,2,0))</f>
        <v>0</v>
      </c>
      <c r="IO33" s="406">
        <f>各项系数!$F$76/4*($MZ33^2-$MX33^2)*10^-2*(VLOOKUP(L33,各项系数!$D$1:$F$143,3,0))*10^-3*10^2*$ES33*各项系数!$J$4</f>
        <v>0.235027900740934</v>
      </c>
      <c r="IP33" s="389">
        <v>1</v>
      </c>
      <c r="IQ33" s="390">
        <f t="shared" si="207"/>
        <v>0.235027900740934</v>
      </c>
      <c r="IR33" s="367">
        <f>IQ33*(VLOOKUP(L33,各项系数!$D$1:$F$143,2,0))</f>
        <v>2.39728458755753</v>
      </c>
      <c r="IS33" s="406">
        <f>IF($L33&lt;&gt;$IS$9,0,各项系数!$F$76/4*($MZ33^2-$MX33^2)*10^-2*各项系数!$F$12*10^-3*10^2)*$ES33*各项系数!$J$4</f>
        <v>0</v>
      </c>
      <c r="IT33" s="396">
        <v>1</v>
      </c>
      <c r="IU33" s="390">
        <f t="shared" si="208"/>
        <v>0</v>
      </c>
      <c r="IV33" s="367">
        <f>IU33*各项系数!$E$12</f>
        <v>0</v>
      </c>
      <c r="IW33" s="388">
        <f t="shared" si="209"/>
        <v>0.235027900740934</v>
      </c>
      <c r="IX33" s="388">
        <f t="shared" si="210"/>
        <v>2.39728458755753</v>
      </c>
      <c r="IY33" s="447">
        <f>各项系数!$F$76/4*($NB33^2-$MZ33^2*$EG33-$NA33^2*$EO33)*10^-2</f>
        <v>0</v>
      </c>
      <c r="IZ33" s="366">
        <f t="shared" si="231"/>
        <v>1</v>
      </c>
      <c r="JA33" s="367">
        <f t="shared" si="64"/>
        <v>0</v>
      </c>
      <c r="JB33" s="364">
        <f>IF($DE33&lt;&gt;$JB$9,0,$JA33*各项系数!$F$32*10^-3*10^2)*各项系数!$J$4</f>
        <v>0</v>
      </c>
      <c r="JC33" s="123">
        <v>1</v>
      </c>
      <c r="JD33" s="251">
        <f t="shared" si="211"/>
        <v>0</v>
      </c>
      <c r="JE33" s="339">
        <f>JD33*各项系数!$E$32</f>
        <v>0</v>
      </c>
      <c r="JF33" s="364">
        <f>IF($DE33&lt;&gt;$JF$9,0,$JA33*VLOOKUP($JF$9,各项系数!$D$4:$F$540,2,0)*10^-3*10^2)*各项系数!$J$4</f>
        <v>0</v>
      </c>
      <c r="JG33" s="123">
        <v>1</v>
      </c>
      <c r="JH33" s="251">
        <f t="shared" si="66"/>
        <v>0</v>
      </c>
      <c r="JI33" s="339">
        <f>JH33*VLOOKUP($JF$9,各项系数!$D$4:$F$540,3,0)</f>
        <v>0</v>
      </c>
      <c r="JJ33" s="364">
        <f t="shared" si="212"/>
        <v>0</v>
      </c>
      <c r="JK33" s="251">
        <f t="shared" si="213"/>
        <v>0</v>
      </c>
      <c r="JL33" s="364">
        <f>IF($DF33&lt;&gt;$JL$9,0,各项系数!$F$76/4*($NE33^2-$NC33^2)*10^-2*各项系数!$F$39*10^-3*10^2)*各项系数!$J$4</f>
        <v>0</v>
      </c>
      <c r="JM33" s="123">
        <v>1</v>
      </c>
      <c r="JN33" s="251">
        <f t="shared" si="214"/>
        <v>0</v>
      </c>
      <c r="JO33" s="339">
        <f>JN33*各项系数!$E$39</f>
        <v>0</v>
      </c>
      <c r="JP33" s="364">
        <f>IF($DF33&lt;&gt;$JP$9,0,各项系数!$F$76/4*($NE33^2-$NC33^2)*10^-2*各项系数!$F$36*10^-3*10^2)*各项系数!$J$4</f>
        <v>0</v>
      </c>
      <c r="JQ33" s="123">
        <v>1</v>
      </c>
      <c r="JR33" s="251">
        <f t="shared" si="215"/>
        <v>0</v>
      </c>
      <c r="JS33" s="339">
        <f>JR33*各项系数!$E$36</f>
        <v>0</v>
      </c>
      <c r="JT33" s="364">
        <f>IF($DF33&lt;&gt;$JT$9,0,各项系数!$F$76/4*($NE33^2-$NC33^2)*10^-2*各项系数!$F$40*10^-3*10^2)*各项系数!$J$4</f>
        <v>0</v>
      </c>
      <c r="JU33" s="123">
        <v>1</v>
      </c>
      <c r="JV33" s="251">
        <f t="shared" si="216"/>
        <v>0</v>
      </c>
      <c r="JW33" s="339">
        <f>JV33*各项系数!$E$40</f>
        <v>0</v>
      </c>
      <c r="JX33" s="364">
        <f>IF($DF33&lt;&gt;$JX$9,0,各项系数!$F$76/4*($NE33^2-$NC33^2)*10^-2*各项系数!$F$38*10^-3*10^2)*各项系数!$J$4</f>
        <v>0</v>
      </c>
      <c r="JY33" s="123">
        <v>1</v>
      </c>
      <c r="JZ33" s="251">
        <f t="shared" si="217"/>
        <v>0</v>
      </c>
      <c r="KA33" s="339">
        <f>JZ33*各项系数!$E$38</f>
        <v>0</v>
      </c>
      <c r="KB33" s="364">
        <f>IF($DF33&lt;&gt;$KB$9,0,各项系数!$F$76/4*($NE33^2-$NC33^2)*10^-2*各项系数!$F$41*10^-3*10^2)*各项系数!$J$4</f>
        <v>0</v>
      </c>
      <c r="KC33" s="123">
        <v>1</v>
      </c>
      <c r="KD33" s="251">
        <f t="shared" si="218"/>
        <v>0</v>
      </c>
      <c r="KE33" s="339">
        <f>KD33*各项系数!$E$41</f>
        <v>0</v>
      </c>
      <c r="KF33" s="251">
        <f t="shared" si="219"/>
        <v>0</v>
      </c>
      <c r="KG33" s="251">
        <f t="shared" si="220"/>
        <v>0</v>
      </c>
      <c r="KH33" s="302">
        <f>各项系数!$F$76/4*($NG33^2-$NE33^2)*10^-2*各项系数!$F$44*10^-3*10^2*各项系数!$J$4*0.75*$U33</f>
        <v>0.935529027528257</v>
      </c>
      <c r="KI33" s="123">
        <v>1</v>
      </c>
      <c r="KJ33" s="251">
        <f t="shared" si="221"/>
        <v>0.935529027528257</v>
      </c>
      <c r="KK33" s="251">
        <f>ROUND(KJ33*各项系数!$E$44,GT33)</f>
        <v>10</v>
      </c>
      <c r="KL33" s="302">
        <f>各项系数!$F$76/4*($NF33^2-$NE33^2)*10^-2*各项系数!$F$46*10^-3*10^2*各项系数!$J$4*PI()/4*R33</f>
        <v>0.0465833750582295</v>
      </c>
      <c r="KM33" s="123">
        <v>1</v>
      </c>
      <c r="KN33" s="251">
        <f t="shared" si="222"/>
        <v>0.0465833750582295</v>
      </c>
      <c r="KO33" s="251">
        <f>KN33*各项系数!$E$46</f>
        <v>3.14437781643049</v>
      </c>
      <c r="KP33" s="302">
        <f>各项系数!$F$76/4*($NH33^2-$NE33^2)*10^-2*(VLOOKUP($KP$9,各项系数!$D$1:$F$143,3,0))*10^-3*10^2*各项系数!$J$4</f>
        <v>0.336656026463863</v>
      </c>
      <c r="KQ33" s="123">
        <v>1</v>
      </c>
      <c r="KR33" s="251">
        <f t="shared" si="150"/>
        <v>0.336656026463863</v>
      </c>
      <c r="KS33" s="251">
        <f>KR33*(VLOOKUP($KP$9,各项系数!$D$1:$F$143,2,0))</f>
        <v>5.72315244988567</v>
      </c>
      <c r="KT33" s="302">
        <f>各项系数!$F$76/4*($NI33^2-$NF33^2)*10^-2*(VLOOKUP($KT$9,各项系数!$D$1:$F$143,3,0))*10^-3*10^2*各项系数!$J$4</f>
        <v>0.338178957484988</v>
      </c>
      <c r="KU33" s="123">
        <v>1</v>
      </c>
      <c r="KV33" s="251">
        <f t="shared" si="151"/>
        <v>0.338178957484988</v>
      </c>
      <c r="KW33" s="251">
        <f>KV33*(VLOOKUP($KT$9,各项系数!$D$1:$F$143,2,0))</f>
        <v>5.74904227724479</v>
      </c>
      <c r="KX33" s="251">
        <f>各项系数!$F$76/4*($NH33^2-$NE33^2)*10^-2*(VLOOKUP($KX$9,各项系数!$D$1:$F$143,3,0))*10^-3*10^2*各项系数!$J$4</f>
        <v>0.336656026463863</v>
      </c>
      <c r="KY33" s="479">
        <v>1</v>
      </c>
      <c r="KZ33" s="251">
        <f t="shared" si="152"/>
        <v>0.336656026463863</v>
      </c>
      <c r="LA33" s="251">
        <f>KZ33*(VLOOKUP($KX$9,各项系数!$D$1:$F$143,2,0))</f>
        <v>5.72315244988567</v>
      </c>
      <c r="LB33" s="251">
        <f>各项系数!$F$76/4*($NI33^2-$NF33^2)*10^-2*(VLOOKUP($LB$9,各项系数!$D$1:$F$143,3,0))*10^-3*10^2*各项系数!$J$4</f>
        <v>0.338178957484988</v>
      </c>
      <c r="LC33" s="479">
        <v>1</v>
      </c>
      <c r="LD33" s="251">
        <f t="shared" si="153"/>
        <v>0.338178957484988</v>
      </c>
      <c r="LE33" s="251">
        <f>LD33*(VLOOKUP($LB$9,各项系数!$D$1:$F$143,2,0))</f>
        <v>5.74904227724479</v>
      </c>
      <c r="LF33" s="302">
        <f>各项系数!$F$76/4*($NH33^2-$NE33^2)*10^-2*(VLOOKUP(AN33,各项系数!$D$1:$F$143,3,0))*10^-3*10^2*各项系数!$J$4</f>
        <v>0.341299557863365</v>
      </c>
      <c r="LG33" s="123">
        <v>1</v>
      </c>
      <c r="LH33" s="251">
        <f t="shared" si="223"/>
        <v>0.341299557863365</v>
      </c>
      <c r="LI33" s="251">
        <f>LH33*(VLOOKUP(AN33,各项系数!$D$1:$F$143,2,0))</f>
        <v>3.41299557863365</v>
      </c>
      <c r="LJ33" s="302">
        <f>各项系数!$F$76/4*($NI33^2-$NF33^2)*10^-2*(VLOOKUP(AN33,各项系数!$D$1:$F$143,3,0))*10^-3*10^2*各项系数!$J$4</f>
        <v>0.342843494829608</v>
      </c>
      <c r="LK33" s="123">
        <v>1</v>
      </c>
      <c r="LL33" s="251">
        <f t="shared" si="224"/>
        <v>0.342843494829608</v>
      </c>
      <c r="LM33" s="251">
        <f>LL33*(VLOOKUP(AN33,各项系数!$D$1:$F$143,2,0))</f>
        <v>3.42843494829608</v>
      </c>
      <c r="LN33" s="251">
        <f>各项系数!$F$76/4*($NH33^2-$NE33^2)*10^-2*(VLOOKUP($LN$9,各项系数!$D$1:$F$143,3,0))*10^-3*10^2*各项系数!$J$4</f>
        <v>0.341299557863365</v>
      </c>
      <c r="LO33" s="479">
        <v>1</v>
      </c>
      <c r="LP33" s="251">
        <f t="shared" si="225"/>
        <v>0.341299557863365</v>
      </c>
      <c r="LQ33" s="251">
        <f>LP33*(VLOOKUP($LN$9,各项系数!$D$1:$F$143,2,0))</f>
        <v>3.75429513649701</v>
      </c>
      <c r="LR33" s="251">
        <f>各项系数!$F$76/4*($NI33^2-$NF33^2)*10^-2*(VLOOKUP($LR$9,各项系数!$D$1:$F$143,3,0))*10^-3*10^2*各项系数!$J$4</f>
        <v>0.342843494829608</v>
      </c>
      <c r="LS33" s="479">
        <v>1</v>
      </c>
      <c r="LT33" s="251">
        <f t="shared" si="226"/>
        <v>0.342843494829608</v>
      </c>
      <c r="LU33" s="251">
        <f>LT33*(VLOOKUP($LR$9,各项系数!$D$1:$F$143,2,0))</f>
        <v>3.77127844312569</v>
      </c>
      <c r="LV33" s="499">
        <f t="shared" si="154"/>
        <v>627.65238745</v>
      </c>
      <c r="LW33" s="499">
        <f t="shared" si="155"/>
        <v>472.67648931</v>
      </c>
      <c r="LX33" s="499">
        <f t="shared" si="156"/>
        <v>24.5322318197118</v>
      </c>
      <c r="LY33" s="515">
        <f t="shared" si="157"/>
        <v>154.97589814</v>
      </c>
      <c r="LZ33" s="516">
        <f t="shared" si="86"/>
        <v>1</v>
      </c>
      <c r="MA33" s="517">
        <f t="shared" si="87"/>
        <v>627.65238745</v>
      </c>
      <c r="MB33" s="517">
        <f t="shared" si="158"/>
        <v>28.26927378</v>
      </c>
      <c r="MC33" s="499">
        <f t="shared" si="159"/>
        <v>0</v>
      </c>
      <c r="MD33" s="499">
        <f t="shared" si="160"/>
        <v>0</v>
      </c>
      <c r="ME33" s="499">
        <f t="shared" si="161"/>
        <v>0</v>
      </c>
      <c r="MF33" s="499">
        <f t="shared" si="162"/>
        <v>0</v>
      </c>
      <c r="MG33" s="516">
        <f t="shared" si="163"/>
        <v>1</v>
      </c>
      <c r="MH33" s="517">
        <f t="shared" si="88"/>
        <v>0</v>
      </c>
      <c r="MI33" s="517">
        <f t="shared" si="164"/>
        <v>0</v>
      </c>
      <c r="MJ33" s="251">
        <f t="shared" si="89"/>
        <v>28.26927378</v>
      </c>
      <c r="MK33" s="251">
        <f t="shared" si="165"/>
        <v>28.26927378</v>
      </c>
      <c r="ML33" s="251">
        <f t="shared" si="227"/>
        <v>0</v>
      </c>
      <c r="MM33" s="251">
        <f t="shared" si="91"/>
        <v>0</v>
      </c>
      <c r="MN33" s="251">
        <f t="shared" si="92"/>
        <v>32.66927378</v>
      </c>
      <c r="MO33" s="251">
        <f t="shared" si="166"/>
        <v>0</v>
      </c>
      <c r="MP33" s="251">
        <f t="shared" si="167"/>
        <v>32.66927378</v>
      </c>
      <c r="MQ33" s="251">
        <f t="shared" si="228"/>
        <v>32.66927378</v>
      </c>
      <c r="MR33" s="314">
        <f t="shared" si="168"/>
        <v>32.66927378</v>
      </c>
      <c r="MS33" s="530">
        <f t="shared" si="94"/>
        <v>32.66927378</v>
      </c>
      <c r="MT33" s="530">
        <f t="shared" si="95"/>
        <v>32.82927378</v>
      </c>
      <c r="MU33" s="530">
        <f t="shared" si="232"/>
        <v>34.16927378</v>
      </c>
      <c r="MV33" s="530">
        <f t="shared" si="97"/>
        <v>36.86927378</v>
      </c>
      <c r="MW33" s="530">
        <f t="shared" si="98"/>
        <v>37.02927378</v>
      </c>
      <c r="MX33" s="326">
        <f t="shared" si="233"/>
        <v>28.86927378</v>
      </c>
      <c r="MY33" s="326">
        <f t="shared" si="100"/>
        <v>0</v>
      </c>
      <c r="MZ33" s="251">
        <f t="shared" si="101"/>
        <v>33.26927378</v>
      </c>
      <c r="NA33" s="251">
        <f t="shared" si="102"/>
        <v>0</v>
      </c>
      <c r="NB33" s="251">
        <f t="shared" si="169"/>
        <v>33.26927378</v>
      </c>
      <c r="NC33" s="326">
        <f t="shared" si="229"/>
        <v>33.26927378</v>
      </c>
      <c r="ND33" s="314">
        <f t="shared" si="234"/>
        <v>33.26927378</v>
      </c>
      <c r="NE33" s="537">
        <f t="shared" si="235"/>
        <v>33.26927378</v>
      </c>
      <c r="NF33" s="530">
        <f t="shared" si="106"/>
        <v>33.42927378</v>
      </c>
      <c r="NG33" s="538">
        <f t="shared" si="236"/>
        <v>34.76927378</v>
      </c>
      <c r="NH33" s="326">
        <f t="shared" si="108"/>
        <v>37.46927378</v>
      </c>
      <c r="NI33" s="530">
        <f t="shared" si="109"/>
        <v>37.62927378</v>
      </c>
      <c r="NK33" s="539">
        <f t="shared" si="110"/>
        <v>4.83070410980578</v>
      </c>
      <c r="NL33" s="539">
        <f t="shared" si="111"/>
        <v>285.044277487728</v>
      </c>
      <c r="NM33" s="539">
        <f t="shared" si="112"/>
        <v>4.83070410980578</v>
      </c>
      <c r="NN33" s="539">
        <f t="shared" si="113"/>
        <v>285.379787281968</v>
      </c>
      <c r="NO33" s="539">
        <f t="shared" si="114"/>
        <v>4.88121957298467</v>
      </c>
      <c r="NP33" s="539">
        <f t="shared" si="115"/>
        <v>286.153143601208</v>
      </c>
      <c r="NQ33" s="539">
        <f t="shared" si="116"/>
        <v>4.88121957298467</v>
      </c>
      <c r="NR33" s="539">
        <f t="shared" si="117"/>
        <v>286.494443159071</v>
      </c>
      <c r="NS33" s="539">
        <f t="shared" si="118"/>
        <v>4.87644938490359</v>
      </c>
      <c r="NT33" s="539">
        <f t="shared" si="119"/>
        <v>4.87644938490359</v>
      </c>
      <c r="NU33" s="539">
        <f t="shared" si="120"/>
        <v>4.9278029480429</v>
      </c>
      <c r="NV33" s="539">
        <f t="shared" si="121"/>
        <v>4.9278029480429</v>
      </c>
      <c r="NW33">
        <f t="shared" si="122"/>
        <v>5.44339013993271</v>
      </c>
      <c r="NX33">
        <f>各项系数!$M$9*NK33</f>
        <v>1.44921123294173</v>
      </c>
      <c r="NY33">
        <f t="shared" si="123"/>
        <v>4.87644938490359</v>
      </c>
      <c r="OB33" s="82" t="str">
        <f t="shared" si="124"/>
        <v>1*500</v>
      </c>
      <c r="OC33" s="546">
        <f t="shared" si="125"/>
        <v>314.103042329295</v>
      </c>
      <c r="OD33" s="546">
        <f>SQRT(4*EY33/PI()/EH33/各项系数!$J$4/各项系数!$F$5*10000000)</f>
        <v>317.228522715927</v>
      </c>
      <c r="OE33" s="547">
        <f t="shared" si="126"/>
        <v>472.676490305167</v>
      </c>
      <c r="OF33" s="547">
        <f t="shared" si="127"/>
        <v>482.13002011127</v>
      </c>
      <c r="OG33" s="82">
        <v>476.6</v>
      </c>
      <c r="OH33" s="548">
        <f t="shared" si="186"/>
        <v>5.53002011126989</v>
      </c>
    </row>
    <row r="34" customHeight="1" spans="1:398">
      <c r="A34" s="66">
        <v>630</v>
      </c>
      <c r="B34" s="67">
        <v>0</v>
      </c>
      <c r="C34" s="68">
        <v>2.4</v>
      </c>
      <c r="D34" s="74" t="s">
        <v>279</v>
      </c>
      <c r="E34" s="79">
        <f t="shared" si="240"/>
        <v>41.54859346</v>
      </c>
      <c r="F34" s="75">
        <v>357.206594414564</v>
      </c>
      <c r="G34" s="74"/>
      <c r="H34" s="23"/>
      <c r="I34" s="78"/>
      <c r="J34" s="23"/>
      <c r="K34" s="23"/>
      <c r="L34" s="118" t="s">
        <v>467</v>
      </c>
      <c r="M34" s="124">
        <f t="shared" si="2"/>
        <v>2.4</v>
      </c>
      <c r="N34" s="124">
        <f t="shared" si="3"/>
        <v>0</v>
      </c>
      <c r="O34" s="23"/>
      <c r="P34" s="120">
        <v>0.1</v>
      </c>
      <c r="Q34" s="165">
        <f t="shared" ref="Q34:Q43" si="248">$Q$12</f>
        <v>0.1</v>
      </c>
      <c r="R34" s="172">
        <v>0.8</v>
      </c>
      <c r="S34" s="173" t="str">
        <f>各项系数!$D$44</f>
        <v>磁性钢带</v>
      </c>
      <c r="T34" s="78">
        <v>0.5</v>
      </c>
      <c r="U34" s="78">
        <v>2</v>
      </c>
      <c r="V34" s="172"/>
      <c r="W34" s="174">
        <v>2.3</v>
      </c>
      <c r="X34" s="164">
        <f t="shared" ref="X34:X43" si="249">$X$12</f>
        <v>0.2</v>
      </c>
      <c r="Y34" s="219"/>
      <c r="Z34" s="220"/>
      <c r="AA34" s="217">
        <v>1.03</v>
      </c>
      <c r="AB34" s="186">
        <f>PI()*EJ34*EJ34/4*EH34*(1-H34)*AA34*各项系数!$F$5*各项系数!$J$4*10^-7</f>
        <v>5.56955783990862</v>
      </c>
      <c r="AC34" s="186">
        <f t="shared" si="241"/>
        <v>357.206594414564</v>
      </c>
      <c r="AD34" s="186">
        <f t="shared" si="5"/>
        <v>629.645170725237</v>
      </c>
      <c r="AE34" s="186">
        <f>POWER(4*EU34/PI()/EG34/10^-7/EH34/(1-H34)/各项系数!$F$5/各项系数!$J$4,0.5)</f>
        <v>362.525099304928</v>
      </c>
      <c r="AF34" s="218">
        <v>1</v>
      </c>
      <c r="AG34" s="85">
        <v>0</v>
      </c>
      <c r="AH34" s="85">
        <f t="shared" si="242"/>
        <v>0</v>
      </c>
      <c r="AI34" s="85">
        <f t="shared" si="128"/>
        <v>0</v>
      </c>
      <c r="AJ34" s="85">
        <f>IF(OR(EP34="",EP34=0),0,POWER(4*EW34/PI()/EO34/10^-7/EP34/(1-K34)/各项系数!$F$5/各项系数!$J$4,0.5))</f>
        <v>0</v>
      </c>
      <c r="AK34" s="85" t="str">
        <f t="shared" si="8"/>
        <v>√</v>
      </c>
      <c r="AL34" s="85">
        <f t="shared" si="243"/>
        <v>382.946227419505</v>
      </c>
      <c r="AM34" s="127">
        <f t="shared" si="244"/>
        <v>630</v>
      </c>
      <c r="AN34" s="118" t="s">
        <v>486</v>
      </c>
      <c r="AO34" s="259">
        <f>AP34+各项系数!$M$9*$NK34</f>
        <v>375.43747786226</v>
      </c>
      <c r="AP34" s="259">
        <f>AQ34*(1+$BI34+(VLOOKUP($AM34,$A$12:$B$323,2,0))+各项系数!$J$6+各项系数!$M$5)*(1+$E$2)</f>
        <v>373.556637538677</v>
      </c>
      <c r="AQ34" s="260">
        <f>AR34+各项系数!$L$9*$NK34</f>
        <v>381.180242386405</v>
      </c>
      <c r="AR34" s="260">
        <f>AS34*(1+$BJ34+各项系数!$J$5+各项系数!$L$5)</f>
        <v>379.299402062822</v>
      </c>
      <c r="AS34" s="260">
        <f t="shared" si="129"/>
        <v>371.86215888512</v>
      </c>
      <c r="AT34" s="259">
        <f>AU34+各项系数!$M$9*$NM34</f>
        <v>378.244037113433</v>
      </c>
      <c r="AU34" s="259">
        <f>AV34*(1+$BI34+(VLOOKUP($AM34,$A$12:$B$323,2,0))+各项系数!$J$6+各项系数!$M$5)*(1+$E$2)</f>
        <v>376.36319678985</v>
      </c>
      <c r="AV34" s="260">
        <f>AW34+各项系数!$L$9*$NM34</f>
        <v>384.04407835699</v>
      </c>
      <c r="AW34" s="260">
        <f>AX34*(1+$BJ34+各项系数!$J$5+各项系数!$L$5)</f>
        <v>382.163238033407</v>
      </c>
      <c r="AX34" s="260">
        <f t="shared" si="130"/>
        <v>374.669841209223</v>
      </c>
      <c r="AY34" s="259">
        <f>AZ34+各项系数!$M$9*$NS34</f>
        <v>378.974994750654</v>
      </c>
      <c r="AZ34" s="259">
        <f>BA34*(1+$BI34+(VLOOKUP($AM34,$A$12:$B$214,2,0))+各项系数!$J$6+各项系数!$M$5)*(1+$E$2)</f>
        <v>377.078637595715</v>
      </c>
      <c r="BA34" s="260">
        <f>BB34+各项系数!$L$9*$NS34</f>
        <v>384.774119995628</v>
      </c>
      <c r="BB34" s="260">
        <f>BC34*(1+$BJ34+各项系数!$J$5+各项系数!$L$5)</f>
        <v>382.877762840688</v>
      </c>
      <c r="BC34" s="262">
        <f t="shared" si="131"/>
        <v>375.370355726165</v>
      </c>
      <c r="BD34" s="259">
        <f>BE34+各项系数!$M$9*$NS34</f>
        <v>381.792995162914</v>
      </c>
      <c r="BE34" s="259">
        <f>BF34*(1+$BI34+(VLOOKUP($AM34,$A$12:$B$214,2,0))+各项系数!$J$6+各项系数!$M$5)*(1+$E$2)</f>
        <v>379.896638007975</v>
      </c>
      <c r="BF34" s="260">
        <f>BG34+各项系数!$L$9*$NS34</f>
        <v>387.649630620382</v>
      </c>
      <c r="BG34" s="260">
        <f>BH34*(1+$BJ34+各项系数!$J$5+各项系数!$L$5)</f>
        <v>385.753273465443</v>
      </c>
      <c r="BH34" s="262">
        <f t="shared" si="132"/>
        <v>378.18948378965</v>
      </c>
      <c r="BI34" s="67"/>
      <c r="BJ34" s="272"/>
      <c r="BK34" s="69"/>
      <c r="BL34" s="259">
        <f>BM34+各项系数!$M$9*$NM34</f>
        <v>379.50042948876</v>
      </c>
      <c r="BM34" s="259">
        <f>BN34*(1+$CF34+(VLOOKUP($AM34,$A$12:$B$323,2,0))+各项系数!$J$6+各项系数!$M$5)*(1+$E$2)</f>
        <v>377.619589165177</v>
      </c>
      <c r="BN34" s="260">
        <f>BO34+各项系数!$L$9*$NM34</f>
        <v>385.326111393038</v>
      </c>
      <c r="BO34" s="260">
        <f>BP34*(1+$CG34+各项系数!$J$5+各项系数!$L$5)</f>
        <v>383.445271069455</v>
      </c>
      <c r="BP34" s="260">
        <f t="shared" si="133"/>
        <v>372.276962203354</v>
      </c>
      <c r="BQ34" s="259">
        <f>BR34+各项系数!$M$9*$NM34</f>
        <v>381.915801557283</v>
      </c>
      <c r="BR34" s="259">
        <f>BS34*(1+$CF34+(VLOOKUP($AM34,$A$12:$B$323,2,0))+各项系数!$J$6+各项系数!$M$5)*(1+$E$2)</f>
        <v>380.034961233701</v>
      </c>
      <c r="BS34" s="260">
        <f>BT34+各项系数!$L$9*$NM34</f>
        <v>387.790776769082</v>
      </c>
      <c r="BT34" s="260">
        <f>BU34*(1+$CG34+各项系数!$J$5+各项系数!$L$5)</f>
        <v>385.909936445499</v>
      </c>
      <c r="BU34" s="260">
        <f t="shared" si="134"/>
        <v>374.669841209223</v>
      </c>
      <c r="BV34" s="259">
        <f>BW34+各项系数!$M$9*$NT34</f>
        <v>381.223701703228</v>
      </c>
      <c r="BW34" s="259">
        <f>BX34*(1+$CF34+(VLOOKUP($AM34,$A$12:$B$214,2,0))+各项系数!$J$6+各项系数!$M$5)*(1+$E$2)</f>
        <v>379.327344548289</v>
      </c>
      <c r="BX34" s="260">
        <f>BY34+各项系数!$L$9*$NT$12</f>
        <v>387.068718926826</v>
      </c>
      <c r="BY34" s="260">
        <f>BZ34*(1+$CG34+各项系数!$J$5+各项系数!$L$5)</f>
        <v>387.060455523671</v>
      </c>
      <c r="BZ34" s="262">
        <f t="shared" si="11"/>
        <v>375.786850022981</v>
      </c>
      <c r="CA34" s="259">
        <f>CB34+各项系数!$M$9*$NT34</f>
        <v>383.648920227304</v>
      </c>
      <c r="CB34" s="259">
        <f>CC34*(1+$CF34+(VLOOKUP($AM34,$A$12:$B$214,2,0))+各项系数!$J$6+各项系数!$M$5)*(1+$E$2)</f>
        <v>381.752563072364</v>
      </c>
      <c r="CC34" s="260">
        <f>CD34+各项系数!$L$9*$NT$12</f>
        <v>389.543431706494</v>
      </c>
      <c r="CD34" s="260">
        <f>CE34*(1+$CG34+各项系数!$J$5+各项系数!$L$5)</f>
        <v>389.535168303339</v>
      </c>
      <c r="CE34" s="262">
        <f t="shared" si="135"/>
        <v>378.18948378965</v>
      </c>
      <c r="CF34" s="277">
        <f t="shared" si="136"/>
        <v>0</v>
      </c>
      <c r="CG34" s="277">
        <f t="shared" si="12"/>
        <v>0.01</v>
      </c>
      <c r="CH34" s="127"/>
      <c r="CI34" s="259">
        <f>CJ34+各项系数!$M$9*$NO34</f>
        <v>378.606646165889</v>
      </c>
      <c r="CJ34" s="259">
        <f>CK34*(1+$DC34+(VLOOKUP($AM34,$A$12:$B$323,2,0))+各项系数!$J$6+各项系数!$M$5)*(1+$E$2)+各项系数!$M$9*$NK34</f>
        <v>376.708724945191</v>
      </c>
      <c r="CK34" s="260">
        <f>CL34+各项系数!$L$9*$NO34</f>
        <v>382.477433287356</v>
      </c>
      <c r="CL34" s="260">
        <f>CM34*(1+$DD34+各项系数!$J$5+各项系数!$L$5)</f>
        <v>380.579512066658</v>
      </c>
      <c r="CM34" s="260">
        <f t="shared" si="13"/>
        <v>373.117168692802</v>
      </c>
      <c r="CN34" s="259">
        <f>CO34+各项系数!$M$9*$NO34</f>
        <v>381.349819084913</v>
      </c>
      <c r="CO34" s="259">
        <f>CP34*(1+$DC34+(VLOOKUP($AM34,$A$12:$B$323,2,0))+各项系数!$J$6+各项系数!$M$5)*(1+$E$2)+各项系数!$M$9*$NK34</f>
        <v>379.451897864216</v>
      </c>
      <c r="CP34" s="260">
        <f>CQ34+各项系数!$L$9*$NO34</f>
        <v>385.276589327176</v>
      </c>
      <c r="CQ34" s="260">
        <f>CR34*(1+$DD34+各项系数!$J$5+各项系数!$L$5)</f>
        <v>383.378668106478</v>
      </c>
      <c r="CR34" s="260">
        <f t="shared" si="14"/>
        <v>375.861439320077</v>
      </c>
      <c r="CS34" s="259">
        <f>CT34+各项系数!$M$9*$NU34</f>
        <v>380.320369680706</v>
      </c>
      <c r="CT34" s="259">
        <f t="shared" si="15"/>
        <v>378.406680198664</v>
      </c>
      <c r="CU34" s="260">
        <f>CV34+各项系数!$L$9*$NU34</f>
        <v>386.129265508841</v>
      </c>
      <c r="CV34" s="260">
        <f>CW34*(1+$DD34+各项系数!$J$5+各项系数!$L$5)</f>
        <v>384.215576026799</v>
      </c>
      <c r="CW34" s="262">
        <f t="shared" si="16"/>
        <v>376.681937281175</v>
      </c>
      <c r="CX34" s="259">
        <f>CY34+各项系数!$M$9*$NU34</f>
        <v>383.18127444704</v>
      </c>
      <c r="CY34" s="259">
        <f t="shared" si="17"/>
        <v>381.267584964997</v>
      </c>
      <c r="CZ34" s="260">
        <f>DA34+各项系数!$L$9*$NU34</f>
        <v>389.048556086732</v>
      </c>
      <c r="DA34" s="260">
        <f>DB34*(1+$DD34+各项系数!$J$5+各项系数!$L$5)</f>
        <v>387.13486660469</v>
      </c>
      <c r="DB34" s="262">
        <f t="shared" si="18"/>
        <v>379.543986867343</v>
      </c>
      <c r="DC34" s="277">
        <f t="shared" si="137"/>
        <v>0</v>
      </c>
      <c r="DD34" s="277">
        <f t="shared" si="19"/>
        <v>0</v>
      </c>
      <c r="DE34" s="95"/>
      <c r="DF34" s="95"/>
      <c r="DG34" s="259">
        <f>DH34+各项系数!$M$9*$NQ34</f>
        <v>382.688297665182</v>
      </c>
      <c r="DH34" s="259">
        <f>DI34*(1+$EA34+(VLOOKUP($AM34,$A$12:$B$323,2,0))+各项系数!$J$6+各项系数!$M$5)*(1+$E$2)+各项系数!$M$9*$NK34</f>
        <v>380.790376444484</v>
      </c>
      <c r="DI34" s="260">
        <f>DJ34+各项系数!$L$9*$NQ34</f>
        <v>386.642383796838</v>
      </c>
      <c r="DJ34" s="260">
        <f>DK34*(1+$EB34+各项系数!$J$5+各项系数!$L$5)</f>
        <v>384.744462576141</v>
      </c>
      <c r="DK34" s="260">
        <f t="shared" si="20"/>
        <v>373.538313180719</v>
      </c>
      <c r="DL34" s="259">
        <f>DM34+各项系数!$M$9*$NQ34</f>
        <v>385.140593942024</v>
      </c>
      <c r="DM34" s="259">
        <f>DN34*(1+$EA34+(VLOOKUP($AM34,$A$12:$B$323,2,0))+各项系数!$J$6+各项系数!$M$5)*(1+$E$2)+各项系数!$M$9*$NK34</f>
        <v>383.242672721326</v>
      </c>
      <c r="DN34" s="260">
        <f>DO34+各项系数!$L$9*$NQ34</f>
        <v>389.144726936473</v>
      </c>
      <c r="DO34" s="260">
        <f>DP34*(1+$EB34+各项系数!$J$5+各项系数!$L$5)</f>
        <v>387.246805715775</v>
      </c>
      <c r="DP34" s="260">
        <f t="shared" si="21"/>
        <v>375.967772539588</v>
      </c>
      <c r="DQ34" s="259">
        <f>DR34+各项系数!$M$9*$NV34</f>
        <v>384.438662785946</v>
      </c>
      <c r="DR34" s="259">
        <f t="shared" si="22"/>
        <v>382.524973303904</v>
      </c>
      <c r="DS34" s="260">
        <f>DT34+各项系数!$L$9*$NV34</f>
        <v>390.331605412147</v>
      </c>
      <c r="DT34" s="260">
        <f>DU34*(1+$EB34+各项系数!$J$5+各项系数!$L$5)</f>
        <v>388.417915930104</v>
      </c>
      <c r="DU34" s="262">
        <f t="shared" si="23"/>
        <v>377.104772747674</v>
      </c>
      <c r="DV34" s="259">
        <f>DW34+各项系数!$M$9*$NV34</f>
        <v>383.914403275877</v>
      </c>
      <c r="DW34" s="259">
        <f t="shared" si="24"/>
        <v>382.000713793835</v>
      </c>
      <c r="DX34" s="260">
        <f>DY34+各项系数!$L$9*$NV34</f>
        <v>389.796646728403</v>
      </c>
      <c r="DY34" s="260">
        <f>DZ34*(1+$EB34+各项系数!$J$5+各项系数!$L$5)</f>
        <v>387.882957246361</v>
      </c>
      <c r="DZ34" s="262">
        <f t="shared" si="25"/>
        <v>376.585395384816</v>
      </c>
      <c r="EA34" s="277">
        <f t="shared" si="230"/>
        <v>0</v>
      </c>
      <c r="EB34" s="277">
        <f t="shared" si="27"/>
        <v>0.01</v>
      </c>
      <c r="EC34" s="302">
        <f t="shared" si="138"/>
        <v>1</v>
      </c>
      <c r="ED34" s="304" t="str">
        <f t="shared" si="180"/>
        <v>1*630</v>
      </c>
      <c r="EE34" s="251">
        <f t="shared" si="239"/>
        <v>630</v>
      </c>
      <c r="EF34" s="95" t="str">
        <f>LOOKUP(EH34,{1,7,10,14,19,24,30,37,48,61},{1,"1+6","2+8","4+10","1+6+12","2+8+14","4+10+16","1+6+12+18","3+9+15+21","1+6+12+18+24"})</f>
        <v>1+6+12+18+24</v>
      </c>
      <c r="EG34" s="250">
        <f t="shared" si="29"/>
        <v>1</v>
      </c>
      <c r="EH34" s="260">
        <f>VLOOKUP(EE34,各项系数!$B$87:$C$110,2,0)</f>
        <v>61</v>
      </c>
      <c r="EI34" s="250">
        <f>IF(EH34=0,0,VLOOKUP(EH34,各项系数!$D$142:$E$195,2,0))*1</f>
        <v>9</v>
      </c>
      <c r="EJ34" s="305">
        <f t="shared" si="141"/>
        <v>357.206594414564</v>
      </c>
      <c r="EK34" s="95">
        <f t="shared" si="245"/>
        <v>0</v>
      </c>
      <c r="EL34" s="251">
        <f t="shared" si="31"/>
        <v>0</v>
      </c>
      <c r="EM34" s="95">
        <f t="shared" si="182"/>
        <v>0</v>
      </c>
      <c r="EN34" s="95">
        <f>IF(EP34=0,0,LOOKUP(EP34,{1,7,10,14,19,24,30,37,48,61},{1,"1+6","2+8","4+10","1+6+12","2+8+14","4+10+16","1+6+12+18","3+9+15+21","1+6+12+18+24"}))</f>
        <v>0</v>
      </c>
      <c r="EO34" s="95">
        <f t="shared" si="246"/>
        <v>0</v>
      </c>
      <c r="EP34" s="95">
        <f>IF(EM34=0,0,IF(EM34&lt;10,1,IF(AND(EM34&gt;=10,EM34&lt;=35),7,LOOKUP(EM34,{50,70,95,120,150,185,240,300},{10,14,19,24,30,37,48,61})*1)))</f>
        <v>0</v>
      </c>
      <c r="EQ34" s="251">
        <f>IF(EP34=0,0,VLOOKUP(EP34,各项系数!$D$142:$E$195,2,0))*1</f>
        <v>0</v>
      </c>
      <c r="ER34" s="95">
        <f t="shared" si="247"/>
        <v>0</v>
      </c>
      <c r="ES34" s="304">
        <f t="shared" si="185"/>
        <v>1</v>
      </c>
      <c r="ET34" s="251">
        <f>VLOOKUP(ES34,各项系数!$D$142:$E$195,2,0)*1</f>
        <v>1</v>
      </c>
      <c r="EU34" s="311">
        <f>((各项系数!$F$76/4*$EJ34^2*$EG34*$EH34*1*10^-7)*(1-$H34)*AA34)*(VLOOKUP($EY$9,各项系数!$D$4:$F$143,3,0))*各项系数!$J$4</f>
        <v>5.56955783990862</v>
      </c>
      <c r="EV34" s="312">
        <f>EU34*(VLOOKUP($EY$9,各项系数!$D$4:$F$143,2,0))</f>
        <v>364.806038514014</v>
      </c>
      <c r="EW34" s="324">
        <f>(IF($EO34=0,0,(各项系数!$F$76/4*$ER34^2*$EO34*$EP34*1*10^-7))*(1-$K34)*$AF34)*(VLOOKUP($EY$9,各项系数!$D$4:$F$143,3,0))*各项系数!$J$4</f>
        <v>0</v>
      </c>
      <c r="EX34" s="325">
        <f>EW34*(VLOOKUP($EY$9,各项系数!$D$4:$F$143,2,0))</f>
        <v>0</v>
      </c>
      <c r="EY34" s="251">
        <f>((各项系数!$F$76/4*$EJ34^2*$EG34*$EH34*1*10^-7)*(1-$H34)*AA34+IF($EO34=0,0,(各项系数!$F$76/4*$ER34^2*$EO34*$EP34*1*10^-7))*(1-$K34)*$AF34)*(VLOOKUP($EY$9,各项系数!$D$4:$F$143,3,0))*各项系数!$J$4</f>
        <v>5.56955783990862</v>
      </c>
      <c r="EZ34" s="123">
        <v>1</v>
      </c>
      <c r="FA34" s="251">
        <f t="shared" si="188"/>
        <v>5.56955783990862</v>
      </c>
      <c r="FB34" s="326">
        <f>FA34*(VLOOKUP($EY$9,各项系数!$D$4:$F$143,2,0))</f>
        <v>364.806038514014</v>
      </c>
      <c r="FC34" s="329"/>
      <c r="FD34" s="302">
        <f>各项系数!$F$76/4*($MN34^2-MK34^2)*10^-2*(VLOOKUP(L34,各项系数!$D$1:$F$143,3,0))*10^-3*10^2*$EG34*各项系数!$J$4</f>
        <v>0.285106587133546</v>
      </c>
      <c r="FE34" s="339">
        <f>FD34*VLOOKUP(L34,各项系数!$D$1:$F$143,2,0)</f>
        <v>2.90808718876217</v>
      </c>
      <c r="FF34" s="250">
        <f>各项系数!$F$76/4*($MO34^2-ML34^2)*10^-2*(VLOOKUP(L34,各项系数!$D$1:$F$143,3,0))*10^-3*10^2*$EO34*各项系数!$J$4</f>
        <v>0</v>
      </c>
      <c r="FG34" s="339">
        <f>FF34*VLOOKUP(L34,各项系数!$D$1:$F$143,2,0)</f>
        <v>0</v>
      </c>
      <c r="FH34" s="302">
        <f t="shared" si="142"/>
        <v>0.285106587133546</v>
      </c>
      <c r="FI34" s="123">
        <v>1</v>
      </c>
      <c r="FJ34" s="251">
        <f t="shared" si="189"/>
        <v>0.285106587133546</v>
      </c>
      <c r="FK34" s="339">
        <f>FJ34*VLOOKUP(L34,各项系数!$D$1:$F$143,2,0)</f>
        <v>2.90808718876217</v>
      </c>
      <c r="FL34" s="304"/>
      <c r="FM34" s="127"/>
      <c r="FN34" s="251"/>
      <c r="FO34" s="339"/>
      <c r="FP34" s="364">
        <f t="shared" si="190"/>
        <v>0.285106587133546</v>
      </c>
      <c r="FQ34" s="364">
        <f t="shared" si="191"/>
        <v>2.90808718876217</v>
      </c>
      <c r="FR34" s="365">
        <f>各项系数!$F$76/4*($MQ34^2-$MN34^2*$EG34-$MO34^2*$EO34)*10^-2</f>
        <v>0</v>
      </c>
      <c r="FS34" s="366">
        <f t="shared" si="143"/>
        <v>1</v>
      </c>
      <c r="FT34" s="367">
        <f t="shared" si="40"/>
        <v>0</v>
      </c>
      <c r="FU34" s="388">
        <f>$FT34*(VLOOKUP($FT$9,各项系数!$D$1:$F$143,3,0))*10^-3*10^2*各项系数!$J$55</f>
        <v>0</v>
      </c>
      <c r="FV34" s="389">
        <v>1</v>
      </c>
      <c r="FW34" s="390">
        <f t="shared" si="192"/>
        <v>0</v>
      </c>
      <c r="FX34" s="367">
        <f>FW34*(VLOOKUP($FT$9,各项系数!$D$1:$F$143,2,0))</f>
        <v>0</v>
      </c>
      <c r="FY34" s="388">
        <f>IF($BK34&lt;&gt;$FY$9,0,各项系数!$F$76/4*($MS34^2-$MQ34^2)*10^-2*(VLOOKUP($FY$9,各项系数!$D$1:$F$143,3,0))*10^-3*10^2)*各项系数!$J$4</f>
        <v>0</v>
      </c>
      <c r="FZ34" s="389">
        <v>1</v>
      </c>
      <c r="GA34" s="390">
        <f t="shared" si="193"/>
        <v>0</v>
      </c>
      <c r="GB34" s="367">
        <f>GA34*(VLOOKUP($FY$9,各项系数!$D$1:$F$143,2,0))</f>
        <v>0</v>
      </c>
      <c r="GC34" s="388">
        <f>IF($BK34&lt;&gt;$GC$9,0,各项系数!$F$76/4*($MS34^2-$MQ34^2)*10^-2*(VLOOKUP($GC$9,各项系数!$D$1:$F$143,3,0))*10^-3*10^2)*各项系数!$J$4</f>
        <v>0</v>
      </c>
      <c r="GD34" s="389">
        <v>1</v>
      </c>
      <c r="GE34" s="390">
        <f t="shared" si="194"/>
        <v>0</v>
      </c>
      <c r="GF34" s="367">
        <f>GE34*(VLOOKUP($GC$9,各项系数!$D$1:$F$143,2,0))</f>
        <v>0</v>
      </c>
      <c r="GG34" s="388">
        <f>IF($BK34&lt;&gt;$GG$9,0,各项系数!$F$76/4*($MS34^2-$MQ34^2)*10^-2*(VLOOKUP($GG$9,各项系数!$D$1:$F$143,3,0))*10^-3*10^2)*各项系数!$J$4</f>
        <v>0</v>
      </c>
      <c r="GH34" s="389">
        <v>1</v>
      </c>
      <c r="GI34" s="390">
        <f t="shared" si="195"/>
        <v>0</v>
      </c>
      <c r="GJ34" s="367">
        <f>GI34*(VLOOKUP($GG$9,各项系数!$D$1:$F$143,2,0))</f>
        <v>0</v>
      </c>
      <c r="GK34" s="388">
        <f>IF($BK34&lt;&gt;$GK$9,0,各项系数!$F$76/4*($MS34^2-$MQ34^2)*10^-2*(VLOOKUP($GK$9,各项系数!$D$1:$F$143,3,0))*10^-3*10^2)*各项系数!$J$4</f>
        <v>0</v>
      </c>
      <c r="GL34" s="389">
        <v>1</v>
      </c>
      <c r="GM34" s="390">
        <f t="shared" si="196"/>
        <v>0</v>
      </c>
      <c r="GN34" s="367">
        <f>GM34*(VLOOKUP($GK$9,各项系数!$D$1:$F$143,2,0))</f>
        <v>0</v>
      </c>
      <c r="GO34" s="390">
        <f t="shared" si="197"/>
        <v>0</v>
      </c>
      <c r="GP34" s="390">
        <f t="shared" si="198"/>
        <v>0</v>
      </c>
      <c r="GQ34" s="406">
        <f>各项系数!$F$76/4*($MU34^2-$MS34^2)*10^-2*(VLOOKUP($S34,各项系数!$D$1:$F$143,3,0))*10^-3*10^2*各项系数!$J$4</f>
        <v>0.691140140280343</v>
      </c>
      <c r="GR34" s="389">
        <v>1</v>
      </c>
      <c r="GS34" s="390">
        <f t="shared" si="199"/>
        <v>0.691140140280343</v>
      </c>
      <c r="GT34" s="390">
        <f t="shared" si="200"/>
        <v>0</v>
      </c>
      <c r="GU34" s="390">
        <f>ROUND($GS34*(VLOOKUP($S34,各项系数!$D$1:$F$143,2,0))+$E$3*GS34,GT34)</f>
        <v>7</v>
      </c>
      <c r="GV34" s="406">
        <f>各项系数!$F$76/4*($MT34^2-$MS34^2)*10^-2*(VLOOKUP($GV$9,各项系数!$D$1:$F$143,3,0))*10^-3*10^2*各项系数!$J$4*PI()/4*R34</f>
        <v>0.0517227711885088</v>
      </c>
      <c r="GW34" s="389">
        <v>1</v>
      </c>
      <c r="GX34" s="390">
        <f t="shared" si="201"/>
        <v>0.0517227711885088</v>
      </c>
      <c r="GY34" s="390">
        <f>$GX34*(VLOOKUP($GV$9,各项系数!$D$1:$F$143,2,0))</f>
        <v>3.49128705522434</v>
      </c>
      <c r="GZ34" s="406">
        <f>各项系数!$F$76/4*($MV34^2-$MS34^2)*10^-2*(VLOOKUP($GZ$9,各项系数!$D$1:$F$143,3,0))*10^-3*10^2*各项系数!$J$4</f>
        <v>0.409159735673289</v>
      </c>
      <c r="HA34" s="389">
        <v>1</v>
      </c>
      <c r="HB34" s="390">
        <f t="shared" si="144"/>
        <v>0.409159735673289</v>
      </c>
      <c r="HC34" s="390">
        <f>HB34*(VLOOKUP($GZ$9,各项系数!$D$1:$F$143,2,0))</f>
        <v>6.95571550644591</v>
      </c>
      <c r="HD34" s="406">
        <f>各项系数!$F$76/4*($MW34^2-$MT34^2)*10^-2*(VLOOKUP($HD$9,各项系数!$D$1:$F$143,3,0))*10^-3*10^2*各项系数!$J$4</f>
        <v>0.410827707744044</v>
      </c>
      <c r="HE34" s="389">
        <v>1</v>
      </c>
      <c r="HF34" s="390">
        <f t="shared" si="145"/>
        <v>0.410827707744044</v>
      </c>
      <c r="HG34" s="390">
        <f>HF34*(VLOOKUP($HD$9,各项系数!$D$1:$F$143,2,0))</f>
        <v>6.98407103164875</v>
      </c>
      <c r="HH34" s="406">
        <f>各项系数!$F$76/4*($MV34^2-$MS34^2)*10^-2*(VLOOKUP($HH$9,各项系数!$D$1:$F$143,3,0))*10^-3*10^2*各项系数!$J$4</f>
        <v>0.409159735673289</v>
      </c>
      <c r="HI34" s="420">
        <v>1</v>
      </c>
      <c r="HJ34" s="390">
        <f t="shared" si="146"/>
        <v>0.409159735673289</v>
      </c>
      <c r="HK34" s="390">
        <f>HJ34*(VLOOKUP($HH$9,各项系数!$D$1:$F$143,2,0))</f>
        <v>6.95571550644591</v>
      </c>
      <c r="HL34" s="406">
        <f>各项系数!$F$76/4*($MW34^2-$MT34^2)*10^-2*(VLOOKUP($HL$9,各项系数!$D$1:$F$143,3,0))*10^-3*10^2*各项系数!$J$4</f>
        <v>0.410827707744044</v>
      </c>
      <c r="HM34" s="420">
        <v>1</v>
      </c>
      <c r="HN34" s="390">
        <f t="shared" si="147"/>
        <v>0.410827707744044</v>
      </c>
      <c r="HO34" s="390">
        <f>HN34*(VLOOKUP($HL$9,各项系数!$D$1:$F$143,2,0))</f>
        <v>6.98407103164875</v>
      </c>
      <c r="HP34" s="406">
        <f>各项系数!$F$76/4*($MV34^2-$MS34^2)*10^-2*(VLOOKUP(AN34,各项系数!$D$1:$F$143,3,0))*10^-3*10^2*各项系数!$J$4</f>
        <v>0.4148033182343</v>
      </c>
      <c r="HQ34" s="389">
        <v>1</v>
      </c>
      <c r="HR34" s="390">
        <f t="shared" si="202"/>
        <v>0.4148033182343</v>
      </c>
      <c r="HS34" s="390">
        <f>HR34*(VLOOKUP(AN34,各项系数!$D$1:$F$143,2,0))</f>
        <v>4.148033182343</v>
      </c>
      <c r="HT34" s="406">
        <f>各项系数!$F$76/4*($MW34^2-$MT34^2)*10^-2*(VLOOKUP(AN34,各项系数!$D$1:$F$143,3,0))*10^-3*10^2*各项系数!$J$4</f>
        <v>0.416494296816376</v>
      </c>
      <c r="HU34" s="389">
        <v>1</v>
      </c>
      <c r="HV34" s="390">
        <f t="shared" si="203"/>
        <v>0.416494296816376</v>
      </c>
      <c r="HW34" s="390">
        <f>HV34*(VLOOKUP(AN34,各项系数!$D$1:$F$143,2,0))</f>
        <v>4.16494296816376</v>
      </c>
      <c r="HX34" s="406">
        <f>各项系数!$F$76/4*($MV34^2-$MS34^2)*10^-2*(VLOOKUP($HX$9,各项系数!$D$1:$F$143,3,0))*10^-3*10^2*各项系数!$J$4</f>
        <v>0.4148033182343</v>
      </c>
      <c r="HY34" s="420">
        <v>1</v>
      </c>
      <c r="HZ34" s="390">
        <f t="shared" si="204"/>
        <v>0.4148033182343</v>
      </c>
      <c r="IA34" s="390">
        <f>HZ34*(VLOOKUP($HX$9,各项系数!$D$1:$F$143,2,0))</f>
        <v>4.5628365005773</v>
      </c>
      <c r="IB34" s="406">
        <f>各项系数!$F$76/4*($MW34^2-$MT34^2)*10^-2*(VLOOKUP($IB$9,各项系数!$D$1:$F$143,3,0))*10^-3*10^2*各项系数!$J$4</f>
        <v>0.416494296816376</v>
      </c>
      <c r="IC34" s="420">
        <v>1</v>
      </c>
      <c r="ID34" s="390">
        <f t="shared" si="205"/>
        <v>0.416494296816376</v>
      </c>
      <c r="IE34" s="390">
        <f>ID34*(VLOOKUP($IB$9,各项系数!$D$1:$F$143,2,0))</f>
        <v>4.58143726498014</v>
      </c>
      <c r="IF34" s="395"/>
      <c r="IG34" s="406">
        <f t="shared" si="148"/>
        <v>0.0456437526835914</v>
      </c>
      <c r="IH34" s="389">
        <v>1</v>
      </c>
      <c r="II34" s="390">
        <f t="shared" si="206"/>
        <v>0.0456437526835914</v>
      </c>
      <c r="IJ34" s="390">
        <f>II34*(VLOOKUP($IG$8,各项系数!$D$1:$F$143,2,0))</f>
        <v>1.14109381708978</v>
      </c>
      <c r="IK34" s="406">
        <f>(各项系数!$F$76/4*($MX34^2-$MK34^2)*$EG34)*10^-2*(VLOOKUP($IG$8,各项系数!$D$1:$F$143,3,0))*10^-3*10^2*各项系数!$J$4</f>
        <v>0.0456437526835914</v>
      </c>
      <c r="IL34" s="389">
        <f>IK34*(VLOOKUP($IG$8,各项系数!$D$1:$F$143,2,0))</f>
        <v>1.14109381708978</v>
      </c>
      <c r="IM34" s="390">
        <f>(各项系数!$F$76/4*(($MM34+3*$X34)^2-MM34^2)*$EO34)*10^-2*(VLOOKUP($IG$8,各项系数!$D$1:$F$143,3,0))*10^-3*10^2*各项系数!$J$4</f>
        <v>0</v>
      </c>
      <c r="IN34" s="389">
        <f>IM34*(VLOOKUP($IG$8,各项系数!$D$1:$F$143,2,0))</f>
        <v>0</v>
      </c>
      <c r="IO34" s="406">
        <f>各项系数!$F$76/4*($MZ34^2-$MX34^2)*10^-2*(VLOOKUP(L34,各项系数!$D$1:$F$143,3,0))*10^-3*10^2*$ES34*各项系数!$J$4</f>
        <v>0.290057988483015</v>
      </c>
      <c r="IP34" s="389">
        <v>1</v>
      </c>
      <c r="IQ34" s="390">
        <f t="shared" si="207"/>
        <v>0.290057988483015</v>
      </c>
      <c r="IR34" s="367">
        <f>IQ34*(VLOOKUP(L34,各项系数!$D$1:$F$143,2,0))</f>
        <v>2.95859148252675</v>
      </c>
      <c r="IS34" s="406">
        <f>IF($L34&lt;&gt;$IS$9,0,各项系数!$F$76/4*($MZ34^2-$MX34^2)*10^-2*各项系数!$F$12*10^-3*10^2)*$ES34*各项系数!$J$4</f>
        <v>0</v>
      </c>
      <c r="IT34" s="396">
        <v>1</v>
      </c>
      <c r="IU34" s="390">
        <f t="shared" si="208"/>
        <v>0</v>
      </c>
      <c r="IV34" s="367">
        <f>IU34*各项系数!$E$12</f>
        <v>0</v>
      </c>
      <c r="IW34" s="388">
        <f t="shared" si="209"/>
        <v>0.290057988483015</v>
      </c>
      <c r="IX34" s="388">
        <f t="shared" si="210"/>
        <v>2.95859148252675</v>
      </c>
      <c r="IY34" s="447">
        <f>各项系数!$F$76/4*($NB34^2-$MZ34^2*$EG34-$NA34^2*$EO34)*10^-2</f>
        <v>0</v>
      </c>
      <c r="IZ34" s="366">
        <f t="shared" si="231"/>
        <v>1</v>
      </c>
      <c r="JA34" s="367">
        <f t="shared" si="64"/>
        <v>0</v>
      </c>
      <c r="JB34" s="364">
        <f>IF($DE34&lt;&gt;$JB$9,0,$JA34*各项系数!$F$32*10^-3*10^2)*各项系数!$J$4</f>
        <v>0</v>
      </c>
      <c r="JC34" s="123">
        <v>1</v>
      </c>
      <c r="JD34" s="251">
        <f t="shared" si="211"/>
        <v>0</v>
      </c>
      <c r="JE34" s="339">
        <f>JD34*各项系数!$E$32</f>
        <v>0</v>
      </c>
      <c r="JF34" s="364">
        <f>IF($DE34&lt;&gt;$JF$9,0,$JA34*VLOOKUP($JF$9,各项系数!$D$4:$F$540,2,0)*10^-3*10^2)*各项系数!$J$4</f>
        <v>0</v>
      </c>
      <c r="JG34" s="123">
        <v>1</v>
      </c>
      <c r="JH34" s="251">
        <f t="shared" si="66"/>
        <v>0</v>
      </c>
      <c r="JI34" s="339">
        <f>JH34*VLOOKUP($JF$9,各项系数!$D$4:$F$540,3,0)</f>
        <v>0</v>
      </c>
      <c r="JJ34" s="364">
        <f t="shared" si="212"/>
        <v>0</v>
      </c>
      <c r="JK34" s="251">
        <f t="shared" si="213"/>
        <v>0</v>
      </c>
      <c r="JL34" s="364">
        <f>IF($DF34&lt;&gt;$JL$9,0,各项系数!$F$76/4*($NE34^2-$NC34^2)*10^-2*各项系数!$F$39*10^-3*10^2)*各项系数!$J$4</f>
        <v>0</v>
      </c>
      <c r="JM34" s="123">
        <v>1</v>
      </c>
      <c r="JN34" s="251">
        <f t="shared" si="214"/>
        <v>0</v>
      </c>
      <c r="JO34" s="339">
        <f>JN34*各项系数!$E$39</f>
        <v>0</v>
      </c>
      <c r="JP34" s="364">
        <f>IF($DF34&lt;&gt;$JP$9,0,各项系数!$F$76/4*($NE34^2-$NC34^2)*10^-2*各项系数!$F$36*10^-3*10^2)*各项系数!$J$4</f>
        <v>0</v>
      </c>
      <c r="JQ34" s="123">
        <v>1</v>
      </c>
      <c r="JR34" s="251">
        <f t="shared" si="215"/>
        <v>0</v>
      </c>
      <c r="JS34" s="339">
        <f>JR34*各项系数!$E$36</f>
        <v>0</v>
      </c>
      <c r="JT34" s="364">
        <f>IF($DF34&lt;&gt;$JT$9,0,各项系数!$F$76/4*($NE34^2-$NC34^2)*10^-2*各项系数!$F$40*10^-3*10^2)*各项系数!$J$4</f>
        <v>0</v>
      </c>
      <c r="JU34" s="123">
        <v>1</v>
      </c>
      <c r="JV34" s="251">
        <f t="shared" si="216"/>
        <v>0</v>
      </c>
      <c r="JW34" s="339">
        <f>JV34*各项系数!$E$40</f>
        <v>0</v>
      </c>
      <c r="JX34" s="364">
        <f>IF($DF34&lt;&gt;$JX$9,0,各项系数!$F$76/4*($NE34^2-$NC34^2)*10^-2*各项系数!$F$38*10^-3*10^2)*各项系数!$J$4</f>
        <v>0</v>
      </c>
      <c r="JY34" s="123">
        <v>1</v>
      </c>
      <c r="JZ34" s="251">
        <f t="shared" si="217"/>
        <v>0</v>
      </c>
      <c r="KA34" s="339">
        <f>JZ34*各项系数!$E$38</f>
        <v>0</v>
      </c>
      <c r="KB34" s="364">
        <f>IF($DF34&lt;&gt;$KB$9,0,各项系数!$F$76/4*($NE34^2-$NC34^2)*10^-2*各项系数!$F$41*10^-3*10^2)*各项系数!$J$4</f>
        <v>0</v>
      </c>
      <c r="KC34" s="123">
        <v>1</v>
      </c>
      <c r="KD34" s="251">
        <f t="shared" si="218"/>
        <v>0</v>
      </c>
      <c r="KE34" s="339">
        <f>KD34*各项系数!$E$41</f>
        <v>0</v>
      </c>
      <c r="KF34" s="251">
        <f t="shared" si="219"/>
        <v>0</v>
      </c>
      <c r="KG34" s="251">
        <f t="shared" si="220"/>
        <v>0</v>
      </c>
      <c r="KH34" s="302">
        <f>各项系数!$F$76/4*($NG34^2-$NE34^2)*10^-2*各项系数!$F$44*10^-3*10^2*各项系数!$J$4*0.75*$U34</f>
        <v>1.05321019275838</v>
      </c>
      <c r="KI34" s="123">
        <v>1</v>
      </c>
      <c r="KJ34" s="251">
        <f t="shared" si="221"/>
        <v>1.05321019275838</v>
      </c>
      <c r="KK34" s="251">
        <f>ROUND(KJ34*各项系数!$E$44,GT34)</f>
        <v>11</v>
      </c>
      <c r="KL34" s="302">
        <f>各项系数!$F$76/4*($NF34^2-$NE34^2)*10^-2*各项系数!$F$46*10^-3*10^2*各项系数!$J$4*PI()/4*R34</f>
        <v>0.0525608711489254</v>
      </c>
      <c r="KM34" s="123">
        <v>1</v>
      </c>
      <c r="KN34" s="251">
        <f t="shared" si="222"/>
        <v>0.0525608711489254</v>
      </c>
      <c r="KO34" s="251">
        <f>KN34*各项系数!$E$46</f>
        <v>3.54785880255246</v>
      </c>
      <c r="KP34" s="302">
        <f>各项系数!$F$76/4*($NH34^2-$NE34^2)*10^-2*(VLOOKUP($KP$9,各项系数!$D$1:$F$143,3,0))*10^-3*10^2*各项系数!$J$4</f>
        <v>0.415414630938623</v>
      </c>
      <c r="KQ34" s="123">
        <v>1</v>
      </c>
      <c r="KR34" s="251">
        <f t="shared" si="150"/>
        <v>0.415414630938623</v>
      </c>
      <c r="KS34" s="251">
        <f>KR34*(VLOOKUP($KP$9,各项系数!$D$1:$F$143,2,0))</f>
        <v>7.06204872595659</v>
      </c>
      <c r="KT34" s="302">
        <f>各项系数!$F$76/4*($NI34^2-$NF34^2)*10^-2*(VLOOKUP($KT$9,各项系数!$D$1:$F$143,3,0))*10^-3*10^2*各项系数!$J$4</f>
        <v>0.417082603009379</v>
      </c>
      <c r="KU34" s="123">
        <v>1</v>
      </c>
      <c r="KV34" s="251">
        <f t="shared" si="151"/>
        <v>0.417082603009379</v>
      </c>
      <c r="KW34" s="251">
        <f>KV34*(VLOOKUP($KT$9,各项系数!$D$1:$F$143,2,0))</f>
        <v>7.09040425115943</v>
      </c>
      <c r="KX34" s="251">
        <f>各项系数!$F$76/4*($NH34^2-$NE34^2)*10^-2*(VLOOKUP($KX$9,各项系数!$D$1:$F$143,3,0))*10^-3*10^2*各项系数!$J$4</f>
        <v>0.415414630938623</v>
      </c>
      <c r="KY34" s="479">
        <v>1</v>
      </c>
      <c r="KZ34" s="251">
        <f t="shared" si="152"/>
        <v>0.415414630938623</v>
      </c>
      <c r="LA34" s="251">
        <f>KZ34*(VLOOKUP($KX$9,各项系数!$D$1:$F$143,2,0))</f>
        <v>7.06204872595659</v>
      </c>
      <c r="LB34" s="251">
        <f>各项系数!$F$76/4*($NI34^2-$NF34^2)*10^-2*(VLOOKUP($LB$9,各项系数!$D$1:$F$143,3,0))*10^-3*10^2*各项系数!$J$4</f>
        <v>0.417082603009379</v>
      </c>
      <c r="LC34" s="479">
        <v>1</v>
      </c>
      <c r="LD34" s="251">
        <f t="shared" si="153"/>
        <v>0.417082603009379</v>
      </c>
      <c r="LE34" s="251">
        <f>LD34*(VLOOKUP($LB$9,各项系数!$D$1:$F$143,2,0))</f>
        <v>7.09040425115943</v>
      </c>
      <c r="LF34" s="302">
        <f>各项系数!$F$76/4*($NH34^2-$NE34^2)*10^-2*(VLOOKUP(AN34,各项系数!$D$1:$F$143,3,0))*10^-3*10^2*各项系数!$J$4</f>
        <v>0.421144487917087</v>
      </c>
      <c r="LG34" s="123">
        <v>1</v>
      </c>
      <c r="LH34" s="251">
        <f t="shared" si="223"/>
        <v>0.421144487917087</v>
      </c>
      <c r="LI34" s="251">
        <f>LH34*(VLOOKUP(AN34,各项系数!$D$1:$F$143,2,0))</f>
        <v>4.21144487917087</v>
      </c>
      <c r="LJ34" s="302">
        <f>各项系数!$F$76/4*($NI34^2-$NF34^2)*10^-2*(VLOOKUP(AN34,各项系数!$D$1:$F$143,3,0))*10^-3*10^2*各项系数!$J$4</f>
        <v>0.422835466499163</v>
      </c>
      <c r="LK34" s="123">
        <v>1</v>
      </c>
      <c r="LL34" s="251">
        <f t="shared" si="224"/>
        <v>0.422835466499163</v>
      </c>
      <c r="LM34" s="251">
        <f>LL34*(VLOOKUP(AN34,各项系数!$D$1:$F$143,2,0))</f>
        <v>4.22835466499163</v>
      </c>
      <c r="LN34" s="251">
        <f>各项系数!$F$76/4*($NH34^2-$NE34^2)*10^-2*(VLOOKUP($LN$9,各项系数!$D$1:$F$143,3,0))*10^-3*10^2*各项系数!$J$4</f>
        <v>0.421144487917087</v>
      </c>
      <c r="LO34" s="479">
        <v>1</v>
      </c>
      <c r="LP34" s="251">
        <f t="shared" si="225"/>
        <v>0.421144487917087</v>
      </c>
      <c r="LQ34" s="251">
        <f>LP34*(VLOOKUP($LN$9,各项系数!$D$1:$F$143,2,0))</f>
        <v>4.63258936708795</v>
      </c>
      <c r="LR34" s="251">
        <f>各项系数!$F$76/4*($NI34^2-$NF34^2)*10^-2*(VLOOKUP($LR$9,各项系数!$D$1:$F$143,3,0))*10^-3*10^2*各项系数!$J$4</f>
        <v>0.422835466499163</v>
      </c>
      <c r="LS34" s="479">
        <v>1</v>
      </c>
      <c r="LT34" s="251">
        <f t="shared" si="226"/>
        <v>0.422835466499163</v>
      </c>
      <c r="LU34" s="251">
        <f>LT34*(VLOOKUP($LR$9,各项系数!$D$1:$F$143,2,0))</f>
        <v>4.65119013149079</v>
      </c>
      <c r="LV34" s="499">
        <f t="shared" si="154"/>
        <v>811.73418288</v>
      </c>
      <c r="LW34" s="499">
        <f t="shared" si="155"/>
        <v>611.30598958</v>
      </c>
      <c r="LX34" s="499">
        <f t="shared" si="156"/>
        <v>27.8987268502833</v>
      </c>
      <c r="LY34" s="515">
        <f t="shared" si="157"/>
        <v>200.4281933</v>
      </c>
      <c r="LZ34" s="516">
        <f t="shared" si="86"/>
        <v>1</v>
      </c>
      <c r="MA34" s="517">
        <f t="shared" si="87"/>
        <v>811.73418288</v>
      </c>
      <c r="MB34" s="517">
        <f t="shared" si="158"/>
        <v>32.14859346</v>
      </c>
      <c r="MC34" s="499">
        <f t="shared" si="159"/>
        <v>0</v>
      </c>
      <c r="MD34" s="499">
        <f t="shared" si="160"/>
        <v>0</v>
      </c>
      <c r="ME34" s="499">
        <f t="shared" si="161"/>
        <v>0</v>
      </c>
      <c r="MF34" s="499">
        <f t="shared" si="162"/>
        <v>0</v>
      </c>
      <c r="MG34" s="516">
        <f t="shared" si="163"/>
        <v>1</v>
      </c>
      <c r="MH34" s="517">
        <f t="shared" si="88"/>
        <v>0</v>
      </c>
      <c r="MI34" s="517">
        <f t="shared" si="164"/>
        <v>0</v>
      </c>
      <c r="MJ34" s="251">
        <f t="shared" si="89"/>
        <v>32.14859346</v>
      </c>
      <c r="MK34" s="251">
        <f t="shared" si="165"/>
        <v>32.14859346</v>
      </c>
      <c r="ML34" s="251">
        <f t="shared" si="227"/>
        <v>0</v>
      </c>
      <c r="MM34" s="251">
        <f t="shared" si="91"/>
        <v>0</v>
      </c>
      <c r="MN34" s="251">
        <f t="shared" si="92"/>
        <v>36.94859346</v>
      </c>
      <c r="MO34" s="251">
        <f t="shared" si="166"/>
        <v>0</v>
      </c>
      <c r="MP34" s="251">
        <f t="shared" si="167"/>
        <v>36.94859346</v>
      </c>
      <c r="MQ34" s="251">
        <f t="shared" si="228"/>
        <v>36.94859346</v>
      </c>
      <c r="MR34" s="314">
        <f t="shared" si="168"/>
        <v>36.94859346</v>
      </c>
      <c r="MS34" s="530">
        <f t="shared" si="94"/>
        <v>36.94859346</v>
      </c>
      <c r="MT34" s="530">
        <f t="shared" si="95"/>
        <v>37.10859346</v>
      </c>
      <c r="MU34" s="530">
        <f t="shared" si="232"/>
        <v>38.44859346</v>
      </c>
      <c r="MV34" s="530">
        <f t="shared" si="97"/>
        <v>41.54859346</v>
      </c>
      <c r="MW34" s="530">
        <f t="shared" si="98"/>
        <v>41.70859346</v>
      </c>
      <c r="MX34" s="326">
        <f t="shared" si="233"/>
        <v>32.74859346</v>
      </c>
      <c r="MY34" s="326">
        <f t="shared" si="100"/>
        <v>0</v>
      </c>
      <c r="MZ34" s="251">
        <f t="shared" si="101"/>
        <v>37.54859346</v>
      </c>
      <c r="NA34" s="251">
        <f t="shared" si="102"/>
        <v>0</v>
      </c>
      <c r="NB34" s="251">
        <f t="shared" si="169"/>
        <v>37.54859346</v>
      </c>
      <c r="NC34" s="326">
        <f t="shared" si="229"/>
        <v>37.54859346</v>
      </c>
      <c r="ND34" s="314">
        <f t="shared" si="234"/>
        <v>37.54859346</v>
      </c>
      <c r="NE34" s="537">
        <f t="shared" si="235"/>
        <v>37.54859346</v>
      </c>
      <c r="NF34" s="530">
        <f t="shared" si="106"/>
        <v>37.70859346</v>
      </c>
      <c r="NG34" s="538">
        <f t="shared" si="236"/>
        <v>39.04859346</v>
      </c>
      <c r="NH34" s="326">
        <f t="shared" si="108"/>
        <v>42.14859346</v>
      </c>
      <c r="NI34" s="530">
        <f t="shared" si="109"/>
        <v>42.30859346</v>
      </c>
      <c r="NK34" s="539">
        <f t="shared" si="110"/>
        <v>6.26946774527646</v>
      </c>
      <c r="NL34" s="539">
        <f t="shared" si="111"/>
        <v>371.86215888512</v>
      </c>
      <c r="NM34" s="539">
        <f t="shared" si="112"/>
        <v>6.26946774527646</v>
      </c>
      <c r="NN34" s="539">
        <f t="shared" si="113"/>
        <v>372.276962203354</v>
      </c>
      <c r="NO34" s="539">
        <f t="shared" si="114"/>
        <v>6.32640406899231</v>
      </c>
      <c r="NP34" s="539">
        <f t="shared" si="115"/>
        <v>373.117168692802</v>
      </c>
      <c r="NQ34" s="539">
        <f t="shared" si="116"/>
        <v>6.32640406899231</v>
      </c>
      <c r="NR34" s="539">
        <f t="shared" si="117"/>
        <v>373.538313180719</v>
      </c>
      <c r="NS34" s="539">
        <f t="shared" si="118"/>
        <v>6.32119051646497</v>
      </c>
      <c r="NT34" s="539">
        <f t="shared" si="119"/>
        <v>6.32119051646497</v>
      </c>
      <c r="NU34" s="539">
        <f t="shared" si="120"/>
        <v>6.37896494014124</v>
      </c>
      <c r="NV34" s="539">
        <f t="shared" si="121"/>
        <v>6.37896494014124</v>
      </c>
      <c r="NW34">
        <f t="shared" si="122"/>
        <v>6.96060788555681</v>
      </c>
      <c r="NX34">
        <f>各项系数!$M$9*NK34</f>
        <v>1.88084032358294</v>
      </c>
      <c r="NY34">
        <f t="shared" si="123"/>
        <v>6.32119051646497</v>
      </c>
      <c r="OB34" s="82" t="str">
        <f t="shared" si="124"/>
        <v>1*630</v>
      </c>
      <c r="OC34" s="546">
        <f t="shared" si="125"/>
        <v>357.206594414564</v>
      </c>
      <c r="OD34" s="546">
        <f>SQRT(4*EY34/PI()/EH34/各项系数!$J$4/各项系数!$F$5*10000000)</f>
        <v>362.525099304928</v>
      </c>
      <c r="OE34" s="547">
        <f t="shared" si="126"/>
        <v>611.305990995376</v>
      </c>
      <c r="OF34" s="547">
        <f t="shared" si="127"/>
        <v>629.645170725237</v>
      </c>
      <c r="OG34" s="82">
        <v>626.3</v>
      </c>
      <c r="OH34" s="548">
        <f t="shared" si="186"/>
        <v>3.3451707252367</v>
      </c>
    </row>
    <row r="35" customHeight="1" spans="1:398">
      <c r="A35" s="66">
        <v>800</v>
      </c>
      <c r="B35" s="67">
        <v>0</v>
      </c>
      <c r="C35" s="68">
        <v>2.6</v>
      </c>
      <c r="D35" s="74" t="s">
        <v>290</v>
      </c>
      <c r="E35" s="79">
        <f t="shared" si="240"/>
        <v>46.57969542</v>
      </c>
      <c r="F35" s="80">
        <v>404.218837505781</v>
      </c>
      <c r="G35" s="74"/>
      <c r="H35" s="23"/>
      <c r="I35" s="78"/>
      <c r="J35" s="23"/>
      <c r="K35" s="23"/>
      <c r="L35" s="118" t="s">
        <v>467</v>
      </c>
      <c r="M35" s="124">
        <f t="shared" si="2"/>
        <v>2.6</v>
      </c>
      <c r="N35" s="124">
        <f t="shared" si="3"/>
        <v>0</v>
      </c>
      <c r="O35" s="23"/>
      <c r="P35" s="120">
        <v>0.1</v>
      </c>
      <c r="Q35" s="165">
        <f t="shared" si="248"/>
        <v>0.1</v>
      </c>
      <c r="R35" s="172">
        <v>0.8</v>
      </c>
      <c r="S35" s="173" t="str">
        <f>各项系数!$D$44</f>
        <v>磁性钢带</v>
      </c>
      <c r="T35" s="78">
        <v>0.5</v>
      </c>
      <c r="U35" s="78">
        <v>2</v>
      </c>
      <c r="V35" s="172"/>
      <c r="W35" s="174">
        <v>2.5</v>
      </c>
      <c r="X35" s="164">
        <f t="shared" si="249"/>
        <v>0.2</v>
      </c>
      <c r="Y35" s="219"/>
      <c r="Z35" s="220"/>
      <c r="AA35" s="217">
        <v>1.03</v>
      </c>
      <c r="AB35" s="186">
        <f>PI()*EJ35*EJ35/4*EH35*(1-H35)*AA35*各项系数!$F$5*各项系数!$J$4*10^-7</f>
        <v>7.13205822938526</v>
      </c>
      <c r="AC35" s="186">
        <f t="shared" si="241"/>
        <v>404.218837505781</v>
      </c>
      <c r="AD35" s="186">
        <f t="shared" si="5"/>
        <v>806.287707308788</v>
      </c>
      <c r="AE35" s="224">
        <f>POWER(4*EU35/PI()/EG35/10^-7/EH35/(1-H35)/各项系数!$F$5/各项系数!$J$4,0.5)</f>
        <v>410.23731504138</v>
      </c>
      <c r="AF35" s="218">
        <v>1</v>
      </c>
      <c r="AG35" s="85">
        <v>0</v>
      </c>
      <c r="AH35" s="85">
        <f t="shared" si="242"/>
        <v>0</v>
      </c>
      <c r="AI35" s="85">
        <f t="shared" si="128"/>
        <v>0</v>
      </c>
      <c r="AJ35" s="85">
        <f>IF(OR(EP35="",EP35=0),0,POWER(4*EW35/PI()/EO35/10^-7/EP35/(1-K35)/各项系数!$F$5/各项系数!$J$4,0.5))</f>
        <v>0</v>
      </c>
      <c r="AK35" s="85" t="str">
        <f t="shared" si="8"/>
        <v>√</v>
      </c>
      <c r="AL35" s="85">
        <f t="shared" si="243"/>
        <v>489.928372546627</v>
      </c>
      <c r="AM35" s="127">
        <f t="shared" si="244"/>
        <v>800</v>
      </c>
      <c r="AN35" s="118" t="s">
        <v>486</v>
      </c>
      <c r="AO35" s="259">
        <f>AP35+各项系数!$M$9*$NK35</f>
        <v>480.321933869242</v>
      </c>
      <c r="AP35" s="259">
        <f>AQ35*(1+$BI35+(VLOOKUP($AM35,$A$12:$B$323,2,0))+各项系数!$J$6+各项系数!$M$5)*(1+$E$2)</f>
        <v>477.925861184299</v>
      </c>
      <c r="AQ35" s="260">
        <f>AR35+各项系数!$L$9*$NK35</f>
        <v>487.679450188061</v>
      </c>
      <c r="AR35" s="260">
        <f>AS35*(1+$BJ35+各项系数!$J$5+各项系数!$L$5)</f>
        <v>485.283377503118</v>
      </c>
      <c r="AS35" s="260">
        <f t="shared" si="129"/>
        <v>475.76801715992</v>
      </c>
      <c r="AT35" s="259">
        <f>AU35+各项系数!$M$9*$NM35</f>
        <v>483.748040499246</v>
      </c>
      <c r="AU35" s="259">
        <f>AV35*(1+$BI35+(VLOOKUP($AM35,$A$12:$B$323,2,0))+各项系数!$J$6+各项系数!$M$5)*(1+$E$2)</f>
        <v>481.351967814303</v>
      </c>
      <c r="AV35" s="260">
        <f>AW35+各项系数!$L$9*$NM35</f>
        <v>491.175477361534</v>
      </c>
      <c r="AW35" s="260">
        <f>AX35*(1+$BJ35+各项系数!$J$5+各项系数!$L$5)</f>
        <v>488.779404676592</v>
      </c>
      <c r="AX35" s="260">
        <f t="shared" si="130"/>
        <v>479.195494780972</v>
      </c>
      <c r="AY35" s="259">
        <f>AZ35+各项系数!$M$9*$NS35</f>
        <v>484.301237655601</v>
      </c>
      <c r="AZ35" s="259">
        <f>BA35*(1+$BI35+(VLOOKUP($AM35,$A$12:$B$214,2,0))+各项系数!$J$6+各项系数!$M$5)*(1+$E$2)</f>
        <v>481.887707476117</v>
      </c>
      <c r="BA35" s="260">
        <f>BB35+各项系数!$L$9*$NS35</f>
        <v>491.722150485834</v>
      </c>
      <c r="BB35" s="260">
        <f>BC35*(1+$BJ35+各项系数!$J$5+各项系数!$L$5)</f>
        <v>489.30862030635</v>
      </c>
      <c r="BC35" s="262">
        <f t="shared" si="131"/>
        <v>479.714333633676</v>
      </c>
      <c r="BD35" s="259">
        <f>BE35+各项系数!$M$9*$NS35</f>
        <v>487.739780330263</v>
      </c>
      <c r="BE35" s="259">
        <f>BF35*(1+$BI35+(VLOOKUP($AM35,$A$12:$B$214,2,0))+各项系数!$J$6+各项系数!$M$5)*(1+$E$2)</f>
        <v>485.32625015078</v>
      </c>
      <c r="BF35" s="260">
        <f>BG35+各项系数!$L$9*$NS35</f>
        <v>495.230867500796</v>
      </c>
      <c r="BG35" s="260">
        <f>BH35*(1+$BJ35+各项系数!$J$5+各项系数!$L$5)</f>
        <v>492.817337321312</v>
      </c>
      <c r="BH35" s="262">
        <f t="shared" si="132"/>
        <v>483.154252275796</v>
      </c>
      <c r="BI35" s="67"/>
      <c r="BJ35" s="272"/>
      <c r="BK35" s="69"/>
      <c r="BL35" s="259">
        <f>BM35+各项系数!$M$9*$NM35</f>
        <v>485.495591391049</v>
      </c>
      <c r="BM35" s="259">
        <f>BN35*(1+$CF35+(VLOOKUP($AM35,$A$12:$B$323,2,0))+各项系数!$J$6+各项系数!$M$5)*(1+$E$2)</f>
        <v>483.099518706106</v>
      </c>
      <c r="BN35" s="260">
        <f>BO35+各项系数!$L$9*$NM35</f>
        <v>492.958692557251</v>
      </c>
      <c r="BO35" s="260">
        <f>BP35*(1+$CG35+各项系数!$J$5+各项系数!$L$5)</f>
        <v>490.562619872309</v>
      </c>
      <c r="BP35" s="260">
        <f t="shared" si="133"/>
        <v>476.274388225543</v>
      </c>
      <c r="BQ35" s="259">
        <f>BR35+各项系数!$M$9*$NM35</f>
        <v>488.444156348099</v>
      </c>
      <c r="BR35" s="259">
        <f>BS35*(1+$CF35+(VLOOKUP($AM35,$A$12:$B$323,2,0))+各项系数!$J$6+各项系数!$M$5)*(1+$E$2)</f>
        <v>486.048083663157</v>
      </c>
      <c r="BS35" s="260">
        <f>BT35+各项系数!$L$9*$NM35</f>
        <v>495.967432309344</v>
      </c>
      <c r="BT35" s="260">
        <f>BU35*(1+$CG35+各项系数!$J$5+各项系数!$L$5)</f>
        <v>493.571359624401</v>
      </c>
      <c r="BU35" s="260">
        <f t="shared" si="134"/>
        <v>479.195494780972</v>
      </c>
      <c r="BV35" s="259">
        <f>BW35+各项系数!$M$9*$NT35</f>
        <v>487.158262935636</v>
      </c>
      <c r="BW35" s="259">
        <f>BX35*(1+$CF35+(VLOOKUP($AM35,$A$12:$B$214,2,0))+各项系数!$J$6+各项系数!$M$5)*(1+$E$2)</f>
        <v>484.744732756152</v>
      </c>
      <c r="BX35" s="260">
        <f>BY35+各项系数!$L$9*$NT$12</f>
        <v>494.637482404237</v>
      </c>
      <c r="BY35" s="260">
        <f>BZ35*(1+$CG35+各项系数!$J$5+各项系数!$L$5)</f>
        <v>494.629219001082</v>
      </c>
      <c r="BZ35" s="262">
        <f t="shared" si="11"/>
        <v>480.222542719497</v>
      </c>
      <c r="CA35" s="259">
        <f>CB35+各项系数!$M$9*$NT35</f>
        <v>490.117530561764</v>
      </c>
      <c r="CB35" s="259">
        <f>CC35*(1+$CF35+(VLOOKUP($AM35,$A$12:$B$214,2,0))+各项系数!$J$6+各项系数!$M$5)*(1+$E$2)</f>
        <v>487.704000382281</v>
      </c>
      <c r="CC35" s="260">
        <f>CD35+各项系数!$L$9*$NT$12</f>
        <v>497.657143247225</v>
      </c>
      <c r="CD35" s="260">
        <f>CE35*(1+$CG35+各项系数!$J$5+各项系数!$L$5)</f>
        <v>497.64887984407</v>
      </c>
      <c r="CE35" s="262">
        <f t="shared" si="135"/>
        <v>483.154252275796</v>
      </c>
      <c r="CF35" s="277">
        <f t="shared" si="136"/>
        <v>0</v>
      </c>
      <c r="CG35" s="277">
        <f t="shared" si="12"/>
        <v>0.01</v>
      </c>
      <c r="CH35" s="127"/>
      <c r="CI35" s="259">
        <f>CJ35+各项系数!$M$9*$NO35</f>
        <v>484.168893592088</v>
      </c>
      <c r="CJ35" s="259">
        <f>CK35*(1+$DC35+(VLOOKUP($AM35,$A$12:$B$323,2,0))+各项系数!$J$6+各项系数!$M$5)*(1+$E$2)+各项系数!$M$9*$NK35</f>
        <v>481.753665301706</v>
      </c>
      <c r="CK35" s="260">
        <f>CL35+各项系数!$L$9*$NO35</f>
        <v>489.14040062935</v>
      </c>
      <c r="CL35" s="260">
        <f>CM35*(1+$DD35+各项系数!$J$5+各项系数!$L$5)</f>
        <v>486.725172338968</v>
      </c>
      <c r="CM35" s="260">
        <f t="shared" si="13"/>
        <v>477.181541508792</v>
      </c>
      <c r="CN35" s="259">
        <f>CO35+各项系数!$M$9*$NO35</f>
        <v>487.526102034973</v>
      </c>
      <c r="CO35" s="259">
        <f>CP35*(1+$DC35+(VLOOKUP($AM35,$A$12:$B$323,2,0))+各项系数!$J$6+各项系数!$M$5)*(1+$E$2)+各项系数!$M$9*$NK35</f>
        <v>485.110873744591</v>
      </c>
      <c r="CP35" s="260">
        <f>CQ35+各项系数!$L$9*$NO35</f>
        <v>492.566123530254</v>
      </c>
      <c r="CQ35" s="260">
        <f>CR35*(1+$DD35+各项系数!$J$5+各项系数!$L$5)</f>
        <v>490.150895239872</v>
      </c>
      <c r="CR35" s="260">
        <f t="shared" si="14"/>
        <v>480.540093372423</v>
      </c>
      <c r="CS35" s="259">
        <f>CT35+各项系数!$M$9*$NU35</f>
        <v>485.80917164351</v>
      </c>
      <c r="CT35" s="259">
        <f t="shared" si="15"/>
        <v>483.376234428598</v>
      </c>
      <c r="CU35" s="260">
        <f>CV35+各项系数!$L$9*$NU35</f>
        <v>493.241055539386</v>
      </c>
      <c r="CV35" s="260">
        <f>CW35*(1+$DD35+各项系数!$J$5+各项系数!$L$5)</f>
        <v>490.808118324475</v>
      </c>
      <c r="CW35" s="262">
        <f t="shared" si="16"/>
        <v>481.184429729877</v>
      </c>
      <c r="CX35" s="259">
        <f>CY35+各项系数!$M$9*$NU35</f>
        <v>489.294349485644</v>
      </c>
      <c r="CY35" s="259">
        <f t="shared" si="17"/>
        <v>486.861412270733</v>
      </c>
      <c r="CZ35" s="260">
        <f>DA35+各项系数!$L$9*$NU35</f>
        <v>496.797359459931</v>
      </c>
      <c r="DA35" s="260">
        <f>DB35*(1+$DD35+各项系数!$J$5+各项系数!$L$5)</f>
        <v>494.36442224502</v>
      </c>
      <c r="DB35" s="262">
        <f t="shared" si="18"/>
        <v>484.671002201</v>
      </c>
      <c r="DC35" s="277">
        <f>BI35+$DC$2</f>
        <v>0</v>
      </c>
      <c r="DD35" s="277">
        <f t="shared" si="19"/>
        <v>0</v>
      </c>
      <c r="DE35" s="95"/>
      <c r="DF35" s="95"/>
      <c r="DG35" s="259">
        <f>DH35+各项系数!$M$9*$NQ35</f>
        <v>489.363361018468</v>
      </c>
      <c r="DH35" s="259">
        <f>DI35*(1+$EA35+(VLOOKUP($AM35,$A$12:$B$323,2,0))+各项系数!$J$6+各项系数!$M$5)*(1+$E$2)+各项系数!$M$9*$NK35</f>
        <v>486.948132728086</v>
      </c>
      <c r="DI35" s="260">
        <f>DJ35+各项系数!$L$9*$NQ35</f>
        <v>494.440877595044</v>
      </c>
      <c r="DJ35" s="260">
        <f>DK35*(1+$EB35+各项系数!$J$5+各项系数!$L$5)</f>
        <v>492.025649304662</v>
      </c>
      <c r="DK35" s="260">
        <f t="shared" si="20"/>
        <v>477.694805150157</v>
      </c>
      <c r="DL35" s="259">
        <f>DM35+各项系数!$M$9*$NQ35</f>
        <v>492.35206098456</v>
      </c>
      <c r="DM35" s="259">
        <f>DN35*(1+$EA35+(VLOOKUP($AM35,$A$12:$B$323,2,0))+各项系数!$J$6+各项系数!$M$5)*(1+$E$2)+各项系数!$M$9*$NK35</f>
        <v>489.936832694178</v>
      </c>
      <c r="DN35" s="260">
        <f>DO35+各项系数!$L$9*$NQ35</f>
        <v>497.490571437995</v>
      </c>
      <c r="DO35" s="260">
        <f>DP35*(1+$EB35+各项系数!$J$5+各项系数!$L$5)</f>
        <v>495.075343147613</v>
      </c>
      <c r="DP35" s="260">
        <f t="shared" si="21"/>
        <v>480.655672958848</v>
      </c>
      <c r="DQ35" s="259">
        <f>DR35+各项系数!$M$9*$NV35</f>
        <v>491.044722672044</v>
      </c>
      <c r="DR35" s="259">
        <f t="shared" si="22"/>
        <v>488.611785457133</v>
      </c>
      <c r="DS35" s="260">
        <f>DT35+各项系数!$L$9*$NV35</f>
        <v>498.583454548095</v>
      </c>
      <c r="DT35" s="260">
        <f>DU35*(1+$EB35+各项系数!$J$5+各项系数!$L$5)</f>
        <v>496.150517333183</v>
      </c>
      <c r="DU35" s="262">
        <f t="shared" si="23"/>
        <v>481.69953139144</v>
      </c>
      <c r="DV35" s="259">
        <f>DW35+各项系数!$M$9*$NV35</f>
        <v>490.400993311984</v>
      </c>
      <c r="DW35" s="259">
        <f t="shared" si="24"/>
        <v>487.968056097072</v>
      </c>
      <c r="DX35" s="260">
        <f>DY35+各项系数!$L$9*$NV35</f>
        <v>497.926587854156</v>
      </c>
      <c r="DY35" s="260">
        <f>DZ35*(1+$EB35+各项系数!$J$5+各项系数!$L$5)</f>
        <v>495.493650639244</v>
      </c>
      <c r="DZ35" s="262">
        <f t="shared" si="25"/>
        <v>481.06179673713</v>
      </c>
      <c r="EA35" s="277">
        <f t="shared" si="230"/>
        <v>0</v>
      </c>
      <c r="EB35" s="277">
        <f t="shared" si="27"/>
        <v>0.01</v>
      </c>
      <c r="EC35" s="302">
        <f t="shared" si="138"/>
        <v>1</v>
      </c>
      <c r="ED35" s="304" t="str">
        <f t="shared" si="180"/>
        <v>1*800</v>
      </c>
      <c r="EE35" s="251">
        <f t="shared" si="239"/>
        <v>800</v>
      </c>
      <c r="EF35" s="95" t="str">
        <f>LOOKUP(EH35,{1,7,10,14,19,24,30,37,48,61},{1,"1+6","2+8","4+10","1+6+12","2+8+14","4+10+16","1+6+12+18","3+9+15+21","1+6+12+18+24"})</f>
        <v>1+6+12+18+24</v>
      </c>
      <c r="EG35" s="250">
        <f t="shared" si="29"/>
        <v>1</v>
      </c>
      <c r="EH35" s="260">
        <f>VLOOKUP(EE35,各项系数!$B$87:$C$110,2,0)</f>
        <v>61</v>
      </c>
      <c r="EI35" s="250">
        <f>IF(EH35=0,0,VLOOKUP(EH35,各项系数!$D$142:$E$195,2,0))*1</f>
        <v>9</v>
      </c>
      <c r="EJ35" s="305">
        <f t="shared" si="141"/>
        <v>404.218837505781</v>
      </c>
      <c r="EK35" s="95">
        <f t="shared" si="245"/>
        <v>0</v>
      </c>
      <c r="EL35" s="251">
        <f t="shared" si="31"/>
        <v>0</v>
      </c>
      <c r="EM35" s="95">
        <f t="shared" si="182"/>
        <v>0</v>
      </c>
      <c r="EN35" s="95">
        <f>IF(EP35=0,0,LOOKUP(EP35,{1,7,10,14,19,24,30,37,48,61},{1,"1+6","2+8","4+10","1+6+12","2+8+14","4+10+16","1+6+12+18","3+9+15+21","1+6+12+18+24"}))</f>
        <v>0</v>
      </c>
      <c r="EO35" s="95">
        <f t="shared" si="246"/>
        <v>0</v>
      </c>
      <c r="EP35" s="95">
        <f>IF(EM35=0,0,IF(EM35&lt;10,1,IF(AND(EM35&gt;=10,EM35&lt;=35),7,LOOKUP(EM35,{50,70,95,120,150,185,240,300},{10,14,19,24,30,37,48,61})*1)))</f>
        <v>0</v>
      </c>
      <c r="EQ35" s="251">
        <f>IF(EP35=0,0,VLOOKUP(EP35,各项系数!$D$142:$E$195,2,0))*1</f>
        <v>0</v>
      </c>
      <c r="ER35" s="95">
        <f t="shared" si="247"/>
        <v>0</v>
      </c>
      <c r="ES35" s="304">
        <f t="shared" si="185"/>
        <v>1</v>
      </c>
      <c r="ET35" s="251">
        <f>VLOOKUP(ES35,各项系数!$D$142:$E$195,2,0)*1</f>
        <v>1</v>
      </c>
      <c r="EU35" s="311">
        <f>((各项系数!$F$76/4*$EJ35^2*$EG35*$EH35*1*10^-7)*(1-$H35)*AA35)*(VLOOKUP($EY$9,各项系数!$D$4:$F$143,3,0))*各项系数!$J$4</f>
        <v>7.13205822938525</v>
      </c>
      <c r="EV35" s="312">
        <f>EU35*(VLOOKUP($EY$9,各项系数!$D$4:$F$143,2,0))</f>
        <v>467.149814024734</v>
      </c>
      <c r="EW35" s="324">
        <f>(IF($EO35=0,0,(各项系数!$F$76/4*$ER35^2*$EO35*$EP35*1*10^-7))*(1-$K35)*$AF35)*(VLOOKUP($EY$9,各项系数!$D$4:$F$143,3,0))*各项系数!$J$4</f>
        <v>0</v>
      </c>
      <c r="EX35" s="325">
        <f>EW35*(VLOOKUP($EY$9,各项系数!$D$4:$F$143,2,0))</f>
        <v>0</v>
      </c>
      <c r="EY35" s="251">
        <f>((各项系数!$F$76/4*$EJ35^2*$EG35*$EH35*1*10^-7)*(1-$H35)*AA35+IF($EO35=0,0,(各项系数!$F$76/4*$ER35^2*$EO35*$EP35*1*10^-7))*(1-$K35)*$AF35)*(VLOOKUP($EY$9,各项系数!$D$4:$F$143,3,0))*各项系数!$J$4</f>
        <v>7.13205822938525</v>
      </c>
      <c r="EZ35" s="123">
        <v>1</v>
      </c>
      <c r="FA35" s="251">
        <f t="shared" si="188"/>
        <v>7.13205822938525</v>
      </c>
      <c r="FB35" s="326">
        <f>FA35*(VLOOKUP($EY$9,各项系数!$D$4:$F$143,2,0))</f>
        <v>467.149814024734</v>
      </c>
      <c r="FC35" s="329"/>
      <c r="FD35" s="302">
        <f>各项系数!$F$76/4*($MN35^2-MK35^2)*10^-2*(VLOOKUP(L35,各项系数!$D$1:$F$143,3,0))*10^-3*10^2*$EG35*各项系数!$J$4</f>
        <v>0.348479654799809</v>
      </c>
      <c r="FE35" s="339">
        <f>FD35*VLOOKUP(L35,各项系数!$D$1:$F$143,2,0)</f>
        <v>3.55449247895806</v>
      </c>
      <c r="FF35" s="250">
        <f>各项系数!$F$76/4*($MO35^2-ML35^2)*10^-2*(VLOOKUP(L35,各项系数!$D$1:$F$143,3,0))*10^-3*10^2*$EO35*各项系数!$J$4</f>
        <v>0</v>
      </c>
      <c r="FG35" s="339">
        <f>FF35*VLOOKUP(L35,各项系数!$D$1:$F$143,2,0)</f>
        <v>0</v>
      </c>
      <c r="FH35" s="302">
        <f t="shared" si="142"/>
        <v>0.348479654799809</v>
      </c>
      <c r="FI35" s="123">
        <v>1</v>
      </c>
      <c r="FJ35" s="251">
        <f t="shared" si="189"/>
        <v>0.348479654799809</v>
      </c>
      <c r="FK35" s="339">
        <f>FJ35*VLOOKUP(L35,各项系数!$D$1:$F$143,2,0)</f>
        <v>3.55449247895806</v>
      </c>
      <c r="FL35" s="304"/>
      <c r="FM35" s="127"/>
      <c r="FN35" s="251"/>
      <c r="FO35" s="339"/>
      <c r="FP35" s="364">
        <f t="shared" si="190"/>
        <v>0.348479654799809</v>
      </c>
      <c r="FQ35" s="364">
        <f t="shared" si="191"/>
        <v>3.55449247895806</v>
      </c>
      <c r="FR35" s="365">
        <f>各项系数!$F$76/4*($MQ35^2-$MN35^2*$EG35-$MO35^2*$EO35)*10^-2</f>
        <v>0</v>
      </c>
      <c r="FS35" s="366">
        <f t="shared" si="143"/>
        <v>1</v>
      </c>
      <c r="FT35" s="367">
        <f t="shared" si="40"/>
        <v>0</v>
      </c>
      <c r="FU35" s="388">
        <f>$FT35*(VLOOKUP($FT$9,各项系数!$D$1:$F$143,3,0))*10^-3*10^2*各项系数!$J$55</f>
        <v>0</v>
      </c>
      <c r="FV35" s="389">
        <v>1</v>
      </c>
      <c r="FW35" s="390">
        <f t="shared" si="192"/>
        <v>0</v>
      </c>
      <c r="FX35" s="367">
        <f>FW35*(VLOOKUP($FT$9,各项系数!$D$1:$F$143,2,0))</f>
        <v>0</v>
      </c>
      <c r="FY35" s="388">
        <f>IF($BK35&lt;&gt;$FY$9,0,各项系数!$F$76/4*($MS35^2-$MQ35^2)*10^-2*(VLOOKUP($FY$9,各项系数!$D$1:$F$143,3,0))*10^-3*10^2)*各项系数!$J$4</f>
        <v>0</v>
      </c>
      <c r="FZ35" s="389">
        <v>1</v>
      </c>
      <c r="GA35" s="390">
        <f t="shared" si="193"/>
        <v>0</v>
      </c>
      <c r="GB35" s="367">
        <f>GA35*(VLOOKUP($FY$9,各项系数!$D$1:$F$143,2,0))</f>
        <v>0</v>
      </c>
      <c r="GC35" s="388">
        <f>IF($BK35&lt;&gt;$GC$9,0,各项系数!$F$76/4*($MS35^2-$MQ35^2)*10^-2*(VLOOKUP($GC$9,各项系数!$D$1:$F$143,3,0))*10^-3*10^2)*各项系数!$J$4</f>
        <v>0</v>
      </c>
      <c r="GD35" s="389">
        <v>1</v>
      </c>
      <c r="GE35" s="390">
        <f t="shared" si="194"/>
        <v>0</v>
      </c>
      <c r="GF35" s="367">
        <f>GE35*(VLOOKUP($GC$9,各项系数!$D$1:$F$143,2,0))</f>
        <v>0</v>
      </c>
      <c r="GG35" s="388">
        <f>IF($BK35&lt;&gt;$GG$9,0,各项系数!$F$76/4*($MS35^2-$MQ35^2)*10^-2*(VLOOKUP($GG$9,各项系数!$D$1:$F$143,3,0))*10^-3*10^2)*各项系数!$J$4</f>
        <v>0</v>
      </c>
      <c r="GH35" s="389">
        <v>1</v>
      </c>
      <c r="GI35" s="390">
        <f t="shared" si="195"/>
        <v>0</v>
      </c>
      <c r="GJ35" s="367">
        <f>GI35*(VLOOKUP($GG$9,各项系数!$D$1:$F$143,2,0))</f>
        <v>0</v>
      </c>
      <c r="GK35" s="388">
        <f>IF($BK35&lt;&gt;$GK$9,0,各项系数!$F$76/4*($MS35^2-$MQ35^2)*10^-2*(VLOOKUP($GK$9,各项系数!$D$1:$F$143,3,0))*10^-3*10^2)*各项系数!$J$4</f>
        <v>0</v>
      </c>
      <c r="GL35" s="389">
        <v>1</v>
      </c>
      <c r="GM35" s="390">
        <f t="shared" si="196"/>
        <v>0</v>
      </c>
      <c r="GN35" s="367">
        <f>GM35*(VLOOKUP($GK$9,各项系数!$D$1:$F$143,2,0))</f>
        <v>0</v>
      </c>
      <c r="GO35" s="390">
        <f t="shared" si="197"/>
        <v>0</v>
      </c>
      <c r="GP35" s="390">
        <f t="shared" si="198"/>
        <v>0</v>
      </c>
      <c r="GQ35" s="406">
        <f>各项系数!$F$76/4*($MU35^2-$MS35^2)*10^-2*(VLOOKUP($S35,各项系数!$D$1:$F$143,3,0))*10^-3*10^2*各项系数!$J$4</f>
        <v>0.776043585330173</v>
      </c>
      <c r="GR35" s="389">
        <v>1</v>
      </c>
      <c r="GS35" s="390">
        <f t="shared" si="199"/>
        <v>0.776043585330173</v>
      </c>
      <c r="GT35" s="390">
        <f t="shared" si="200"/>
        <v>0</v>
      </c>
      <c r="GU35" s="390">
        <f>ROUND($GS35*(VLOOKUP($S35,各项系数!$D$1:$F$143,2,0))+$E$3*GS35,GT35)</f>
        <v>8</v>
      </c>
      <c r="GV35" s="406">
        <f>各项系数!$F$76/4*($MT35^2-$MS35^2)*10^-2*(VLOOKUP($GV$9,各项系数!$D$1:$F$143,3,0))*10^-3*10^2*各项系数!$J$4*PI()/4*R35</f>
        <v>0.0581916484707767</v>
      </c>
      <c r="GW35" s="389">
        <v>1</v>
      </c>
      <c r="GX35" s="390">
        <f t="shared" si="201"/>
        <v>0.0581916484707767</v>
      </c>
      <c r="GY35" s="390">
        <f>$GX35*(VLOOKUP($GV$9,各项系数!$D$1:$F$143,2,0))</f>
        <v>3.92793627177743</v>
      </c>
      <c r="GZ35" s="406">
        <f>各项系数!$F$76/4*($MV35^2-$MS35^2)*10^-2*(VLOOKUP($GZ$9,各项系数!$D$1:$F$143,3,0))*10^-3*10^2*各项系数!$J$4</f>
        <v>0.499481663369426</v>
      </c>
      <c r="HA35" s="389">
        <v>1</v>
      </c>
      <c r="HB35" s="390">
        <f t="shared" si="144"/>
        <v>0.499481663369426</v>
      </c>
      <c r="HC35" s="390">
        <f>HB35*(VLOOKUP($GZ$9,各项系数!$D$1:$F$143,2,0))</f>
        <v>8.49118827728024</v>
      </c>
      <c r="HD35" s="406">
        <f>各项系数!$F$76/4*($MW35^2-$MT35^2)*10^-2*(VLOOKUP($HD$9,各项系数!$D$1:$F$143,3,0))*10^-3*10^2*各项系数!$J$4</f>
        <v>0.501294676489812</v>
      </c>
      <c r="HE35" s="389">
        <v>1</v>
      </c>
      <c r="HF35" s="390">
        <f t="shared" si="145"/>
        <v>0.501294676489812</v>
      </c>
      <c r="HG35" s="390">
        <f>HF35*(VLOOKUP($HD$9,各项系数!$D$1:$F$143,2,0))</f>
        <v>8.52200950032681</v>
      </c>
      <c r="HH35" s="406">
        <f>各项系数!$F$76/4*($MV35^2-$MS35^2)*10^-2*(VLOOKUP($HH$9,各项系数!$D$1:$F$143,3,0))*10^-3*10^2*各项系数!$J$4</f>
        <v>0.499481663369426</v>
      </c>
      <c r="HI35" s="420">
        <v>1</v>
      </c>
      <c r="HJ35" s="390">
        <f t="shared" si="146"/>
        <v>0.499481663369426</v>
      </c>
      <c r="HK35" s="390">
        <f>HJ35*(VLOOKUP($HH$9,各项系数!$D$1:$F$143,2,0))</f>
        <v>8.49118827728024</v>
      </c>
      <c r="HL35" s="406">
        <f>各项系数!$F$76/4*($MW35^2-$MT35^2)*10^-2*(VLOOKUP($HL$9,各项系数!$D$1:$F$143,3,0))*10^-3*10^2*各项系数!$J$4</f>
        <v>0.501294676489812</v>
      </c>
      <c r="HM35" s="420">
        <v>1</v>
      </c>
      <c r="HN35" s="390">
        <f t="shared" si="147"/>
        <v>0.501294676489812</v>
      </c>
      <c r="HO35" s="390">
        <f>HN35*(VLOOKUP($HL$9,各项系数!$D$1:$F$143,2,0))</f>
        <v>8.52200950032681</v>
      </c>
      <c r="HP35" s="406">
        <f>各项系数!$F$76/4*($MV35^2-$MS35^2)*10^-2*(VLOOKUP(AN35,各项系数!$D$1:$F$143,3,0))*10^-3*10^2*各项系数!$J$4</f>
        <v>0.506371065622797</v>
      </c>
      <c r="HQ35" s="389">
        <v>1</v>
      </c>
      <c r="HR35" s="390">
        <f t="shared" si="202"/>
        <v>0.506371065622797</v>
      </c>
      <c r="HS35" s="390">
        <f>HR35*(VLOOKUP(AN35,各项系数!$D$1:$F$143,2,0))</f>
        <v>5.06371065622797</v>
      </c>
      <c r="HT35" s="406">
        <f>各项系数!$F$76/4*($MW35^2-$MT35^2)*10^-2*(VLOOKUP(AN35,各项系数!$D$1:$F$143,3,0))*10^-3*10^2*各项系数!$J$4</f>
        <v>0.508209085820706</v>
      </c>
      <c r="HU35" s="389">
        <v>1</v>
      </c>
      <c r="HV35" s="390">
        <f t="shared" si="203"/>
        <v>0.508209085820706</v>
      </c>
      <c r="HW35" s="390">
        <f>HV35*(VLOOKUP(AN35,各项系数!$D$1:$F$143,2,0))</f>
        <v>5.08209085820706</v>
      </c>
      <c r="HX35" s="406">
        <f>各项系数!$F$76/4*($MV35^2-$MS35^2)*10^-2*(VLOOKUP($HX$9,各项系数!$D$1:$F$143,3,0))*10^-3*10^2*各项系数!$J$4</f>
        <v>0.506371065622797</v>
      </c>
      <c r="HY35" s="420">
        <v>1</v>
      </c>
      <c r="HZ35" s="390">
        <f t="shared" si="204"/>
        <v>0.506371065622797</v>
      </c>
      <c r="IA35" s="390">
        <f>HZ35*(VLOOKUP($HX$9,各项系数!$D$1:$F$143,2,0))</f>
        <v>5.57008172185077</v>
      </c>
      <c r="IB35" s="406">
        <f>各项系数!$F$76/4*($MW35^2-$MT35^2)*10^-2*(VLOOKUP($IB$9,各项系数!$D$1:$F$143,3,0))*10^-3*10^2*各项系数!$J$4</f>
        <v>0.508209085820706</v>
      </c>
      <c r="IC35" s="420">
        <v>1</v>
      </c>
      <c r="ID35" s="390">
        <f t="shared" si="205"/>
        <v>0.508209085820706</v>
      </c>
      <c r="IE35" s="390">
        <f>ID35*(VLOOKUP($IB$9,各项系数!$D$1:$F$143,2,0))</f>
        <v>5.59029994402777</v>
      </c>
      <c r="IF35" s="395"/>
      <c r="IG35" s="406">
        <f t="shared" si="148"/>
        <v>0.051595424261571</v>
      </c>
      <c r="IH35" s="389">
        <v>1</v>
      </c>
      <c r="II35" s="390">
        <f t="shared" si="206"/>
        <v>0.051595424261571</v>
      </c>
      <c r="IJ35" s="390">
        <f>II35*(VLOOKUP($IG$8,各项系数!$D$1:$F$143,2,0))</f>
        <v>1.28988560653928</v>
      </c>
      <c r="IK35" s="406">
        <f>(各项系数!$F$76/4*($MX35^2-$MK35^2)*$EG35)*10^-2*(VLOOKUP($IG$8,各项系数!$D$1:$F$143,3,0))*10^-3*10^2*各项系数!$J$4</f>
        <v>0.051595424261571</v>
      </c>
      <c r="IL35" s="389">
        <f>IK35*(VLOOKUP($IG$8,各项系数!$D$1:$F$143,2,0))</f>
        <v>1.28988560653928</v>
      </c>
      <c r="IM35" s="390">
        <f>(各项系数!$F$76/4*(($MM35+3*$X35)^2-MM35^2)*$EO35)*10^-2*(VLOOKUP($IG$8,各项系数!$D$1:$F$143,3,0))*10^-3*10^2*各项系数!$J$4</f>
        <v>0</v>
      </c>
      <c r="IN35" s="389">
        <f>IM35*(VLOOKUP($IG$8,各项系数!$D$1:$F$143,2,0))</f>
        <v>0</v>
      </c>
      <c r="IO35" s="406">
        <f>各项系数!$F$76/4*($MZ35^2-$MX35^2)*10^-2*(VLOOKUP(L35,各项系数!$D$1:$F$143,3,0))*10^-3*10^2*$ES35*各项系数!$J$4</f>
        <v>0.353843672928401</v>
      </c>
      <c r="IP35" s="389">
        <v>1</v>
      </c>
      <c r="IQ35" s="390">
        <f t="shared" si="207"/>
        <v>0.353843672928401</v>
      </c>
      <c r="IR35" s="367">
        <f>IQ35*(VLOOKUP(L35,各项系数!$D$1:$F$143,2,0))</f>
        <v>3.60920546386969</v>
      </c>
      <c r="IS35" s="406">
        <f>IF($L35&lt;&gt;$IS$9,0,各项系数!$F$76/4*($MZ35^2-$MX35^2)*10^-2*各项系数!$F$12*10^-3*10^2)*$ES35*各项系数!$J$4</f>
        <v>0</v>
      </c>
      <c r="IT35" s="396">
        <v>1</v>
      </c>
      <c r="IU35" s="390">
        <f t="shared" si="208"/>
        <v>0</v>
      </c>
      <c r="IV35" s="367">
        <f>IU35*各项系数!$E$12</f>
        <v>0</v>
      </c>
      <c r="IW35" s="388">
        <f t="shared" si="209"/>
        <v>0.353843672928401</v>
      </c>
      <c r="IX35" s="388">
        <f t="shared" si="210"/>
        <v>3.60920546386969</v>
      </c>
      <c r="IY35" s="447">
        <f>各项系数!$F$76/4*($NB35^2-$MZ35^2*$EG35-$NA35^2*$EO35)*10^-2</f>
        <v>0</v>
      </c>
      <c r="IZ35" s="366">
        <f t="shared" si="231"/>
        <v>1</v>
      </c>
      <c r="JA35" s="367">
        <f t="shared" si="64"/>
        <v>0</v>
      </c>
      <c r="JB35" s="364">
        <f>IF($DE35&lt;&gt;$JB$9,0,$JA35*各项系数!$F$32*10^-3*10^2)*各项系数!$J$4</f>
        <v>0</v>
      </c>
      <c r="JC35" s="123">
        <v>1</v>
      </c>
      <c r="JD35" s="251">
        <f t="shared" si="211"/>
        <v>0</v>
      </c>
      <c r="JE35" s="339">
        <f>JD35*各项系数!$E$32</f>
        <v>0</v>
      </c>
      <c r="JF35" s="364">
        <f>IF($DE35&lt;&gt;$JF$9,0,$JA35*VLOOKUP($JF$9,各项系数!$D$4:$F$540,2,0)*10^-3*10^2)*各项系数!$J$4</f>
        <v>0</v>
      </c>
      <c r="JG35" s="123">
        <v>1</v>
      </c>
      <c r="JH35" s="251">
        <f t="shared" si="66"/>
        <v>0</v>
      </c>
      <c r="JI35" s="339">
        <f>JH35*VLOOKUP($JF$9,各项系数!$D$4:$F$540,3,0)</f>
        <v>0</v>
      </c>
      <c r="JJ35" s="364">
        <f t="shared" si="212"/>
        <v>0</v>
      </c>
      <c r="JK35" s="251">
        <f t="shared" si="213"/>
        <v>0</v>
      </c>
      <c r="JL35" s="364">
        <f>IF($DF35&lt;&gt;$JL$9,0,各项系数!$F$76/4*($NE35^2-$NC35^2)*10^-2*各项系数!$F$39*10^-3*10^2)*各项系数!$J$4</f>
        <v>0</v>
      </c>
      <c r="JM35" s="123">
        <v>1</v>
      </c>
      <c r="JN35" s="251">
        <f t="shared" si="214"/>
        <v>0</v>
      </c>
      <c r="JO35" s="339">
        <f>JN35*各项系数!$E$39</f>
        <v>0</v>
      </c>
      <c r="JP35" s="364">
        <f>IF($DF35&lt;&gt;$JP$9,0,各项系数!$F$76/4*($NE35^2-$NC35^2)*10^-2*各项系数!$F$36*10^-3*10^2)*各项系数!$J$4</f>
        <v>0</v>
      </c>
      <c r="JQ35" s="123">
        <v>1</v>
      </c>
      <c r="JR35" s="251">
        <f t="shared" si="215"/>
        <v>0</v>
      </c>
      <c r="JS35" s="339">
        <f>JR35*各项系数!$E$36</f>
        <v>0</v>
      </c>
      <c r="JT35" s="364">
        <f>IF($DF35&lt;&gt;$JT$9,0,各项系数!$F$76/4*($NE35^2-$NC35^2)*10^-2*各项系数!$F$40*10^-3*10^2)*各项系数!$J$4</f>
        <v>0</v>
      </c>
      <c r="JU35" s="123">
        <v>1</v>
      </c>
      <c r="JV35" s="251">
        <f t="shared" si="216"/>
        <v>0</v>
      </c>
      <c r="JW35" s="339">
        <f>JV35*各项系数!$E$40</f>
        <v>0</v>
      </c>
      <c r="JX35" s="364">
        <f>IF($DF35&lt;&gt;$JX$9,0,各项系数!$F$76/4*($NE35^2-$NC35^2)*10^-2*各项系数!$F$38*10^-3*10^2)*各项系数!$J$4</f>
        <v>0</v>
      </c>
      <c r="JY35" s="123">
        <v>1</v>
      </c>
      <c r="JZ35" s="251">
        <f t="shared" si="217"/>
        <v>0</v>
      </c>
      <c r="KA35" s="339">
        <f>JZ35*各项系数!$E$38</f>
        <v>0</v>
      </c>
      <c r="KB35" s="364">
        <f>IF($DF35&lt;&gt;$KB$9,0,各项系数!$F$76/4*($NE35^2-$NC35^2)*10^-2*各项系数!$F$41*10^-3*10^2)*各项系数!$J$4</f>
        <v>0</v>
      </c>
      <c r="KC35" s="123">
        <v>1</v>
      </c>
      <c r="KD35" s="251">
        <f t="shared" si="218"/>
        <v>0</v>
      </c>
      <c r="KE35" s="339">
        <f>KD35*各项系数!$E$41</f>
        <v>0</v>
      </c>
      <c r="KF35" s="251">
        <f t="shared" si="219"/>
        <v>0</v>
      </c>
      <c r="KG35" s="251">
        <f t="shared" si="220"/>
        <v>0</v>
      </c>
      <c r="KH35" s="302">
        <f>各项系数!$F$76/4*($NG35^2-$NE35^2)*10^-2*各项系数!$F$44*10^-3*10^2*各项系数!$J$4*0.75*$U35</f>
        <v>1.18056536033312</v>
      </c>
      <c r="KI35" s="123">
        <v>1</v>
      </c>
      <c r="KJ35" s="251">
        <f t="shared" si="221"/>
        <v>1.18056536033312</v>
      </c>
      <c r="KK35" s="251">
        <f>ROUND(KJ35*各项系数!$E$44,GT35)</f>
        <v>13</v>
      </c>
      <c r="KL35" s="302">
        <f>各项系数!$F$76/4*($NF35^2-$NE35^2)*10^-2*各项系数!$F$46*10^-3*10^2*各项系数!$J$4*PI()/4*R35</f>
        <v>0.0590297484311942</v>
      </c>
      <c r="KM35" s="123">
        <v>1</v>
      </c>
      <c r="KN35" s="251">
        <f t="shared" si="222"/>
        <v>0.0590297484311942</v>
      </c>
      <c r="KO35" s="251">
        <f>KN35*各项系数!$E$46</f>
        <v>3.98450801910561</v>
      </c>
      <c r="KP35" s="302">
        <f>各项系数!$F$76/4*($NH35^2-$NE35^2)*10^-2*(VLOOKUP($KP$9,各项系数!$D$1:$F$143,3,0))*10^-3*10^2*各项系数!$J$4</f>
        <v>0.506280462570876</v>
      </c>
      <c r="KQ35" s="123">
        <v>1</v>
      </c>
      <c r="KR35" s="251">
        <f t="shared" si="150"/>
        <v>0.506280462570876</v>
      </c>
      <c r="KS35" s="251">
        <f>KR35*(VLOOKUP($KP$9,各项系数!$D$1:$F$143,2,0))</f>
        <v>8.60676786370489</v>
      </c>
      <c r="KT35" s="302">
        <f>各项系数!$F$76/4*($NI35^2-$NF35^2)*10^-2*(VLOOKUP($KT$9,各项系数!$D$1:$F$143,3,0))*10^-3*10^2*各项系数!$J$4</f>
        <v>0.508093475691262</v>
      </c>
      <c r="KU35" s="123">
        <v>1</v>
      </c>
      <c r="KV35" s="251">
        <f t="shared" si="151"/>
        <v>0.508093475691262</v>
      </c>
      <c r="KW35" s="251">
        <f>KV35*(VLOOKUP($KT$9,各项系数!$D$1:$F$143,2,0))</f>
        <v>8.63758908675146</v>
      </c>
      <c r="KX35" s="251">
        <f>各项系数!$F$76/4*($NH35^2-$NE35^2)*10^-2*(VLOOKUP($KX$9,各项系数!$D$1:$F$143,3,0))*10^-3*10^2*各项系数!$J$4</f>
        <v>0.506280462570876</v>
      </c>
      <c r="KY35" s="479">
        <v>1</v>
      </c>
      <c r="KZ35" s="251">
        <f t="shared" si="152"/>
        <v>0.506280462570876</v>
      </c>
      <c r="LA35" s="251">
        <f>KZ35*(VLOOKUP($KX$9,各项系数!$D$1:$F$143,2,0))</f>
        <v>8.60676786370489</v>
      </c>
      <c r="LB35" s="251">
        <f>各项系数!$F$76/4*($NI35^2-$NF35^2)*10^-2*(VLOOKUP($LB$9,各项系数!$D$1:$F$143,3,0))*10^-3*10^2*各项系数!$J$4</f>
        <v>0.508093475691262</v>
      </c>
      <c r="LC35" s="479">
        <v>1</v>
      </c>
      <c r="LD35" s="251">
        <f t="shared" si="153"/>
        <v>0.508093475691262</v>
      </c>
      <c r="LE35" s="251">
        <f>LD35*(VLOOKUP($LB$9,各项系数!$D$1:$F$143,2,0))</f>
        <v>8.63758908675146</v>
      </c>
      <c r="LF35" s="302">
        <f>各项系数!$F$76/4*($NH35^2-$NE35^2)*10^-2*(VLOOKUP(AN35,各项系数!$D$1:$F$143,3,0))*10^-3*10^2*各项系数!$J$4</f>
        <v>0.513263641364957</v>
      </c>
      <c r="LG35" s="123">
        <v>1</v>
      </c>
      <c r="LH35" s="251">
        <f t="shared" si="223"/>
        <v>0.513263641364957</v>
      </c>
      <c r="LI35" s="251">
        <f>LH35*(VLOOKUP(AN35,各项系数!$D$1:$F$143,2,0))</f>
        <v>5.13263641364957</v>
      </c>
      <c r="LJ35" s="302">
        <f>各项系数!$F$76/4*($NI35^2-$NF35^2)*10^-2*(VLOOKUP(AN35,各项系数!$D$1:$F$143,3,0))*10^-3*10^2*各项系数!$J$4</f>
        <v>0.515101661562866</v>
      </c>
      <c r="LK35" s="123">
        <v>1</v>
      </c>
      <c r="LL35" s="251">
        <f t="shared" si="224"/>
        <v>0.515101661562866</v>
      </c>
      <c r="LM35" s="251">
        <f>LL35*(VLOOKUP(AN35,各项系数!$D$1:$F$143,2,0))</f>
        <v>5.15101661562866</v>
      </c>
      <c r="LN35" s="251">
        <f>各项系数!$F$76/4*($NH35^2-$NE35^2)*10^-2*(VLOOKUP($LN$9,各项系数!$D$1:$F$143,3,0))*10^-3*10^2*各项系数!$J$4</f>
        <v>0.513263641364957</v>
      </c>
      <c r="LO35" s="479">
        <v>1</v>
      </c>
      <c r="LP35" s="251">
        <f t="shared" si="225"/>
        <v>0.513263641364957</v>
      </c>
      <c r="LQ35" s="251">
        <f>LP35*(VLOOKUP($LN$9,各项系数!$D$1:$F$143,2,0))</f>
        <v>5.64590005501453</v>
      </c>
      <c r="LR35" s="251">
        <f>各项系数!$F$76/4*($NI35^2-$NF35^2)*10^-2*(VLOOKUP($LR$9,各项系数!$D$1:$F$143,3,0))*10^-3*10^2*各项系数!$J$4</f>
        <v>0.515101661562866</v>
      </c>
      <c r="LS35" s="479">
        <v>1</v>
      </c>
      <c r="LT35" s="251">
        <f t="shared" si="226"/>
        <v>0.515101661562866</v>
      </c>
      <c r="LU35" s="251">
        <f>LT35*(VLOOKUP($LR$9,各项系数!$D$1:$F$143,2,0))</f>
        <v>5.66611827719153</v>
      </c>
      <c r="LV35" s="499">
        <f t="shared" si="154"/>
        <v>1039.46051968</v>
      </c>
      <c r="LW35" s="499">
        <f t="shared" si="155"/>
        <v>782.80360124</v>
      </c>
      <c r="LX35" s="499">
        <f t="shared" si="156"/>
        <v>31.5705004847858</v>
      </c>
      <c r="LY35" s="515">
        <f t="shared" si="157"/>
        <v>256.65691844</v>
      </c>
      <c r="LZ35" s="516">
        <f t="shared" si="86"/>
        <v>1</v>
      </c>
      <c r="MA35" s="517">
        <f t="shared" si="87"/>
        <v>1039.46051968</v>
      </c>
      <c r="MB35" s="517">
        <f t="shared" si="158"/>
        <v>36.37969542</v>
      </c>
      <c r="MC35" s="499">
        <f t="shared" si="159"/>
        <v>0</v>
      </c>
      <c r="MD35" s="499">
        <f t="shared" si="160"/>
        <v>0</v>
      </c>
      <c r="ME35" s="499">
        <f t="shared" si="161"/>
        <v>0</v>
      </c>
      <c r="MF35" s="499">
        <f t="shared" si="162"/>
        <v>0</v>
      </c>
      <c r="MG35" s="516">
        <f t="shared" si="163"/>
        <v>1</v>
      </c>
      <c r="MH35" s="517">
        <f t="shared" si="88"/>
        <v>0</v>
      </c>
      <c r="MI35" s="517">
        <f t="shared" si="164"/>
        <v>0</v>
      </c>
      <c r="MJ35" s="251">
        <f t="shared" si="89"/>
        <v>36.37969542</v>
      </c>
      <c r="MK35" s="251">
        <f t="shared" si="165"/>
        <v>36.37969542</v>
      </c>
      <c r="ML35" s="251">
        <f t="shared" si="227"/>
        <v>0</v>
      </c>
      <c r="MM35" s="251">
        <f t="shared" si="91"/>
        <v>0</v>
      </c>
      <c r="MN35" s="251">
        <f t="shared" si="92"/>
        <v>41.57969542</v>
      </c>
      <c r="MO35" s="251">
        <f t="shared" si="166"/>
        <v>0</v>
      </c>
      <c r="MP35" s="251">
        <f t="shared" si="167"/>
        <v>41.57969542</v>
      </c>
      <c r="MQ35" s="251">
        <f t="shared" si="228"/>
        <v>41.57969542</v>
      </c>
      <c r="MR35" s="314">
        <f t="shared" si="168"/>
        <v>41.57969542</v>
      </c>
      <c r="MS35" s="530">
        <f t="shared" si="94"/>
        <v>41.57969542</v>
      </c>
      <c r="MT35" s="530">
        <f t="shared" si="95"/>
        <v>41.73969542</v>
      </c>
      <c r="MU35" s="530">
        <f t="shared" si="232"/>
        <v>43.07969542</v>
      </c>
      <c r="MV35" s="530">
        <f t="shared" si="97"/>
        <v>46.57969542</v>
      </c>
      <c r="MW35" s="530">
        <f t="shared" si="98"/>
        <v>46.73969542</v>
      </c>
      <c r="MX35" s="326">
        <f t="shared" si="233"/>
        <v>36.97969542</v>
      </c>
      <c r="MY35" s="326">
        <f t="shared" si="100"/>
        <v>0</v>
      </c>
      <c r="MZ35" s="251">
        <f t="shared" si="101"/>
        <v>42.17969542</v>
      </c>
      <c r="NA35" s="251">
        <f t="shared" si="102"/>
        <v>0</v>
      </c>
      <c r="NB35" s="251">
        <f t="shared" si="169"/>
        <v>42.17969542</v>
      </c>
      <c r="NC35" s="326">
        <f t="shared" si="229"/>
        <v>42.17969542</v>
      </c>
      <c r="ND35" s="314">
        <f t="shared" si="234"/>
        <v>42.17969542</v>
      </c>
      <c r="NE35" s="537">
        <f t="shared" si="235"/>
        <v>42.17969542</v>
      </c>
      <c r="NF35" s="530">
        <f t="shared" si="106"/>
        <v>42.33969542</v>
      </c>
      <c r="NG35" s="538">
        <f t="shared" si="236"/>
        <v>43.67969542</v>
      </c>
      <c r="NH35" s="326">
        <f t="shared" si="108"/>
        <v>47.17969542</v>
      </c>
      <c r="NI35" s="530">
        <f t="shared" si="109"/>
        <v>47.33969542</v>
      </c>
      <c r="NK35" s="539">
        <f t="shared" si="110"/>
        <v>7.98690894980786</v>
      </c>
      <c r="NL35" s="539">
        <f t="shared" si="111"/>
        <v>475.76801715992</v>
      </c>
      <c r="NM35" s="539">
        <f t="shared" si="112"/>
        <v>7.98690894980786</v>
      </c>
      <c r="NN35" s="539">
        <f t="shared" si="113"/>
        <v>476.274388225543</v>
      </c>
      <c r="NO35" s="539">
        <f t="shared" si="114"/>
        <v>8.05076096794018</v>
      </c>
      <c r="NP35" s="539">
        <f t="shared" si="115"/>
        <v>477.181541508792</v>
      </c>
      <c r="NQ35" s="539">
        <f t="shared" si="116"/>
        <v>8.05076096794018</v>
      </c>
      <c r="NR35" s="539">
        <f t="shared" si="117"/>
        <v>477.694805150157</v>
      </c>
      <c r="NS35" s="539">
        <f t="shared" si="118"/>
        <v>8.04510059827864</v>
      </c>
      <c r="NT35" s="539">
        <f t="shared" si="119"/>
        <v>8.04510059827864</v>
      </c>
      <c r="NU35" s="539">
        <f t="shared" si="120"/>
        <v>8.10979071637137</v>
      </c>
      <c r="NV35" s="539">
        <f t="shared" si="121"/>
        <v>8.10979071637137</v>
      </c>
      <c r="NW35">
        <f t="shared" si="122"/>
        <v>8.76295253513803</v>
      </c>
      <c r="NX35">
        <f>各项系数!$M$9*NK35</f>
        <v>2.39607268494236</v>
      </c>
      <c r="NY35">
        <f t="shared" si="123"/>
        <v>8.04510059827863</v>
      </c>
      <c r="OB35" s="82" t="str">
        <f t="shared" si="124"/>
        <v>1*800</v>
      </c>
      <c r="OC35" s="546">
        <f t="shared" si="125"/>
        <v>404.218837505781</v>
      </c>
      <c r="OD35" s="546">
        <f>SQRT(4*EY35/PI()/EH35/各项系数!$J$4/各项系数!$F$5*10000000)</f>
        <v>410.23731504138</v>
      </c>
      <c r="OE35" s="547">
        <f t="shared" si="126"/>
        <v>782.803599328921</v>
      </c>
      <c r="OF35" s="547">
        <f t="shared" si="127"/>
        <v>806.287707308788</v>
      </c>
      <c r="OG35" s="82"/>
      <c r="OH35" s="548">
        <f t="shared" si="186"/>
        <v>806.287707308788</v>
      </c>
    </row>
    <row r="36" customHeight="1" spans="1:389">
      <c r="A36" s="81"/>
      <c r="B36" s="82"/>
      <c r="C36" s="83"/>
      <c r="D36" s="69" t="s">
        <v>127</v>
      </c>
      <c r="E36" s="79">
        <f t="shared" si="240"/>
        <v>14.41845147</v>
      </c>
      <c r="F36" s="84">
        <f>$F$20</f>
        <v>131.130294998433</v>
      </c>
      <c r="G36" s="74"/>
      <c r="H36" s="74"/>
      <c r="I36" s="74"/>
      <c r="J36" s="74"/>
      <c r="K36" s="74"/>
      <c r="L36" s="118" t="s">
        <v>467</v>
      </c>
      <c r="M36" s="124">
        <f t="shared" si="2"/>
        <v>0.7</v>
      </c>
      <c r="N36" s="124">
        <f t="shared" si="3"/>
        <v>0</v>
      </c>
      <c r="O36" s="125">
        <v>0.08</v>
      </c>
      <c r="P36" s="120">
        <v>0.1</v>
      </c>
      <c r="Q36" s="162">
        <f t="shared" si="248"/>
        <v>0.1</v>
      </c>
      <c r="R36" s="86">
        <v>0.8</v>
      </c>
      <c r="S36" s="171" t="str">
        <f>各项系数!$D$43</f>
        <v>钢带</v>
      </c>
      <c r="T36" s="69">
        <v>0.2</v>
      </c>
      <c r="U36" s="123">
        <v>2</v>
      </c>
      <c r="V36" s="175"/>
      <c r="W36" s="124">
        <v>1.8</v>
      </c>
      <c r="X36" s="164">
        <f t="shared" si="249"/>
        <v>0.2</v>
      </c>
      <c r="Y36" s="219"/>
      <c r="Z36" s="220"/>
      <c r="AA36" s="217">
        <f>$AA$20</f>
        <v>1.011</v>
      </c>
      <c r="AB36" s="186">
        <f>PI()*EJ36*EJ36/4*EH36*(1-H36)*AA36*各项系数!$F$5*各项系数!$J$4*10^-7</f>
        <v>0.0845415089527171</v>
      </c>
      <c r="AC36" s="186">
        <f t="shared" si="241"/>
        <v>131.130294998433</v>
      </c>
      <c r="AD36" s="186">
        <f t="shared" si="5"/>
        <v>9.55751863397041</v>
      </c>
      <c r="AE36" s="186">
        <f>POWER(4*EU36/PI()/EG36/10^-7/EH36/(1-H36)/各项系数!$F$5/各项系数!$J$4,0.5)</f>
        <v>131.849539109191</v>
      </c>
      <c r="AF36" s="218">
        <v>1</v>
      </c>
      <c r="AG36" s="85">
        <f>IF(EM36=0,0,PI()*ER36*ER36/4*EP36*(1-K36)*(1+AF36)*各项系数!$F$5*各项系数!$J$4*10^-7)</f>
        <v>0</v>
      </c>
      <c r="AH36" s="85">
        <f t="shared" si="242"/>
        <v>0</v>
      </c>
      <c r="AI36" s="85">
        <f t="shared" si="128"/>
        <v>0</v>
      </c>
      <c r="AJ36" s="85">
        <f>IF(OR(EP36="",EP36=0),0,POWER(4*EW36/PI()/EO36/10^-7/EP36/(1-K36)/各项系数!$F$5/各项系数!$J$4,0.5))</f>
        <v>0</v>
      </c>
      <c r="AK36" s="85" t="str">
        <f t="shared" si="8"/>
        <v>√</v>
      </c>
      <c r="AL36" s="85">
        <f t="shared" si="243"/>
        <v>12.8114612136871</v>
      </c>
      <c r="AM36" s="251">
        <f t="shared" si="244"/>
        <v>10</v>
      </c>
      <c r="AN36" s="118" t="s">
        <v>486</v>
      </c>
      <c r="AO36" s="259">
        <f>AP36+各项系数!$M$9*$NK36</f>
        <v>12.5602560918501</v>
      </c>
      <c r="AP36" s="259">
        <f>AQ36*(1+$BI36+(VLOOKUP($AM36,$A$12:$B$323,2,0))+各项系数!$J$6+各项系数!$M$5)*(1+$E$2)</f>
        <v>12.4699769845377</v>
      </c>
      <c r="AQ36" s="260">
        <f>AR36+各项系数!$L$9*$NK36</f>
        <v>12.7244663107528</v>
      </c>
      <c r="AR36" s="260">
        <f>AS36*(1+$BJ36+各项系数!$J$5+各项系数!$L$5)</f>
        <v>12.6341872034404</v>
      </c>
      <c r="AS36" s="260">
        <f t="shared" si="129"/>
        <v>12.3864580425886</v>
      </c>
      <c r="AT36" s="259">
        <f>AU36+各项系数!$M$9*$NM36</f>
        <v>13.2664124088907</v>
      </c>
      <c r="AU36" s="259">
        <f>AV36*(1+$BI36+(VLOOKUP($AM36,$A$12:$B$323,2,0))+各项系数!$J$6+各项系数!$M$5)*(1+$E$2)</f>
        <v>13.1761333015783</v>
      </c>
      <c r="AV36" s="260">
        <f>AW36+各项系数!$L$9*$NM36</f>
        <v>13.4450339812024</v>
      </c>
      <c r="AW36" s="260">
        <f>AX36*(1+$BJ36+各项系数!$J$5+各项系数!$L$5)</f>
        <v>13.35475487389</v>
      </c>
      <c r="AX36" s="260">
        <f t="shared" si="130"/>
        <v>13.0928969351863</v>
      </c>
      <c r="AY36" s="259">
        <f>AZ36+各项系数!$M$9*$NS36</f>
        <v>13.6096902373574</v>
      </c>
      <c r="AZ36" s="259">
        <f>BA36*(1+$BI36+(VLOOKUP($AM36,$A$12:$B$214,2,0))+各项系数!$J$6+各项系数!$M$5)*(1+$E$2)</f>
        <v>13.5148441341722</v>
      </c>
      <c r="BA36" s="260">
        <f>BB36+各项系数!$L$9*$NS36</f>
        <v>13.7906572797676</v>
      </c>
      <c r="BB36" s="260">
        <f>BC36*(1+$BJ36+各项系数!$J$5+各项系数!$L$5)</f>
        <v>13.6958111765824</v>
      </c>
      <c r="BC36" s="262">
        <f t="shared" si="131"/>
        <v>13.4272658593945</v>
      </c>
      <c r="BD36" s="259">
        <f>BE36+各项系数!$M$9*$NS36</f>
        <v>14.3248005065525</v>
      </c>
      <c r="BE36" s="259">
        <f>BF36*(1+$BI36+(VLOOKUP($AM36,$A$12:$B$214,2,0))+各项系数!$J$6+各项系数!$M$5)*(1+$E$2)</f>
        <v>14.2299544033674</v>
      </c>
      <c r="BF36" s="260">
        <f>BG36+各项系数!$L$9*$NS36</f>
        <v>14.5203616360892</v>
      </c>
      <c r="BG36" s="260">
        <f>BH36*(1+$BJ36+各项系数!$J$5+各项系数!$L$5)</f>
        <v>14.425515532904</v>
      </c>
      <c r="BH36" s="262">
        <f t="shared" si="132"/>
        <v>14.1426622871608</v>
      </c>
      <c r="BI36" s="275">
        <v>0</v>
      </c>
      <c r="BJ36" s="272"/>
      <c r="BK36" s="69" t="s">
        <v>514</v>
      </c>
      <c r="BL36" s="259">
        <f>BM36+各项系数!$M$9*$NM36</f>
        <v>12.786992802249</v>
      </c>
      <c r="BM36" s="259">
        <f>BN36*(1+$CF36+(VLOOKUP($AM36,$A$12:$B$323,2,0))+各项系数!$J$6+各项系数!$M$5)*(1+$E$2)</f>
        <v>12.6967136949366</v>
      </c>
      <c r="BN36" s="260">
        <f>BO36+各项系数!$L$9*$NM36</f>
        <v>12.9558303009557</v>
      </c>
      <c r="BO36" s="260">
        <f>BP36*(1+$CG36+各项系数!$J$5+各项系数!$L$5)</f>
        <v>12.8655511936434</v>
      </c>
      <c r="BP36" s="260">
        <f t="shared" si="133"/>
        <v>12.4908264015955</v>
      </c>
      <c r="BQ36" s="259">
        <f>BR36+各项系数!$M$9*$NM36</f>
        <v>13.3947227988555</v>
      </c>
      <c r="BR36" s="259">
        <f>BS36*(1+$CF36+(VLOOKUP($AM36,$A$12:$B$323,2,0))+各项系数!$J$6+各项系数!$M$5)*(1+$E$2)</f>
        <v>13.3044436915431</v>
      </c>
      <c r="BS36" s="260">
        <f>BT36+各项系数!$L$9*$NM36</f>
        <v>13.5759629505542</v>
      </c>
      <c r="BT36" s="260">
        <f>BU36*(1+$CG36+各项系数!$J$5+各项系数!$L$5)</f>
        <v>13.4856838432419</v>
      </c>
      <c r="BU36" s="260">
        <f t="shared" si="134"/>
        <v>13.0928969351863</v>
      </c>
      <c r="BV36" s="259">
        <f>BW36+各项系数!$M$9*$NT36</f>
        <v>13.7631116325946</v>
      </c>
      <c r="BW36" s="259">
        <f>BX36*(1+$CF36+(VLOOKUP($AM36,$A$12:$B$214,2,0))+各项系数!$J$6+各项系数!$M$5)*(1+$E$2)</f>
        <v>13.6682655294095</v>
      </c>
      <c r="BX36" s="260">
        <f>BY36+各项系数!$L$9*$NT$12</f>
        <v>13.9472097238872</v>
      </c>
      <c r="BY36" s="260">
        <f>BZ36*(1+$CG36+各项系数!$J$5+各项系数!$L$5)</f>
        <v>13.9389463207322</v>
      </c>
      <c r="BZ36" s="262">
        <f t="shared" si="11"/>
        <v>13.5329575929439</v>
      </c>
      <c r="CA36" s="259">
        <f>CB36+各项系数!$M$9*$NT36</f>
        <v>14.3785475509371</v>
      </c>
      <c r="CB36" s="259">
        <f>CC36*(1+$CF36+(VLOOKUP($AM36,$A$12:$B$214,2,0))+各项系数!$J$6+各项系数!$M$5)*(1+$E$2)</f>
        <v>14.283701447752</v>
      </c>
      <c r="CC36" s="260">
        <f>CD36+各项系数!$L$9*$NT$12</f>
        <v>14.5752055589306</v>
      </c>
      <c r="CD36" s="260">
        <f>CE36*(1+$CG36+各项系数!$J$5+各项系数!$L$5)</f>
        <v>14.5669421557756</v>
      </c>
      <c r="CE36" s="262">
        <f t="shared" si="135"/>
        <v>14.1426622871608</v>
      </c>
      <c r="CF36" s="275">
        <f>(BI36+$CF$2)-BI36/1.3</f>
        <v>0</v>
      </c>
      <c r="CG36" s="277">
        <f t="shared" si="12"/>
        <v>0.01</v>
      </c>
      <c r="CH36" s="69"/>
      <c r="CI36" s="259">
        <f>CJ36+各项系数!$M$9*$NO36</f>
        <v>13.1026929135484</v>
      </c>
      <c r="CJ36" s="259">
        <f>CK36*(1+$DC36+(VLOOKUP($AM36,$A$12:$B$323,2,0))+各项系数!$J$6+各项系数!$M$5)*(1+$E$2)+各项系数!$M$9*$NK36</f>
        <v>13.0019120292433</v>
      </c>
      <c r="CK36" s="260">
        <f>CL36+各项系数!$L$9*$NO36</f>
        <v>13.1751356346234</v>
      </c>
      <c r="CL36" s="260">
        <f>CM36*(1+$DD36+各项系数!$J$5+各项系数!$L$5)</f>
        <v>13.0743547503182</v>
      </c>
      <c r="CM36" s="260">
        <f t="shared" si="13"/>
        <v>12.8179948532532</v>
      </c>
      <c r="CN36" s="259">
        <f>CO36+各项系数!$M$9*$NO36</f>
        <v>13.7045803724452</v>
      </c>
      <c r="CO36" s="259">
        <f>CP36*(1+$DC36+(VLOOKUP($AM36,$A$12:$B$323,2,0))+各项系数!$J$6+各项系数!$M$5)*(1+$E$2)+各项系数!$M$9*$NK36</f>
        <v>13.6037994881401</v>
      </c>
      <c r="CP36" s="260">
        <f>CQ36+各项系数!$L$9*$NO36</f>
        <v>13.7893065110487</v>
      </c>
      <c r="CQ36" s="260">
        <f>CR36*(1+$DD36+各项系数!$J$5+各项系数!$L$5)</f>
        <v>13.6885256267436</v>
      </c>
      <c r="CR36" s="260">
        <f t="shared" si="14"/>
        <v>13.4201231634741</v>
      </c>
      <c r="CS36" s="259">
        <f>CT36+各项系数!$M$9*$NU36</f>
        <v>14.1817555644275</v>
      </c>
      <c r="CT36" s="259">
        <f t="shared" si="15"/>
        <v>14.0758792007876</v>
      </c>
      <c r="CU36" s="260">
        <f>CV36+各项系数!$L$9*$NU36</f>
        <v>14.36314204162</v>
      </c>
      <c r="CV36" s="260">
        <f>CW36*(1+$DD36+各项系数!$J$5+各项系数!$L$5)</f>
        <v>14.2572656779801</v>
      </c>
      <c r="CW36" s="262">
        <f t="shared" si="16"/>
        <v>13.9777114490001</v>
      </c>
      <c r="CX36" s="259">
        <f>CY36+各项系数!$M$9*$NU36</f>
        <v>14.9674423736587</v>
      </c>
      <c r="CY36" s="259">
        <f t="shared" si="17"/>
        <v>14.8615660100188</v>
      </c>
      <c r="CZ36" s="260">
        <f>DA36+各项系数!$L$9*$NU36</f>
        <v>15.1648632755294</v>
      </c>
      <c r="DA36" s="260">
        <f>DB36*(1+$DD36+各项系数!$J$5+各项系数!$L$5)</f>
        <v>15.0589869118895</v>
      </c>
      <c r="DB36" s="262">
        <f t="shared" si="18"/>
        <v>14.7637126587152</v>
      </c>
      <c r="DC36" s="275">
        <f>(BI36+$DC$2)-BI36/1.3</f>
        <v>0</v>
      </c>
      <c r="DD36" s="277">
        <f t="shared" si="19"/>
        <v>0</v>
      </c>
      <c r="DE36" s="69" t="s">
        <v>498</v>
      </c>
      <c r="DF36" s="69" t="s">
        <v>513</v>
      </c>
      <c r="DG36" s="259">
        <f>DH36+各项系数!$M$9*$NQ36</f>
        <v>13.3441877948769</v>
      </c>
      <c r="DH36" s="259">
        <f>DI36*(1+$EA36+(VLOOKUP($AM36,$A$12:$B$323,2,0))+各项系数!$J$6+各项系数!$M$5)*(1+$E$2)+各项系数!$M$9*$NK36</f>
        <v>13.2434069105718</v>
      </c>
      <c r="DI36" s="260">
        <f>DJ36+各项系数!$L$9*$NQ36</f>
        <v>13.4215589829178</v>
      </c>
      <c r="DJ36" s="260">
        <f>DK36*(1+$EB36+各项系数!$J$5+各项系数!$L$5)</f>
        <v>13.3207780986127</v>
      </c>
      <c r="DK36" s="260">
        <f t="shared" si="20"/>
        <v>12.9327942704977</v>
      </c>
      <c r="DL36" s="259">
        <f>DM36+各项系数!$M$9*$NQ36</f>
        <v>14.0126571481975</v>
      </c>
      <c r="DM36" s="259">
        <f>DN36*(1+$EA36+(VLOOKUP($AM36,$A$12:$B$323,2,0))+各项系数!$J$6+各项系数!$M$5)*(1+$E$2)+各项系数!$M$9*$NK36</f>
        <v>13.9118762638924</v>
      </c>
      <c r="DN36" s="260">
        <f>DO36+各项系数!$L$9*$NQ36</f>
        <v>14.1036705679388</v>
      </c>
      <c r="DO36" s="260">
        <f>DP36*(1+$EB36+各项系数!$J$5+各项系数!$L$5)</f>
        <v>14.0028896836337</v>
      </c>
      <c r="DP36" s="260">
        <f t="shared" si="21"/>
        <v>13.5950385277997</v>
      </c>
      <c r="DQ36" s="259">
        <f>DR36+各项系数!$M$9*$NV36</f>
        <v>14.4359514826576</v>
      </c>
      <c r="DR36" s="259">
        <f t="shared" si="22"/>
        <v>14.3300751190177</v>
      </c>
      <c r="DS36" s="260">
        <f>DT36+各项系数!$L$9*$NV36</f>
        <v>14.6225256316507</v>
      </c>
      <c r="DT36" s="260">
        <f>DU36*(1+$EB36+各项系数!$J$5+各项系数!$L$5)</f>
        <v>14.5166492680108</v>
      </c>
      <c r="DU36" s="262">
        <f t="shared" si="23"/>
        <v>14.0938342407872</v>
      </c>
      <c r="DV36" s="259">
        <f>DW36+各项系数!$M$9*$NV36</f>
        <v>14.8527187958898</v>
      </c>
      <c r="DW36" s="259">
        <f t="shared" si="24"/>
        <v>14.74684243225</v>
      </c>
      <c r="DX36" s="260">
        <f>DY36+各项系数!$L$9*$NV36</f>
        <v>15.0477984002551</v>
      </c>
      <c r="DY36" s="260">
        <f>DZ36*(1+$EB36+各项系数!$J$5+各项系数!$L$5)</f>
        <v>14.9419220366152</v>
      </c>
      <c r="DZ36" s="262">
        <f t="shared" si="25"/>
        <v>14.5067204238982</v>
      </c>
      <c r="EA36" s="275">
        <f>(BI36+$EA$2)-BI36/1.3</f>
        <v>0</v>
      </c>
      <c r="EB36" s="277">
        <f t="shared" si="27"/>
        <v>0.01</v>
      </c>
      <c r="EC36" s="302">
        <f t="shared" si="138"/>
        <v>2</v>
      </c>
      <c r="ED36" s="302" t="str">
        <f t="shared" si="180"/>
        <v>2*10</v>
      </c>
      <c r="EE36" s="251">
        <f t="shared" si="239"/>
        <v>10</v>
      </c>
      <c r="EF36" s="251" t="str">
        <f>LOOKUP(EH36,{1,7,10,14,19,24,30,37,48,61},{1,"1+6","2+8","4+10","1+6+12","2+8+14","4+10+16","1+6+12+18","3+9+15+21","1+6+12+18+24"})</f>
        <v>1+6</v>
      </c>
      <c r="EG36" s="250">
        <f t="shared" si="29"/>
        <v>2</v>
      </c>
      <c r="EH36" s="260">
        <f>VLOOKUP(EE36,各项系数!$B$87:$C$110,2,0)</f>
        <v>7</v>
      </c>
      <c r="EI36" s="250">
        <f>IF(EH36=0,0,VLOOKUP(EH36,各项系数!$D$142:$E$195,2,0))*1</f>
        <v>3</v>
      </c>
      <c r="EJ36" s="305">
        <f t="shared" si="141"/>
        <v>131.130294998433</v>
      </c>
      <c r="EK36" s="251">
        <f t="shared" si="245"/>
        <v>0</v>
      </c>
      <c r="EL36" s="251">
        <f t="shared" si="31"/>
        <v>0</v>
      </c>
      <c r="EM36" s="251">
        <f t="shared" si="182"/>
        <v>0</v>
      </c>
      <c r="EN36" s="251">
        <f>IF(EP36=0,0,LOOKUP(EP36,{1,7,10,14,19,24,30,37,48,61},{1,"1+6","2+8","4+10","1+6+12","2+8+14","4+10+16","1+6+12+18","3+9+15+21","1+6+12+18+24"}))</f>
        <v>0</v>
      </c>
      <c r="EO36" s="251">
        <f t="shared" si="246"/>
        <v>0</v>
      </c>
      <c r="EP36" s="251">
        <f>IF(EM36=0,0,IF(EM36&lt;10,1,IF(AND(EM36&gt;=10,EM36&lt;=35),7,LOOKUP(EM36,{50,70,95,120,150,185,240,300},{10,14,19,24,30,37,48,61})*1)))</f>
        <v>0</v>
      </c>
      <c r="EQ36" s="251">
        <f>IF(EP36=0,0,VLOOKUP(EP36,各项系数!$D$142:$E$195,2,0))*1</f>
        <v>0</v>
      </c>
      <c r="ER36" s="251">
        <f t="shared" si="247"/>
        <v>0</v>
      </c>
      <c r="ES36" s="302">
        <f t="shared" ref="ES36:ES61" si="250">EO36+EG36</f>
        <v>2</v>
      </c>
      <c r="ET36" s="251">
        <f>VLOOKUP(ES36,各项系数!$D$142:$E$195,2,0)*1</f>
        <v>2</v>
      </c>
      <c r="EU36" s="311">
        <f>((各项系数!$F$76/4*$EJ36^2*$EG36*$EH36*1*10^-7)*(1-$H36)*AA36)*(VLOOKUP($EY$9,各项系数!$D$4:$F$143,3,0))*各项系数!$J$4</f>
        <v>0.169083017905434</v>
      </c>
      <c r="EV36" s="312">
        <f>EU36*(VLOOKUP($EY$9,各项系数!$D$4:$F$143,2,0))</f>
        <v>11.0749376728059</v>
      </c>
      <c r="EW36" s="324">
        <f>(IF($EO36=0,0,(各项系数!$F$76/4*$ER36^2*$EO36*$EP36*1*10^-7))*(1-$K36)*$AF36)*(VLOOKUP($EY$9,各项系数!$D$4:$F$143,3,0))*各项系数!$J$4</f>
        <v>0</v>
      </c>
      <c r="EX36" s="325">
        <f>EW36*(VLOOKUP($EY$9,各项系数!$D$4:$F$143,2,0))</f>
        <v>0</v>
      </c>
      <c r="EY36" s="251">
        <f>((各项系数!$F$76/4*$EJ36^2*$EG36*$EH36*1*10^-7)*(1-$H36)*AA36+IF($EO36=0,0,(各项系数!$F$76/4*$ER36^2*$EO36*$EP36*1*10^-7))*(1-$K36)*$AF36)*(VLOOKUP($EY$9,各项系数!$D$4:$F$143,3,0))*各项系数!$J$4</f>
        <v>0.169083017905434</v>
      </c>
      <c r="EZ36" s="123">
        <v>1</v>
      </c>
      <c r="FA36" s="251">
        <f t="shared" si="188"/>
        <v>0.169083017905434</v>
      </c>
      <c r="FB36" s="326">
        <f>FA36*(VLOOKUP($EY$9,各项系数!$D$4:$F$143,2,0))</f>
        <v>11.0749376728059</v>
      </c>
      <c r="FC36" s="327"/>
      <c r="FD36" s="302">
        <f>各项系数!$F$76/4*($MN36^2-MK36^2)*10^-2*(VLOOKUP(L36,各项系数!$D$1:$F$143,3,0))*10^-3*10^2*$EG36*各项系数!$J$4</f>
        <v>0.0223069996850653</v>
      </c>
      <c r="FE36" s="339">
        <f>FD36*VLOOKUP(L36,各项系数!$D$1:$F$143,2,0)</f>
        <v>0.227531396787666</v>
      </c>
      <c r="FF36" s="250">
        <f>各项系数!$F$76/4*($MO36^2-ML36^2)*10^-2*(VLOOKUP(L36,各项系数!$D$1:$F$143,3,0))*10^-3*10^2*$EO36*各项系数!$J$4</f>
        <v>0</v>
      </c>
      <c r="FG36" s="339">
        <f>FF36*VLOOKUP(L36,各项系数!$D$1:$F$143,2,0)</f>
        <v>0</v>
      </c>
      <c r="FH36" s="302">
        <f t="shared" si="142"/>
        <v>0.0223069996850653</v>
      </c>
      <c r="FI36" s="123">
        <v>1</v>
      </c>
      <c r="FJ36" s="251">
        <f t="shared" si="189"/>
        <v>0.0223069996850653</v>
      </c>
      <c r="FK36" s="339">
        <f>FJ36*VLOOKUP(L36,各项系数!$D$1:$F$143,2,0)</f>
        <v>0.227531396787666</v>
      </c>
      <c r="FL36" s="302"/>
      <c r="FM36" s="69"/>
      <c r="FN36" s="251"/>
      <c r="FO36" s="339"/>
      <c r="FP36" s="364">
        <f t="shared" si="190"/>
        <v>0.0223069996850653</v>
      </c>
      <c r="FQ36" s="364">
        <f t="shared" si="191"/>
        <v>0.227531396787666</v>
      </c>
      <c r="FR36" s="365">
        <f>各项系数!$F$76/4*($MQ36^2-$MN36^2*$EG36-$MO36^2*$EO36)*10^-2</f>
        <v>0.446900722456372</v>
      </c>
      <c r="FS36" s="366">
        <f t="shared" si="143"/>
        <v>0.05</v>
      </c>
      <c r="FT36" s="367">
        <f t="shared" si="40"/>
        <v>0.0223450361228186</v>
      </c>
      <c r="FU36" s="388">
        <f>$FT36*(VLOOKUP($FT$9,各项系数!$D$1:$F$143,3,0))*10^-3*10^2*各项系数!$J$55</f>
        <v>0.00266799731306454</v>
      </c>
      <c r="FV36" s="389">
        <v>1</v>
      </c>
      <c r="FW36" s="390">
        <f t="shared" si="192"/>
        <v>0.00266799731306454</v>
      </c>
      <c r="FX36" s="367">
        <f>FW36*(VLOOKUP($FT$9,各项系数!$D$1:$F$143,2,0))</f>
        <v>0.00800399193919362</v>
      </c>
      <c r="FY36" s="388">
        <f>IF($BK36&lt;&gt;$FY$9,0,各项系数!$F$76/4*($MS36^2-$MQ36^2)*10^-2*(VLOOKUP($FY$9,各项系数!$D$1:$F$143,3,0))*10^-3*10^2)*各项系数!$J$4</f>
        <v>0</v>
      </c>
      <c r="FZ36" s="389">
        <v>1</v>
      </c>
      <c r="GA36" s="390">
        <f t="shared" si="193"/>
        <v>0</v>
      </c>
      <c r="GB36" s="367">
        <f>GA36*(VLOOKUP($FY$9,各项系数!$D$1:$F$143,2,0))</f>
        <v>0</v>
      </c>
      <c r="GC36" s="388">
        <f>IF($BK36&lt;&gt;$GC$9,0,各项系数!$F$76/4*($MS36^2-$MQ36^2)*10^-2*(VLOOKUP($GC$9,各项系数!$D$1:$F$143,3,0))*10^-3*10^2)*各项系数!$J$4</f>
        <v>0.00250398379743753</v>
      </c>
      <c r="GD36" s="389">
        <v>1</v>
      </c>
      <c r="GE36" s="390">
        <f t="shared" si="194"/>
        <v>0.00250398379743753</v>
      </c>
      <c r="GF36" s="367">
        <f>GE36*(VLOOKUP($GC$9,各项系数!$D$1:$F$143,2,0))</f>
        <v>0.0323013909869442</v>
      </c>
      <c r="GG36" s="388">
        <f>IF($BK36&lt;&gt;$GG$9,0,各项系数!$F$76/4*($MS36^2-$MQ36^2)*10^-2*(VLOOKUP($GG$9,各项系数!$D$1:$F$143,3,0))*10^-3*10^2)*各项系数!$J$4</f>
        <v>0</v>
      </c>
      <c r="GH36" s="389">
        <v>1</v>
      </c>
      <c r="GI36" s="390">
        <f t="shared" si="195"/>
        <v>0</v>
      </c>
      <c r="GJ36" s="367">
        <f>GI36*(VLOOKUP($GG$9,各项系数!$D$1:$F$143,2,0))</f>
        <v>0</v>
      </c>
      <c r="GK36" s="388">
        <f>IF($BK36&lt;&gt;$GK$9,0,各项系数!$F$76/4*($MS36^2-$MQ36^2)*10^-2*(VLOOKUP($GK$9,各项系数!$D$1:$F$143,3,0))*10^-3*10^2)*各项系数!$J$4</f>
        <v>0</v>
      </c>
      <c r="GL36" s="389">
        <v>1</v>
      </c>
      <c r="GM36" s="390">
        <f t="shared" si="196"/>
        <v>0</v>
      </c>
      <c r="GN36" s="367">
        <f>GM36*(VLOOKUP($GK$9,各项系数!$D$1:$F$143,2,0))</f>
        <v>0</v>
      </c>
      <c r="GO36" s="390">
        <f t="shared" si="197"/>
        <v>0.00250398379743753</v>
      </c>
      <c r="GP36" s="390">
        <f t="shared" si="198"/>
        <v>0.0323013909869442</v>
      </c>
      <c r="GQ36" s="406">
        <f>各项系数!$F$76/4*($MU36^2-$MS36^2)*10^-2*(VLOOKUP($S36,各项系数!$D$1:$F$143,3,0))*10^-3*10^2*各项系数!$J$4</f>
        <v>0.0815352235019538</v>
      </c>
      <c r="GR36" s="389">
        <v>1</v>
      </c>
      <c r="GS36" s="390">
        <f t="shared" si="199"/>
        <v>0.0815352235019538</v>
      </c>
      <c r="GT36" s="390">
        <f t="shared" si="200"/>
        <v>0</v>
      </c>
      <c r="GU36" s="390">
        <f>ROUNDUP($GS36*(VLOOKUP($S36,各项系数!$D$1:$F$143,2,0))+$E$3*GS36,GT36)</f>
        <v>1</v>
      </c>
      <c r="GV36" s="406">
        <f>各项系数!$F$76/4*($MT36^2-$MS36^2)*10^-2*(VLOOKUP($GV$9,各项系数!$D$1:$F$143,3,0))*10^-3*10^2*各项系数!$J$4*PI()/4*R36</f>
        <v>0.0152233195760142</v>
      </c>
      <c r="GW36" s="389">
        <v>1</v>
      </c>
      <c r="GX36" s="390">
        <f t="shared" si="201"/>
        <v>0.0152233195760142</v>
      </c>
      <c r="GY36" s="390">
        <f>$GX36*(VLOOKUP($GV$9,各项系数!$D$1:$F$143,2,0))</f>
        <v>1.02757407138096</v>
      </c>
      <c r="GZ36" s="406">
        <f>各项系数!$F$76/4*($MV36^2-$MS36^2)*10^-2*(VLOOKUP($GZ$9,各项系数!$D$1:$F$143,3,0))*10^-3*10^2*各项系数!$J$4</f>
        <v>0.102948381333326</v>
      </c>
      <c r="HA36" s="389">
        <v>1</v>
      </c>
      <c r="HB36" s="390">
        <f t="shared" si="144"/>
        <v>0.102948381333326</v>
      </c>
      <c r="HC36" s="390">
        <f>HB36*(VLOOKUP($GZ$9,各项系数!$D$1:$F$143,2,0))</f>
        <v>1.75012248266654</v>
      </c>
      <c r="HD36" s="406">
        <f>各项系数!$F$76/4*($MW36^2-$MT36^2)*10^-2*(VLOOKUP($HD$9,各项系数!$D$1:$F$143,3,0))*10^-3*10^2*各项系数!$J$4</f>
        <v>0.104253750780004</v>
      </c>
      <c r="HE36" s="389">
        <v>1</v>
      </c>
      <c r="HF36" s="390">
        <f t="shared" si="145"/>
        <v>0.104253750780004</v>
      </c>
      <c r="HG36" s="390">
        <f>HF36*(VLOOKUP($HD$9,各项系数!$D$1:$F$143,2,0))</f>
        <v>1.77231376326007</v>
      </c>
      <c r="HH36" s="406">
        <f>各项系数!$F$76/4*($MV36^2-$MS36^2)*10^-2*(VLOOKUP($HH$9,各项系数!$D$1:$F$143,3,0))*10^-3*10^2*各项系数!$J$4</f>
        <v>0.102948381333326</v>
      </c>
      <c r="HI36" s="420">
        <v>1</v>
      </c>
      <c r="HJ36" s="390">
        <f t="shared" si="146"/>
        <v>0.102948381333326</v>
      </c>
      <c r="HK36" s="390">
        <f>HJ36*(VLOOKUP($HH$9,各项系数!$D$1:$F$143,2,0))</f>
        <v>1.75012248266654</v>
      </c>
      <c r="HL36" s="406">
        <f>各项系数!$F$76/4*($MW36^2-$MT36^2)*10^-2*(VLOOKUP($HL$9,各项系数!$D$1:$F$143,3,0))*10^-3*10^2*各项系数!$J$4</f>
        <v>0.104253750780004</v>
      </c>
      <c r="HM36" s="420">
        <v>1</v>
      </c>
      <c r="HN36" s="390">
        <f t="shared" si="147"/>
        <v>0.104253750780004</v>
      </c>
      <c r="HO36" s="390">
        <f>HN36*(VLOOKUP($HL$9,各项系数!$D$1:$F$143,2,0))</f>
        <v>1.77231376326007</v>
      </c>
      <c r="HP36" s="406">
        <f>各项系数!$F$76/4*($MV36^2-$MS36^2)*10^-2*(VLOOKUP(AN36,各项系数!$D$1:$F$143,3,0))*10^-3*10^2*各项系数!$J$4</f>
        <v>0.104368359006889</v>
      </c>
      <c r="HQ36" s="389">
        <v>1</v>
      </c>
      <c r="HR36" s="390">
        <f t="shared" si="202"/>
        <v>0.104368359006889</v>
      </c>
      <c r="HS36" s="390">
        <f>HR36*(VLOOKUP(AN36,各项系数!$D$1:$F$143,2,0))</f>
        <v>1.04368359006889</v>
      </c>
      <c r="HT36" s="406">
        <f>各项系数!$F$76/4*($MW36^2-$MT36^2)*10^-2*(VLOOKUP(AN36,各项系数!$D$1:$F$143,3,0))*10^-3*10^2*各项系数!$J$4</f>
        <v>0.105691733549384</v>
      </c>
      <c r="HU36" s="389">
        <v>1</v>
      </c>
      <c r="HV36" s="390">
        <f t="shared" si="203"/>
        <v>0.105691733549384</v>
      </c>
      <c r="HW36" s="390">
        <f>HV36*(VLOOKUP(AN36,各项系数!$D$1:$F$143,2,0))</f>
        <v>1.05691733549384</v>
      </c>
      <c r="HX36" s="406">
        <f>各项系数!$F$76/4*($MV36^2-$MS36^2)*10^-2*(VLOOKUP($HX$9,各项系数!$D$1:$F$143,3,0))*10^-3*10^2*各项系数!$J$4</f>
        <v>0.104368359006889</v>
      </c>
      <c r="HY36" s="420">
        <v>1</v>
      </c>
      <c r="HZ36" s="390">
        <f t="shared" si="204"/>
        <v>0.104368359006889</v>
      </c>
      <c r="IA36" s="390">
        <f>HZ36*(VLOOKUP($HX$9,各项系数!$D$1:$F$143,2,0))</f>
        <v>1.14805194907578</v>
      </c>
      <c r="IB36" s="406">
        <f>各项系数!$F$76/4*($MW36^2-$MT36^2)*10^-2*(VLOOKUP($IB$9,各项系数!$D$1:$F$143,3,0))*10^-3*10^2*各项系数!$J$4</f>
        <v>0.105691733549384</v>
      </c>
      <c r="IC36" s="420">
        <v>1</v>
      </c>
      <c r="ID36" s="390">
        <f t="shared" si="205"/>
        <v>0.105691733549384</v>
      </c>
      <c r="IE36" s="390">
        <f>ID36*(VLOOKUP($IB$9,各项系数!$D$1:$F$143,2,0))</f>
        <v>1.16260906904322</v>
      </c>
      <c r="IF36" s="429"/>
      <c r="IG36" s="406">
        <f t="shared" si="148"/>
        <v>0.0119112397689898</v>
      </c>
      <c r="IH36" s="389">
        <v>1</v>
      </c>
      <c r="II36" s="390">
        <f t="shared" si="206"/>
        <v>0.0119112397689898</v>
      </c>
      <c r="IJ36" s="390">
        <f>II36*(VLOOKUP($IG$8,各项系数!$D$1:$F$143,2,0))</f>
        <v>0.297780994224746</v>
      </c>
      <c r="IK36" s="406">
        <f>(各项系数!$F$76/4*($MX36^2-$MK36^2)*$EG36)*10^-2*(VLOOKUP($IG$8,各项系数!$D$1:$F$143,3,0))*10^-3*10^2*各项系数!$J$4</f>
        <v>0.0119112397689898</v>
      </c>
      <c r="IL36" s="389">
        <f>IK36*(VLOOKUP($IG$8,各项系数!$D$1:$F$143,2,0))</f>
        <v>0.297780994224746</v>
      </c>
      <c r="IM36" s="390">
        <f>(各项系数!$F$76/4*(($MM36+3*$X36)^2-MM36^2)*$EO36)*10^-2*(VLOOKUP($IG$8,各项系数!$D$1:$F$143,3,0))*10^-3*10^2*各项系数!$J$4</f>
        <v>0</v>
      </c>
      <c r="IN36" s="389">
        <f>IM36*(VLOOKUP($IG$8,各项系数!$D$1:$F$143,2,0))</f>
        <v>0</v>
      </c>
      <c r="IO36" s="406">
        <f>各项系数!$F$76/4*($MZ36^2-$MX36^2)*10^-2*(VLOOKUP(L36,各项系数!$D$1:$F$143,3,0))*10^-3*10^2*$ES36*各项系数!$J$4</f>
        <v>0.0251953171389227</v>
      </c>
      <c r="IP36" s="389">
        <v>1</v>
      </c>
      <c r="IQ36" s="390">
        <f t="shared" si="207"/>
        <v>0.0251953171389227</v>
      </c>
      <c r="IR36" s="367">
        <f>IQ36*(VLOOKUP(L36,各项系数!$D$1:$F$143,2,0))</f>
        <v>0.256992234817012</v>
      </c>
      <c r="IS36" s="406">
        <f>IF($L36&lt;&gt;$IS$9,0,各项系数!$F$76/4*($MZ36^2-$MX36^2)*10^-2*各项系数!$F$12*10^-3*10^2)*$ES36*各项系数!$J$4</f>
        <v>0</v>
      </c>
      <c r="IT36" s="420">
        <v>1</v>
      </c>
      <c r="IU36" s="390">
        <f t="shared" si="208"/>
        <v>0</v>
      </c>
      <c r="IV36" s="367">
        <f>IU36*各项系数!$E$12</f>
        <v>0</v>
      </c>
      <c r="IW36" s="388">
        <f t="shared" si="209"/>
        <v>0.0251953171389227</v>
      </c>
      <c r="IX36" s="388">
        <f t="shared" si="210"/>
        <v>0.256992234817012</v>
      </c>
      <c r="IY36" s="447">
        <f>各项系数!$F$76/4*($NB36^2-$MZ36^2*$EG36-$NA36^2*$EO36)*10^-2</f>
        <v>0.553097402381299</v>
      </c>
      <c r="IZ36" s="366">
        <f t="shared" si="231"/>
        <v>0.05</v>
      </c>
      <c r="JA36" s="367">
        <f t="shared" si="64"/>
        <v>0.0276548701190649</v>
      </c>
      <c r="JB36" s="364">
        <f>IF($DE36&lt;&gt;$JB$9,0,$JA36*各项系数!$F$32*10^-3*10^2)*各项系数!$J$4</f>
        <v>0</v>
      </c>
      <c r="JC36" s="123">
        <v>1</v>
      </c>
      <c r="JD36" s="251">
        <f t="shared" si="211"/>
        <v>0</v>
      </c>
      <c r="JE36" s="339">
        <f>JD36*各项系数!$E$32</f>
        <v>0</v>
      </c>
      <c r="JF36" s="364">
        <f>IF($DE36&lt;&gt;$JF$9,0,$JA36*VLOOKUP($JF$9,各项系数!$D$4:$F$540,2,0)*10^-3*10^2)*各项系数!$J$4</f>
        <v>0.0137582978842348</v>
      </c>
      <c r="JG36" s="123">
        <v>1</v>
      </c>
      <c r="JH36" s="251">
        <f t="shared" si="66"/>
        <v>0.0137582978842348</v>
      </c>
      <c r="JI36" s="339">
        <f>JH36*VLOOKUP($JF$9,各项系数!$D$4:$F$540,3,0)</f>
        <v>0.0165099574610818</v>
      </c>
      <c r="JJ36" s="364">
        <f t="shared" si="212"/>
        <v>0.0137582978842348</v>
      </c>
      <c r="JK36" s="251">
        <f t="shared" si="213"/>
        <v>0.0165099574610818</v>
      </c>
      <c r="JL36" s="364">
        <f>IF($DF36&lt;&gt;$JL$9,0,各项系数!$F$76/4*($NE36^2-$NC36^2)*10^-2*各项系数!$F$39*10^-3*10^2)*各项系数!$J$4</f>
        <v>0.00118899107494022</v>
      </c>
      <c r="JM36" s="123">
        <v>1</v>
      </c>
      <c r="JN36" s="251">
        <f t="shared" si="214"/>
        <v>0.00118899107494022</v>
      </c>
      <c r="JO36" s="339">
        <f>JN36*各项系数!$E$39</f>
        <v>0.0237798214988044</v>
      </c>
      <c r="JP36" s="364">
        <f>IF($DF36&lt;&gt;$JP$9,0,各项系数!$F$76/4*($NE36^2-$NC36^2)*10^-2*各项系数!$F$36*10^-3*10^2)*各项系数!$J$4</f>
        <v>0</v>
      </c>
      <c r="JQ36" s="123">
        <v>1</v>
      </c>
      <c r="JR36" s="251">
        <f t="shared" si="215"/>
        <v>0</v>
      </c>
      <c r="JS36" s="339">
        <f>JR36*各项系数!$E$36</f>
        <v>0</v>
      </c>
      <c r="JT36" s="364">
        <f>IF($DF36&lt;&gt;$JT$9,0,各项系数!$F$76/4*($NE36^2-$NC36^2)*10^-2*各项系数!$F$40*10^-3*10^2)*各项系数!$J$4</f>
        <v>0</v>
      </c>
      <c r="JU36" s="123">
        <v>1</v>
      </c>
      <c r="JV36" s="251">
        <f t="shared" si="216"/>
        <v>0</v>
      </c>
      <c r="JW36" s="339">
        <f>JV36*各项系数!$E$40</f>
        <v>0</v>
      </c>
      <c r="JX36" s="364">
        <f>IF($DF36&lt;&gt;$JX$9,0,各项系数!$F$76/4*($NE36^2-$NC36^2)*10^-2*各项系数!$F$38*10^-3*10^2)*各项系数!$J$4</f>
        <v>0</v>
      </c>
      <c r="JY36" s="123">
        <v>1</v>
      </c>
      <c r="JZ36" s="251">
        <f t="shared" si="217"/>
        <v>0</v>
      </c>
      <c r="KA36" s="339">
        <f>JZ36*各项系数!$E$38</f>
        <v>0</v>
      </c>
      <c r="KB36" s="364">
        <f>IF($DF36&lt;&gt;$KB$9,0,各项系数!$F$76/4*($NE36^2-$NC36^2)*10^-2*各项系数!$F$41*10^-3*10^2)*各项系数!$J$4</f>
        <v>0</v>
      </c>
      <c r="KC36" s="123">
        <v>1</v>
      </c>
      <c r="KD36" s="251">
        <f t="shared" si="218"/>
        <v>0</v>
      </c>
      <c r="KE36" s="339">
        <f>KD36*各项系数!$E$41</f>
        <v>0</v>
      </c>
      <c r="KF36" s="251">
        <f t="shared" si="219"/>
        <v>0.00118899107494022</v>
      </c>
      <c r="KG36" s="251">
        <f t="shared" si="220"/>
        <v>0.0237798214988044</v>
      </c>
      <c r="KH36" s="302">
        <f>各项系数!$F$76/4*($NG36^2-$NE36^2)*10^-2*各项系数!$F$44*10^-3*10^2*各项系数!$J$4*0.75*$U36</f>
        <v>0.136175433113235</v>
      </c>
      <c r="KI36" s="123">
        <v>1</v>
      </c>
      <c r="KJ36" s="251">
        <f t="shared" si="221"/>
        <v>0.136175433113235</v>
      </c>
      <c r="KK36" s="251">
        <f>ROUND(KJ36*各项系数!$E$43,GT36)</f>
        <v>1</v>
      </c>
      <c r="KL36" s="302">
        <f>各项系数!$F$76/4*($NF36^2-$NE36^2)*10^-2*各项系数!$F$46*10^-3*10^2*各项系数!$J$4*PI()/4*R36</f>
        <v>0.0169849311158817</v>
      </c>
      <c r="KM36" s="123">
        <v>1</v>
      </c>
      <c r="KN36" s="251">
        <f t="shared" si="222"/>
        <v>0.0169849311158817</v>
      </c>
      <c r="KO36" s="251">
        <f>KN36*各项系数!$E$46</f>
        <v>1.14648285032202</v>
      </c>
      <c r="KP36" s="302">
        <f>各项系数!$F$76/4*($NH36^2-$NE36^2)*10^-2*(VLOOKUP($KP$9,各项系数!$D$1:$F$143,3,0))*10^-3*10^2*各项系数!$J$4</f>
        <v>0.113237520411301</v>
      </c>
      <c r="KQ36" s="123">
        <v>1</v>
      </c>
      <c r="KR36" s="251">
        <f t="shared" si="150"/>
        <v>0.113237520411301</v>
      </c>
      <c r="KS36" s="251">
        <f>KR36*(VLOOKUP($KP$9,各项系数!$D$1:$F$143,2,0))</f>
        <v>1.92503784699212</v>
      </c>
      <c r="KT36" s="302">
        <f>各项系数!$F$76/4*($NI36^2-$NF36^2)*10^-2*(VLOOKUP($KT$9,各项系数!$D$1:$F$143,3,0))*10^-3*10^2*各项系数!$J$4</f>
        <v>0.11454288985798</v>
      </c>
      <c r="KU36" s="123">
        <v>1</v>
      </c>
      <c r="KV36" s="251">
        <f t="shared" si="151"/>
        <v>0.11454288985798</v>
      </c>
      <c r="KW36" s="251">
        <f>KV36*(VLOOKUP($KT$9,各项系数!$D$1:$F$143,2,0))</f>
        <v>1.94722912758565</v>
      </c>
      <c r="KX36" s="251">
        <f>各项系数!$F$76/4*($NH36^2-$NE36^2)*10^-2*(VLOOKUP($KX$9,各项系数!$D$1:$F$143,3,0))*10^-3*10^2*各项系数!$J$4</f>
        <v>0.113237520411301</v>
      </c>
      <c r="KY36" s="479">
        <v>1</v>
      </c>
      <c r="KZ36" s="251">
        <f t="shared" si="152"/>
        <v>0.113237520411301</v>
      </c>
      <c r="LA36" s="251">
        <f>KZ36*(VLOOKUP($KX$9,各项系数!$D$1:$F$143,2,0))</f>
        <v>1.92503784699212</v>
      </c>
      <c r="LB36" s="251">
        <f>各项系数!$F$76/4*($NI36^2-$NF36^2)*10^-2*(VLOOKUP($LB$9,各项系数!$D$1:$F$143,3,0))*10^-3*10^2*各项系数!$J$4</f>
        <v>0.11454288985798</v>
      </c>
      <c r="LC36" s="479">
        <v>1</v>
      </c>
      <c r="LD36" s="251">
        <f t="shared" si="153"/>
        <v>0.11454288985798</v>
      </c>
      <c r="LE36" s="251">
        <f>LD36*(VLOOKUP($LB$9,各项系数!$D$1:$F$143,2,0))</f>
        <v>1.94722912758565</v>
      </c>
      <c r="LF36" s="302">
        <f>各项系数!$F$76/4*($NH36^2-$NE36^2)*10^-2*(VLOOKUP(AN36,各项系数!$D$1:$F$143,3,0))*10^-3*10^2*各项系数!$J$4</f>
        <v>0.114799417244561</v>
      </c>
      <c r="LG36" s="123">
        <v>1</v>
      </c>
      <c r="LH36" s="251">
        <f t="shared" si="223"/>
        <v>0.114799417244561</v>
      </c>
      <c r="LI36" s="251">
        <f>LH36*(VLOOKUP(AN36,各项系数!$D$1:$F$143,2,0))</f>
        <v>1.14799417244561</v>
      </c>
      <c r="LJ36" s="302">
        <f>各项系数!$F$76/4*($NI36^2-$NF36^2)*10^-2*(VLOOKUP(AN36,各项系数!$D$1:$F$143,3,0))*10^-3*10^2*各项系数!$J$4</f>
        <v>0.116122791787055</v>
      </c>
      <c r="LK36" s="123">
        <v>1</v>
      </c>
      <c r="LL36" s="251">
        <f t="shared" si="224"/>
        <v>0.116122791787055</v>
      </c>
      <c r="LM36" s="251">
        <f>LL36*(VLOOKUP(AN36,各项系数!$D$1:$F$143,2,0))</f>
        <v>1.16122791787055</v>
      </c>
      <c r="LN36" s="251">
        <f>各项系数!$F$76/4*($NH36^2-$NE36^2)*10^-2*(VLOOKUP($LN$9,各项系数!$D$1:$F$143,3,0))*10^-3*10^2*各项系数!$J$4</f>
        <v>0.114799417244561</v>
      </c>
      <c r="LO36" s="479">
        <v>1</v>
      </c>
      <c r="LP36" s="251">
        <f t="shared" si="225"/>
        <v>0.114799417244561</v>
      </c>
      <c r="LQ36" s="251">
        <f>LP36*(VLOOKUP($LN$9,各项系数!$D$1:$F$143,2,0))</f>
        <v>1.26279358969017</v>
      </c>
      <c r="LR36" s="251">
        <f>各项系数!$F$76/4*($NI36^2-$NF36^2)*10^-2*(VLOOKUP($LR$9,各项系数!$D$1:$F$143,3,0))*10^-3*10^2*各项系数!$J$4</f>
        <v>0.116122791787055</v>
      </c>
      <c r="LS36" s="479">
        <v>1</v>
      </c>
      <c r="LT36" s="251">
        <f t="shared" si="226"/>
        <v>0.116122791787055</v>
      </c>
      <c r="LU36" s="251">
        <f>LT36*(VLOOKUP($LR$9,各项系数!$D$1:$F$143,2,0))</f>
        <v>1.27735070965761</v>
      </c>
      <c r="LV36" s="499">
        <f t="shared" si="154"/>
        <v>24.30907664</v>
      </c>
      <c r="LW36" s="499">
        <f t="shared" si="155"/>
        <v>18.90705961</v>
      </c>
      <c r="LX36" s="499">
        <f t="shared" si="156"/>
        <v>4.90644636882102</v>
      </c>
      <c r="LY36" s="515">
        <f t="shared" si="157"/>
        <v>5.40201703</v>
      </c>
      <c r="LZ36" s="516">
        <f t="shared" si="86"/>
        <v>1</v>
      </c>
      <c r="MA36" s="517">
        <f t="shared" si="87"/>
        <v>24.30907664</v>
      </c>
      <c r="MB36" s="517">
        <f t="shared" si="158"/>
        <v>3.93390885</v>
      </c>
      <c r="MC36" s="499">
        <f t="shared" si="159"/>
        <v>0</v>
      </c>
      <c r="MD36" s="499">
        <f t="shared" si="160"/>
        <v>0</v>
      </c>
      <c r="ME36" s="499">
        <f t="shared" si="161"/>
        <v>0</v>
      </c>
      <c r="MF36" s="499">
        <f t="shared" si="162"/>
        <v>0</v>
      </c>
      <c r="MG36" s="516">
        <f t="shared" si="163"/>
        <v>1</v>
      </c>
      <c r="MH36" s="517">
        <f t="shared" si="88"/>
        <v>0</v>
      </c>
      <c r="MI36" s="517">
        <f t="shared" si="164"/>
        <v>0</v>
      </c>
      <c r="MJ36" s="251">
        <f t="shared" si="89"/>
        <v>3.93390885</v>
      </c>
      <c r="MK36" s="251">
        <f t="shared" si="165"/>
        <v>3.93390885</v>
      </c>
      <c r="ML36" s="251">
        <f t="shared" si="227"/>
        <v>0</v>
      </c>
      <c r="MM36" s="251">
        <f t="shared" si="91"/>
        <v>0</v>
      </c>
      <c r="MN36" s="251">
        <f t="shared" si="92"/>
        <v>5.33390885</v>
      </c>
      <c r="MO36" s="251">
        <f t="shared" si="166"/>
        <v>0</v>
      </c>
      <c r="MP36" s="251">
        <f t="shared" si="167"/>
        <v>10.6678177</v>
      </c>
      <c r="MQ36" s="251">
        <f t="shared" si="228"/>
        <v>10.6678177</v>
      </c>
      <c r="MR36" s="314">
        <f t="shared" si="168"/>
        <v>10.64245147</v>
      </c>
      <c r="MS36" s="530">
        <f t="shared" si="94"/>
        <v>10.81845147</v>
      </c>
      <c r="MT36" s="530">
        <f t="shared" si="95"/>
        <v>10.97845147</v>
      </c>
      <c r="MU36" s="530">
        <f t="shared" si="232"/>
        <v>11.41845147</v>
      </c>
      <c r="MV36" s="530">
        <f t="shared" si="97"/>
        <v>14.41845147</v>
      </c>
      <c r="MW36" s="530">
        <f t="shared" si="98"/>
        <v>14.57845147</v>
      </c>
      <c r="MX36" s="326">
        <f t="shared" si="233"/>
        <v>4.53390885</v>
      </c>
      <c r="MY36" s="326">
        <f t="shared" si="100"/>
        <v>0</v>
      </c>
      <c r="MZ36" s="251">
        <f t="shared" si="101"/>
        <v>5.93390885</v>
      </c>
      <c r="NA36" s="251">
        <f t="shared" si="102"/>
        <v>0</v>
      </c>
      <c r="NB36" s="251">
        <f t="shared" si="169"/>
        <v>11.8678177</v>
      </c>
      <c r="NC36" s="326">
        <f t="shared" si="229"/>
        <v>11.8678177</v>
      </c>
      <c r="ND36" s="314">
        <f t="shared" si="234"/>
        <v>11.83959808</v>
      </c>
      <c r="NE36" s="537">
        <f t="shared" si="235"/>
        <v>12.07959808</v>
      </c>
      <c r="NF36" s="530">
        <f t="shared" si="106"/>
        <v>12.23959808</v>
      </c>
      <c r="NG36" s="538">
        <f t="shared" si="236"/>
        <v>12.67959808</v>
      </c>
      <c r="NH36" s="326">
        <f t="shared" si="108"/>
        <v>15.67959808</v>
      </c>
      <c r="NI36" s="530">
        <f t="shared" si="109"/>
        <v>15.83959808</v>
      </c>
      <c r="NK36" s="539">
        <f t="shared" si="110"/>
        <v>0.30093035770789</v>
      </c>
      <c r="NL36" s="539">
        <f t="shared" si="111"/>
        <v>12.3864580425886</v>
      </c>
      <c r="NM36" s="539">
        <f t="shared" si="112"/>
        <v>0.30093035770789</v>
      </c>
      <c r="NN36" s="539">
        <f t="shared" si="113"/>
        <v>12.4908264015955</v>
      </c>
      <c r="NO36" s="539">
        <f t="shared" si="114"/>
        <v>0.335936281017082</v>
      </c>
      <c r="NP36" s="539">
        <f t="shared" si="115"/>
        <v>12.8179948532532</v>
      </c>
      <c r="NQ36" s="539">
        <f t="shared" si="116"/>
        <v>0.335936281017082</v>
      </c>
      <c r="NR36" s="539">
        <f t="shared" si="117"/>
        <v>12.9327942704977</v>
      </c>
      <c r="NS36" s="539">
        <f t="shared" si="118"/>
        <v>0.316153677283905</v>
      </c>
      <c r="NT36" s="539">
        <f t="shared" si="119"/>
        <v>0.316153677283905</v>
      </c>
      <c r="NU36" s="539">
        <f t="shared" si="120"/>
        <v>0.352921212132964</v>
      </c>
      <c r="NV36" s="539">
        <f t="shared" si="121"/>
        <v>0.352921212132964</v>
      </c>
      <c r="NW36">
        <f t="shared" si="122"/>
        <v>0.382465581209844</v>
      </c>
      <c r="NX36">
        <f>各项系数!$M$9*NK36</f>
        <v>0.0902791073123671</v>
      </c>
      <c r="NY36">
        <f t="shared" si="123"/>
        <v>0.316153677283905</v>
      </c>
    </row>
    <row r="37" customHeight="1" spans="1:389">
      <c r="A37" s="85"/>
      <c r="B37" s="86"/>
      <c r="C37" s="87"/>
      <c r="D37" s="69" t="s">
        <v>137</v>
      </c>
      <c r="E37" s="77">
        <f t="shared" si="240"/>
        <v>16.47075121</v>
      </c>
      <c r="F37" s="84">
        <f>$F$21</f>
        <v>165.416818206689</v>
      </c>
      <c r="G37" s="74"/>
      <c r="H37" s="78"/>
      <c r="I37" s="78"/>
      <c r="J37" s="23"/>
      <c r="K37" s="78"/>
      <c r="L37" s="118" t="s">
        <v>467</v>
      </c>
      <c r="M37" s="124">
        <f t="shared" si="2"/>
        <v>0.7</v>
      </c>
      <c r="N37" s="124">
        <f t="shared" si="3"/>
        <v>0</v>
      </c>
      <c r="O37" s="69">
        <f>$O$36</f>
        <v>0.08</v>
      </c>
      <c r="P37" s="120">
        <v>0.1</v>
      </c>
      <c r="Q37" s="162">
        <f t="shared" si="248"/>
        <v>0.1</v>
      </c>
      <c r="R37" s="86">
        <v>0.8</v>
      </c>
      <c r="S37" s="171" t="str">
        <f>各项系数!$D$43</f>
        <v>钢带</v>
      </c>
      <c r="T37" s="69">
        <v>0.2</v>
      </c>
      <c r="U37" s="123">
        <v>2</v>
      </c>
      <c r="V37" s="169"/>
      <c r="W37" s="170">
        <v>1.8</v>
      </c>
      <c r="X37" s="164">
        <f t="shared" si="249"/>
        <v>0.2</v>
      </c>
      <c r="Y37" s="219"/>
      <c r="Z37" s="220"/>
      <c r="AA37" s="217">
        <f>$AA$21</f>
        <v>1.011</v>
      </c>
      <c r="AB37" s="186">
        <f>PI()*EJ37*EJ37/4*EH37*(1-H37)*AA37*各项系数!$F$5*各项系数!$J$4*10^-7</f>
        <v>0.134531270768238</v>
      </c>
      <c r="AC37" s="186">
        <f t="shared" si="241"/>
        <v>165.416818206689</v>
      </c>
      <c r="AD37" s="186">
        <f t="shared" si="5"/>
        <v>15.2089209566661</v>
      </c>
      <c r="AE37" s="186">
        <f>POWER(4*EU37/PI()/EG37/10^-7/EH37/(1-H37)/各项系数!$F$5/各项系数!$J$4,0.5)</f>
        <v>166.32412244418</v>
      </c>
      <c r="AF37" s="218">
        <v>1</v>
      </c>
      <c r="AG37" s="85">
        <f>IF(EM37=0,0,PI()*ER37*ER37/4*EP37*(1-K37)*(1+AF37)*各项系数!$F$5*各项系数!$J$4*10^-7)</f>
        <v>0</v>
      </c>
      <c r="AH37" s="85">
        <f t="shared" si="242"/>
        <v>0</v>
      </c>
      <c r="AI37" s="85">
        <f t="shared" si="128"/>
        <v>0</v>
      </c>
      <c r="AJ37" s="85">
        <f>IF(OR(EP37="",EP37=0),0,POWER(4*EW37/PI()/EO37/10^-7/EP37/(1-K37)/各项系数!$F$5/各项系数!$J$4,0.5))</f>
        <v>0</v>
      </c>
      <c r="AK37" s="85" t="str">
        <f t="shared" si="8"/>
        <v>√</v>
      </c>
      <c r="AL37" s="85">
        <f t="shared" si="243"/>
        <v>19.7962408673515</v>
      </c>
      <c r="AM37" s="250">
        <f t="shared" si="244"/>
        <v>16</v>
      </c>
      <c r="AN37" s="118" t="s">
        <v>486</v>
      </c>
      <c r="AO37" s="259">
        <f>AP37+各项系数!$M$9*$NK37</f>
        <v>19.4080792817172</v>
      </c>
      <c r="AP37" s="259">
        <f>AQ37*(1+$BI37+(VLOOKUP($AM37,$A$12:$B$323,2,0))+各项系数!$J$6+各项系数!$M$5)*(1+$E$2)</f>
        <v>19.2807753554823</v>
      </c>
      <c r="AQ37" s="260">
        <f>AR37+各项系数!$L$9*$NK37</f>
        <v>19.6742605668186</v>
      </c>
      <c r="AR37" s="260">
        <f>AS37*(1+$BJ37+各项系数!$J$5+各项系数!$L$5)</f>
        <v>19.5469566405837</v>
      </c>
      <c r="AS37" s="260">
        <f t="shared" si="129"/>
        <v>19.1636829809644</v>
      </c>
      <c r="AT37" s="259">
        <f>AU37+各项系数!$M$9*$NM37</f>
        <v>20.2290868092496</v>
      </c>
      <c r="AU37" s="259">
        <f>AV37*(1+$BI37+(VLOOKUP($AM37,$A$12:$B$323,2,0))+各项系数!$J$6+各项系数!$M$5)*(1+$E$2)</f>
        <v>20.1017828830147</v>
      </c>
      <c r="AV37" s="260">
        <f>AW37+各项系数!$L$9*$NM37</f>
        <v>20.512023350015</v>
      </c>
      <c r="AW37" s="260">
        <f>AX37*(1+$BJ37+各项系数!$J$5+各项系数!$L$5)</f>
        <v>20.3847194237801</v>
      </c>
      <c r="AX37" s="260">
        <f t="shared" si="130"/>
        <v>19.9850190429216</v>
      </c>
      <c r="AY37" s="259">
        <f>AZ37+各项系数!$M$9*$NS37</f>
        <v>20.6526424949986</v>
      </c>
      <c r="AZ37" s="259">
        <f>BA37*(1+$BI37+(VLOOKUP($AM37,$A$12:$B$214,2,0))+各项系数!$J$6+各项系数!$M$5)*(1+$E$2)</f>
        <v>20.5199115567254</v>
      </c>
      <c r="BA37" s="260">
        <f>BB37+各项系数!$L$9*$NS37</f>
        <v>20.9386852619647</v>
      </c>
      <c r="BB37" s="260">
        <f>BC37*(1+$BJ37+各项系数!$J$5+各项系数!$L$5)</f>
        <v>20.8059543236916</v>
      </c>
      <c r="BC37" s="262">
        <f t="shared" si="131"/>
        <v>20.3979944349917</v>
      </c>
      <c r="BD37" s="259">
        <f>BE37+各项系数!$M$9*$NS37</f>
        <v>21.4826039746855</v>
      </c>
      <c r="BE37" s="259">
        <f>BF37*(1+$BI37+(VLOOKUP($AM37,$A$12:$B$214,2,0))+各项系数!$J$6+各项系数!$M$5)*(1+$E$2)</f>
        <v>21.3498730364124</v>
      </c>
      <c r="BF37" s="260">
        <f>BG37+各项系数!$L$9*$NS37</f>
        <v>21.785584731033</v>
      </c>
      <c r="BG37" s="260">
        <f>BH37*(1+$BJ37+各项系数!$J$5+各项系数!$L$5)</f>
        <v>21.6528537927599</v>
      </c>
      <c r="BH37" s="262">
        <f t="shared" si="132"/>
        <v>21.2282880321175</v>
      </c>
      <c r="BI37" s="276"/>
      <c r="BJ37" s="272"/>
      <c r="BK37" s="69" t="s">
        <v>514</v>
      </c>
      <c r="BL37" s="259">
        <f>BM37+各项系数!$M$9*$NM37</f>
        <v>19.7183671169187</v>
      </c>
      <c r="BM37" s="259">
        <f>BN37*(1+$CF37+(VLOOKUP($AM37,$A$12:$B$323,2,0))+各项系数!$J$6+各项系数!$M$5)*(1+$E$2)</f>
        <v>19.5910631906838</v>
      </c>
      <c r="BN37" s="260">
        <f>BO37+各项系数!$L$9*$NM37</f>
        <v>19.9908808068202</v>
      </c>
      <c r="BO37" s="260">
        <f>BP37*(1+$CG37+各项系数!$J$5+各项系数!$L$5)</f>
        <v>19.8635768805853</v>
      </c>
      <c r="BP37" s="260">
        <f t="shared" si="133"/>
        <v>19.2850260976556</v>
      </c>
      <c r="BQ37" s="259">
        <f>BR37+各项系数!$M$9*$NM37</f>
        <v>20.4249399958702</v>
      </c>
      <c r="BR37" s="259">
        <f>BS37*(1+$CF37+(VLOOKUP($AM37,$A$12:$B$323,2,0))+各项系数!$J$6+各项系数!$M$5)*(1+$E$2)</f>
        <v>20.2976360696353</v>
      </c>
      <c r="BS37" s="260">
        <f>BT37+各项系数!$L$9*$NM37</f>
        <v>20.7118735404442</v>
      </c>
      <c r="BT37" s="260">
        <f>BU37*(1+$CG37+各项系数!$J$5+各项系数!$L$5)</f>
        <v>20.5845696142093</v>
      </c>
      <c r="BU37" s="260">
        <f t="shared" si="134"/>
        <v>19.9850190429216</v>
      </c>
      <c r="BV37" s="259">
        <f>BW37+各项系数!$M$9*$NT37</f>
        <v>20.8543842122969</v>
      </c>
      <c r="BW37" s="259">
        <f>BX37*(1+$CF37+(VLOOKUP($AM37,$A$12:$B$214,2,0))+各项系数!$J$6+各项系数!$M$5)*(1+$E$2)</f>
        <v>20.7216532740238</v>
      </c>
      <c r="BX37" s="260">
        <f>BY37+各项系数!$L$9*$NT$12</f>
        <v>21.1445441571671</v>
      </c>
      <c r="BY37" s="260">
        <f>BZ37*(1+$CG37+各项系数!$J$5+各项系数!$L$5)</f>
        <v>21.1362807540121</v>
      </c>
      <c r="BZ37" s="262">
        <f t="shared" si="11"/>
        <v>20.5206609262254</v>
      </c>
      <c r="CA37" s="259">
        <f>CB37+各项系数!$M$9*$NT37</f>
        <v>21.5686630129845</v>
      </c>
      <c r="CB37" s="259">
        <f>CC37*(1+$CF37+(VLOOKUP($AM37,$A$12:$B$214,2,0))+各项系数!$J$6+各项系数!$M$5)*(1+$E$2)</f>
        <v>21.4359320747113</v>
      </c>
      <c r="CC37" s="260">
        <f>CD37+各项系数!$L$9*$NT$12</f>
        <v>21.873400076236</v>
      </c>
      <c r="CD37" s="260">
        <f>CE37*(1+$CG37+各项系数!$J$5+各项系数!$L$5)</f>
        <v>21.8651366730811</v>
      </c>
      <c r="CE37" s="262">
        <f t="shared" si="135"/>
        <v>21.2282880321175</v>
      </c>
      <c r="CF37" s="277">
        <f t="shared" si="136"/>
        <v>0</v>
      </c>
      <c r="CG37" s="277">
        <f t="shared" si="12"/>
        <v>0.01</v>
      </c>
      <c r="CH37" s="69"/>
      <c r="CI37" s="259">
        <f>CJ37+各项系数!$M$9*$NO37</f>
        <v>20.0652016989474</v>
      </c>
      <c r="CJ37" s="259">
        <f>CK37*(1+$DC37+(VLOOKUP($AM37,$A$12:$B$323,2,0))+各项系数!$J$6+各项系数!$M$5)*(1+$E$2)+各项系数!$M$9*$NK37</f>
        <v>19.9253744380983</v>
      </c>
      <c r="CK37" s="260">
        <f>CL37+各项系数!$L$9*$NO37</f>
        <v>20.2021127672076</v>
      </c>
      <c r="CL37" s="260">
        <f>CM37*(1+$DD37+各项系数!$J$5+各项系数!$L$5)</f>
        <v>20.0622855063585</v>
      </c>
      <c r="CM37" s="260">
        <f t="shared" si="13"/>
        <v>19.668907359175</v>
      </c>
      <c r="CN37" s="259">
        <f>CO37+各项系数!$M$9*$NO37</f>
        <v>20.781940368336</v>
      </c>
      <c r="CO37" s="259">
        <f>CP37*(1+$DC37+(VLOOKUP($AM37,$A$12:$B$323,2,0))+各项系数!$J$6+各项系数!$M$5)*(1+$E$2)+各项系数!$M$9*$NK37</f>
        <v>20.642113107487</v>
      </c>
      <c r="CP37" s="260">
        <f>CQ37+各项系数!$L$9*$NO37</f>
        <v>20.9334787563797</v>
      </c>
      <c r="CQ37" s="260">
        <f>CR37*(1+$DD37+各项系数!$J$5+各项系数!$L$5)</f>
        <v>20.7936514955306</v>
      </c>
      <c r="CR37" s="260">
        <f t="shared" si="14"/>
        <v>20.3859328387555</v>
      </c>
      <c r="CS37" s="259">
        <f>CT37+各项系数!$M$9*$NU37</f>
        <v>21.302368598678</v>
      </c>
      <c r="CT37" s="259">
        <f t="shared" si="15"/>
        <v>21.1565858423288</v>
      </c>
      <c r="CU37" s="260">
        <f>CV37+各项系数!$L$9*$NU37</f>
        <v>21.5883529003355</v>
      </c>
      <c r="CV37" s="260">
        <f>CW37*(1+$DD37+各项系数!$J$5+各项系数!$L$5)</f>
        <v>21.4425701439863</v>
      </c>
      <c r="CW37" s="262">
        <f t="shared" si="16"/>
        <v>21.0221275921434</v>
      </c>
      <c r="CX37" s="259">
        <f>CY37+各项系数!$M$9*$NU37</f>
        <v>22.202906618401</v>
      </c>
      <c r="CY37" s="259">
        <f t="shared" si="17"/>
        <v>22.0571238620518</v>
      </c>
      <c r="CZ37" s="260">
        <f>DA37+各项系数!$L$9*$NU37</f>
        <v>22.5072692469916</v>
      </c>
      <c r="DA37" s="260">
        <f>DB37*(1+$DD37+各项系数!$J$5+各项系数!$L$5)</f>
        <v>22.3614864906424</v>
      </c>
      <c r="DB37" s="262">
        <f t="shared" si="18"/>
        <v>21.9230259712181</v>
      </c>
      <c r="DC37" s="277">
        <f t="shared" si="137"/>
        <v>0</v>
      </c>
      <c r="DD37" s="277">
        <f t="shared" si="19"/>
        <v>0</v>
      </c>
      <c r="DE37" s="69" t="s">
        <v>498</v>
      </c>
      <c r="DF37" s="69" t="s">
        <v>513</v>
      </c>
      <c r="DG37" s="259">
        <f>DH37+各项系数!$M$9*$NQ37</f>
        <v>20.3909698432404</v>
      </c>
      <c r="DH37" s="259">
        <f>DI37*(1+$EA37+(VLOOKUP($AM37,$A$12:$B$323,2,0))+各项系数!$J$6+各项系数!$M$5)*(1+$E$2)+各项系数!$M$9*$NK37</f>
        <v>20.2511425823914</v>
      </c>
      <c r="DI37" s="260">
        <f>DJ37+各项系数!$L$9*$NQ37</f>
        <v>20.534529240976</v>
      </c>
      <c r="DJ37" s="260">
        <f>DK37*(1+$EB37+各项系数!$J$5+各项系数!$L$5)</f>
        <v>20.394701980127</v>
      </c>
      <c r="DK37" s="260">
        <f t="shared" si="20"/>
        <v>19.8006815341039</v>
      </c>
      <c r="DL37" s="259">
        <f>DM37+各项系数!$M$9*$NQ37</f>
        <v>21.1582820789061</v>
      </c>
      <c r="DM37" s="259">
        <f>DN37*(1+$EA37+(VLOOKUP($AM37,$A$12:$B$323,2,0))+各项系数!$J$6+各项系数!$M$5)*(1+$E$2)+各项系数!$M$9*$NK37</f>
        <v>21.018454818057</v>
      </c>
      <c r="DN37" s="260">
        <f>DO37+各项系数!$L$9*$NQ37</f>
        <v>21.3175009100226</v>
      </c>
      <c r="DO37" s="260">
        <f>DP37*(1+$EB37+各项系数!$J$5+各项系数!$L$5)</f>
        <v>21.1776736491736</v>
      </c>
      <c r="DP37" s="260">
        <f t="shared" si="21"/>
        <v>20.5608482030811</v>
      </c>
      <c r="DQ37" s="259">
        <f>DR37+各项系数!$M$9*$NV37</f>
        <v>21.6427341155173</v>
      </c>
      <c r="DR37" s="259">
        <f t="shared" si="22"/>
        <v>21.4969513591681</v>
      </c>
      <c r="DS37" s="260">
        <f>DT37+各项系数!$L$9*$NV37</f>
        <v>21.9356646522124</v>
      </c>
      <c r="DT37" s="260">
        <f>DU37*(1+$EB37+各项系数!$J$5+各项系数!$L$5)</f>
        <v>21.7898818958632</v>
      </c>
      <c r="DU37" s="262">
        <f t="shared" si="23"/>
        <v>21.1552251416147</v>
      </c>
      <c r="DV37" s="259">
        <f>DW37+各项系数!$M$9*$NV37</f>
        <v>22.1073640745007</v>
      </c>
      <c r="DW37" s="259">
        <f t="shared" si="24"/>
        <v>21.9615813181515</v>
      </c>
      <c r="DX37" s="260">
        <f>DY37+各项系数!$L$9*$NV37</f>
        <v>22.4097768552566</v>
      </c>
      <c r="DY37" s="260">
        <f>DZ37*(1+$EB37+各项系数!$J$5+各项系数!$L$5)</f>
        <v>22.2639940989074</v>
      </c>
      <c r="DZ37" s="262">
        <f t="shared" si="25"/>
        <v>21.6155282513664</v>
      </c>
      <c r="EA37" s="277">
        <f t="shared" si="230"/>
        <v>0</v>
      </c>
      <c r="EB37" s="277">
        <f t="shared" si="27"/>
        <v>0.01</v>
      </c>
      <c r="EC37" s="302">
        <f t="shared" si="138"/>
        <v>2</v>
      </c>
      <c r="ED37" s="302" t="str">
        <f t="shared" si="180"/>
        <v>2*16</v>
      </c>
      <c r="EE37" s="251">
        <f t="shared" si="239"/>
        <v>16</v>
      </c>
      <c r="EF37" s="251" t="str">
        <f>LOOKUP(EH37,{1,7,10,14,19,24,30,37,48,61},{1,"1+6","2+8","4+10","1+6+12","2+8+14","4+10+16","1+6+12+18","3+9+15+21","1+6+12+18+24"})</f>
        <v>1+6</v>
      </c>
      <c r="EG37" s="250">
        <f t="shared" si="29"/>
        <v>2</v>
      </c>
      <c r="EH37" s="260">
        <f>VLOOKUP(EE37,各项系数!$B$87:$C$110,2,0)</f>
        <v>7</v>
      </c>
      <c r="EI37" s="250">
        <f>IF(EH37=0,0,VLOOKUP(EH37,各项系数!$D$142:$E$195,2,0))*1</f>
        <v>3</v>
      </c>
      <c r="EJ37" s="305">
        <f t="shared" si="141"/>
        <v>165.416818206689</v>
      </c>
      <c r="EK37" s="251">
        <f t="shared" si="245"/>
        <v>0</v>
      </c>
      <c r="EL37" s="251">
        <f t="shared" si="31"/>
        <v>0</v>
      </c>
      <c r="EM37" s="251">
        <f t="shared" si="182"/>
        <v>0</v>
      </c>
      <c r="EN37" s="251">
        <f>IF(EP37=0,0,LOOKUP(EP37,{1,7,10,14,19,24,30,37,48,61},{1,"1+6","2+8","4+10","1+6+12","2+8+14","4+10+16","1+6+12+18","3+9+15+21","1+6+12+18+24"}))</f>
        <v>0</v>
      </c>
      <c r="EO37" s="251">
        <f t="shared" si="246"/>
        <v>0</v>
      </c>
      <c r="EP37" s="251">
        <f>IF(EM37=0,0,IF(EM37&lt;10,1,IF(AND(EM37&gt;=10,EM37&lt;=35),7,LOOKUP(EM37,{50,70,95,120,150,185,240,300},{10,14,19,24,30,37,48,61})*1)))</f>
        <v>0</v>
      </c>
      <c r="EQ37" s="251">
        <f>IF(EP37=0,0,VLOOKUP(EP37,各项系数!$D$142:$E$195,2,0))*1</f>
        <v>0</v>
      </c>
      <c r="ER37" s="251">
        <f t="shared" si="247"/>
        <v>0</v>
      </c>
      <c r="ES37" s="302">
        <f t="shared" si="250"/>
        <v>2</v>
      </c>
      <c r="ET37" s="251">
        <f>VLOOKUP(ES37,各项系数!$D$142:$E$195,2,0)*1</f>
        <v>2</v>
      </c>
      <c r="EU37" s="311">
        <f>((各项系数!$F$76/4*$EJ37^2*$EG37*$EH37*1*10^-7)*(1-$H37)*AA37)*(VLOOKUP($EY$9,各项系数!$D$4:$F$143,3,0))*各项系数!$J$4</f>
        <v>0.269062541536476</v>
      </c>
      <c r="EV37" s="312">
        <f>EU37*(VLOOKUP($EY$9,各项系数!$D$4:$F$143,2,0))</f>
        <v>17.6235964706392</v>
      </c>
      <c r="EW37" s="324">
        <f>(IF($EO37=0,0,(各项系数!$F$76/4*$ER37^2*$EO37*$EP37*1*10^-7))*(1-$K37)*$AF37)*(VLOOKUP($EY$9,各项系数!$D$4:$F$143,3,0))*各项系数!$J$4</f>
        <v>0</v>
      </c>
      <c r="EX37" s="325">
        <f>EW37*(VLOOKUP($EY$9,各项系数!$D$4:$F$143,2,0))</f>
        <v>0</v>
      </c>
      <c r="EY37" s="251">
        <f>((各项系数!$F$76/4*$EJ37^2*$EG37*$EH37*1*10^-7)*(1-$H37)*AA37+IF($EO37=0,0,(各项系数!$F$76/4*$ER37^2*$EO37*$EP37*1*10^-7))*(1-$K37)*$AF37)*(VLOOKUP($EY$9,各项系数!$D$4:$F$143,3,0))*各项系数!$J$4</f>
        <v>0.269062541536476</v>
      </c>
      <c r="EZ37" s="123">
        <v>1</v>
      </c>
      <c r="FA37" s="251">
        <f t="shared" si="188"/>
        <v>0.269062541536476</v>
      </c>
      <c r="FB37" s="326">
        <f>FA37*(VLOOKUP($EY$9,各项系数!$D$4:$F$143,2,0))</f>
        <v>17.6235964706392</v>
      </c>
      <c r="FC37" s="327"/>
      <c r="FD37" s="302">
        <f>各项系数!$F$76/4*($MN37^2-MK37^2)*10^-2*(VLOOKUP(L37,各项系数!$D$1:$F$143,3,0))*10^-3*10^2*$EG37*各项系数!$J$4</f>
        <v>0.0272585178257144</v>
      </c>
      <c r="FE37" s="339">
        <f>FD37*VLOOKUP(L37,各项系数!$D$1:$F$143,2,0)</f>
        <v>0.278036881822287</v>
      </c>
      <c r="FF37" s="250">
        <f>各项系数!$F$76/4*($MO37^2-ML37^2)*10^-2*(VLOOKUP(L37,各项系数!$D$1:$F$143,3,0))*10^-3*10^2*$EO37*各项系数!$J$4</f>
        <v>0</v>
      </c>
      <c r="FG37" s="339">
        <f>FF37*VLOOKUP(L37,各项系数!$D$1:$F$143,2,0)</f>
        <v>0</v>
      </c>
      <c r="FH37" s="302">
        <f t="shared" si="142"/>
        <v>0.0272585178257144</v>
      </c>
      <c r="FI37" s="123">
        <v>1</v>
      </c>
      <c r="FJ37" s="251">
        <f t="shared" si="189"/>
        <v>0.0272585178257144</v>
      </c>
      <c r="FK37" s="339">
        <f>FJ37*VLOOKUP(L37,各项系数!$D$1:$F$143,2,0)</f>
        <v>0.278036881822287</v>
      </c>
      <c r="FL37" s="302"/>
      <c r="FM37" s="123"/>
      <c r="FN37" s="251"/>
      <c r="FO37" s="339"/>
      <c r="FP37" s="364">
        <f t="shared" si="190"/>
        <v>0.0272585178257144</v>
      </c>
      <c r="FQ37" s="364">
        <f t="shared" si="191"/>
        <v>0.278036881822287</v>
      </c>
      <c r="FR37" s="365">
        <f>各项系数!$F$76/4*($MQ37^2-$MN37^2*$EG37-$MO37^2*$EO37)*10^-2</f>
        <v>0.635881349882843</v>
      </c>
      <c r="FS37" s="366">
        <f t="shared" si="143"/>
        <v>0.05</v>
      </c>
      <c r="FT37" s="367">
        <f t="shared" si="40"/>
        <v>0.0317940674941421</v>
      </c>
      <c r="FU37" s="388">
        <f>$FT37*(VLOOKUP($FT$9,各项系数!$D$1:$F$143,3,0))*10^-3*10^2*各项系数!$J$55</f>
        <v>0.00379621165880057</v>
      </c>
      <c r="FV37" s="389">
        <v>1</v>
      </c>
      <c r="FW37" s="390">
        <f t="shared" si="192"/>
        <v>0.00379621165880057</v>
      </c>
      <c r="FX37" s="367">
        <f>FW37*(VLOOKUP($FT$9,各项系数!$D$1:$F$143,2,0))</f>
        <v>0.0113886349764017</v>
      </c>
      <c r="FY37" s="388">
        <f>IF($BK37&lt;&gt;$FY$9,0,各项系数!$F$76/4*($MS37^2-$MQ37^2)*10^-2*(VLOOKUP($FY$9,各项系数!$D$1:$F$143,3,0))*10^-3*10^2)*各项系数!$J$4</f>
        <v>0</v>
      </c>
      <c r="FZ37" s="389">
        <v>1</v>
      </c>
      <c r="GA37" s="390">
        <f t="shared" si="193"/>
        <v>0</v>
      </c>
      <c r="GB37" s="367">
        <f>GA37*(VLOOKUP($FY$9,各项系数!$D$1:$F$143,2,0))</f>
        <v>0</v>
      </c>
      <c r="GC37" s="388">
        <f>IF($BK37&lt;&gt;$GC$9,0,各项系数!$F$76/4*($MS37^2-$MQ37^2)*10^-2*(VLOOKUP($GC$9,各项系数!$D$1:$F$143,3,0))*10^-3*10^2)*各项系数!$J$4</f>
        <v>0.00288603307092149</v>
      </c>
      <c r="GD37" s="389">
        <v>1</v>
      </c>
      <c r="GE37" s="390">
        <f t="shared" si="194"/>
        <v>0.00288603307092149</v>
      </c>
      <c r="GF37" s="367">
        <f>GE37*(VLOOKUP($GC$9,各项系数!$D$1:$F$143,2,0))</f>
        <v>0.0372298266148872</v>
      </c>
      <c r="GG37" s="388">
        <f>IF($BK37&lt;&gt;$GG$9,0,各项系数!$F$76/4*($MS37^2-$MQ37^2)*10^-2*(VLOOKUP($GG$9,各项系数!$D$1:$F$143,3,0))*10^-3*10^2)*各项系数!$J$4</f>
        <v>0</v>
      </c>
      <c r="GH37" s="389">
        <v>1</v>
      </c>
      <c r="GI37" s="390">
        <f t="shared" si="195"/>
        <v>0</v>
      </c>
      <c r="GJ37" s="367">
        <f>GI37*(VLOOKUP($GG$9,各项系数!$D$1:$F$143,2,0))</f>
        <v>0</v>
      </c>
      <c r="GK37" s="388">
        <f>IF($BK37&lt;&gt;$GK$9,0,各项系数!$F$76/4*($MS37^2-$MQ37^2)*10^-2*(VLOOKUP($GK$9,各项系数!$D$1:$F$143,3,0))*10^-3*10^2)*各项系数!$J$4</f>
        <v>0</v>
      </c>
      <c r="GL37" s="389">
        <v>1</v>
      </c>
      <c r="GM37" s="390">
        <f t="shared" si="196"/>
        <v>0</v>
      </c>
      <c r="GN37" s="367">
        <f>GM37*(VLOOKUP($GK$9,各项系数!$D$1:$F$143,2,0))</f>
        <v>0</v>
      </c>
      <c r="GO37" s="390">
        <f t="shared" si="197"/>
        <v>0.00288603307092149</v>
      </c>
      <c r="GP37" s="390">
        <f t="shared" si="198"/>
        <v>0.0372298266148872</v>
      </c>
      <c r="GQ37" s="406">
        <f>各项系数!$F$76/4*($MU37^2-$MS37^2)*10^-2*(VLOOKUP($S37,各项系数!$D$1:$F$143,3,0))*10^-3*10^2*各项系数!$J$4</f>
        <v>0.0965854054850661</v>
      </c>
      <c r="GR37" s="389">
        <v>1</v>
      </c>
      <c r="GS37" s="390">
        <f t="shared" si="199"/>
        <v>0.0965854054850661</v>
      </c>
      <c r="GT37" s="390">
        <f t="shared" si="200"/>
        <v>0</v>
      </c>
      <c r="GU37" s="390">
        <f>ROUND($GS37*(VLOOKUP($S37,各项系数!$D$1:$F$143,2,0))+$E$3*GS37,GT37)</f>
        <v>1</v>
      </c>
      <c r="GV37" s="406">
        <f>各项系数!$F$76/4*($MT37^2-$MS37^2)*10^-2*(VLOOKUP($GV$9,各项系数!$D$1:$F$143,3,0))*10^-3*10^2*各项系数!$J$4*PI()/4*R37</f>
        <v>0.0180900401274424</v>
      </c>
      <c r="GW37" s="389">
        <v>1</v>
      </c>
      <c r="GX37" s="390">
        <f t="shared" si="201"/>
        <v>0.0180900401274424</v>
      </c>
      <c r="GY37" s="390">
        <f>$GX37*(VLOOKUP($GV$9,各项系数!$D$1:$F$143,2,0))</f>
        <v>1.22107770860236</v>
      </c>
      <c r="GZ37" s="406">
        <f>各项系数!$F$76/4*($MV37^2-$MS37^2)*10^-2*(VLOOKUP($GZ$9,各项系数!$D$1:$F$143,3,0))*10^-3*10^2*各项系数!$J$4</f>
        <v>0.119692189933464</v>
      </c>
      <c r="HA37" s="389">
        <v>1</v>
      </c>
      <c r="HB37" s="390">
        <f t="shared" si="144"/>
        <v>0.119692189933464</v>
      </c>
      <c r="HC37" s="390">
        <f>HB37*(VLOOKUP($GZ$9,各项系数!$D$1:$F$143,2,0))</f>
        <v>2.03476722886888</v>
      </c>
      <c r="HD37" s="406">
        <f>各项系数!$F$76/4*($MW37^2-$MT37^2)*10^-2*(VLOOKUP($HD$9,各项系数!$D$1:$F$143,3,0))*10^-3*10^2*各项系数!$J$4</f>
        <v>0.120997559380142</v>
      </c>
      <c r="HE37" s="389">
        <v>1</v>
      </c>
      <c r="HF37" s="390">
        <f t="shared" si="145"/>
        <v>0.120997559380142</v>
      </c>
      <c r="HG37" s="390">
        <f>HF37*(VLOOKUP($HD$9,各项系数!$D$1:$F$143,2,0))</f>
        <v>2.05695850946241</v>
      </c>
      <c r="HH37" s="406">
        <f>各项系数!$F$76/4*($MV37^2-$MS37^2)*10^-2*(VLOOKUP($HH$9,各项系数!$D$1:$F$143,3,0))*10^-3*10^2*各项系数!$J$4</f>
        <v>0.119692189933464</v>
      </c>
      <c r="HI37" s="420">
        <v>1</v>
      </c>
      <c r="HJ37" s="390">
        <f t="shared" si="146"/>
        <v>0.119692189933464</v>
      </c>
      <c r="HK37" s="390">
        <f>HJ37*(VLOOKUP($HH$9,各项系数!$D$1:$F$143,2,0))</f>
        <v>2.03476722886888</v>
      </c>
      <c r="HL37" s="406">
        <f>各项系数!$F$76/4*($MW37^2-$MT37^2)*10^-2*(VLOOKUP($HL$9,各项系数!$D$1:$F$143,3,0))*10^-3*10^2*各项系数!$J$4</f>
        <v>0.120997559380142</v>
      </c>
      <c r="HM37" s="420">
        <v>1</v>
      </c>
      <c r="HN37" s="390">
        <f t="shared" si="147"/>
        <v>0.120997559380142</v>
      </c>
      <c r="HO37" s="390">
        <f>HN37*(VLOOKUP($HL$9,各项系数!$D$1:$F$143,2,0))</f>
        <v>2.05695850946241</v>
      </c>
      <c r="HP37" s="406">
        <f>各项系数!$F$76/4*($MV37^2-$MS37^2)*10^-2*(VLOOKUP(AN37,各项系数!$D$1:$F$143,3,0))*10^-3*10^2*各项系数!$J$4</f>
        <v>0.121343116691167</v>
      </c>
      <c r="HQ37" s="389">
        <v>1</v>
      </c>
      <c r="HR37" s="390">
        <f t="shared" si="202"/>
        <v>0.121343116691167</v>
      </c>
      <c r="HS37" s="390">
        <f>HR37*(VLOOKUP(AN37,各项系数!$D$1:$F$143,2,0))</f>
        <v>1.21343116691167</v>
      </c>
      <c r="HT37" s="406">
        <f>各项系数!$F$76/4*($MW37^2-$MT37^2)*10^-2*(VLOOKUP(AN37,各项系数!$D$1:$F$143,3,0))*10^-3*10^2*各项系数!$J$4</f>
        <v>0.122666491233661</v>
      </c>
      <c r="HU37" s="389">
        <v>1</v>
      </c>
      <c r="HV37" s="390">
        <f t="shared" si="203"/>
        <v>0.122666491233661</v>
      </c>
      <c r="HW37" s="390">
        <f>HV37*(VLOOKUP(AN37,各项系数!$D$1:$F$143,2,0))</f>
        <v>1.22666491233661</v>
      </c>
      <c r="HX37" s="406">
        <f>各项系数!$F$76/4*($MV37^2-$MS37^2)*10^-2*(VLOOKUP($HX$9,各项系数!$D$1:$F$143,3,0))*10^-3*10^2*各项系数!$J$4</f>
        <v>0.121343116691167</v>
      </c>
      <c r="HY37" s="420">
        <v>1</v>
      </c>
      <c r="HZ37" s="390">
        <f t="shared" si="204"/>
        <v>0.121343116691167</v>
      </c>
      <c r="IA37" s="390">
        <f>HZ37*(VLOOKUP($HX$9,各项系数!$D$1:$F$143,2,0))</f>
        <v>1.33477428360283</v>
      </c>
      <c r="IB37" s="406">
        <f>各项系数!$F$76/4*($MW37^2-$MT37^2)*10^-2*(VLOOKUP($IB$9,各项系数!$D$1:$F$143,3,0))*10^-3*10^2*各项系数!$J$4</f>
        <v>0.122666491233661</v>
      </c>
      <c r="IC37" s="420">
        <v>1</v>
      </c>
      <c r="ID37" s="390">
        <f t="shared" si="205"/>
        <v>0.122666491233661</v>
      </c>
      <c r="IE37" s="390">
        <f>ID37*(VLOOKUP($IB$9,各项系数!$D$1:$F$143,2,0))</f>
        <v>1.34933140357027</v>
      </c>
      <c r="IF37" s="429"/>
      <c r="IG37" s="406">
        <f t="shared" si="148"/>
        <v>0.0148049841369017</v>
      </c>
      <c r="IH37" s="389">
        <v>1</v>
      </c>
      <c r="II37" s="390">
        <f t="shared" si="206"/>
        <v>0.0148049841369017</v>
      </c>
      <c r="IJ37" s="390">
        <f>II37*(VLOOKUP($IG$8,各项系数!$D$1:$F$143,2,0))</f>
        <v>0.370124603422542</v>
      </c>
      <c r="IK37" s="406">
        <f>(各项系数!$F$76/4*($MX37^2-$MK37^2)*$EG37)*10^-2*(VLOOKUP($IG$8,各项系数!$D$1:$F$143,3,0))*10^-3*10^2*各项系数!$J$4</f>
        <v>0.0148049841369017</v>
      </c>
      <c r="IL37" s="389">
        <f>IK37*(VLOOKUP($IG$8,各项系数!$D$1:$F$143,2,0))</f>
        <v>0.370124603422542</v>
      </c>
      <c r="IM37" s="390">
        <f>(各项系数!$F$76/4*(($MM37+3*$X37)^2-MM37^2)*$EO37)*10^-2*(VLOOKUP($IG$8,各项系数!$D$1:$F$143,3,0))*10^-3*10^2*各项系数!$J$4</f>
        <v>0</v>
      </c>
      <c r="IN37" s="389">
        <f>IM37*(VLOOKUP($IG$8,各项系数!$D$1:$F$143,2,0))</f>
        <v>0</v>
      </c>
      <c r="IO37" s="406">
        <f>各项系数!$F$76/4*($MZ37^2-$MX37^2)*10^-2*(VLOOKUP(L37,各项系数!$D$1:$F$143,3,0))*10^-3*10^2*$ES37*各项系数!$J$4</f>
        <v>0.0301468352795718</v>
      </c>
      <c r="IP37" s="389">
        <v>1</v>
      </c>
      <c r="IQ37" s="390">
        <f t="shared" si="207"/>
        <v>0.0301468352795718</v>
      </c>
      <c r="IR37" s="367">
        <f>IQ37*(VLOOKUP(L37,各项系数!$D$1:$F$143,2,0))</f>
        <v>0.307497719851633</v>
      </c>
      <c r="IS37" s="406">
        <f>IF($L37&lt;&gt;$IS$9,0,各项系数!$F$76/4*($MZ37^2-$MX37^2)*10^-2*各项系数!$F$12*10^-3*10^2)*$ES37*各项系数!$J$4</f>
        <v>0</v>
      </c>
      <c r="IT37" s="389">
        <v>1</v>
      </c>
      <c r="IU37" s="390">
        <f t="shared" si="208"/>
        <v>0</v>
      </c>
      <c r="IV37" s="367">
        <f>IU37*各项系数!$E$12</f>
        <v>0</v>
      </c>
      <c r="IW37" s="388">
        <f t="shared" si="209"/>
        <v>0.0301468352795718</v>
      </c>
      <c r="IX37" s="388">
        <f t="shared" si="210"/>
        <v>0.307497719851633</v>
      </c>
      <c r="IY37" s="447">
        <f>各项系数!$F$76/4*($NB37^2-$MZ37^2*$EG37-$NA37^2*$EO37)*10^-2</f>
        <v>0.761466601787078</v>
      </c>
      <c r="IZ37" s="366">
        <f t="shared" si="231"/>
        <v>0.05</v>
      </c>
      <c r="JA37" s="367">
        <f t="shared" si="64"/>
        <v>0.0380733300893539</v>
      </c>
      <c r="JB37" s="364">
        <f>IF($DE37&lt;&gt;$JB$9,0,$JA37*各项系数!$F$32*10^-3*10^2)*各项系数!$J$4</f>
        <v>0</v>
      </c>
      <c r="JC37" s="123">
        <v>1</v>
      </c>
      <c r="JD37" s="251">
        <f t="shared" si="211"/>
        <v>0</v>
      </c>
      <c r="JE37" s="339">
        <f>JD37*各项系数!$E$32</f>
        <v>0</v>
      </c>
      <c r="JF37" s="364">
        <f>IF($DE37&lt;&gt;$JF$9,0,$JA37*VLOOKUP($JF$9,各项系数!$D$4:$F$540,2,0)*10^-3*10^2)*各项系数!$J$4</f>
        <v>0.0189414817194536</v>
      </c>
      <c r="JG37" s="123">
        <v>1</v>
      </c>
      <c r="JH37" s="251">
        <f t="shared" si="66"/>
        <v>0.0189414817194536</v>
      </c>
      <c r="JI37" s="339">
        <f>JH37*VLOOKUP($JF$9,各项系数!$D$4:$F$540,3,0)</f>
        <v>0.0227297780633443</v>
      </c>
      <c r="JJ37" s="364">
        <f t="shared" si="212"/>
        <v>0.0189414817194536</v>
      </c>
      <c r="JK37" s="251">
        <f t="shared" si="213"/>
        <v>0.0227297780633443</v>
      </c>
      <c r="JL37" s="364">
        <f>IF($DF37&lt;&gt;$JL$9,0,各项系数!$F$76/4*($NE37^2-$NC37^2)*10^-2*各项系数!$F$39*10^-3*10^2)*各项系数!$J$4</f>
        <v>0.0013608518954983</v>
      </c>
      <c r="JM37" s="123">
        <v>1</v>
      </c>
      <c r="JN37" s="251">
        <f t="shared" si="214"/>
        <v>0.0013608518954983</v>
      </c>
      <c r="JO37" s="339">
        <f>JN37*各项系数!$E$39</f>
        <v>0.0272170379099659</v>
      </c>
      <c r="JP37" s="364">
        <f>IF($DF37&lt;&gt;$JP$9,0,各项系数!$F$76/4*($NE37^2-$NC37^2)*10^-2*各项系数!$F$36*10^-3*10^2)*各项系数!$J$4</f>
        <v>0</v>
      </c>
      <c r="JQ37" s="123">
        <v>1</v>
      </c>
      <c r="JR37" s="251">
        <f t="shared" si="215"/>
        <v>0</v>
      </c>
      <c r="JS37" s="339">
        <f>JR37*各项系数!$E$36</f>
        <v>0</v>
      </c>
      <c r="JT37" s="364">
        <f>IF($DF37&lt;&gt;$JT$9,0,各项系数!$F$76/4*($NE37^2-$NC37^2)*10^-2*各项系数!$F$40*10^-3*10^2)*各项系数!$J$4</f>
        <v>0</v>
      </c>
      <c r="JU37" s="123">
        <v>1</v>
      </c>
      <c r="JV37" s="251">
        <f t="shared" si="216"/>
        <v>0</v>
      </c>
      <c r="JW37" s="339">
        <f>JV37*各项系数!$E$40</f>
        <v>0</v>
      </c>
      <c r="JX37" s="364">
        <f>IF($DF37&lt;&gt;$JX$9,0,各项系数!$F$76/4*($NE37^2-$NC37^2)*10^-2*各项系数!$F$38*10^-3*10^2)*各项系数!$J$4</f>
        <v>0</v>
      </c>
      <c r="JY37" s="123">
        <v>1</v>
      </c>
      <c r="JZ37" s="251">
        <f t="shared" si="217"/>
        <v>0</v>
      </c>
      <c r="KA37" s="339">
        <f>JZ37*各项系数!$E$38</f>
        <v>0</v>
      </c>
      <c r="KB37" s="364">
        <f>IF($DF37&lt;&gt;$KB$9,0,各项系数!$F$76/4*($NE37^2-$NC37^2)*10^-2*各项系数!$F$41*10^-3*10^2)*各项系数!$J$4</f>
        <v>0</v>
      </c>
      <c r="KC37" s="123">
        <v>1</v>
      </c>
      <c r="KD37" s="251">
        <f t="shared" si="218"/>
        <v>0</v>
      </c>
      <c r="KE37" s="339">
        <f>KD37*各项系数!$E$41</f>
        <v>0</v>
      </c>
      <c r="KF37" s="251">
        <f t="shared" si="219"/>
        <v>0.0013608518954983</v>
      </c>
      <c r="KG37" s="251">
        <f t="shared" si="220"/>
        <v>0.0272170379099659</v>
      </c>
      <c r="KH37" s="302">
        <f>各项系数!$F$76/4*($NG37^2-$NE37^2)*10^-2*各项系数!$F$44*10^-3*10^2*各项系数!$J$4*0.75*$U37</f>
        <v>0.158750706087904</v>
      </c>
      <c r="KI37" s="123">
        <v>1</v>
      </c>
      <c r="KJ37" s="251">
        <f t="shared" si="221"/>
        <v>0.158750706087904</v>
      </c>
      <c r="KK37" s="251">
        <f>ROUND(KJ37*各项系数!$E$43,GT37)</f>
        <v>1</v>
      </c>
      <c r="KL37" s="302">
        <f>各项系数!$F$76/4*($NF37^2-$NE37^2)*10^-2*各项系数!$F$46*10^-3*10^2*各项系数!$J$4*PI()/4*R37</f>
        <v>0.0198516516673098</v>
      </c>
      <c r="KM37" s="123">
        <v>1</v>
      </c>
      <c r="KN37" s="251">
        <f t="shared" si="222"/>
        <v>0.0198516516673098</v>
      </c>
      <c r="KO37" s="251">
        <f>KN37*各项系数!$E$46</f>
        <v>1.33998648754341</v>
      </c>
      <c r="KP37" s="302">
        <f>各项系数!$F$76/4*($NH37^2-$NE37^2)*10^-2*(VLOOKUP($KP$9,各项系数!$D$1:$F$143,3,0))*10^-3*10^2*各项系数!$J$4</f>
        <v>0.129981329011439</v>
      </c>
      <c r="KQ37" s="123">
        <v>1</v>
      </c>
      <c r="KR37" s="251">
        <f t="shared" si="150"/>
        <v>0.129981329011439</v>
      </c>
      <c r="KS37" s="251">
        <f>KR37*(VLOOKUP($KP$9,各项系数!$D$1:$F$143,2,0))</f>
        <v>2.20968259319446</v>
      </c>
      <c r="KT37" s="302">
        <f>各项系数!$F$76/4*($NI37^2-$NF37^2)*10^-2*(VLOOKUP($KT$9,各项系数!$D$1:$F$143,3,0))*10^-3*10^2*各项系数!$J$4</f>
        <v>0.131286698458117</v>
      </c>
      <c r="KU37" s="123">
        <v>1</v>
      </c>
      <c r="KV37" s="251">
        <f t="shared" si="151"/>
        <v>0.131286698458117</v>
      </c>
      <c r="KW37" s="251">
        <f>KV37*(VLOOKUP($KT$9,各项系数!$D$1:$F$143,2,0))</f>
        <v>2.23187387378799</v>
      </c>
      <c r="KX37" s="251">
        <f>各项系数!$F$76/4*($NH37^2-$NE37^2)*10^-2*(VLOOKUP($KX$9,各项系数!$D$1:$F$143,3,0))*10^-3*10^2*各项系数!$J$4</f>
        <v>0.129981329011439</v>
      </c>
      <c r="KY37" s="479">
        <v>1</v>
      </c>
      <c r="KZ37" s="251">
        <f t="shared" si="152"/>
        <v>0.129981329011439</v>
      </c>
      <c r="LA37" s="251">
        <f>KZ37*(VLOOKUP($KX$9,各项系数!$D$1:$F$143,2,0))</f>
        <v>2.20968259319446</v>
      </c>
      <c r="LB37" s="251">
        <f>各项系数!$F$76/4*($NI37^2-$NF37^2)*10^-2*(VLOOKUP($LB$9,各项系数!$D$1:$F$143,3,0))*10^-3*10^2*各项系数!$J$4</f>
        <v>0.131286698458117</v>
      </c>
      <c r="LC37" s="479">
        <v>1</v>
      </c>
      <c r="LD37" s="251">
        <f t="shared" si="153"/>
        <v>0.131286698458117</v>
      </c>
      <c r="LE37" s="251">
        <f>LD37*(VLOOKUP($LB$9,各项系数!$D$1:$F$143,2,0))</f>
        <v>2.23187387378799</v>
      </c>
      <c r="LF37" s="302">
        <f>各项系数!$F$76/4*($NH37^2-$NE37^2)*10^-2*(VLOOKUP(AN37,各项系数!$D$1:$F$143,3,0))*10^-3*10^2*各项系数!$J$4</f>
        <v>0.131774174928838</v>
      </c>
      <c r="LG37" s="123">
        <v>1</v>
      </c>
      <c r="LH37" s="251">
        <f t="shared" si="223"/>
        <v>0.131774174928838</v>
      </c>
      <c r="LI37" s="251">
        <f>LH37*(VLOOKUP(AN37,各项系数!$D$1:$F$143,2,0))</f>
        <v>1.31774174928838</v>
      </c>
      <c r="LJ37" s="302">
        <f>各项系数!$F$76/4*($NI37^2-$NF37^2)*10^-2*(VLOOKUP(AN37,各项系数!$D$1:$F$143,3,0))*10^-3*10^2*各项系数!$J$4</f>
        <v>0.133097549471333</v>
      </c>
      <c r="LK37" s="123">
        <v>1</v>
      </c>
      <c r="LL37" s="251">
        <f t="shared" si="224"/>
        <v>0.133097549471333</v>
      </c>
      <c r="LM37" s="251">
        <f>LL37*(VLOOKUP(AN37,各项系数!$D$1:$F$143,2,0))</f>
        <v>1.33097549471333</v>
      </c>
      <c r="LN37" s="251">
        <f>各项系数!$F$76/4*($NH37^2-$NE37^2)*10^-2*(VLOOKUP($LN$9,各项系数!$D$1:$F$143,3,0))*10^-3*10^2*各项系数!$J$4</f>
        <v>0.131774174928838</v>
      </c>
      <c r="LO37" s="479">
        <v>1</v>
      </c>
      <c r="LP37" s="251">
        <f t="shared" si="225"/>
        <v>0.131774174928838</v>
      </c>
      <c r="LQ37" s="251">
        <f>LP37*(VLOOKUP($LN$9,各项系数!$D$1:$F$143,2,0))</f>
        <v>1.44951592421722</v>
      </c>
      <c r="LR37" s="251">
        <f>各项系数!$F$76/4*($NI37^2-$NF37^2)*10^-2*(VLOOKUP($LR$9,各项系数!$D$1:$F$143,3,0))*10^-3*10^2*各项系数!$J$4</f>
        <v>0.133097549471333</v>
      </c>
      <c r="LS37" s="479">
        <v>1</v>
      </c>
      <c r="LT37" s="251">
        <f t="shared" si="226"/>
        <v>0.133097549471333</v>
      </c>
      <c r="LU37" s="251">
        <f>LT37*(VLOOKUP($LR$9,各项系数!$D$1:$F$143,2,0))</f>
        <v>1.46407304418466</v>
      </c>
      <c r="LV37" s="499">
        <f t="shared" si="154"/>
        <v>38.68313926</v>
      </c>
      <c r="LW37" s="499">
        <f t="shared" si="155"/>
        <v>30.08688609</v>
      </c>
      <c r="LX37" s="499">
        <f t="shared" si="156"/>
        <v>6.18933058963005</v>
      </c>
      <c r="LY37" s="515">
        <f t="shared" si="157"/>
        <v>8.59625317</v>
      </c>
      <c r="LZ37" s="516">
        <f t="shared" si="86"/>
        <v>1</v>
      </c>
      <c r="MA37" s="517">
        <f t="shared" si="87"/>
        <v>38.68313926</v>
      </c>
      <c r="MB37" s="517">
        <f t="shared" si="158"/>
        <v>4.96250454</v>
      </c>
      <c r="MC37" s="499">
        <f t="shared" si="159"/>
        <v>0</v>
      </c>
      <c r="MD37" s="499">
        <f t="shared" si="160"/>
        <v>0</v>
      </c>
      <c r="ME37" s="499">
        <f t="shared" si="161"/>
        <v>0</v>
      </c>
      <c r="MF37" s="499">
        <f t="shared" si="162"/>
        <v>0</v>
      </c>
      <c r="MG37" s="516">
        <f t="shared" si="163"/>
        <v>1</v>
      </c>
      <c r="MH37" s="517">
        <f t="shared" si="88"/>
        <v>0</v>
      </c>
      <c r="MI37" s="517">
        <f t="shared" si="164"/>
        <v>0</v>
      </c>
      <c r="MJ37" s="251">
        <f t="shared" si="89"/>
        <v>4.96250454</v>
      </c>
      <c r="MK37" s="251">
        <f t="shared" si="165"/>
        <v>4.96250454</v>
      </c>
      <c r="ML37" s="251">
        <f t="shared" si="227"/>
        <v>0</v>
      </c>
      <c r="MM37" s="251">
        <f t="shared" si="91"/>
        <v>0</v>
      </c>
      <c r="MN37" s="251">
        <f t="shared" si="92"/>
        <v>6.36250454</v>
      </c>
      <c r="MO37" s="251">
        <f t="shared" si="166"/>
        <v>0</v>
      </c>
      <c r="MP37" s="251">
        <f t="shared" si="167"/>
        <v>12.72500908</v>
      </c>
      <c r="MQ37" s="251">
        <f t="shared" si="228"/>
        <v>12.72500908</v>
      </c>
      <c r="MR37" s="314">
        <f t="shared" si="168"/>
        <v>12.69475121</v>
      </c>
      <c r="MS37" s="530">
        <f t="shared" si="94"/>
        <v>12.87075121</v>
      </c>
      <c r="MT37" s="530">
        <f t="shared" si="95"/>
        <v>13.03075121</v>
      </c>
      <c r="MU37" s="530">
        <f t="shared" si="232"/>
        <v>13.47075121</v>
      </c>
      <c r="MV37" s="530">
        <f t="shared" si="97"/>
        <v>16.47075121</v>
      </c>
      <c r="MW37" s="530">
        <f t="shared" si="98"/>
        <v>16.63075121</v>
      </c>
      <c r="MX37" s="326">
        <f t="shared" si="233"/>
        <v>5.56250454</v>
      </c>
      <c r="MY37" s="326">
        <f t="shared" si="100"/>
        <v>0</v>
      </c>
      <c r="MZ37" s="251">
        <f t="shared" si="101"/>
        <v>6.96250454</v>
      </c>
      <c r="NA37" s="251">
        <f t="shared" si="102"/>
        <v>0</v>
      </c>
      <c r="NB37" s="251">
        <f t="shared" si="169"/>
        <v>13.92500908</v>
      </c>
      <c r="NC37" s="326">
        <f t="shared" si="229"/>
        <v>13.92500908</v>
      </c>
      <c r="ND37" s="314">
        <f t="shared" si="234"/>
        <v>13.89189782</v>
      </c>
      <c r="NE37" s="537">
        <f t="shared" si="235"/>
        <v>14.13189782</v>
      </c>
      <c r="NF37" s="530">
        <f t="shared" si="106"/>
        <v>14.29189782</v>
      </c>
      <c r="NG37" s="538">
        <f t="shared" si="236"/>
        <v>14.73189782</v>
      </c>
      <c r="NH37" s="326">
        <f t="shared" si="108"/>
        <v>17.73189782</v>
      </c>
      <c r="NI37" s="530">
        <f t="shared" si="109"/>
        <v>17.89189782</v>
      </c>
      <c r="NK37" s="539">
        <f t="shared" si="110"/>
        <v>0.424346420783079</v>
      </c>
      <c r="NL37" s="539">
        <f t="shared" si="111"/>
        <v>19.1636829809644</v>
      </c>
      <c r="NM37" s="539">
        <f t="shared" si="112"/>
        <v>0.424346420783079</v>
      </c>
      <c r="NN37" s="539">
        <f t="shared" si="113"/>
        <v>19.2850260976556</v>
      </c>
      <c r="NO37" s="539">
        <f t="shared" si="114"/>
        <v>0.466090869496739</v>
      </c>
      <c r="NP37" s="539">
        <f t="shared" si="115"/>
        <v>19.668907359175</v>
      </c>
      <c r="NQ37" s="539">
        <f t="shared" si="116"/>
        <v>0.466090869496739</v>
      </c>
      <c r="NR37" s="539">
        <f t="shared" si="117"/>
        <v>19.8006815341039</v>
      </c>
      <c r="NS37" s="539">
        <f t="shared" si="118"/>
        <v>0.442436460910521</v>
      </c>
      <c r="NT37" s="539">
        <f t="shared" si="119"/>
        <v>0.442436460910521</v>
      </c>
      <c r="NU37" s="539">
        <f t="shared" si="120"/>
        <v>0.485942521164049</v>
      </c>
      <c r="NV37" s="539">
        <f t="shared" si="121"/>
        <v>0.485942521164049</v>
      </c>
      <c r="NW37">
        <f t="shared" si="122"/>
        <v>0.520931826268145</v>
      </c>
      <c r="NX37">
        <f>各项系数!$M$9*NK37</f>
        <v>0.127303926234924</v>
      </c>
      <c r="NY37">
        <f t="shared" si="123"/>
        <v>0.442436460910521</v>
      </c>
    </row>
    <row r="38" ht="30" customHeight="1" spans="1:389">
      <c r="A38" s="88" t="s">
        <v>912</v>
      </c>
      <c r="B38" s="89" t="s">
        <v>913</v>
      </c>
      <c r="C38" s="87"/>
      <c r="D38" s="69" t="s">
        <v>148</v>
      </c>
      <c r="E38" s="77">
        <f t="shared" si="240"/>
        <v>19.82057556</v>
      </c>
      <c r="F38" s="84">
        <f>$F$22</f>
        <v>208.046961644752</v>
      </c>
      <c r="G38" s="74"/>
      <c r="H38" s="23"/>
      <c r="I38" s="78"/>
      <c r="J38" s="23"/>
      <c r="K38" s="23"/>
      <c r="L38" s="118" t="s">
        <v>467</v>
      </c>
      <c r="M38" s="124">
        <f t="shared" si="2"/>
        <v>0.9</v>
      </c>
      <c r="N38" s="124">
        <f t="shared" si="3"/>
        <v>0</v>
      </c>
      <c r="O38" s="69">
        <f t="shared" ref="O38:O47" si="251">$O$36</f>
        <v>0.08</v>
      </c>
      <c r="P38" s="120">
        <v>0.1</v>
      </c>
      <c r="Q38" s="162">
        <f t="shared" si="248"/>
        <v>0.1</v>
      </c>
      <c r="R38" s="86">
        <v>0.8</v>
      </c>
      <c r="S38" s="171" t="str">
        <f>各项系数!$D$43</f>
        <v>钢带</v>
      </c>
      <c r="T38" s="69">
        <v>0.2</v>
      </c>
      <c r="U38" s="123">
        <v>2</v>
      </c>
      <c r="V38" s="169"/>
      <c r="W38" s="170">
        <v>1.8</v>
      </c>
      <c r="X38" s="164">
        <f t="shared" si="249"/>
        <v>0.2</v>
      </c>
      <c r="Y38" s="219"/>
      <c r="Z38" s="220"/>
      <c r="AA38" s="217">
        <f>$AA$22</f>
        <v>1.011</v>
      </c>
      <c r="AB38" s="186">
        <f>PI()*EJ38*EJ38/4*EH38*(1-H38)*AA38*各项系数!$F$5*各项系数!$J$4*10^-7</f>
        <v>0.212807374667777</v>
      </c>
      <c r="AC38" s="186">
        <f t="shared" si="241"/>
        <v>208.046961644752</v>
      </c>
      <c r="AD38" s="186">
        <f t="shared" si="5"/>
        <v>24.0581280607511</v>
      </c>
      <c r="AE38" s="186">
        <f>POWER(4*EU38/PI()/EG38/10^-7/EH38/(1-H38)/各项系数!$F$5/各项系数!$J$4,0.5)</f>
        <v>209.188090412333</v>
      </c>
      <c r="AF38" s="218">
        <v>1</v>
      </c>
      <c r="AG38" s="85">
        <f>IF(EM38=0,0,PI()*ER38*ER38/4*EP38*(1-K38)*(1+AF38)*各项系数!$F$5*各项系数!$J$4*10^-7)</f>
        <v>0</v>
      </c>
      <c r="AH38" s="85">
        <f t="shared" si="242"/>
        <v>0</v>
      </c>
      <c r="AI38" s="85">
        <f t="shared" si="128"/>
        <v>0</v>
      </c>
      <c r="AJ38" s="85">
        <f>IF(OR(EP38="",EP38=0),0,POWER(4*EW38/PI()/EO38/10^-7/EP38/(1-K38)/各项系数!$F$5/各项系数!$J$4,0.5))</f>
        <v>0</v>
      </c>
      <c r="AK38" s="85" t="str">
        <f t="shared" si="8"/>
        <v>√</v>
      </c>
      <c r="AL38" s="85">
        <f t="shared" si="243"/>
        <v>30.8478682601157</v>
      </c>
      <c r="AM38" s="250">
        <f t="shared" si="244"/>
        <v>25</v>
      </c>
      <c r="AN38" s="118" t="s">
        <v>486</v>
      </c>
      <c r="AO38" s="259">
        <f>AP38+各项系数!$M$9*$NK38</f>
        <v>30.2430080981526</v>
      </c>
      <c r="AP38" s="259">
        <f>AQ38*(1+$BI38+(VLOOKUP($AM38,$A$12:$B$323,2,0))+各项系数!$J$6+各项系数!$M$5)*(1+$E$2)</f>
        <v>30.0544966957333</v>
      </c>
      <c r="AQ38" s="260">
        <f>AR38+各项系数!$L$9*$NK38</f>
        <v>30.6678537711565</v>
      </c>
      <c r="AR38" s="260">
        <f>AS38*(1+$BJ38+各项系数!$J$5+各项系数!$L$5)</f>
        <v>30.4793423687371</v>
      </c>
      <c r="AS38" s="260">
        <f t="shared" si="129"/>
        <v>29.8817082046443</v>
      </c>
      <c r="AT38" s="259">
        <f>AU38+各项系数!$M$9*$NM38</f>
        <v>31.2514791691597</v>
      </c>
      <c r="AU38" s="259">
        <f>AV38*(1+$BI38+(VLOOKUP($AM38,$A$12:$B$323,2,0))+各项系数!$J$6+各项系数!$M$5)*(1+$E$2)</f>
        <v>31.0629677667404</v>
      </c>
      <c r="AV38" s="260">
        <f>AW38+各项系数!$L$9*$NM38</f>
        <v>31.696905884429</v>
      </c>
      <c r="AW38" s="260">
        <f>AX38*(1+$BJ38+各项系数!$J$5+各项系数!$L$5)</f>
        <v>31.5083944820097</v>
      </c>
      <c r="AX38" s="260">
        <f t="shared" si="130"/>
        <v>30.8905828254997</v>
      </c>
      <c r="AY38" s="259">
        <f>AZ38+各项系数!$M$9*$NS38</f>
        <v>31.8060667484711</v>
      </c>
      <c r="AZ38" s="259">
        <f>BA38*(1+$BI38+(VLOOKUP($AM38,$A$12:$B$214,2,0))+各项系数!$J$6+各项系数!$M$5)*(1+$E$2)</f>
        <v>31.610724590186</v>
      </c>
      <c r="BA38" s="260">
        <f>BB38+各项系数!$L$9*$NS38</f>
        <v>32.2558414185571</v>
      </c>
      <c r="BB38" s="260">
        <f>BC38*(1+$BJ38+各项系数!$J$5+各项系数!$L$5)</f>
        <v>32.060499260272</v>
      </c>
      <c r="BC38" s="262">
        <f t="shared" si="131"/>
        <v>31.4318620198745</v>
      </c>
      <c r="BD38" s="259">
        <f>BE38+各项系数!$M$9*$NS38</f>
        <v>32.8234917716327</v>
      </c>
      <c r="BE38" s="259">
        <f>BF38*(1+$BI38+(VLOOKUP($AM38,$A$12:$B$214,2,0))+各项系数!$J$6+各项系数!$M$5)*(1+$E$2)</f>
        <v>32.6281496133476</v>
      </c>
      <c r="BF38" s="260">
        <f>BG38+各项系数!$L$9*$NS38</f>
        <v>33.2940302177016</v>
      </c>
      <c r="BG38" s="260">
        <f>BH38*(1+$BJ38+各项系数!$J$5+各项系数!$L$5)</f>
        <v>33.0986880594165</v>
      </c>
      <c r="BH38" s="262">
        <f t="shared" si="132"/>
        <v>32.4496941758985</v>
      </c>
      <c r="BI38" s="277"/>
      <c r="BJ38" s="272"/>
      <c r="BK38" s="69" t="s">
        <v>514</v>
      </c>
      <c r="BL38" s="259">
        <f>BM38+各项系数!$M$9*$NM38</f>
        <v>30.6862997252083</v>
      </c>
      <c r="BM38" s="259">
        <f>BN38*(1+$CF38+(VLOOKUP($AM38,$A$12:$B$323,2,0))+各项系数!$J$6+各项系数!$M$5)*(1+$E$2)</f>
        <v>30.4977883227889</v>
      </c>
      <c r="BN38" s="260">
        <f>BO38+各项系数!$L$9*$NM38</f>
        <v>31.1201921661112</v>
      </c>
      <c r="BO38" s="260">
        <f>BP38*(1+$CG38+各项系数!$J$5+各项系数!$L$5)</f>
        <v>30.9316807636919</v>
      </c>
      <c r="BP38" s="260">
        <f t="shared" si="133"/>
        <v>30.0307580230018</v>
      </c>
      <c r="BQ38" s="259">
        <f>BR38+各项系数!$M$9*$NM38</f>
        <v>31.5542068808496</v>
      </c>
      <c r="BR38" s="259">
        <f>BS38*(1+$CF38+(VLOOKUP($AM38,$A$12:$B$323,2,0))+各项系数!$J$6+各项系数!$M$5)*(1+$E$2)</f>
        <v>31.3656954784303</v>
      </c>
      <c r="BS38" s="260">
        <f>BT38+各项系数!$L$9*$NM38</f>
        <v>32.005811712684</v>
      </c>
      <c r="BT38" s="260">
        <f>BU38*(1+$CG38+各项系数!$J$5+各项系数!$L$5)</f>
        <v>31.8173003102647</v>
      </c>
      <c r="BU38" s="260">
        <f t="shared" si="134"/>
        <v>30.8905828254997</v>
      </c>
      <c r="BV38" s="259">
        <f>BW38+各项系数!$M$9*$NT38</f>
        <v>32.0825485171516</v>
      </c>
      <c r="BW38" s="259">
        <f>BX38*(1+$CF38+(VLOOKUP($AM38,$A$12:$B$214,2,0))+各项系数!$J$6+各项系数!$M$5)*(1+$E$2)</f>
        <v>31.8872063588665</v>
      </c>
      <c r="BX38" s="260">
        <f>BY38+各项系数!$L$9*$NT$12</f>
        <v>32.5379656723128</v>
      </c>
      <c r="BY38" s="260">
        <f>BZ38*(1+$CG38+各项系数!$J$5+各项系数!$L$5)</f>
        <v>32.5297022691578</v>
      </c>
      <c r="BZ38" s="262">
        <f t="shared" si="11"/>
        <v>31.5822352127746</v>
      </c>
      <c r="CA38" s="259">
        <f>CB38+各项系数!$M$9*$NT38</f>
        <v>32.958161594529</v>
      </c>
      <c r="CB38" s="259">
        <f>CC38*(1+$CF38+(VLOOKUP($AM38,$A$12:$B$214,2,0))+各项系数!$J$6+各项系数!$M$5)*(1+$E$2)</f>
        <v>32.7628194362438</v>
      </c>
      <c r="CC38" s="260">
        <f>CD38+各项系数!$L$9*$NT$12</f>
        <v>33.4314484043305</v>
      </c>
      <c r="CD38" s="260">
        <f>CE38*(1+$CG38+各项系数!$J$5+各项系数!$L$5)</f>
        <v>33.4231850011755</v>
      </c>
      <c r="CE38" s="262">
        <f t="shared" si="135"/>
        <v>32.4496941758985</v>
      </c>
      <c r="CF38" s="277">
        <f t="shared" si="136"/>
        <v>0</v>
      </c>
      <c r="CG38" s="277">
        <f t="shared" si="12"/>
        <v>0.01</v>
      </c>
      <c r="CH38" s="69"/>
      <c r="CI38" s="259">
        <f>CJ38+各项系数!$M$9*$NO38</f>
        <v>31.070350771163</v>
      </c>
      <c r="CJ38" s="259">
        <f>CK38*(1+$DC38+(VLOOKUP($AM38,$A$12:$B$323,2,0))+各项系数!$J$6+各项系数!$M$5)*(1+$E$2)+各项系数!$M$9*$NK38</f>
        <v>30.8656874821904</v>
      </c>
      <c r="CK38" s="260">
        <f>CL38+各项系数!$L$9*$NO38</f>
        <v>31.3032408977256</v>
      </c>
      <c r="CL38" s="260">
        <f>CM38*(1+$DD38+各项系数!$J$5+各项系数!$L$5)</f>
        <v>31.0985776087529</v>
      </c>
      <c r="CM38" s="260">
        <f t="shared" si="13"/>
        <v>30.4888015772087</v>
      </c>
      <c r="CN38" s="259">
        <f>CO38+各项系数!$M$9*$NO38</f>
        <v>31.9745529840264</v>
      </c>
      <c r="CO38" s="259">
        <f>CP38*(1+$DC38+(VLOOKUP($AM38,$A$12:$B$323,2,0))+各项系数!$J$6+各项系数!$M$5)*(1+$E$2)+各项系数!$M$9*$NK38</f>
        <v>31.7698896950537</v>
      </c>
      <c r="CP38" s="260">
        <f>CQ38+各项系数!$L$9*$NO38</f>
        <v>32.2258962169738</v>
      </c>
      <c r="CQ38" s="260">
        <f>CR38*(1+$DD38+各项系数!$J$5+各项系数!$L$5)</f>
        <v>32.0212329280011</v>
      </c>
      <c r="CR38" s="260">
        <f t="shared" si="14"/>
        <v>31.3933656156874</v>
      </c>
      <c r="CS38" s="259">
        <f>CT38+各项系数!$M$9*$NU38</f>
        <v>32.5648056317463</v>
      </c>
      <c r="CT38" s="259">
        <f t="shared" si="15"/>
        <v>32.3527831034459</v>
      </c>
      <c r="CU38" s="260">
        <f>CV38+各项系数!$L$9*$NU38</f>
        <v>33.013043983108</v>
      </c>
      <c r="CV38" s="260">
        <f>CW38*(1+$DD38+各项系数!$J$5+各项系数!$L$5)</f>
        <v>32.8010214548076</v>
      </c>
      <c r="CW38" s="262">
        <f t="shared" si="16"/>
        <v>32.15786417138</v>
      </c>
      <c r="CX38" s="259">
        <f>CY38+各项系数!$M$9*$NU38</f>
        <v>33.652807194944</v>
      </c>
      <c r="CY38" s="259">
        <f t="shared" si="17"/>
        <v>33.4407846666436</v>
      </c>
      <c r="CZ38" s="260">
        <f>DA38+各项系数!$L$9*$NU38</f>
        <v>34.1232496598404</v>
      </c>
      <c r="DA38" s="260">
        <f>DB38*(1+$DD38+各项系数!$J$5+各项系数!$L$5)</f>
        <v>33.9112271315399</v>
      </c>
      <c r="DB38" s="262">
        <f t="shared" si="18"/>
        <v>33.2463011093528</v>
      </c>
      <c r="DC38" s="277">
        <f t="shared" si="137"/>
        <v>0</v>
      </c>
      <c r="DD38" s="277">
        <f t="shared" si="19"/>
        <v>0</v>
      </c>
      <c r="DE38" s="69" t="s">
        <v>498</v>
      </c>
      <c r="DF38" s="69" t="s">
        <v>513</v>
      </c>
      <c r="DG38" s="259">
        <f>DH38+各项系数!$M$9*$NQ38</f>
        <v>31.5301210234549</v>
      </c>
      <c r="DH38" s="259">
        <f>DI38*(1+$EA38+(VLOOKUP($AM38,$A$12:$B$323,2,0))+各项系数!$J$6+各项系数!$M$5)*(1+$E$2)+各项系数!$M$9*$NK38</f>
        <v>31.3254577344822</v>
      </c>
      <c r="DI38" s="260">
        <f>DJ38+各项系数!$L$9*$NQ38</f>
        <v>31.7723942163907</v>
      </c>
      <c r="DJ38" s="260">
        <f>DK38*(1+$EB38+各项系数!$J$5+各项系数!$L$5)</f>
        <v>31.567730927418</v>
      </c>
      <c r="DK38" s="260">
        <f t="shared" si="20"/>
        <v>30.6482824538039</v>
      </c>
      <c r="DL38" s="259">
        <f>DM38+各项系数!$M$9*$NQ38</f>
        <v>32.4587675358103</v>
      </c>
      <c r="DM38" s="259">
        <f>DN38*(1+$EA38+(VLOOKUP($AM38,$A$12:$B$323,2,0))+各项系数!$J$6+各项系数!$M$5)*(1+$E$2)+各项系数!$M$9*$NK38</f>
        <v>32.2541042468376</v>
      </c>
      <c r="DN38" s="260">
        <f>DO38+各项系数!$L$9*$NQ38</f>
        <v>32.7199926983861</v>
      </c>
      <c r="DO38" s="260">
        <f>DP38*(1+$EB38+各项系数!$J$5+各项系数!$L$5)</f>
        <v>32.5153294094134</v>
      </c>
      <c r="DP38" s="260">
        <f t="shared" si="21"/>
        <v>31.568280980013</v>
      </c>
      <c r="DQ38" s="259">
        <f>DR38+各项系数!$M$9*$NV38</f>
        <v>33.0422685117243</v>
      </c>
      <c r="DR38" s="259">
        <f t="shared" si="22"/>
        <v>32.8302459834238</v>
      </c>
      <c r="DS38" s="260">
        <f>DT38+各项系数!$L$9*$NV38</f>
        <v>33.5002510034937</v>
      </c>
      <c r="DT38" s="260">
        <f>DU38*(1+$EB38+各项系数!$J$5+各项系数!$L$5)</f>
        <v>33.2882284751932</v>
      </c>
      <c r="DU38" s="262">
        <f t="shared" si="23"/>
        <v>32.3186684225177</v>
      </c>
      <c r="DV38" s="259">
        <f>DW38+各项系数!$M$9*$NV38</f>
        <v>33.4853090127443</v>
      </c>
      <c r="DW38" s="259">
        <f t="shared" si="24"/>
        <v>33.2732864844438</v>
      </c>
      <c r="DX38" s="260">
        <f>DY38+各项系数!$L$9*$NV38</f>
        <v>33.9523331473917</v>
      </c>
      <c r="DY38" s="260">
        <f>DZ38*(1+$EB38+各项系数!$J$5+各项系数!$L$5)</f>
        <v>33.7403106190912</v>
      </c>
      <c r="DZ38" s="262">
        <f t="shared" si="25"/>
        <v>32.7575831253313</v>
      </c>
      <c r="EA38" s="277">
        <f t="shared" si="230"/>
        <v>0</v>
      </c>
      <c r="EB38" s="277">
        <f t="shared" si="27"/>
        <v>0.01</v>
      </c>
      <c r="EC38" s="302">
        <f t="shared" si="138"/>
        <v>2</v>
      </c>
      <c r="ED38" s="302" t="str">
        <f t="shared" si="180"/>
        <v>2*25</v>
      </c>
      <c r="EE38" s="251">
        <f t="shared" si="239"/>
        <v>25</v>
      </c>
      <c r="EF38" s="251" t="str">
        <f>LOOKUP(EH38,{1,7,10,14,19,24,30,37,48,61},{1,"1+6","2+8","4+10","1+6+12","2+8+14","4+10+16","1+6+12+18","3+9+15+21","1+6+12+18+24"})</f>
        <v>1+6</v>
      </c>
      <c r="EG38" s="250">
        <f t="shared" si="29"/>
        <v>2</v>
      </c>
      <c r="EH38" s="260">
        <f>VLOOKUP(EE38,各项系数!$B$87:$C$110,2,0)</f>
        <v>7</v>
      </c>
      <c r="EI38" s="250">
        <f>IF(EH38=0,0,VLOOKUP(EH38,各项系数!$D$142:$E$195,2,0))*1</f>
        <v>3</v>
      </c>
      <c r="EJ38" s="305">
        <f t="shared" si="141"/>
        <v>208.046961644752</v>
      </c>
      <c r="EK38" s="251">
        <f t="shared" si="245"/>
        <v>0</v>
      </c>
      <c r="EL38" s="251">
        <f t="shared" si="31"/>
        <v>0</v>
      </c>
      <c r="EM38" s="251">
        <f t="shared" si="182"/>
        <v>0</v>
      </c>
      <c r="EN38" s="251">
        <f>IF(EP38=0,0,LOOKUP(EP38,{1,7,10,14,19,24,30,37,48,61},{1,"1+6","2+8","4+10","1+6+12","2+8+14","4+10+16","1+6+12+18","3+9+15+21","1+6+12+18+24"}))</f>
        <v>0</v>
      </c>
      <c r="EO38" s="251">
        <f t="shared" si="246"/>
        <v>0</v>
      </c>
      <c r="EP38" s="251">
        <f>IF(EM38=0,0,IF(EM38&lt;10,1,IF(AND(EM38&gt;=10,EM38&lt;=35),7,LOOKUP(EM38,{50,70,95,120,150,185,240,300},{10,14,19,24,30,37,48,61})*1)))</f>
        <v>0</v>
      </c>
      <c r="EQ38" s="251">
        <f>IF(EP38=0,0,VLOOKUP(EP38,各项系数!$D$142:$E$195,2,0))*1</f>
        <v>0</v>
      </c>
      <c r="ER38" s="251">
        <f t="shared" si="247"/>
        <v>0</v>
      </c>
      <c r="ES38" s="302">
        <f t="shared" si="250"/>
        <v>2</v>
      </c>
      <c r="ET38" s="251">
        <f>VLOOKUP(ES38,各项系数!$D$142:$E$195,2,0)*1</f>
        <v>2</v>
      </c>
      <c r="EU38" s="311">
        <f>((各项系数!$F$76/4*$EJ38^2*$EG38*$EH38*1*10^-7)*(1-$H38)*AA38)*(VLOOKUP($EY$9,各项系数!$D$4:$F$143,3,0))*各项系数!$J$4</f>
        <v>0.425614749335554</v>
      </c>
      <c r="EV38" s="312">
        <f>EU38*(VLOOKUP($EY$9,各项系数!$D$4:$F$143,2,0))</f>
        <v>27.8777660814788</v>
      </c>
      <c r="EW38" s="324">
        <f>(IF($EO38=0,0,(各项系数!$F$76/4*$ER38^2*$EO38*$EP38*1*10^-7))*(1-$K38)*$AF38)*(VLOOKUP($EY$9,各项系数!$D$4:$F$143,3,0))*各项系数!$J$4</f>
        <v>0</v>
      </c>
      <c r="EX38" s="325">
        <f>EW38*(VLOOKUP($EY$9,各项系数!$D$4:$F$143,2,0))</f>
        <v>0</v>
      </c>
      <c r="EY38" s="251">
        <f>((各项系数!$F$76/4*$EJ38^2*$EG38*$EH38*1*10^-7)*(1-$H38)*AA38+IF($EO38=0,0,(各项系数!$F$76/4*$ER38^2*$EO38*$EP38*1*10^-7))*(1-$K38)*$AF38)*(VLOOKUP($EY$9,各项系数!$D$4:$F$143,3,0))*各项系数!$J$4</f>
        <v>0.425614749335554</v>
      </c>
      <c r="EZ38" s="123">
        <v>1</v>
      </c>
      <c r="FA38" s="251">
        <f t="shared" si="188"/>
        <v>0.425614749335554</v>
      </c>
      <c r="FB38" s="326">
        <f>FA38*(VLOOKUP($EY$9,各项系数!$D$4:$F$143,2,0))</f>
        <v>27.8777660814788</v>
      </c>
      <c r="FC38" s="327"/>
      <c r="FD38" s="302">
        <f>各项系数!$F$76/4*($MN38^2-MK38^2)*10^-2*(VLOOKUP(L38,各项系数!$D$1:$F$143,3,0))*10^-3*10^2*$EG38*各项系数!$J$4</f>
        <v>0.0441999768331495</v>
      </c>
      <c r="FE38" s="339">
        <f>FD38*VLOOKUP(L38,各项系数!$D$1:$F$143,2,0)</f>
        <v>0.450839763698124</v>
      </c>
      <c r="FF38" s="250">
        <f>各项系数!$F$76/4*($MO38^2-ML38^2)*10^-2*(VLOOKUP(L38,各项系数!$D$1:$F$143,3,0))*10^-3*10^2*$EO38*各项系数!$J$4</f>
        <v>0</v>
      </c>
      <c r="FG38" s="339">
        <f>FF38*VLOOKUP(L38,各项系数!$D$1:$F$143,2,0)</f>
        <v>0</v>
      </c>
      <c r="FH38" s="302">
        <f t="shared" si="142"/>
        <v>0.0441999768331495</v>
      </c>
      <c r="FI38" s="123">
        <v>1</v>
      </c>
      <c r="FJ38" s="251">
        <f t="shared" si="189"/>
        <v>0.0441999768331495</v>
      </c>
      <c r="FK38" s="339">
        <f>FJ38*VLOOKUP(L38,各项系数!$D$1:$F$143,2,0)</f>
        <v>0.450839763698124</v>
      </c>
      <c r="FL38" s="302"/>
      <c r="FM38" s="123"/>
      <c r="FN38" s="251"/>
      <c r="FO38" s="339"/>
      <c r="FP38" s="364">
        <f t="shared" si="190"/>
        <v>0.0441999768331495</v>
      </c>
      <c r="FQ38" s="364">
        <f t="shared" si="191"/>
        <v>0.450839763698124</v>
      </c>
      <c r="FR38" s="365">
        <f>各项系数!$F$76/4*($MQ38^2-$MN38^2*$EG38-$MO38^2*$EO38)*10^-2</f>
        <v>1.01574376512374</v>
      </c>
      <c r="FS38" s="366">
        <f t="shared" si="143"/>
        <v>0.05</v>
      </c>
      <c r="FT38" s="367">
        <f t="shared" si="40"/>
        <v>0.050787188256187</v>
      </c>
      <c r="FU38" s="388">
        <f>$FT38*(VLOOKUP($FT$9,各项系数!$D$1:$F$143,3,0))*10^-3*10^2*各项系数!$J$55</f>
        <v>0.00606399027778873</v>
      </c>
      <c r="FV38" s="389">
        <v>1</v>
      </c>
      <c r="FW38" s="390">
        <f t="shared" si="192"/>
        <v>0.00606399027778873</v>
      </c>
      <c r="FX38" s="367">
        <f>FW38*(VLOOKUP($FT$9,各项系数!$D$1:$F$143,2,0))</f>
        <v>0.0181919708333662</v>
      </c>
      <c r="FY38" s="388">
        <f>IF($BK38&lt;&gt;$FY$9,0,各项系数!$F$76/4*($MS38^2-$MQ38^2)*10^-2*(VLOOKUP($FY$9,各项系数!$D$1:$F$143,3,0))*10^-3*10^2)*各项系数!$J$4</f>
        <v>0</v>
      </c>
      <c r="FZ38" s="389">
        <v>1</v>
      </c>
      <c r="GA38" s="390">
        <f t="shared" si="193"/>
        <v>0</v>
      </c>
      <c r="GB38" s="367">
        <f>GA38*(VLOOKUP($FY$9,各项系数!$D$1:$F$143,2,0))</f>
        <v>0</v>
      </c>
      <c r="GC38" s="388">
        <f>IF($BK38&lt;&gt;$GC$9,0,各项系数!$F$76/4*($MS38^2-$MQ38^2)*10^-2*(VLOOKUP($GC$9,各项系数!$D$1:$F$143,3,0))*10^-3*10^2)*各项系数!$J$4</f>
        <v>0.00344280659369189</v>
      </c>
      <c r="GD38" s="389">
        <v>1</v>
      </c>
      <c r="GE38" s="390">
        <f t="shared" si="194"/>
        <v>0.00344280659369189</v>
      </c>
      <c r="GF38" s="367">
        <f>GE38*(VLOOKUP($GC$9,各项系数!$D$1:$F$143,2,0))</f>
        <v>0.0444122050586254</v>
      </c>
      <c r="GG38" s="388">
        <f>IF($BK38&lt;&gt;$GG$9,0,各项系数!$F$76/4*($MS38^2-$MQ38^2)*10^-2*(VLOOKUP($GG$9,各项系数!$D$1:$F$143,3,0))*10^-3*10^2)*各项系数!$J$4</f>
        <v>0</v>
      </c>
      <c r="GH38" s="389">
        <v>1</v>
      </c>
      <c r="GI38" s="390">
        <f t="shared" si="195"/>
        <v>0</v>
      </c>
      <c r="GJ38" s="367">
        <f>GI38*(VLOOKUP($GG$9,各项系数!$D$1:$F$143,2,0))</f>
        <v>0</v>
      </c>
      <c r="GK38" s="388">
        <f>IF($BK38&lt;&gt;$GK$9,0,各项系数!$F$76/4*($MS38^2-$MQ38^2)*10^-2*(VLOOKUP($GK$9,各项系数!$D$1:$F$143,3,0))*10^-3*10^2)*各项系数!$J$4</f>
        <v>0</v>
      </c>
      <c r="GL38" s="389">
        <v>1</v>
      </c>
      <c r="GM38" s="390">
        <f t="shared" si="196"/>
        <v>0</v>
      </c>
      <c r="GN38" s="367">
        <f>GM38*(VLOOKUP($GK$9,各项系数!$D$1:$F$143,2,0))</f>
        <v>0</v>
      </c>
      <c r="GO38" s="390">
        <f t="shared" si="197"/>
        <v>0.00344280659369189</v>
      </c>
      <c r="GP38" s="390">
        <f t="shared" si="198"/>
        <v>0.0444122050586254</v>
      </c>
      <c r="GQ38" s="406">
        <f>各项系数!$F$76/4*($MU38^2-$MS38^2)*10^-2*(VLOOKUP($S38,各项系数!$D$1:$F$143,3,0))*10^-3*10^2*各项系数!$J$4</f>
        <v>0.121150757756154</v>
      </c>
      <c r="GR38" s="389">
        <v>1</v>
      </c>
      <c r="GS38" s="390">
        <f t="shared" si="199"/>
        <v>0.121150757756154</v>
      </c>
      <c r="GT38" s="390">
        <f t="shared" si="200"/>
        <v>0</v>
      </c>
      <c r="GU38" s="390">
        <f>ROUND($GS38*(VLOOKUP($S38,各项系数!$D$1:$F$143,2,0))+$E$3*GS38,GT38)</f>
        <v>1</v>
      </c>
      <c r="GV38" s="406">
        <f>各项系数!$F$76/4*($MT38^2-$MS38^2)*10^-2*(VLOOKUP($GV$9,各项系数!$D$1:$F$143,3,0))*10^-3*10^2*各项系数!$J$4*PI()/4*R38</f>
        <v>0.022769186219338</v>
      </c>
      <c r="GW38" s="389">
        <v>1</v>
      </c>
      <c r="GX38" s="390">
        <f t="shared" si="201"/>
        <v>0.022769186219338</v>
      </c>
      <c r="GY38" s="390">
        <f>$GX38*(VLOOKUP($GV$9,各项系数!$D$1:$F$143,2,0))</f>
        <v>1.53692006980531</v>
      </c>
      <c r="GZ38" s="406">
        <f>各项系数!$F$76/4*($MV38^2-$MS38^2)*10^-2*(VLOOKUP($GZ$9,各项系数!$D$1:$F$143,3,0))*10^-3*10^2*各项系数!$J$4</f>
        <v>0.147021929672397</v>
      </c>
      <c r="HA38" s="389">
        <v>1</v>
      </c>
      <c r="HB38" s="390">
        <f t="shared" si="144"/>
        <v>0.147021929672397</v>
      </c>
      <c r="HC38" s="390">
        <f>HB38*(VLOOKUP($GZ$9,各项系数!$D$1:$F$143,2,0))</f>
        <v>2.49937280443075</v>
      </c>
      <c r="HD38" s="406">
        <f>各项系数!$F$76/4*($MW38^2-$MT38^2)*10^-2*(VLOOKUP($HD$9,各项系数!$D$1:$F$143,3,0))*10^-3*10^2*各项系数!$J$4</f>
        <v>0.148327299119075</v>
      </c>
      <c r="HE38" s="389">
        <v>1</v>
      </c>
      <c r="HF38" s="390">
        <f t="shared" si="145"/>
        <v>0.148327299119075</v>
      </c>
      <c r="HG38" s="390">
        <f>HF38*(VLOOKUP($HD$9,各项系数!$D$1:$F$143,2,0))</f>
        <v>2.52156408502428</v>
      </c>
      <c r="HH38" s="406">
        <f>各项系数!$F$76/4*($MV38^2-$MS38^2)*10^-2*(VLOOKUP($HH$9,各项系数!$D$1:$F$143,3,0))*10^-3*10^2*各项系数!$J$4</f>
        <v>0.147021929672397</v>
      </c>
      <c r="HI38" s="420">
        <v>1</v>
      </c>
      <c r="HJ38" s="390">
        <f t="shared" si="146"/>
        <v>0.147021929672397</v>
      </c>
      <c r="HK38" s="390">
        <f>HJ38*(VLOOKUP($HH$9,各项系数!$D$1:$F$143,2,0))</f>
        <v>2.49937280443075</v>
      </c>
      <c r="HL38" s="406">
        <f>各项系数!$F$76/4*($MW38^2-$MT38^2)*10^-2*(VLOOKUP($HL$9,各项系数!$D$1:$F$143,3,0))*10^-3*10^2*各项系数!$J$4</f>
        <v>0.148327299119075</v>
      </c>
      <c r="HM38" s="420">
        <v>1</v>
      </c>
      <c r="HN38" s="390">
        <f t="shared" si="147"/>
        <v>0.148327299119075</v>
      </c>
      <c r="HO38" s="390">
        <f>HN38*(VLOOKUP($HL$9,各项系数!$D$1:$F$143,2,0))</f>
        <v>2.52156408502428</v>
      </c>
      <c r="HP38" s="406">
        <f>各项系数!$F$76/4*($MV38^2-$MS38^2)*10^-2*(VLOOKUP(AN38,各项系数!$D$1:$F$143,3,0))*10^-3*10^2*各项系数!$J$4</f>
        <v>0.149049818357533</v>
      </c>
      <c r="HQ38" s="389">
        <v>1</v>
      </c>
      <c r="HR38" s="390">
        <f t="shared" si="202"/>
        <v>0.149049818357533</v>
      </c>
      <c r="HS38" s="390">
        <f>HR38*(VLOOKUP(AN38,各项系数!$D$1:$F$143,2,0))</f>
        <v>1.49049818357533</v>
      </c>
      <c r="HT38" s="406">
        <f>各项系数!$F$76/4*($MW38^2-$MT38^2)*10^-2*(VLOOKUP(AN38,各项系数!$D$1:$F$143,3,0))*10^-3*10^2*各项系数!$J$4</f>
        <v>0.150373192900028</v>
      </c>
      <c r="HU38" s="389">
        <v>1</v>
      </c>
      <c r="HV38" s="390">
        <f t="shared" si="203"/>
        <v>0.150373192900028</v>
      </c>
      <c r="HW38" s="390">
        <f>HV38*(VLOOKUP(AN38,各项系数!$D$1:$F$143,2,0))</f>
        <v>1.50373192900028</v>
      </c>
      <c r="HX38" s="406">
        <f>各项系数!$F$76/4*($MV38^2-$MS38^2)*10^-2*(VLOOKUP($HX$9,各项系数!$D$1:$F$143,3,0))*10^-3*10^2*各项系数!$J$4</f>
        <v>0.149049818357533</v>
      </c>
      <c r="HY38" s="420">
        <v>1</v>
      </c>
      <c r="HZ38" s="390">
        <f t="shared" si="204"/>
        <v>0.149049818357533</v>
      </c>
      <c r="IA38" s="390">
        <f>HZ38*(VLOOKUP($HX$9,各项系数!$D$1:$F$143,2,0))</f>
        <v>1.63954800193287</v>
      </c>
      <c r="IB38" s="406">
        <f>各项系数!$F$76/4*($MW38^2-$MT38^2)*10^-2*(VLOOKUP($IB$9,各项系数!$D$1:$F$143,3,0))*10^-3*10^2*各项系数!$J$4</f>
        <v>0.150373192900028</v>
      </c>
      <c r="IC38" s="420">
        <v>1</v>
      </c>
      <c r="ID38" s="390">
        <f t="shared" si="205"/>
        <v>0.150373192900028</v>
      </c>
      <c r="IE38" s="390">
        <f>ID38*(VLOOKUP($IB$9,各项系数!$D$1:$F$143,2,0))</f>
        <v>1.65410512190031</v>
      </c>
      <c r="IF38" s="429"/>
      <c r="IG38" s="406">
        <f t="shared" si="148"/>
        <v>0.0184029208277487</v>
      </c>
      <c r="IH38" s="389">
        <v>1</v>
      </c>
      <c r="II38" s="390">
        <f t="shared" si="206"/>
        <v>0.0184029208277487</v>
      </c>
      <c r="IJ38" s="390">
        <f>II38*(VLOOKUP($IG$8,各项系数!$D$1:$F$143,2,0))</f>
        <v>0.460073020693717</v>
      </c>
      <c r="IK38" s="406">
        <f>(各项系数!$F$76/4*($MX38^2-$MK38^2)*$EG38)*10^-2*(VLOOKUP($IG$8,各项系数!$D$1:$F$143,3,0))*10^-3*10^2*各项系数!$J$4</f>
        <v>0.0184029208277487</v>
      </c>
      <c r="IL38" s="389">
        <f>IK38*(VLOOKUP($IG$8,各项系数!$D$1:$F$143,2,0))</f>
        <v>0.460073020693717</v>
      </c>
      <c r="IM38" s="390">
        <f>(各项系数!$F$76/4*(($MM38+3*$X38)^2-MM38^2)*$EO38)*10^-2*(VLOOKUP($IG$8,各项系数!$D$1:$F$143,3,0))*10^-3*10^2*各项系数!$J$4</f>
        <v>0</v>
      </c>
      <c r="IN38" s="389">
        <f>IM38*(VLOOKUP($IG$8,各项系数!$D$1:$F$143,2,0))</f>
        <v>0</v>
      </c>
      <c r="IO38" s="406">
        <f>各项系数!$F$76/4*($MZ38^2-$MX38^2)*10^-2*(VLOOKUP(L38,各项系数!$D$1:$F$143,3,0))*10^-3*10^2*$ES38*各项系数!$J$4</f>
        <v>0.0479135278452518</v>
      </c>
      <c r="IP38" s="389">
        <v>1</v>
      </c>
      <c r="IQ38" s="390">
        <f t="shared" si="207"/>
        <v>0.0479135278452518</v>
      </c>
      <c r="IR38" s="367">
        <f>IQ38*(VLOOKUP(L38,各项系数!$D$1:$F$143,2,0))</f>
        <v>0.488717984021569</v>
      </c>
      <c r="IS38" s="406">
        <f>IF($L38&lt;&gt;$IS$9,0,各项系数!$F$76/4*($MZ38^2-$MX38^2)*10^-2*各项系数!$F$12*10^-3*10^2)*$ES38*各项系数!$J$4</f>
        <v>0</v>
      </c>
      <c r="IT38" s="389">
        <v>1</v>
      </c>
      <c r="IU38" s="390">
        <f t="shared" si="208"/>
        <v>0</v>
      </c>
      <c r="IV38" s="367">
        <f>IU38*各项系数!$E$12</f>
        <v>0</v>
      </c>
      <c r="IW38" s="388">
        <f t="shared" si="209"/>
        <v>0.0479135278452518</v>
      </c>
      <c r="IX38" s="388">
        <f t="shared" si="210"/>
        <v>0.488717984021569</v>
      </c>
      <c r="IY38" s="447">
        <f>各项系数!$F$76/4*($NB38^2-$MZ38^2*$EG38-$NA38^2*$EO38)*10^-2</f>
        <v>1.17297561789473</v>
      </c>
      <c r="IZ38" s="366">
        <f t="shared" si="231"/>
        <v>0.05</v>
      </c>
      <c r="JA38" s="367">
        <f t="shared" si="64"/>
        <v>0.0586487808947364</v>
      </c>
      <c r="JB38" s="364">
        <f>IF($DE38&lt;&gt;$JB$9,0,$JA38*各项系数!$F$32*10^-3*10^2)*各项系数!$J$4</f>
        <v>0</v>
      </c>
      <c r="JC38" s="123">
        <v>1</v>
      </c>
      <c r="JD38" s="251">
        <f t="shared" si="211"/>
        <v>0</v>
      </c>
      <c r="JE38" s="339">
        <f>JD38*各项系数!$E$32</f>
        <v>0</v>
      </c>
      <c r="JF38" s="364">
        <f>IF($DE38&lt;&gt;$JF$9,0,$JA38*VLOOKUP($JF$9,各项系数!$D$4:$F$540,2,0)*10^-3*10^2)*各项系数!$J$4</f>
        <v>0.0291777684951313</v>
      </c>
      <c r="JG38" s="123">
        <v>1</v>
      </c>
      <c r="JH38" s="251">
        <f t="shared" si="66"/>
        <v>0.0291777684951313</v>
      </c>
      <c r="JI38" s="339">
        <f>JH38*VLOOKUP($JF$9,各项系数!$D$4:$F$540,3,0)</f>
        <v>0.0350133221941576</v>
      </c>
      <c r="JJ38" s="364">
        <f t="shared" si="212"/>
        <v>0.0291777684951313</v>
      </c>
      <c r="JK38" s="251">
        <f t="shared" si="213"/>
        <v>0.0350133221941576</v>
      </c>
      <c r="JL38" s="364">
        <f>IF($DF38&lt;&gt;$JL$9,0,各项系数!$F$76/4*($NE38^2-$NC38^2)*10^-2*各项系数!$F$39*10^-3*10^2)*各项系数!$J$4</f>
        <v>0.00162112014341879</v>
      </c>
      <c r="JM38" s="123">
        <v>1</v>
      </c>
      <c r="JN38" s="251">
        <f t="shared" si="214"/>
        <v>0.00162112014341879</v>
      </c>
      <c r="JO38" s="339">
        <f>JN38*各项系数!$E$39</f>
        <v>0.0324224028683758</v>
      </c>
      <c r="JP38" s="364">
        <f>IF($DF38&lt;&gt;$JP$9,0,各项系数!$F$76/4*($NE38^2-$NC38^2)*10^-2*各项系数!$F$36*10^-3*10^2)*各项系数!$J$4</f>
        <v>0</v>
      </c>
      <c r="JQ38" s="123">
        <v>1</v>
      </c>
      <c r="JR38" s="251">
        <f t="shared" si="215"/>
        <v>0</v>
      </c>
      <c r="JS38" s="339">
        <f>JR38*各项系数!$E$36</f>
        <v>0</v>
      </c>
      <c r="JT38" s="364">
        <f>IF($DF38&lt;&gt;$JT$9,0,各项系数!$F$76/4*($NE38^2-$NC38^2)*10^-2*各项系数!$F$40*10^-3*10^2)*各项系数!$J$4</f>
        <v>0</v>
      </c>
      <c r="JU38" s="123">
        <v>1</v>
      </c>
      <c r="JV38" s="251">
        <f t="shared" si="216"/>
        <v>0</v>
      </c>
      <c r="JW38" s="339">
        <f>JV38*各项系数!$E$40</f>
        <v>0</v>
      </c>
      <c r="JX38" s="364">
        <f>IF($DF38&lt;&gt;$JX$9,0,各项系数!$F$76/4*($NE38^2-$NC38^2)*10^-2*各项系数!$F$38*10^-3*10^2)*各项系数!$J$4</f>
        <v>0</v>
      </c>
      <c r="JY38" s="123">
        <v>1</v>
      </c>
      <c r="JZ38" s="251">
        <f t="shared" si="217"/>
        <v>0</v>
      </c>
      <c r="KA38" s="339">
        <f>JZ38*各项系数!$E$38</f>
        <v>0</v>
      </c>
      <c r="KB38" s="364">
        <f>IF($DF38&lt;&gt;$KB$9,0,各项系数!$F$76/4*($NE38^2-$NC38^2)*10^-2*各项系数!$F$41*10^-3*10^2)*各项系数!$J$4</f>
        <v>0</v>
      </c>
      <c r="KC38" s="123">
        <v>1</v>
      </c>
      <c r="KD38" s="251">
        <f t="shared" si="218"/>
        <v>0</v>
      </c>
      <c r="KE38" s="339">
        <f>KD38*各项系数!$E$41</f>
        <v>0</v>
      </c>
      <c r="KF38" s="251">
        <f t="shared" si="219"/>
        <v>0.00162112014341879</v>
      </c>
      <c r="KG38" s="251">
        <f t="shared" si="220"/>
        <v>0.0324224028683758</v>
      </c>
      <c r="KH38" s="302">
        <f>各项系数!$F$76/4*($NG38^2-$NE38^2)*10^-2*各项系数!$F$44*10^-3*10^2*各项系数!$J$4*0.75*$U38</f>
        <v>0.195598734494535</v>
      </c>
      <c r="KI38" s="123">
        <v>1</v>
      </c>
      <c r="KJ38" s="251">
        <f t="shared" si="221"/>
        <v>0.195598734494535</v>
      </c>
      <c r="KK38" s="251">
        <f>ROUND(KJ38*各项系数!$E$43,GT38)</f>
        <v>1</v>
      </c>
      <c r="KL38" s="302">
        <f>各项系数!$F$76/4*($NF38^2-$NE38^2)*10^-2*各项系数!$F$46*10^-3*10^2*各项系数!$J$4*PI()/4*R38</f>
        <v>0.0245307977592053</v>
      </c>
      <c r="KM38" s="123">
        <v>1</v>
      </c>
      <c r="KN38" s="251">
        <f t="shared" si="222"/>
        <v>0.0245307977592053</v>
      </c>
      <c r="KO38" s="251">
        <f>KN38*各项系数!$E$46</f>
        <v>1.65582884874636</v>
      </c>
      <c r="KP38" s="302">
        <f>各项系数!$F$76/4*($NH38^2-$NE38^2)*10^-2*(VLOOKUP($KP$9,各项系数!$D$1:$F$143,3,0))*10^-3*10^2*各项系数!$J$4</f>
        <v>0.157311068750372</v>
      </c>
      <c r="KQ38" s="123">
        <v>1</v>
      </c>
      <c r="KR38" s="251">
        <f t="shared" si="150"/>
        <v>0.157311068750372</v>
      </c>
      <c r="KS38" s="251">
        <f>KR38*(VLOOKUP($KP$9,各项系数!$D$1:$F$143,2,0))</f>
        <v>2.67428816875633</v>
      </c>
      <c r="KT38" s="302">
        <f>各项系数!$F$76/4*($NI38^2-$NF38^2)*10^-2*(VLOOKUP($KT$9,各项系数!$D$1:$F$143,3,0))*10^-3*10^2*各项系数!$J$4</f>
        <v>0.158616438197051</v>
      </c>
      <c r="KU38" s="123">
        <v>1</v>
      </c>
      <c r="KV38" s="251">
        <f t="shared" si="151"/>
        <v>0.158616438197051</v>
      </c>
      <c r="KW38" s="251">
        <f>KV38*(VLOOKUP($KT$9,各项系数!$D$1:$F$143,2,0))</f>
        <v>2.69647944934986</v>
      </c>
      <c r="KX38" s="251">
        <f>各项系数!$F$76/4*($NH38^2-$NE38^2)*10^-2*(VLOOKUP($KX$9,各项系数!$D$1:$F$143,3,0))*10^-3*10^2*各项系数!$J$4</f>
        <v>0.157311068750372</v>
      </c>
      <c r="KY38" s="479">
        <v>1</v>
      </c>
      <c r="KZ38" s="251">
        <f t="shared" si="152"/>
        <v>0.157311068750372</v>
      </c>
      <c r="LA38" s="251">
        <f>KZ38*(VLOOKUP($KX$9,各项系数!$D$1:$F$143,2,0))</f>
        <v>2.67428816875633</v>
      </c>
      <c r="LB38" s="251">
        <f>各项系数!$F$76/4*($NI38^2-$NF38^2)*10^-2*(VLOOKUP($LB$9,各项系数!$D$1:$F$143,3,0))*10^-3*10^2*各项系数!$J$4</f>
        <v>0.158616438197051</v>
      </c>
      <c r="LC38" s="479">
        <v>1</v>
      </c>
      <c r="LD38" s="251">
        <f t="shared" si="153"/>
        <v>0.158616438197051</v>
      </c>
      <c r="LE38" s="251">
        <f>LD38*(VLOOKUP($LB$9,各项系数!$D$1:$F$143,2,0))</f>
        <v>2.69647944934986</v>
      </c>
      <c r="LF38" s="302">
        <f>各项系数!$F$76/4*($NH38^2-$NE38^2)*10^-2*(VLOOKUP(AN38,各项系数!$D$1:$F$143,3,0))*10^-3*10^2*各项系数!$J$4</f>
        <v>0.159480876595205</v>
      </c>
      <c r="LG38" s="123">
        <v>1</v>
      </c>
      <c r="LH38" s="251">
        <f t="shared" si="223"/>
        <v>0.159480876595205</v>
      </c>
      <c r="LI38" s="251">
        <f>LH38*(VLOOKUP(AN38,各项系数!$D$1:$F$143,2,0))</f>
        <v>1.59480876595205</v>
      </c>
      <c r="LJ38" s="302">
        <f>各项系数!$F$76/4*($NI38^2-$NF38^2)*10^-2*(VLOOKUP(AN38,各项系数!$D$1:$F$143,3,0))*10^-3*10^2*各项系数!$J$4</f>
        <v>0.1608042511377</v>
      </c>
      <c r="LK38" s="123">
        <v>1</v>
      </c>
      <c r="LL38" s="251">
        <f t="shared" si="224"/>
        <v>0.1608042511377</v>
      </c>
      <c r="LM38" s="251">
        <f>LL38*(VLOOKUP(AN38,各项系数!$D$1:$F$143,2,0))</f>
        <v>1.608042511377</v>
      </c>
      <c r="LN38" s="251">
        <f>各项系数!$F$76/4*($NH38^2-$NE38^2)*10^-2*(VLOOKUP($LN$9,各项系数!$D$1:$F$143,3,0))*10^-3*10^2*各项系数!$J$4</f>
        <v>0.159480876595205</v>
      </c>
      <c r="LO38" s="479">
        <v>1</v>
      </c>
      <c r="LP38" s="251">
        <f t="shared" si="225"/>
        <v>0.159480876595205</v>
      </c>
      <c r="LQ38" s="251">
        <f>LP38*(VLOOKUP($LN$9,各项系数!$D$1:$F$143,2,0))</f>
        <v>1.75428964254725</v>
      </c>
      <c r="LR38" s="251">
        <f>各项系数!$F$76/4*($NI38^2-$NF38^2)*10^-2*(VLOOKUP($LR$9,各项系数!$D$1:$F$143,3,0))*10^-3*10^2*各项系数!$J$4</f>
        <v>0.1608042511377</v>
      </c>
      <c r="LS38" s="479">
        <v>1</v>
      </c>
      <c r="LT38" s="251">
        <f t="shared" si="226"/>
        <v>0.1608042511377</v>
      </c>
      <c r="LU38" s="251">
        <f>LT38*(VLOOKUP($LR$9,各项系数!$D$1:$F$143,2,0))</f>
        <v>1.7688467625147</v>
      </c>
      <c r="LV38" s="499">
        <f t="shared" si="154"/>
        <v>61.19066081</v>
      </c>
      <c r="LW38" s="499">
        <f t="shared" si="155"/>
        <v>47.59273619</v>
      </c>
      <c r="LX38" s="499">
        <f t="shared" si="156"/>
        <v>7.78440452181516</v>
      </c>
      <c r="LY38" s="515">
        <f t="shared" si="157"/>
        <v>13.59792462</v>
      </c>
      <c r="LZ38" s="516">
        <f t="shared" si="86"/>
        <v>1</v>
      </c>
      <c r="MA38" s="517">
        <f t="shared" si="87"/>
        <v>61.19066081</v>
      </c>
      <c r="MB38" s="517">
        <f t="shared" si="158"/>
        <v>6.24140886</v>
      </c>
      <c r="MC38" s="499">
        <f t="shared" si="159"/>
        <v>0</v>
      </c>
      <c r="MD38" s="499">
        <f t="shared" si="160"/>
        <v>0</v>
      </c>
      <c r="ME38" s="499">
        <f t="shared" si="161"/>
        <v>0</v>
      </c>
      <c r="MF38" s="499">
        <f t="shared" si="162"/>
        <v>0</v>
      </c>
      <c r="MG38" s="516">
        <f t="shared" si="163"/>
        <v>1</v>
      </c>
      <c r="MH38" s="517">
        <f t="shared" si="88"/>
        <v>0</v>
      </c>
      <c r="MI38" s="517">
        <f t="shared" si="164"/>
        <v>0</v>
      </c>
      <c r="MJ38" s="251">
        <f t="shared" si="89"/>
        <v>6.24140886</v>
      </c>
      <c r="MK38" s="251">
        <f t="shared" si="165"/>
        <v>6.24140886</v>
      </c>
      <c r="ML38" s="251">
        <f t="shared" si="227"/>
        <v>0</v>
      </c>
      <c r="MM38" s="251">
        <f t="shared" si="91"/>
        <v>0</v>
      </c>
      <c r="MN38" s="251">
        <f t="shared" si="92"/>
        <v>8.04140886</v>
      </c>
      <c r="MO38" s="251">
        <f t="shared" si="166"/>
        <v>0</v>
      </c>
      <c r="MP38" s="251">
        <f t="shared" si="167"/>
        <v>16.08281772</v>
      </c>
      <c r="MQ38" s="251">
        <f t="shared" si="228"/>
        <v>16.08281772</v>
      </c>
      <c r="MR38" s="314">
        <f t="shared" si="168"/>
        <v>16.04457556</v>
      </c>
      <c r="MS38" s="530">
        <f t="shared" si="94"/>
        <v>16.22057556</v>
      </c>
      <c r="MT38" s="530">
        <f t="shared" si="95"/>
        <v>16.38057556</v>
      </c>
      <c r="MU38" s="530">
        <f t="shared" si="232"/>
        <v>16.82057556</v>
      </c>
      <c r="MV38" s="530">
        <f t="shared" si="97"/>
        <v>19.82057556</v>
      </c>
      <c r="MW38" s="530">
        <f t="shared" si="98"/>
        <v>19.98057556</v>
      </c>
      <c r="MX38" s="326">
        <f t="shared" si="233"/>
        <v>6.84140886</v>
      </c>
      <c r="MY38" s="326">
        <f t="shared" si="100"/>
        <v>0</v>
      </c>
      <c r="MZ38" s="251">
        <f t="shared" si="101"/>
        <v>8.64140886</v>
      </c>
      <c r="NA38" s="251">
        <f t="shared" si="102"/>
        <v>0</v>
      </c>
      <c r="NB38" s="251">
        <f t="shared" si="169"/>
        <v>17.28281772</v>
      </c>
      <c r="NC38" s="326">
        <f t="shared" si="229"/>
        <v>17.28281772</v>
      </c>
      <c r="ND38" s="314">
        <f t="shared" si="234"/>
        <v>17.24172217</v>
      </c>
      <c r="NE38" s="537">
        <f t="shared" si="235"/>
        <v>17.48172217</v>
      </c>
      <c r="NF38" s="530">
        <f t="shared" si="106"/>
        <v>17.64172217</v>
      </c>
      <c r="NG38" s="538">
        <f t="shared" si="236"/>
        <v>18.08172217</v>
      </c>
      <c r="NH38" s="326">
        <f t="shared" si="108"/>
        <v>21.08172217</v>
      </c>
      <c r="NI38" s="530">
        <f t="shared" si="109"/>
        <v>21.24172217</v>
      </c>
      <c r="NK38" s="539">
        <f t="shared" si="110"/>
        <v>0.628371341397718</v>
      </c>
      <c r="NL38" s="539">
        <f t="shared" si="111"/>
        <v>29.8817082046443</v>
      </c>
      <c r="NM38" s="539">
        <f t="shared" si="112"/>
        <v>0.628371341397718</v>
      </c>
      <c r="NN38" s="539">
        <f t="shared" si="113"/>
        <v>30.0307580230018</v>
      </c>
      <c r="NO38" s="539">
        <f t="shared" si="114"/>
        <v>0.68221096324231</v>
      </c>
      <c r="NP38" s="539">
        <f t="shared" si="115"/>
        <v>30.4888015772087</v>
      </c>
      <c r="NQ38" s="539">
        <f t="shared" si="116"/>
        <v>0.68221096324231</v>
      </c>
      <c r="NR38" s="539">
        <f t="shared" si="117"/>
        <v>30.6482824538039</v>
      </c>
      <c r="NS38" s="539">
        <f t="shared" si="118"/>
        <v>0.651140527617056</v>
      </c>
      <c r="NT38" s="539">
        <f t="shared" si="119"/>
        <v>0.651140527617056</v>
      </c>
      <c r="NU38" s="539">
        <f t="shared" si="120"/>
        <v>0.706741761001515</v>
      </c>
      <c r="NV38" s="539">
        <f t="shared" si="121"/>
        <v>0.706741761001515</v>
      </c>
      <c r="NW38">
        <f t="shared" si="122"/>
        <v>0.749522099153872</v>
      </c>
      <c r="NX38">
        <f>各项系数!$M$9*NK38</f>
        <v>0.188511402419315</v>
      </c>
      <c r="NY38">
        <f t="shared" si="123"/>
        <v>0.651140527617056</v>
      </c>
    </row>
    <row r="39" customHeight="1" spans="1:389">
      <c r="A39" s="90">
        <v>1</v>
      </c>
      <c r="B39" s="86">
        <v>1</v>
      </c>
      <c r="C39" s="87"/>
      <c r="D39" s="69" t="s">
        <v>164</v>
      </c>
      <c r="E39" s="77">
        <f t="shared" si="240"/>
        <v>22.03575667</v>
      </c>
      <c r="F39" s="84">
        <f>$F$23</f>
        <v>245.05464536043</v>
      </c>
      <c r="G39" s="74"/>
      <c r="H39" s="23"/>
      <c r="I39" s="78"/>
      <c r="J39" s="23"/>
      <c r="K39" s="23"/>
      <c r="L39" s="118" t="s">
        <v>467</v>
      </c>
      <c r="M39" s="124">
        <f t="shared" si="2"/>
        <v>0.9</v>
      </c>
      <c r="N39" s="124">
        <f t="shared" si="3"/>
        <v>0</v>
      </c>
      <c r="O39" s="69">
        <f t="shared" si="251"/>
        <v>0.08</v>
      </c>
      <c r="P39" s="120">
        <v>0.1</v>
      </c>
      <c r="Q39" s="162">
        <f t="shared" si="248"/>
        <v>0.1</v>
      </c>
      <c r="R39" s="86">
        <v>0.8</v>
      </c>
      <c r="S39" s="171" t="str">
        <f>各项系数!$D$43</f>
        <v>钢带</v>
      </c>
      <c r="T39" s="69">
        <v>0.2</v>
      </c>
      <c r="U39" s="123">
        <v>2</v>
      </c>
      <c r="V39" s="169"/>
      <c r="W39" s="170">
        <v>1.8</v>
      </c>
      <c r="X39" s="164">
        <f t="shared" si="249"/>
        <v>0.2</v>
      </c>
      <c r="Y39" s="219"/>
      <c r="Z39" s="220"/>
      <c r="AA39" s="217">
        <f>$AA$23</f>
        <v>1.011</v>
      </c>
      <c r="AB39" s="186">
        <f>PI()*EJ39*EJ39/4*EH39*(1-H39)*AA39*各项系数!$F$5*各项系数!$J$4*10^-7</f>
        <v>0.295249926304339</v>
      </c>
      <c r="AC39" s="186">
        <f t="shared" si="241"/>
        <v>245.05464536043</v>
      </c>
      <c r="AD39" s="186">
        <f t="shared" si="5"/>
        <v>33.3783570613855</v>
      </c>
      <c r="AE39" s="186">
        <f>POWER(4*EU39/PI()/EG39/10^-7/EH39/(1-H39)/各项系数!$F$5/各项系数!$J$4,0.5)</f>
        <v>246.398759704805</v>
      </c>
      <c r="AF39" s="218">
        <v>1</v>
      </c>
      <c r="AG39" s="85">
        <f>IF(EM39=0,0,PI()*ER39*ER39/4*EP39*(1-K39)*(1+AF39)*各项系数!$F$5*各项系数!$J$4*10^-7)</f>
        <v>0</v>
      </c>
      <c r="AH39" s="85">
        <f t="shared" si="242"/>
        <v>0</v>
      </c>
      <c r="AI39" s="85">
        <f t="shared" si="128"/>
        <v>0</v>
      </c>
      <c r="AJ39" s="85">
        <f>IF(OR(EP39="",EP39=0),0,POWER(4*EW39/PI()/EO39/10^-7/EP39/(1-K39)/各项系数!$F$5/各项系数!$J$4,0.5))</f>
        <v>0</v>
      </c>
      <c r="AK39" s="85" t="str">
        <f t="shared" si="8"/>
        <v>√</v>
      </c>
      <c r="AL39" s="85">
        <f t="shared" si="243"/>
        <v>42.2438714403165</v>
      </c>
      <c r="AM39" s="250">
        <f t="shared" si="244"/>
        <v>35</v>
      </c>
      <c r="AN39" s="118" t="s">
        <v>486</v>
      </c>
      <c r="AO39" s="259">
        <f>AP39+各项系数!$M$9*$NK39</f>
        <v>41.4155602356044</v>
      </c>
      <c r="AP39" s="259">
        <f>AQ39*(1+$BI39+(VLOOKUP($AM39,$A$12:$B$323,2,0))+各项系数!$J$6+各项系数!$M$5)*(1+$E$2)</f>
        <v>41.1693914552135</v>
      </c>
      <c r="AQ39" s="260">
        <f>AR39+各项系数!$L$9*$NK39</f>
        <v>42.0095831175648</v>
      </c>
      <c r="AR39" s="260">
        <f>AS39*(1+$BJ39+各项系数!$J$5+各项系数!$L$5)</f>
        <v>41.7634143371738</v>
      </c>
      <c r="AS39" s="260">
        <f t="shared" si="129"/>
        <v>40.9445238599743</v>
      </c>
      <c r="AT39" s="259">
        <f>AU39+各项系数!$M$9*$NM39</f>
        <v>42.5479977170648</v>
      </c>
      <c r="AU39" s="259">
        <f>AV39*(1+$BI39+(VLOOKUP($AM39,$A$12:$B$323,2,0))+各项系数!$J$6+各项系数!$M$5)*(1+$E$2)</f>
        <v>42.3018289366739</v>
      </c>
      <c r="AV39" s="260">
        <f>AW39+各项系数!$L$9*$NM39</f>
        <v>43.1651315680346</v>
      </c>
      <c r="AW39" s="260">
        <f>AX39*(1+$BJ39+各项系数!$J$5+各项系数!$L$5)</f>
        <v>42.9189627876436</v>
      </c>
      <c r="AX39" s="260">
        <f t="shared" si="130"/>
        <v>42.0774144976898</v>
      </c>
      <c r="AY39" s="259">
        <f>AZ39+各项系数!$M$9*$NS39</f>
        <v>43.1892344293157</v>
      </c>
      <c r="AZ39" s="259">
        <f>BA39*(1+$BI39+(VLOOKUP($AM39,$A$12:$B$214,2,0))+各项系数!$J$6+各项系数!$M$5)*(1+$E$2)</f>
        <v>42.9353066214586</v>
      </c>
      <c r="BA39" s="260">
        <f>BB39+各项系数!$L$9*$NS39</f>
        <v>43.8115373688353</v>
      </c>
      <c r="BB39" s="260">
        <f>BC39*(1+$BJ39+各项系数!$J$5+各项系数!$L$5)</f>
        <v>43.5576095609783</v>
      </c>
      <c r="BC39" s="262">
        <f t="shared" si="131"/>
        <v>42.7035387852728</v>
      </c>
      <c r="BD39" s="259">
        <f>BE39+各项系数!$M$9*$NS39</f>
        <v>44.3306258629306</v>
      </c>
      <c r="BE39" s="259">
        <f>BF39*(1+$BI39+(VLOOKUP($AM39,$A$12:$B$214,2,0))+各项系数!$J$6+各项系数!$M$5)*(1+$E$2)</f>
        <v>44.0766980550735</v>
      </c>
      <c r="BF39" s="260">
        <f>BG39+各项系数!$L$9*$NS39</f>
        <v>44.9762225051771</v>
      </c>
      <c r="BG39" s="260">
        <f>BH39*(1+$BJ39+各项系数!$J$5+各项系数!$L$5)</f>
        <v>44.72229469732</v>
      </c>
      <c r="BH39" s="262">
        <f t="shared" si="132"/>
        <v>43.8453869581569</v>
      </c>
      <c r="BI39" s="277"/>
      <c r="BJ39" s="272"/>
      <c r="BK39" s="69" t="s">
        <v>514</v>
      </c>
      <c r="BL39" s="259">
        <f>BM39+各项系数!$M$9*$NM39</f>
        <v>41.9857616468466</v>
      </c>
      <c r="BM39" s="259">
        <f>BN39*(1+$CF39+(VLOOKUP($AM39,$A$12:$B$323,2,0))+各项系数!$J$6+各项系数!$M$5)*(1+$E$2)</f>
        <v>41.7395928664557</v>
      </c>
      <c r="BN39" s="260">
        <f>BO39+各项系数!$L$9*$NM39</f>
        <v>42.5914212923017</v>
      </c>
      <c r="BO39" s="260">
        <f>BP39*(1+$CG39+各项系数!$J$5+各项系数!$L$5)</f>
        <v>42.3452525119107</v>
      </c>
      <c r="BP39" s="260">
        <f t="shared" si="133"/>
        <v>41.1118956426318</v>
      </c>
      <c r="BQ39" s="259">
        <f>BR39+各项系数!$M$9*$NM39</f>
        <v>42.9603563791422</v>
      </c>
      <c r="BR39" s="259">
        <f>BS39*(1+$CF39+(VLOOKUP($AM39,$A$12:$B$323,2,0))+各项系数!$J$6+各项系数!$M$5)*(1+$E$2)</f>
        <v>42.7141875987512</v>
      </c>
      <c r="BS39" s="260">
        <f>BT39+各项系数!$L$9*$NM39</f>
        <v>43.5859057130115</v>
      </c>
      <c r="BT39" s="260">
        <f>BU39*(1+$CG39+各项系数!$J$5+各项系数!$L$5)</f>
        <v>43.3397369326205</v>
      </c>
      <c r="BU39" s="260">
        <f t="shared" si="134"/>
        <v>42.0774144976898</v>
      </c>
      <c r="BV39" s="259">
        <f>BW39+各项系数!$M$9*$NT39</f>
        <v>43.5372588844809</v>
      </c>
      <c r="BW39" s="259">
        <f>BX39*(1+$CF39+(VLOOKUP($AM39,$A$12:$B$214,2,0))+各项系数!$J$6+各项系数!$M$5)*(1+$E$2)</f>
        <v>43.2833310766239</v>
      </c>
      <c r="BX39" s="260">
        <f>BY39+各项系数!$L$9*$NT$12</f>
        <v>44.1666643639019</v>
      </c>
      <c r="BY39" s="260">
        <f>BZ39*(1+$CG39+各项系数!$J$5+各项系数!$L$5)</f>
        <v>44.1584009607469</v>
      </c>
      <c r="BZ39" s="262">
        <f t="shared" si="11"/>
        <v>42.8722339424728</v>
      </c>
      <c r="CA39" s="259">
        <f>CB39+各项系数!$M$9*$NT39</f>
        <v>44.5195595385125</v>
      </c>
      <c r="CB39" s="259">
        <f>CC39*(1+$CF39+(VLOOKUP($AM39,$A$12:$B$214,2,0))+各项系数!$J$6+各项系数!$M$5)*(1+$E$2)</f>
        <v>44.2656317306554</v>
      </c>
      <c r="CC39" s="260">
        <f>CD39+各项系数!$L$9*$NT$12</f>
        <v>45.1690119700566</v>
      </c>
      <c r="CD39" s="260">
        <f>CE39*(1+$CG39+各项系数!$J$5+各项系数!$L$5)</f>
        <v>45.1607485669016</v>
      </c>
      <c r="CE39" s="262">
        <f t="shared" si="135"/>
        <v>43.8453869581569</v>
      </c>
      <c r="CF39" s="277">
        <f t="shared" si="136"/>
        <v>0</v>
      </c>
      <c r="CG39" s="277">
        <f t="shared" si="12"/>
        <v>0.01</v>
      </c>
      <c r="CH39" s="69"/>
      <c r="CI39" s="259">
        <f>CJ39+各项系数!$M$9*$NO39</f>
        <v>42.3872555856201</v>
      </c>
      <c r="CJ39" s="259">
        <f>CK39*(1+$DC39+(VLOOKUP($AM39,$A$12:$B$323,2,0))+各项系数!$J$6+各项系数!$M$5)*(1+$E$2)+各项系数!$M$9*$NK39</f>
        <v>42.122190502655</v>
      </c>
      <c r="CK39" s="260">
        <f>CL39+各项系数!$L$9*$NO39</f>
        <v>42.7306344104735</v>
      </c>
      <c r="CL39" s="260">
        <f>CM39*(1+$DD39+各项系数!$J$5+各项系数!$L$5)</f>
        <v>42.4655693275084</v>
      </c>
      <c r="CM39" s="260">
        <f t="shared" si="13"/>
        <v>41.6329111054004</v>
      </c>
      <c r="CN39" s="259">
        <f>CO39+各项系数!$M$9*$NO39</f>
        <v>43.4154242089367</v>
      </c>
      <c r="CO39" s="259">
        <f>CP39*(1+$DC39+(VLOOKUP($AM39,$A$12:$B$323,2,0))+各项系数!$J$6+各项系数!$M$5)*(1+$E$2)+各项系数!$M$9*$NK39</f>
        <v>43.1503591259716</v>
      </c>
      <c r="CP39" s="260">
        <f>CQ39+各项系数!$L$9*$NO39</f>
        <v>43.779786066919</v>
      </c>
      <c r="CQ39" s="260">
        <f>CR39*(1+$DD39+各项系数!$J$5+各项系数!$L$5)</f>
        <v>43.5147209839539</v>
      </c>
      <c r="CR39" s="260">
        <f t="shared" si="14"/>
        <v>42.6614911607392</v>
      </c>
      <c r="CS39" s="259">
        <f>CT39+各项系数!$M$9*$NU39</f>
        <v>44.0346686116245</v>
      </c>
      <c r="CT39" s="259">
        <f t="shared" si="15"/>
        <v>43.7613160177314</v>
      </c>
      <c r="CU39" s="260">
        <f>CV39+各项系数!$L$9*$NU39</f>
        <v>44.6544040997259</v>
      </c>
      <c r="CV39" s="260">
        <f>CW39*(1+$DD39+各项系数!$J$5+各项系数!$L$5)</f>
        <v>44.3810515058327</v>
      </c>
      <c r="CW39" s="262">
        <f t="shared" si="16"/>
        <v>43.5108348096399</v>
      </c>
      <c r="CX39" s="259">
        <f>CY39+各项系数!$M$9*$NU39</f>
        <v>45.2466365852756</v>
      </c>
      <c r="CY39" s="259">
        <f t="shared" si="17"/>
        <v>44.9732839913824</v>
      </c>
      <c r="CZ39" s="260">
        <f>DA39+各项系数!$L$9*$NU39</f>
        <v>45.8911061136555</v>
      </c>
      <c r="DA39" s="260">
        <f>DB39*(1+$DD39+各项系数!$J$5+各项系数!$L$5)</f>
        <v>45.6177535197623</v>
      </c>
      <c r="DB39" s="262">
        <f t="shared" si="18"/>
        <v>44.7232877644729</v>
      </c>
      <c r="DC39" s="277">
        <f t="shared" si="137"/>
        <v>0</v>
      </c>
      <c r="DD39" s="277">
        <f t="shared" si="19"/>
        <v>0</v>
      </c>
      <c r="DE39" s="69" t="s">
        <v>498</v>
      </c>
      <c r="DF39" s="69" t="s">
        <v>513</v>
      </c>
      <c r="DG39" s="259">
        <f>DH39+各项系数!$M$9*$NQ39</f>
        <v>42.9747323020526</v>
      </c>
      <c r="DH39" s="259">
        <f>DI39*(1+$EA39+(VLOOKUP($AM39,$A$12:$B$323,2,0))+各项系数!$J$6+各项系数!$M$5)*(1+$E$2)+各项系数!$M$9*$NK39</f>
        <v>42.7096672190875</v>
      </c>
      <c r="DI39" s="260">
        <f>DJ39+各项系数!$L$9*$NQ39</f>
        <v>43.3301004476495</v>
      </c>
      <c r="DJ39" s="260">
        <f>DK39*(1+$EB39+各项系数!$J$5+各项系数!$L$5)</f>
        <v>43.0650353646844</v>
      </c>
      <c r="DK39" s="260">
        <f t="shared" si="20"/>
        <v>41.8107139462955</v>
      </c>
      <c r="DL39" s="259">
        <f>DM39+各项系数!$M$9*$NQ39</f>
        <v>44.0100663910622</v>
      </c>
      <c r="DM39" s="259">
        <f>DN39*(1+$EA39+(VLOOKUP($AM39,$A$12:$B$323,2,0))+各项系数!$J$6+各项系数!$M$5)*(1+$E$2)+各项系数!$M$9*$NK39</f>
        <v>43.7450013080971</v>
      </c>
      <c r="DN39" s="260">
        <f>DO39+各项系数!$L$9*$NQ39</f>
        <v>44.3865638037818</v>
      </c>
      <c r="DO39" s="260">
        <f>DP39*(1+$EB39+各项系数!$J$5+各项系数!$L$5)</f>
        <v>44.1214987208167</v>
      </c>
      <c r="DP39" s="260">
        <f t="shared" si="21"/>
        <v>42.8364065250647</v>
      </c>
      <c r="DQ39" s="259">
        <f>DR39+各项系数!$M$9*$NV39</f>
        <v>44.6418847946218</v>
      </c>
      <c r="DR39" s="259">
        <f t="shared" si="22"/>
        <v>44.3685322007286</v>
      </c>
      <c r="DS39" s="260">
        <f>DT39+各项系数!$L$9*$NV39</f>
        <v>45.2740124497231</v>
      </c>
      <c r="DT39" s="260">
        <f>DU39*(1+$EB39+各项系数!$J$5+各项系数!$L$5)</f>
        <v>45.0006598558299</v>
      </c>
      <c r="DU39" s="262">
        <f t="shared" si="23"/>
        <v>43.6899610250775</v>
      </c>
      <c r="DV39" s="259">
        <f>DW39+各项系数!$M$9*$NV39</f>
        <v>45.1208647747493</v>
      </c>
      <c r="DW39" s="259">
        <f t="shared" si="24"/>
        <v>44.8475121808561</v>
      </c>
      <c r="DX39" s="260">
        <f>DY39+各项系数!$L$9*$NV39</f>
        <v>45.7627675314858</v>
      </c>
      <c r="DY39" s="260">
        <f>DZ39*(1+$EB39+各项系数!$J$5+各项系数!$L$5)</f>
        <v>45.4894149375926</v>
      </c>
      <c r="DZ39" s="262">
        <f t="shared" si="25"/>
        <v>44.1644805219346</v>
      </c>
      <c r="EA39" s="277">
        <f t="shared" si="230"/>
        <v>0</v>
      </c>
      <c r="EB39" s="277">
        <f t="shared" si="27"/>
        <v>0.01</v>
      </c>
      <c r="EC39" s="302">
        <f t="shared" si="138"/>
        <v>2</v>
      </c>
      <c r="ED39" s="302" t="str">
        <f t="shared" si="180"/>
        <v>2*35</v>
      </c>
      <c r="EE39" s="251">
        <f t="shared" si="239"/>
        <v>35</v>
      </c>
      <c r="EF39" s="251" t="str">
        <f>LOOKUP(EH39,{1,7,10,14,19,24,30,37,48,61},{1,"1+6","2+8","4+10","1+6+12","2+8+14","4+10+16","1+6+12+18","3+9+15+21","1+6+12+18+24"})</f>
        <v>1+6</v>
      </c>
      <c r="EG39" s="250">
        <f t="shared" si="29"/>
        <v>2</v>
      </c>
      <c r="EH39" s="260">
        <f>VLOOKUP(EE39,各项系数!$B$87:$C$124,2,0)</f>
        <v>7</v>
      </c>
      <c r="EI39" s="250">
        <f>IF(EH39=0,0,VLOOKUP(EH39,各项系数!$D$142:$E$195,2,0))*1</f>
        <v>3</v>
      </c>
      <c r="EJ39" s="305">
        <f t="shared" si="141"/>
        <v>245.05464536043</v>
      </c>
      <c r="EK39" s="251">
        <f t="shared" si="245"/>
        <v>0</v>
      </c>
      <c r="EL39" s="251">
        <f t="shared" si="31"/>
        <v>0</v>
      </c>
      <c r="EM39" s="251">
        <f t="shared" si="182"/>
        <v>0</v>
      </c>
      <c r="EN39" s="251">
        <f>IF(EP39=0,0,LOOKUP(EP39,{1,7,10,14,19,24,30,37,48,61},{1,"1+6","2+8","4+10","1+6+12","2+8+14","4+10+16","1+6+12+18","3+9+15+21","1+6+12+18+24"}))</f>
        <v>0</v>
      </c>
      <c r="EO39" s="251">
        <f t="shared" si="246"/>
        <v>0</v>
      </c>
      <c r="EP39" s="251">
        <f>IF(EM39=0,0,IF(EM39&lt;10,1,IF(AND(EM39&gt;=10,EM39&lt;=35),7,LOOKUP(EM39,{50,70,95,120,150,185,240,300},{10,14,19,24,30,37,48,61})*1)))</f>
        <v>0</v>
      </c>
      <c r="EQ39" s="251">
        <f>IF(EP39=0,0,VLOOKUP(EP39,各项系数!$D$142:$E$195,2,0))*1</f>
        <v>0</v>
      </c>
      <c r="ER39" s="251">
        <f t="shared" si="247"/>
        <v>0</v>
      </c>
      <c r="ES39" s="302">
        <f t="shared" si="250"/>
        <v>2</v>
      </c>
      <c r="ET39" s="251">
        <f>VLOOKUP(ES39,各项系数!$D$142:$E$195,2,0)*1</f>
        <v>2</v>
      </c>
      <c r="EU39" s="311">
        <f>((各项系数!$F$76/4*$EJ39^2*$EG39*$EH39*1*10^-7)*(1-$H39)*AA39)*(VLOOKUP($EY$9,各项系数!$D$4:$F$143,3,0))*各项系数!$J$4</f>
        <v>0.590499852608678</v>
      </c>
      <c r="EV39" s="312">
        <f>EU39*(VLOOKUP($EY$9,各项系数!$D$4:$F$143,2,0))</f>
        <v>38.6777403458684</v>
      </c>
      <c r="EW39" s="324">
        <f>(IF($EO39=0,0,(各项系数!$F$76/4*$ER39^2*$EO39*$EP39*1*10^-7))*(1-$K39)*$AF39)*(VLOOKUP($EY$9,各项系数!$D$4:$F$143,3,0))*各项系数!$J$4</f>
        <v>0</v>
      </c>
      <c r="EX39" s="325">
        <f>EW39*(VLOOKUP($EY$9,各项系数!$D$4:$F$143,2,0))</f>
        <v>0</v>
      </c>
      <c r="EY39" s="251">
        <f>((各项系数!$F$76/4*$EJ39^2*$EG39*$EH39*1*10^-7)*(1-$H39)*AA39+IF($EO39=0,0,(各项系数!$F$76/4*$ER39^2*$EO39*$EP39*1*10^-7))*(1-$K39)*$AF39)*(VLOOKUP($EY$9,各项系数!$D$4:$F$143,3,0))*各项系数!$J$4</f>
        <v>0.590499852608678</v>
      </c>
      <c r="EZ39" s="123">
        <v>1</v>
      </c>
      <c r="FA39" s="251">
        <f t="shared" si="188"/>
        <v>0.590499852608678</v>
      </c>
      <c r="FB39" s="326">
        <f>FA39*(VLOOKUP($EY$9,各项系数!$D$4:$F$143,2,0))</f>
        <v>38.6777403458684</v>
      </c>
      <c r="FC39" s="327"/>
      <c r="FD39" s="302">
        <f>各项系数!$F$76/4*($MN39^2-MK39^2)*10^-2*(VLOOKUP(L39,各项系数!$D$1:$F$143,3,0))*10^-3*10^2*$EG39*各项系数!$J$4</f>
        <v>0.0510714727661601</v>
      </c>
      <c r="FE39" s="339">
        <f>FD39*VLOOKUP(L39,各项系数!$D$1:$F$143,2,0)</f>
        <v>0.520929022214833</v>
      </c>
      <c r="FF39" s="250">
        <f>各项系数!$F$76/4*($MO39^2-ML39^2)*10^-2*(VLOOKUP(L39,各项系数!$D$1:$F$143,3,0))*10^-3*10^2*$EO39*各项系数!$J$4</f>
        <v>0</v>
      </c>
      <c r="FG39" s="339">
        <f>FF39*VLOOKUP(L39,各项系数!$D$1:$F$143,2,0)</f>
        <v>0</v>
      </c>
      <c r="FH39" s="302">
        <f t="shared" si="142"/>
        <v>0.0510714727661601</v>
      </c>
      <c r="FI39" s="123">
        <v>1</v>
      </c>
      <c r="FJ39" s="251">
        <f t="shared" si="189"/>
        <v>0.0510714727661601</v>
      </c>
      <c r="FK39" s="339">
        <f>FJ39*VLOOKUP(L39,各项系数!$D$1:$F$143,2,0)</f>
        <v>0.520929022214833</v>
      </c>
      <c r="FL39" s="302"/>
      <c r="FM39" s="123"/>
      <c r="FN39" s="251"/>
      <c r="FO39" s="339"/>
      <c r="FP39" s="364">
        <f t="shared" si="190"/>
        <v>0.0510714727661601</v>
      </c>
      <c r="FQ39" s="364">
        <f t="shared" si="191"/>
        <v>0.520929022214833</v>
      </c>
      <c r="FR39" s="365">
        <f>各项系数!$F$76/4*($MQ39^2-$MN39^2*$EG39-$MO39^2*$EO39)*10^-2</f>
        <v>1.31558123746289</v>
      </c>
      <c r="FS39" s="366">
        <f t="shared" si="143"/>
        <v>0.05</v>
      </c>
      <c r="FT39" s="367">
        <f t="shared" si="40"/>
        <v>0.0657790618731445</v>
      </c>
      <c r="FU39" s="388">
        <f>$FT39*(VLOOKUP($FT$9,各项系数!$D$1:$F$143,3,0))*10^-3*10^2*各项系数!$J$55</f>
        <v>0.00785401998765345</v>
      </c>
      <c r="FV39" s="389">
        <v>1</v>
      </c>
      <c r="FW39" s="390">
        <f t="shared" si="192"/>
        <v>0.00785401998765345</v>
      </c>
      <c r="FX39" s="367">
        <f>FW39*(VLOOKUP($FT$9,各项系数!$D$1:$F$143,2,0))</f>
        <v>0.0235620599629604</v>
      </c>
      <c r="FY39" s="388">
        <f>IF($BK39&lt;&gt;$FY$9,0,各项系数!$F$76/4*($MS39^2-$MQ39^2)*10^-2*(VLOOKUP($FY$9,各项系数!$D$1:$F$143,3,0))*10^-3*10^2)*各项系数!$J$4</f>
        <v>0</v>
      </c>
      <c r="FZ39" s="389">
        <v>1</v>
      </c>
      <c r="GA39" s="390">
        <f t="shared" si="193"/>
        <v>0</v>
      </c>
      <c r="GB39" s="367">
        <f>GA39*(VLOOKUP($FY$9,各项系数!$D$1:$F$143,2,0))</f>
        <v>0</v>
      </c>
      <c r="GC39" s="388">
        <f>IF($BK39&lt;&gt;$GC$9,0,各项系数!$F$76/4*($MS39^2-$MQ39^2)*10^-2*(VLOOKUP($GC$9,各项系数!$D$1:$F$143,3,0))*10^-3*10^2)*各项系数!$J$4</f>
        <v>0.00376547328321529</v>
      </c>
      <c r="GD39" s="389">
        <v>1</v>
      </c>
      <c r="GE39" s="390">
        <f t="shared" si="194"/>
        <v>0.00376547328321529</v>
      </c>
      <c r="GF39" s="367">
        <f>GE39*(VLOOKUP($GC$9,各项系数!$D$1:$F$143,2,0))</f>
        <v>0.0485746053534772</v>
      </c>
      <c r="GG39" s="388">
        <f>IF($BK39&lt;&gt;$GG$9,0,各项系数!$F$76/4*($MS39^2-$MQ39^2)*10^-2*(VLOOKUP($GG$9,各项系数!$D$1:$F$143,3,0))*10^-3*10^2)*各项系数!$J$4</f>
        <v>0</v>
      </c>
      <c r="GH39" s="389">
        <v>1</v>
      </c>
      <c r="GI39" s="390">
        <f t="shared" si="195"/>
        <v>0</v>
      </c>
      <c r="GJ39" s="367">
        <f>GI39*(VLOOKUP($GG$9,各项系数!$D$1:$F$143,2,0))</f>
        <v>0</v>
      </c>
      <c r="GK39" s="388">
        <f>IF($BK39&lt;&gt;$GK$9,0,各项系数!$F$76/4*($MS39^2-$MQ39^2)*10^-2*(VLOOKUP($GK$9,各项系数!$D$1:$F$143,3,0))*10^-3*10^2)*各项系数!$J$4</f>
        <v>0</v>
      </c>
      <c r="GL39" s="389">
        <v>1</v>
      </c>
      <c r="GM39" s="390">
        <f t="shared" si="196"/>
        <v>0</v>
      </c>
      <c r="GN39" s="367">
        <f>GM39*(VLOOKUP($GK$9,各项系数!$D$1:$F$143,2,0))</f>
        <v>0</v>
      </c>
      <c r="GO39" s="390">
        <f t="shared" si="197"/>
        <v>0.00376547328321529</v>
      </c>
      <c r="GP39" s="390">
        <f t="shared" si="198"/>
        <v>0.0485746053534772</v>
      </c>
      <c r="GQ39" s="406">
        <f>各项系数!$F$76/4*($MU39^2-$MS39^2)*10^-2*(VLOOKUP($S39,各项系数!$D$1:$F$143,3,0))*10^-3*10^2*各项系数!$J$4</f>
        <v>0.137395401840673</v>
      </c>
      <c r="GR39" s="389">
        <v>1</v>
      </c>
      <c r="GS39" s="390">
        <f t="shared" si="199"/>
        <v>0.137395401840673</v>
      </c>
      <c r="GT39" s="390">
        <f t="shared" si="200"/>
        <v>0</v>
      </c>
      <c r="GU39" s="390">
        <f>ROUND($GS39*(VLOOKUP($S39,各项系数!$D$1:$F$143,2,0))+$E$3*GS39,GT39)</f>
        <v>1</v>
      </c>
      <c r="GV39" s="406">
        <f>各项系数!$F$76/4*($MT39^2-$MS39^2)*10^-2*(VLOOKUP($GV$9,各项系数!$D$1:$F$143,3,0))*10^-3*10^2*各项系数!$J$4*PI()/4*R39</f>
        <v>0.0258634248870153</v>
      </c>
      <c r="GW39" s="389">
        <v>1</v>
      </c>
      <c r="GX39" s="390">
        <f t="shared" si="201"/>
        <v>0.0258634248870153</v>
      </c>
      <c r="GY39" s="390">
        <f>$GX39*(VLOOKUP($GV$9,各项系数!$D$1:$F$143,2,0))</f>
        <v>1.74578117987353</v>
      </c>
      <c r="GZ39" s="406">
        <f>各项系数!$F$76/4*($MV39^2-$MS39^2)*10^-2*(VLOOKUP($GZ$9,各项系数!$D$1:$F$143,3,0))*10^-3*10^2*各项系数!$J$4</f>
        <v>0.165094615546479</v>
      </c>
      <c r="HA39" s="389">
        <v>1</v>
      </c>
      <c r="HB39" s="390">
        <f t="shared" si="144"/>
        <v>0.165094615546479</v>
      </c>
      <c r="HC39" s="390">
        <f>HB39*(VLOOKUP($GZ$9,各项系数!$D$1:$F$143,2,0))</f>
        <v>2.80660846429015</v>
      </c>
      <c r="HD39" s="406">
        <f>各项系数!$F$76/4*($MW39^2-$MT39^2)*10^-2*(VLOOKUP($HD$9,各项系数!$D$1:$F$143,3,0))*10^-3*10^2*各项系数!$J$4</f>
        <v>0.166399984993158</v>
      </c>
      <c r="HE39" s="389">
        <v>1</v>
      </c>
      <c r="HF39" s="390">
        <f t="shared" si="145"/>
        <v>0.166399984993158</v>
      </c>
      <c r="HG39" s="390">
        <f>HF39*(VLOOKUP($HD$9,各项系数!$D$1:$F$143,2,0))</f>
        <v>2.82879974488368</v>
      </c>
      <c r="HH39" s="406">
        <f>各项系数!$F$76/4*($MV39^2-$MS39^2)*10^-2*(VLOOKUP($HH$9,各项系数!$D$1:$F$143,3,0))*10^-3*10^2*各项系数!$J$4</f>
        <v>0.165094615546479</v>
      </c>
      <c r="HI39" s="420">
        <v>1</v>
      </c>
      <c r="HJ39" s="390">
        <f t="shared" si="146"/>
        <v>0.165094615546479</v>
      </c>
      <c r="HK39" s="390">
        <f>HJ39*(VLOOKUP($HH$9,各项系数!$D$1:$F$143,2,0))</f>
        <v>2.80660846429015</v>
      </c>
      <c r="HL39" s="406">
        <f>各项系数!$F$76/4*($MW39^2-$MT39^2)*10^-2*(VLOOKUP($HL$9,各项系数!$D$1:$F$143,3,0))*10^-3*10^2*各项系数!$J$4</f>
        <v>0.166399984993158</v>
      </c>
      <c r="HM39" s="420">
        <v>1</v>
      </c>
      <c r="HN39" s="390">
        <f t="shared" si="147"/>
        <v>0.166399984993158</v>
      </c>
      <c r="HO39" s="390">
        <f>HN39*(VLOOKUP($HL$9,各项系数!$D$1:$F$143,2,0))</f>
        <v>2.82879974488368</v>
      </c>
      <c r="HP39" s="406">
        <f>各项系数!$F$76/4*($MV39^2-$MS39^2)*10^-2*(VLOOKUP(AN39,各项系数!$D$1:$F$143,3,0))*10^-3*10^2*各项系数!$J$4</f>
        <v>0.167371782657465</v>
      </c>
      <c r="HQ39" s="389">
        <v>1</v>
      </c>
      <c r="HR39" s="390">
        <f t="shared" si="202"/>
        <v>0.167371782657465</v>
      </c>
      <c r="HS39" s="390">
        <f>HR39*(VLOOKUP(AN39,各项系数!$D$1:$F$143,2,0))</f>
        <v>1.67371782657465</v>
      </c>
      <c r="HT39" s="406">
        <f>各项系数!$F$76/4*($MW39^2-$MT39^2)*10^-2*(VLOOKUP(AN39,各项系数!$D$1:$F$143,3,0))*10^-3*10^2*各项系数!$J$4</f>
        <v>0.16869515719996</v>
      </c>
      <c r="HU39" s="389">
        <v>1</v>
      </c>
      <c r="HV39" s="390">
        <f t="shared" si="203"/>
        <v>0.16869515719996</v>
      </c>
      <c r="HW39" s="390">
        <f>HV39*(VLOOKUP(AN39,各项系数!$D$1:$F$143,2,0))</f>
        <v>1.6869515719996</v>
      </c>
      <c r="HX39" s="406">
        <f>各项系数!$F$76/4*($MV39^2-$MS39^2)*10^-2*(VLOOKUP($HX$9,各项系数!$D$1:$F$143,3,0))*10^-3*10^2*各项系数!$J$4</f>
        <v>0.167371782657465</v>
      </c>
      <c r="HY39" s="420">
        <v>1</v>
      </c>
      <c r="HZ39" s="390">
        <f t="shared" si="204"/>
        <v>0.167371782657465</v>
      </c>
      <c r="IA39" s="390">
        <f>HZ39*(VLOOKUP($HX$9,各项系数!$D$1:$F$143,2,0))</f>
        <v>1.84108960923212</v>
      </c>
      <c r="IB39" s="406">
        <f>各项系数!$F$76/4*($MW39^2-$MT39^2)*10^-2*(VLOOKUP($IB$9,各项系数!$D$1:$F$143,3,0))*10^-3*10^2*各项系数!$J$4</f>
        <v>0.16869515719996</v>
      </c>
      <c r="IC39" s="420">
        <v>1</v>
      </c>
      <c r="ID39" s="390">
        <f t="shared" si="205"/>
        <v>0.16869515719996</v>
      </c>
      <c r="IE39" s="390">
        <f>ID39*(VLOOKUP($IB$9,各项系数!$D$1:$F$143,2,0))</f>
        <v>1.85564672919956</v>
      </c>
      <c r="IF39" s="429"/>
      <c r="IG39" s="406">
        <f t="shared" si="148"/>
        <v>0.0215263280700263</v>
      </c>
      <c r="IH39" s="389">
        <v>1</v>
      </c>
      <c r="II39" s="390">
        <f t="shared" si="206"/>
        <v>0.0215263280700263</v>
      </c>
      <c r="IJ39" s="390">
        <f>II39*(VLOOKUP($IG$8,各项系数!$D$1:$F$143,2,0))</f>
        <v>0.538158201750657</v>
      </c>
      <c r="IK39" s="406">
        <f>(各项系数!$F$76/4*($MX39^2-$MK39^2)*$EG39)*10^-2*(VLOOKUP($IG$8,各项系数!$D$1:$F$143,3,0))*10^-3*10^2*各项系数!$J$4</f>
        <v>0.0215263280700263</v>
      </c>
      <c r="IL39" s="389">
        <f>IK39*(VLOOKUP($IG$8,各项系数!$D$1:$F$143,2,0))</f>
        <v>0.538158201750657</v>
      </c>
      <c r="IM39" s="390">
        <f>(各项系数!$F$76/4*(($MM39+3*$X39)^2-MM39^2)*$EO39)*10^-2*(VLOOKUP($IG$8,各项系数!$D$1:$F$143,3,0))*10^-3*10^2*各项系数!$J$4</f>
        <v>0</v>
      </c>
      <c r="IN39" s="389">
        <f>IM39*(VLOOKUP($IG$8,各项系数!$D$1:$F$143,2,0))</f>
        <v>0</v>
      </c>
      <c r="IO39" s="406">
        <f>各项系数!$F$76/4*($MZ39^2-$MX39^2)*10^-2*(VLOOKUP(L39,各项系数!$D$1:$F$143,3,0))*10^-3*10^2*$ES39*各项系数!$J$4</f>
        <v>0.0547850237782625</v>
      </c>
      <c r="IP39" s="389">
        <v>1</v>
      </c>
      <c r="IQ39" s="390">
        <f t="shared" si="207"/>
        <v>0.0547850237782625</v>
      </c>
      <c r="IR39" s="367">
        <f>IQ39*(VLOOKUP(L39,各项系数!$D$1:$F$143,2,0))</f>
        <v>0.558807242538277</v>
      </c>
      <c r="IS39" s="406">
        <f>IF($L39&lt;&gt;$IS$9,0,各项系数!$F$76/4*($MZ39^2-$MX39^2)*10^-2*各项系数!$F$12*10^-3*10^2)*$ES39*各项系数!$J$4</f>
        <v>0</v>
      </c>
      <c r="IT39" s="389">
        <v>1</v>
      </c>
      <c r="IU39" s="390">
        <f t="shared" si="208"/>
        <v>0</v>
      </c>
      <c r="IV39" s="367">
        <f>IU39*各项系数!$E$12</f>
        <v>0</v>
      </c>
      <c r="IW39" s="388">
        <f t="shared" si="209"/>
        <v>0.0547850237782625</v>
      </c>
      <c r="IX39" s="388">
        <f t="shared" si="210"/>
        <v>0.558807242538277</v>
      </c>
      <c r="IY39" s="447">
        <f>各项系数!$F$76/4*($NB39^2-$MZ39^2*$EG39-$NA39^2*$EO39)*10^-2</f>
        <v>1.49374044194093</v>
      </c>
      <c r="IZ39" s="366">
        <f t="shared" si="231"/>
        <v>0.05</v>
      </c>
      <c r="JA39" s="367">
        <f t="shared" si="64"/>
        <v>0.0746870220970463</v>
      </c>
      <c r="JB39" s="364">
        <f>IF($DE39&lt;&gt;$JB$9,0,$JA39*各项系数!$F$32*10^-3*10^2)*各项系数!$J$4</f>
        <v>0</v>
      </c>
      <c r="JC39" s="123">
        <v>1</v>
      </c>
      <c r="JD39" s="251">
        <f t="shared" si="211"/>
        <v>0</v>
      </c>
      <c r="JE39" s="339">
        <f>JD39*各项系数!$E$32</f>
        <v>0</v>
      </c>
      <c r="JF39" s="364">
        <f>IF($DE39&lt;&gt;$JF$9,0,$JA39*VLOOKUP($JF$9,各项系数!$D$4:$F$540,2,0)*10^-3*10^2)*各项系数!$J$4</f>
        <v>0.0371567934932806</v>
      </c>
      <c r="JG39" s="123">
        <v>1</v>
      </c>
      <c r="JH39" s="251">
        <f t="shared" si="66"/>
        <v>0.0371567934932806</v>
      </c>
      <c r="JI39" s="339">
        <f>JH39*VLOOKUP($JF$9,各项系数!$D$4:$F$540,3,0)</f>
        <v>0.0445881521919367</v>
      </c>
      <c r="JJ39" s="364">
        <f t="shared" si="212"/>
        <v>0.0371567934932806</v>
      </c>
      <c r="JK39" s="251">
        <f t="shared" si="213"/>
        <v>0.0445881521919367</v>
      </c>
      <c r="JL39" s="364">
        <f>IF($DF39&lt;&gt;$JL$9,0,各项系数!$F$76/4*($NE39^2-$NC39^2)*10^-2*各项系数!$F$39*10^-3*10^2)*各项系数!$J$4</f>
        <v>0.00177943770498728</v>
      </c>
      <c r="JM39" s="123">
        <v>1</v>
      </c>
      <c r="JN39" s="251">
        <f t="shared" si="214"/>
        <v>0.00177943770498728</v>
      </c>
      <c r="JO39" s="339">
        <f>JN39*各项系数!$E$39</f>
        <v>0.0355887540997456</v>
      </c>
      <c r="JP39" s="364">
        <f>IF($DF39&lt;&gt;$JP$9,0,各项系数!$F$76/4*($NE39^2-$NC39^2)*10^-2*各项系数!$F$36*10^-3*10^2)*各项系数!$J$4</f>
        <v>0</v>
      </c>
      <c r="JQ39" s="123">
        <v>1</v>
      </c>
      <c r="JR39" s="251">
        <f t="shared" si="215"/>
        <v>0</v>
      </c>
      <c r="JS39" s="339">
        <f>JR39*各项系数!$E$36</f>
        <v>0</v>
      </c>
      <c r="JT39" s="364">
        <f>IF($DF39&lt;&gt;$JT$9,0,各项系数!$F$76/4*($NE39^2-$NC39^2)*10^-2*各项系数!$F$40*10^-3*10^2)*各项系数!$J$4</f>
        <v>0</v>
      </c>
      <c r="JU39" s="123">
        <v>1</v>
      </c>
      <c r="JV39" s="251">
        <f t="shared" si="216"/>
        <v>0</v>
      </c>
      <c r="JW39" s="339">
        <f>JV39*各项系数!$E$40</f>
        <v>0</v>
      </c>
      <c r="JX39" s="364">
        <f>IF($DF39&lt;&gt;$JX$9,0,各项系数!$F$76/4*($NE39^2-$NC39^2)*10^-2*各项系数!$F$38*10^-3*10^2)*各项系数!$J$4</f>
        <v>0</v>
      </c>
      <c r="JY39" s="123">
        <v>1</v>
      </c>
      <c r="JZ39" s="251">
        <f t="shared" si="217"/>
        <v>0</v>
      </c>
      <c r="KA39" s="339">
        <f>JZ39*各项系数!$E$38</f>
        <v>0</v>
      </c>
      <c r="KB39" s="364">
        <f>IF($DF39&lt;&gt;$KB$9,0,各项系数!$F$76/4*($NE39^2-$NC39^2)*10^-2*各项系数!$F$41*10^-3*10^2)*各项系数!$J$4</f>
        <v>0</v>
      </c>
      <c r="KC39" s="123">
        <v>1</v>
      </c>
      <c r="KD39" s="251">
        <f t="shared" si="218"/>
        <v>0</v>
      </c>
      <c r="KE39" s="339">
        <f>KD39*各项系数!$E$41</f>
        <v>0</v>
      </c>
      <c r="KF39" s="251">
        <f t="shared" si="219"/>
        <v>0.00177943770498728</v>
      </c>
      <c r="KG39" s="251">
        <f t="shared" si="220"/>
        <v>0.0355887540997456</v>
      </c>
      <c r="KH39" s="302">
        <f>各项系数!$F$76/4*($NG39^2-$NE39^2)*10^-2*各项系数!$F$44*10^-3*10^2*各项系数!$J$4*0.75*$U39</f>
        <v>0.219965700621315</v>
      </c>
      <c r="KI39" s="123">
        <v>1</v>
      </c>
      <c r="KJ39" s="251">
        <f t="shared" si="221"/>
        <v>0.219965700621315</v>
      </c>
      <c r="KK39" s="251">
        <f>ROUND(KJ39*各项系数!$E$43,GT39)</f>
        <v>1</v>
      </c>
      <c r="KL39" s="302">
        <f>各项系数!$F$76/4*($NF39^2-$NE39^2)*10^-2*各项系数!$F$46*10^-3*10^2*各项系数!$J$4*PI()/4*R39</f>
        <v>0.0276250364268828</v>
      </c>
      <c r="KM39" s="123">
        <v>1</v>
      </c>
      <c r="KN39" s="251">
        <f t="shared" si="222"/>
        <v>0.0276250364268828</v>
      </c>
      <c r="KO39" s="251">
        <f>KN39*各项系数!$E$46</f>
        <v>1.86468995881459</v>
      </c>
      <c r="KP39" s="302">
        <f>各项系数!$F$76/4*($NH39^2-$NE39^2)*10^-2*(VLOOKUP($KP$9,各项系数!$D$1:$F$143,3,0))*10^-3*10^2*各项系数!$J$4</f>
        <v>0.175383754624454</v>
      </c>
      <c r="KQ39" s="123">
        <v>1</v>
      </c>
      <c r="KR39" s="251">
        <f t="shared" si="150"/>
        <v>0.175383754624454</v>
      </c>
      <c r="KS39" s="251">
        <f>KR39*(VLOOKUP($KP$9,各项系数!$D$1:$F$143,2,0))</f>
        <v>2.98152382861572</v>
      </c>
      <c r="KT39" s="302">
        <f>各项系数!$F$76/4*($NI39^2-$NF39^2)*10^-2*(VLOOKUP($KT$9,各项系数!$D$1:$F$143,3,0))*10^-3*10^2*各项系数!$J$4</f>
        <v>0.176689124071133</v>
      </c>
      <c r="KU39" s="123">
        <v>1</v>
      </c>
      <c r="KV39" s="251">
        <f t="shared" si="151"/>
        <v>0.176689124071133</v>
      </c>
      <c r="KW39" s="251">
        <f>KV39*(VLOOKUP($KT$9,各项系数!$D$1:$F$143,2,0))</f>
        <v>3.00371510920926</v>
      </c>
      <c r="KX39" s="251">
        <f>各项系数!$F$76/4*($NH39^2-$NE39^2)*10^-2*(VLOOKUP($KX$9,各项系数!$D$1:$F$143,3,0))*10^-3*10^2*各项系数!$J$4</f>
        <v>0.175383754624454</v>
      </c>
      <c r="KY39" s="479">
        <v>1</v>
      </c>
      <c r="KZ39" s="251">
        <f t="shared" si="152"/>
        <v>0.175383754624454</v>
      </c>
      <c r="LA39" s="251">
        <f>KZ39*(VLOOKUP($KX$9,各项系数!$D$1:$F$143,2,0))</f>
        <v>2.98152382861572</v>
      </c>
      <c r="LB39" s="251">
        <f>各项系数!$F$76/4*($NI39^2-$NF39^2)*10^-2*(VLOOKUP($LB$9,各项系数!$D$1:$F$143,3,0))*10^-3*10^2*各项系数!$J$4</f>
        <v>0.176689124071133</v>
      </c>
      <c r="LC39" s="479">
        <v>1</v>
      </c>
      <c r="LD39" s="251">
        <f t="shared" si="153"/>
        <v>0.176689124071133</v>
      </c>
      <c r="LE39" s="251">
        <f>LD39*(VLOOKUP($LB$9,各项系数!$D$1:$F$143,2,0))</f>
        <v>3.00371510920926</v>
      </c>
      <c r="LF39" s="302">
        <f>各项系数!$F$76/4*($NH39^2-$NE39^2)*10^-2*(VLOOKUP(AN39,各项系数!$D$1:$F$143,3,0))*10^-3*10^2*各项系数!$J$4</f>
        <v>0.177802840895137</v>
      </c>
      <c r="LG39" s="123">
        <v>1</v>
      </c>
      <c r="LH39" s="251">
        <f t="shared" si="223"/>
        <v>0.177802840895137</v>
      </c>
      <c r="LI39" s="251">
        <f>LH39*(VLOOKUP(AN39,各项系数!$D$1:$F$143,2,0))</f>
        <v>1.77802840895137</v>
      </c>
      <c r="LJ39" s="302">
        <f>各项系数!$F$76/4*($NI39^2-$NF39^2)*10^-2*(VLOOKUP(AN39,各项系数!$D$1:$F$143,3,0))*10^-3*10^2*各项系数!$J$4</f>
        <v>0.179126215437631</v>
      </c>
      <c r="LK39" s="123">
        <v>1</v>
      </c>
      <c r="LL39" s="251">
        <f t="shared" si="224"/>
        <v>0.179126215437631</v>
      </c>
      <c r="LM39" s="251">
        <f>LL39*(VLOOKUP(AN39,各项系数!$D$1:$F$143,2,0))</f>
        <v>1.79126215437631</v>
      </c>
      <c r="LN39" s="251">
        <f>各项系数!$F$76/4*($NH39^2-$NE39^2)*10^-2*(VLOOKUP($LN$9,各项系数!$D$1:$F$143,3,0))*10^-3*10^2*各项系数!$J$4</f>
        <v>0.177802840895137</v>
      </c>
      <c r="LO39" s="479">
        <v>1</v>
      </c>
      <c r="LP39" s="251">
        <f t="shared" si="225"/>
        <v>0.177802840895137</v>
      </c>
      <c r="LQ39" s="251">
        <f>LP39*(VLOOKUP($LN$9,各项系数!$D$1:$F$143,2,0))</f>
        <v>1.9558312498465</v>
      </c>
      <c r="LR39" s="251">
        <f>各项系数!$F$76/4*($NI39^2-$NF39^2)*10^-2*(VLOOKUP($LR$9,各项系数!$D$1:$F$143,3,0))*10^-3*10^2*各项系数!$J$4</f>
        <v>0.179126215437631</v>
      </c>
      <c r="LS39" s="479">
        <v>1</v>
      </c>
      <c r="LT39" s="251">
        <f t="shared" si="226"/>
        <v>0.179126215437631</v>
      </c>
      <c r="LU39" s="251">
        <f>LT39*(VLOOKUP($LR$9,各项系数!$D$1:$F$143,2,0))</f>
        <v>1.97038836981394</v>
      </c>
      <c r="LV39" s="499">
        <f t="shared" si="154"/>
        <v>84.89620253</v>
      </c>
      <c r="LW39" s="499">
        <f t="shared" si="155"/>
        <v>66.03037975</v>
      </c>
      <c r="LX39" s="499">
        <f t="shared" si="156"/>
        <v>9.1691052263337</v>
      </c>
      <c r="LY39" s="515">
        <f t="shared" si="157"/>
        <v>18.86582278</v>
      </c>
      <c r="LZ39" s="516">
        <f t="shared" si="86"/>
        <v>1</v>
      </c>
      <c r="MA39" s="517">
        <f t="shared" si="87"/>
        <v>84.89620253</v>
      </c>
      <c r="MB39" s="517">
        <f t="shared" si="158"/>
        <v>7.35163935</v>
      </c>
      <c r="MC39" s="499">
        <f t="shared" si="159"/>
        <v>0</v>
      </c>
      <c r="MD39" s="499">
        <f t="shared" si="160"/>
        <v>0</v>
      </c>
      <c r="ME39" s="499">
        <f t="shared" si="161"/>
        <v>0</v>
      </c>
      <c r="MF39" s="499">
        <f t="shared" si="162"/>
        <v>0</v>
      </c>
      <c r="MG39" s="516">
        <f t="shared" si="163"/>
        <v>1</v>
      </c>
      <c r="MH39" s="517">
        <f t="shared" si="88"/>
        <v>0</v>
      </c>
      <c r="MI39" s="517">
        <f t="shared" si="164"/>
        <v>0</v>
      </c>
      <c r="MJ39" s="251">
        <f t="shared" si="89"/>
        <v>7.35163935</v>
      </c>
      <c r="MK39" s="251">
        <f t="shared" si="165"/>
        <v>7.35163935</v>
      </c>
      <c r="ML39" s="251">
        <f t="shared" si="227"/>
        <v>0</v>
      </c>
      <c r="MM39" s="251">
        <f t="shared" si="91"/>
        <v>0</v>
      </c>
      <c r="MN39" s="251">
        <f t="shared" si="92"/>
        <v>9.15163935</v>
      </c>
      <c r="MO39" s="251">
        <f t="shared" si="166"/>
        <v>0</v>
      </c>
      <c r="MP39" s="251">
        <f t="shared" si="167"/>
        <v>18.3032787</v>
      </c>
      <c r="MQ39" s="251">
        <f t="shared" si="228"/>
        <v>18.3032787</v>
      </c>
      <c r="MR39" s="314">
        <f t="shared" si="168"/>
        <v>18.25975667</v>
      </c>
      <c r="MS39" s="530">
        <f t="shared" si="94"/>
        <v>18.43575667</v>
      </c>
      <c r="MT39" s="530">
        <f t="shared" si="95"/>
        <v>18.59575667</v>
      </c>
      <c r="MU39" s="530">
        <f t="shared" si="232"/>
        <v>19.03575667</v>
      </c>
      <c r="MV39" s="530">
        <f t="shared" si="97"/>
        <v>22.03575667</v>
      </c>
      <c r="MW39" s="530">
        <f t="shared" si="98"/>
        <v>22.19575667</v>
      </c>
      <c r="MX39" s="326">
        <f t="shared" si="233"/>
        <v>7.95163935</v>
      </c>
      <c r="MY39" s="326">
        <f t="shared" si="100"/>
        <v>0</v>
      </c>
      <c r="MZ39" s="251">
        <f t="shared" si="101"/>
        <v>9.75163935</v>
      </c>
      <c r="NA39" s="251">
        <f t="shared" si="102"/>
        <v>0</v>
      </c>
      <c r="NB39" s="251">
        <f t="shared" si="169"/>
        <v>19.5032787</v>
      </c>
      <c r="NC39" s="326">
        <f t="shared" si="229"/>
        <v>19.5032787</v>
      </c>
      <c r="ND39" s="314">
        <f t="shared" si="234"/>
        <v>19.45690328</v>
      </c>
      <c r="NE39" s="537">
        <f t="shared" si="235"/>
        <v>19.69690328</v>
      </c>
      <c r="NF39" s="530">
        <f t="shared" si="106"/>
        <v>19.85690328</v>
      </c>
      <c r="NG39" s="538">
        <f t="shared" si="236"/>
        <v>20.29690328</v>
      </c>
      <c r="NH39" s="326">
        <f t="shared" si="108"/>
        <v>23.29690328</v>
      </c>
      <c r="NI39" s="530">
        <f t="shared" si="109"/>
        <v>23.45690328</v>
      </c>
      <c r="NK39" s="539">
        <f t="shared" si="110"/>
        <v>0.820562601303172</v>
      </c>
      <c r="NL39" s="539">
        <f t="shared" si="111"/>
        <v>40.9445238599743</v>
      </c>
      <c r="NM39" s="539">
        <f t="shared" si="112"/>
        <v>0.820562601303172</v>
      </c>
      <c r="NN39" s="539">
        <f t="shared" si="113"/>
        <v>41.1118956426318</v>
      </c>
      <c r="NO39" s="539">
        <f t="shared" si="114"/>
        <v>0.883550276550371</v>
      </c>
      <c r="NP39" s="539">
        <f t="shared" si="115"/>
        <v>41.6329111054004</v>
      </c>
      <c r="NQ39" s="539">
        <f t="shared" si="116"/>
        <v>0.883550276550371</v>
      </c>
      <c r="NR39" s="539">
        <f t="shared" si="117"/>
        <v>41.8107139462955</v>
      </c>
      <c r="NS39" s="539">
        <f t="shared" si="118"/>
        <v>0.846426026190187</v>
      </c>
      <c r="NT39" s="539">
        <f t="shared" si="119"/>
        <v>0.846426026190187</v>
      </c>
      <c r="NU39" s="539">
        <f t="shared" si="120"/>
        <v>0.911175312977254</v>
      </c>
      <c r="NV39" s="539">
        <f t="shared" si="121"/>
        <v>0.911175312977254</v>
      </c>
      <c r="NW39">
        <f t="shared" si="122"/>
        <v>0.957958003143845</v>
      </c>
      <c r="NX39">
        <f>各项系数!$M$9*NK39</f>
        <v>0.246168780390951</v>
      </c>
      <c r="NY39">
        <f t="shared" si="123"/>
        <v>0.846426026190187</v>
      </c>
    </row>
    <row r="40" customHeight="1" spans="1:389">
      <c r="A40" s="90">
        <v>2</v>
      </c>
      <c r="B40" s="86">
        <v>0.05</v>
      </c>
      <c r="C40" s="87"/>
      <c r="D40" s="69" t="s">
        <v>179</v>
      </c>
      <c r="E40" s="77">
        <f t="shared" si="240"/>
        <v>26.80698218</v>
      </c>
      <c r="F40" s="84">
        <f>$F$24</f>
        <v>238.573455311777</v>
      </c>
      <c r="G40" s="74"/>
      <c r="H40" s="23"/>
      <c r="I40" s="78"/>
      <c r="J40" s="23"/>
      <c r="K40" s="23"/>
      <c r="L40" s="118" t="s">
        <v>467</v>
      </c>
      <c r="M40" s="124">
        <f t="shared" si="2"/>
        <v>1</v>
      </c>
      <c r="N40" s="124">
        <f t="shared" si="3"/>
        <v>0</v>
      </c>
      <c r="O40" s="69">
        <f t="shared" si="251"/>
        <v>0.08</v>
      </c>
      <c r="P40" s="120">
        <v>0.1</v>
      </c>
      <c r="Q40" s="162">
        <f t="shared" si="248"/>
        <v>0.1</v>
      </c>
      <c r="R40" s="86">
        <v>0.8</v>
      </c>
      <c r="S40" s="171" t="str">
        <f>各项系数!$D$43</f>
        <v>钢带</v>
      </c>
      <c r="T40" s="69">
        <v>0.2</v>
      </c>
      <c r="U40" s="123">
        <v>2</v>
      </c>
      <c r="V40" s="169"/>
      <c r="W40" s="170">
        <v>1.8</v>
      </c>
      <c r="X40" s="164">
        <f t="shared" si="249"/>
        <v>0.2</v>
      </c>
      <c r="Y40" s="219"/>
      <c r="Z40" s="220"/>
      <c r="AA40" s="217">
        <f>$AA$24</f>
        <v>1.011</v>
      </c>
      <c r="AB40" s="186">
        <f>PI()*EJ40*EJ40/4*EH40*(1-H40)*AA40*各项系数!$F$5*各项系数!$J$4*10^-7</f>
        <v>0.399769926055488</v>
      </c>
      <c r="AC40" s="186">
        <f t="shared" si="241"/>
        <v>238.573455311777</v>
      </c>
      <c r="AD40" s="186">
        <f t="shared" si="5"/>
        <v>45.1944679590854</v>
      </c>
      <c r="AE40" s="186">
        <f>POWER(4*EU40/PI()/EG40/10^-7/EH40/(1-H40)/各项系数!$F$5/各项系数!$J$4,0.5)</f>
        <v>239.882020603408</v>
      </c>
      <c r="AF40" s="218">
        <v>1</v>
      </c>
      <c r="AG40" s="85">
        <f>IF(EM40=0,0,PI()*ER40*ER40/4*EP40*(1-K40)*(1+AF40)*各项系数!$F$5*各项系数!$J$4*10^-7)</f>
        <v>0</v>
      </c>
      <c r="AH40" s="85">
        <f t="shared" si="242"/>
        <v>0</v>
      </c>
      <c r="AI40" s="85">
        <f t="shared" si="128"/>
        <v>0</v>
      </c>
      <c r="AJ40" s="85">
        <f>IF(OR(EP40="",EP40=0),0,POWER(4*EW40/PI()/EO40/10^-7/EP40/(1-K40)/各项系数!$F$5/各项系数!$J$4,0.5))</f>
        <v>0</v>
      </c>
      <c r="AK40" s="85" t="str">
        <f t="shared" si="8"/>
        <v>√</v>
      </c>
      <c r="AL40" s="85">
        <f t="shared" si="243"/>
        <v>57.0179215742755</v>
      </c>
      <c r="AM40" s="250">
        <f t="shared" si="244"/>
        <v>50</v>
      </c>
      <c r="AN40" s="118" t="s">
        <v>486</v>
      </c>
      <c r="AO40" s="259">
        <f>AP40+各项系数!$M$9*$NK40</f>
        <v>55.8999231120348</v>
      </c>
      <c r="AP40" s="259">
        <f>AQ40*(1+$BI40+(VLOOKUP($AM40,$A$12:$B$323,2,0))+各项系数!$J$6+各项系数!$M$5)*(1+$E$2)</f>
        <v>55.5712100513377</v>
      </c>
      <c r="AQ40" s="260">
        <f>AR40+各项系数!$L$9*$NK40</f>
        <v>56.705316378916</v>
      </c>
      <c r="AR40" s="260">
        <f>AS40*(1+$BJ40+各项系数!$J$5+各项系数!$L$5)</f>
        <v>56.3766033182189</v>
      </c>
      <c r="AS40" s="260">
        <f t="shared" si="129"/>
        <v>55.271179723744</v>
      </c>
      <c r="AT40" s="259">
        <f>AU40+各项系数!$M$9*$NM40</f>
        <v>57.2993688743387</v>
      </c>
      <c r="AU40" s="259">
        <f>AV40*(1+$BI40+(VLOOKUP($AM40,$A$12:$B$323,2,0))+各项系数!$J$6+各项系数!$M$5)*(1+$E$2)</f>
        <v>56.9706558136416</v>
      </c>
      <c r="AV40" s="260">
        <f>AW40+各项系数!$L$9*$NM40</f>
        <v>58.133322258818</v>
      </c>
      <c r="AW40" s="260">
        <f>AX40*(1+$BJ40+各项系数!$J$5+各项系数!$L$5)</f>
        <v>57.8046091981209</v>
      </c>
      <c r="AX40" s="260">
        <f t="shared" si="130"/>
        <v>56.6711854883538</v>
      </c>
      <c r="AY40" s="259">
        <f>AZ40+各项系数!$M$9*$NS40</f>
        <v>58.1272370776373</v>
      </c>
      <c r="AZ40" s="259">
        <f>BA40*(1+$BI40+(VLOOKUP($AM40,$A$12:$B$214,2,0))+各项系数!$J$6+各项系数!$M$5)*(1+$E$2)</f>
        <v>57.7887656075186</v>
      </c>
      <c r="BA40" s="260">
        <f>BB40+各项系数!$L$9*$NS40</f>
        <v>58.9681281709373</v>
      </c>
      <c r="BB40" s="260">
        <f>BC40*(1+$BJ40+各项系数!$J$5+各项系数!$L$5)</f>
        <v>58.6296567008186</v>
      </c>
      <c r="BC40" s="262">
        <f t="shared" si="131"/>
        <v>57.4800555890378</v>
      </c>
      <c r="BD40" s="259">
        <f>BE40+各项系数!$M$9*$NS40</f>
        <v>59.5356367920957</v>
      </c>
      <c r="BE40" s="259">
        <f>BF40*(1+$BI40+(VLOOKUP($AM40,$A$12:$B$214,2,0))+各项系数!$J$6+各项系数!$M$5)*(1+$E$2)</f>
        <v>59.197165321977</v>
      </c>
      <c r="BF40" s="260">
        <f>BG40+各项系数!$L$9*$NS40</f>
        <v>60.4052707367112</v>
      </c>
      <c r="BG40" s="260">
        <f>BH40*(1+$BJ40+各项系数!$J$5+各项系数!$L$5)</f>
        <v>60.0667992665925</v>
      </c>
      <c r="BH40" s="262">
        <f t="shared" si="132"/>
        <v>58.8890188888162</v>
      </c>
      <c r="BI40" s="277"/>
      <c r="BJ40" s="272"/>
      <c r="BK40" s="69" t="s">
        <v>514</v>
      </c>
      <c r="BL40" s="259">
        <f>BM40+各项系数!$M$9*$NM40</f>
        <v>56.6503599450493</v>
      </c>
      <c r="BM40" s="259">
        <f>BN40*(1+$CF40+(VLOOKUP($AM40,$A$12:$B$323,2,0))+各项系数!$J$6+各项系数!$M$5)*(1+$E$2)</f>
        <v>56.3216468843522</v>
      </c>
      <c r="BN40" s="260">
        <f>BO40+各项系数!$L$9*$NM40</f>
        <v>57.471068249339</v>
      </c>
      <c r="BO40" s="260">
        <f>BP40*(1+$CG40+各项系数!$J$5+各项系数!$L$5)</f>
        <v>57.1423551886419</v>
      </c>
      <c r="BP40" s="260">
        <f t="shared" si="133"/>
        <v>55.4780147462542</v>
      </c>
      <c r="BQ40" s="259">
        <f>BR40+各项系数!$M$9*$NM40</f>
        <v>57.8547464921246</v>
      </c>
      <c r="BR40" s="259">
        <f>BS40*(1+$CF40+(VLOOKUP($AM40,$A$12:$B$323,2,0))+各项系数!$J$6+各项系数!$M$5)*(1+$E$2)</f>
        <v>57.5260334314275</v>
      </c>
      <c r="BS40" s="260">
        <f>BT40+各项系数!$L$9*$NM40</f>
        <v>58.7000341137015</v>
      </c>
      <c r="BT40" s="260">
        <f>BU40*(1+$CG40+各项系数!$J$5+各项系数!$L$5)</f>
        <v>58.3713210530044</v>
      </c>
      <c r="BU40" s="260">
        <f t="shared" si="134"/>
        <v>56.6711854883538</v>
      </c>
      <c r="BV40" s="259">
        <f>BW40+各项系数!$M$9*$NT40</f>
        <v>58.5770528027704</v>
      </c>
      <c r="BW40" s="259">
        <f>BX40*(1+$CF40+(VLOOKUP($AM40,$A$12:$B$214,2,0))+各项系数!$J$6+各项系数!$M$5)*(1+$E$2)</f>
        <v>58.2385813326516</v>
      </c>
      <c r="BX40" s="260">
        <f>BY40+各项系数!$L$9*$NT$12</f>
        <v>59.4271238088282</v>
      </c>
      <c r="BY40" s="260">
        <f>BZ40*(1+$CG40+各项系数!$J$5+各项系数!$L$5)</f>
        <v>59.4188604056732</v>
      </c>
      <c r="BZ40" s="262">
        <f t="shared" si="11"/>
        <v>57.6882139860905</v>
      </c>
      <c r="CA40" s="259">
        <f>CB40+各项系数!$M$9*$NT40</f>
        <v>59.7891452715816</v>
      </c>
      <c r="CB40" s="259">
        <f>CC40*(1+$CF40+(VLOOKUP($AM40,$A$12:$B$214,2,0))+各项系数!$J$6+各项系数!$M$5)*(1+$E$2)</f>
        <v>59.4506738014629</v>
      </c>
      <c r="CC40" s="260">
        <f>CD40+各项系数!$L$9*$NT$12</f>
        <v>60.6639528586356</v>
      </c>
      <c r="CD40" s="260">
        <f>CE40*(1+$CG40+各项系数!$J$5+各项系数!$L$5)</f>
        <v>60.6556894554806</v>
      </c>
      <c r="CE40" s="262">
        <f t="shared" si="135"/>
        <v>58.8890188888162</v>
      </c>
      <c r="CF40" s="277">
        <f t="shared" si="136"/>
        <v>0</v>
      </c>
      <c r="CG40" s="277">
        <f t="shared" si="12"/>
        <v>0.01</v>
      </c>
      <c r="CH40" s="123"/>
      <c r="CI40" s="259">
        <f>CJ40+各项系数!$M$9*$NO40</f>
        <v>57.1348898933591</v>
      </c>
      <c r="CJ40" s="259">
        <f>CK40*(1+$DC40+(VLOOKUP($AM40,$A$12:$B$323,2,0))+各项系数!$J$6+各项系数!$M$5)*(1+$E$2)+各项系数!$M$9*$NK40</f>
        <v>56.7806427261197</v>
      </c>
      <c r="CK40" s="260">
        <f>CL40+各项系数!$L$9*$NO40</f>
        <v>57.6040098626761</v>
      </c>
      <c r="CL40" s="260">
        <f>CM40*(1+$DD40+各项系数!$J$5+各项系数!$L$5)</f>
        <v>57.2497626954366</v>
      </c>
      <c r="CM40" s="260">
        <f t="shared" si="13"/>
        <v>56.1272183288594</v>
      </c>
      <c r="CN40" s="259">
        <f>CO40+各项系数!$M$9*$NO40</f>
        <v>58.4300667975193</v>
      </c>
      <c r="CO40" s="259">
        <f>CP40*(1+$DC40+(VLOOKUP($AM40,$A$12:$B$323,2,0))+各项系数!$J$6+各项系数!$M$5)*(1+$E$2)+各项系数!$M$9*$NK40</f>
        <v>58.0758196302798</v>
      </c>
      <c r="CP40" s="260">
        <f>CQ40+各项系数!$L$9*$NO40</f>
        <v>58.9256189485538</v>
      </c>
      <c r="CQ40" s="260">
        <f>CR40*(1+$DD40+各项系数!$J$5+各项系数!$L$5)</f>
        <v>58.5713717813143</v>
      </c>
      <c r="CR40" s="260">
        <f t="shared" si="14"/>
        <v>57.4229135110924</v>
      </c>
      <c r="CS40" s="259">
        <f>CT40+各项系数!$M$9*$NU40</f>
        <v>59.1533984109487</v>
      </c>
      <c r="CT40" s="259">
        <f t="shared" si="15"/>
        <v>58.7888643508256</v>
      </c>
      <c r="CU40" s="260">
        <f>CV40+各项系数!$L$9*$NU40</f>
        <v>59.9886370926792</v>
      </c>
      <c r="CV40" s="260">
        <f>CW40*(1+$DD40+各项系数!$J$5+各项系数!$L$5)</f>
        <v>59.6241030325561</v>
      </c>
      <c r="CW40" s="262">
        <f t="shared" si="16"/>
        <v>58.4550029730942</v>
      </c>
      <c r="CX40" s="259">
        <f>CY40+各项系数!$M$9*$NU40</f>
        <v>60.6323746654432</v>
      </c>
      <c r="CY40" s="259">
        <f t="shared" si="17"/>
        <v>60.2678406053201</v>
      </c>
      <c r="CZ40" s="260">
        <f>DA40+各项系数!$L$9*$NU40</f>
        <v>61.497796536041</v>
      </c>
      <c r="DA40" s="260">
        <f>DB40*(1+$DD40+各项系数!$J$5+各项系数!$L$5)</f>
        <v>61.1332624759179</v>
      </c>
      <c r="DB40" s="262">
        <f t="shared" si="18"/>
        <v>59.9345710548214</v>
      </c>
      <c r="DC40" s="277">
        <f t="shared" si="137"/>
        <v>0</v>
      </c>
      <c r="DD40" s="277">
        <f t="shared" si="19"/>
        <v>0</v>
      </c>
      <c r="DE40" s="69" t="s">
        <v>498</v>
      </c>
      <c r="DF40" s="69" t="s">
        <v>513</v>
      </c>
      <c r="DG40" s="259">
        <f>DH40+各项系数!$M$9*$NQ40</f>
        <v>57.9042450148889</v>
      </c>
      <c r="DH40" s="259">
        <f>DI40*(1+$EA40+(VLOOKUP($AM40,$A$12:$B$323,2,0))+各项系数!$J$6+各项系数!$M$5)*(1+$E$2)+各项系数!$M$9*$NK40</f>
        <v>57.5499978476494</v>
      </c>
      <c r="DI40" s="260">
        <f>DJ40+各项系数!$L$9*$NQ40</f>
        <v>58.389066109135</v>
      </c>
      <c r="DJ40" s="260">
        <f>DK40*(1+$EB40+各项系数!$J$5+各项系数!$L$5)</f>
        <v>58.0348189418955</v>
      </c>
      <c r="DK40" s="260">
        <f t="shared" si="20"/>
        <v>56.3444844096073</v>
      </c>
      <c r="DL40" s="259">
        <f>DM40+各项系数!$M$9*$NQ40</f>
        <v>59.1693709186782</v>
      </c>
      <c r="DM40" s="259">
        <f>DN40*(1+$EA40+(VLOOKUP($AM40,$A$12:$B$323,2,0))+各项系数!$J$6+各项系数!$M$5)*(1+$E$2)+各项系数!$M$9*$NK40</f>
        <v>58.8151237514387</v>
      </c>
      <c r="DN40" s="260">
        <f>DO40+各项系数!$L$9*$NQ40</f>
        <v>59.6800109089201</v>
      </c>
      <c r="DO40" s="260">
        <f>DP40*(1+$EB40+各项系数!$J$5+各项系数!$L$5)</f>
        <v>59.3257637416806</v>
      </c>
      <c r="DP40" s="260">
        <f t="shared" si="21"/>
        <v>57.597828875418</v>
      </c>
      <c r="DQ40" s="259">
        <f>DR40+各项系数!$M$9*$NV40</f>
        <v>59.9469016362551</v>
      </c>
      <c r="DR40" s="259">
        <f t="shared" si="22"/>
        <v>59.582367576132</v>
      </c>
      <c r="DS40" s="260">
        <f>DT40+各项系数!$L$9*$NV40</f>
        <v>60.7983342613592</v>
      </c>
      <c r="DT40" s="260">
        <f>DU40*(1+$EB40+各项系数!$J$5+各项系数!$L$5)</f>
        <v>60.4338002012361</v>
      </c>
      <c r="DU40" s="262">
        <f t="shared" si="23"/>
        <v>58.6735924283846</v>
      </c>
      <c r="DV40" s="259">
        <f>DW40+各项系数!$M$9*$NV40</f>
        <v>60.4307664801673</v>
      </c>
      <c r="DW40" s="259">
        <f t="shared" si="24"/>
        <v>60.0662324200442</v>
      </c>
      <c r="DX40" s="260">
        <f>DY40+各项系数!$L$9*$NV40</f>
        <v>61.2920738980043</v>
      </c>
      <c r="DY40" s="260">
        <f>DZ40*(1+$EB40+各项系数!$J$5+各项系数!$L$5)</f>
        <v>60.9275398378812</v>
      </c>
      <c r="DZ40" s="262">
        <f t="shared" si="25"/>
        <v>59.1529512989138</v>
      </c>
      <c r="EA40" s="277">
        <f t="shared" si="230"/>
        <v>0</v>
      </c>
      <c r="EB40" s="277">
        <f t="shared" si="27"/>
        <v>0.01</v>
      </c>
      <c r="EC40" s="302">
        <f t="shared" si="138"/>
        <v>2</v>
      </c>
      <c r="ED40" s="302" t="str">
        <f t="shared" si="180"/>
        <v>2*50</v>
      </c>
      <c r="EE40" s="251">
        <f t="shared" si="239"/>
        <v>50</v>
      </c>
      <c r="EF40" s="251" t="str">
        <f>LOOKUP(EH40,{1,7,10,14,19,24,30,37,48,61},{1,"1+6","2+8","4+10","1+6+12","2+8+14","4+10+16","1+6+12+18","3+9+15+21","1+6+12+18+24"})</f>
        <v>2+8</v>
      </c>
      <c r="EG40" s="250">
        <f t="shared" si="29"/>
        <v>2</v>
      </c>
      <c r="EH40" s="260">
        <f>VLOOKUP(EE40,各项系数!$B$87:$C$124,2,0)</f>
        <v>10</v>
      </c>
      <c r="EI40" s="250">
        <f>IF(EH40=0,0,VLOOKUP(EH40,各项系数!$D$142:$E$195,2,0))*1</f>
        <v>4</v>
      </c>
      <c r="EJ40" s="305">
        <f t="shared" si="141"/>
        <v>238.573455311777</v>
      </c>
      <c r="EK40" s="251">
        <f t="shared" si="245"/>
        <v>0</v>
      </c>
      <c r="EL40" s="251">
        <f t="shared" si="31"/>
        <v>0</v>
      </c>
      <c r="EM40" s="251">
        <f t="shared" si="182"/>
        <v>0</v>
      </c>
      <c r="EN40" s="251">
        <f>IF(EP40=0,0,LOOKUP(EP40,{1,7,10,14,19,24,30,37,48,61},{1,"1+6","2+8","4+10","1+6+12","2+8+14","4+10+16","1+6+12+18","3+9+15+21","1+6+12+18+24"}))</f>
        <v>0</v>
      </c>
      <c r="EO40" s="251">
        <f t="shared" si="246"/>
        <v>0</v>
      </c>
      <c r="EP40" s="251">
        <f>IF(EM40=0,0,IF(EM40&lt;10,1,IF(AND(EM40&gt;=10,EM40&lt;=35),7,LOOKUP(EM40,{50,70,95,120,150,185,240,300},{10,14,19,24,30,37,48,61})*1)))</f>
        <v>0</v>
      </c>
      <c r="EQ40" s="251">
        <f>IF(EP40=0,0,VLOOKUP(EP40,各项系数!$D$142:$E$195,2,0))*1</f>
        <v>0</v>
      </c>
      <c r="ER40" s="251">
        <f t="shared" si="247"/>
        <v>0</v>
      </c>
      <c r="ES40" s="302">
        <f t="shared" si="250"/>
        <v>2</v>
      </c>
      <c r="ET40" s="251">
        <f>VLOOKUP(ES40,各项系数!$D$142:$E$195,2,0)*1</f>
        <v>2</v>
      </c>
      <c r="EU40" s="311">
        <f>((各项系数!$F$76/4*$EJ40^2*$EG40*$EH40*1*10^-7)*(1-$H40)*AA40)*(VLOOKUP($EY$9,各项系数!$D$4:$F$143,3,0))*各项系数!$J$4</f>
        <v>0.799539852110976</v>
      </c>
      <c r="EV40" s="312">
        <f>EU40*(VLOOKUP($EY$9,各项系数!$D$4:$F$143,2,0))</f>
        <v>52.3698603132689</v>
      </c>
      <c r="EW40" s="324">
        <f>(IF($EO40=0,0,(各项系数!$F$76/4*$ER40^2*$EO40*$EP40*1*10^-7))*(1-$K40)*$AF40)*(VLOOKUP($EY$9,各项系数!$D$4:$F$143,3,0))*各项系数!$J$4</f>
        <v>0</v>
      </c>
      <c r="EX40" s="325">
        <f>EW40*(VLOOKUP($EY$9,各项系数!$D$4:$F$143,2,0))</f>
        <v>0</v>
      </c>
      <c r="EY40" s="251">
        <f>((各项系数!$F$76/4*$EJ40^2*$EG40*$EH40*1*10^-7)*(1-$H40)*AA40+IF($EO40=0,0,(各项系数!$F$76/4*$ER40^2*$EO40*$EP40*1*10^-7))*(1-$K40)*$AF40)*(VLOOKUP($EY$9,各项系数!$D$4:$F$143,3,0))*各项系数!$J$4</f>
        <v>0.799539852110976</v>
      </c>
      <c r="EZ40" s="123">
        <v>1</v>
      </c>
      <c r="FA40" s="251">
        <f t="shared" si="188"/>
        <v>0.799539852110976</v>
      </c>
      <c r="FB40" s="326">
        <f>FA40*(VLOOKUP($EY$9,各项系数!$D$4:$F$143,2,0))</f>
        <v>52.3698603132689</v>
      </c>
      <c r="FC40" s="327"/>
      <c r="FD40" s="302">
        <f>各项系数!$F$76/4*($MN40^2-MK40^2)*10^-2*(VLOOKUP(L40,各项系数!$D$1:$F$143,3,0))*10^-3*10^2*$EG40*各项系数!$J$4</f>
        <v>0.0725032200428565</v>
      </c>
      <c r="FE40" s="339">
        <f>FD40*VLOOKUP(L40,各项系数!$D$1:$F$143,2,0)</f>
        <v>0.739532844437136</v>
      </c>
      <c r="FF40" s="250">
        <f>各项系数!$F$76/4*($MO40^2-ML40^2)*10^-2*(VLOOKUP(L40,各项系数!$D$1:$F$143,3,0))*10^-3*10^2*$EO40*各项系数!$J$4</f>
        <v>0</v>
      </c>
      <c r="FG40" s="339">
        <f>FF40*VLOOKUP(L40,各项系数!$D$1:$F$143,2,0)</f>
        <v>0</v>
      </c>
      <c r="FH40" s="302">
        <f t="shared" si="142"/>
        <v>0.0725032200428565</v>
      </c>
      <c r="FI40" s="123">
        <v>1</v>
      </c>
      <c r="FJ40" s="251">
        <f t="shared" si="189"/>
        <v>0.0725032200428565</v>
      </c>
      <c r="FK40" s="339">
        <f>FJ40*VLOOKUP(L40,各项系数!$D$1:$F$143,2,0)</f>
        <v>0.739532844437136</v>
      </c>
      <c r="FL40" s="302"/>
      <c r="FM40" s="123"/>
      <c r="FN40" s="251"/>
      <c r="FO40" s="339"/>
      <c r="FP40" s="364">
        <f t="shared" si="190"/>
        <v>0.0725032200428565</v>
      </c>
      <c r="FQ40" s="364">
        <f t="shared" si="191"/>
        <v>0.739532844437136</v>
      </c>
      <c r="FR40" s="365">
        <f>各项系数!$F$76/4*($MQ40^2-$MN40^2*$EG40-$MO40^2*$EO40)*10^-2</f>
        <v>2.09291995115866</v>
      </c>
      <c r="FS40" s="366">
        <f t="shared" si="143"/>
        <v>0.05</v>
      </c>
      <c r="FT40" s="367">
        <f t="shared" si="40"/>
        <v>0.104645997557933</v>
      </c>
      <c r="FU40" s="388">
        <f>$FT40*(VLOOKUP($FT$9,各项系数!$D$1:$F$143,3,0))*10^-3*10^2*各项系数!$J$55</f>
        <v>0.0124947321084172</v>
      </c>
      <c r="FV40" s="389">
        <v>1</v>
      </c>
      <c r="FW40" s="390">
        <f t="shared" si="192"/>
        <v>0.0124947321084172</v>
      </c>
      <c r="FX40" s="367">
        <f>FW40*(VLOOKUP($FT$9,各项系数!$D$1:$F$143,2,0))</f>
        <v>0.0374841963252516</v>
      </c>
      <c r="FY40" s="388">
        <f>IF($BK40&lt;&gt;$FY$9,0,各项系数!$F$76/4*($MS40^2-$MQ40^2)*10^-2*(VLOOKUP($FY$9,各项系数!$D$1:$F$143,3,0))*10^-3*10^2)*各项系数!$J$4</f>
        <v>0</v>
      </c>
      <c r="FZ40" s="389">
        <v>1</v>
      </c>
      <c r="GA40" s="390">
        <f t="shared" si="193"/>
        <v>0</v>
      </c>
      <c r="GB40" s="367">
        <f>GA40*(VLOOKUP($FY$9,各项系数!$D$1:$F$143,2,0))</f>
        <v>0</v>
      </c>
      <c r="GC40" s="388">
        <f>IF($BK40&lt;&gt;$GC$9,0,各项系数!$F$76/4*($MS40^2-$MQ40^2)*10^-2*(VLOOKUP($GC$9,各项系数!$D$1:$F$143,3,0))*10^-3*10^2)*各项系数!$J$4</f>
        <v>0.00433737555123227</v>
      </c>
      <c r="GD40" s="389">
        <v>1</v>
      </c>
      <c r="GE40" s="390">
        <f t="shared" si="194"/>
        <v>0.00433737555123227</v>
      </c>
      <c r="GF40" s="367">
        <f>GE40*(VLOOKUP($GC$9,各项系数!$D$1:$F$143,2,0))</f>
        <v>0.0559521446108963</v>
      </c>
      <c r="GG40" s="388">
        <f>IF($BK40&lt;&gt;$GG$9,0,各项系数!$F$76/4*($MS40^2-$MQ40^2)*10^-2*(VLOOKUP($GG$9,各项系数!$D$1:$F$143,3,0))*10^-3*10^2)*各项系数!$J$4</f>
        <v>0</v>
      </c>
      <c r="GH40" s="389">
        <v>1</v>
      </c>
      <c r="GI40" s="390">
        <f t="shared" si="195"/>
        <v>0</v>
      </c>
      <c r="GJ40" s="367">
        <f>GI40*(VLOOKUP($GG$9,各项系数!$D$1:$F$143,2,0))</f>
        <v>0</v>
      </c>
      <c r="GK40" s="388">
        <f>IF($BK40&lt;&gt;$GK$9,0,各项系数!$F$76/4*($MS40^2-$MQ40^2)*10^-2*(VLOOKUP($GK$9,各项系数!$D$1:$F$143,3,0))*10^-3*10^2)*各项系数!$J$4</f>
        <v>0</v>
      </c>
      <c r="GL40" s="389">
        <v>1</v>
      </c>
      <c r="GM40" s="390">
        <f t="shared" si="196"/>
        <v>0</v>
      </c>
      <c r="GN40" s="367">
        <f>GM40*(VLOOKUP($GK$9,各项系数!$D$1:$F$143,2,0))</f>
        <v>0</v>
      </c>
      <c r="GO40" s="390">
        <f t="shared" si="197"/>
        <v>0.00433737555123227</v>
      </c>
      <c r="GP40" s="390">
        <f t="shared" si="198"/>
        <v>0.0559521446108963</v>
      </c>
      <c r="GQ40" s="406">
        <f>各项系数!$F$76/4*($MU40^2-$MS40^2)*10^-2*(VLOOKUP($S40,各项系数!$D$1:$F$143,3,0))*10^-3*10^2*各项系数!$J$4</f>
        <v>0.172384351460658</v>
      </c>
      <c r="GR40" s="389">
        <v>1</v>
      </c>
      <c r="GS40" s="390">
        <f t="shared" si="199"/>
        <v>0.172384351460658</v>
      </c>
      <c r="GT40" s="390">
        <f t="shared" si="200"/>
        <v>0</v>
      </c>
      <c r="GU40" s="390">
        <f>ROUND($GS40*(VLOOKUP($S40,各项系数!$D$1:$F$143,2,0))+$E$3*GS40,GT40)</f>
        <v>1</v>
      </c>
      <c r="GV40" s="406">
        <f>各项系数!$F$76/4*($MT40^2-$MS40^2)*10^-2*(VLOOKUP($GV$9,各项系数!$D$1:$F$143,3,0))*10^-3*10^2*各项系数!$J$4*PI()/4*R40</f>
        <v>0.032528031405464</v>
      </c>
      <c r="GW40" s="389">
        <v>1</v>
      </c>
      <c r="GX40" s="390">
        <f t="shared" si="201"/>
        <v>0.032528031405464</v>
      </c>
      <c r="GY40" s="390">
        <f>$GX40*(VLOOKUP($GV$9,各项系数!$D$1:$F$143,2,0))</f>
        <v>2.19564211986882</v>
      </c>
      <c r="GZ40" s="406">
        <f>各项系数!$F$76/4*($MV40^2-$MS40^2)*10^-2*(VLOOKUP($GZ$9,各项系数!$D$1:$F$143,3,0))*10^-3*10^2*各项系数!$J$4</f>
        <v>0.20402094057127</v>
      </c>
      <c r="HA40" s="389">
        <v>1</v>
      </c>
      <c r="HB40" s="390">
        <f t="shared" si="144"/>
        <v>0.20402094057127</v>
      </c>
      <c r="HC40" s="390">
        <f>HB40*(VLOOKUP($GZ$9,各项系数!$D$1:$F$143,2,0))</f>
        <v>3.46835598971159</v>
      </c>
      <c r="HD40" s="406">
        <f>各项系数!$F$76/4*($MW40^2-$MT40^2)*10^-2*(VLOOKUP($HD$9,各项系数!$D$1:$F$143,3,0))*10^-3*10^2*各项系数!$J$4</f>
        <v>0.205326310017949</v>
      </c>
      <c r="HE40" s="389">
        <v>1</v>
      </c>
      <c r="HF40" s="390">
        <f t="shared" si="145"/>
        <v>0.205326310017949</v>
      </c>
      <c r="HG40" s="390">
        <f>HF40*(VLOOKUP($HD$9,各项系数!$D$1:$F$143,2,0))</f>
        <v>3.49054727030513</v>
      </c>
      <c r="HH40" s="406">
        <f>各项系数!$F$76/4*($MV40^2-$MS40^2)*10^-2*(VLOOKUP($HH$9,各项系数!$D$1:$F$143,3,0))*10^-3*10^2*各项系数!$J$4</f>
        <v>0.20402094057127</v>
      </c>
      <c r="HI40" s="420">
        <v>1</v>
      </c>
      <c r="HJ40" s="390">
        <f t="shared" si="146"/>
        <v>0.20402094057127</v>
      </c>
      <c r="HK40" s="390">
        <f>HJ40*(VLOOKUP($HH$9,各项系数!$D$1:$F$143,2,0))</f>
        <v>3.46835598971159</v>
      </c>
      <c r="HL40" s="406">
        <f>各项系数!$F$76/4*($MW40^2-$MT40^2)*10^-2*(VLOOKUP($HL$9,各项系数!$D$1:$F$143,3,0))*10^-3*10^2*各项系数!$J$4</f>
        <v>0.205326310017949</v>
      </c>
      <c r="HM40" s="420">
        <v>1</v>
      </c>
      <c r="HN40" s="390">
        <f t="shared" si="147"/>
        <v>0.205326310017949</v>
      </c>
      <c r="HO40" s="390">
        <f>HN40*(VLOOKUP($HL$9,各项系数!$D$1:$F$143,2,0))</f>
        <v>3.49054727030513</v>
      </c>
      <c r="HP40" s="406">
        <f>各项系数!$F$76/4*($MV40^2-$MS40^2)*10^-2*(VLOOKUP(AN40,各项系数!$D$1:$F$143,3,0))*10^-3*10^2*各项系数!$J$4</f>
        <v>0.206835022510184</v>
      </c>
      <c r="HQ40" s="389">
        <v>1</v>
      </c>
      <c r="HR40" s="390">
        <f t="shared" si="202"/>
        <v>0.206835022510184</v>
      </c>
      <c r="HS40" s="390">
        <f>HR40*(VLOOKUP(AN40,各项系数!$D$1:$F$143,2,0))</f>
        <v>2.06835022510184</v>
      </c>
      <c r="HT40" s="406">
        <f>各项系数!$F$76/4*($MW40^2-$MT40^2)*10^-2*(VLOOKUP(AN40,各项系数!$D$1:$F$143,3,0))*10^-3*10^2*各项系数!$J$4</f>
        <v>0.208158397052679</v>
      </c>
      <c r="HU40" s="389">
        <v>1</v>
      </c>
      <c r="HV40" s="390">
        <f t="shared" si="203"/>
        <v>0.208158397052679</v>
      </c>
      <c r="HW40" s="390">
        <f>HV40*(VLOOKUP(AN40,各项系数!$D$1:$F$143,2,0))</f>
        <v>2.08158397052679</v>
      </c>
      <c r="HX40" s="406">
        <f>各项系数!$F$76/4*($MV40^2-$MS40^2)*10^-2*(VLOOKUP($HX$9,各项系数!$D$1:$F$143,3,0))*10^-3*10^2*各项系数!$J$4</f>
        <v>0.206835022510184</v>
      </c>
      <c r="HY40" s="420">
        <v>1</v>
      </c>
      <c r="HZ40" s="390">
        <f t="shared" si="204"/>
        <v>0.206835022510184</v>
      </c>
      <c r="IA40" s="390">
        <f>HZ40*(VLOOKUP($HX$9,各项系数!$D$1:$F$143,2,0))</f>
        <v>2.27518524761203</v>
      </c>
      <c r="IB40" s="406">
        <f>各项系数!$F$76/4*($MW40^2-$MT40^2)*10^-2*(VLOOKUP($IB$9,各项系数!$D$1:$F$143,3,0))*10^-3*10^2*各项系数!$J$4</f>
        <v>0.208158397052679</v>
      </c>
      <c r="IC40" s="420">
        <v>1</v>
      </c>
      <c r="ID40" s="390">
        <f t="shared" si="205"/>
        <v>0.208158397052679</v>
      </c>
      <c r="IE40" s="390">
        <f>ID40*(VLOOKUP($IB$9,各项系数!$D$1:$F$143,2,0))</f>
        <v>2.28974236757947</v>
      </c>
      <c r="IF40" s="429"/>
      <c r="IG40" s="406">
        <f t="shared" si="148"/>
        <v>0.0276911008444476</v>
      </c>
      <c r="IH40" s="389">
        <v>1</v>
      </c>
      <c r="II40" s="390">
        <f t="shared" si="206"/>
        <v>0.0276911008444476</v>
      </c>
      <c r="IJ40" s="390">
        <f>II40*(VLOOKUP($IG$8,各项系数!$D$1:$F$143,2,0))</f>
        <v>0.692277521111191</v>
      </c>
      <c r="IK40" s="406">
        <f>(各项系数!$F$76/4*($MX40^2-$MK40^2)*$EG40)*10^-2*(VLOOKUP($IG$8,各项系数!$D$1:$F$143,3,0))*10^-3*10^2*各项系数!$J$4</f>
        <v>0.0276911008444476</v>
      </c>
      <c r="IL40" s="389">
        <f>IK40*(VLOOKUP($IG$8,各项系数!$D$1:$F$143,2,0))</f>
        <v>0.692277521111191</v>
      </c>
      <c r="IM40" s="390">
        <f>(各项系数!$F$76/4*(($MM40+3*$X40)^2-MM40^2)*$EO40)*10^-2*(VLOOKUP($IG$8,各项系数!$D$1:$F$143,3,0))*10^-3*10^2*各项系数!$J$4</f>
        <v>0</v>
      </c>
      <c r="IN40" s="389">
        <f>IM40*(VLOOKUP($IG$8,各项系数!$D$1:$F$143,2,0))</f>
        <v>0</v>
      </c>
      <c r="IO40" s="406">
        <f>各项系数!$F$76/4*($MZ40^2-$MX40^2)*10^-2*(VLOOKUP(L40,各项系数!$D$1:$F$143,3,0))*10^-3*10^2*$ES40*各项系数!$J$4</f>
        <v>0.0766293878340813</v>
      </c>
      <c r="IP40" s="389">
        <v>1</v>
      </c>
      <c r="IQ40" s="390">
        <f t="shared" si="207"/>
        <v>0.0766293878340813</v>
      </c>
      <c r="IR40" s="367">
        <f>IQ40*(VLOOKUP(L40,各项系数!$D$1:$F$143,2,0))</f>
        <v>0.781619755907629</v>
      </c>
      <c r="IS40" s="406">
        <f>IF($L40&lt;&gt;$IS$9,0,各项系数!$F$76/4*($MZ40^2-$MX40^2)*10^-2*各项系数!$F$12*10^-3*10^2)*$ES40*各项系数!$J$4</f>
        <v>0</v>
      </c>
      <c r="IT40" s="389">
        <v>1</v>
      </c>
      <c r="IU40" s="390">
        <f t="shared" si="208"/>
        <v>0</v>
      </c>
      <c r="IV40" s="367">
        <f>IU40*各项系数!$E$12</f>
        <v>0</v>
      </c>
      <c r="IW40" s="388">
        <f t="shared" si="209"/>
        <v>0.0766293878340813</v>
      </c>
      <c r="IX40" s="388">
        <f t="shared" si="210"/>
        <v>0.781619755907629</v>
      </c>
      <c r="IY40" s="447">
        <f>各项系数!$F$76/4*($NB40^2-$MZ40^2*$EG40-$NA40^2*$EO40)*10^-2</f>
        <v>2.31615407703488</v>
      </c>
      <c r="IZ40" s="366">
        <f t="shared" si="231"/>
        <v>0.05</v>
      </c>
      <c r="JA40" s="367">
        <f t="shared" si="64"/>
        <v>0.115807703851744</v>
      </c>
      <c r="JB40" s="364">
        <f>IF($DE40&lt;&gt;$JB$9,0,$JA40*各项系数!$F$32*10^-3*10^2)*各项系数!$J$4</f>
        <v>0</v>
      </c>
      <c r="JC40" s="123">
        <v>1</v>
      </c>
      <c r="JD40" s="251">
        <f t="shared" si="211"/>
        <v>0</v>
      </c>
      <c r="JE40" s="339">
        <f>JD40*各项系数!$E$32</f>
        <v>0</v>
      </c>
      <c r="JF40" s="364">
        <f>IF($DE40&lt;&gt;$JF$9,0,$JA40*VLOOKUP($JF$9,各项系数!$D$4:$F$540,2,0)*10^-3*10^2)*各项系数!$J$4</f>
        <v>0.0576143326662426</v>
      </c>
      <c r="JG40" s="123">
        <v>1</v>
      </c>
      <c r="JH40" s="251">
        <f t="shared" si="66"/>
        <v>0.0576143326662426</v>
      </c>
      <c r="JI40" s="339">
        <f>JH40*VLOOKUP($JF$9,各项系数!$D$4:$F$540,3,0)</f>
        <v>0.0691371991994912</v>
      </c>
      <c r="JJ40" s="364">
        <f t="shared" si="212"/>
        <v>0.0576143326662426</v>
      </c>
      <c r="JK40" s="251">
        <f t="shared" si="213"/>
        <v>0.0691371991994912</v>
      </c>
      <c r="JL40" s="364">
        <f>IF($DF40&lt;&gt;$JL$9,0,各项系数!$F$76/4*($NE40^2-$NC40^2)*10^-2*各项系数!$F$39*10^-3*10^2)*各项系数!$J$4</f>
        <v>0.00208313659468119</v>
      </c>
      <c r="JM40" s="123">
        <v>1</v>
      </c>
      <c r="JN40" s="251">
        <f t="shared" si="214"/>
        <v>0.00208313659468119</v>
      </c>
      <c r="JO40" s="339">
        <f>JN40*各项系数!$E$39</f>
        <v>0.0416627318936238</v>
      </c>
      <c r="JP40" s="364">
        <f>IF($DF40&lt;&gt;$JP$9,0,各项系数!$F$76/4*($NE40^2-$NC40^2)*10^-2*各项系数!$F$36*10^-3*10^2)*各项系数!$J$4</f>
        <v>0</v>
      </c>
      <c r="JQ40" s="123">
        <v>1</v>
      </c>
      <c r="JR40" s="251">
        <f t="shared" si="215"/>
        <v>0</v>
      </c>
      <c r="JS40" s="339">
        <f>JR40*各项系数!$E$36</f>
        <v>0</v>
      </c>
      <c r="JT40" s="364">
        <f>IF($DF40&lt;&gt;$JT$9,0,各项系数!$F$76/4*($NE40^2-$NC40^2)*10^-2*各项系数!$F$40*10^-3*10^2)*各项系数!$J$4</f>
        <v>0</v>
      </c>
      <c r="JU40" s="123">
        <v>1</v>
      </c>
      <c r="JV40" s="251">
        <f t="shared" si="216"/>
        <v>0</v>
      </c>
      <c r="JW40" s="339">
        <f>JV40*各项系数!$E$40</f>
        <v>0</v>
      </c>
      <c r="JX40" s="364">
        <f>IF($DF40&lt;&gt;$JX$9,0,各项系数!$F$76/4*($NE40^2-$NC40^2)*10^-2*各项系数!$F$38*10^-3*10^2)*各项系数!$J$4</f>
        <v>0</v>
      </c>
      <c r="JY40" s="123">
        <v>1</v>
      </c>
      <c r="JZ40" s="251">
        <f t="shared" si="217"/>
        <v>0</v>
      </c>
      <c r="KA40" s="339">
        <f>JZ40*各项系数!$E$38</f>
        <v>0</v>
      </c>
      <c r="KB40" s="364">
        <f>IF($DF40&lt;&gt;$KB$9,0,各项系数!$F$76/4*($NE40^2-$NC40^2)*10^-2*各项系数!$F$41*10^-3*10^2)*各项系数!$J$4</f>
        <v>0</v>
      </c>
      <c r="KC40" s="123">
        <v>1</v>
      </c>
      <c r="KD40" s="251">
        <f t="shared" si="218"/>
        <v>0</v>
      </c>
      <c r="KE40" s="339">
        <f>KD40*各项系数!$E$41</f>
        <v>0</v>
      </c>
      <c r="KF40" s="251">
        <f t="shared" si="219"/>
        <v>0.00208313659468119</v>
      </c>
      <c r="KG40" s="251">
        <f t="shared" si="220"/>
        <v>0.0416627318936238</v>
      </c>
      <c r="KH40" s="302">
        <f>各项系数!$F$76/4*($NG40^2-$NE40^2)*10^-2*各项系数!$F$44*10^-3*10^2*各项系数!$J$4*0.75*$U40</f>
        <v>0.272449125051292</v>
      </c>
      <c r="KI40" s="123">
        <v>1</v>
      </c>
      <c r="KJ40" s="251">
        <f t="shared" si="221"/>
        <v>0.272449125051292</v>
      </c>
      <c r="KK40" s="251">
        <f>ROUND(KJ40*各项系数!$E$43,GT40)</f>
        <v>2</v>
      </c>
      <c r="KL40" s="302">
        <f>各项系数!$F$76/4*($NF40^2-$NE40^2)*10^-2*各项系数!$F$46*10^-3*10^2*各项系数!$J$4*PI()/4*R40</f>
        <v>0.0342896429453316</v>
      </c>
      <c r="KM40" s="123">
        <v>1</v>
      </c>
      <c r="KN40" s="251">
        <f t="shared" si="222"/>
        <v>0.0342896429453316</v>
      </c>
      <c r="KO40" s="251">
        <f>KN40*各项系数!$E$46</f>
        <v>2.31455089880988</v>
      </c>
      <c r="KP40" s="302">
        <f>各项系数!$F$76/4*($NH40^2-$NE40^2)*10^-2*(VLOOKUP($KP$9,各项系数!$D$1:$F$143,3,0))*10^-3*10^2*各项系数!$J$4</f>
        <v>0.214310079649246</v>
      </c>
      <c r="KQ40" s="123">
        <v>1</v>
      </c>
      <c r="KR40" s="251">
        <f t="shared" si="150"/>
        <v>0.214310079649246</v>
      </c>
      <c r="KS40" s="251">
        <f>KR40*(VLOOKUP($KP$9,各项系数!$D$1:$F$143,2,0))</f>
        <v>3.64327135403717</v>
      </c>
      <c r="KT40" s="302">
        <f>各项系数!$F$76/4*($NI40^2-$NF40^2)*10^-2*(VLOOKUP($KT$9,各项系数!$D$1:$F$143,3,0))*10^-3*10^2*各项系数!$J$4</f>
        <v>0.215615449095924</v>
      </c>
      <c r="KU40" s="123">
        <v>1</v>
      </c>
      <c r="KV40" s="251">
        <f t="shared" si="151"/>
        <v>0.215615449095924</v>
      </c>
      <c r="KW40" s="251">
        <f>KV40*(VLOOKUP($KT$9,各项系数!$D$1:$F$143,2,0))</f>
        <v>3.66546263463071</v>
      </c>
      <c r="KX40" s="251">
        <f>各项系数!$F$76/4*($NH40^2-$NE40^2)*10^-2*(VLOOKUP($KX$9,各项系数!$D$1:$F$143,3,0))*10^-3*10^2*各项系数!$J$4</f>
        <v>0.214310079649246</v>
      </c>
      <c r="KY40" s="479">
        <v>1</v>
      </c>
      <c r="KZ40" s="251">
        <f t="shared" si="152"/>
        <v>0.214310079649246</v>
      </c>
      <c r="LA40" s="251">
        <f>KZ40*(VLOOKUP($KX$9,各项系数!$D$1:$F$143,2,0))</f>
        <v>3.64327135403717</v>
      </c>
      <c r="LB40" s="251">
        <f>各项系数!$F$76/4*($NI40^2-$NF40^2)*10^-2*(VLOOKUP($LB$9,各项系数!$D$1:$F$143,3,0))*10^-3*10^2*各项系数!$J$4</f>
        <v>0.215615449095924</v>
      </c>
      <c r="LC40" s="479">
        <v>1</v>
      </c>
      <c r="LD40" s="251">
        <f t="shared" si="153"/>
        <v>0.215615449095924</v>
      </c>
      <c r="LE40" s="251">
        <f>LD40*(VLOOKUP($LB$9,各项系数!$D$1:$F$143,2,0))</f>
        <v>3.66546263463071</v>
      </c>
      <c r="LF40" s="302">
        <f>各项系数!$F$76/4*($NH40^2-$NE40^2)*10^-2*(VLOOKUP(AN40,各项系数!$D$1:$F$143,3,0))*10^-3*10^2*各项系数!$J$4</f>
        <v>0.217266080747856</v>
      </c>
      <c r="LG40" s="123">
        <v>1</v>
      </c>
      <c r="LH40" s="251">
        <f t="shared" si="223"/>
        <v>0.217266080747856</v>
      </c>
      <c r="LI40" s="251">
        <f>LH40*(VLOOKUP(AN40,各项系数!$D$1:$F$143,2,0))</f>
        <v>2.17266080747856</v>
      </c>
      <c r="LJ40" s="302">
        <f>各项系数!$F$76/4*($NI40^2-$NF40^2)*10^-2*(VLOOKUP(AN40,各项系数!$D$1:$F$143,3,0))*10^-3*10^2*各项系数!$J$4</f>
        <v>0.218589455290351</v>
      </c>
      <c r="LK40" s="123">
        <v>1</v>
      </c>
      <c r="LL40" s="251">
        <f t="shared" si="224"/>
        <v>0.218589455290351</v>
      </c>
      <c r="LM40" s="251">
        <f>LL40*(VLOOKUP(AN40,各项系数!$D$1:$F$143,2,0))</f>
        <v>2.1858945529035</v>
      </c>
      <c r="LN40" s="251">
        <f>各项系数!$F$76/4*($NH40^2-$NE40^2)*10^-2*(VLOOKUP($LN$9,各项系数!$D$1:$F$143,3,0))*10^-3*10^2*各项系数!$J$4</f>
        <v>0.217266080747856</v>
      </c>
      <c r="LO40" s="479">
        <v>1</v>
      </c>
      <c r="LP40" s="251">
        <f t="shared" si="225"/>
        <v>0.217266080747856</v>
      </c>
      <c r="LQ40" s="251">
        <f>LP40*(VLOOKUP($LN$9,各项系数!$D$1:$F$143,2,0))</f>
        <v>2.38992688822641</v>
      </c>
      <c r="LR40" s="251">
        <f>各项系数!$F$76/4*($NI40^2-$NF40^2)*10^-2*(VLOOKUP($LR$9,各项系数!$D$1:$F$143,3,0))*10^-3*10^2*各项系数!$J$4</f>
        <v>0.218589455290351</v>
      </c>
      <c r="LS40" s="479">
        <v>1</v>
      </c>
      <c r="LT40" s="251">
        <f t="shared" si="226"/>
        <v>0.218589455290351</v>
      </c>
      <c r="LU40" s="251">
        <f>LT40*(VLOOKUP($LR$9,各项系数!$D$1:$F$143,2,0))</f>
        <v>2.40448400819386</v>
      </c>
      <c r="LV40" s="499">
        <f t="shared" si="154"/>
        <v>143.04876072</v>
      </c>
      <c r="LW40" s="499">
        <f t="shared" si="155"/>
        <v>89.40547545</v>
      </c>
      <c r="LX40" s="499">
        <f t="shared" si="156"/>
        <v>10.6693292600233</v>
      </c>
      <c r="LY40" s="515">
        <f t="shared" si="157"/>
        <v>53.64328527</v>
      </c>
      <c r="LZ40" s="516">
        <f t="shared" si="86"/>
        <v>1</v>
      </c>
      <c r="MA40" s="517">
        <f t="shared" si="87"/>
        <v>143.04876072</v>
      </c>
      <c r="MB40" s="517">
        <f t="shared" si="158"/>
        <v>9.5429382</v>
      </c>
      <c r="MC40" s="499">
        <f t="shared" si="159"/>
        <v>0</v>
      </c>
      <c r="MD40" s="499">
        <f t="shared" si="160"/>
        <v>0</v>
      </c>
      <c r="ME40" s="499">
        <f t="shared" si="161"/>
        <v>0</v>
      </c>
      <c r="MF40" s="499">
        <f t="shared" si="162"/>
        <v>0</v>
      </c>
      <c r="MG40" s="516">
        <f t="shared" si="163"/>
        <v>1</v>
      </c>
      <c r="MH40" s="517">
        <f t="shared" si="88"/>
        <v>0</v>
      </c>
      <c r="MI40" s="517">
        <f t="shared" si="164"/>
        <v>0</v>
      </c>
      <c r="MJ40" s="251">
        <f t="shared" si="89"/>
        <v>9.5429382</v>
      </c>
      <c r="MK40" s="251">
        <f t="shared" si="165"/>
        <v>9.5429382</v>
      </c>
      <c r="ML40" s="251">
        <f t="shared" si="227"/>
        <v>0</v>
      </c>
      <c r="MM40" s="251">
        <f t="shared" si="91"/>
        <v>0</v>
      </c>
      <c r="MN40" s="251">
        <f t="shared" si="92"/>
        <v>11.5429382</v>
      </c>
      <c r="MO40" s="251">
        <f t="shared" si="166"/>
        <v>0</v>
      </c>
      <c r="MP40" s="251">
        <f t="shared" si="167"/>
        <v>23.0858764</v>
      </c>
      <c r="MQ40" s="251">
        <f t="shared" si="228"/>
        <v>23.0858764</v>
      </c>
      <c r="MR40" s="314">
        <f t="shared" si="168"/>
        <v>23.03098218</v>
      </c>
      <c r="MS40" s="530">
        <f t="shared" si="94"/>
        <v>23.20698218</v>
      </c>
      <c r="MT40" s="530">
        <f t="shared" si="95"/>
        <v>23.36698218</v>
      </c>
      <c r="MU40" s="530">
        <f t="shared" si="232"/>
        <v>23.80698218</v>
      </c>
      <c r="MV40" s="530">
        <f t="shared" si="97"/>
        <v>26.80698218</v>
      </c>
      <c r="MW40" s="530">
        <f t="shared" si="98"/>
        <v>26.96698218</v>
      </c>
      <c r="MX40" s="326">
        <f t="shared" si="233"/>
        <v>10.1429382</v>
      </c>
      <c r="MY40" s="326">
        <f t="shared" si="100"/>
        <v>0</v>
      </c>
      <c r="MZ40" s="251">
        <f t="shared" si="101"/>
        <v>12.1429382</v>
      </c>
      <c r="NA40" s="251">
        <f t="shared" si="102"/>
        <v>0</v>
      </c>
      <c r="NB40" s="251">
        <f t="shared" si="169"/>
        <v>24.2858764</v>
      </c>
      <c r="NC40" s="326">
        <f t="shared" si="229"/>
        <v>24.2858764</v>
      </c>
      <c r="ND40" s="314">
        <f t="shared" si="234"/>
        <v>24.22812879</v>
      </c>
      <c r="NE40" s="537">
        <f t="shared" si="235"/>
        <v>24.46812879</v>
      </c>
      <c r="NF40" s="530">
        <f t="shared" si="106"/>
        <v>24.62812879</v>
      </c>
      <c r="NG40" s="538">
        <f t="shared" si="236"/>
        <v>25.06812879</v>
      </c>
      <c r="NH40" s="326">
        <f t="shared" si="108"/>
        <v>28.06812879</v>
      </c>
      <c r="NI40" s="530">
        <f t="shared" si="109"/>
        <v>28.22812879</v>
      </c>
      <c r="NK40" s="539">
        <f t="shared" si="110"/>
        <v>1.09571020232367</v>
      </c>
      <c r="NL40" s="539">
        <f t="shared" si="111"/>
        <v>55.271179723744</v>
      </c>
      <c r="NM40" s="539">
        <f t="shared" si="112"/>
        <v>1.09571020232367</v>
      </c>
      <c r="NN40" s="539">
        <f t="shared" si="113"/>
        <v>55.4780147462542</v>
      </c>
      <c r="NO40" s="539">
        <f t="shared" si="114"/>
        <v>1.18082389079828</v>
      </c>
      <c r="NP40" s="539">
        <f t="shared" si="115"/>
        <v>56.1272183288594</v>
      </c>
      <c r="NQ40" s="539">
        <f t="shared" si="116"/>
        <v>1.18082389079828</v>
      </c>
      <c r="NR40" s="539">
        <f t="shared" si="117"/>
        <v>56.3444844096073</v>
      </c>
      <c r="NS40" s="539">
        <f t="shared" si="118"/>
        <v>1.12823823372913</v>
      </c>
      <c r="NT40" s="539">
        <f t="shared" si="119"/>
        <v>1.12823823372913</v>
      </c>
      <c r="NU40" s="539">
        <f t="shared" si="120"/>
        <v>1.21511353374362</v>
      </c>
      <c r="NV40" s="539">
        <f t="shared" si="121"/>
        <v>1.21511353374362</v>
      </c>
      <c r="NW40">
        <f t="shared" si="122"/>
        <v>1.26809455378432</v>
      </c>
      <c r="NX40">
        <f>各项系数!$M$9*NK40</f>
        <v>0.3287130606971</v>
      </c>
      <c r="NY40">
        <f t="shared" si="123"/>
        <v>1.12823823372913</v>
      </c>
    </row>
    <row r="41" customHeight="1" spans="1:389">
      <c r="A41" s="90">
        <v>3</v>
      </c>
      <c r="B41" s="86">
        <v>1</v>
      </c>
      <c r="C41" s="87"/>
      <c r="D41" s="69" t="s">
        <v>192</v>
      </c>
      <c r="E41" s="77">
        <f t="shared" si="240"/>
        <v>29.68522666</v>
      </c>
      <c r="F41" s="84">
        <f>$F$25</f>
        <v>242.295968589101</v>
      </c>
      <c r="G41" s="74"/>
      <c r="H41" s="23"/>
      <c r="I41" s="78"/>
      <c r="J41" s="23"/>
      <c r="K41" s="23"/>
      <c r="L41" s="118" t="s">
        <v>467</v>
      </c>
      <c r="M41" s="124">
        <f t="shared" si="2"/>
        <v>1.1</v>
      </c>
      <c r="N41" s="124">
        <f t="shared" si="3"/>
        <v>0</v>
      </c>
      <c r="O41" s="69">
        <f t="shared" si="251"/>
        <v>0.08</v>
      </c>
      <c r="P41" s="120">
        <v>0.1</v>
      </c>
      <c r="Q41" s="162">
        <f t="shared" si="248"/>
        <v>0.1</v>
      </c>
      <c r="R41" s="86">
        <v>0.8</v>
      </c>
      <c r="S41" s="171" t="str">
        <f>各项系数!$D$43</f>
        <v>钢带</v>
      </c>
      <c r="T41" s="69">
        <v>0.2</v>
      </c>
      <c r="U41" s="123">
        <v>2</v>
      </c>
      <c r="V41" s="169"/>
      <c r="W41" s="170">
        <v>1.9</v>
      </c>
      <c r="X41" s="164">
        <f t="shared" si="249"/>
        <v>0.2</v>
      </c>
      <c r="Y41" s="219"/>
      <c r="Z41" s="220"/>
      <c r="AA41" s="217">
        <f>$AA$25</f>
        <v>1.013</v>
      </c>
      <c r="AB41" s="186">
        <f>PI()*EJ41*EJ41/4*EH41*(1-H41)*AA41*各项系数!$F$5*各项系数!$J$4*10^-7</f>
        <v>0.578421704096205</v>
      </c>
      <c r="AC41" s="186">
        <f t="shared" si="241"/>
        <v>242.295968589101</v>
      </c>
      <c r="AD41" s="186">
        <f t="shared" si="5"/>
        <v>65.3912649972251</v>
      </c>
      <c r="AE41" s="186">
        <f>POWER(4*EU41/PI()/EG41/10^-7/EH41/(1-H41)/各项系数!$F$5/各项系数!$J$4,0.5)</f>
        <v>243.865806884974</v>
      </c>
      <c r="AF41" s="218">
        <v>1</v>
      </c>
      <c r="AG41" s="85">
        <f>IF(EM41=0,0,PI()*ER41*ER41/4*EP41*(1-K41)*(1+AF41)*各项系数!$F$5*各项系数!$J$4*10^-7)</f>
        <v>0</v>
      </c>
      <c r="AH41" s="85">
        <f t="shared" si="242"/>
        <v>0</v>
      </c>
      <c r="AI41" s="85">
        <f t="shared" si="128"/>
        <v>0</v>
      </c>
      <c r="AJ41" s="85">
        <f>IF(OR(EP41="",EP41=0),0,POWER(4*EW41/PI()/EO41/10^-7/EP41/(1-K41)/各项系数!$F$5/各项系数!$J$4,0.5))</f>
        <v>0</v>
      </c>
      <c r="AK41" s="85" t="str">
        <f t="shared" si="8"/>
        <v>√</v>
      </c>
      <c r="AL41" s="85">
        <f t="shared" si="243"/>
        <v>81.6803288766949</v>
      </c>
      <c r="AM41" s="250">
        <f t="shared" si="244"/>
        <v>70</v>
      </c>
      <c r="AN41" s="118" t="s">
        <v>486</v>
      </c>
      <c r="AO41" s="259">
        <f>AP41+各项系数!$M$9*$NK41</f>
        <v>80.0787538006813</v>
      </c>
      <c r="AP41" s="259">
        <f>AQ41*(1+$BI41+(VLOOKUP($AM41,$A$12:$B$323,2,0))+各项系数!$J$6+各项系数!$M$5)*(1+$E$2)</f>
        <v>79.6261346134551</v>
      </c>
      <c r="AQ41" s="260">
        <f>AR41+各项系数!$L$9*$NK41</f>
        <v>81.2511577688317</v>
      </c>
      <c r="AR41" s="260">
        <f>AS41*(1+$BJ41+各项系数!$J$5+各项系数!$L$5)</f>
        <v>80.7985385816055</v>
      </c>
      <c r="AS41" s="260">
        <f t="shared" si="129"/>
        <v>79.2142535113779</v>
      </c>
      <c r="AT41" s="259">
        <f>AU41+各项系数!$M$9*$NM41</f>
        <v>81.7200608188083</v>
      </c>
      <c r="AU41" s="259">
        <f>AV41*(1+$BI41+(VLOOKUP($AM41,$A$12:$B$323,2,0))+各项系数!$J$6+各项系数!$M$5)*(1+$E$2)</f>
        <v>81.2674416315821</v>
      </c>
      <c r="AV41" s="260">
        <f>AW41+各项系数!$L$9*$NM41</f>
        <v>82.9259608485532</v>
      </c>
      <c r="AW41" s="260">
        <f>AX41*(1+$BJ41+各项系数!$J$5+各项系数!$L$5)</f>
        <v>82.4733416613269</v>
      </c>
      <c r="AX41" s="260">
        <f t="shared" si="130"/>
        <v>80.8562173150264</v>
      </c>
      <c r="AY41" s="259">
        <f>AZ41+各项系数!$M$9*$NS41</f>
        <v>82.5614454785356</v>
      </c>
      <c r="AZ41" s="259">
        <f>BA41*(1+$BI41+(VLOOKUP($AM41,$A$12:$B$214,2,0))+各项系数!$J$6+各项系数!$M$5)*(1+$E$2)</f>
        <v>82.0979455635914</v>
      </c>
      <c r="BA41" s="260">
        <f>BB41+各项系数!$L$9*$NS41</f>
        <v>83.7734138403994</v>
      </c>
      <c r="BB41" s="260">
        <f>BC41*(1+$BJ41+各项系数!$J$5+各项系数!$L$5)</f>
        <v>83.3099139254552</v>
      </c>
      <c r="BC41" s="262">
        <f t="shared" si="131"/>
        <v>81.6763862014266</v>
      </c>
      <c r="BD41" s="259">
        <f>BE41+各项系数!$M$9*$NS41</f>
        <v>84.2122038906035</v>
      </c>
      <c r="BE41" s="259">
        <f>BF41*(1+$BI41+(VLOOKUP($AM41,$A$12:$B$214,2,0))+各项系数!$J$6+各项系数!$M$5)*(1+$E$2)</f>
        <v>83.7487039756593</v>
      </c>
      <c r="BF41" s="260">
        <f>BG41+各项系数!$L$9*$NS41</f>
        <v>85.4578611996524</v>
      </c>
      <c r="BG41" s="260">
        <f>BH41*(1+$BJ41+各项系数!$J$5+各项系数!$L$5)</f>
        <v>84.9943612847082</v>
      </c>
      <c r="BH41" s="262">
        <f t="shared" si="132"/>
        <v>83.3278051810864</v>
      </c>
      <c r="BI41" s="277"/>
      <c r="BJ41" s="272"/>
      <c r="BK41" s="69" t="s">
        <v>514</v>
      </c>
      <c r="BL41" s="259">
        <f>BM41+各项系数!$M$9*$NM41</f>
        <v>81.0999153390829</v>
      </c>
      <c r="BM41" s="259">
        <f>BN41*(1+$CF41+(VLOOKUP($AM41,$A$12:$B$323,2,0))+各项系数!$J$6+各项系数!$M$5)*(1+$E$2)</f>
        <v>80.6472961518567</v>
      </c>
      <c r="BN41" s="260">
        <f>BO41+各项系数!$L$9*$NM41</f>
        <v>82.2931593386293</v>
      </c>
      <c r="BO41" s="260">
        <f>BP41*(1+$CG41+各项系数!$J$5+各项系数!$L$5)</f>
        <v>81.8405401514031</v>
      </c>
      <c r="BP41" s="260">
        <f t="shared" si="133"/>
        <v>79.4568350984496</v>
      </c>
      <c r="BQ41" s="259">
        <f>BR41+各项系数!$M$9*$NM41</f>
        <v>82.5124517484956</v>
      </c>
      <c r="BR41" s="259">
        <f>BS41*(1+$CF41+(VLOOKUP($AM41,$A$12:$B$323,2,0))+各项系数!$J$6+各项系数!$M$5)*(1+$E$2)</f>
        <v>82.0598325612694</v>
      </c>
      <c r="BS41" s="260">
        <f>BT41+各项系数!$L$9*$NM41</f>
        <v>83.7345230217034</v>
      </c>
      <c r="BT41" s="260">
        <f>BU41*(1+$CG41+各项系数!$J$5+各项系数!$L$5)</f>
        <v>83.2819038344772</v>
      </c>
      <c r="BU41" s="260">
        <f t="shared" si="134"/>
        <v>80.8562173150264</v>
      </c>
      <c r="BV41" s="259">
        <f>BW41+各项系数!$M$9*$NT41</f>
        <v>83.162014161913</v>
      </c>
      <c r="BW41" s="259">
        <f>BX41*(1+$CF41+(VLOOKUP($AM41,$A$12:$B$214,2,0))+各项系数!$J$6+各项系数!$M$5)*(1+$E$2)</f>
        <v>82.6985142469688</v>
      </c>
      <c r="BX41" s="260">
        <f>BY41+各项系数!$L$9*$NT$12</f>
        <v>84.3862390275192</v>
      </c>
      <c r="BY41" s="260">
        <f>BZ41*(1+$CG41+各项系数!$J$5+各项系数!$L$5)</f>
        <v>84.3779756243642</v>
      </c>
      <c r="BZ41" s="262">
        <f t="shared" si="11"/>
        <v>81.9203646838487</v>
      </c>
      <c r="CA41" s="259">
        <f>CB41+各项系数!$M$9*$NT41</f>
        <v>84.5826845998247</v>
      </c>
      <c r="CB41" s="259">
        <f>CC41*(1+$CF41+(VLOOKUP($AM41,$A$12:$B$214,2,0))+各项系数!$J$6+各项系数!$M$5)*(1+$E$2)</f>
        <v>84.1191846848805</v>
      </c>
      <c r="CC41" s="260">
        <f>CD41+各项系数!$L$9*$NT$12</f>
        <v>85.835902739674</v>
      </c>
      <c r="CD41" s="260">
        <f>CE41*(1+$CG41+各项系数!$J$5+各项系数!$L$5)</f>
        <v>85.827639336519</v>
      </c>
      <c r="CE41" s="262">
        <f t="shared" si="135"/>
        <v>83.3278051810864</v>
      </c>
      <c r="CF41" s="277">
        <f t="shared" si="136"/>
        <v>0</v>
      </c>
      <c r="CG41" s="277">
        <f t="shared" si="12"/>
        <v>0.01</v>
      </c>
      <c r="CH41" s="123"/>
      <c r="CI41" s="259">
        <f>CJ41+各项系数!$M$9*$NO41</f>
        <v>81.5432077919267</v>
      </c>
      <c r="CJ41" s="259">
        <f>CK41*(1+$DC41+(VLOOKUP($AM41,$A$12:$B$323,2,0))+各项系数!$J$6+各项系数!$M$5)*(1+$E$2)+各项系数!$M$9*$NK41</f>
        <v>81.060712494247</v>
      </c>
      <c r="CK41" s="260">
        <f>CL41+各项系数!$L$9*$NO41</f>
        <v>82.2531564357354</v>
      </c>
      <c r="CL41" s="260">
        <f>CM41*(1+$DD41+各项系数!$J$5+各项系数!$L$5)</f>
        <v>81.7706611380557</v>
      </c>
      <c r="CM41" s="260">
        <f t="shared" si="13"/>
        <v>80.1673148412311</v>
      </c>
      <c r="CN41" s="259">
        <f>CO41+各项系数!$M$9*$NO41</f>
        <v>83.0744532375686</v>
      </c>
      <c r="CO41" s="259">
        <f>CP41*(1+$DC41+(VLOOKUP($AM41,$A$12:$B$323,2,0))+各项系数!$J$6+各项系数!$M$5)*(1+$E$2)+各项系数!$M$9*$NK41</f>
        <v>82.5919579398889</v>
      </c>
      <c r="CP41" s="260">
        <f>CQ41+各项系数!$L$9*$NO41</f>
        <v>83.8156517884313</v>
      </c>
      <c r="CQ41" s="260">
        <f>CR41*(1+$DD41+各项系数!$J$5+各项系数!$L$5)</f>
        <v>83.3331564907516</v>
      </c>
      <c r="CR41" s="260">
        <f t="shared" si="14"/>
        <v>81.6991730301486</v>
      </c>
      <c r="CS41" s="259">
        <f>CT41+各项系数!$M$9*$NU41</f>
        <v>83.6931878952389</v>
      </c>
      <c r="CT41" s="259">
        <f t="shared" si="15"/>
        <v>83.1992833863793</v>
      </c>
      <c r="CU41" s="260">
        <f>CV41+各项系数!$L$9*$NU41</f>
        <v>84.897227945285</v>
      </c>
      <c r="CV41" s="260">
        <f>CW41*(1+$DD41+各项系数!$J$5+各项系数!$L$5)</f>
        <v>84.4033234364253</v>
      </c>
      <c r="CW41" s="262">
        <f t="shared" si="16"/>
        <v>82.7483563102209</v>
      </c>
      <c r="CX41" s="259">
        <f>CY41+各项系数!$M$9*$NU41</f>
        <v>85.4184437662338</v>
      </c>
      <c r="CY41" s="259">
        <f t="shared" si="17"/>
        <v>84.9245392573742</v>
      </c>
      <c r="CZ41" s="260">
        <f>DA41+各项系数!$L$9*$NU41</f>
        <v>86.6576931197696</v>
      </c>
      <c r="DA41" s="260">
        <f>DB41*(1+$DD41+各项系数!$J$5+各项系数!$L$5)</f>
        <v>86.1637886109099</v>
      </c>
      <c r="DB41" s="262">
        <f t="shared" si="18"/>
        <v>84.4743025597156</v>
      </c>
      <c r="DC41" s="277">
        <f t="shared" si="137"/>
        <v>0</v>
      </c>
      <c r="DD41" s="277">
        <f t="shared" si="19"/>
        <v>0</v>
      </c>
      <c r="DE41" s="69" t="s">
        <v>498</v>
      </c>
      <c r="DF41" s="69" t="s">
        <v>513</v>
      </c>
      <c r="DG41" s="259">
        <f>DH41+各项系数!$M$9*$NQ41</f>
        <v>82.5848233921119</v>
      </c>
      <c r="DH41" s="259">
        <f>DI41*(1+$EA41+(VLOOKUP($AM41,$A$12:$B$323,2,0))+各项系数!$J$6+各项系数!$M$5)*(1+$E$2)+各项系数!$M$9*$NK41</f>
        <v>82.1023280944321</v>
      </c>
      <c r="DI41" s="260">
        <f>DJ41+各项系数!$L$9*$NQ41</f>
        <v>83.3160294971489</v>
      </c>
      <c r="DJ41" s="260">
        <f>DK41*(1+$EB41+各项系数!$J$5+各项系数!$L$5)</f>
        <v>82.8335341994692</v>
      </c>
      <c r="DK41" s="260">
        <f t="shared" si="20"/>
        <v>80.4209069897759</v>
      </c>
      <c r="DL41" s="259">
        <f>DM41+各项系数!$M$9*$NQ41</f>
        <v>84.0614735669449</v>
      </c>
      <c r="DM41" s="259">
        <f>DN41*(1+$EA41+(VLOOKUP($AM41,$A$12:$B$323,2,0))+各项系数!$J$6+各项系数!$M$5)*(1+$E$2)+各项系数!$M$9*$NK41</f>
        <v>83.5789782692652</v>
      </c>
      <c r="DN41" s="260">
        <f>DO41+各项系数!$L$9*$NQ41</f>
        <v>84.8228153898357</v>
      </c>
      <c r="DO41" s="260">
        <f>DP41*(1+$EB41+各项系数!$J$5+各项系数!$L$5)</f>
        <v>84.340320092156</v>
      </c>
      <c r="DP41" s="260">
        <f t="shared" si="21"/>
        <v>81.8838059147145</v>
      </c>
      <c r="DQ41" s="259">
        <f>DR41+各项系数!$M$9*$NV41</f>
        <v>84.7615077279869</v>
      </c>
      <c r="DR41" s="259">
        <f t="shared" si="22"/>
        <v>84.2676032191273</v>
      </c>
      <c r="DS41" s="260">
        <f>DT41+各项系数!$L$9*$NV41</f>
        <v>85.9873502235993</v>
      </c>
      <c r="DT41" s="260">
        <f>DU41*(1+$EB41+各项系数!$J$5+各项系数!$L$5)</f>
        <v>85.4934457147396</v>
      </c>
      <c r="DU41" s="262">
        <f t="shared" si="23"/>
        <v>83.0033453541161</v>
      </c>
      <c r="DV41" s="259">
        <f>DW41+各项系数!$M$9*$NV41</f>
        <v>85.2816710761785</v>
      </c>
      <c r="DW41" s="259">
        <f t="shared" si="24"/>
        <v>84.7877665673188</v>
      </c>
      <c r="DX41" s="260">
        <f>DY41+各项系数!$L$9*$NV41</f>
        <v>86.5181291503253</v>
      </c>
      <c r="DY41" s="260">
        <f>DZ41*(1+$EB41+各项系数!$J$5+各项系数!$L$5)</f>
        <v>86.0242246414657</v>
      </c>
      <c r="DZ41" s="262">
        <f t="shared" si="25"/>
        <v>83.5186647004521</v>
      </c>
      <c r="EA41" s="277">
        <f t="shared" si="230"/>
        <v>0</v>
      </c>
      <c r="EB41" s="277">
        <f t="shared" si="27"/>
        <v>0.01</v>
      </c>
      <c r="EC41" s="302">
        <f t="shared" si="138"/>
        <v>2</v>
      </c>
      <c r="ED41" s="302" t="str">
        <f t="shared" si="180"/>
        <v>2*70</v>
      </c>
      <c r="EE41" s="251">
        <f t="shared" si="239"/>
        <v>70</v>
      </c>
      <c r="EF41" s="251" t="str">
        <f>LOOKUP(EH41,{1,7,10,14,19,24,30,37,48,61},{1,"1+6","2+8","4+10","1+6+12","2+8+14","4+10+16","1+6+12+18","3+9+15+21","1+6+12+18+24"})</f>
        <v>4+10</v>
      </c>
      <c r="EG41" s="250">
        <f t="shared" si="29"/>
        <v>2</v>
      </c>
      <c r="EH41" s="260">
        <f>VLOOKUP(EE41,各项系数!$B$87:$C$124,2,0)</f>
        <v>14</v>
      </c>
      <c r="EI41" s="250">
        <f>IF(EH41=0,0,VLOOKUP(EH41,各项系数!$D$142:$E$195,2,0))*1</f>
        <v>4.41</v>
      </c>
      <c r="EJ41" s="305">
        <f t="shared" si="141"/>
        <v>242.295968589101</v>
      </c>
      <c r="EK41" s="251">
        <f t="shared" si="245"/>
        <v>0</v>
      </c>
      <c r="EL41" s="251">
        <f t="shared" si="31"/>
        <v>0</v>
      </c>
      <c r="EM41" s="251">
        <f t="shared" si="182"/>
        <v>0</v>
      </c>
      <c r="EN41" s="251">
        <f>IF(EP41=0,0,LOOKUP(EP41,{1,7,10,14,19,24,30,37,48,61},{1,"1+6","2+8","4+10","1+6+12","2+8+14","4+10+16","1+6+12+18","3+9+15+21","1+6+12+18+24"}))</f>
        <v>0</v>
      </c>
      <c r="EO41" s="251">
        <f t="shared" si="246"/>
        <v>0</v>
      </c>
      <c r="EP41" s="251">
        <f>IF(EM41=0,0,IF(EM41&lt;10,1,IF(AND(EM41&gt;=10,EM41&lt;=35),7,LOOKUP(EM41,{50,70,95,120,150,185,240,300},{10,14,19,24,30,37,48,61})*1)))</f>
        <v>0</v>
      </c>
      <c r="EQ41" s="251">
        <f>IF(EP41=0,0,VLOOKUP(EP41,各项系数!$D$142:$E$195,2,0))*1</f>
        <v>0</v>
      </c>
      <c r="ER41" s="251">
        <f t="shared" si="247"/>
        <v>0</v>
      </c>
      <c r="ES41" s="302">
        <f t="shared" si="250"/>
        <v>2</v>
      </c>
      <c r="ET41" s="251">
        <f>VLOOKUP(ES41,各项系数!$D$142:$E$195,2,0)*1</f>
        <v>2</v>
      </c>
      <c r="EU41" s="311">
        <f>((各项系数!$F$76/4*$EJ41^2*$EG41*$EH41*1*10^-7)*(1-$H41)*AA41)*(VLOOKUP($EY$9,各项系数!$D$4:$F$143,3,0))*各项系数!$J$4</f>
        <v>1.15684340819241</v>
      </c>
      <c r="EV41" s="312">
        <f>EU41*(VLOOKUP($EY$9,各项系数!$D$4:$F$143,2,0))</f>
        <v>75.7732432366028</v>
      </c>
      <c r="EW41" s="324">
        <f>(IF($EO41=0,0,(各项系数!$F$76/4*$ER41^2*$EO41*$EP41*1*10^-7))*(1-$K41)*$AF41)*(VLOOKUP($EY$9,各项系数!$D$4:$F$143,3,0))*各项系数!$J$4</f>
        <v>0</v>
      </c>
      <c r="EX41" s="325">
        <f>EW41*(VLOOKUP($EY$9,各项系数!$D$4:$F$143,2,0))</f>
        <v>0</v>
      </c>
      <c r="EY41" s="251">
        <f>((各项系数!$F$76/4*$EJ41^2*$EG41*$EH41*1*10^-7)*(1-$H41)*AA41+IF($EO41=0,0,(各项系数!$F$76/4*$ER41^2*$EO41*$EP41*1*10^-7))*(1-$K41)*$AF41)*(VLOOKUP($EY$9,各项系数!$D$4:$F$143,3,0))*各项系数!$J$4</f>
        <v>1.15684340819241</v>
      </c>
      <c r="EZ41" s="123">
        <v>1</v>
      </c>
      <c r="FA41" s="251">
        <f t="shared" si="188"/>
        <v>1.15684340819241</v>
      </c>
      <c r="FB41" s="326">
        <f>FA41*(VLOOKUP($EY$9,各项系数!$D$4:$F$143,2,0))</f>
        <v>75.7732432366028</v>
      </c>
      <c r="FC41" s="327"/>
      <c r="FD41" s="302">
        <f>各项系数!$F$76/4*($MN41^2-MK41^2)*10^-2*(VLOOKUP(L41,各项系数!$D$1:$F$143,3,0))*10^-3*10^2*$EG41*各项系数!$J$4</f>
        <v>0.0891512016319588</v>
      </c>
      <c r="FE41" s="339">
        <f>FD41*VLOOKUP(L41,各项系数!$D$1:$F$143,2,0)</f>
        <v>0.90934225664598</v>
      </c>
      <c r="FF41" s="250">
        <f>各项系数!$F$76/4*($MO41^2-ML41^2)*10^-2*(VLOOKUP(L41,各项系数!$D$1:$F$143,3,0))*10^-3*10^2*$EO41*各项系数!$J$4</f>
        <v>0</v>
      </c>
      <c r="FG41" s="339">
        <f>FF41*VLOOKUP(L41,各项系数!$D$1:$F$143,2,0)</f>
        <v>0</v>
      </c>
      <c r="FH41" s="302">
        <f t="shared" si="142"/>
        <v>0.0891512016319588</v>
      </c>
      <c r="FI41" s="123">
        <v>1</v>
      </c>
      <c r="FJ41" s="251">
        <f t="shared" si="189"/>
        <v>0.0891512016319588</v>
      </c>
      <c r="FK41" s="339">
        <f>FJ41*VLOOKUP(L41,各项系数!$D$1:$F$143,2,0)</f>
        <v>0.90934225664598</v>
      </c>
      <c r="FL41" s="302"/>
      <c r="FM41" s="123"/>
      <c r="FN41" s="251"/>
      <c r="FO41" s="339"/>
      <c r="FP41" s="364">
        <f t="shared" si="190"/>
        <v>0.0891512016319588</v>
      </c>
      <c r="FQ41" s="364">
        <f t="shared" si="191"/>
        <v>0.90934225664598</v>
      </c>
      <c r="FR41" s="365">
        <f>各项系数!$F$76/4*($MQ41^2-$MN41^2*$EG41-$MO41^2*$EO41)*10^-2</f>
        <v>2.60798882217022</v>
      </c>
      <c r="FS41" s="366">
        <f t="shared" si="143"/>
        <v>0.05</v>
      </c>
      <c r="FT41" s="367">
        <f t="shared" si="40"/>
        <v>0.130399441108511</v>
      </c>
      <c r="FU41" s="388">
        <f>$FT41*(VLOOKUP($FT$9,各项系数!$D$1:$F$143,3,0))*10^-3*10^2*各项系数!$J$55</f>
        <v>0.0155696932683562</v>
      </c>
      <c r="FV41" s="389">
        <v>1</v>
      </c>
      <c r="FW41" s="390">
        <f t="shared" si="192"/>
        <v>0.0155696932683562</v>
      </c>
      <c r="FX41" s="367">
        <f>FW41*(VLOOKUP($FT$9,各项系数!$D$1:$F$143,2,0))</f>
        <v>0.0467090798050687</v>
      </c>
      <c r="FY41" s="388">
        <f>IF($BK41&lt;&gt;$FY$9,0,各项系数!$F$76/4*($MS41^2-$MQ41^2)*10^-2*(VLOOKUP($FY$9,各项系数!$D$1:$F$143,3,0))*10^-3*10^2)*各项系数!$J$4</f>
        <v>0</v>
      </c>
      <c r="FZ41" s="389">
        <v>1</v>
      </c>
      <c r="GA41" s="390">
        <f t="shared" si="193"/>
        <v>0</v>
      </c>
      <c r="GB41" s="367">
        <f>GA41*(VLOOKUP($FY$9,各项系数!$D$1:$F$143,2,0))</f>
        <v>0</v>
      </c>
      <c r="GC41" s="388">
        <f>IF($BK41&lt;&gt;$GC$9,0,各项系数!$F$76/4*($MS41^2-$MQ41^2)*10^-2*(VLOOKUP($GC$9,各项系数!$D$1:$F$143,3,0))*10^-3*10^2)*各项系数!$J$4</f>
        <v>0.00458473392303746</v>
      </c>
      <c r="GD41" s="389">
        <v>1</v>
      </c>
      <c r="GE41" s="390">
        <f t="shared" si="194"/>
        <v>0.00458473392303746</v>
      </c>
      <c r="GF41" s="367">
        <f>GE41*(VLOOKUP($GC$9,各项系数!$D$1:$F$143,2,0))</f>
        <v>0.0591430676071832</v>
      </c>
      <c r="GG41" s="388">
        <f>IF($BK41&lt;&gt;$GG$9,0,各项系数!$F$76/4*($MS41^2-$MQ41^2)*10^-2*(VLOOKUP($GG$9,各项系数!$D$1:$F$143,3,0))*10^-3*10^2)*各项系数!$J$4</f>
        <v>0</v>
      </c>
      <c r="GH41" s="389">
        <v>1</v>
      </c>
      <c r="GI41" s="390">
        <f t="shared" si="195"/>
        <v>0</v>
      </c>
      <c r="GJ41" s="367">
        <f>GI41*(VLOOKUP($GG$9,各项系数!$D$1:$F$143,2,0))</f>
        <v>0</v>
      </c>
      <c r="GK41" s="388">
        <f>IF($BK41&lt;&gt;$GK$9,0,各项系数!$F$76/4*($MS41^2-$MQ41^2)*10^-2*(VLOOKUP($GK$9,各项系数!$D$1:$F$143,3,0))*10^-3*10^2)*各项系数!$J$4</f>
        <v>0</v>
      </c>
      <c r="GL41" s="389">
        <v>1</v>
      </c>
      <c r="GM41" s="390">
        <f t="shared" si="196"/>
        <v>0</v>
      </c>
      <c r="GN41" s="367">
        <f>GM41*(VLOOKUP($GK$9,各项系数!$D$1:$F$143,2,0))</f>
        <v>0</v>
      </c>
      <c r="GO41" s="390">
        <f t="shared" si="197"/>
        <v>0.00458473392303746</v>
      </c>
      <c r="GP41" s="390">
        <f t="shared" si="198"/>
        <v>0.0591430676071832</v>
      </c>
      <c r="GQ41" s="406">
        <f>各项系数!$F$76/4*($MU41^2-$MS41^2)*10^-2*(VLOOKUP($S41,各项系数!$D$1:$F$143,3,0))*10^-3*10^2*各项系数!$J$4</f>
        <v>0.192024789956872</v>
      </c>
      <c r="GR41" s="389">
        <v>1</v>
      </c>
      <c r="GS41" s="390">
        <f t="shared" si="199"/>
        <v>0.192024789956872</v>
      </c>
      <c r="GT41" s="390">
        <f t="shared" si="200"/>
        <v>0</v>
      </c>
      <c r="GU41" s="390">
        <f>ROUND($GS41*(VLOOKUP($S41,各项系数!$D$1:$F$143,2,0))+$E$3*GS41,GT41)</f>
        <v>1</v>
      </c>
      <c r="GV41" s="406">
        <f>各项系数!$F$76/4*($MT41^2-$MS41^2)*10^-2*(VLOOKUP($GV$9,各项系数!$D$1:$F$143,3,0))*10^-3*10^2*各项系数!$J$4*PI()/4*R41</f>
        <v>0.036269092393254</v>
      </c>
      <c r="GW41" s="389">
        <v>1</v>
      </c>
      <c r="GX41" s="390">
        <f t="shared" si="201"/>
        <v>0.036269092393254</v>
      </c>
      <c r="GY41" s="390">
        <f>$GX41*(VLOOKUP($GV$9,各项系数!$D$1:$F$143,2,0))</f>
        <v>2.44816373654464</v>
      </c>
      <c r="GZ41" s="406">
        <f>各项系数!$F$76/4*($MV41^2-$MS41^2)*10^-2*(VLOOKUP($GZ$9,各项系数!$D$1:$F$143,3,0))*10^-3*10^2*各项系数!$J$4</f>
        <v>0.239281157315613</v>
      </c>
      <c r="HA41" s="389">
        <v>1</v>
      </c>
      <c r="HB41" s="390">
        <f t="shared" si="144"/>
        <v>0.239281157315613</v>
      </c>
      <c r="HC41" s="390">
        <f>HB41*(VLOOKUP($GZ$9,各项系数!$D$1:$F$143,2,0))</f>
        <v>4.06777967436542</v>
      </c>
      <c r="HD41" s="406">
        <f>各项系数!$F$76/4*($MW41^2-$MT41^2)*10^-2*(VLOOKUP($HD$9,各项系数!$D$1:$F$143,3,0))*10^-3*10^2*各项系数!$J$4</f>
        <v>0.240659047287107</v>
      </c>
      <c r="HE41" s="389">
        <v>1</v>
      </c>
      <c r="HF41" s="390">
        <f t="shared" si="145"/>
        <v>0.240659047287107</v>
      </c>
      <c r="HG41" s="390">
        <f>HF41*(VLOOKUP($HD$9,各项系数!$D$1:$F$143,2,0))</f>
        <v>4.09120380388081</v>
      </c>
      <c r="HH41" s="406">
        <f>各项系数!$F$76/4*($MV41^2-$MS41^2)*10^-2*(VLOOKUP($HH$9,各项系数!$D$1:$F$143,3,0))*10^-3*10^2*各项系数!$J$4</f>
        <v>0.239281157315613</v>
      </c>
      <c r="HI41" s="420">
        <v>1</v>
      </c>
      <c r="HJ41" s="390">
        <f t="shared" si="146"/>
        <v>0.239281157315613</v>
      </c>
      <c r="HK41" s="390">
        <f>HJ41*(VLOOKUP($HH$9,各项系数!$D$1:$F$143,2,0))</f>
        <v>4.06777967436542</v>
      </c>
      <c r="HL41" s="406">
        <f>各项系数!$F$76/4*($MW41^2-$MT41^2)*10^-2*(VLOOKUP($HL$9,各项系数!$D$1:$F$143,3,0))*10^-3*10^2*各项系数!$J$4</f>
        <v>0.240659047287107</v>
      </c>
      <c r="HM41" s="420">
        <v>1</v>
      </c>
      <c r="HN41" s="390">
        <f t="shared" si="147"/>
        <v>0.240659047287107</v>
      </c>
      <c r="HO41" s="390">
        <f>HN41*(VLOOKUP($HL$9,各项系数!$D$1:$F$143,2,0))</f>
        <v>4.09120380388081</v>
      </c>
      <c r="HP41" s="406">
        <f>各项系数!$F$76/4*($MV41^2-$MS41^2)*10^-2*(VLOOKUP(AN41,各项系数!$D$1:$F$143,3,0))*10^-3*10^2*各项系数!$J$4</f>
        <v>0.24258158707169</v>
      </c>
      <c r="HQ41" s="389">
        <v>1</v>
      </c>
      <c r="HR41" s="390">
        <f t="shared" si="202"/>
        <v>0.24258158707169</v>
      </c>
      <c r="HS41" s="390">
        <f>HR41*(VLOOKUP(AN41,各项系数!$D$1:$F$143,2,0))</f>
        <v>2.4258158707169</v>
      </c>
      <c r="HT41" s="406">
        <f>各项系数!$F$76/4*($MW41^2-$MT41^2)*10^-2*(VLOOKUP(AN41,各项系数!$D$1:$F$143,3,0))*10^-3*10^2*各项系数!$J$4</f>
        <v>0.243978482422101</v>
      </c>
      <c r="HU41" s="389">
        <v>1</v>
      </c>
      <c r="HV41" s="390">
        <f t="shared" si="203"/>
        <v>0.243978482422101</v>
      </c>
      <c r="HW41" s="390">
        <f>HV41*(VLOOKUP(AN41,各项系数!$D$1:$F$143,2,0))</f>
        <v>2.43978482422101</v>
      </c>
      <c r="HX41" s="406">
        <f>各项系数!$F$76/4*($MV41^2-$MS41^2)*10^-2*(VLOOKUP($HX$9,各项系数!$D$1:$F$143,3,0))*10^-3*10^2*各项系数!$J$4</f>
        <v>0.24258158707169</v>
      </c>
      <c r="HY41" s="420">
        <v>1</v>
      </c>
      <c r="HZ41" s="390">
        <f t="shared" si="204"/>
        <v>0.24258158707169</v>
      </c>
      <c r="IA41" s="390">
        <f>HZ41*(VLOOKUP($HX$9,各项系数!$D$1:$F$143,2,0))</f>
        <v>2.66839745778859</v>
      </c>
      <c r="IB41" s="406">
        <f>各项系数!$F$76/4*($MW41^2-$MT41^2)*10^-2*(VLOOKUP($IB$9,各项系数!$D$1:$F$143,3,0))*10^-3*10^2*各项系数!$J$4</f>
        <v>0.243978482422101</v>
      </c>
      <c r="IC41" s="420">
        <v>1</v>
      </c>
      <c r="ID41" s="390">
        <f t="shared" si="205"/>
        <v>0.243978482422101</v>
      </c>
      <c r="IE41" s="390">
        <f>ID41*(VLOOKUP($IB$9,各项系数!$D$1:$F$143,2,0))</f>
        <v>2.68376330664311</v>
      </c>
      <c r="IF41" s="429"/>
      <c r="IG41" s="406">
        <f t="shared" si="148"/>
        <v>0.0309047685885728</v>
      </c>
      <c r="IH41" s="389">
        <v>1</v>
      </c>
      <c r="II41" s="390">
        <f t="shared" si="206"/>
        <v>0.0309047685885728</v>
      </c>
      <c r="IJ41" s="390">
        <f>II41*(VLOOKUP($IG$8,各项系数!$D$1:$F$143,2,0))</f>
        <v>0.772619214714319</v>
      </c>
      <c r="IK41" s="406">
        <f>(各项系数!$F$76/4*($MX41^2-$MK41^2)*$EG41)*10^-2*(VLOOKUP($IG$8,各项系数!$D$1:$F$143,3,0))*10^-3*10^2*各项系数!$J$4</f>
        <v>0.0309047685885728</v>
      </c>
      <c r="IL41" s="389">
        <f>IK41*(VLOOKUP($IG$8,各项系数!$D$1:$F$143,2,0))</f>
        <v>0.772619214714319</v>
      </c>
      <c r="IM41" s="390">
        <f>(各项系数!$F$76/4*(($MM41+3*$X41)^2-MM41^2)*$EO41)*10^-2*(VLOOKUP($IG$8,各项系数!$D$1:$F$143,3,0))*10^-3*10^2*各项系数!$J$4</f>
        <v>0</v>
      </c>
      <c r="IN41" s="389">
        <f>IM41*(VLOOKUP($IG$8,各项系数!$D$1:$F$143,2,0))</f>
        <v>0</v>
      </c>
      <c r="IO41" s="406">
        <f>各项系数!$F$76/4*($MZ41^2-$MX41^2)*10^-2*(VLOOKUP(L41,各项系数!$D$1:$F$143,3,0))*10^-3*10^2*$ES41*各项系数!$J$4</f>
        <v>0.0936899862023061</v>
      </c>
      <c r="IP41" s="389">
        <v>1</v>
      </c>
      <c r="IQ41" s="390">
        <f t="shared" si="207"/>
        <v>0.0936899862023061</v>
      </c>
      <c r="IR41" s="367">
        <f>IQ41*(VLOOKUP(L41,各项系数!$D$1:$F$143,2,0))</f>
        <v>0.955637859263523</v>
      </c>
      <c r="IS41" s="406">
        <f>IF($L41&lt;&gt;$IS$9,0,各项系数!$F$76/4*($MZ41^2-$MX41^2)*10^-2*各项系数!$F$12*10^-3*10^2)*$ES41*各项系数!$J$4</f>
        <v>0</v>
      </c>
      <c r="IT41" s="389">
        <v>1</v>
      </c>
      <c r="IU41" s="390">
        <f t="shared" si="208"/>
        <v>0</v>
      </c>
      <c r="IV41" s="367">
        <f>IU41*各项系数!$E$12</f>
        <v>0</v>
      </c>
      <c r="IW41" s="388">
        <f t="shared" si="209"/>
        <v>0.0936899862023061</v>
      </c>
      <c r="IX41" s="388">
        <f t="shared" si="210"/>
        <v>0.955637859263523</v>
      </c>
      <c r="IY41" s="447">
        <f>各项系数!$F$76/4*($NB41^2-$MZ41^2*$EG41-$NA41^2*$EO41)*10^-2</f>
        <v>2.85652497141919</v>
      </c>
      <c r="IZ41" s="366">
        <f t="shared" si="231"/>
        <v>0.05</v>
      </c>
      <c r="JA41" s="367">
        <f t="shared" si="64"/>
        <v>0.14282624857096</v>
      </c>
      <c r="JB41" s="364">
        <f>IF($DE41&lt;&gt;$JB$9,0,$JA41*各项系数!$F$32*10^-3*10^2)*各项系数!$J$4</f>
        <v>0</v>
      </c>
      <c r="JC41" s="123">
        <v>1</v>
      </c>
      <c r="JD41" s="251">
        <f t="shared" si="211"/>
        <v>0</v>
      </c>
      <c r="JE41" s="339">
        <f>JD41*各项系数!$E$32</f>
        <v>0</v>
      </c>
      <c r="JF41" s="364">
        <f>IF($DE41&lt;&gt;$JF$9,0,$JA41*VLOOKUP($JF$9,各项系数!$D$4:$F$540,2,0)*10^-3*10^2)*各项系数!$J$4</f>
        <v>0.0710560586640524</v>
      </c>
      <c r="JG41" s="123">
        <v>1</v>
      </c>
      <c r="JH41" s="251">
        <f t="shared" si="66"/>
        <v>0.0710560586640524</v>
      </c>
      <c r="JI41" s="339">
        <f>JH41*VLOOKUP($JF$9,各项系数!$D$4:$F$540,3,0)</f>
        <v>0.0852672703968629</v>
      </c>
      <c r="JJ41" s="364">
        <f t="shared" si="212"/>
        <v>0.0710560586640524</v>
      </c>
      <c r="JK41" s="251">
        <f t="shared" si="213"/>
        <v>0.0852672703968629</v>
      </c>
      <c r="JL41" s="364">
        <f>IF($DF41&lt;&gt;$JL$9,0,各项系数!$F$76/4*($NE41^2-$NC41^2)*10^-2*各项系数!$F$39*10^-3*10^2)*各项系数!$J$4</f>
        <v>0.00223128874028737</v>
      </c>
      <c r="JM41" s="123">
        <v>1</v>
      </c>
      <c r="JN41" s="251">
        <f t="shared" si="214"/>
        <v>0.00223128874028737</v>
      </c>
      <c r="JO41" s="339">
        <f>JN41*各项系数!$E$39</f>
        <v>0.0446257748057474</v>
      </c>
      <c r="JP41" s="364">
        <f>IF($DF41&lt;&gt;$JP$9,0,各项系数!$F$76/4*($NE41^2-$NC41^2)*10^-2*各项系数!$F$36*10^-3*10^2)*各项系数!$J$4</f>
        <v>0</v>
      </c>
      <c r="JQ41" s="123">
        <v>1</v>
      </c>
      <c r="JR41" s="251">
        <f t="shared" si="215"/>
        <v>0</v>
      </c>
      <c r="JS41" s="339">
        <f>JR41*各项系数!$E$36</f>
        <v>0</v>
      </c>
      <c r="JT41" s="364">
        <f>IF($DF41&lt;&gt;$JT$9,0,各项系数!$F$76/4*($NE41^2-$NC41^2)*10^-2*各项系数!$F$40*10^-3*10^2)*各项系数!$J$4</f>
        <v>0</v>
      </c>
      <c r="JU41" s="123">
        <v>1</v>
      </c>
      <c r="JV41" s="251">
        <f t="shared" si="216"/>
        <v>0</v>
      </c>
      <c r="JW41" s="339">
        <f>JV41*各项系数!$E$40</f>
        <v>0</v>
      </c>
      <c r="JX41" s="364">
        <f>IF($DF41&lt;&gt;$JX$9,0,各项系数!$F$76/4*($NE41^2-$NC41^2)*10^-2*各项系数!$F$38*10^-3*10^2)*各项系数!$J$4</f>
        <v>0</v>
      </c>
      <c r="JY41" s="123">
        <v>1</v>
      </c>
      <c r="JZ41" s="251">
        <f t="shared" si="217"/>
        <v>0</v>
      </c>
      <c r="KA41" s="339">
        <f>JZ41*各项系数!$E$38</f>
        <v>0</v>
      </c>
      <c r="KB41" s="364">
        <f>IF($DF41&lt;&gt;$KB$9,0,各项系数!$F$76/4*($NE41^2-$NC41^2)*10^-2*各项系数!$F$41*10^-3*10^2)*各项系数!$J$4</f>
        <v>0</v>
      </c>
      <c r="KC41" s="123">
        <v>1</v>
      </c>
      <c r="KD41" s="251">
        <f t="shared" si="218"/>
        <v>0</v>
      </c>
      <c r="KE41" s="339">
        <f>KD41*各项系数!$E$41</f>
        <v>0</v>
      </c>
      <c r="KF41" s="251">
        <f t="shared" si="219"/>
        <v>0.00223128874028737</v>
      </c>
      <c r="KG41" s="251">
        <f t="shared" si="220"/>
        <v>0.0446257748057474</v>
      </c>
      <c r="KH41" s="302">
        <f>各项系数!$F$76/4*($NG41^2-$NE41^2)*10^-2*各项系数!$F$44*10^-3*10^2*各项系数!$J$4*0.75*$U41</f>
        <v>0.301909782795613</v>
      </c>
      <c r="KI41" s="123">
        <v>1</v>
      </c>
      <c r="KJ41" s="251">
        <f t="shared" si="221"/>
        <v>0.301909782795613</v>
      </c>
      <c r="KK41" s="251">
        <f>ROUND(KJ41*各项系数!$E$43,GT41)</f>
        <v>2</v>
      </c>
      <c r="KL41" s="302">
        <f>各项系数!$F$76/4*($NF41^2-$NE41^2)*10^-2*各项系数!$F$46*10^-3*10^2*各项系数!$J$4*PI()/4*R41</f>
        <v>0.0380307039331215</v>
      </c>
      <c r="KM41" s="123">
        <v>1</v>
      </c>
      <c r="KN41" s="251">
        <f t="shared" si="222"/>
        <v>0.0380307039331215</v>
      </c>
      <c r="KO41" s="251">
        <f>KN41*各项系数!$E$46</f>
        <v>2.5670725154857</v>
      </c>
      <c r="KP41" s="302">
        <f>各项系数!$F$76/4*($NH41^2-$NE41^2)*10^-2*(VLOOKUP($KP$9,各项系数!$D$1:$F$143,3,0))*10^-3*10^2*各项系数!$J$4</f>
        <v>0.250141915231253</v>
      </c>
      <c r="KQ41" s="123">
        <v>1</v>
      </c>
      <c r="KR41" s="251">
        <f t="shared" si="150"/>
        <v>0.250141915231253</v>
      </c>
      <c r="KS41" s="251">
        <f>KR41*(VLOOKUP($KP$9,各项系数!$D$1:$F$143,2,0))</f>
        <v>4.25241255893131</v>
      </c>
      <c r="KT41" s="302">
        <f>各项系数!$F$76/4*($NI41^2-$NF41^2)*10^-2*(VLOOKUP($KT$9,各项系数!$D$1:$F$143,3,0))*10^-3*10^2*各项系数!$J$4</f>
        <v>0.251519805202747</v>
      </c>
      <c r="KU41" s="123">
        <v>1</v>
      </c>
      <c r="KV41" s="251">
        <f t="shared" si="151"/>
        <v>0.251519805202747</v>
      </c>
      <c r="KW41" s="251">
        <f>KV41*(VLOOKUP($KT$9,各项系数!$D$1:$F$143,2,0))</f>
        <v>4.2758366884467</v>
      </c>
      <c r="KX41" s="251">
        <f>各项系数!$F$76/4*($NH41^2-$NE41^2)*10^-2*(VLOOKUP($KX$9,各项系数!$D$1:$F$143,3,0))*10^-3*10^2*各项系数!$J$4</f>
        <v>0.250141915231253</v>
      </c>
      <c r="KY41" s="479">
        <v>1</v>
      </c>
      <c r="KZ41" s="251">
        <f t="shared" si="152"/>
        <v>0.250141915231253</v>
      </c>
      <c r="LA41" s="251">
        <f>KZ41*(VLOOKUP($KX$9,各项系数!$D$1:$F$143,2,0))</f>
        <v>4.25241255893131</v>
      </c>
      <c r="LB41" s="251">
        <f>各项系数!$F$76/4*($NI41^2-$NF41^2)*10^-2*(VLOOKUP($LB$9,各项系数!$D$1:$F$143,3,0))*10^-3*10^2*各项系数!$J$4</f>
        <v>0.251519805202747</v>
      </c>
      <c r="LC41" s="479">
        <v>1</v>
      </c>
      <c r="LD41" s="251">
        <f t="shared" si="153"/>
        <v>0.251519805202747</v>
      </c>
      <c r="LE41" s="251">
        <f>LD41*(VLOOKUP($LB$9,各项系数!$D$1:$F$143,2,0))</f>
        <v>4.2758366884467</v>
      </c>
      <c r="LF41" s="302">
        <f>各项系数!$F$76/4*($NH41^2-$NE41^2)*10^-2*(VLOOKUP(AN41,各项系数!$D$1:$F$143,3,0))*10^-3*10^2*各项系数!$J$4</f>
        <v>0.253592148544788</v>
      </c>
      <c r="LG41" s="123">
        <v>1</v>
      </c>
      <c r="LH41" s="251">
        <f t="shared" si="223"/>
        <v>0.253592148544788</v>
      </c>
      <c r="LI41" s="251">
        <f>LH41*(VLOOKUP(AN41,各项系数!$D$1:$F$143,2,0))</f>
        <v>2.53592148544788</v>
      </c>
      <c r="LJ41" s="302">
        <f>各项系数!$F$76/4*($NI41^2-$NF41^2)*10^-2*(VLOOKUP(AN41,各项系数!$D$1:$F$143,3,0))*10^-3*10^2*各项系数!$J$4</f>
        <v>0.254989043895199</v>
      </c>
      <c r="LK41" s="123">
        <v>1</v>
      </c>
      <c r="LL41" s="251">
        <f t="shared" si="224"/>
        <v>0.254989043895199</v>
      </c>
      <c r="LM41" s="251">
        <f>LL41*(VLOOKUP(AN41,各项系数!$D$1:$F$143,2,0))</f>
        <v>2.54989043895199</v>
      </c>
      <c r="LN41" s="251">
        <f>各项系数!$F$76/4*($NH41^2-$NE41^2)*10^-2*(VLOOKUP($LN$9,各项系数!$D$1:$F$143,3,0))*10^-3*10^2*各项系数!$J$4</f>
        <v>0.253592148544788</v>
      </c>
      <c r="LO41" s="479">
        <v>1</v>
      </c>
      <c r="LP41" s="251">
        <f t="shared" si="225"/>
        <v>0.253592148544788</v>
      </c>
      <c r="LQ41" s="251">
        <f>LP41*(VLOOKUP($LN$9,各项系数!$D$1:$F$143,2,0))</f>
        <v>2.78951363399267</v>
      </c>
      <c r="LR41" s="251">
        <f>各项系数!$F$76/4*($NI41^2-$NF41^2)*10^-2*(VLOOKUP($LR$9,各项系数!$D$1:$F$143,3,0))*10^-3*10^2*各项系数!$J$4</f>
        <v>0.254989043895199</v>
      </c>
      <c r="LS41" s="479">
        <v>1</v>
      </c>
      <c r="LT41" s="251">
        <f t="shared" si="226"/>
        <v>0.254989043895199</v>
      </c>
      <c r="LU41" s="251">
        <f>LT41*(VLOOKUP($LR$9,各项系数!$D$1:$F$143,2,0))</f>
        <v>2.80487948284719</v>
      </c>
      <c r="LV41" s="499">
        <f t="shared" si="154"/>
        <v>179.3450662</v>
      </c>
      <c r="LW41" s="499">
        <f t="shared" si="155"/>
        <v>129.10417615</v>
      </c>
      <c r="LX41" s="499">
        <f t="shared" si="156"/>
        <v>12.8210975530426</v>
      </c>
      <c r="LY41" s="515">
        <f t="shared" si="157"/>
        <v>50.24089005</v>
      </c>
      <c r="LZ41" s="516">
        <f t="shared" si="86"/>
        <v>1</v>
      </c>
      <c r="MA41" s="517">
        <f t="shared" si="87"/>
        <v>179.3450662</v>
      </c>
      <c r="MB41" s="517">
        <f t="shared" si="158"/>
        <v>10.68525223</v>
      </c>
      <c r="MC41" s="499">
        <f t="shared" si="159"/>
        <v>0</v>
      </c>
      <c r="MD41" s="499">
        <f t="shared" si="160"/>
        <v>0</v>
      </c>
      <c r="ME41" s="499">
        <f t="shared" si="161"/>
        <v>0</v>
      </c>
      <c r="MF41" s="499">
        <f t="shared" si="162"/>
        <v>0</v>
      </c>
      <c r="MG41" s="516">
        <f t="shared" si="163"/>
        <v>1</v>
      </c>
      <c r="MH41" s="517">
        <f t="shared" si="88"/>
        <v>0</v>
      </c>
      <c r="MI41" s="517">
        <f t="shared" si="164"/>
        <v>0</v>
      </c>
      <c r="MJ41" s="251">
        <f t="shared" si="89"/>
        <v>10.68525223</v>
      </c>
      <c r="MK41" s="251">
        <f t="shared" si="165"/>
        <v>10.68525223</v>
      </c>
      <c r="ML41" s="251">
        <f t="shared" si="227"/>
        <v>0</v>
      </c>
      <c r="MM41" s="251">
        <f t="shared" si="91"/>
        <v>0</v>
      </c>
      <c r="MN41" s="251">
        <f t="shared" si="92"/>
        <v>12.88525223</v>
      </c>
      <c r="MO41" s="251">
        <f t="shared" si="166"/>
        <v>0</v>
      </c>
      <c r="MP41" s="251">
        <f t="shared" si="167"/>
        <v>25.77050446</v>
      </c>
      <c r="MQ41" s="251">
        <f t="shared" si="228"/>
        <v>25.77050446</v>
      </c>
      <c r="MR41" s="314">
        <f t="shared" si="168"/>
        <v>25.70922666</v>
      </c>
      <c r="MS41" s="530">
        <f t="shared" si="94"/>
        <v>25.88522666</v>
      </c>
      <c r="MT41" s="530">
        <f t="shared" si="95"/>
        <v>26.04522666</v>
      </c>
      <c r="MU41" s="530">
        <f t="shared" si="232"/>
        <v>26.48522666</v>
      </c>
      <c r="MV41" s="530">
        <f t="shared" si="97"/>
        <v>29.68522666</v>
      </c>
      <c r="MW41" s="530">
        <f t="shared" si="98"/>
        <v>29.84522666</v>
      </c>
      <c r="MX41" s="326">
        <f t="shared" si="233"/>
        <v>11.28525223</v>
      </c>
      <c r="MY41" s="326">
        <f t="shared" si="100"/>
        <v>0</v>
      </c>
      <c r="MZ41" s="251">
        <f t="shared" si="101"/>
        <v>13.48525223</v>
      </c>
      <c r="NA41" s="251">
        <f t="shared" si="102"/>
        <v>0</v>
      </c>
      <c r="NB41" s="251">
        <f t="shared" si="169"/>
        <v>26.97050446</v>
      </c>
      <c r="NC41" s="326">
        <f t="shared" si="229"/>
        <v>26.97050446</v>
      </c>
      <c r="ND41" s="314">
        <f t="shared" si="234"/>
        <v>26.90637327</v>
      </c>
      <c r="NE41" s="537">
        <f t="shared" si="235"/>
        <v>27.14637327</v>
      </c>
      <c r="NF41" s="530">
        <f t="shared" si="106"/>
        <v>27.30637327</v>
      </c>
      <c r="NG41" s="538">
        <f t="shared" si="236"/>
        <v>27.74637327</v>
      </c>
      <c r="NH41" s="326">
        <f t="shared" si="108"/>
        <v>30.94637327</v>
      </c>
      <c r="NI41" s="530">
        <f t="shared" si="109"/>
        <v>31.10637327</v>
      </c>
      <c r="NK41" s="539">
        <f t="shared" si="110"/>
        <v>1.50873062408745</v>
      </c>
      <c r="NL41" s="539">
        <f t="shared" si="111"/>
        <v>79.2142535113779</v>
      </c>
      <c r="NM41" s="539">
        <f t="shared" si="112"/>
        <v>1.50873062408745</v>
      </c>
      <c r="NN41" s="539">
        <f t="shared" si="113"/>
        <v>79.4568350984496</v>
      </c>
      <c r="NO41" s="539">
        <f t="shared" si="114"/>
        <v>1.60831765893242</v>
      </c>
      <c r="NP41" s="539">
        <f t="shared" si="115"/>
        <v>80.1673148412311</v>
      </c>
      <c r="NQ41" s="539">
        <f t="shared" si="116"/>
        <v>1.60831765893242</v>
      </c>
      <c r="NR41" s="539">
        <f t="shared" si="117"/>
        <v>80.4209069897759</v>
      </c>
      <c r="NS41" s="539">
        <f t="shared" si="118"/>
        <v>1.5449997164807</v>
      </c>
      <c r="NT41" s="539">
        <f t="shared" si="119"/>
        <v>1.5449997164807</v>
      </c>
      <c r="NU41" s="539">
        <f t="shared" si="120"/>
        <v>1.64634836286554</v>
      </c>
      <c r="NV41" s="539">
        <f t="shared" si="121"/>
        <v>1.64634836286554</v>
      </c>
      <c r="NW41">
        <f t="shared" si="122"/>
        <v>1.70075541404432</v>
      </c>
      <c r="NX41">
        <f>各项系数!$M$9*NK41</f>
        <v>0.452619187226235</v>
      </c>
      <c r="NY41">
        <f t="shared" si="123"/>
        <v>1.5449997164807</v>
      </c>
    </row>
    <row r="42" customHeight="1" spans="1:389">
      <c r="A42" s="91">
        <v>4</v>
      </c>
      <c r="B42" s="86">
        <v>1</v>
      </c>
      <c r="C42" s="83"/>
      <c r="D42" s="69" t="s">
        <v>202</v>
      </c>
      <c r="E42" s="77">
        <f t="shared" si="240"/>
        <v>33.01606556</v>
      </c>
      <c r="F42" s="84">
        <f>$F$26</f>
        <v>245.088056587712</v>
      </c>
      <c r="G42" s="74"/>
      <c r="H42" s="78"/>
      <c r="I42" s="78"/>
      <c r="J42" s="23"/>
      <c r="K42" s="78"/>
      <c r="L42" s="118" t="s">
        <v>467</v>
      </c>
      <c r="M42" s="124">
        <f t="shared" si="2"/>
        <v>1.1</v>
      </c>
      <c r="N42" s="124">
        <f t="shared" si="3"/>
        <v>0</v>
      </c>
      <c r="O42" s="69">
        <f t="shared" si="251"/>
        <v>0.08</v>
      </c>
      <c r="P42" s="120">
        <v>0.1</v>
      </c>
      <c r="Q42" s="162">
        <f t="shared" si="248"/>
        <v>0.1</v>
      </c>
      <c r="R42" s="86">
        <v>0.8</v>
      </c>
      <c r="S42" s="171" t="str">
        <f>各项系数!$D$43</f>
        <v>钢带</v>
      </c>
      <c r="T42" s="69">
        <v>0.5</v>
      </c>
      <c r="U42" s="123">
        <v>2</v>
      </c>
      <c r="V42" s="169"/>
      <c r="W42" s="170">
        <v>2</v>
      </c>
      <c r="X42" s="164">
        <f t="shared" si="249"/>
        <v>0.2</v>
      </c>
      <c r="Y42" s="219"/>
      <c r="Z42" s="220"/>
      <c r="AA42" s="217">
        <f>$AA$26</f>
        <v>1.013</v>
      </c>
      <c r="AB42" s="186">
        <f>PI()*EJ42*EJ42/4*EH42*(1-H42)*AA42*各项系数!$F$5*各项系数!$J$4*10^-7</f>
        <v>0.803196977708722</v>
      </c>
      <c r="AC42" s="186">
        <f t="shared" si="241"/>
        <v>245.088056587712</v>
      </c>
      <c r="AD42" s="186">
        <f t="shared" si="5"/>
        <v>90.8023783381159</v>
      </c>
      <c r="AE42" s="186">
        <f>POWER(4*EU42/PI()/EG42/10^-7/EH42/(1-H42)/各项系数!$F$5/各项系数!$J$4,0.5)</f>
        <v>246.675984853019</v>
      </c>
      <c r="AF42" s="218">
        <v>1</v>
      </c>
      <c r="AG42" s="85">
        <f>IF(EM42=0,0,PI()*ER42*ER42/4*EP42*(1-K42)*(1+AF42)*各项系数!$F$5*各项系数!$J$4*10^-7)</f>
        <v>0</v>
      </c>
      <c r="AH42" s="85">
        <f t="shared" si="242"/>
        <v>0</v>
      </c>
      <c r="AI42" s="85">
        <f t="shared" si="128"/>
        <v>0</v>
      </c>
      <c r="AJ42" s="85">
        <f>IF(OR(EP42="",EP42=0),0,POWER(4*EW42/PI()/EO42/10^-7/EP42/(1-K42)/各项系数!$F$5/各项系数!$J$4,0.5))</f>
        <v>0</v>
      </c>
      <c r="AK42" s="85" t="str">
        <f t="shared" si="8"/>
        <v>√</v>
      </c>
      <c r="AL42" s="85">
        <f t="shared" si="243"/>
        <v>112.582232480565</v>
      </c>
      <c r="AM42" s="250">
        <f t="shared" si="244"/>
        <v>95</v>
      </c>
      <c r="AN42" s="118" t="s">
        <v>486</v>
      </c>
      <c r="AO42" s="259">
        <f>AP42+各项系数!$M$9*$NK42</f>
        <v>110.374737726044</v>
      </c>
      <c r="AP42" s="259">
        <f>AQ42*(1+$BI42+(VLOOKUP($AM42,$A$12:$B$323,2,0))+各项系数!$J$6+各项系数!$M$5)*(1+$E$2)</f>
        <v>109.769681093657</v>
      </c>
      <c r="AQ42" s="260">
        <f>AR42+各项系数!$L$9*$NK42</f>
        <v>112.009878666997</v>
      </c>
      <c r="AR42" s="260">
        <f>AS42*(1+$BJ42+各项系数!$J$5+各项系数!$L$5)</f>
        <v>111.404822034611</v>
      </c>
      <c r="AS42" s="260">
        <f t="shared" si="129"/>
        <v>109.220413759422</v>
      </c>
      <c r="AT42" s="259">
        <f>AU42+各项系数!$M$9*$NM42</f>
        <v>112.303323608306</v>
      </c>
      <c r="AU42" s="259">
        <f>AV42*(1+$BI42+(VLOOKUP($AM42,$A$12:$B$323,2,0))+各项系数!$J$6+各项系数!$M$5)*(1+$E$2)</f>
        <v>111.698266975919</v>
      </c>
      <c r="AV42" s="260">
        <f>AW42+各项系数!$L$9*$NM42</f>
        <v>113.977823444815</v>
      </c>
      <c r="AW42" s="260">
        <f>AX42*(1+$BJ42+各项系数!$J$5+各项系数!$L$5)</f>
        <v>113.372766812429</v>
      </c>
      <c r="AX42" s="260">
        <f t="shared" si="130"/>
        <v>111.149771384734</v>
      </c>
      <c r="AY42" s="259">
        <f>AZ42+各项系数!$M$9*$NS42</f>
        <v>113.155839001568</v>
      </c>
      <c r="AZ42" s="259">
        <f>BA42*(1+$BI42+(VLOOKUP($AM42,$A$12:$B$214,2,0))+各项系数!$J$6+各项系数!$M$5)*(1+$E$2)</f>
        <v>112.538589663484</v>
      </c>
      <c r="BA42" s="260">
        <f>BB42+各项系数!$L$9*$NS42</f>
        <v>114.835295574984</v>
      </c>
      <c r="BB42" s="260">
        <f>BC42*(1+$BJ42+各项系数!$J$5+各项系数!$L$5)</f>
        <v>114.2180462369</v>
      </c>
      <c r="BC42" s="262">
        <f t="shared" si="131"/>
        <v>111.978476702843</v>
      </c>
      <c r="BD42" s="259">
        <f>BE42+各项系数!$M$9*$NS42</f>
        <v>115.094373719557</v>
      </c>
      <c r="BE42" s="259">
        <f>BF42*(1+$BI42+(VLOOKUP($AM42,$A$12:$B$214,2,0))+各项系数!$J$6+各项系数!$M$5)*(1+$E$2)</f>
        <v>114.477124381473</v>
      </c>
      <c r="BF42" s="260">
        <f>BG42+各项系数!$L$9*$NS42</f>
        <v>116.813392225993</v>
      </c>
      <c r="BG42" s="260">
        <f>BH42*(1+$BJ42+各项系数!$J$5+各项系数!$L$5)</f>
        <v>116.196142887909</v>
      </c>
      <c r="BH42" s="262">
        <f t="shared" si="132"/>
        <v>113.917787145009</v>
      </c>
      <c r="BI42" s="277"/>
      <c r="BJ42" s="272"/>
      <c r="BK42" s="69" t="s">
        <v>514</v>
      </c>
      <c r="BL42" s="259">
        <f>BM42+各项系数!$M$9*$NM42</f>
        <v>111.732817938964</v>
      </c>
      <c r="BM42" s="259">
        <f>BN42*(1+$CF42+(VLOOKUP($AM42,$A$12:$B$323,2,0))+各项系数!$J$6+各项系数!$M$5)*(1+$E$2)</f>
        <v>111.127761306578</v>
      </c>
      <c r="BN42" s="260">
        <f>BO42+各项系数!$L$9*$NM42</f>
        <v>113.39567480263</v>
      </c>
      <c r="BO42" s="260">
        <f>BP42*(1+$CG42+各项系数!$J$5+各项系数!$L$5)</f>
        <v>112.790618170244</v>
      </c>
      <c r="BP42" s="260">
        <f t="shared" si="133"/>
        <v>109.505454534217</v>
      </c>
      <c r="BQ42" s="259">
        <f>BR42+各项系数!$M$9*$NM42</f>
        <v>113.392591367876</v>
      </c>
      <c r="BR42" s="259">
        <f>BS42*(1+$CF42+(VLOOKUP($AM42,$A$12:$B$323,2,0))+各项系数!$J$6+各项系数!$M$5)*(1+$E$2)</f>
        <v>112.787534735489</v>
      </c>
      <c r="BS42" s="260">
        <f>BT42+各项系数!$L$9*$NM42</f>
        <v>115.089321158663</v>
      </c>
      <c r="BT42" s="260">
        <f>BU42*(1+$CG42+各项系数!$J$5+各项系数!$L$5)</f>
        <v>114.484264526276</v>
      </c>
      <c r="BU42" s="260">
        <f t="shared" si="134"/>
        <v>111.149771384734</v>
      </c>
      <c r="BV42" s="259">
        <f>BW42+各项系数!$M$9*$NT42</f>
        <v>113.945626253174</v>
      </c>
      <c r="BW42" s="259">
        <f>BX42*(1+$CF42+(VLOOKUP($AM42,$A$12:$B$214,2,0))+各项系数!$J$6+各项系数!$M$5)*(1+$E$2)</f>
        <v>113.32837691509</v>
      </c>
      <c r="BX42" s="260">
        <f>BY42+各项系数!$L$9*$NT$12</f>
        <v>115.641200933765</v>
      </c>
      <c r="BY42" s="260">
        <f>BZ42*(1+$CG42+各项系数!$J$5+各项系数!$L$5)</f>
        <v>115.63293753061</v>
      </c>
      <c r="BZ42" s="262">
        <f t="shared" si="11"/>
        <v>112.264987893796</v>
      </c>
      <c r="CA42" s="259">
        <f>CB42+各项系数!$M$9*$NT42</f>
        <v>115.613961817348</v>
      </c>
      <c r="CB42" s="259">
        <f>CC42*(1+$CF42+(VLOOKUP($AM42,$A$12:$B$214,2,0))+各项系数!$J$6+各项系数!$M$5)*(1+$E$2)</f>
        <v>114.996712479264</v>
      </c>
      <c r="CC42" s="260">
        <f>CD42+各项系数!$L$9*$NT$12</f>
        <v>117.343584162514</v>
      </c>
      <c r="CD42" s="260">
        <f>CE42*(1+$CG42+各项系数!$J$5+各项系数!$L$5)</f>
        <v>117.335320759359</v>
      </c>
      <c r="CE42" s="262">
        <f t="shared" si="135"/>
        <v>113.917787145009</v>
      </c>
      <c r="CF42" s="277">
        <f t="shared" si="136"/>
        <v>0</v>
      </c>
      <c r="CG42" s="277">
        <f t="shared" si="12"/>
        <v>0.01</v>
      </c>
      <c r="CH42" s="123"/>
      <c r="CI42" s="259">
        <f>CJ42+各项系数!$M$9*$NO42</f>
        <v>112.127787736713</v>
      </c>
      <c r="CJ42" s="259">
        <f>CK42*(1+$DC42+(VLOOKUP($AM42,$A$12:$B$323,2,0))+各项系数!$J$6+各项系数!$M$5)*(1+$E$2)+各项系数!$M$9*$NK42</f>
        <v>111.48733495657</v>
      </c>
      <c r="CK42" s="260">
        <f>CL42+各项系数!$L$9*$NO42</f>
        <v>113.145181963452</v>
      </c>
      <c r="CL42" s="260">
        <f>CM42*(1+$DD42+各项系数!$J$5+各项系数!$L$5)</f>
        <v>112.504729183309</v>
      </c>
      <c r="CM42" s="260">
        <f t="shared" si="13"/>
        <v>110.298754101283</v>
      </c>
      <c r="CN42" s="259">
        <f>CO42+各项系数!$M$9*$NO42</f>
        <v>113.940519332148</v>
      </c>
      <c r="CO42" s="259">
        <f>CP42*(1+$DC42+(VLOOKUP($AM42,$A$12:$B$323,2,0))+各项系数!$J$6+各项系数!$M$5)*(1+$E$2)+各项系数!$M$9*$NK42</f>
        <v>113.300066552005</v>
      </c>
      <c r="CP42" s="260">
        <f>CQ42+各项系数!$L$9*$NO42</f>
        <v>114.994908081243</v>
      </c>
      <c r="CQ42" s="260">
        <f>CR42*(1+$DD42+各项系数!$J$5+各项系数!$L$5)</f>
        <v>114.3544553011</v>
      </c>
      <c r="CR42" s="260">
        <f t="shared" si="14"/>
        <v>112.11221107951</v>
      </c>
      <c r="CS42" s="259">
        <f>CT42+各项系数!$M$9*$NU42</f>
        <v>114.423739992534</v>
      </c>
      <c r="CT42" s="259">
        <f t="shared" si="15"/>
        <v>113.770566023232</v>
      </c>
      <c r="CU42" s="260">
        <f>CV42+各项系数!$L$9*$NU42</f>
        <v>116.09241430942</v>
      </c>
      <c r="CV42" s="260">
        <f>CW42*(1+$DD42+各项系数!$J$5+各项系数!$L$5)</f>
        <v>115.439240340118</v>
      </c>
      <c r="CW42" s="262">
        <f t="shared" si="16"/>
        <v>113.175725823645</v>
      </c>
      <c r="CX42" s="259">
        <f>CY42+各项系数!$M$9*$NU42</f>
        <v>116.440693088341</v>
      </c>
      <c r="CY42" s="259">
        <f t="shared" si="17"/>
        <v>115.787519119039</v>
      </c>
      <c r="CZ42" s="260">
        <f>DA42+各项系数!$L$9*$NU42</f>
        <v>118.150529713305</v>
      </c>
      <c r="DA42" s="260">
        <f>DB42*(1+$DD42+各项系数!$J$5+各项系数!$L$5)</f>
        <v>117.497355744002</v>
      </c>
      <c r="DB42" s="262">
        <f t="shared" si="18"/>
        <v>115.193486023532</v>
      </c>
      <c r="DC42" s="277">
        <f t="shared" si="137"/>
        <v>0</v>
      </c>
      <c r="DD42" s="277">
        <f t="shared" si="19"/>
        <v>0</v>
      </c>
      <c r="DE42" s="69" t="s">
        <v>498</v>
      </c>
      <c r="DF42" s="69" t="s">
        <v>513</v>
      </c>
      <c r="DG42" s="259">
        <f>DH42+各项系数!$M$9*$NQ42</f>
        <v>113.5081346963</v>
      </c>
      <c r="DH42" s="259">
        <f>DI42*(1+$EA42+(VLOOKUP($AM42,$A$12:$B$323,2,0))+各项系数!$J$6+各项系数!$M$5)*(1+$E$2)+各项系数!$M$9*$NK42</f>
        <v>112.867681916157</v>
      </c>
      <c r="DI42" s="260">
        <f>DJ42+各项系数!$L$9*$NQ42</f>
        <v>114.553699269153</v>
      </c>
      <c r="DJ42" s="260">
        <f>DK42*(1+$EB42+各项系数!$J$5+各项系数!$L$5)</f>
        <v>113.91324648901</v>
      </c>
      <c r="DK42" s="260">
        <f t="shared" si="20"/>
        <v>110.595384940787</v>
      </c>
      <c r="DL42" s="259">
        <f>DM42+各项系数!$M$9*$NQ42</f>
        <v>115.235396299339</v>
      </c>
      <c r="DM42" s="259">
        <f>DN42*(1+$EA42+(VLOOKUP($AM42,$A$12:$B$323,2,0))+各项系数!$J$6+各项系数!$M$5)*(1+$E$2)+各项系数!$M$9*$NK42</f>
        <v>114.594943519196</v>
      </c>
      <c r="DN42" s="260">
        <f>DO42+各项系数!$L$9*$NQ42</f>
        <v>116.316211108989</v>
      </c>
      <c r="DO42" s="260">
        <f>DP42*(1+$EB42+各项系数!$J$5+各项系数!$L$5)</f>
        <v>115.675758328845</v>
      </c>
      <c r="DP42" s="260">
        <f t="shared" si="21"/>
        <v>112.306561484316</v>
      </c>
      <c r="DQ42" s="259">
        <f>DR42+各项系数!$M$9*$NV42</f>
        <v>115.833765513071</v>
      </c>
      <c r="DR42" s="259">
        <f t="shared" si="22"/>
        <v>115.180591543769</v>
      </c>
      <c r="DS42" s="260">
        <f>DT42+各项系数!$L$9*$NV42</f>
        <v>117.531215860988</v>
      </c>
      <c r="DT42" s="260">
        <f>DU42*(1+$EB42+各项系数!$J$5+各项系数!$L$5)</f>
        <v>116.878041891686</v>
      </c>
      <c r="DU42" s="262">
        <f t="shared" si="23"/>
        <v>113.473827079307</v>
      </c>
      <c r="DV42" s="259">
        <f>DW42+各项系数!$M$9*$NV42</f>
        <v>116.482755672194</v>
      </c>
      <c r="DW42" s="259">
        <f t="shared" si="24"/>
        <v>115.829581702892</v>
      </c>
      <c r="DX42" s="260">
        <f>DY42+各项系数!$L$9*$NV42</f>
        <v>118.193450717237</v>
      </c>
      <c r="DY42" s="260">
        <f>DZ42*(1+$EB42+各项系数!$J$5+各项系数!$L$5)</f>
        <v>117.540276747934</v>
      </c>
      <c r="DZ42" s="262">
        <f t="shared" si="25"/>
        <v>114.116773541684</v>
      </c>
      <c r="EA42" s="277">
        <f t="shared" si="230"/>
        <v>0</v>
      </c>
      <c r="EB42" s="277">
        <f t="shared" si="27"/>
        <v>0.01</v>
      </c>
      <c r="EC42" s="302">
        <f t="shared" si="138"/>
        <v>2</v>
      </c>
      <c r="ED42" s="302" t="str">
        <f t="shared" si="180"/>
        <v>2*95</v>
      </c>
      <c r="EE42" s="251">
        <f t="shared" si="239"/>
        <v>95</v>
      </c>
      <c r="EF42" s="251" t="str">
        <f>LOOKUP(EH42,{1,7,10,14,19,24,30,37,48,61},{1,"1+6","2+8","4+10","1+6+12","2+8+14","4+10+16","1+6+12+18","3+9+15+21","1+6+12+18+24"})</f>
        <v>1+6+12</v>
      </c>
      <c r="EG42" s="250">
        <f t="shared" si="29"/>
        <v>2</v>
      </c>
      <c r="EH42" s="260">
        <f>VLOOKUP(EE42,各项系数!$B$87:$C$124,2,0)</f>
        <v>19</v>
      </c>
      <c r="EI42" s="250">
        <f>IF(EH42=0,0,VLOOKUP(EH42,各项系数!$D$142:$E$195,2,0))*1</f>
        <v>5</v>
      </c>
      <c r="EJ42" s="305">
        <f t="shared" si="141"/>
        <v>245.088056587712</v>
      </c>
      <c r="EK42" s="251">
        <f t="shared" si="245"/>
        <v>0</v>
      </c>
      <c r="EL42" s="251">
        <f t="shared" si="31"/>
        <v>0</v>
      </c>
      <c r="EM42" s="251">
        <f t="shared" si="182"/>
        <v>0</v>
      </c>
      <c r="EN42" s="251">
        <f>IF(EP42=0,0,LOOKUP(EP42,{1,7,10,14,19,24,30,37,48,61},{1,"1+6","2+8","4+10","1+6+12","2+8+14","4+10+16","1+6+12+18","3+9+15+21","1+6+12+18+24"}))</f>
        <v>0</v>
      </c>
      <c r="EO42" s="251">
        <f t="shared" si="246"/>
        <v>0</v>
      </c>
      <c r="EP42" s="251">
        <f>IF(EM42=0,0,IF(EM42&lt;10,1,IF(AND(EM42&gt;=10,EM42&lt;=35),7,LOOKUP(EM42,{50,70,95,120,150,185,240,300},{10,14,19,24,30,37,48,61})*1)))</f>
        <v>0</v>
      </c>
      <c r="EQ42" s="251">
        <f>IF(EP42=0,0,VLOOKUP(EP42,各项系数!$D$142:$E$195,2,0))*1</f>
        <v>0</v>
      </c>
      <c r="ER42" s="251">
        <f t="shared" si="247"/>
        <v>0</v>
      </c>
      <c r="ES42" s="302">
        <f t="shared" si="250"/>
        <v>2</v>
      </c>
      <c r="ET42" s="251">
        <f>VLOOKUP(ES42,各项系数!$D$142:$E$195,2,0)*1</f>
        <v>2</v>
      </c>
      <c r="EU42" s="311">
        <f>((各项系数!$F$76/4*$EJ42^2*$EG42*$EH42*1*10^-7)*(1-$H42)*AA42)*(VLOOKUP($EY$9,各项系数!$D$4:$F$143,3,0))*各项系数!$J$4</f>
        <v>1.60639395541744</v>
      </c>
      <c r="EV42" s="312">
        <f>EU42*(VLOOKUP($EY$9,各项系数!$D$4:$F$143,2,0))</f>
        <v>105.218804079842</v>
      </c>
      <c r="EW42" s="324">
        <f>(IF($EO42=0,0,(各项系数!$F$76/4*$ER42^2*$EO42*$EP42*1*10^-7))*(1-$K42)*$AF42)*(VLOOKUP($EY$9,各项系数!$D$4:$F$143,3,0))*各项系数!$J$4</f>
        <v>0</v>
      </c>
      <c r="EX42" s="325">
        <f>EW42*(VLOOKUP($EY$9,各项系数!$D$4:$F$143,2,0))</f>
        <v>0</v>
      </c>
      <c r="EY42" s="251">
        <f>((各项系数!$F$76/4*$EJ42^2*$EG42*$EH42*1*10^-7)*(1-$H42)*AA42+IF($EO42=0,0,(各项系数!$F$76/4*$ER42^2*$EO42*$EP42*1*10^-7))*(1-$K42)*$AF42)*(VLOOKUP($EY$9,各项系数!$D$4:$F$143,3,0))*各项系数!$J$4</f>
        <v>1.60639395541744</v>
      </c>
      <c r="EZ42" s="123">
        <v>1</v>
      </c>
      <c r="FA42" s="251">
        <f t="shared" si="188"/>
        <v>1.60639395541744</v>
      </c>
      <c r="FB42" s="326">
        <f>FA42*(VLOOKUP($EY$9,各项系数!$D$4:$F$143,2,0))</f>
        <v>105.218804079842</v>
      </c>
      <c r="FC42" s="327"/>
      <c r="FD42" s="302">
        <f>各项系数!$F$76/4*($MN42^2-MK42^2)*10^-2*(VLOOKUP(L42,各项系数!$D$1:$F$143,3,0))*10^-3*10^2*$EG42*各项系数!$J$4</f>
        <v>0.101021262669637</v>
      </c>
      <c r="FE42" s="339">
        <f>FD42*VLOOKUP(L42,各项系数!$D$1:$F$143,2,0)</f>
        <v>1.0304168792303</v>
      </c>
      <c r="FF42" s="250">
        <f>各项系数!$F$76/4*($MO42^2-ML42^2)*10^-2*(VLOOKUP(L42,各项系数!$D$1:$F$143,3,0))*10^-3*10^2*$EO42*各项系数!$J$4</f>
        <v>0</v>
      </c>
      <c r="FG42" s="339">
        <f>FF42*VLOOKUP(L42,各项系数!$D$1:$F$143,2,0)</f>
        <v>0</v>
      </c>
      <c r="FH42" s="302">
        <f t="shared" si="142"/>
        <v>0.101021262669637</v>
      </c>
      <c r="FI42" s="123">
        <v>1</v>
      </c>
      <c r="FJ42" s="251">
        <f t="shared" si="189"/>
        <v>0.101021262669637</v>
      </c>
      <c r="FK42" s="339">
        <f>FJ42*VLOOKUP(L42,各项系数!$D$1:$F$143,2,0)</f>
        <v>1.0304168792303</v>
      </c>
      <c r="FL42" s="302"/>
      <c r="FM42" s="123"/>
      <c r="FN42" s="251"/>
      <c r="FO42" s="339"/>
      <c r="FP42" s="364">
        <f t="shared" si="190"/>
        <v>0.101021262669637</v>
      </c>
      <c r="FQ42" s="364">
        <f t="shared" si="191"/>
        <v>1.0304168792303</v>
      </c>
      <c r="FR42" s="365">
        <f>各项系数!$F$76/4*($MQ42^2-$MN42^2*$EG42-$MO42^2*$EO42)*10^-2</f>
        <v>3.28186102315171</v>
      </c>
      <c r="FS42" s="366">
        <f t="shared" si="143"/>
        <v>0.05</v>
      </c>
      <c r="FT42" s="367">
        <f t="shared" si="40"/>
        <v>0.164093051157586</v>
      </c>
      <c r="FU42" s="388">
        <f>$FT42*(VLOOKUP($FT$9,各项系数!$D$1:$F$143,3,0))*10^-3*10^2*各项系数!$J$55</f>
        <v>0.0195927103082157</v>
      </c>
      <c r="FV42" s="389">
        <v>1</v>
      </c>
      <c r="FW42" s="390">
        <f t="shared" si="192"/>
        <v>0.0195927103082157</v>
      </c>
      <c r="FX42" s="367">
        <f>FW42*(VLOOKUP($FT$9,各项系数!$D$1:$F$143,2,0))</f>
        <v>0.0587781309246471</v>
      </c>
      <c r="FY42" s="388">
        <f>IF($BK42&lt;&gt;$FY$9,0,各项系数!$F$76/4*($MS42^2-$MQ42^2)*10^-2*(VLOOKUP($FY$9,各项系数!$D$1:$F$143,3,0))*10^-3*10^2)*各项系数!$J$4</f>
        <v>0</v>
      </c>
      <c r="FZ42" s="389">
        <v>1</v>
      </c>
      <c r="GA42" s="390">
        <f t="shared" si="193"/>
        <v>0</v>
      </c>
      <c r="GB42" s="367">
        <f>GA42*(VLOOKUP($FY$9,各项系数!$D$1:$F$143,2,0))</f>
        <v>0</v>
      </c>
      <c r="GC42" s="388">
        <f>IF($BK42&lt;&gt;$GC$9,0,各项系数!$F$76/4*($MS42^2-$MQ42^2)*10^-2*(VLOOKUP($GC$9,各项系数!$D$1:$F$143,3,0))*10^-3*10^2)*各项系数!$J$4</f>
        <v>0.00480673809898809</v>
      </c>
      <c r="GD42" s="389">
        <v>1</v>
      </c>
      <c r="GE42" s="390">
        <f t="shared" si="194"/>
        <v>0.00480673809898809</v>
      </c>
      <c r="GF42" s="367">
        <f>GE42*(VLOOKUP($GC$9,各项系数!$D$1:$F$143,2,0))</f>
        <v>0.0620069214769463</v>
      </c>
      <c r="GG42" s="388">
        <f>IF($BK42&lt;&gt;$GG$9,0,各项系数!$F$76/4*($MS42^2-$MQ42^2)*10^-2*(VLOOKUP($GG$9,各项系数!$D$1:$F$143,3,0))*10^-3*10^2)*各项系数!$J$4</f>
        <v>0</v>
      </c>
      <c r="GH42" s="389">
        <v>1</v>
      </c>
      <c r="GI42" s="390">
        <f t="shared" si="195"/>
        <v>0</v>
      </c>
      <c r="GJ42" s="367">
        <f>GI42*(VLOOKUP($GG$9,各项系数!$D$1:$F$143,2,0))</f>
        <v>0</v>
      </c>
      <c r="GK42" s="388">
        <f>IF($BK42&lt;&gt;$GK$9,0,各项系数!$F$76/4*($MS42^2-$MQ42^2)*10^-2*(VLOOKUP($GK$9,各项系数!$D$1:$F$143,3,0))*10^-3*10^2)*各项系数!$J$4</f>
        <v>0</v>
      </c>
      <c r="GL42" s="389">
        <v>1</v>
      </c>
      <c r="GM42" s="390">
        <f t="shared" si="196"/>
        <v>0</v>
      </c>
      <c r="GN42" s="367">
        <f>GM42*(VLOOKUP($GK$9,各项系数!$D$1:$F$143,2,0))</f>
        <v>0</v>
      </c>
      <c r="GO42" s="390">
        <f t="shared" si="197"/>
        <v>0.00480673809898809</v>
      </c>
      <c r="GP42" s="390">
        <f t="shared" si="198"/>
        <v>0.0620069214769463</v>
      </c>
      <c r="GQ42" s="406">
        <f>各项系数!$F$76/4*($MU42^2-$MS42^2)*10^-2*(VLOOKUP($S42,各项系数!$D$1:$F$143,3,0))*10^-3*10^2*各项系数!$J$4</f>
        <v>0.54571061778633</v>
      </c>
      <c r="GR42" s="389">
        <v>1</v>
      </c>
      <c r="GS42" s="390">
        <f t="shared" si="199"/>
        <v>0.54571061778633</v>
      </c>
      <c r="GT42" s="390">
        <f t="shared" si="200"/>
        <v>0</v>
      </c>
      <c r="GU42" s="390">
        <f>ROUND($GS42*(VLOOKUP($S42,各项系数!$D$1:$F$143,2,0))+$E$3*GS42,GT42)</f>
        <v>3</v>
      </c>
      <c r="GV42" s="406">
        <f>各项系数!$F$76/4*($MT42^2-$MS42^2)*10^-2*(VLOOKUP($GV$9,各项系数!$D$1:$F$143,3,0))*10^-3*10^2*各项系数!$J$4*PI()/4*R42</f>
        <v>0.0406423523235215</v>
      </c>
      <c r="GW42" s="389">
        <v>1</v>
      </c>
      <c r="GX42" s="390">
        <f t="shared" si="201"/>
        <v>0.0406423523235215</v>
      </c>
      <c r="GY42" s="390">
        <f>$GX42*(VLOOKUP($GV$9,各项系数!$D$1:$F$143,2,0))</f>
        <v>2.7433587818377</v>
      </c>
      <c r="GZ42" s="406">
        <f>各项系数!$F$76/4*($MV42^2-$MS42^2)*10^-2*(VLOOKUP($GZ$9,各项系数!$D$1:$F$143,3,0))*10^-3*10^2*各项系数!$J$4</f>
        <v>0.281162669015266</v>
      </c>
      <c r="HA42" s="389">
        <v>1</v>
      </c>
      <c r="HB42" s="390">
        <f t="shared" si="144"/>
        <v>0.281162669015266</v>
      </c>
      <c r="HC42" s="390">
        <f>HB42*(VLOOKUP($GZ$9,各项系数!$D$1:$F$143,2,0))</f>
        <v>4.77976537325952</v>
      </c>
      <c r="HD42" s="406">
        <f>各项系数!$F$76/4*($MW42^2-$MT42^2)*10^-2*(VLOOKUP($HD$9,各项系数!$D$1:$F$143,3,0))*10^-3*10^2*各项系数!$J$4</f>
        <v>0.282613079511574</v>
      </c>
      <c r="HE42" s="389">
        <v>1</v>
      </c>
      <c r="HF42" s="390">
        <f t="shared" si="145"/>
        <v>0.282613079511574</v>
      </c>
      <c r="HG42" s="390">
        <f>HF42*(VLOOKUP($HD$9,各项系数!$D$1:$F$143,2,0))</f>
        <v>4.80442235169677</v>
      </c>
      <c r="HH42" s="406">
        <f>各项系数!$F$76/4*($MV42^2-$MS42^2)*10^-2*(VLOOKUP($HH$9,各项系数!$D$1:$F$143,3,0))*10^-3*10^2*各项系数!$J$4</f>
        <v>0.281162669015266</v>
      </c>
      <c r="HI42" s="420">
        <v>1</v>
      </c>
      <c r="HJ42" s="390">
        <f t="shared" si="146"/>
        <v>0.281162669015266</v>
      </c>
      <c r="HK42" s="390">
        <f>HJ42*(VLOOKUP($HH$9,各项系数!$D$1:$F$143,2,0))</f>
        <v>4.77976537325952</v>
      </c>
      <c r="HL42" s="406">
        <f>各项系数!$F$76/4*($MW42^2-$MT42^2)*10^-2*(VLOOKUP($HL$9,各项系数!$D$1:$F$143,3,0))*10^-3*10^2*各项系数!$J$4</f>
        <v>0.282613079511574</v>
      </c>
      <c r="HM42" s="420">
        <v>1</v>
      </c>
      <c r="HN42" s="390">
        <f t="shared" si="147"/>
        <v>0.282613079511574</v>
      </c>
      <c r="HO42" s="390">
        <f>HN42*(VLOOKUP($HL$9,各项系数!$D$1:$F$143,2,0))</f>
        <v>4.80442235169677</v>
      </c>
      <c r="HP42" s="406">
        <f>各项系数!$F$76/4*($MV42^2-$MS42^2)*10^-2*(VLOOKUP(AN42,各项系数!$D$1:$F$143,3,0))*10^-3*10^2*各项系数!$J$4</f>
        <v>0.285040774794787</v>
      </c>
      <c r="HQ42" s="389">
        <v>1</v>
      </c>
      <c r="HR42" s="390">
        <f t="shared" si="202"/>
        <v>0.285040774794787</v>
      </c>
      <c r="HS42" s="390">
        <f>HR42*(VLOOKUP(AN42,各项系数!$D$1:$F$143,2,0))</f>
        <v>2.85040774794786</v>
      </c>
      <c r="HT42" s="406">
        <f>各项系数!$F$76/4*($MW42^2-$MT42^2)*10^-2*(VLOOKUP(AN42,各项系数!$D$1:$F$143,3,0))*10^-3*10^2*各项系数!$J$4</f>
        <v>0.286511190953113</v>
      </c>
      <c r="HU42" s="389">
        <v>1</v>
      </c>
      <c r="HV42" s="390">
        <f t="shared" si="203"/>
        <v>0.286511190953113</v>
      </c>
      <c r="HW42" s="390">
        <f>HV42*(VLOOKUP(AN42,各项系数!$D$1:$F$143,2,0))</f>
        <v>2.86511190953113</v>
      </c>
      <c r="HX42" s="406">
        <f>各项系数!$F$76/4*($MV42^2-$MS42^2)*10^-2*(VLOOKUP($HX$9,各项系数!$D$1:$F$143,3,0))*10^-3*10^2*各项系数!$J$4</f>
        <v>0.285040774794787</v>
      </c>
      <c r="HY42" s="420">
        <v>1</v>
      </c>
      <c r="HZ42" s="390">
        <f t="shared" si="204"/>
        <v>0.285040774794787</v>
      </c>
      <c r="IA42" s="390">
        <f>HZ42*(VLOOKUP($HX$9,各项系数!$D$1:$F$143,2,0))</f>
        <v>3.13544852274265</v>
      </c>
      <c r="IB42" s="406">
        <f>各项系数!$F$76/4*($MW42^2-$MT42^2)*10^-2*(VLOOKUP($IB$9,各项系数!$D$1:$F$143,3,0))*10^-3*10^2*各项系数!$J$4</f>
        <v>0.286511190953113</v>
      </c>
      <c r="IC42" s="420">
        <v>1</v>
      </c>
      <c r="ID42" s="390">
        <f t="shared" si="205"/>
        <v>0.286511190953113</v>
      </c>
      <c r="IE42" s="390">
        <f>ID42*(VLOOKUP($IB$9,各项系数!$D$1:$F$143,2,0))</f>
        <v>3.15162310048425</v>
      </c>
      <c r="IF42" s="429"/>
      <c r="IG42" s="406">
        <f t="shared" si="148"/>
        <v>0.0353192540984531</v>
      </c>
      <c r="IH42" s="389">
        <v>1</v>
      </c>
      <c r="II42" s="390">
        <f t="shared" si="206"/>
        <v>0.0353192540984531</v>
      </c>
      <c r="IJ42" s="390">
        <f>II42*(VLOOKUP($IG$8,各项系数!$D$1:$F$143,2,0))</f>
        <v>0.882981352461327</v>
      </c>
      <c r="IK42" s="406">
        <f>(各项系数!$F$76/4*($MX42^2-$MK42^2)*$EG42)*10^-2*(VLOOKUP($IG$8,各项系数!$D$1:$F$143,3,0))*10^-3*10^2*各项系数!$J$4</f>
        <v>0.0353192540984531</v>
      </c>
      <c r="IL42" s="389">
        <f>IK42*(VLOOKUP($IG$8,各项系数!$D$1:$F$143,2,0))</f>
        <v>0.882981352461327</v>
      </c>
      <c r="IM42" s="390">
        <f>(各项系数!$F$76/4*(($MM42+3*$X42)^2-MM42^2)*$EO42)*10^-2*(VLOOKUP($IG$8,各项系数!$D$1:$F$143,3,0))*10^-3*10^2*各项系数!$J$4</f>
        <v>0</v>
      </c>
      <c r="IN42" s="389">
        <f>IM42*(VLOOKUP($IG$8,各项系数!$D$1:$F$143,2,0))</f>
        <v>0</v>
      </c>
      <c r="IO42" s="406">
        <f>各项系数!$F$76/4*($MZ42^2-$MX42^2)*10^-2*(VLOOKUP(L42,各项系数!$D$1:$F$143,3,0))*10^-3*10^2*$ES42*各项系数!$J$4</f>
        <v>0.105560047239984</v>
      </c>
      <c r="IP42" s="389">
        <v>1</v>
      </c>
      <c r="IQ42" s="390">
        <f t="shared" si="207"/>
        <v>0.105560047239984</v>
      </c>
      <c r="IR42" s="367">
        <f>IQ42*(VLOOKUP(L42,各项系数!$D$1:$F$143,2,0))</f>
        <v>1.07671248184784</v>
      </c>
      <c r="IS42" s="406">
        <f>IF($L42&lt;&gt;$IS$9,0,各项系数!$F$76/4*($MZ42^2-$MX42^2)*10^-2*各项系数!$F$12*10^-3*10^2)*$ES42*各项系数!$J$4</f>
        <v>0</v>
      </c>
      <c r="IT42" s="389">
        <v>1</v>
      </c>
      <c r="IU42" s="390">
        <f t="shared" si="208"/>
        <v>0</v>
      </c>
      <c r="IV42" s="367">
        <f>IU42*各项系数!$E$12</f>
        <v>0</v>
      </c>
      <c r="IW42" s="388">
        <f t="shared" si="209"/>
        <v>0.105560047239984</v>
      </c>
      <c r="IX42" s="388">
        <f t="shared" si="210"/>
        <v>1.07671248184784</v>
      </c>
      <c r="IY42" s="447">
        <f>各项系数!$F$76/4*($NB42^2-$MZ42^2*$EG42-$NA42^2*$EO42)*10^-2</f>
        <v>3.5599749647617</v>
      </c>
      <c r="IZ42" s="366">
        <f t="shared" si="231"/>
        <v>0.05</v>
      </c>
      <c r="JA42" s="367">
        <f t="shared" si="64"/>
        <v>0.177998748238085</v>
      </c>
      <c r="JB42" s="364">
        <f>IF($DE42&lt;&gt;$JB$9,0,$JA42*各项系数!$F$32*10^-3*10^2)*各项系数!$J$4</f>
        <v>0</v>
      </c>
      <c r="JC42" s="123">
        <v>1</v>
      </c>
      <c r="JD42" s="251">
        <f t="shared" si="211"/>
        <v>0</v>
      </c>
      <c r="JE42" s="339">
        <f>JD42*各项系数!$E$32</f>
        <v>0</v>
      </c>
      <c r="JF42" s="364">
        <f>IF($DE42&lt;&gt;$JF$9,0,$JA42*VLOOKUP($JF$9,各项系数!$D$4:$F$540,2,0)*10^-3*10^2)*各项系数!$J$4</f>
        <v>0.0885543772484472</v>
      </c>
      <c r="JG42" s="123">
        <v>1</v>
      </c>
      <c r="JH42" s="251">
        <f t="shared" si="66"/>
        <v>0.0885543772484472</v>
      </c>
      <c r="JI42" s="339">
        <f>JH42*VLOOKUP($JF$9,各项系数!$D$4:$F$540,3,0)</f>
        <v>0.106265252698137</v>
      </c>
      <c r="JJ42" s="364">
        <f t="shared" si="212"/>
        <v>0.0885543772484472</v>
      </c>
      <c r="JK42" s="251">
        <f t="shared" si="213"/>
        <v>0.106265252698137</v>
      </c>
      <c r="JL42" s="364">
        <f>IF($DF42&lt;&gt;$JL$9,0,各项系数!$F$76/4*($NE42^2-$NC42^2)*10^-2*各项系数!$F$39*10^-3*10^2)*各项系数!$J$4</f>
        <v>0.00238412697001504</v>
      </c>
      <c r="JM42" s="123">
        <v>1</v>
      </c>
      <c r="JN42" s="251">
        <f t="shared" si="214"/>
        <v>0.00238412697001504</v>
      </c>
      <c r="JO42" s="339">
        <f>JN42*各项系数!$E$39</f>
        <v>0.0476825394003008</v>
      </c>
      <c r="JP42" s="364">
        <f>IF($DF42&lt;&gt;$JP$9,0,各项系数!$F$76/4*($NE42^2-$NC42^2)*10^-2*各项系数!$F$36*10^-3*10^2)*各项系数!$J$4</f>
        <v>0</v>
      </c>
      <c r="JQ42" s="123">
        <v>1</v>
      </c>
      <c r="JR42" s="251">
        <f t="shared" si="215"/>
        <v>0</v>
      </c>
      <c r="JS42" s="339">
        <f>JR42*各项系数!$E$36</f>
        <v>0</v>
      </c>
      <c r="JT42" s="364">
        <f>IF($DF42&lt;&gt;$JT$9,0,各项系数!$F$76/4*($NE42^2-$NC42^2)*10^-2*各项系数!$F$40*10^-3*10^2)*各项系数!$J$4</f>
        <v>0</v>
      </c>
      <c r="JU42" s="123">
        <v>1</v>
      </c>
      <c r="JV42" s="251">
        <f t="shared" si="216"/>
        <v>0</v>
      </c>
      <c r="JW42" s="339">
        <f>JV42*各项系数!$E$40</f>
        <v>0</v>
      </c>
      <c r="JX42" s="364">
        <f>IF($DF42&lt;&gt;$JX$9,0,各项系数!$F$76/4*($NE42^2-$NC42^2)*10^-2*各项系数!$F$38*10^-3*10^2)*各项系数!$J$4</f>
        <v>0</v>
      </c>
      <c r="JY42" s="123">
        <v>1</v>
      </c>
      <c r="JZ42" s="251">
        <f t="shared" si="217"/>
        <v>0</v>
      </c>
      <c r="KA42" s="339">
        <f>JZ42*各项系数!$E$38</f>
        <v>0</v>
      </c>
      <c r="KB42" s="364">
        <f>IF($DF42&lt;&gt;$KB$9,0,各项系数!$F$76/4*($NE42^2-$NC42^2)*10^-2*各项系数!$F$41*10^-3*10^2)*各项系数!$J$4</f>
        <v>0</v>
      </c>
      <c r="KC42" s="123">
        <v>1</v>
      </c>
      <c r="KD42" s="251">
        <f t="shared" si="218"/>
        <v>0</v>
      </c>
      <c r="KE42" s="339">
        <f>KD42*各项系数!$E$41</f>
        <v>0</v>
      </c>
      <c r="KF42" s="251">
        <f t="shared" si="219"/>
        <v>0.00238412697001504</v>
      </c>
      <c r="KG42" s="251">
        <f t="shared" si="220"/>
        <v>0.0476825394003008</v>
      </c>
      <c r="KH42" s="302">
        <f>各项系数!$F$76/4*($NG42^2-$NE42^2)*10^-2*各项系数!$F$44*10^-3*10^2*各项系数!$J$4*0.75*$U42</f>
        <v>0.853247421330256</v>
      </c>
      <c r="KI42" s="123">
        <v>1</v>
      </c>
      <c r="KJ42" s="251">
        <f t="shared" si="221"/>
        <v>0.853247421330256</v>
      </c>
      <c r="KK42" s="251">
        <f>ROUND(KJ42*各项系数!$E$43,GT42)</f>
        <v>5</v>
      </c>
      <c r="KL42" s="302">
        <f>各项系数!$F$76/4*($NF42^2-$NE42^2)*10^-2*各项系数!$F$46*10^-3*10^2*各项系数!$J$4*PI()/4*R42</f>
        <v>0.0424039638633891</v>
      </c>
      <c r="KM42" s="123">
        <v>1</v>
      </c>
      <c r="KN42" s="251">
        <f t="shared" si="222"/>
        <v>0.0424039638633891</v>
      </c>
      <c r="KO42" s="251">
        <f>KN42*各项系数!$E$46</f>
        <v>2.86226756077876</v>
      </c>
      <c r="KP42" s="302">
        <f>各项系数!$F$76/4*($NH42^2-$NE42^2)*10^-2*(VLOOKUP($KP$9,各项系数!$D$1:$F$143,3,0))*10^-3*10^2*各项系数!$J$4</f>
        <v>0.292595045768571</v>
      </c>
      <c r="KQ42" s="123">
        <v>1</v>
      </c>
      <c r="KR42" s="251">
        <f t="shared" si="150"/>
        <v>0.292595045768571</v>
      </c>
      <c r="KS42" s="251">
        <f>KR42*(VLOOKUP($KP$9,各项系数!$D$1:$F$143,2,0))</f>
        <v>4.97411577806571</v>
      </c>
      <c r="KT42" s="302">
        <f>各项系数!$F$76/4*($NI42^2-$NF42^2)*10^-2*(VLOOKUP($KT$9,各项系数!$D$1:$F$143,3,0))*10^-3*10^2*各项系数!$J$4</f>
        <v>0.29404545626488</v>
      </c>
      <c r="KU42" s="123">
        <v>1</v>
      </c>
      <c r="KV42" s="251">
        <f t="shared" si="151"/>
        <v>0.29404545626488</v>
      </c>
      <c r="KW42" s="251">
        <f>KV42*(VLOOKUP($KT$9,各项系数!$D$1:$F$143,2,0))</f>
        <v>4.99877275650296</v>
      </c>
      <c r="KX42" s="251">
        <f>各项系数!$F$76/4*($NH42^2-$NE42^2)*10^-2*(VLOOKUP($KX$9,各项系数!$D$1:$F$143,3,0))*10^-3*10^2*各项系数!$J$4</f>
        <v>0.292595045768571</v>
      </c>
      <c r="KY42" s="479">
        <v>1</v>
      </c>
      <c r="KZ42" s="251">
        <f t="shared" si="152"/>
        <v>0.292595045768571</v>
      </c>
      <c r="LA42" s="251">
        <f>KZ42*(VLOOKUP($KX$9,各项系数!$D$1:$F$143,2,0))</f>
        <v>4.97411577806571</v>
      </c>
      <c r="LB42" s="251">
        <f>各项系数!$F$76/4*($NI42^2-$NF42^2)*10^-2*(VLOOKUP($LB$9,各项系数!$D$1:$F$143,3,0))*10^-3*10^2*各项系数!$J$4</f>
        <v>0.29404545626488</v>
      </c>
      <c r="LC42" s="479">
        <v>1</v>
      </c>
      <c r="LD42" s="251">
        <f t="shared" si="153"/>
        <v>0.29404545626488</v>
      </c>
      <c r="LE42" s="251">
        <f>LD42*(VLOOKUP($LB$9,各项系数!$D$1:$F$143,2,0))</f>
        <v>4.99877275650296</v>
      </c>
      <c r="LF42" s="302">
        <f>各项系数!$F$76/4*($NH42^2-$NE42^2)*10^-2*(VLOOKUP(AN42,各项系数!$D$1:$F$143,3,0))*10^-3*10^2*各项系数!$J$4</f>
        <v>0.29663083950331</v>
      </c>
      <c r="LG42" s="123">
        <v>1</v>
      </c>
      <c r="LH42" s="251">
        <f t="shared" si="223"/>
        <v>0.29663083950331</v>
      </c>
      <c r="LI42" s="251">
        <f>LH42*(VLOOKUP(AN42,各项系数!$D$1:$F$143,2,0))</f>
        <v>2.9663083950331</v>
      </c>
      <c r="LJ42" s="302">
        <f>各项系数!$F$76/4*($NI42^2-$NF42^2)*10^-2*(VLOOKUP(AN42,各项系数!$D$1:$F$143,3,0))*10^-3*10^2*各项系数!$J$4</f>
        <v>0.298101255661637</v>
      </c>
      <c r="LK42" s="123">
        <v>1</v>
      </c>
      <c r="LL42" s="251">
        <f t="shared" si="224"/>
        <v>0.298101255661637</v>
      </c>
      <c r="LM42" s="251">
        <f>LL42*(VLOOKUP(AN42,各项系数!$D$1:$F$143,2,0))</f>
        <v>2.98101255661637</v>
      </c>
      <c r="LN42" s="251">
        <f>各项系数!$F$76/4*($NH42^2-$NE42^2)*10^-2*(VLOOKUP($LN$9,各项系数!$D$1:$F$143,3,0))*10^-3*10^2*各项系数!$J$4</f>
        <v>0.29663083950331</v>
      </c>
      <c r="LO42" s="479">
        <v>1</v>
      </c>
      <c r="LP42" s="251">
        <f t="shared" si="225"/>
        <v>0.29663083950331</v>
      </c>
      <c r="LQ42" s="251">
        <f>LP42*(VLOOKUP($LN$9,各项系数!$D$1:$F$143,2,0))</f>
        <v>3.26293923453641</v>
      </c>
      <c r="LR42" s="251">
        <f>各项系数!$F$76/4*($NI42^2-$NF42^2)*10^-2*(VLOOKUP($LR$9,各项系数!$D$1:$F$143,3,0))*10^-3*10^2*各项系数!$J$4</f>
        <v>0.298101255661637</v>
      </c>
      <c r="LS42" s="479">
        <v>1</v>
      </c>
      <c r="LT42" s="251">
        <f t="shared" si="226"/>
        <v>0.298101255661637</v>
      </c>
      <c r="LU42" s="251">
        <f>LT42*(VLOOKUP($LR$9,各项系数!$D$1:$F$143,2,0))</f>
        <v>3.27911381227801</v>
      </c>
      <c r="LV42" s="499">
        <f t="shared" si="154"/>
        <v>235.88709576</v>
      </c>
      <c r="LW42" s="499">
        <f t="shared" si="155"/>
        <v>179.27419278</v>
      </c>
      <c r="LX42" s="499">
        <f t="shared" si="156"/>
        <v>15.1082425052675</v>
      </c>
      <c r="LY42" s="515">
        <f t="shared" si="157"/>
        <v>56.61290298</v>
      </c>
      <c r="LZ42" s="516">
        <f t="shared" si="86"/>
        <v>1</v>
      </c>
      <c r="MA42" s="517">
        <f t="shared" si="87"/>
        <v>235.88709576</v>
      </c>
      <c r="MB42" s="517">
        <f t="shared" si="158"/>
        <v>12.25440285</v>
      </c>
      <c r="MC42" s="499">
        <f t="shared" si="159"/>
        <v>0</v>
      </c>
      <c r="MD42" s="499">
        <f t="shared" si="160"/>
        <v>0</v>
      </c>
      <c r="ME42" s="499">
        <f t="shared" si="161"/>
        <v>0</v>
      </c>
      <c r="MF42" s="499">
        <f t="shared" si="162"/>
        <v>0</v>
      </c>
      <c r="MG42" s="516">
        <f t="shared" si="163"/>
        <v>1</v>
      </c>
      <c r="MH42" s="517">
        <f t="shared" si="88"/>
        <v>0</v>
      </c>
      <c r="MI42" s="517">
        <f t="shared" si="164"/>
        <v>0</v>
      </c>
      <c r="MJ42" s="251">
        <f t="shared" si="89"/>
        <v>12.25440285</v>
      </c>
      <c r="MK42" s="251">
        <f t="shared" si="165"/>
        <v>12.25440285</v>
      </c>
      <c r="ML42" s="251">
        <f t="shared" si="227"/>
        <v>0</v>
      </c>
      <c r="MM42" s="251">
        <f t="shared" si="91"/>
        <v>0</v>
      </c>
      <c r="MN42" s="251">
        <f t="shared" si="92"/>
        <v>14.45440285</v>
      </c>
      <c r="MO42" s="251">
        <f t="shared" si="166"/>
        <v>0</v>
      </c>
      <c r="MP42" s="251">
        <f t="shared" si="167"/>
        <v>28.9088057</v>
      </c>
      <c r="MQ42" s="251">
        <f t="shared" si="228"/>
        <v>28.9088057</v>
      </c>
      <c r="MR42" s="314">
        <f t="shared" si="168"/>
        <v>28.84006556</v>
      </c>
      <c r="MS42" s="530">
        <f t="shared" si="94"/>
        <v>29.01606556</v>
      </c>
      <c r="MT42" s="530">
        <f t="shared" si="95"/>
        <v>29.17606556</v>
      </c>
      <c r="MU42" s="530">
        <f t="shared" si="232"/>
        <v>30.51606556</v>
      </c>
      <c r="MV42" s="530">
        <f t="shared" si="97"/>
        <v>33.01606556</v>
      </c>
      <c r="MW42" s="530">
        <f t="shared" si="98"/>
        <v>33.17606556</v>
      </c>
      <c r="MX42" s="326">
        <f t="shared" si="233"/>
        <v>12.85440285</v>
      </c>
      <c r="MY42" s="326">
        <f t="shared" si="100"/>
        <v>0</v>
      </c>
      <c r="MZ42" s="251">
        <f t="shared" si="101"/>
        <v>15.05440285</v>
      </c>
      <c r="NA42" s="251">
        <f t="shared" si="102"/>
        <v>0</v>
      </c>
      <c r="NB42" s="251">
        <f t="shared" si="169"/>
        <v>30.1088057</v>
      </c>
      <c r="NC42" s="326">
        <f t="shared" si="229"/>
        <v>30.1088057</v>
      </c>
      <c r="ND42" s="314">
        <f t="shared" si="234"/>
        <v>30.03721217</v>
      </c>
      <c r="NE42" s="537">
        <f t="shared" si="235"/>
        <v>30.27721217</v>
      </c>
      <c r="NF42" s="530">
        <f t="shared" si="106"/>
        <v>30.43721217</v>
      </c>
      <c r="NG42" s="538">
        <f t="shared" si="236"/>
        <v>31.77721217</v>
      </c>
      <c r="NH42" s="326">
        <f t="shared" si="108"/>
        <v>34.27721217</v>
      </c>
      <c r="NI42" s="530">
        <f t="shared" si="109"/>
        <v>34.43721217</v>
      </c>
      <c r="NK42" s="539">
        <f t="shared" si="110"/>
        <v>2.01685544128907</v>
      </c>
      <c r="NL42" s="539">
        <f t="shared" si="111"/>
        <v>109.220413759422</v>
      </c>
      <c r="NM42" s="539">
        <f t="shared" si="112"/>
        <v>2.01685544128907</v>
      </c>
      <c r="NN42" s="539">
        <f t="shared" si="113"/>
        <v>109.505454534217</v>
      </c>
      <c r="NO42" s="539">
        <f t="shared" si="114"/>
        <v>2.13484260047765</v>
      </c>
      <c r="NP42" s="539">
        <f t="shared" si="115"/>
        <v>110.298754101283</v>
      </c>
      <c r="NQ42" s="539">
        <f t="shared" si="116"/>
        <v>2.13484260047765</v>
      </c>
      <c r="NR42" s="539">
        <f t="shared" si="117"/>
        <v>110.595384940787</v>
      </c>
      <c r="NS42" s="539">
        <f t="shared" si="118"/>
        <v>2.05749779361259</v>
      </c>
      <c r="NT42" s="539">
        <f t="shared" si="119"/>
        <v>2.05749779361259</v>
      </c>
      <c r="NU42" s="539">
        <f t="shared" si="120"/>
        <v>2.17724656434104</v>
      </c>
      <c r="NV42" s="539">
        <f t="shared" si="121"/>
        <v>2.17724656434104</v>
      </c>
      <c r="NW42">
        <f t="shared" si="122"/>
        <v>2.5625660590754</v>
      </c>
      <c r="NX42">
        <f>各项系数!$M$9*NK42</f>
        <v>0.605056632386721</v>
      </c>
      <c r="NY42">
        <f t="shared" si="123"/>
        <v>2.05749779361259</v>
      </c>
    </row>
    <row r="43" customHeight="1" spans="1:389">
      <c r="A43" s="91">
        <v>5</v>
      </c>
      <c r="B43" s="86">
        <v>1</v>
      </c>
      <c r="C43" s="83"/>
      <c r="D43" s="69" t="s">
        <v>215</v>
      </c>
      <c r="E43" s="77">
        <f t="shared" si="240"/>
        <v>38.48523726</v>
      </c>
      <c r="F43" s="84">
        <f>$F$27</f>
        <v>244.921136962963</v>
      </c>
      <c r="G43" s="74"/>
      <c r="H43" s="78"/>
      <c r="I43" s="78"/>
      <c r="J43" s="23"/>
      <c r="K43" s="78"/>
      <c r="L43" s="118" t="s">
        <v>467</v>
      </c>
      <c r="M43" s="124">
        <f t="shared" si="2"/>
        <v>1.2</v>
      </c>
      <c r="N43" s="124">
        <f t="shared" si="3"/>
        <v>0</v>
      </c>
      <c r="O43" s="126">
        <f t="shared" si="251"/>
        <v>0.08</v>
      </c>
      <c r="P43" s="120">
        <v>0.1</v>
      </c>
      <c r="Q43" s="162">
        <f t="shared" si="248"/>
        <v>0.1</v>
      </c>
      <c r="R43" s="86">
        <v>0.8</v>
      </c>
      <c r="S43" s="171" t="str">
        <f>各项系数!$D$43</f>
        <v>钢带</v>
      </c>
      <c r="T43" s="69">
        <v>0.5</v>
      </c>
      <c r="U43" s="123">
        <v>2</v>
      </c>
      <c r="V43" s="169"/>
      <c r="W43" s="170">
        <v>2.1</v>
      </c>
      <c r="X43" s="164">
        <f t="shared" si="249"/>
        <v>0.2</v>
      </c>
      <c r="Y43" s="219"/>
      <c r="Z43" s="220"/>
      <c r="AA43" s="217">
        <f>$AA$27</f>
        <v>1.013</v>
      </c>
      <c r="AB43" s="186">
        <f>PI()*EJ43*EJ43/4*EH43*(1-H43)*AA43*各项系数!$F$5*各项系数!$J$4*10^-7</f>
        <v>1.01318311567178</v>
      </c>
      <c r="AC43" s="186">
        <f t="shared" si="241"/>
        <v>244.921136962963</v>
      </c>
      <c r="AD43" s="186">
        <f t="shared" si="5"/>
        <v>114.541562217361</v>
      </c>
      <c r="AE43" s="186">
        <f>POWER(4*EU43/PI()/EG43/10^-7/EH43/(1-H43)/各项系数!$F$5/各项系数!$J$4,0.5)</f>
        <v>246.50798375415</v>
      </c>
      <c r="AF43" s="218">
        <v>1</v>
      </c>
      <c r="AG43" s="85">
        <f>IF(EM43=0,0,PI()*ER43*ER43/4*EP43*(1-K43)*(1+AF43)*各项系数!$F$5*各项系数!$J$4*10^-7)</f>
        <v>0</v>
      </c>
      <c r="AH43" s="85">
        <f t="shared" si="242"/>
        <v>0</v>
      </c>
      <c r="AI43" s="85">
        <f t="shared" si="128"/>
        <v>0</v>
      </c>
      <c r="AJ43" s="85">
        <f>IF(OR(EP43="",EP43=0),0,POWER(4*EW43/PI()/EO43/10^-7/EP43/(1-K43)/各项系数!$F$5/各项系数!$J$4,0.5))</f>
        <v>0</v>
      </c>
      <c r="AK43" s="85" t="str">
        <f t="shared" si="8"/>
        <v>√</v>
      </c>
      <c r="AL43" s="85">
        <f t="shared" si="243"/>
        <v>141.96077054018</v>
      </c>
      <c r="AM43" s="250">
        <f t="shared" si="244"/>
        <v>120</v>
      </c>
      <c r="AN43" s="118" t="s">
        <v>486</v>
      </c>
      <c r="AO43" s="259">
        <f>AP43+各项系数!$M$9*$NK43</f>
        <v>139.177226019785</v>
      </c>
      <c r="AP43" s="259">
        <f>AQ43*(1+$BI43+(VLOOKUP($AM43,$A$12:$B$323,2,0))+各项系数!$J$6+各项系数!$M$5)*(1+$E$2)</f>
        <v>138.414906373342</v>
      </c>
      <c r="AQ43" s="260">
        <f>AR43+各项系数!$L$9*$NK43</f>
        <v>141.239700380962</v>
      </c>
      <c r="AR43" s="260">
        <f>AS43*(1+$BJ43+各项系数!$J$5+各项系数!$L$5)</f>
        <v>140.477380734519</v>
      </c>
      <c r="AS43" s="260">
        <f t="shared" si="129"/>
        <v>137.722922288745</v>
      </c>
      <c r="AT43" s="259">
        <f>AU43+各项系数!$M$9*$NM43</f>
        <v>141.552790306137</v>
      </c>
      <c r="AU43" s="259">
        <f>AV43*(1+$BI43+(VLOOKUP($AM43,$A$12:$B$323,2,0))+各项系数!$J$6+各项系数!$M$5)*(1+$E$2)</f>
        <v>140.790470659694</v>
      </c>
      <c r="AV43" s="260">
        <f>AW43+各项系数!$L$9*$NM43</f>
        <v>143.663745571117</v>
      </c>
      <c r="AW43" s="260">
        <f>AX43*(1+$BJ43+各项系数!$J$5+各项系数!$L$5)</f>
        <v>142.901425924675</v>
      </c>
      <c r="AX43" s="260">
        <f t="shared" si="130"/>
        <v>140.099437181054</v>
      </c>
      <c r="AY43" s="259">
        <f>AZ43+各项系数!$M$9*$NS43</f>
        <v>142.46004583354</v>
      </c>
      <c r="AZ43" s="259">
        <f>BA43*(1+$BI43+(VLOOKUP($AM43,$A$12:$B$214,2,0))+各项系数!$J$6+各项系数!$M$5)*(1+$E$2)</f>
        <v>141.683325435104</v>
      </c>
      <c r="BA43" s="260">
        <f>BB43+各项系数!$L$9*$NS43</f>
        <v>144.574821872555</v>
      </c>
      <c r="BB43" s="260">
        <f>BC43*(1+$BJ43+各项系数!$J$5+各项系数!$L$5)</f>
        <v>143.798101474119</v>
      </c>
      <c r="BC43" s="262">
        <f t="shared" si="131"/>
        <v>140.978530856979</v>
      </c>
      <c r="BD43" s="259">
        <f>BE43+各项系数!$M$9*$NS43</f>
        <v>144.846056397405</v>
      </c>
      <c r="BE43" s="259">
        <f>BF43*(1+$BI43+(VLOOKUP($AM43,$A$12:$B$214,2,0))+各项系数!$J$6+各项系数!$M$5)*(1+$E$2)</f>
        <v>144.069335998969</v>
      </c>
      <c r="BF43" s="260">
        <f>BG43+各项系数!$L$9*$NS43</f>
        <v>147.009526529561</v>
      </c>
      <c r="BG43" s="260">
        <f>BH43*(1+$BJ43+各项系数!$J$5+各项系数!$L$5)</f>
        <v>146.232806131125</v>
      </c>
      <c r="BH43" s="262">
        <f t="shared" si="132"/>
        <v>143.365496206985</v>
      </c>
      <c r="BI43" s="277"/>
      <c r="BJ43" s="272"/>
      <c r="BK43" s="69" t="s">
        <v>514</v>
      </c>
      <c r="BL43" s="259">
        <f>BM43+各项系数!$M$9*$NM43</f>
        <v>140.881314233539</v>
      </c>
      <c r="BM43" s="259">
        <f>BN43*(1+$CF43+(VLOOKUP($AM43,$A$12:$B$323,2,0))+各项系数!$J$6+各项系数!$M$5)*(1+$E$2)</f>
        <v>140.118994587096</v>
      </c>
      <c r="BN43" s="260">
        <f>BO43+各项系数!$L$9*$NM43</f>
        <v>142.9785659052</v>
      </c>
      <c r="BO43" s="260">
        <f>BP43*(1+$CG43+各项系数!$J$5+各项系数!$L$5)</f>
        <v>142.216246258758</v>
      </c>
      <c r="BP43" s="260">
        <f t="shared" si="133"/>
        <v>138.07402549394</v>
      </c>
      <c r="BQ43" s="259">
        <f>BR43+各项系数!$M$9*$NM43</f>
        <v>142.925764790511</v>
      </c>
      <c r="BR43" s="259">
        <f>BS43*(1+$CF43+(VLOOKUP($AM43,$A$12:$B$323,2,0))+各项系数!$J$6+各项系数!$M$5)*(1+$E$2)</f>
        <v>142.163445144069</v>
      </c>
      <c r="BS43" s="260">
        <f>BT43+各项系数!$L$9*$NM43</f>
        <v>145.064739942927</v>
      </c>
      <c r="BT43" s="260">
        <f>BU43*(1+$CG43+各项系数!$J$5+各项系数!$L$5)</f>
        <v>144.302420296485</v>
      </c>
      <c r="BU43" s="260">
        <f t="shared" si="134"/>
        <v>140.099437181054</v>
      </c>
      <c r="BV43" s="259">
        <f>BW43+各项系数!$M$9*$NT43</f>
        <v>143.444509605861</v>
      </c>
      <c r="BW43" s="259">
        <f>BX43*(1+$CF43+(VLOOKUP($AM43,$A$12:$B$214,2,0))+各项系数!$J$6+各项系数!$M$5)*(1+$E$2)</f>
        <v>142.667789207425</v>
      </c>
      <c r="BX43" s="260">
        <f>BY43+各项系数!$L$9*$NT$12</f>
        <v>145.57937674227</v>
      </c>
      <c r="BY43" s="260">
        <f>BZ43*(1+$CG43+各项系数!$J$5+各项系数!$L$5)</f>
        <v>145.571113339115</v>
      </c>
      <c r="BZ43" s="262">
        <f t="shared" si="11"/>
        <v>141.331177999141</v>
      </c>
      <c r="CA43" s="259">
        <f>CB43+各项系数!$M$9*$NT43</f>
        <v>145.497950404858</v>
      </c>
      <c r="CB43" s="259">
        <f>CC43*(1+$CF43+(VLOOKUP($AM43,$A$12:$B$214,2,0))+各项系数!$J$6+各项系数!$M$5)*(1+$E$2)</f>
        <v>144.721230006423</v>
      </c>
      <c r="CC43" s="260">
        <f>CD43+各项系数!$L$9*$NT$12</f>
        <v>147.67472449635</v>
      </c>
      <c r="CD43" s="260">
        <f>CE43*(1+$CG43+各项系数!$J$5+各项系数!$L$5)</f>
        <v>147.666461093195</v>
      </c>
      <c r="CE43" s="262">
        <f t="shared" si="135"/>
        <v>143.365496206985</v>
      </c>
      <c r="CF43" s="277">
        <f t="shared" si="136"/>
        <v>0</v>
      </c>
      <c r="CG43" s="277">
        <f t="shared" si="12"/>
        <v>0.01</v>
      </c>
      <c r="CH43" s="123"/>
      <c r="CI43" s="259">
        <f>CJ43+各项系数!$M$9*$NO43</f>
        <v>141.30778870035</v>
      </c>
      <c r="CJ43" s="259">
        <f>CK43*(1+$DC43+(VLOOKUP($AM43,$A$12:$B$323,2,0))+各项系数!$J$6+各项系数!$M$5)*(1+$E$2)+各项系数!$M$9*$NK43</f>
        <v>140.499921831369</v>
      </c>
      <c r="CK43" s="260">
        <f>CL43+各项系数!$L$9*$NO43</f>
        <v>142.589389984619</v>
      </c>
      <c r="CL43" s="260">
        <f>CM43*(1+$DD43+各项系数!$J$5+各项系数!$L$5)</f>
        <v>141.781523115638</v>
      </c>
      <c r="CM43" s="260">
        <f t="shared" si="13"/>
        <v>139.001493250625</v>
      </c>
      <c r="CN43" s="259">
        <f>CO43+各项系数!$M$9*$NO43</f>
        <v>143.561705985535</v>
      </c>
      <c r="CO43" s="259">
        <f>CP43*(1+$DC43+(VLOOKUP($AM43,$A$12:$B$323,2,0))+各项系数!$J$6+各项系数!$M$5)*(1+$E$2)+各项系数!$M$9*$NK43</f>
        <v>142.753839116553</v>
      </c>
      <c r="CP43" s="260">
        <f>CQ43+各项系数!$L$9*$NO43</f>
        <v>144.889305581746</v>
      </c>
      <c r="CQ43" s="260">
        <f>CR43*(1+$DD43+各项系数!$J$5+各项系数!$L$5)</f>
        <v>144.081438712765</v>
      </c>
      <c r="CR43" s="260">
        <f t="shared" si="14"/>
        <v>141.256312463495</v>
      </c>
      <c r="CS43" s="259">
        <f>CT43+各项系数!$M$9*$NU43</f>
        <v>143.948196480347</v>
      </c>
      <c r="CT43" s="259">
        <f t="shared" si="15"/>
        <v>143.12540037591</v>
      </c>
      <c r="CU43" s="260">
        <f>CV43+各项系数!$L$9*$NU43</f>
        <v>146.046326914194</v>
      </c>
      <c r="CV43" s="260">
        <f>CW43*(1+$DD43+各项系数!$J$5+各项系数!$L$5)</f>
        <v>145.223530809757</v>
      </c>
      <c r="CW43" s="262">
        <f t="shared" si="16"/>
        <v>142.376010597801</v>
      </c>
      <c r="CX43" s="259">
        <f>CY43+各项系数!$M$9*$NU43</f>
        <v>146.416546340922</v>
      </c>
      <c r="CY43" s="259">
        <f t="shared" si="17"/>
        <v>145.593750236485</v>
      </c>
      <c r="CZ43" s="260">
        <f>DA43+各项系数!$L$9*$NU43</f>
        <v>148.565051261719</v>
      </c>
      <c r="DA43" s="260">
        <f>DB43*(1+$DD43+各项系数!$J$5+各项系数!$L$5)</f>
        <v>147.742255157282</v>
      </c>
      <c r="DB43" s="262">
        <f t="shared" si="18"/>
        <v>144.845348193414</v>
      </c>
      <c r="DC43" s="277">
        <f t="shared" si="137"/>
        <v>0</v>
      </c>
      <c r="DD43" s="277">
        <f t="shared" si="19"/>
        <v>0</v>
      </c>
      <c r="DE43" s="69" t="s">
        <v>498</v>
      </c>
      <c r="DF43" s="69" t="s">
        <v>513</v>
      </c>
      <c r="DG43" s="259">
        <f>DH43+各项系数!$M$9*$NQ43</f>
        <v>143.036690871413</v>
      </c>
      <c r="DH43" s="259">
        <f>DI43*(1+$EA43+(VLOOKUP($AM43,$A$12:$B$323,2,0))+各项系数!$J$6+各项系数!$M$5)*(1+$E$2)+各项系数!$M$9*$NK43</f>
        <v>142.228824002432</v>
      </c>
      <c r="DI43" s="260">
        <f>DJ43+各项系数!$L$9*$NQ43</f>
        <v>144.353575873459</v>
      </c>
      <c r="DJ43" s="260">
        <f>DK43*(1+$EB43+各项系数!$J$5+各项系数!$L$5)</f>
        <v>143.545709004477</v>
      </c>
      <c r="DK43" s="260">
        <f t="shared" si="20"/>
        <v>139.364766023765</v>
      </c>
      <c r="DL43" s="259">
        <f>DM43+各项系数!$M$9*$NQ43</f>
        <v>145.152004011219</v>
      </c>
      <c r="DM43" s="259">
        <f>DN43*(1+$EA43+(VLOOKUP($AM43,$A$12:$B$323,2,0))+各项系数!$J$6+各项系数!$M$5)*(1+$E$2)+各项系数!$M$9*$NK43</f>
        <v>144.344137142237</v>
      </c>
      <c r="DN43" s="260">
        <f>DO43+各项系数!$L$9*$NQ43</f>
        <v>146.512058669179</v>
      </c>
      <c r="DO43" s="260">
        <f>DP43*(1+$EB43+各项系数!$J$5+各项系数!$L$5)</f>
        <v>145.704191800197</v>
      </c>
      <c r="DP43" s="260">
        <f t="shared" si="21"/>
        <v>141.460380388541</v>
      </c>
      <c r="DQ43" s="259">
        <f>DR43+各项系数!$M$9*$NV43</f>
        <v>145.711727371386</v>
      </c>
      <c r="DR43" s="259">
        <f t="shared" si="22"/>
        <v>144.888931266949</v>
      </c>
      <c r="DS43" s="260">
        <f>DT43+各项系数!$L$9*$NV43</f>
        <v>147.845848231581</v>
      </c>
      <c r="DT43" s="260">
        <f>DU43*(1+$EB43+各项系数!$J$5+各项系数!$L$5)</f>
        <v>147.023052127144</v>
      </c>
      <c r="DU43" s="262">
        <f t="shared" si="23"/>
        <v>142.740827307907</v>
      </c>
      <c r="DV43" s="259">
        <f>DW43+各项系数!$M$9*$NV43</f>
        <v>146.43450935071</v>
      </c>
      <c r="DW43" s="259">
        <f t="shared" si="24"/>
        <v>145.611713246273</v>
      </c>
      <c r="DX43" s="260">
        <f>DY43+各项系数!$L$9*$NV43</f>
        <v>148.583380863543</v>
      </c>
      <c r="DY43" s="260">
        <f>DZ43*(1+$EB43+各项系数!$J$5+各项系数!$L$5)</f>
        <v>147.760584759106</v>
      </c>
      <c r="DZ43" s="262">
        <f t="shared" si="25"/>
        <v>143.456878406899</v>
      </c>
      <c r="EA43" s="277">
        <f t="shared" si="230"/>
        <v>0</v>
      </c>
      <c r="EB43" s="277">
        <f t="shared" si="27"/>
        <v>0.01</v>
      </c>
      <c r="EC43" s="302">
        <f t="shared" si="138"/>
        <v>2</v>
      </c>
      <c r="ED43" s="302" t="str">
        <f t="shared" si="180"/>
        <v>2*120</v>
      </c>
      <c r="EE43" s="251">
        <f t="shared" si="239"/>
        <v>120</v>
      </c>
      <c r="EF43" s="251" t="str">
        <f>LOOKUP(EH43,{1,7,10,14,19,24,30,37,48,61},{1,"1+6","2+8","4+10","1+6+12","2+8+14","4+10+16","1+6+12+18","3+9+15+21","1+6+12+18+24"})</f>
        <v>2+8+14</v>
      </c>
      <c r="EG43" s="250">
        <f t="shared" si="29"/>
        <v>2</v>
      </c>
      <c r="EH43" s="260">
        <f>VLOOKUP(EE43,各项系数!$B$87:$C$124,2,0)</f>
        <v>24</v>
      </c>
      <c r="EI43" s="250">
        <f>IF(EH43=0,0,VLOOKUP(EH43,各项系数!$D$142:$E$195,2,0))*1</f>
        <v>6</v>
      </c>
      <c r="EJ43" s="305">
        <f t="shared" si="141"/>
        <v>244.921136962963</v>
      </c>
      <c r="EK43" s="251">
        <f t="shared" si="245"/>
        <v>0</v>
      </c>
      <c r="EL43" s="251">
        <f t="shared" si="31"/>
        <v>0</v>
      </c>
      <c r="EM43" s="251">
        <f t="shared" si="182"/>
        <v>0</v>
      </c>
      <c r="EN43" s="251">
        <f>IF(EP43=0,0,LOOKUP(EP43,{1,7,10,14,19,24,30,37,48,61},{1,"1+6","2+8","4+10","1+6+12","2+8+14","4+10+16","1+6+12+18","3+9+15+21","1+6+12+18+24"}))</f>
        <v>0</v>
      </c>
      <c r="EO43" s="251">
        <f t="shared" si="246"/>
        <v>0</v>
      </c>
      <c r="EP43" s="251">
        <f>IF(EM43=0,0,IF(EM43&lt;10,1,IF(AND(EM43&gt;=10,EM43&lt;=35),7,LOOKUP(EM43,{50,70,95,120,150,185,240,300},{10,14,19,24,30,37,48,61})*1)))</f>
        <v>0</v>
      </c>
      <c r="EQ43" s="251">
        <f>IF(EP43=0,0,VLOOKUP(EP43,各项系数!$D$142:$E$195,2,0))*1</f>
        <v>0</v>
      </c>
      <c r="ER43" s="251">
        <f t="shared" si="247"/>
        <v>0</v>
      </c>
      <c r="ES43" s="302">
        <f t="shared" si="250"/>
        <v>2</v>
      </c>
      <c r="ET43" s="251">
        <f>VLOOKUP(ES43,各项系数!$D$142:$E$195,2,0)*1</f>
        <v>2</v>
      </c>
      <c r="EU43" s="311">
        <f>((各项系数!$F$76/4*$EJ43^2*$EG43*$EH43*1*10^-7)*(1-$H43)*AA43)*(VLOOKUP($EY$9,各项系数!$D$4:$F$143,3,0))*各项系数!$J$4</f>
        <v>2.02636623134356</v>
      </c>
      <c r="EV43" s="312">
        <f>EU43*(VLOOKUP($EY$9,各项系数!$D$4:$F$143,2,0))</f>
        <v>132.726988153003</v>
      </c>
      <c r="EW43" s="324">
        <f>(IF($EO43=0,0,(各项系数!$F$76/4*$ER43^2*$EO43*$EP43*1*10^-7))*(1-$K43)*$AF43)*(VLOOKUP($EY$9,各项系数!$D$4:$F$143,3,0))*各项系数!$J$4</f>
        <v>0</v>
      </c>
      <c r="EX43" s="325">
        <f>EW43*(VLOOKUP($EY$9,各项系数!$D$4:$F$143,2,0))</f>
        <v>0</v>
      </c>
      <c r="EY43" s="251">
        <f>((各项系数!$F$76/4*$EJ43^2*$EG43*$EH43*1*10^-7)*(1-$H43)*AA43+IF($EO43=0,0,(各项系数!$F$76/4*$ER43^2*$EO43*$EP43*1*10^-7))*(1-$K43)*$AF43)*(VLOOKUP($EY$9,各项系数!$D$4:$F$143,3,0))*各项系数!$J$4</f>
        <v>2.02636623134356</v>
      </c>
      <c r="EZ43" s="123">
        <v>1</v>
      </c>
      <c r="FA43" s="251">
        <f t="shared" si="188"/>
        <v>2.02636623134356</v>
      </c>
      <c r="FB43" s="326">
        <f>FA43*(VLOOKUP($EY$9,各项系数!$D$4:$F$143,2,0))</f>
        <v>132.726988153003</v>
      </c>
      <c r="FC43" s="327"/>
      <c r="FD43" s="302">
        <f>各项系数!$F$76/4*($MN43^2-MK43^2)*10^-2*(VLOOKUP(L43,各项系数!$D$1:$F$143,3,0))*10^-3*10^2*$EG43*各项系数!$J$4</f>
        <v>0.131173087524487</v>
      </c>
      <c r="FE43" s="339">
        <f>FD43*VLOOKUP(L43,各项系数!$D$1:$F$143,2,0)</f>
        <v>1.33796549274977</v>
      </c>
      <c r="FF43" s="250">
        <f>各项系数!$F$76/4*($MO43^2-ML43^2)*10^-2*(VLOOKUP(L43,各项系数!$D$1:$F$143,3,0))*10^-3*10^2*$EO43*各项系数!$J$4</f>
        <v>0</v>
      </c>
      <c r="FG43" s="339">
        <f>FF43*VLOOKUP(L43,各项系数!$D$1:$F$143,2,0)</f>
        <v>0</v>
      </c>
      <c r="FH43" s="302">
        <f t="shared" si="142"/>
        <v>0.131173087524487</v>
      </c>
      <c r="FI43" s="123">
        <v>1</v>
      </c>
      <c r="FJ43" s="251">
        <f t="shared" si="189"/>
        <v>0.131173087524487</v>
      </c>
      <c r="FK43" s="339">
        <f>FJ43*VLOOKUP(L43,各项系数!$D$1:$F$143,2,0)</f>
        <v>1.33796549274977</v>
      </c>
      <c r="FL43" s="302"/>
      <c r="FM43" s="123"/>
      <c r="FN43" s="251"/>
      <c r="FO43" s="339"/>
      <c r="FP43" s="364">
        <f t="shared" si="190"/>
        <v>0.131173087524487</v>
      </c>
      <c r="FQ43" s="364">
        <f t="shared" si="191"/>
        <v>1.33796549274977</v>
      </c>
      <c r="FR43" s="365">
        <f>各项系数!$F$76/4*($MQ43^2-$MN43^2*$EG43-$MO43^2*$EO43)*10^-2</f>
        <v>4.59062392025423</v>
      </c>
      <c r="FS43" s="366">
        <f t="shared" si="143"/>
        <v>0.05</v>
      </c>
      <c r="FT43" s="367">
        <f t="shared" si="40"/>
        <v>0.229531196012712</v>
      </c>
      <c r="FU43" s="388">
        <f>$FT43*(VLOOKUP($FT$9,各项系数!$D$1:$F$143,3,0))*10^-3*10^2*各项系数!$J$55</f>
        <v>0.0274060248039178</v>
      </c>
      <c r="FV43" s="389">
        <v>1</v>
      </c>
      <c r="FW43" s="390">
        <f t="shared" si="192"/>
        <v>0.0274060248039178</v>
      </c>
      <c r="FX43" s="367">
        <f>FW43*(VLOOKUP($FT$9,各项系数!$D$1:$F$143,2,0))</f>
        <v>0.0822180744117533</v>
      </c>
      <c r="FY43" s="388">
        <f>IF($BK43&lt;&gt;$FY$9,0,各项系数!$F$76/4*($MS43^2-$MQ43^2)*10^-2*(VLOOKUP($FY$9,各项系数!$D$1:$F$143,3,0))*10^-3*10^2)*各项系数!$J$4</f>
        <v>0</v>
      </c>
      <c r="FZ43" s="389">
        <v>1</v>
      </c>
      <c r="GA43" s="390">
        <f t="shared" si="193"/>
        <v>0</v>
      </c>
      <c r="GB43" s="367">
        <f>GA43*(VLOOKUP($FY$9,各项系数!$D$1:$F$143,2,0))</f>
        <v>0</v>
      </c>
      <c r="GC43" s="388">
        <f>IF($BK43&lt;&gt;$GC$9,0,各项系数!$F$76/4*($MS43^2-$MQ43^2)*10^-2*(VLOOKUP($GC$9,各项系数!$D$1:$F$143,3,0))*10^-3*10^2)*各项系数!$J$4</f>
        <v>0.00501693927332128</v>
      </c>
      <c r="GD43" s="389">
        <v>1</v>
      </c>
      <c r="GE43" s="390">
        <f t="shared" si="194"/>
        <v>0.00501693927332128</v>
      </c>
      <c r="GF43" s="367">
        <f>GE43*(VLOOKUP($GC$9,各项系数!$D$1:$F$143,2,0))</f>
        <v>0.0647185166258445</v>
      </c>
      <c r="GG43" s="388">
        <f>IF($BK43&lt;&gt;$GG$9,0,各项系数!$F$76/4*($MS43^2-$MQ43^2)*10^-2*(VLOOKUP($GG$9,各项系数!$D$1:$F$143,3,0))*10^-3*10^2)*各项系数!$J$4</f>
        <v>0</v>
      </c>
      <c r="GH43" s="389">
        <v>1</v>
      </c>
      <c r="GI43" s="390">
        <f t="shared" si="195"/>
        <v>0</v>
      </c>
      <c r="GJ43" s="367">
        <f>GI43*(VLOOKUP($GG$9,各项系数!$D$1:$F$143,2,0))</f>
        <v>0</v>
      </c>
      <c r="GK43" s="388">
        <f>IF($BK43&lt;&gt;$GK$9,0,各项系数!$F$76/4*($MS43^2-$MQ43^2)*10^-2*(VLOOKUP($GK$9,各项系数!$D$1:$F$143,3,0))*10^-3*10^2)*各项系数!$J$4</f>
        <v>0</v>
      </c>
      <c r="GL43" s="389">
        <v>1</v>
      </c>
      <c r="GM43" s="390">
        <f t="shared" si="196"/>
        <v>0</v>
      </c>
      <c r="GN43" s="367">
        <f>GM43*(VLOOKUP($GK$9,各项系数!$D$1:$F$143,2,0))</f>
        <v>0</v>
      </c>
      <c r="GO43" s="390">
        <f t="shared" si="197"/>
        <v>0.00501693927332128</v>
      </c>
      <c r="GP43" s="390">
        <f t="shared" si="198"/>
        <v>0.0647185166258445</v>
      </c>
      <c r="GQ43" s="406">
        <f>各项系数!$F$76/4*($MU43^2-$MS43^2)*10^-2*(VLOOKUP($S43,各项系数!$D$1:$F$143,3,0))*10^-3*10^2*各项系数!$J$4</f>
        <v>0.642311995547632</v>
      </c>
      <c r="GR43" s="389">
        <v>1</v>
      </c>
      <c r="GS43" s="390">
        <f t="shared" si="199"/>
        <v>0.642311995547632</v>
      </c>
      <c r="GT43" s="390">
        <f t="shared" si="200"/>
        <v>0</v>
      </c>
      <c r="GU43" s="390">
        <f>ROUND($GS43*(VLOOKUP($S43,各项系数!$D$1:$F$143,2,0))+$E$3*GS43,GT43)</f>
        <v>4</v>
      </c>
      <c r="GV43" s="406">
        <f>各项系数!$F$76/4*($MT43^2-$MS43^2)*10^-2*(VLOOKUP($GV$9,各项系数!$D$1:$F$143,3,0))*10^-3*10^2*各项系数!$J$4*PI()/4*R43</f>
        <v>0.0480025066455168</v>
      </c>
      <c r="GW43" s="389">
        <v>1</v>
      </c>
      <c r="GX43" s="390">
        <f t="shared" si="201"/>
        <v>0.0480025066455168</v>
      </c>
      <c r="GY43" s="390">
        <f>$GX43*(VLOOKUP($GV$9,各项系数!$D$1:$F$143,2,0))</f>
        <v>3.24016919857238</v>
      </c>
      <c r="GZ43" s="406">
        <f>各项系数!$F$76/4*($MV43^2-$MS43^2)*10^-2*(VLOOKUP($GZ$9,各项系数!$D$1:$F$143,3,0))*10^-3*10^2*各项系数!$J$4</f>
        <v>0.346326290839</v>
      </c>
      <c r="HA43" s="389">
        <v>1</v>
      </c>
      <c r="HB43" s="390">
        <f t="shared" si="144"/>
        <v>0.346326290839</v>
      </c>
      <c r="HC43" s="390">
        <f>HB43*(VLOOKUP($GZ$9,各项系数!$D$1:$F$143,2,0))</f>
        <v>5.887546944263</v>
      </c>
      <c r="HD43" s="406">
        <f>各项系数!$F$76/4*($MW43^2-$MT43^2)*10^-2*(VLOOKUP($HD$9,各项系数!$D$1:$F$143,3,0))*10^-3*10^2*各项系数!$J$4</f>
        <v>0.347849221860125</v>
      </c>
      <c r="HE43" s="389">
        <v>1</v>
      </c>
      <c r="HF43" s="390">
        <f t="shared" si="145"/>
        <v>0.347849221860125</v>
      </c>
      <c r="HG43" s="390">
        <f>HF43*(VLOOKUP($HD$9,各项系数!$D$1:$F$143,2,0))</f>
        <v>5.91343677162212</v>
      </c>
      <c r="HH43" s="406">
        <f>各项系数!$F$76/4*($MV43^2-$MS43^2)*10^-2*(VLOOKUP($HH$9,各项系数!$D$1:$F$143,3,0))*10^-3*10^2*各项系数!$J$4</f>
        <v>0.346326290839</v>
      </c>
      <c r="HI43" s="420">
        <v>1</v>
      </c>
      <c r="HJ43" s="390">
        <f t="shared" si="146"/>
        <v>0.346326290839</v>
      </c>
      <c r="HK43" s="390">
        <f>HJ43*(VLOOKUP($HH$9,各项系数!$D$1:$F$143,2,0))</f>
        <v>5.887546944263</v>
      </c>
      <c r="HL43" s="406">
        <f>各项系数!$F$76/4*($MW43^2-$MT43^2)*10^-2*(VLOOKUP($HL$9,各项系数!$D$1:$F$143,3,0))*10^-3*10^2*各项系数!$J$4</f>
        <v>0.347849221860125</v>
      </c>
      <c r="HM43" s="420">
        <v>1</v>
      </c>
      <c r="HN43" s="390">
        <f t="shared" si="147"/>
        <v>0.347849221860125</v>
      </c>
      <c r="HO43" s="390">
        <f>HN43*(VLOOKUP($HL$9,各项系数!$D$1:$F$143,2,0))</f>
        <v>5.91343677162212</v>
      </c>
      <c r="HP43" s="406">
        <f>各项系数!$F$76/4*($MV43^2-$MS43^2)*10^-2*(VLOOKUP(AN43,各项系数!$D$1:$F$143,3,0))*10^-3*10^2*各项系数!$J$4</f>
        <v>0.3511032051954</v>
      </c>
      <c r="HQ43" s="389">
        <v>1</v>
      </c>
      <c r="HR43" s="390">
        <f t="shared" si="202"/>
        <v>0.3511032051954</v>
      </c>
      <c r="HS43" s="390">
        <f>HR43*(VLOOKUP(AN43,各项系数!$D$1:$F$143,2,0))</f>
        <v>3.511032051954</v>
      </c>
      <c r="HT43" s="406">
        <f>各项系数!$F$76/4*($MW43^2-$MT43^2)*10^-2*(VLOOKUP(AN43,各项系数!$D$1:$F$143,3,0))*10^-3*10^2*各项系数!$J$4</f>
        <v>0.352647142161644</v>
      </c>
      <c r="HU43" s="389">
        <v>1</v>
      </c>
      <c r="HV43" s="390">
        <f t="shared" si="203"/>
        <v>0.352647142161644</v>
      </c>
      <c r="HW43" s="390">
        <f>HV43*(VLOOKUP(AN43,各项系数!$D$1:$F$143,2,0))</f>
        <v>3.52647142161644</v>
      </c>
      <c r="HX43" s="406">
        <f>各项系数!$F$76/4*($MV43^2-$MS43^2)*10^-2*(VLOOKUP($HX$9,各项系数!$D$1:$F$143,3,0))*10^-3*10^2*各项系数!$J$4</f>
        <v>0.3511032051954</v>
      </c>
      <c r="HY43" s="420">
        <v>1</v>
      </c>
      <c r="HZ43" s="390">
        <f t="shared" si="204"/>
        <v>0.3511032051954</v>
      </c>
      <c r="IA43" s="390">
        <f>HZ43*(VLOOKUP($HX$9,各项系数!$D$1:$F$143,2,0))</f>
        <v>3.8621352571494</v>
      </c>
      <c r="IB43" s="406">
        <f>各项系数!$F$76/4*($MW43^2-$MT43^2)*10^-2*(VLOOKUP($IB$9,各项系数!$D$1:$F$143,3,0))*10^-3*10^2*各项系数!$J$4</f>
        <v>0.352647142161644</v>
      </c>
      <c r="IC43" s="420">
        <v>1</v>
      </c>
      <c r="ID43" s="390">
        <f t="shared" si="205"/>
        <v>0.352647142161644</v>
      </c>
      <c r="IE43" s="390">
        <f>ID43*(VLOOKUP($IB$9,各项系数!$D$1:$F$143,2,0))</f>
        <v>3.87911856377808</v>
      </c>
      <c r="IF43" s="429"/>
      <c r="IG43" s="406">
        <f t="shared" si="148"/>
        <v>0.0421861314205509</v>
      </c>
      <c r="IH43" s="389">
        <v>1</v>
      </c>
      <c r="II43" s="390">
        <f t="shared" si="206"/>
        <v>0.0421861314205509</v>
      </c>
      <c r="IJ43" s="390">
        <f>II43*(VLOOKUP($IG$8,各项系数!$D$1:$F$143,2,0))</f>
        <v>1.05465328551377</v>
      </c>
      <c r="IK43" s="406">
        <f>(各项系数!$F$76/4*($MX43^2-$MK43^2)*$EG43)*10^-2*(VLOOKUP($IG$8,各项系数!$D$1:$F$143,3,0))*10^-3*10^2*各项系数!$J$4</f>
        <v>0.0421861314205509</v>
      </c>
      <c r="IL43" s="389">
        <f>IK43*(VLOOKUP($IG$8,各项系数!$D$1:$F$143,2,0))</f>
        <v>1.05465328551377</v>
      </c>
      <c r="IM43" s="390">
        <f>(各项系数!$F$76/4*(($MM43+3*$X43)^2-MM43^2)*$EO43)*10^-2*(VLOOKUP($IG$8,各项系数!$D$1:$F$143,3,0))*10^-3*10^2*各项系数!$J$4</f>
        <v>0</v>
      </c>
      <c r="IN43" s="389">
        <f>IM43*(VLOOKUP($IG$8,各项系数!$D$1:$F$143,2,0))</f>
        <v>0</v>
      </c>
      <c r="IO43" s="406">
        <f>各项系数!$F$76/4*($MZ43^2-$MX43^2)*10^-2*(VLOOKUP(L43,各项系数!$D$1:$F$143,3,0))*10^-3*10^2*$ES43*各项系数!$J$4</f>
        <v>0.136124488873957</v>
      </c>
      <c r="IP43" s="389">
        <v>1</v>
      </c>
      <c r="IQ43" s="390">
        <f t="shared" si="207"/>
        <v>0.136124488873957</v>
      </c>
      <c r="IR43" s="367">
        <f>IQ43*(VLOOKUP(L43,各项系数!$D$1:$F$143,2,0))</f>
        <v>1.38846978651436</v>
      </c>
      <c r="IS43" s="406">
        <f>IF($L43&lt;&gt;$IS$9,0,各项系数!$F$76/4*($MZ43^2-$MX43^2)*10^-2*各项系数!$F$12*10^-3*10^2)*$ES43*各项系数!$J$4</f>
        <v>0</v>
      </c>
      <c r="IT43" s="389">
        <v>1</v>
      </c>
      <c r="IU43" s="390">
        <f t="shared" si="208"/>
        <v>0</v>
      </c>
      <c r="IV43" s="367">
        <f>IU43*各项系数!$E$12</f>
        <v>0</v>
      </c>
      <c r="IW43" s="388">
        <f t="shared" si="209"/>
        <v>0.136124488873957</v>
      </c>
      <c r="IX43" s="388">
        <f t="shared" si="210"/>
        <v>1.38846978651436</v>
      </c>
      <c r="IY43" s="447">
        <f>各项系数!$F$76/4*($NB43^2-$MZ43^2*$EG43-$NA43^2*$EO43)*10^-2</f>
        <v>4.91851700133728</v>
      </c>
      <c r="IZ43" s="366">
        <f t="shared" si="231"/>
        <v>0.05</v>
      </c>
      <c r="JA43" s="367">
        <f t="shared" si="64"/>
        <v>0.245925850066864</v>
      </c>
      <c r="JB43" s="364">
        <f>IF($DE43&lt;&gt;$JB$9,0,$JA43*各项系数!$F$32*10^-3*10^2)*各项系数!$J$4</f>
        <v>0</v>
      </c>
      <c r="JC43" s="123">
        <v>1</v>
      </c>
      <c r="JD43" s="251">
        <f t="shared" si="211"/>
        <v>0</v>
      </c>
      <c r="JE43" s="339">
        <f>JD43*各项系数!$E$32</f>
        <v>0</v>
      </c>
      <c r="JF43" s="364">
        <f>IF($DE43&lt;&gt;$JF$9,0,$JA43*VLOOKUP($JF$9,各项系数!$D$4:$F$540,2,0)*10^-3*10^2)*各项系数!$J$4</f>
        <v>0.122348110408265</v>
      </c>
      <c r="JG43" s="123">
        <v>1</v>
      </c>
      <c r="JH43" s="251">
        <f t="shared" si="66"/>
        <v>0.122348110408265</v>
      </c>
      <c r="JI43" s="339">
        <f>JH43*VLOOKUP($JF$9,各项系数!$D$4:$F$540,3,0)</f>
        <v>0.146817732489918</v>
      </c>
      <c r="JJ43" s="364">
        <f t="shared" si="212"/>
        <v>0.122348110408265</v>
      </c>
      <c r="JK43" s="251">
        <f t="shared" si="213"/>
        <v>0.146817732489918</v>
      </c>
      <c r="JL43" s="364">
        <f>IF($DF43&lt;&gt;$JL$9,0,各项系数!$F$76/4*($NE43^2-$NC43^2)*10^-2*各项系数!$F$39*10^-3*10^2)*各项系数!$J$4</f>
        <v>0.00259182808552437</v>
      </c>
      <c r="JM43" s="123">
        <v>1</v>
      </c>
      <c r="JN43" s="251">
        <f t="shared" si="214"/>
        <v>0.00259182808552437</v>
      </c>
      <c r="JO43" s="339">
        <f>JN43*各项系数!$E$39</f>
        <v>0.0518365617104875</v>
      </c>
      <c r="JP43" s="364">
        <f>IF($DF43&lt;&gt;$JP$9,0,各项系数!$F$76/4*($NE43^2-$NC43^2)*10^-2*各项系数!$F$36*10^-3*10^2)*各项系数!$J$4</f>
        <v>0</v>
      </c>
      <c r="JQ43" s="123">
        <v>1</v>
      </c>
      <c r="JR43" s="251">
        <f t="shared" si="215"/>
        <v>0</v>
      </c>
      <c r="JS43" s="339">
        <f>JR43*各项系数!$E$36</f>
        <v>0</v>
      </c>
      <c r="JT43" s="364">
        <f>IF($DF43&lt;&gt;$JT$9,0,各项系数!$F$76/4*($NE43^2-$NC43^2)*10^-2*各项系数!$F$40*10^-3*10^2)*各项系数!$J$4</f>
        <v>0</v>
      </c>
      <c r="JU43" s="123">
        <v>1</v>
      </c>
      <c r="JV43" s="251">
        <f t="shared" si="216"/>
        <v>0</v>
      </c>
      <c r="JW43" s="339">
        <f>JV43*各项系数!$E$40</f>
        <v>0</v>
      </c>
      <c r="JX43" s="364">
        <f>IF($DF43&lt;&gt;$JX$9,0,各项系数!$F$76/4*($NE43^2-$NC43^2)*10^-2*各项系数!$F$38*10^-3*10^2)*各项系数!$J$4</f>
        <v>0</v>
      </c>
      <c r="JY43" s="123">
        <v>1</v>
      </c>
      <c r="JZ43" s="251">
        <f t="shared" si="217"/>
        <v>0</v>
      </c>
      <c r="KA43" s="339">
        <f>JZ43*各项系数!$E$38</f>
        <v>0</v>
      </c>
      <c r="KB43" s="364">
        <f>IF($DF43&lt;&gt;$KB$9,0,各项系数!$F$76/4*($NE43^2-$NC43^2)*10^-2*各项系数!$F$41*10^-3*10^2)*各项系数!$J$4</f>
        <v>0</v>
      </c>
      <c r="KC43" s="123">
        <v>1</v>
      </c>
      <c r="KD43" s="251">
        <f t="shared" si="218"/>
        <v>0</v>
      </c>
      <c r="KE43" s="339">
        <f>KD43*各项系数!$E$41</f>
        <v>0</v>
      </c>
      <c r="KF43" s="251">
        <f t="shared" si="219"/>
        <v>0.00259182808552437</v>
      </c>
      <c r="KG43" s="251">
        <f t="shared" si="220"/>
        <v>0.0518365617104875</v>
      </c>
      <c r="KH43" s="302">
        <f>各项系数!$F$76/4*($NG43^2-$NE43^2)*10^-2*各项系数!$F$44*10^-3*10^2*各项系数!$J$4*0.75*$U43</f>
        <v>0.99814948797221</v>
      </c>
      <c r="KI43" s="123">
        <v>1</v>
      </c>
      <c r="KJ43" s="251">
        <f t="shared" si="221"/>
        <v>0.99814948797221</v>
      </c>
      <c r="KK43" s="251">
        <f>ROUND(KJ43*各项系数!$E$43,GT43)</f>
        <v>6</v>
      </c>
      <c r="KL43" s="302">
        <f>各项系数!$F$76/4*($NF43^2-$NE43^2)*10^-2*各项系数!$F$46*10^-3*10^2*各项系数!$J$4*PI()/4*R43</f>
        <v>0.0497641181853849</v>
      </c>
      <c r="KM43" s="123">
        <v>1</v>
      </c>
      <c r="KN43" s="251">
        <f t="shared" si="222"/>
        <v>0.0497641181853849</v>
      </c>
      <c r="KO43" s="251">
        <f>KN43*各项系数!$E$46</f>
        <v>3.35907797751348</v>
      </c>
      <c r="KP43" s="302">
        <f>各项系数!$F$76/4*($NH43^2-$NE43^2)*10^-2*(VLOOKUP($KP$9,各项系数!$D$1:$F$143,3,0))*10^-3*10^2*各项系数!$J$4</f>
        <v>0.358330286429971</v>
      </c>
      <c r="KQ43" s="123">
        <v>1</v>
      </c>
      <c r="KR43" s="251">
        <f t="shared" si="150"/>
        <v>0.358330286429971</v>
      </c>
      <c r="KS43" s="251">
        <f>KR43*(VLOOKUP($KP$9,各项系数!$D$1:$F$143,2,0))</f>
        <v>6.09161486930951</v>
      </c>
      <c r="KT43" s="302">
        <f>各项系数!$F$76/4*($NI43^2-$NF43^2)*10^-2*(VLOOKUP($KT$9,各项系数!$D$1:$F$143,3,0))*10^-3*10^2*各项系数!$J$4</f>
        <v>0.359853217451096</v>
      </c>
      <c r="KU43" s="123">
        <v>1</v>
      </c>
      <c r="KV43" s="251">
        <f t="shared" si="151"/>
        <v>0.359853217451096</v>
      </c>
      <c r="KW43" s="251">
        <f>KV43*(VLOOKUP($KT$9,各项系数!$D$1:$F$143,2,0))</f>
        <v>6.11750469666863</v>
      </c>
      <c r="KX43" s="251">
        <f>各项系数!$F$76/4*($NH43^2-$NE43^2)*10^-2*(VLOOKUP($KX$9,各项系数!$D$1:$F$143,3,0))*10^-3*10^2*各项系数!$J$4</f>
        <v>0.358330286429971</v>
      </c>
      <c r="KY43" s="479">
        <v>1</v>
      </c>
      <c r="KZ43" s="251">
        <f t="shared" si="152"/>
        <v>0.358330286429971</v>
      </c>
      <c r="LA43" s="251">
        <f>KZ43*(VLOOKUP($KX$9,各项系数!$D$1:$F$143,2,0))</f>
        <v>6.09161486930951</v>
      </c>
      <c r="LB43" s="251">
        <f>各项系数!$F$76/4*($NI43^2-$NF43^2)*10^-2*(VLOOKUP($LB$9,各项系数!$D$1:$F$143,3,0))*10^-3*10^2*各项系数!$J$4</f>
        <v>0.359853217451096</v>
      </c>
      <c r="LC43" s="479">
        <v>1</v>
      </c>
      <c r="LD43" s="251">
        <f t="shared" si="153"/>
        <v>0.359853217451096</v>
      </c>
      <c r="LE43" s="251">
        <f>LD43*(VLOOKUP($LB$9,各项系数!$D$1:$F$143,2,0))</f>
        <v>6.11750469666863</v>
      </c>
      <c r="LF43" s="302">
        <f>各项系数!$F$76/4*($NH43^2-$NE43^2)*10^-2*(VLOOKUP(AN43,各项系数!$D$1:$F$143,3,0))*10^-3*10^2*各项系数!$J$4</f>
        <v>0.36327277313935</v>
      </c>
      <c r="LG43" s="123">
        <v>1</v>
      </c>
      <c r="LH43" s="251">
        <f t="shared" si="223"/>
        <v>0.36327277313935</v>
      </c>
      <c r="LI43" s="251">
        <f>LH43*(VLOOKUP(AN43,各项系数!$D$1:$F$143,2,0))</f>
        <v>3.6327277313935</v>
      </c>
      <c r="LJ43" s="302">
        <f>各项系数!$F$76/4*($NI43^2-$NF43^2)*10^-2*(VLOOKUP(AN43,各项系数!$D$1:$F$143,3,0))*10^-3*10^2*各项系数!$J$4</f>
        <v>0.364816710105594</v>
      </c>
      <c r="LK43" s="123">
        <v>1</v>
      </c>
      <c r="LL43" s="251">
        <f t="shared" si="224"/>
        <v>0.364816710105594</v>
      </c>
      <c r="LM43" s="251">
        <f>LL43*(VLOOKUP(AN43,各项系数!$D$1:$F$143,2,0))</f>
        <v>3.64816710105594</v>
      </c>
      <c r="LN43" s="251">
        <f>各项系数!$F$76/4*($NH43^2-$NE43^2)*10^-2*(VLOOKUP($LN$9,各项系数!$D$1:$F$143,3,0))*10^-3*10^2*各项系数!$J$4</f>
        <v>0.36327277313935</v>
      </c>
      <c r="LO43" s="479">
        <v>1</v>
      </c>
      <c r="LP43" s="251">
        <f t="shared" si="225"/>
        <v>0.36327277313935</v>
      </c>
      <c r="LQ43" s="251">
        <f>LP43*(VLOOKUP($LN$9,各项系数!$D$1:$F$143,2,0))</f>
        <v>3.99600050453285</v>
      </c>
      <c r="LR43" s="251">
        <f>各项系数!$F$76/4*($NI43^2-$NF43^2)*10^-2*(VLOOKUP($LR$9,各项系数!$D$1:$F$143,3,0))*10^-3*10^2*各项系数!$J$4</f>
        <v>0.364816710105594</v>
      </c>
      <c r="LS43" s="479">
        <v>1</v>
      </c>
      <c r="LT43" s="251">
        <f t="shared" si="226"/>
        <v>0.364816710105594</v>
      </c>
      <c r="LU43" s="251">
        <f>LT43*(VLOOKUP($LR$9,各项系数!$D$1:$F$143,2,0))</f>
        <v>4.01298381116153</v>
      </c>
      <c r="LV43" s="499">
        <f t="shared" si="154"/>
        <v>339.21489315</v>
      </c>
      <c r="LW43" s="499">
        <f t="shared" si="155"/>
        <v>226.1432621</v>
      </c>
      <c r="LX43" s="499">
        <f t="shared" si="156"/>
        <v>16.9686341253835</v>
      </c>
      <c r="LY43" s="515">
        <f t="shared" si="157"/>
        <v>113.07163105</v>
      </c>
      <c r="LZ43" s="516">
        <f t="shared" si="86"/>
        <v>1</v>
      </c>
      <c r="MA43" s="517">
        <f t="shared" si="87"/>
        <v>339.21489315</v>
      </c>
      <c r="MB43" s="517">
        <f t="shared" si="158"/>
        <v>14.69526822</v>
      </c>
      <c r="MC43" s="499">
        <f t="shared" si="159"/>
        <v>0</v>
      </c>
      <c r="MD43" s="499">
        <f t="shared" si="160"/>
        <v>0</v>
      </c>
      <c r="ME43" s="499">
        <f t="shared" si="161"/>
        <v>0</v>
      </c>
      <c r="MF43" s="499">
        <f t="shared" si="162"/>
        <v>0</v>
      </c>
      <c r="MG43" s="516">
        <f t="shared" si="163"/>
        <v>1</v>
      </c>
      <c r="MH43" s="517">
        <f t="shared" si="88"/>
        <v>0</v>
      </c>
      <c r="MI43" s="517">
        <f t="shared" si="164"/>
        <v>0</v>
      </c>
      <c r="MJ43" s="251">
        <f t="shared" si="89"/>
        <v>14.69526822</v>
      </c>
      <c r="MK43" s="251">
        <f t="shared" si="165"/>
        <v>14.69526822</v>
      </c>
      <c r="ML43" s="251">
        <f t="shared" si="227"/>
        <v>0</v>
      </c>
      <c r="MM43" s="251">
        <f t="shared" si="91"/>
        <v>0</v>
      </c>
      <c r="MN43" s="251">
        <f t="shared" si="92"/>
        <v>17.09526822</v>
      </c>
      <c r="MO43" s="251">
        <f t="shared" si="166"/>
        <v>0</v>
      </c>
      <c r="MP43" s="251">
        <f t="shared" si="167"/>
        <v>34.19053644</v>
      </c>
      <c r="MQ43" s="251">
        <f t="shared" si="228"/>
        <v>34.19053644</v>
      </c>
      <c r="MR43" s="314">
        <f t="shared" si="168"/>
        <v>34.10923726</v>
      </c>
      <c r="MS43" s="530">
        <f t="shared" si="94"/>
        <v>34.28523726</v>
      </c>
      <c r="MT43" s="530">
        <f t="shared" si="95"/>
        <v>34.44523726</v>
      </c>
      <c r="MU43" s="530">
        <f t="shared" si="232"/>
        <v>35.78523726</v>
      </c>
      <c r="MV43" s="530">
        <f t="shared" si="97"/>
        <v>38.48523726</v>
      </c>
      <c r="MW43" s="530">
        <f t="shared" si="98"/>
        <v>38.64523726</v>
      </c>
      <c r="MX43" s="326">
        <f t="shared" si="233"/>
        <v>15.29526822</v>
      </c>
      <c r="MY43" s="326">
        <f t="shared" si="100"/>
        <v>0</v>
      </c>
      <c r="MZ43" s="251">
        <f t="shared" si="101"/>
        <v>17.69526822</v>
      </c>
      <c r="NA43" s="251">
        <f t="shared" si="102"/>
        <v>0</v>
      </c>
      <c r="NB43" s="251">
        <f t="shared" si="169"/>
        <v>35.39053644</v>
      </c>
      <c r="NC43" s="326">
        <f t="shared" si="229"/>
        <v>35.39053644</v>
      </c>
      <c r="ND43" s="314">
        <f t="shared" si="234"/>
        <v>35.30638387</v>
      </c>
      <c r="NE43" s="537">
        <f t="shared" si="235"/>
        <v>35.54638387</v>
      </c>
      <c r="NF43" s="530">
        <f t="shared" si="106"/>
        <v>35.70638387</v>
      </c>
      <c r="NG43" s="538">
        <f t="shared" si="236"/>
        <v>37.04638387</v>
      </c>
      <c r="NH43" s="326">
        <f t="shared" si="108"/>
        <v>39.74638387</v>
      </c>
      <c r="NI43" s="530">
        <f t="shared" si="109"/>
        <v>39.90638387</v>
      </c>
      <c r="NK43" s="539">
        <f t="shared" si="110"/>
        <v>2.54106548814069</v>
      </c>
      <c r="NL43" s="539">
        <f t="shared" si="111"/>
        <v>137.722922288745</v>
      </c>
      <c r="NM43" s="539">
        <f t="shared" si="112"/>
        <v>2.54106548814069</v>
      </c>
      <c r="NN43" s="539">
        <f t="shared" si="113"/>
        <v>138.07402549394</v>
      </c>
      <c r="NO43" s="539">
        <f t="shared" si="114"/>
        <v>2.69288956327121</v>
      </c>
      <c r="NP43" s="539">
        <f t="shared" si="115"/>
        <v>139.001493250625</v>
      </c>
      <c r="NQ43" s="539">
        <f t="shared" si="116"/>
        <v>2.69288956327121</v>
      </c>
      <c r="NR43" s="539">
        <f t="shared" si="117"/>
        <v>139.364766023765</v>
      </c>
      <c r="NS43" s="539">
        <f t="shared" si="118"/>
        <v>2.5890679947862</v>
      </c>
      <c r="NT43" s="539">
        <f t="shared" si="119"/>
        <v>2.5890679947862</v>
      </c>
      <c r="NU43" s="539">
        <f t="shared" si="120"/>
        <v>2.74265368145659</v>
      </c>
      <c r="NV43" s="539">
        <f t="shared" si="121"/>
        <v>2.74265368145659</v>
      </c>
      <c r="NW43">
        <f t="shared" si="122"/>
        <v>3.18337748368832</v>
      </c>
      <c r="NX43">
        <f>各项系数!$M$9*NK43</f>
        <v>0.762319646442206</v>
      </c>
      <c r="NY43">
        <f t="shared" si="123"/>
        <v>2.5890679947862</v>
      </c>
    </row>
    <row r="44" customHeight="1" spans="1:389">
      <c r="A44" s="91" t="s">
        <v>914</v>
      </c>
      <c r="B44" s="86">
        <v>1</v>
      </c>
      <c r="C44" s="83"/>
      <c r="D44" s="69" t="s">
        <v>226</v>
      </c>
      <c r="E44" s="77">
        <f t="shared" si="240"/>
        <v>41.28416483</v>
      </c>
      <c r="F44" s="84">
        <f>$F$28</f>
        <v>243.335870228497</v>
      </c>
      <c r="G44" s="74"/>
      <c r="H44" s="23"/>
      <c r="I44" s="78"/>
      <c r="J44" s="23"/>
      <c r="K44" s="23"/>
      <c r="L44" s="118" t="s">
        <v>467</v>
      </c>
      <c r="M44" s="124">
        <f t="shared" si="2"/>
        <v>1.4</v>
      </c>
      <c r="N44" s="124">
        <f t="shared" ref="N44:N75" si="252">IF(EM44=0,0,VLOOKUP(EM44,$A$12:$C$46,3,0))</f>
        <v>0</v>
      </c>
      <c r="O44" s="69">
        <f t="shared" si="251"/>
        <v>0.08</v>
      </c>
      <c r="P44" s="120">
        <v>0.1</v>
      </c>
      <c r="Q44" s="162">
        <f t="shared" ref="Q44:Q53" si="253">$Q$12</f>
        <v>0.1</v>
      </c>
      <c r="R44" s="86">
        <v>0.8</v>
      </c>
      <c r="S44" s="171" t="str">
        <f>各项系数!$D$43</f>
        <v>钢带</v>
      </c>
      <c r="T44" s="69">
        <v>0.5</v>
      </c>
      <c r="U44" s="123">
        <v>2</v>
      </c>
      <c r="V44" s="169"/>
      <c r="W44" s="170">
        <v>2.2</v>
      </c>
      <c r="X44" s="164">
        <f t="shared" ref="X44:X53" si="254">$X$12</f>
        <v>0.2</v>
      </c>
      <c r="Y44" s="219"/>
      <c r="Z44" s="220"/>
      <c r="AA44" s="217">
        <f>$AA$28</f>
        <v>1.015</v>
      </c>
      <c r="AB44" s="186">
        <f>PI()*EJ44*EJ44/4*EH44*(1-H44)*AA44*各项系数!$F$5*各项系数!$J$4*10^-7</f>
        <v>1.25260541945236</v>
      </c>
      <c r="AC44" s="186">
        <f t="shared" si="241"/>
        <v>243.335870228497</v>
      </c>
      <c r="AD44" s="186">
        <f t="shared" si="5"/>
        <v>141.608539825376</v>
      </c>
      <c r="AE44" s="186">
        <f>POWER(4*EU44/PI()/EG44/10^-7/EH44/(1-H44)/各项系数!$F$5/各项系数!$J$4,0.5)</f>
        <v>245.154096286311</v>
      </c>
      <c r="AF44" s="218">
        <v>1</v>
      </c>
      <c r="AG44" s="85">
        <f>IF(EM44=0,0,PI()*ER44*ER44/4*EP44*(1-K44)*(1+AF44)*各项系数!$F$5*各项系数!$J$4*10^-7)</f>
        <v>0</v>
      </c>
      <c r="AH44" s="85">
        <f t="shared" si="242"/>
        <v>0</v>
      </c>
      <c r="AI44" s="85">
        <f t="shared" si="128"/>
        <v>0</v>
      </c>
      <c r="AJ44" s="85">
        <f>IF(OR(EP44="",EP44=0),0,POWER(4*EW44/PI()/EO44/10^-7/EP44/(1-K44)/各项系数!$F$5/各项系数!$J$4,0.5))</f>
        <v>0</v>
      </c>
      <c r="AK44" s="85" t="str">
        <f t="shared" si="8"/>
        <v>√</v>
      </c>
      <c r="AL44" s="85">
        <f t="shared" si="243"/>
        <v>175.078727704291</v>
      </c>
      <c r="AM44" s="250">
        <f t="shared" si="244"/>
        <v>150</v>
      </c>
      <c r="AN44" s="118" t="s">
        <v>486</v>
      </c>
      <c r="AO44" s="259">
        <f>AP44+各项系数!$M$9*$NK44</f>
        <v>171.645811474795</v>
      </c>
      <c r="AP44" s="259">
        <f>AQ44*(1+$BI44+(VLOOKUP($AM44,$A$12:$B$323,2,0))+各项系数!$J$6+各项系数!$M$5)*(1+$E$2)</f>
        <v>170.715585264668</v>
      </c>
      <c r="AQ44" s="260">
        <f>AR44+各项系数!$L$9*$NK44</f>
        <v>174.199576800681</v>
      </c>
      <c r="AR44" s="260">
        <f>AS44*(1+$BJ44+各项系数!$J$5+各项系数!$L$5)</f>
        <v>173.269350590554</v>
      </c>
      <c r="AS44" s="260">
        <f t="shared" si="129"/>
        <v>169.87191234368</v>
      </c>
      <c r="AT44" s="259">
        <f>AU44+各项系数!$M$9*$NM44</f>
        <v>174.319099780877</v>
      </c>
      <c r="AU44" s="259">
        <f>AV44*(1+$BI44+(VLOOKUP($AM44,$A$12:$B$323,2,0))+各项系数!$J$6+各项系数!$M$5)*(1+$E$2)</f>
        <v>173.38887357075</v>
      </c>
      <c r="AV44" s="260">
        <f>AW44+各项系数!$L$9*$NM44</f>
        <v>176.927422010969</v>
      </c>
      <c r="AW44" s="260">
        <f>AX44*(1+$BJ44+各项系数!$J$5+各项系数!$L$5)</f>
        <v>175.997195800842</v>
      </c>
      <c r="AX44" s="260">
        <f t="shared" si="130"/>
        <v>172.546270392982</v>
      </c>
      <c r="AY44" s="259">
        <f>AZ44+各项系数!$M$9*$NS44</f>
        <v>175.176467687803</v>
      </c>
      <c r="AZ44" s="259">
        <f>BA44*(1+$BI44+(VLOOKUP($AM44,$A$12:$B$214,2,0))+各项系数!$J$6+各项系数!$M$5)*(1+$E$2)</f>
        <v>174.230751645135</v>
      </c>
      <c r="BA44" s="260">
        <f>BB44+各项系数!$L$9*$NS44</f>
        <v>177.786481270546</v>
      </c>
      <c r="BB44" s="260">
        <f>BC44*(1+$BJ44+各项系数!$J$5+各项系数!$L$5)</f>
        <v>176.840765227878</v>
      </c>
      <c r="BC44" s="262">
        <f t="shared" si="131"/>
        <v>173.373299243018</v>
      </c>
      <c r="BD44" s="259">
        <f>BE44+各项系数!$M$9*$NS44</f>
        <v>177.860699713185</v>
      </c>
      <c r="BE44" s="259">
        <f>BF44*(1+$BI44+(VLOOKUP($AM44,$A$12:$B$214,2,0))+各项系数!$J$6+各项系数!$M$5)*(1+$E$2)</f>
        <v>176.914983670517</v>
      </c>
      <c r="BF44" s="260">
        <f>BG44+各项系数!$L$9*$NS44</f>
        <v>180.525493541344</v>
      </c>
      <c r="BG44" s="260">
        <f>BH44*(1+$BJ44+各项系数!$J$5+各项系数!$L$5)</f>
        <v>179.579777498676</v>
      </c>
      <c r="BH44" s="262">
        <f t="shared" si="132"/>
        <v>176.058605390859</v>
      </c>
      <c r="BI44" s="277"/>
      <c r="BJ44" s="272"/>
      <c r="BK44" s="69" t="s">
        <v>514</v>
      </c>
      <c r="BL44" s="259">
        <f>BM44+各项系数!$M$9*$NM44</f>
        <v>173.709376377773</v>
      </c>
      <c r="BM44" s="259">
        <f>BN44*(1+$CF44+(VLOOKUP($AM44,$A$12:$B$323,2,0))+各项系数!$J$6+各项系数!$M$5)*(1+$E$2)</f>
        <v>172.779150167646</v>
      </c>
      <c r="BN44" s="260">
        <f>BO44+各项系数!$L$9*$NM44</f>
        <v>176.305255273108</v>
      </c>
      <c r="BO44" s="260">
        <f>BP44*(1+$CG44+各项系数!$J$5+各项系数!$L$5)</f>
        <v>175.37502906298</v>
      </c>
      <c r="BP44" s="260">
        <f t="shared" si="133"/>
        <v>170.267018507748</v>
      </c>
      <c r="BQ44" s="259">
        <f>BR44+各项系数!$M$9*$NM44</f>
        <v>176.010053230729</v>
      </c>
      <c r="BR44" s="259">
        <f>BS44*(1+$CF44+(VLOOKUP($AM44,$A$12:$B$323,2,0))+各项系数!$J$6+各项系数!$M$5)*(1+$E$2)</f>
        <v>175.079827020601</v>
      </c>
      <c r="BS44" s="260">
        <f>BT44+各项系数!$L$9*$NM44</f>
        <v>178.652884714899</v>
      </c>
      <c r="BT44" s="260">
        <f>BU44*(1+$CG44+各项系数!$J$5+各项系数!$L$5)</f>
        <v>177.722658504772</v>
      </c>
      <c r="BU44" s="260">
        <f t="shared" si="134"/>
        <v>172.546270392982</v>
      </c>
      <c r="BV44" s="259">
        <f>BW44+各项系数!$M$9*$NT44</f>
        <v>176.357275257549</v>
      </c>
      <c r="BW44" s="259">
        <f>BX44*(1+$CF44+(VLOOKUP($AM44,$A$12:$B$214,2,0))+各项系数!$J$6+各项系数!$M$5)*(1+$E$2)</f>
        <v>175.411559214881</v>
      </c>
      <c r="BX44" s="260">
        <f>BY44+各项系数!$L$9*$NT$12</f>
        <v>178.99138695396</v>
      </c>
      <c r="BY44" s="260">
        <f>BZ44*(1+$CG44+各项系数!$J$5+各项系数!$L$5)</f>
        <v>178.983123550805</v>
      </c>
      <c r="BZ44" s="262">
        <f t="shared" si="11"/>
        <v>173.77002286486</v>
      </c>
      <c r="CA44" s="259">
        <f>CB44+各项系数!$M$9*$NT44</f>
        <v>178.667370459293</v>
      </c>
      <c r="CB44" s="259">
        <f>CC44*(1+$CF44+(VLOOKUP($AM44,$A$12:$B$214,2,0))+各项系数!$J$6+各项系数!$M$5)*(1+$E$2)</f>
        <v>177.721654416625</v>
      </c>
      <c r="CC44" s="260">
        <f>CD44+各项系数!$L$9*$NT$12</f>
        <v>181.34862695574</v>
      </c>
      <c r="CD44" s="260">
        <f>CE44*(1+$CG44+各项系数!$J$5+各项系数!$L$5)</f>
        <v>181.340363552585</v>
      </c>
      <c r="CE44" s="262">
        <f t="shared" si="135"/>
        <v>176.058605390859</v>
      </c>
      <c r="CF44" s="277">
        <f t="shared" si="136"/>
        <v>0</v>
      </c>
      <c r="CG44" s="277">
        <f t="shared" si="12"/>
        <v>0.01</v>
      </c>
      <c r="CH44" s="123"/>
      <c r="CI44" s="259">
        <f>CJ44+各项系数!$M$9*$NO44</f>
        <v>174.043459802755</v>
      </c>
      <c r="CJ44" s="259">
        <f>CK44*(1+$DC44+(VLOOKUP($AM44,$A$12:$B$323,2,0))+各项系数!$J$6+各项系数!$M$5)*(1+$E$2)+各项系数!$M$9*$NK44</f>
        <v>173.062185859041</v>
      </c>
      <c r="CK44" s="260">
        <f>CL44+各项系数!$L$9*$NO44</f>
        <v>175.644856784606</v>
      </c>
      <c r="CL44" s="260">
        <f>CM44*(1+$DD44+各项系数!$J$5+各项系数!$L$5)</f>
        <v>174.663582840893</v>
      </c>
      <c r="CM44" s="260">
        <f t="shared" si="13"/>
        <v>171.238806706758</v>
      </c>
      <c r="CN44" s="259">
        <f>CO44+各项系数!$M$9*$NO44</f>
        <v>176.589308393328</v>
      </c>
      <c r="CO44" s="259">
        <f>CP44*(1+$DC44+(VLOOKUP($AM44,$A$12:$B$323,2,0))+各项系数!$J$6+各项系数!$M$5)*(1+$E$2)+各项系数!$M$9*$NK44</f>
        <v>175.608034449615</v>
      </c>
      <c r="CP44" s="260">
        <f>CQ44+各项系数!$L$9*$NO44</f>
        <v>178.242661468864</v>
      </c>
      <c r="CQ44" s="260">
        <f>CR44*(1+$DD44+各项系数!$J$5+各项系数!$L$5)</f>
        <v>177.261387525151</v>
      </c>
      <c r="CR44" s="260">
        <f t="shared" si="14"/>
        <v>173.785674044266</v>
      </c>
      <c r="CS44" s="259">
        <f>CT44+各项系数!$M$9*$NU44</f>
        <v>176.763797418319</v>
      </c>
      <c r="CT44" s="259">
        <f t="shared" si="15"/>
        <v>175.766505158604</v>
      </c>
      <c r="CU44" s="260">
        <f>CV44+各项系数!$L$9*$NU44</f>
        <v>179.353576692453</v>
      </c>
      <c r="CV44" s="260">
        <f>CW44*(1+$DD44+各项系数!$J$5+各项系数!$L$5)</f>
        <v>178.356284432737</v>
      </c>
      <c r="CW44" s="262">
        <f t="shared" si="16"/>
        <v>174.859102385036</v>
      </c>
      <c r="CX44" s="259">
        <f>CY44+各项系数!$M$9*$NU44</f>
        <v>179.534289659301</v>
      </c>
      <c r="CY44" s="259">
        <f t="shared" si="17"/>
        <v>178.536997399585</v>
      </c>
      <c r="CZ44" s="260">
        <f>DA44+各项系数!$L$9*$NU44</f>
        <v>182.180609591414</v>
      </c>
      <c r="DA44" s="260">
        <f>DB44*(1+$DD44+各项系数!$J$5+各项系数!$L$5)</f>
        <v>181.183317331698</v>
      </c>
      <c r="DB44" s="262">
        <f t="shared" si="18"/>
        <v>177.630703266371</v>
      </c>
      <c r="DC44" s="277">
        <f t="shared" si="137"/>
        <v>0</v>
      </c>
      <c r="DD44" s="277">
        <f t="shared" si="19"/>
        <v>0</v>
      </c>
      <c r="DE44" s="69" t="s">
        <v>498</v>
      </c>
      <c r="DF44" s="69" t="s">
        <v>513</v>
      </c>
      <c r="DG44" s="259">
        <f>DH44+各项系数!$M$9*$NQ44</f>
        <v>176.133289182939</v>
      </c>
      <c r="DH44" s="259">
        <f>DI44*(1+$EA44+(VLOOKUP($AM44,$A$12:$B$323,2,0))+各项系数!$J$6+各项系数!$M$5)*(1+$E$2)+各项系数!$M$9*$NK44</f>
        <v>175.152015239226</v>
      </c>
      <c r="DI44" s="260">
        <f>DJ44+各项系数!$L$9*$NQ44</f>
        <v>177.777335743978</v>
      </c>
      <c r="DJ44" s="260">
        <f>DK44*(1+$EB44+各项系数!$J$5+各项系数!$L$5)</f>
        <v>176.796061800265</v>
      </c>
      <c r="DK44" s="260">
        <f t="shared" si="20"/>
        <v>171.646661942005</v>
      </c>
      <c r="DL44" s="259">
        <f>DM44+各项系数!$M$9*$NQ44</f>
        <v>178.508203027434</v>
      </c>
      <c r="DM44" s="259">
        <f>DN44*(1+$EA44+(VLOOKUP($AM44,$A$12:$B$323,2,0))+各项系数!$J$6+各项系数!$M$5)*(1+$E$2)+各项系数!$M$9*$NK44</f>
        <v>177.526929083721</v>
      </c>
      <c r="DN44" s="260">
        <f>DO44+各项系数!$L$9*$NQ44</f>
        <v>180.200717217953</v>
      </c>
      <c r="DO44" s="260">
        <f>DP44*(1+$EB44+各项系数!$J$5+各项系数!$L$5)</f>
        <v>179.219443274239</v>
      </c>
      <c r="DP44" s="260">
        <f t="shared" si="21"/>
        <v>173.999459489553</v>
      </c>
      <c r="DQ44" s="259">
        <f>DR44+各项系数!$M$9*$NV44</f>
        <v>178.890738358028</v>
      </c>
      <c r="DR44" s="259">
        <f t="shared" si="22"/>
        <v>177.893446098313</v>
      </c>
      <c r="DS44" s="260">
        <f>DT44+各项系数!$L$9*$NV44</f>
        <v>181.523924590115</v>
      </c>
      <c r="DT44" s="260">
        <f>DU44*(1+$EB44+各项系数!$J$5+各项系数!$L$5)</f>
        <v>180.526632330399</v>
      </c>
      <c r="DU44" s="262">
        <f t="shared" si="23"/>
        <v>175.268575078057</v>
      </c>
      <c r="DV44" s="259">
        <f>DW44+各项系数!$M$9*$NV44</f>
        <v>179.530669892342</v>
      </c>
      <c r="DW44" s="259">
        <f t="shared" si="24"/>
        <v>178.533377632627</v>
      </c>
      <c r="DX44" s="260">
        <f>DY44+各项系数!$L$9*$NV44</f>
        <v>182.17691595166</v>
      </c>
      <c r="DY44" s="260">
        <f>DZ44*(1+$EB44+各项系数!$J$5+各项系数!$L$5)</f>
        <v>181.179623691944</v>
      </c>
      <c r="DZ44" s="262">
        <f t="shared" si="25"/>
        <v>175.902547273732</v>
      </c>
      <c r="EA44" s="277">
        <f t="shared" si="230"/>
        <v>0</v>
      </c>
      <c r="EB44" s="277">
        <f t="shared" si="27"/>
        <v>0.01</v>
      </c>
      <c r="EC44" s="302">
        <f t="shared" si="138"/>
        <v>2</v>
      </c>
      <c r="ED44" s="302" t="str">
        <f t="shared" si="180"/>
        <v>2*150</v>
      </c>
      <c r="EE44" s="251">
        <f t="shared" si="239"/>
        <v>150</v>
      </c>
      <c r="EF44" s="251" t="str">
        <f>LOOKUP(EH44,{1,7,10,14,19,24,30,37,48,61},{1,"1+6","2+8","4+10","1+6+12","2+8+14","4+10+16","1+6+12+18","3+9+15+21","1+6+12+18+24"})</f>
        <v>4+10+16</v>
      </c>
      <c r="EG44" s="250">
        <f t="shared" si="29"/>
        <v>2</v>
      </c>
      <c r="EH44" s="260">
        <f>VLOOKUP(EE44,各项系数!$B$87:$C$124,2,0)</f>
        <v>30</v>
      </c>
      <c r="EI44" s="250">
        <f>IF(EH44=0,0,VLOOKUP(EH44,各项系数!$D$142:$E$195,2,0))*1</f>
        <v>6.41</v>
      </c>
      <c r="EJ44" s="305">
        <f t="shared" si="141"/>
        <v>243.335870228497</v>
      </c>
      <c r="EK44" s="251">
        <f t="shared" si="245"/>
        <v>0</v>
      </c>
      <c r="EL44" s="251">
        <f t="shared" si="31"/>
        <v>0</v>
      </c>
      <c r="EM44" s="251">
        <f t="shared" si="182"/>
        <v>0</v>
      </c>
      <c r="EN44" s="251">
        <f>IF(EP44=0,0,LOOKUP(EP44,{1,7,10,14,19,24,30,37,48,61},{1,"1+6","2+8","4+10","1+6+12","2+8+14","4+10+16","1+6+12+18","3+9+15+21","1+6+12+18+24"}))</f>
        <v>0</v>
      </c>
      <c r="EO44" s="251">
        <f t="shared" si="246"/>
        <v>0</v>
      </c>
      <c r="EP44" s="251">
        <f>IF(EM44=0,0,IF(EM44&lt;10,1,IF(AND(EM44&gt;=10,EM44&lt;=35),7,LOOKUP(EM44,{50,70,95,120,150,185,240,300},{10,14,19,24,30,37,48,61})*1)))</f>
        <v>0</v>
      </c>
      <c r="EQ44" s="251">
        <f>IF(EP44=0,0,VLOOKUP(EP44,各项系数!$D$142:$E$195,2,0))*1</f>
        <v>0</v>
      </c>
      <c r="ER44" s="251">
        <f t="shared" si="247"/>
        <v>0</v>
      </c>
      <c r="ES44" s="302">
        <f t="shared" si="250"/>
        <v>2</v>
      </c>
      <c r="ET44" s="251">
        <f>VLOOKUP(ES44,各项系数!$D$142:$E$195,2,0)*1</f>
        <v>2</v>
      </c>
      <c r="EU44" s="311">
        <f>((各项系数!$F$76/4*$EJ44^2*$EG44*$EH44*1*10^-7)*(1-$H44)*AA44)*(VLOOKUP($EY$9,各项系数!$D$4:$F$143,3,0))*各项系数!$J$4</f>
        <v>2.50521083890471</v>
      </c>
      <c r="EV44" s="312">
        <f>EU44*(VLOOKUP($EY$9,各项系数!$D$4:$F$143,2,0))</f>
        <v>164.091309948259</v>
      </c>
      <c r="EW44" s="324">
        <f>(IF($EO44=0,0,(各项系数!$F$76/4*$ER44^2*$EO44*$EP44*1*10^-7))*(1-$K44)*$AF44)*(VLOOKUP($EY$9,各项系数!$D$4:$F$143,3,0))*各项系数!$J$4</f>
        <v>0</v>
      </c>
      <c r="EX44" s="325">
        <f>EW44*(VLOOKUP($EY$9,各项系数!$D$4:$F$143,2,0))</f>
        <v>0</v>
      </c>
      <c r="EY44" s="251">
        <f>((各项系数!$F$76/4*$EJ44^2*$EG44*$EH44*1*10^-7)*(1-$H44)*AA44+IF($EO44=0,0,(各项系数!$F$76/4*$ER44^2*$EO44*$EP44*1*10^-7))*(1-$K44)*$AF44)*(VLOOKUP($EY$9,各项系数!$D$4:$F$143,3,0))*各项系数!$J$4</f>
        <v>2.50521083890471</v>
      </c>
      <c r="EZ44" s="123">
        <v>1</v>
      </c>
      <c r="FA44" s="251">
        <f t="shared" si="188"/>
        <v>2.50521083890471</v>
      </c>
      <c r="FB44" s="326">
        <f>FA44*(VLOOKUP($EY$9,各项系数!$D$4:$F$143,2,0))</f>
        <v>164.091309948259</v>
      </c>
      <c r="FC44" s="327"/>
      <c r="FD44" s="302">
        <f>各项系数!$F$76/4*($MN44^2-MK44^2)*10^-2*(VLOOKUP(L44,各项系数!$D$1:$F$143,3,0))*10^-3*10^2*$EG44*各项系数!$J$4</f>
        <v>0.163650423194096</v>
      </c>
      <c r="FE44" s="339">
        <f>FD44*VLOOKUP(L44,各项系数!$D$1:$F$143,2,0)</f>
        <v>1.66923431657978</v>
      </c>
      <c r="FF44" s="250">
        <f>各项系数!$F$76/4*($MO44^2-ML44^2)*10^-2*(VLOOKUP(L44,各项系数!$D$1:$F$143,3,0))*10^-3*10^2*$EO44*各项系数!$J$4</f>
        <v>0</v>
      </c>
      <c r="FG44" s="339">
        <f>FF44*VLOOKUP(L44,各项系数!$D$1:$F$143,2,0)</f>
        <v>0</v>
      </c>
      <c r="FH44" s="302">
        <f t="shared" si="142"/>
        <v>0.163650423194096</v>
      </c>
      <c r="FI44" s="123">
        <v>1</v>
      </c>
      <c r="FJ44" s="251">
        <f t="shared" si="189"/>
        <v>0.163650423194096</v>
      </c>
      <c r="FK44" s="339">
        <f>FJ44*VLOOKUP(L44,各项系数!$D$1:$F$143,2,0)</f>
        <v>1.66923431657978</v>
      </c>
      <c r="FL44" s="302"/>
      <c r="FM44" s="123"/>
      <c r="FN44" s="251"/>
      <c r="FO44" s="339"/>
      <c r="FP44" s="364">
        <f t="shared" si="190"/>
        <v>0.163650423194096</v>
      </c>
      <c r="FQ44" s="364">
        <f t="shared" si="191"/>
        <v>1.66923431657978</v>
      </c>
      <c r="FR44" s="365">
        <f>各项系数!$F$76/4*($MQ44^2-$MN44^2*$EG44-$MO44^2*$EO44)*10^-2</f>
        <v>5.31683332092035</v>
      </c>
      <c r="FS44" s="366">
        <f t="shared" si="143"/>
        <v>0.05</v>
      </c>
      <c r="FT44" s="367">
        <f t="shared" si="40"/>
        <v>0.265841666046017</v>
      </c>
      <c r="FU44" s="388">
        <f>$FT44*(VLOOKUP($FT$9,各项系数!$D$1:$F$143,3,0))*10^-3*10^2*各项系数!$J$55</f>
        <v>0.0317414949258945</v>
      </c>
      <c r="FV44" s="389">
        <v>1</v>
      </c>
      <c r="FW44" s="390">
        <f t="shared" si="192"/>
        <v>0.0317414949258945</v>
      </c>
      <c r="FX44" s="367">
        <f>FW44*(VLOOKUP($FT$9,各项系数!$D$1:$F$143,2,0))</f>
        <v>0.0952244847776835</v>
      </c>
      <c r="FY44" s="388">
        <f>IF($BK44&lt;&gt;$FY$9,0,各项系数!$F$76/4*($MS44^2-$MQ44^2)*10^-2*(VLOOKUP($FY$9,各项系数!$D$1:$F$143,3,0))*10^-3*10^2)*各项系数!$J$4</f>
        <v>0</v>
      </c>
      <c r="FZ44" s="389">
        <v>1</v>
      </c>
      <c r="GA44" s="390">
        <f t="shared" si="193"/>
        <v>0</v>
      </c>
      <c r="GB44" s="367">
        <f>GA44*(VLOOKUP($FY$9,各项系数!$D$1:$F$143,2,0))</f>
        <v>0</v>
      </c>
      <c r="GC44" s="388">
        <f>IF($BK44&lt;&gt;$GC$9,0,各项系数!$F$76/4*($MS44^2-$MQ44^2)*10^-2*(VLOOKUP($GC$9,各项系数!$D$1:$F$143,3,0))*10^-3*10^2)*各项系数!$J$4</f>
        <v>0.00504511266561887</v>
      </c>
      <c r="GD44" s="389">
        <v>1</v>
      </c>
      <c r="GE44" s="390">
        <f t="shared" si="194"/>
        <v>0.00504511266561887</v>
      </c>
      <c r="GF44" s="367">
        <f>GE44*(VLOOKUP($GC$9,各项系数!$D$1:$F$143,2,0))</f>
        <v>0.0650819533864834</v>
      </c>
      <c r="GG44" s="388">
        <f>IF($BK44&lt;&gt;$GG$9,0,各项系数!$F$76/4*($MS44^2-$MQ44^2)*10^-2*(VLOOKUP($GG$9,各项系数!$D$1:$F$143,3,0))*10^-3*10^2)*各项系数!$J$4</f>
        <v>0</v>
      </c>
      <c r="GH44" s="389">
        <v>1</v>
      </c>
      <c r="GI44" s="390">
        <f t="shared" si="195"/>
        <v>0</v>
      </c>
      <c r="GJ44" s="367">
        <f>GI44*(VLOOKUP($GG$9,各项系数!$D$1:$F$143,2,0))</f>
        <v>0</v>
      </c>
      <c r="GK44" s="388">
        <f>IF($BK44&lt;&gt;$GK$9,0,各项系数!$F$76/4*($MS44^2-$MQ44^2)*10^-2*(VLOOKUP($GK$9,各项系数!$D$1:$F$143,3,0))*10^-3*10^2)*各项系数!$J$4</f>
        <v>0</v>
      </c>
      <c r="GL44" s="389">
        <v>1</v>
      </c>
      <c r="GM44" s="390">
        <f t="shared" si="196"/>
        <v>0</v>
      </c>
      <c r="GN44" s="367">
        <f>GM44*(VLOOKUP($GK$9,各项系数!$D$1:$F$143,2,0))</f>
        <v>0</v>
      </c>
      <c r="GO44" s="390">
        <f t="shared" si="197"/>
        <v>0.00504511266561887</v>
      </c>
      <c r="GP44" s="390">
        <f t="shared" si="198"/>
        <v>0.0650819533864834</v>
      </c>
      <c r="GQ44" s="406">
        <f>各项系数!$F$76/4*($MU44^2-$MS44^2)*10^-2*(VLOOKUP($S44,各项系数!$D$1:$F$143,3,0))*10^-3*10^2*各项系数!$J$4</f>
        <v>0.689958949994729</v>
      </c>
      <c r="GR44" s="389">
        <v>1</v>
      </c>
      <c r="GS44" s="390">
        <f t="shared" si="199"/>
        <v>0.689958949994729</v>
      </c>
      <c r="GT44" s="390">
        <f t="shared" si="200"/>
        <v>0</v>
      </c>
      <c r="GU44" s="390">
        <f>ROUND($GS44*(VLOOKUP($S44,各项系数!$D$1:$F$143,2,0))+$E$3*GS44,GT44)</f>
        <v>4</v>
      </c>
      <c r="GV44" s="406">
        <f>各项系数!$F$76/4*($MT44^2-$MS44^2)*10^-2*(VLOOKUP($GV$9,各项系数!$D$1:$F$143,3,0))*10^-3*10^2*各项系数!$J$4*PI()/4*R44</f>
        <v>0.0516327751347541</v>
      </c>
      <c r="GW44" s="389">
        <v>1</v>
      </c>
      <c r="GX44" s="390">
        <f t="shared" si="201"/>
        <v>0.0516327751347541</v>
      </c>
      <c r="GY44" s="390">
        <f>$GX44*(VLOOKUP($GV$9,各项系数!$D$1:$F$143,2,0))</f>
        <v>3.4852123215959</v>
      </c>
      <c r="GZ44" s="406">
        <f>各项系数!$F$76/4*($MV44^2-$MS44^2)*10^-2*(VLOOKUP($GZ$9,各项系数!$D$1:$F$143,3,0))*10^-3*10^2*各项系数!$J$4</f>
        <v>0.389730569998798</v>
      </c>
      <c r="HA44" s="389">
        <v>1</v>
      </c>
      <c r="HB44" s="390">
        <f t="shared" si="144"/>
        <v>0.389730569998798</v>
      </c>
      <c r="HC44" s="390">
        <f>HB44*(VLOOKUP($GZ$9,各项系数!$D$1:$F$143,2,0))</f>
        <v>6.62541968997957</v>
      </c>
      <c r="HD44" s="406">
        <f>各项系数!$F$76/4*($MW44^2-$MT44^2)*10^-2*(VLOOKUP($HD$9,各项系数!$D$1:$F$143,3,0))*10^-3*10^2*各项系数!$J$4</f>
        <v>0.391326021544739</v>
      </c>
      <c r="HE44" s="389">
        <v>1</v>
      </c>
      <c r="HF44" s="390">
        <f t="shared" si="145"/>
        <v>0.391326021544739</v>
      </c>
      <c r="HG44" s="390">
        <f>HF44*(VLOOKUP($HD$9,各项系数!$D$1:$F$143,2,0))</f>
        <v>6.65254236626056</v>
      </c>
      <c r="HH44" s="406">
        <f>各项系数!$F$76/4*($MV44^2-$MS44^2)*10^-2*(VLOOKUP($HH$9,各项系数!$D$1:$F$143,3,0))*10^-3*10^2*各项系数!$J$4</f>
        <v>0.389730569998798</v>
      </c>
      <c r="HI44" s="420">
        <v>1</v>
      </c>
      <c r="HJ44" s="390">
        <f t="shared" si="146"/>
        <v>0.389730569998798</v>
      </c>
      <c r="HK44" s="390">
        <f>HJ44*(VLOOKUP($HH$9,各项系数!$D$1:$F$143,2,0))</f>
        <v>6.62541968997957</v>
      </c>
      <c r="HL44" s="406">
        <f>各项系数!$F$76/4*($MW44^2-$MT44^2)*10^-2*(VLOOKUP($HL$9,各项系数!$D$1:$F$143,3,0))*10^-3*10^2*各项系数!$J$4</f>
        <v>0.391326021544739</v>
      </c>
      <c r="HM44" s="420">
        <v>1</v>
      </c>
      <c r="HN44" s="390">
        <f t="shared" si="147"/>
        <v>0.391326021544739</v>
      </c>
      <c r="HO44" s="390">
        <f>HN44*(VLOOKUP($HL$9,各项系数!$D$1:$F$143,2,0))</f>
        <v>6.65254236626056</v>
      </c>
      <c r="HP44" s="406">
        <f>各项系数!$F$76/4*($MV44^2-$MS44^2)*10^-2*(VLOOKUP(AN44,各项系数!$D$1:$F$143,3,0))*10^-3*10^2*各项系数!$J$4</f>
        <v>0.395106164067747</v>
      </c>
      <c r="HQ44" s="389">
        <v>1</v>
      </c>
      <c r="HR44" s="390">
        <f t="shared" si="202"/>
        <v>0.395106164067747</v>
      </c>
      <c r="HS44" s="390">
        <f>HR44*(VLOOKUP(AN44,各项系数!$D$1:$F$143,2,0))</f>
        <v>3.95106164067747</v>
      </c>
      <c r="HT44" s="406">
        <f>各项系数!$F$76/4*($MW44^2-$MT44^2)*10^-2*(VLOOKUP(AN44,各项系数!$D$1:$F$143,3,0))*10^-3*10^2*各项系数!$J$4</f>
        <v>0.396723621841907</v>
      </c>
      <c r="HU44" s="389">
        <v>1</v>
      </c>
      <c r="HV44" s="390">
        <f t="shared" si="203"/>
        <v>0.396723621841907</v>
      </c>
      <c r="HW44" s="390">
        <f>HV44*(VLOOKUP(AN44,各项系数!$D$1:$F$143,2,0))</f>
        <v>3.96723621841907</v>
      </c>
      <c r="HX44" s="406">
        <f>各项系数!$F$76/4*($MV44^2-$MS44^2)*10^-2*(VLOOKUP($HX$9,各项系数!$D$1:$F$143,3,0))*10^-3*10^2*各项系数!$J$4</f>
        <v>0.395106164067747</v>
      </c>
      <c r="HY44" s="420">
        <v>1</v>
      </c>
      <c r="HZ44" s="390">
        <f t="shared" si="204"/>
        <v>0.395106164067747</v>
      </c>
      <c r="IA44" s="390">
        <f>HZ44*(VLOOKUP($HX$9,各项系数!$D$1:$F$143,2,0))</f>
        <v>4.34616780474522</v>
      </c>
      <c r="IB44" s="406">
        <f>各项系数!$F$76/4*($MW44^2-$MT44^2)*10^-2*(VLOOKUP($IB$9,各项系数!$D$1:$F$143,3,0))*10^-3*10^2*各项系数!$J$4</f>
        <v>0.396723621841907</v>
      </c>
      <c r="IC44" s="420">
        <v>1</v>
      </c>
      <c r="ID44" s="390">
        <f t="shared" si="205"/>
        <v>0.396723621841907</v>
      </c>
      <c r="IE44" s="390">
        <f>ID44*(VLOOKUP($IB$9,各项系数!$D$1:$F$143,2,0))</f>
        <v>4.36395984026098</v>
      </c>
      <c r="IF44" s="429"/>
      <c r="IG44" s="406">
        <f t="shared" si="148"/>
        <v>0.0447253030119992</v>
      </c>
      <c r="IH44" s="389">
        <v>1</v>
      </c>
      <c r="II44" s="390">
        <f t="shared" si="206"/>
        <v>0.0447253030119992</v>
      </c>
      <c r="IJ44" s="390">
        <f>II44*(VLOOKUP($IG$8,各项系数!$D$1:$F$143,2,0))</f>
        <v>1.11813257529998</v>
      </c>
      <c r="IK44" s="406">
        <f>(各项系数!$F$76/4*($MX44^2-$MK44^2)*$EG44)*10^-2*(VLOOKUP($IG$8,各项系数!$D$1:$F$143,3,0))*10^-3*10^2*各项系数!$J$4</f>
        <v>0.0447253030119992</v>
      </c>
      <c r="IL44" s="389">
        <f>IK44*(VLOOKUP($IG$8,各项系数!$D$1:$F$143,2,0))</f>
        <v>1.11813257529998</v>
      </c>
      <c r="IM44" s="390">
        <f>(各项系数!$F$76/4*(($MM44+3*$X44)^2-MM44^2)*$EO44)*10^-2*(VLOOKUP($IG$8,各项系数!$D$1:$F$143,3,0))*10^-3*10^2*各项系数!$J$4</f>
        <v>0</v>
      </c>
      <c r="IN44" s="389">
        <f>IM44*(VLOOKUP($IG$8,各项系数!$D$1:$F$143,2,0))</f>
        <v>0</v>
      </c>
      <c r="IO44" s="406">
        <f>各项系数!$F$76/4*($MZ44^2-$MX44^2)*10^-2*(VLOOKUP(L44,各项系数!$D$1:$F$143,3,0))*10^-3*10^2*$ES44*各项系数!$J$4</f>
        <v>0.169427058101811</v>
      </c>
      <c r="IP44" s="389">
        <v>1</v>
      </c>
      <c r="IQ44" s="390">
        <f t="shared" si="207"/>
        <v>0.169427058101811</v>
      </c>
      <c r="IR44" s="367">
        <f>IQ44*(VLOOKUP(L44,各项系数!$D$1:$F$143,2,0))</f>
        <v>1.72815599263847</v>
      </c>
      <c r="IS44" s="406">
        <f>IF($L44&lt;&gt;$IS$9,0,各项系数!$F$76/4*($MZ44^2-$MX44^2)*10^-2*各项系数!$F$12*10^-3*10^2)*$ES44*各项系数!$J$4</f>
        <v>0</v>
      </c>
      <c r="IT44" s="389">
        <v>1</v>
      </c>
      <c r="IU44" s="390">
        <f t="shared" si="208"/>
        <v>0</v>
      </c>
      <c r="IV44" s="367">
        <f>IU44*各项系数!$E$12</f>
        <v>0</v>
      </c>
      <c r="IW44" s="388">
        <f t="shared" si="209"/>
        <v>0.169427058101811</v>
      </c>
      <c r="IX44" s="388">
        <f t="shared" si="210"/>
        <v>1.72815599263847</v>
      </c>
      <c r="IY44" s="447">
        <f>各项系数!$F$76/4*($NB44^2-$MZ44^2*$EG44-$NA44^2*$EO44)*10^-2</f>
        <v>5.6692790993566</v>
      </c>
      <c r="IZ44" s="366">
        <f t="shared" si="231"/>
        <v>0.05</v>
      </c>
      <c r="JA44" s="367">
        <f t="shared" si="64"/>
        <v>0.28346395496783</v>
      </c>
      <c r="JB44" s="364">
        <f>IF($DE44&lt;&gt;$JB$9,0,$JA44*各项系数!$F$32*10^-3*10^2)*各项系数!$J$4</f>
        <v>0</v>
      </c>
      <c r="JC44" s="123">
        <v>1</v>
      </c>
      <c r="JD44" s="251">
        <f t="shared" si="211"/>
        <v>0</v>
      </c>
      <c r="JE44" s="339">
        <f>JD44*各项系数!$E$32</f>
        <v>0</v>
      </c>
      <c r="JF44" s="364">
        <f>IF($DE44&lt;&gt;$JF$9,0,$JA44*VLOOKUP($JF$9,各项系数!$D$4:$F$540,2,0)*10^-3*10^2)*各项系数!$J$4</f>
        <v>0.141023317596495</v>
      </c>
      <c r="JG44" s="123">
        <v>1</v>
      </c>
      <c r="JH44" s="251">
        <f t="shared" si="66"/>
        <v>0.141023317596495</v>
      </c>
      <c r="JI44" s="339">
        <f>JH44*VLOOKUP($JF$9,各项系数!$D$4:$F$540,3,0)</f>
        <v>0.169227981115794</v>
      </c>
      <c r="JJ44" s="364">
        <f t="shared" si="212"/>
        <v>0.141023317596495</v>
      </c>
      <c r="JK44" s="251">
        <f t="shared" si="213"/>
        <v>0.169227981115794</v>
      </c>
      <c r="JL44" s="364">
        <f>IF($DF44&lt;&gt;$JL$9,0,各项系数!$F$76/4*($NE44^2-$NC44^2)*10^-2*各项系数!$F$39*10^-3*10^2)*各项系数!$J$4</f>
        <v>0.0026713928486677</v>
      </c>
      <c r="JM44" s="123">
        <v>1</v>
      </c>
      <c r="JN44" s="251">
        <f t="shared" si="214"/>
        <v>0.0026713928486677</v>
      </c>
      <c r="JO44" s="339">
        <f>JN44*各项系数!$E$39</f>
        <v>0.053427856973354</v>
      </c>
      <c r="JP44" s="364">
        <f>IF($DF44&lt;&gt;$JP$9,0,各项系数!$F$76/4*($NE44^2-$NC44^2)*10^-2*各项系数!$F$36*10^-3*10^2)*各项系数!$J$4</f>
        <v>0</v>
      </c>
      <c r="JQ44" s="123">
        <v>1</v>
      </c>
      <c r="JR44" s="251">
        <f t="shared" si="215"/>
        <v>0</v>
      </c>
      <c r="JS44" s="339">
        <f>JR44*各项系数!$E$36</f>
        <v>0</v>
      </c>
      <c r="JT44" s="364">
        <f>IF($DF44&lt;&gt;$JT$9,0,各项系数!$F$76/4*($NE44^2-$NC44^2)*10^-2*各项系数!$F$40*10^-3*10^2)*各项系数!$J$4</f>
        <v>0</v>
      </c>
      <c r="JU44" s="123">
        <v>1</v>
      </c>
      <c r="JV44" s="251">
        <f t="shared" si="216"/>
        <v>0</v>
      </c>
      <c r="JW44" s="339">
        <f>JV44*各项系数!$E$40</f>
        <v>0</v>
      </c>
      <c r="JX44" s="364">
        <f>IF($DF44&lt;&gt;$JX$9,0,各项系数!$F$76/4*($NE44^2-$NC44^2)*10^-2*各项系数!$F$38*10^-3*10^2)*各项系数!$J$4</f>
        <v>0</v>
      </c>
      <c r="JY44" s="123">
        <v>1</v>
      </c>
      <c r="JZ44" s="251">
        <f t="shared" si="217"/>
        <v>0</v>
      </c>
      <c r="KA44" s="339">
        <f>JZ44*各项系数!$E$38</f>
        <v>0</v>
      </c>
      <c r="KB44" s="364">
        <f>IF($DF44&lt;&gt;$KB$9,0,各项系数!$F$76/4*($NE44^2-$NC44^2)*10^-2*各项系数!$F$41*10^-3*10^2)*各项系数!$J$4</f>
        <v>0</v>
      </c>
      <c r="KC44" s="123">
        <v>1</v>
      </c>
      <c r="KD44" s="251">
        <f t="shared" si="218"/>
        <v>0</v>
      </c>
      <c r="KE44" s="339">
        <f>KD44*各项系数!$E$41</f>
        <v>0</v>
      </c>
      <c r="KF44" s="251">
        <f t="shared" si="219"/>
        <v>0.0026713928486677</v>
      </c>
      <c r="KG44" s="251">
        <f t="shared" si="220"/>
        <v>0.053427856973354</v>
      </c>
      <c r="KH44" s="302">
        <f>各项系数!$F$76/4*($NG44^2-$NE44^2)*10^-2*各项系数!$F$44*10^-3*10^2*各项系数!$J$4*0.75*$U44</f>
        <v>1.06961991964286</v>
      </c>
      <c r="KI44" s="123">
        <v>1</v>
      </c>
      <c r="KJ44" s="251">
        <f t="shared" si="221"/>
        <v>1.06961991964286</v>
      </c>
      <c r="KK44" s="251">
        <f>ROUND(KJ44*各项系数!$E$43,GT44)</f>
        <v>6</v>
      </c>
      <c r="KL44" s="302">
        <f>各项系数!$F$76/4*($NF44^2-$NE44^2)*10^-2*各项系数!$F$46*10^-3*10^2*各项系数!$J$4*PI()/4*R44</f>
        <v>0.0533943866746221</v>
      </c>
      <c r="KM44" s="123">
        <v>1</v>
      </c>
      <c r="KN44" s="251">
        <f t="shared" si="222"/>
        <v>0.0533943866746221</v>
      </c>
      <c r="KO44" s="251">
        <f>KN44*各项系数!$E$46</f>
        <v>3.60412110053699</v>
      </c>
      <c r="KP44" s="302">
        <f>各项系数!$F$76/4*($NH44^2-$NE44^2)*10^-2*(VLOOKUP($KP$9,各项系数!$D$1:$F$143,3,0))*10^-3*10^2*各项系数!$J$4</f>
        <v>0.402306184427435</v>
      </c>
      <c r="KQ44" s="123">
        <v>1</v>
      </c>
      <c r="KR44" s="251">
        <f t="shared" si="150"/>
        <v>0.402306184427435</v>
      </c>
      <c r="KS44" s="251">
        <f>KR44*(VLOOKUP($KP$9,各项系数!$D$1:$F$143,2,0))</f>
        <v>6.83920513526639</v>
      </c>
      <c r="KT44" s="302">
        <f>各项系数!$F$76/4*($NI44^2-$NF44^2)*10^-2*(VLOOKUP($KT$9,各项系数!$D$1:$F$143,3,0))*10^-3*10^2*各项系数!$J$4</f>
        <v>0.403901635973375</v>
      </c>
      <c r="KU44" s="123">
        <v>1</v>
      </c>
      <c r="KV44" s="251">
        <f t="shared" si="151"/>
        <v>0.403901635973375</v>
      </c>
      <c r="KW44" s="251">
        <f>KV44*(VLOOKUP($KT$9,各项系数!$D$1:$F$143,2,0))</f>
        <v>6.86632781154737</v>
      </c>
      <c r="KX44" s="251">
        <f>各项系数!$F$76/4*($NH44^2-$NE44^2)*10^-2*(VLOOKUP($KX$9,各项系数!$D$1:$F$143,3,0))*10^-3*10^2*各项系数!$J$4</f>
        <v>0.402306184427435</v>
      </c>
      <c r="KY44" s="479">
        <v>1</v>
      </c>
      <c r="KZ44" s="251">
        <f t="shared" si="152"/>
        <v>0.402306184427435</v>
      </c>
      <c r="LA44" s="251">
        <f>KZ44*(VLOOKUP($KX$9,各项系数!$D$1:$F$143,2,0))</f>
        <v>6.83920513526639</v>
      </c>
      <c r="LB44" s="251">
        <f>各项系数!$F$76/4*($NI44^2-$NF44^2)*10^-2*(VLOOKUP($LB$9,各项系数!$D$1:$F$143,3,0))*10^-3*10^2*各项系数!$J$4</f>
        <v>0.403901635973375</v>
      </c>
      <c r="LC44" s="479">
        <v>1</v>
      </c>
      <c r="LD44" s="251">
        <f t="shared" si="153"/>
        <v>0.403901635973375</v>
      </c>
      <c r="LE44" s="251">
        <f>LD44*(VLOOKUP($LB$9,各项系数!$D$1:$F$143,2,0))</f>
        <v>6.86632781154737</v>
      </c>
      <c r="LF44" s="302">
        <f>各项系数!$F$76/4*($NH44^2-$NE44^2)*10^-2*(VLOOKUP(AN44,各项系数!$D$1:$F$143,3,0))*10^-3*10^2*各项系数!$J$4</f>
        <v>0.407855235247123</v>
      </c>
      <c r="LG44" s="123">
        <v>1</v>
      </c>
      <c r="LH44" s="251">
        <f t="shared" si="223"/>
        <v>0.407855235247123</v>
      </c>
      <c r="LI44" s="251">
        <f>LH44*(VLOOKUP(AN44,各项系数!$D$1:$F$143,2,0))</f>
        <v>4.07855235247123</v>
      </c>
      <c r="LJ44" s="302">
        <f>各项系数!$F$76/4*($NI44^2-$NF44^2)*10^-2*(VLOOKUP(AN44,各项系数!$D$1:$F$143,3,0))*10^-3*10^2*各项系数!$J$4</f>
        <v>0.409472693021283</v>
      </c>
      <c r="LK44" s="123">
        <v>1</v>
      </c>
      <c r="LL44" s="251">
        <f t="shared" si="224"/>
        <v>0.409472693021283</v>
      </c>
      <c r="LM44" s="251">
        <f>LL44*(VLOOKUP(AN44,各项系数!$D$1:$F$143,2,0))</f>
        <v>4.09472693021283</v>
      </c>
      <c r="LN44" s="251">
        <f>各项系数!$F$76/4*($NH44^2-$NE44^2)*10^-2*(VLOOKUP($LN$9,各项系数!$D$1:$F$143,3,0))*10^-3*10^2*各项系数!$J$4</f>
        <v>0.407855235247123</v>
      </c>
      <c r="LO44" s="479">
        <v>1</v>
      </c>
      <c r="LP44" s="251">
        <f t="shared" si="225"/>
        <v>0.407855235247123</v>
      </c>
      <c r="LQ44" s="251">
        <f>LP44*(VLOOKUP($LN$9,各项系数!$D$1:$F$143,2,0))</f>
        <v>4.48640758771836</v>
      </c>
      <c r="LR44" s="251">
        <f>各项系数!$F$76/4*($NI44^2-$NF44^2)*10^-2*(VLOOKUP($LR$9,各项系数!$D$1:$F$143,3,0))*10^-3*10^2*各项系数!$J$4</f>
        <v>0.409472693021283</v>
      </c>
      <c r="LS44" s="479">
        <v>1</v>
      </c>
      <c r="LT44" s="251">
        <f t="shared" si="226"/>
        <v>0.409472693021283</v>
      </c>
      <c r="LU44" s="251">
        <f>LT44*(VLOOKUP($LR$9,各项系数!$D$1:$F$143,2,0))</f>
        <v>4.50419962323412</v>
      </c>
      <c r="LV44" s="499">
        <f t="shared" si="154"/>
        <v>382.16261652</v>
      </c>
      <c r="LW44" s="499">
        <f t="shared" si="155"/>
        <v>279.03160504</v>
      </c>
      <c r="LX44" s="499">
        <f t="shared" si="156"/>
        <v>18.8487154407894</v>
      </c>
      <c r="LY44" s="515">
        <f t="shared" si="157"/>
        <v>103.13101148</v>
      </c>
      <c r="LZ44" s="516">
        <f t="shared" si="86"/>
        <v>1</v>
      </c>
      <c r="MA44" s="517">
        <f t="shared" si="87"/>
        <v>382.16261652</v>
      </c>
      <c r="MB44" s="517">
        <f t="shared" si="158"/>
        <v>15.59782927</v>
      </c>
      <c r="MC44" s="499">
        <f t="shared" si="159"/>
        <v>0</v>
      </c>
      <c r="MD44" s="499">
        <f t="shared" si="160"/>
        <v>0</v>
      </c>
      <c r="ME44" s="499">
        <f t="shared" si="161"/>
        <v>0</v>
      </c>
      <c r="MF44" s="499">
        <f t="shared" si="162"/>
        <v>0</v>
      </c>
      <c r="MG44" s="516">
        <f t="shared" si="163"/>
        <v>1</v>
      </c>
      <c r="MH44" s="517">
        <f t="shared" si="88"/>
        <v>0</v>
      </c>
      <c r="MI44" s="517">
        <f t="shared" si="164"/>
        <v>0</v>
      </c>
      <c r="MJ44" s="251">
        <f t="shared" si="89"/>
        <v>15.59782927</v>
      </c>
      <c r="MK44" s="251">
        <f t="shared" si="165"/>
        <v>15.59782927</v>
      </c>
      <c r="ML44" s="251">
        <f t="shared" si="227"/>
        <v>0</v>
      </c>
      <c r="MM44" s="251">
        <f t="shared" si="91"/>
        <v>0</v>
      </c>
      <c r="MN44" s="251">
        <f t="shared" si="92"/>
        <v>18.39782927</v>
      </c>
      <c r="MO44" s="251">
        <f t="shared" si="166"/>
        <v>0</v>
      </c>
      <c r="MP44" s="251">
        <f t="shared" si="167"/>
        <v>36.79565854</v>
      </c>
      <c r="MQ44" s="251">
        <f t="shared" si="228"/>
        <v>36.79565854</v>
      </c>
      <c r="MR44" s="314">
        <f t="shared" si="168"/>
        <v>36.70816483</v>
      </c>
      <c r="MS44" s="530">
        <f t="shared" si="94"/>
        <v>36.88416483</v>
      </c>
      <c r="MT44" s="530">
        <f t="shared" si="95"/>
        <v>37.04416483</v>
      </c>
      <c r="MU44" s="530">
        <f t="shared" si="232"/>
        <v>38.38416483</v>
      </c>
      <c r="MV44" s="530">
        <f t="shared" si="97"/>
        <v>41.28416483</v>
      </c>
      <c r="MW44" s="530">
        <f t="shared" si="98"/>
        <v>41.44416483</v>
      </c>
      <c r="MX44" s="326">
        <f t="shared" si="233"/>
        <v>16.19782927</v>
      </c>
      <c r="MY44" s="326">
        <f t="shared" si="100"/>
        <v>0</v>
      </c>
      <c r="MZ44" s="251">
        <f t="shared" si="101"/>
        <v>18.99782927</v>
      </c>
      <c r="NA44" s="251">
        <f t="shared" si="102"/>
        <v>0</v>
      </c>
      <c r="NB44" s="251">
        <f t="shared" si="169"/>
        <v>37.99565854</v>
      </c>
      <c r="NC44" s="326">
        <f t="shared" si="229"/>
        <v>37.99565854</v>
      </c>
      <c r="ND44" s="314">
        <f t="shared" si="234"/>
        <v>37.90531144</v>
      </c>
      <c r="NE44" s="537">
        <f t="shared" si="235"/>
        <v>38.14531144</v>
      </c>
      <c r="NF44" s="530">
        <f t="shared" si="106"/>
        <v>38.30531144</v>
      </c>
      <c r="NG44" s="538">
        <f t="shared" si="236"/>
        <v>39.64531144</v>
      </c>
      <c r="NH44" s="326">
        <f t="shared" si="108"/>
        <v>42.54531144</v>
      </c>
      <c r="NI44" s="530">
        <f t="shared" si="109"/>
        <v>42.70531144</v>
      </c>
      <c r="NK44" s="539">
        <f t="shared" si="110"/>
        <v>3.10075403375807</v>
      </c>
      <c r="NL44" s="539">
        <f t="shared" si="111"/>
        <v>169.87191234368</v>
      </c>
      <c r="NM44" s="539">
        <f t="shared" si="112"/>
        <v>3.10075403375807</v>
      </c>
      <c r="NN44" s="539">
        <f t="shared" si="113"/>
        <v>170.267018507748</v>
      </c>
      <c r="NO44" s="539">
        <f t="shared" si="114"/>
        <v>3.27091314571081</v>
      </c>
      <c r="NP44" s="539">
        <f t="shared" si="115"/>
        <v>171.238806706758</v>
      </c>
      <c r="NQ44" s="539">
        <f t="shared" si="116"/>
        <v>3.27091314571081</v>
      </c>
      <c r="NR44" s="539">
        <f t="shared" si="117"/>
        <v>171.646661942005</v>
      </c>
      <c r="NS44" s="539">
        <f t="shared" si="118"/>
        <v>3.15238680889282</v>
      </c>
      <c r="NT44" s="539">
        <f t="shared" si="119"/>
        <v>3.15238680889282</v>
      </c>
      <c r="NU44" s="539">
        <f t="shared" si="120"/>
        <v>3.32430753238543</v>
      </c>
      <c r="NV44" s="539">
        <f t="shared" si="121"/>
        <v>3.32430753238543</v>
      </c>
      <c r="NW44">
        <f t="shared" si="122"/>
        <v>3.7907129837528</v>
      </c>
      <c r="NX44">
        <f>各项系数!$M$9*NK44</f>
        <v>0.930226210127421</v>
      </c>
      <c r="NY44">
        <f t="shared" si="123"/>
        <v>3.15238680889282</v>
      </c>
    </row>
    <row r="45" customHeight="1" spans="1:389">
      <c r="A45" s="91" t="s">
        <v>915</v>
      </c>
      <c r="B45" s="86">
        <v>1</v>
      </c>
      <c r="C45" s="83"/>
      <c r="D45" s="69" t="s">
        <v>321</v>
      </c>
      <c r="E45" s="70">
        <f t="shared" si="240"/>
        <v>45.59292141</v>
      </c>
      <c r="F45" s="84">
        <f>$F$29</f>
        <v>245.09808262108</v>
      </c>
      <c r="G45" s="74"/>
      <c r="H45" s="23"/>
      <c r="I45" s="78"/>
      <c r="J45" s="23"/>
      <c r="K45" s="23"/>
      <c r="L45" s="118" t="s">
        <v>467</v>
      </c>
      <c r="M45" s="124">
        <f t="shared" si="2"/>
        <v>1.6</v>
      </c>
      <c r="N45" s="124">
        <f t="shared" si="252"/>
        <v>0</v>
      </c>
      <c r="O45" s="69">
        <f t="shared" si="251"/>
        <v>0.08</v>
      </c>
      <c r="P45" s="120">
        <v>0.1</v>
      </c>
      <c r="Q45" s="162">
        <f t="shared" si="253"/>
        <v>0.1</v>
      </c>
      <c r="R45" s="86">
        <v>0.8</v>
      </c>
      <c r="S45" s="171" t="str">
        <f>各项系数!$D$43</f>
        <v>钢带</v>
      </c>
      <c r="T45" s="69">
        <v>0.5</v>
      </c>
      <c r="U45" s="123">
        <v>2</v>
      </c>
      <c r="V45" s="169"/>
      <c r="W45" s="170">
        <v>2.4</v>
      </c>
      <c r="X45" s="164">
        <f t="shared" si="254"/>
        <v>0.2</v>
      </c>
      <c r="Y45" s="219"/>
      <c r="Z45" s="220"/>
      <c r="AA45" s="217">
        <f>$AA$29</f>
        <v>1.015</v>
      </c>
      <c r="AB45" s="186">
        <f>PI()*EJ45*EJ45/4*EH45*(1-H45)*AA45*各项系数!$F$5*各项系数!$J$4*10^-7</f>
        <v>1.56733675087884</v>
      </c>
      <c r="AC45" s="186">
        <f t="shared" si="241"/>
        <v>245.09808262108</v>
      </c>
      <c r="AD45" s="186">
        <f t="shared" si="5"/>
        <v>177.189293020653</v>
      </c>
      <c r="AE45" s="186">
        <f>POWER(4*EU45/PI()/EG45/10^-7/EH45/(1-H45)/各项系数!$F$5/各项系数!$J$4,0.5)</f>
        <v>246.929476077883</v>
      </c>
      <c r="AF45" s="218">
        <v>1</v>
      </c>
      <c r="AG45" s="85">
        <f>IF(EM45=0,0,PI()*ER45*ER45/4*EP45*(1-K45)*(1+AF45)*各项系数!$F$5*各项系数!$J$4*10^-7)</f>
        <v>0</v>
      </c>
      <c r="AH45" s="85">
        <f t="shared" si="242"/>
        <v>0</v>
      </c>
      <c r="AI45" s="85">
        <f t="shared" si="128"/>
        <v>0</v>
      </c>
      <c r="AJ45" s="85">
        <f>IF(OR(EP45="",EP45=0),0,POWER(4*EW45/PI()/EO45/10^-7/EP45/(1-K45)/各项系数!$F$5/各项系数!$J$4,0.5))</f>
        <v>0</v>
      </c>
      <c r="AK45" s="85" t="str">
        <f t="shared" si="8"/>
        <v>√</v>
      </c>
      <c r="AL45" s="85">
        <f t="shared" si="243"/>
        <v>218.870817002848</v>
      </c>
      <c r="AM45" s="250">
        <f t="shared" si="244"/>
        <v>185</v>
      </c>
      <c r="AN45" s="118" t="s">
        <v>486</v>
      </c>
      <c r="AO45" s="259">
        <f>AP45+各项系数!$M$9*$NK45</f>
        <v>214.579232355733</v>
      </c>
      <c r="AP45" s="259">
        <f>AQ45*(1+$BI45+(VLOOKUP($AM45,$A$12:$B$323,2,0))+各项系数!$J$6+各项系数!$M$5)*(1+$E$2)</f>
        <v>213.420857669357</v>
      </c>
      <c r="AQ45" s="260">
        <f>AR45+各项系数!$L$9*$NK45</f>
        <v>217.776385376894</v>
      </c>
      <c r="AR45" s="260">
        <f>AS45*(1+$BJ45+各项系数!$J$5+各项系数!$L$5)</f>
        <v>216.618010690518</v>
      </c>
      <c r="AS45" s="260">
        <f t="shared" si="129"/>
        <v>212.370598716194</v>
      </c>
      <c r="AT45" s="259">
        <f>AU45+各项系数!$M$9*$NM45</f>
        <v>217.802126953392</v>
      </c>
      <c r="AU45" s="259">
        <f>AV45*(1+$BI45+(VLOOKUP($AM45,$A$12:$B$323,2,0))+各项系数!$J$6+各项系数!$M$5)*(1+$E$2)</f>
        <v>216.643752267015</v>
      </c>
      <c r="AV45" s="260">
        <f>AW45+各项系数!$L$9*$NM45</f>
        <v>221.065053333689</v>
      </c>
      <c r="AW45" s="260">
        <f>AX45*(1+$BJ45+各项系数!$J$5+各项系数!$L$5)</f>
        <v>219.906678647313</v>
      </c>
      <c r="AX45" s="260">
        <f t="shared" si="130"/>
        <v>215.594782987561</v>
      </c>
      <c r="AY45" s="259">
        <f>AZ45+各项系数!$M$9*$NS45</f>
        <v>218.482996132072</v>
      </c>
      <c r="AZ45" s="259">
        <f>BA45*(1+$BI45+(VLOOKUP($AM45,$A$12:$B$214,2,0))+各项系数!$J$6+各项系数!$M$5)*(1+$E$2)</f>
        <v>217.307493648788</v>
      </c>
      <c r="BA45" s="260">
        <f>BB45+各项系数!$L$9*$NS45</f>
        <v>221.742340457947</v>
      </c>
      <c r="BB45" s="260">
        <f>BC45*(1+$BJ45+各项系数!$J$5+各项系数!$L$5)</f>
        <v>220.566837974662</v>
      </c>
      <c r="BC45" s="262">
        <f t="shared" si="131"/>
        <v>216.241998014375</v>
      </c>
      <c r="BD45" s="259">
        <f>BE45+各项系数!$M$9*$NS45</f>
        <v>221.717829332603</v>
      </c>
      <c r="BE45" s="259">
        <f>BF45*(1+$BI45+(VLOOKUP($AM45,$A$12:$B$214,2,0))+各项系数!$J$6+各项系数!$M$5)*(1+$E$2)</f>
        <v>220.542326849319</v>
      </c>
      <c r="BF45" s="260">
        <f>BG45+各项系数!$L$9*$NS45</f>
        <v>225.04319066257</v>
      </c>
      <c r="BG45" s="260">
        <f>BH45*(1+$BJ45+各项系数!$J$5+各项系数!$L$5)</f>
        <v>223.867688179286</v>
      </c>
      <c r="BH45" s="262">
        <f t="shared" si="132"/>
        <v>219.478125665967</v>
      </c>
      <c r="BI45" s="277"/>
      <c r="BJ45" s="272"/>
      <c r="BK45" s="69" t="s">
        <v>514</v>
      </c>
      <c r="BL45" s="259">
        <f>BM45+各项系数!$M$9*$NM45</f>
        <v>217.141278560556</v>
      </c>
      <c r="BM45" s="259">
        <f>BN45*(1+$CF45+(VLOOKUP($AM45,$A$12:$B$323,2,0))+各项系数!$J$6+各项系数!$M$5)*(1+$E$2)</f>
        <v>215.982903874179</v>
      </c>
      <c r="BN45" s="260">
        <f>BO45+各项系数!$L$9*$NM45</f>
        <v>220.390718238959</v>
      </c>
      <c r="BO45" s="260">
        <f>BP45*(1+$CG45+各项系数!$J$5+各项系数!$L$5)</f>
        <v>219.232343552582</v>
      </c>
      <c r="BP45" s="260">
        <f t="shared" si="133"/>
        <v>212.846935487944</v>
      </c>
      <c r="BQ45" s="259">
        <f>BR45+各项系数!$M$9*$NM45</f>
        <v>219.91495582667</v>
      </c>
      <c r="BR45" s="259">
        <f>BS45*(1+$CF45+(VLOOKUP($AM45,$A$12:$B$323,2,0))+各项系数!$J$6+各项系数!$M$5)*(1+$E$2)</f>
        <v>218.756581140293</v>
      </c>
      <c r="BS45" s="260">
        <f>BT45+各项系数!$L$9*$NM45</f>
        <v>223.221001163565</v>
      </c>
      <c r="BT45" s="260">
        <f>BU45*(1+$CG45+各项系数!$J$5+各项系数!$L$5)</f>
        <v>222.062626477188</v>
      </c>
      <c r="BU45" s="260">
        <f t="shared" si="134"/>
        <v>215.594782987561</v>
      </c>
      <c r="BV45" s="259">
        <f>BW45+各项系数!$M$9*$NT45</f>
        <v>219.940868837175</v>
      </c>
      <c r="BW45" s="259">
        <f>BX45*(1+$CF45+(VLOOKUP($AM45,$A$12:$B$214,2,0))+各项系数!$J$6+各项系数!$M$5)*(1+$E$2)</f>
        <v>218.76536635389</v>
      </c>
      <c r="BX45" s="260">
        <f>BY45+各项系数!$L$9*$NT$12</f>
        <v>223.229965667235</v>
      </c>
      <c r="BY45" s="260">
        <f>BZ45*(1+$CG45+各项系数!$J$5+各项系数!$L$5)</f>
        <v>223.22170226408</v>
      </c>
      <c r="BZ45" s="262">
        <f t="shared" si="11"/>
        <v>216.720099285515</v>
      </c>
      <c r="CA45" s="259">
        <f>CB45+各项系数!$M$9*$NT45</f>
        <v>222.724820665603</v>
      </c>
      <c r="CB45" s="259">
        <f>CC45*(1+$CF45+(VLOOKUP($AM45,$A$12:$B$214,2,0))+各项系数!$J$6+各项系数!$M$5)*(1+$E$2)</f>
        <v>221.549318182319</v>
      </c>
      <c r="CC45" s="260">
        <f>CD45+各项系数!$L$9*$NT$12</f>
        <v>226.070732839101</v>
      </c>
      <c r="CD45" s="260">
        <f>CE45*(1+$CG45+各项系数!$J$5+各项系数!$L$5)</f>
        <v>226.062469435946</v>
      </c>
      <c r="CE45" s="262">
        <f t="shared" si="135"/>
        <v>219.478125665967</v>
      </c>
      <c r="CF45" s="277">
        <f t="shared" si="136"/>
        <v>0</v>
      </c>
      <c r="CG45" s="277">
        <f t="shared" si="12"/>
        <v>0.01</v>
      </c>
      <c r="CH45" s="123"/>
      <c r="CI45" s="259">
        <f>CJ45+各项系数!$M$9*$NO45</f>
        <v>217.370265613321</v>
      </c>
      <c r="CJ45" s="259">
        <f>CK45*(1+$DC45+(VLOOKUP($AM45,$A$12:$B$323,2,0))+各项系数!$J$6+各项系数!$M$5)*(1+$E$2)+各项系数!$M$9*$NK45</f>
        <v>216.151850012934</v>
      </c>
      <c r="CK45" s="260">
        <f>CL45+各项系数!$L$9*$NO45</f>
        <v>219.381097271998</v>
      </c>
      <c r="CL45" s="260">
        <f>CM45*(1+$DD45+各项系数!$J$5+各项系数!$L$5)</f>
        <v>218.162681671612</v>
      </c>
      <c r="CM45" s="260">
        <f t="shared" si="13"/>
        <v>213.884982030992</v>
      </c>
      <c r="CN45" s="259">
        <f>CO45+各项系数!$M$9*$NO45</f>
        <v>220.454135066788</v>
      </c>
      <c r="CO45" s="259">
        <f>CP45*(1+$DC45+(VLOOKUP($AM45,$A$12:$B$323,2,0))+各项系数!$J$6+各项系数!$M$5)*(1+$E$2)+各项系数!$M$9*$NK45</f>
        <v>219.235719466401</v>
      </c>
      <c r="CP45" s="260">
        <f>CQ45+各项系数!$L$9*$NO45</f>
        <v>222.52790283676</v>
      </c>
      <c r="CQ45" s="260">
        <f>CR45*(1+$DD45+各项系数!$J$5+各项系数!$L$5)</f>
        <v>221.309487236374</v>
      </c>
      <c r="CR45" s="260">
        <f t="shared" si="14"/>
        <v>216.970085525857</v>
      </c>
      <c r="CS45" s="259">
        <f>CT45+各项系数!$M$9*$NU45</f>
        <v>220.235562315968</v>
      </c>
      <c r="CT45" s="259">
        <f t="shared" si="15"/>
        <v>218.999490435211</v>
      </c>
      <c r="CU45" s="260">
        <f>CV45+各项系数!$L$9*$NU45</f>
        <v>223.468867791032</v>
      </c>
      <c r="CV45" s="260">
        <f>CW45*(1+$DD45+各项系数!$J$5+各项系数!$L$5)</f>
        <v>222.232795910276</v>
      </c>
      <c r="CW45" s="262">
        <f t="shared" si="16"/>
        <v>217.875290108113</v>
      </c>
      <c r="CX45" s="259">
        <f>CY45+各项系数!$M$9*$NU45</f>
        <v>223.564497569881</v>
      </c>
      <c r="CY45" s="259">
        <f t="shared" si="17"/>
        <v>222.328425689124</v>
      </c>
      <c r="CZ45" s="260">
        <f>DA45+各项系数!$L$9*$NU45</f>
        <v>226.865740499106</v>
      </c>
      <c r="DA45" s="260">
        <f>DB45*(1+$DD45+各项系数!$J$5+各项系数!$L$5)</f>
        <v>225.62966861835</v>
      </c>
      <c r="DB45" s="262">
        <f t="shared" si="18"/>
        <v>221.20555746897</v>
      </c>
      <c r="DC45" s="277">
        <f t="shared" si="137"/>
        <v>0</v>
      </c>
      <c r="DD45" s="277">
        <f t="shared" si="19"/>
        <v>0</v>
      </c>
      <c r="DE45" s="69" t="s">
        <v>498</v>
      </c>
      <c r="DF45" s="69" t="s">
        <v>513</v>
      </c>
      <c r="DG45" s="259">
        <f>DH45+各项系数!$M$9*$NQ45</f>
        <v>219.961191588209</v>
      </c>
      <c r="DH45" s="259">
        <f>DI45*(1+$EA45+(VLOOKUP($AM45,$A$12:$B$323,2,0))+各项系数!$J$6+各项系数!$M$5)*(1+$E$2)+各项系数!$M$9*$NK45</f>
        <v>218.742775987823</v>
      </c>
      <c r="DI45" s="260">
        <f>DJ45+各项系数!$L$9*$NQ45</f>
        <v>222.02489928719</v>
      </c>
      <c r="DJ45" s="260">
        <f>DK45*(1+$EB45+各项系数!$J$5+各项系数!$L$5)</f>
        <v>220.806483686803</v>
      </c>
      <c r="DK45" s="260">
        <f t="shared" si="20"/>
        <v>214.375226880392</v>
      </c>
      <c r="DL45" s="259">
        <f>DM45+各项系数!$M$9*$NQ45</f>
        <v>222.815854663275</v>
      </c>
      <c r="DM45" s="259">
        <f>DN45*(1+$EA45+(VLOOKUP($AM45,$A$12:$B$323,2,0))+各项系数!$J$6+各项系数!$M$5)*(1+$E$2)+各项系数!$M$9*$NK45</f>
        <v>221.597439062888</v>
      </c>
      <c r="DN45" s="260">
        <f>DO45+各项系数!$L$9*$NQ45</f>
        <v>224.937820792359</v>
      </c>
      <c r="DO45" s="260">
        <f>DP45*(1+$EB45+各项系数!$J$5+各项系数!$L$5)</f>
        <v>223.719405191973</v>
      </c>
      <c r="DP45" s="260">
        <f t="shared" si="21"/>
        <v>217.203306011624</v>
      </c>
      <c r="DQ45" s="259">
        <f>DR45+各项系数!$M$9*$NV45</f>
        <v>222.867374395696</v>
      </c>
      <c r="DR45" s="259">
        <f t="shared" si="22"/>
        <v>221.63130251494</v>
      </c>
      <c r="DS45" s="260">
        <f>DT45+各项系数!$L$9*$NV45</f>
        <v>226.154390321367</v>
      </c>
      <c r="DT45" s="260">
        <f>DU45*(1+$EB45+各项系数!$J$5+各项系数!$L$5)</f>
        <v>224.91831844061</v>
      </c>
      <c r="DU45" s="262">
        <f t="shared" si="23"/>
        <v>218.367299456903</v>
      </c>
      <c r="DV45" s="259">
        <f>DW45+各项系数!$M$9*$NV45</f>
        <v>223.53943576041</v>
      </c>
      <c r="DW45" s="259">
        <f t="shared" si="24"/>
        <v>222.303363879653</v>
      </c>
      <c r="DX45" s="260">
        <f>DY45+各项系数!$L$9*$NV45</f>
        <v>226.840167224136</v>
      </c>
      <c r="DY45" s="260">
        <f>DZ45*(1+$EB45+各项系数!$J$5+各项系数!$L$5)</f>
        <v>225.60409534338</v>
      </c>
      <c r="DZ45" s="262">
        <f t="shared" si="25"/>
        <v>219.033102275126</v>
      </c>
      <c r="EA45" s="277">
        <f t="shared" si="230"/>
        <v>0</v>
      </c>
      <c r="EB45" s="277">
        <f t="shared" si="27"/>
        <v>0.01</v>
      </c>
      <c r="EC45" s="302">
        <f t="shared" si="138"/>
        <v>2</v>
      </c>
      <c r="ED45" s="302" t="str">
        <f t="shared" si="180"/>
        <v>2*185</v>
      </c>
      <c r="EE45" s="251">
        <f t="shared" si="239"/>
        <v>185</v>
      </c>
      <c r="EF45" s="251" t="str">
        <f>LOOKUP(EH45,{1,7,10,14,19,24,30,37,48,61},{1,"1+6","2+8","4+10","1+6+12","2+8+14","4+10+16","1+6+12+18","3+9+15+21","1+6+12+18+24"})</f>
        <v>1+6+12+18</v>
      </c>
      <c r="EG45" s="250">
        <f t="shared" si="29"/>
        <v>2</v>
      </c>
      <c r="EH45" s="260">
        <f>VLOOKUP(EE45,各项系数!$B$87:$C$124,2,0)</f>
        <v>37</v>
      </c>
      <c r="EI45" s="250">
        <f>IF(EH45=0,0,VLOOKUP(EH45,各项系数!$D$142:$E$195,2,0))*1</f>
        <v>7</v>
      </c>
      <c r="EJ45" s="305">
        <f t="shared" si="141"/>
        <v>245.09808262108</v>
      </c>
      <c r="EK45" s="251">
        <f t="shared" si="245"/>
        <v>0</v>
      </c>
      <c r="EL45" s="251">
        <f t="shared" si="31"/>
        <v>0</v>
      </c>
      <c r="EM45" s="251">
        <f t="shared" si="182"/>
        <v>0</v>
      </c>
      <c r="EN45" s="251">
        <f>IF(EP45=0,0,LOOKUP(EP45,{1,7,10,14,19,24,30,37,48,61},{1,"1+6","2+8","4+10","1+6+12","2+8+14","4+10+16","1+6+12+18","3+9+15+21","1+6+12+18+24"}))</f>
        <v>0</v>
      </c>
      <c r="EO45" s="251">
        <f t="shared" si="246"/>
        <v>0</v>
      </c>
      <c r="EP45" s="251">
        <f>IF(EM45=0,0,IF(EM45&lt;10,1,IF(AND(EM45&gt;=10,EM45&lt;=35),7,LOOKUP(EM45,{50,70,95,120,150,185,240,300},{10,14,19,24,30,37,48,61})*1)))</f>
        <v>0</v>
      </c>
      <c r="EQ45" s="251">
        <f>IF(EP45=0,0,VLOOKUP(EP45,各项系数!$D$142:$E$195,2,0))*1</f>
        <v>0</v>
      </c>
      <c r="ER45" s="251">
        <f t="shared" si="247"/>
        <v>0</v>
      </c>
      <c r="ES45" s="302">
        <f t="shared" si="250"/>
        <v>2</v>
      </c>
      <c r="ET45" s="251">
        <f>VLOOKUP(ES45,各项系数!$D$142:$E$195,2,0)*1</f>
        <v>2</v>
      </c>
      <c r="EU45" s="311">
        <f>((各项系数!$F$76/4*$EJ45^2*$EG45*$EH45*1*10^-7)*(1-$H45)*AA45)*(VLOOKUP($EY$9,各项系数!$D$4:$F$143,3,0))*各项系数!$J$4</f>
        <v>3.13467350175767</v>
      </c>
      <c r="EV45" s="312">
        <f>EU45*(VLOOKUP($EY$9,各项系数!$D$4:$F$143,2,0))</f>
        <v>205.321114365127</v>
      </c>
      <c r="EW45" s="324">
        <f>(IF($EO45=0,0,(各项系数!$F$76/4*$ER45^2*$EO45*$EP45*1*10^-7))*(1-$K45)*$AF45)*(VLOOKUP($EY$9,各项系数!$D$4:$F$143,3,0))*各项系数!$J$4</f>
        <v>0</v>
      </c>
      <c r="EX45" s="325">
        <f>EW45*(VLOOKUP($EY$9,各项系数!$D$4:$F$143,2,0))</f>
        <v>0</v>
      </c>
      <c r="EY45" s="251">
        <f>((各项系数!$F$76/4*$EJ45^2*$EG45*$EH45*1*10^-7)*(1-$H45)*AA45+IF($EO45=0,0,(各项系数!$F$76/4*$ER45^2*$EO45*$EP45*1*10^-7))*(1-$K45)*$AF45)*(VLOOKUP($EY$9,各项系数!$D$4:$F$143,3,0))*各项系数!$J$4</f>
        <v>3.13467350175767</v>
      </c>
      <c r="EZ45" s="123">
        <v>1</v>
      </c>
      <c r="FA45" s="251">
        <f t="shared" si="188"/>
        <v>3.13467350175767</v>
      </c>
      <c r="FB45" s="326">
        <f>FA45*(VLOOKUP($EY$9,各项系数!$D$4:$F$143,2,0))</f>
        <v>205.321114365127</v>
      </c>
      <c r="FC45" s="327"/>
      <c r="FD45" s="302">
        <f>各项系数!$F$76/4*($MN45^2-MK45^2)*10^-2*(VLOOKUP(L45,各项系数!$D$1:$F$143,3,0))*10^-3*10^2*$EG45*各项系数!$J$4</f>
        <v>0.206383934852129</v>
      </c>
      <c r="FE45" s="339">
        <f>FD45*VLOOKUP(L45,各项系数!$D$1:$F$143,2,0)</f>
        <v>2.10511613549171</v>
      </c>
      <c r="FF45" s="250">
        <f>各项系数!$F$76/4*($MO45^2-ML45^2)*10^-2*(VLOOKUP(L45,各项系数!$D$1:$F$143,3,0))*10^-3*10^2*$EO45*各项系数!$J$4</f>
        <v>0</v>
      </c>
      <c r="FG45" s="339">
        <f>FF45*VLOOKUP(L45,各项系数!$D$1:$F$143,2,0)</f>
        <v>0</v>
      </c>
      <c r="FH45" s="302">
        <f t="shared" si="142"/>
        <v>0.206383934852129</v>
      </c>
      <c r="FI45" s="123">
        <v>1</v>
      </c>
      <c r="FJ45" s="251">
        <f t="shared" si="189"/>
        <v>0.206383934852129</v>
      </c>
      <c r="FK45" s="339">
        <f>FJ45*VLOOKUP(L45,各项系数!$D$1:$F$143,2,0)</f>
        <v>2.10511613549171</v>
      </c>
      <c r="FL45" s="302"/>
      <c r="FM45" s="123"/>
      <c r="FN45" s="251"/>
      <c r="FO45" s="339"/>
      <c r="FP45" s="364">
        <f t="shared" si="190"/>
        <v>0.206383934852129</v>
      </c>
      <c r="FQ45" s="364">
        <f t="shared" si="191"/>
        <v>2.10511613549171</v>
      </c>
      <c r="FR45" s="365">
        <f>各项系数!$F$76/4*($MQ45^2-$MN45^2*$EG45-$MO45^2*$EO45)*10^-2</f>
        <v>6.50941116806961</v>
      </c>
      <c r="FS45" s="366">
        <f t="shared" si="143"/>
        <v>0.05</v>
      </c>
      <c r="FT45" s="367">
        <f t="shared" si="40"/>
        <v>0.32547055840348</v>
      </c>
      <c r="FU45" s="388">
        <f>$FT45*(VLOOKUP($FT$9,各项系数!$D$1:$F$143,3,0))*10^-3*10^2*各项系数!$J$55</f>
        <v>0.0388611846733756</v>
      </c>
      <c r="FV45" s="389">
        <v>1</v>
      </c>
      <c r="FW45" s="390">
        <f t="shared" si="192"/>
        <v>0.0388611846733756</v>
      </c>
      <c r="FX45" s="367">
        <f>FW45*(VLOOKUP($FT$9,各项系数!$D$1:$F$143,2,0))</f>
        <v>0.116583554020127</v>
      </c>
      <c r="FY45" s="388">
        <f>IF($BK45&lt;&gt;$FY$9,0,各项系数!$F$76/4*($MS45^2-$MQ45^2)*10^-2*(VLOOKUP($FY$9,各项系数!$D$1:$F$143,3,0))*10^-3*10^2)*各项系数!$J$4</f>
        <v>0</v>
      </c>
      <c r="FZ45" s="389">
        <v>1</v>
      </c>
      <c r="GA45" s="390">
        <f t="shared" si="193"/>
        <v>0</v>
      </c>
      <c r="GB45" s="367">
        <f>GA45*(VLOOKUP($FY$9,各项系数!$D$1:$F$143,2,0))</f>
        <v>0</v>
      </c>
      <c r="GC45" s="388">
        <f>IF($BK45&lt;&gt;$GC$9,0,各项系数!$F$76/4*($MS45^2-$MQ45^2)*10^-2*(VLOOKUP($GC$9,各项系数!$D$1:$F$143,3,0))*10^-3*10^2)*各项系数!$J$4</f>
        <v>0.00499356155487042</v>
      </c>
      <c r="GD45" s="389">
        <v>1</v>
      </c>
      <c r="GE45" s="390">
        <f t="shared" si="194"/>
        <v>0.00499356155487042</v>
      </c>
      <c r="GF45" s="367">
        <f>GE45*(VLOOKUP($GC$9,各项系数!$D$1:$F$143,2,0))</f>
        <v>0.0644169440578284</v>
      </c>
      <c r="GG45" s="388">
        <f>IF($BK45&lt;&gt;$GG$9,0,各项系数!$F$76/4*($MS45^2-$MQ45^2)*10^-2*(VLOOKUP($GG$9,各项系数!$D$1:$F$143,3,0))*10^-3*10^2)*各项系数!$J$4</f>
        <v>0</v>
      </c>
      <c r="GH45" s="389">
        <v>1</v>
      </c>
      <c r="GI45" s="390">
        <f t="shared" si="195"/>
        <v>0</v>
      </c>
      <c r="GJ45" s="367">
        <f>GI45*(VLOOKUP($GG$9,各项系数!$D$1:$F$143,2,0))</f>
        <v>0</v>
      </c>
      <c r="GK45" s="388">
        <f>IF($BK45&lt;&gt;$GK$9,0,各项系数!$F$76/4*($MS45^2-$MQ45^2)*10^-2*(VLOOKUP($GK$9,各项系数!$D$1:$F$143,3,0))*10^-3*10^2)*各项系数!$J$4</f>
        <v>0</v>
      </c>
      <c r="GL45" s="389">
        <v>1</v>
      </c>
      <c r="GM45" s="390">
        <f t="shared" si="196"/>
        <v>0</v>
      </c>
      <c r="GN45" s="367">
        <f>GM45*(VLOOKUP($GK$9,各项系数!$D$1:$F$143,2,0))</f>
        <v>0</v>
      </c>
      <c r="GO45" s="390">
        <f t="shared" si="197"/>
        <v>0.00499356155487042</v>
      </c>
      <c r="GP45" s="390">
        <f t="shared" si="198"/>
        <v>0.0644169440578284</v>
      </c>
      <c r="GQ45" s="406">
        <f>各项系数!$F$76/4*($MU45^2-$MS45^2)*10^-2*(VLOOKUP($S45,各项系数!$D$1:$F$143,3,0))*10^-3*10^2*各项系数!$J$4</f>
        <v>0.761619410586962</v>
      </c>
      <c r="GR45" s="389">
        <v>1</v>
      </c>
      <c r="GS45" s="390">
        <f t="shared" si="199"/>
        <v>0.761619410586962</v>
      </c>
      <c r="GT45" s="390">
        <f t="shared" si="200"/>
        <v>0</v>
      </c>
      <c r="GU45" s="390">
        <f>ROUND($GS45*(VLOOKUP($S45,各项系数!$D$1:$F$143,2,0))+$E$3*GS45,GT45)</f>
        <v>4</v>
      </c>
      <c r="GV45" s="406">
        <f>各项系数!$F$76/4*($MT45^2-$MS45^2)*10^-2*(VLOOKUP($GV$9,各项系数!$D$1:$F$143,3,0))*10^-3*10^2*各项系数!$J$4*PI()/4*R45</f>
        <v>0.0570926563597143</v>
      </c>
      <c r="GW45" s="389">
        <v>1</v>
      </c>
      <c r="GX45" s="390">
        <f t="shared" si="201"/>
        <v>0.0570926563597143</v>
      </c>
      <c r="GY45" s="390">
        <f>$GX45*(VLOOKUP($GV$9,各项系数!$D$1:$F$143,2,0))</f>
        <v>3.85375430428071</v>
      </c>
      <c r="GZ45" s="406">
        <f>各项系数!$F$76/4*($MV45^2-$MS45^2)*10^-2*(VLOOKUP($GZ$9,各项系数!$D$1:$F$143,3,0))*10^-3*10^2*各项系数!$J$4</f>
        <v>0.469855999344961</v>
      </c>
      <c r="HA45" s="389">
        <v>1</v>
      </c>
      <c r="HB45" s="390">
        <f t="shared" si="144"/>
        <v>0.469855999344961</v>
      </c>
      <c r="HC45" s="390">
        <f>HB45*(VLOOKUP($GZ$9,各项系数!$D$1:$F$143,2,0))</f>
        <v>7.98755198886434</v>
      </c>
      <c r="HD45" s="406">
        <f>各项系数!$F$76/4*($MW45^2-$MT45^2)*10^-2*(VLOOKUP($HD$9,各项系数!$D$1:$F$143,3,0))*10^-3*10^2*各项系数!$J$4</f>
        <v>0.471596491940532</v>
      </c>
      <c r="HE45" s="389">
        <v>1</v>
      </c>
      <c r="HF45" s="390">
        <f t="shared" si="145"/>
        <v>0.471596491940532</v>
      </c>
      <c r="HG45" s="390">
        <f>HF45*(VLOOKUP($HD$9,各项系数!$D$1:$F$143,2,0))</f>
        <v>8.01714036298904</v>
      </c>
      <c r="HH45" s="406">
        <f>各项系数!$F$76/4*($MV45^2-$MS45^2)*10^-2*(VLOOKUP($HH$9,各项系数!$D$1:$F$143,3,0))*10^-3*10^2*各项系数!$J$4</f>
        <v>0.469855999344961</v>
      </c>
      <c r="HI45" s="420">
        <v>1</v>
      </c>
      <c r="HJ45" s="390">
        <f t="shared" si="146"/>
        <v>0.469855999344961</v>
      </c>
      <c r="HK45" s="390">
        <f>HJ45*(VLOOKUP($HH$9,各项系数!$D$1:$F$143,2,0))</f>
        <v>7.98755198886434</v>
      </c>
      <c r="HL45" s="406">
        <f>各项系数!$F$76/4*($MW45^2-$MT45^2)*10^-2*(VLOOKUP($HL$9,各项系数!$D$1:$F$143,3,0))*10^-3*10^2*各项系数!$J$4</f>
        <v>0.471596491940532</v>
      </c>
      <c r="HM45" s="420">
        <v>1</v>
      </c>
      <c r="HN45" s="390">
        <f t="shared" si="147"/>
        <v>0.471596491940532</v>
      </c>
      <c r="HO45" s="390">
        <f>HN45*(VLOOKUP($HL$9,各项系数!$D$1:$F$143,2,0))</f>
        <v>8.01714036298904</v>
      </c>
      <c r="HP45" s="406">
        <f>各项系数!$F$76/4*($MV45^2-$MS45^2)*10^-2*(VLOOKUP(AN45,各项系数!$D$1:$F$143,3,0))*10^-3*10^2*各项系数!$J$4</f>
        <v>0.476336771749719</v>
      </c>
      <c r="HQ45" s="389">
        <v>1</v>
      </c>
      <c r="HR45" s="390">
        <f t="shared" si="202"/>
        <v>0.476336771749719</v>
      </c>
      <c r="HS45" s="390">
        <f>HR45*(VLOOKUP(AN45,各项系数!$D$1:$F$143,2,0))</f>
        <v>4.76336771749719</v>
      </c>
      <c r="HT45" s="406">
        <f>各项系数!$F$76/4*($MW45^2-$MT45^2)*10^-2*(VLOOKUP(AN45,各项系数!$D$1:$F$143,3,0))*10^-3*10^2*各项系数!$J$4</f>
        <v>0.478101271139712</v>
      </c>
      <c r="HU45" s="389">
        <v>1</v>
      </c>
      <c r="HV45" s="390">
        <f t="shared" si="203"/>
        <v>0.478101271139712</v>
      </c>
      <c r="HW45" s="390">
        <f>HV45*(VLOOKUP(AN45,各项系数!$D$1:$F$143,2,0))</f>
        <v>4.78101271139712</v>
      </c>
      <c r="HX45" s="406">
        <f>各项系数!$F$76/4*($MV45^2-$MS45^2)*10^-2*(VLOOKUP($HX$9,各项系数!$D$1:$F$143,3,0))*10^-3*10^2*各项系数!$J$4</f>
        <v>0.476336771749719</v>
      </c>
      <c r="HY45" s="420">
        <v>1</v>
      </c>
      <c r="HZ45" s="390">
        <f t="shared" si="204"/>
        <v>0.476336771749719</v>
      </c>
      <c r="IA45" s="390">
        <f>HZ45*(VLOOKUP($HX$9,各项系数!$D$1:$F$143,2,0))</f>
        <v>5.23970448924691</v>
      </c>
      <c r="IB45" s="406">
        <f>各项系数!$F$76/4*($MW45^2-$MT45^2)*10^-2*(VLOOKUP($IB$9,各项系数!$D$1:$F$143,3,0))*10^-3*10^2*各项系数!$J$4</f>
        <v>0.478101271139712</v>
      </c>
      <c r="IC45" s="420">
        <v>1</v>
      </c>
      <c r="ID45" s="390">
        <f t="shared" si="205"/>
        <v>0.478101271139712</v>
      </c>
      <c r="IE45" s="390">
        <f>ID45*(VLOOKUP($IB$9,各项系数!$D$1:$F$143,2,0))</f>
        <v>5.25911398253683</v>
      </c>
      <c r="IF45" s="429"/>
      <c r="IG45" s="406">
        <f t="shared" si="148"/>
        <v>0.0491113346188336</v>
      </c>
      <c r="IH45" s="389">
        <v>1</v>
      </c>
      <c r="II45" s="390">
        <f t="shared" si="206"/>
        <v>0.0491113346188336</v>
      </c>
      <c r="IJ45" s="390">
        <f>II45*(VLOOKUP($IG$8,各项系数!$D$1:$F$143,2,0))</f>
        <v>1.22778336547084</v>
      </c>
      <c r="IK45" s="406">
        <f>(各项系数!$F$76/4*($MX45^2-$MK45^2)*$EG45)*10^-2*(VLOOKUP($IG$8,各项系数!$D$1:$F$143,3,0))*10^-3*10^2*各项系数!$J$4</f>
        <v>0.0491113346188336</v>
      </c>
      <c r="IL45" s="389">
        <f>IK45*(VLOOKUP($IG$8,各项系数!$D$1:$F$143,2,0))</f>
        <v>1.22778336547084</v>
      </c>
      <c r="IM45" s="390">
        <f>(各项系数!$F$76/4*(($MM45+3*$X45)^2-MM45^2)*$EO45)*10^-2*(VLOOKUP($IG$8,各项系数!$D$1:$F$143,3,0))*10^-3*10^2*各项系数!$J$4</f>
        <v>0</v>
      </c>
      <c r="IN45" s="389">
        <f>IM45*(VLOOKUP($IG$8,各项系数!$D$1:$F$143,2,0))</f>
        <v>0</v>
      </c>
      <c r="IO45" s="406">
        <f>各项系数!$F$76/4*($MZ45^2-$MX45^2)*10^-2*(VLOOKUP(L45,各项系数!$D$1:$F$143,3,0))*10^-3*10^2*$ES45*各项系数!$J$4</f>
        <v>0.212985803318088</v>
      </c>
      <c r="IP45" s="389">
        <v>1</v>
      </c>
      <c r="IQ45" s="390">
        <f t="shared" si="207"/>
        <v>0.212985803318088</v>
      </c>
      <c r="IR45" s="367">
        <f>IQ45*(VLOOKUP(L45,各项系数!$D$1:$F$143,2,0))</f>
        <v>2.1724551938445</v>
      </c>
      <c r="IS45" s="406">
        <f>IF($L45&lt;&gt;$IS$9,0,各项系数!$F$76/4*($MZ45^2-$MX45^2)*10^-2*各项系数!$F$12*10^-3*10^2)*$ES45*各项系数!$J$4</f>
        <v>0</v>
      </c>
      <c r="IT45" s="389">
        <v>1</v>
      </c>
      <c r="IU45" s="390">
        <f t="shared" si="208"/>
        <v>0</v>
      </c>
      <c r="IV45" s="367">
        <f>IU45*各项系数!$E$12</f>
        <v>0</v>
      </c>
      <c r="IW45" s="388">
        <f t="shared" si="209"/>
        <v>0.212985803318088</v>
      </c>
      <c r="IX45" s="388">
        <f t="shared" si="210"/>
        <v>2.1724551938445</v>
      </c>
      <c r="IY45" s="447">
        <f>各项系数!$F$76/4*($NB45^2-$MZ45^2*$EG45-$NA45^2*$EO45)*10^-2</f>
        <v>6.89878391531892</v>
      </c>
      <c r="IZ45" s="366">
        <f t="shared" si="231"/>
        <v>0.05</v>
      </c>
      <c r="JA45" s="367">
        <f t="shared" si="64"/>
        <v>0.344939195765946</v>
      </c>
      <c r="JB45" s="364">
        <f>IF($DE45&lt;&gt;$JB$9,0,$JA45*各项系数!$F$32*10^-3*10^2)*各项系数!$J$4</f>
        <v>0</v>
      </c>
      <c r="JC45" s="123">
        <v>1</v>
      </c>
      <c r="JD45" s="251">
        <f t="shared" si="211"/>
        <v>0</v>
      </c>
      <c r="JE45" s="339">
        <f>JD45*各项系数!$E$32</f>
        <v>0</v>
      </c>
      <c r="JF45" s="364">
        <f>IF($DE45&lt;&gt;$JF$9,0,$JA45*VLOOKUP($JF$9,各项系数!$D$4:$F$540,2,0)*10^-3*10^2)*各项系数!$J$4</f>
        <v>0.171607249893558</v>
      </c>
      <c r="JG45" s="123">
        <v>1</v>
      </c>
      <c r="JH45" s="251">
        <f t="shared" si="66"/>
        <v>0.171607249893558</v>
      </c>
      <c r="JI45" s="339">
        <f>JH45*VLOOKUP($JF$9,各项系数!$D$4:$F$540,3,0)</f>
        <v>0.20592869987227</v>
      </c>
      <c r="JJ45" s="364">
        <f t="shared" si="212"/>
        <v>0.171607249893558</v>
      </c>
      <c r="JK45" s="251">
        <f t="shared" si="213"/>
        <v>0.20592869987227</v>
      </c>
      <c r="JL45" s="364">
        <f>IF($DF45&lt;&gt;$JL$9,0,各项系数!$F$76/4*($NE45^2-$NC45^2)*10^-2*各项系数!$F$39*10^-3*10^2)*各项系数!$J$4</f>
        <v>0.00276259563386033</v>
      </c>
      <c r="JM45" s="123">
        <v>1</v>
      </c>
      <c r="JN45" s="251">
        <f t="shared" si="214"/>
        <v>0.00276259563386033</v>
      </c>
      <c r="JO45" s="339">
        <f>JN45*各项系数!$E$39</f>
        <v>0.0552519126772067</v>
      </c>
      <c r="JP45" s="364">
        <f>IF($DF45&lt;&gt;$JP$9,0,各项系数!$F$76/4*($NE45^2-$NC45^2)*10^-2*各项系数!$F$36*10^-3*10^2)*各项系数!$J$4</f>
        <v>0</v>
      </c>
      <c r="JQ45" s="123">
        <v>1</v>
      </c>
      <c r="JR45" s="251">
        <f t="shared" si="215"/>
        <v>0</v>
      </c>
      <c r="JS45" s="339">
        <f>JR45*各项系数!$E$36</f>
        <v>0</v>
      </c>
      <c r="JT45" s="364">
        <f>IF($DF45&lt;&gt;$JT$9,0,各项系数!$F$76/4*($NE45^2-$NC45^2)*10^-2*各项系数!$F$40*10^-3*10^2)*各项系数!$J$4</f>
        <v>0</v>
      </c>
      <c r="JU45" s="123">
        <v>1</v>
      </c>
      <c r="JV45" s="251">
        <f t="shared" si="216"/>
        <v>0</v>
      </c>
      <c r="JW45" s="339">
        <f>JV45*各项系数!$E$40</f>
        <v>0</v>
      </c>
      <c r="JX45" s="364">
        <f>IF($DF45&lt;&gt;$JX$9,0,各项系数!$F$76/4*($NE45^2-$NC45^2)*10^-2*各项系数!$F$38*10^-3*10^2)*各项系数!$J$4</f>
        <v>0</v>
      </c>
      <c r="JY45" s="123">
        <v>1</v>
      </c>
      <c r="JZ45" s="251">
        <f t="shared" si="217"/>
        <v>0</v>
      </c>
      <c r="KA45" s="339">
        <f>JZ45*各项系数!$E$38</f>
        <v>0</v>
      </c>
      <c r="KB45" s="364">
        <f>IF($DF45&lt;&gt;$KB$9,0,各项系数!$F$76/4*($NE45^2-$NC45^2)*10^-2*各项系数!$F$41*10^-3*10^2)*各项系数!$J$4</f>
        <v>0</v>
      </c>
      <c r="KC45" s="123">
        <v>1</v>
      </c>
      <c r="KD45" s="251">
        <f t="shared" si="218"/>
        <v>0</v>
      </c>
      <c r="KE45" s="339">
        <f>KD45*各项系数!$E$41</f>
        <v>0</v>
      </c>
      <c r="KF45" s="251">
        <f t="shared" si="219"/>
        <v>0.00276259563386033</v>
      </c>
      <c r="KG45" s="251">
        <f t="shared" si="220"/>
        <v>0.0552519126772067</v>
      </c>
      <c r="KH45" s="302">
        <f>各项系数!$F$76/4*($NG45^2-$NE45^2)*10^-2*各项系数!$F$44*10^-3*10^2*各项系数!$J$4*0.75*$U45</f>
        <v>1.1771106105312</v>
      </c>
      <c r="KI45" s="123">
        <v>1</v>
      </c>
      <c r="KJ45" s="251">
        <f t="shared" si="221"/>
        <v>1.1771106105312</v>
      </c>
      <c r="KK45" s="251">
        <f>ROUND(KJ45*各项系数!$E$43,GT45)</f>
        <v>7</v>
      </c>
      <c r="KL45" s="302">
        <f>各项系数!$F$76/4*($NF45^2-$NE45^2)*10^-2*各项系数!$F$46*10^-3*10^2*各项系数!$J$4*PI()/4*R45</f>
        <v>0.0588542678995813</v>
      </c>
      <c r="KM45" s="123">
        <v>1</v>
      </c>
      <c r="KN45" s="251">
        <f t="shared" si="222"/>
        <v>0.0588542678995813</v>
      </c>
      <c r="KO45" s="251">
        <f>KN45*各项系数!$E$46</f>
        <v>3.97266308322174</v>
      </c>
      <c r="KP45" s="302">
        <f>各项系数!$F$76/4*($NH45^2-$NE45^2)*10^-2*(VLOOKUP($KP$9,各项系数!$D$1:$F$143,3,0))*10^-3*10^2*各项系数!$J$4</f>
        <v>0.483574851448928</v>
      </c>
      <c r="KQ45" s="123">
        <v>1</v>
      </c>
      <c r="KR45" s="251">
        <f t="shared" si="150"/>
        <v>0.483574851448928</v>
      </c>
      <c r="KS45" s="251">
        <f>KR45*(VLOOKUP($KP$9,各项系数!$D$1:$F$143,2,0))</f>
        <v>8.22077247463177</v>
      </c>
      <c r="KT45" s="302">
        <f>各项系数!$F$76/4*($NI45^2-$NF45^2)*10^-2*(VLOOKUP($KT$9,各项系数!$D$1:$F$143,3,0))*10^-3*10^2*各项系数!$J$4</f>
        <v>0.485315344044499</v>
      </c>
      <c r="KU45" s="123">
        <v>1</v>
      </c>
      <c r="KV45" s="251">
        <f t="shared" si="151"/>
        <v>0.485315344044499</v>
      </c>
      <c r="KW45" s="251">
        <f>KV45*(VLOOKUP($KT$9,各项系数!$D$1:$F$143,2,0))</f>
        <v>8.25036084875649</v>
      </c>
      <c r="KX45" s="251">
        <f>各项系数!$F$76/4*($NH45^2-$NE45^2)*10^-2*(VLOOKUP($KX$9,各项系数!$D$1:$F$143,3,0))*10^-3*10^2*各项系数!$J$4</f>
        <v>0.483574851448928</v>
      </c>
      <c r="KY45" s="479">
        <v>1</v>
      </c>
      <c r="KZ45" s="251">
        <f t="shared" si="152"/>
        <v>0.483574851448928</v>
      </c>
      <c r="LA45" s="251">
        <f>KZ45*(VLOOKUP($KX$9,各项系数!$D$1:$F$143,2,0))</f>
        <v>8.22077247463177</v>
      </c>
      <c r="LB45" s="251">
        <f>各项系数!$F$76/4*($NI45^2-$NF45^2)*10^-2*(VLOOKUP($LB$9,各项系数!$D$1:$F$143,3,0))*10^-3*10^2*各项系数!$J$4</f>
        <v>0.485315344044499</v>
      </c>
      <c r="LC45" s="479">
        <v>1</v>
      </c>
      <c r="LD45" s="251">
        <f t="shared" si="153"/>
        <v>0.485315344044499</v>
      </c>
      <c r="LE45" s="251">
        <f>LD45*(VLOOKUP($LB$9,各项系数!$D$1:$F$143,2,0))</f>
        <v>8.25036084875649</v>
      </c>
      <c r="LF45" s="302">
        <f>各项系数!$F$76/4*($NH45^2-$NE45^2)*10^-2*(VLOOKUP(AN45,各项系数!$D$1:$F$143,3,0))*10^-3*10^2*各项系数!$J$4</f>
        <v>0.490244849399948</v>
      </c>
      <c r="LG45" s="123">
        <v>1</v>
      </c>
      <c r="LH45" s="251">
        <f t="shared" si="223"/>
        <v>0.490244849399948</v>
      </c>
      <c r="LI45" s="251">
        <f>LH45*(VLOOKUP(AN45,各项系数!$D$1:$F$143,2,0))</f>
        <v>4.90244849399948</v>
      </c>
      <c r="LJ45" s="302">
        <f>各项系数!$F$76/4*($NI45^2-$NF45^2)*10^-2*(VLOOKUP(AN45,各项系数!$D$1:$F$143,3,0))*10^-3*10^2*各项系数!$J$4</f>
        <v>0.492009348789941</v>
      </c>
      <c r="LK45" s="123">
        <v>1</v>
      </c>
      <c r="LL45" s="251">
        <f t="shared" si="224"/>
        <v>0.492009348789941</v>
      </c>
      <c r="LM45" s="251">
        <f>LL45*(VLOOKUP(AN45,各项系数!$D$1:$F$143,2,0))</f>
        <v>4.9200934878994</v>
      </c>
      <c r="LN45" s="251">
        <f>各项系数!$F$76/4*($NH45^2-$NE45^2)*10^-2*(VLOOKUP($LN$9,各项系数!$D$1:$F$143,3,0))*10^-3*10^2*各项系数!$J$4</f>
        <v>0.490244849399948</v>
      </c>
      <c r="LO45" s="479">
        <v>1</v>
      </c>
      <c r="LP45" s="251">
        <f t="shared" si="225"/>
        <v>0.490244849399948</v>
      </c>
      <c r="LQ45" s="251">
        <f>LP45*(VLOOKUP($LN$9,各项系数!$D$1:$F$143,2,0))</f>
        <v>5.39269334339942</v>
      </c>
      <c r="LR45" s="251">
        <f>各项系数!$F$76/4*($NI45^2-$NF45^2)*10^-2*(VLOOKUP($LR$9,各项系数!$D$1:$F$143,3,0))*10^-3*10^2*各项系数!$J$4</f>
        <v>0.492009348789941</v>
      </c>
      <c r="LS45" s="479">
        <v>1</v>
      </c>
      <c r="LT45" s="251">
        <f t="shared" si="226"/>
        <v>0.492009348789941</v>
      </c>
      <c r="LU45" s="251">
        <f>LT45*(VLOOKUP($LR$9,各项系数!$D$1:$F$143,2,0))</f>
        <v>5.41210283668935</v>
      </c>
      <c r="LV45" s="499">
        <f t="shared" si="154"/>
        <v>462.37653494</v>
      </c>
      <c r="LW45" s="499">
        <f t="shared" si="155"/>
        <v>349.14146516</v>
      </c>
      <c r="LX45" s="499">
        <f t="shared" si="156"/>
        <v>21.0841343229568</v>
      </c>
      <c r="LY45" s="515">
        <f t="shared" si="157"/>
        <v>113.23506978</v>
      </c>
      <c r="LZ45" s="516">
        <f t="shared" si="86"/>
        <v>1</v>
      </c>
      <c r="MA45" s="517">
        <f t="shared" si="87"/>
        <v>462.37653494</v>
      </c>
      <c r="MB45" s="517">
        <f t="shared" si="158"/>
        <v>17.15686581</v>
      </c>
      <c r="MC45" s="499">
        <f t="shared" si="159"/>
        <v>0</v>
      </c>
      <c r="MD45" s="499">
        <f t="shared" si="160"/>
        <v>0</v>
      </c>
      <c r="ME45" s="499">
        <f t="shared" si="161"/>
        <v>0</v>
      </c>
      <c r="MF45" s="499">
        <f t="shared" si="162"/>
        <v>0</v>
      </c>
      <c r="MG45" s="516">
        <f t="shared" si="163"/>
        <v>1</v>
      </c>
      <c r="MH45" s="517">
        <f t="shared" si="88"/>
        <v>0</v>
      </c>
      <c r="MI45" s="517">
        <f t="shared" si="164"/>
        <v>0</v>
      </c>
      <c r="MJ45" s="251">
        <f t="shared" si="89"/>
        <v>17.15686581</v>
      </c>
      <c r="MK45" s="251">
        <f t="shared" si="165"/>
        <v>17.15686581</v>
      </c>
      <c r="ML45" s="251">
        <f t="shared" si="227"/>
        <v>0</v>
      </c>
      <c r="MM45" s="251">
        <f t="shared" si="91"/>
        <v>0</v>
      </c>
      <c r="MN45" s="251">
        <f t="shared" si="92"/>
        <v>20.35686581</v>
      </c>
      <c r="MO45" s="251">
        <f t="shared" si="166"/>
        <v>0</v>
      </c>
      <c r="MP45" s="251">
        <f t="shared" si="167"/>
        <v>40.71373162</v>
      </c>
      <c r="MQ45" s="251">
        <f t="shared" si="228"/>
        <v>40.71373162</v>
      </c>
      <c r="MR45" s="314">
        <f t="shared" si="168"/>
        <v>40.61692141</v>
      </c>
      <c r="MS45" s="530">
        <f t="shared" si="94"/>
        <v>40.79292141</v>
      </c>
      <c r="MT45" s="530">
        <f t="shared" si="95"/>
        <v>40.95292141</v>
      </c>
      <c r="MU45" s="530">
        <f t="shared" si="232"/>
        <v>42.29292141</v>
      </c>
      <c r="MV45" s="530">
        <f t="shared" si="97"/>
        <v>45.59292141</v>
      </c>
      <c r="MW45" s="530">
        <f t="shared" si="98"/>
        <v>45.75292141</v>
      </c>
      <c r="MX45" s="326">
        <f t="shared" si="233"/>
        <v>17.75686581</v>
      </c>
      <c r="MY45" s="326">
        <f t="shared" si="100"/>
        <v>0</v>
      </c>
      <c r="MZ45" s="251">
        <f t="shared" si="101"/>
        <v>20.95686581</v>
      </c>
      <c r="NA45" s="251">
        <f t="shared" si="102"/>
        <v>0</v>
      </c>
      <c r="NB45" s="251">
        <f t="shared" si="169"/>
        <v>41.91373162</v>
      </c>
      <c r="NC45" s="326">
        <f t="shared" si="229"/>
        <v>41.91373162</v>
      </c>
      <c r="ND45" s="314">
        <f t="shared" si="234"/>
        <v>41.81406802</v>
      </c>
      <c r="NE45" s="537">
        <f t="shared" si="235"/>
        <v>42.05406802</v>
      </c>
      <c r="NF45" s="530">
        <f t="shared" si="106"/>
        <v>42.21406802</v>
      </c>
      <c r="NG45" s="538">
        <f t="shared" si="236"/>
        <v>43.55406802</v>
      </c>
      <c r="NH45" s="326">
        <f t="shared" si="108"/>
        <v>46.85406802</v>
      </c>
      <c r="NI45" s="530">
        <f t="shared" si="109"/>
        <v>47.01406802</v>
      </c>
      <c r="NK45" s="539">
        <f t="shared" si="110"/>
        <v>3.86124895458776</v>
      </c>
      <c r="NL45" s="539">
        <f t="shared" si="111"/>
        <v>212.370598716194</v>
      </c>
      <c r="NM45" s="539">
        <f t="shared" si="112"/>
        <v>3.86124895458776</v>
      </c>
      <c r="NN45" s="539">
        <f t="shared" si="113"/>
        <v>212.846935487944</v>
      </c>
      <c r="NO45" s="539">
        <f t="shared" si="114"/>
        <v>4.06138533462196</v>
      </c>
      <c r="NP45" s="539">
        <f t="shared" si="115"/>
        <v>213.884982030992</v>
      </c>
      <c r="NQ45" s="539">
        <f t="shared" si="116"/>
        <v>4.06138533462196</v>
      </c>
      <c r="NR45" s="539">
        <f t="shared" si="117"/>
        <v>214.375226880392</v>
      </c>
      <c r="NS45" s="539">
        <f t="shared" si="118"/>
        <v>3.91834161094748</v>
      </c>
      <c r="NT45" s="539">
        <f t="shared" si="119"/>
        <v>3.91834161094748</v>
      </c>
      <c r="NU45" s="539">
        <f t="shared" si="120"/>
        <v>4.12023960252154</v>
      </c>
      <c r="NV45" s="539">
        <f t="shared" si="121"/>
        <v>4.12023960252154</v>
      </c>
      <c r="NW45">
        <f t="shared" si="122"/>
        <v>4.62286836517473</v>
      </c>
      <c r="NX45">
        <f>各项系数!$M$9*NK45</f>
        <v>1.15837468637633</v>
      </c>
      <c r="NY45">
        <f t="shared" si="123"/>
        <v>3.91834161094748</v>
      </c>
    </row>
    <row r="46" customHeight="1" spans="1:389">
      <c r="A46" s="91" t="s">
        <v>916</v>
      </c>
      <c r="B46" s="86">
        <v>1</v>
      </c>
      <c r="C46" s="83"/>
      <c r="D46" s="69" t="s">
        <v>326</v>
      </c>
      <c r="E46" s="70">
        <f t="shared" ref="E46:E61" si="255">MV46</f>
        <v>52.27651304</v>
      </c>
      <c r="F46" s="84">
        <f>$F$30</f>
        <v>246.701228113631</v>
      </c>
      <c r="G46" s="74"/>
      <c r="H46" s="23"/>
      <c r="I46" s="78"/>
      <c r="J46" s="23"/>
      <c r="K46" s="23"/>
      <c r="L46" s="118" t="s">
        <v>467</v>
      </c>
      <c r="M46" s="124">
        <f t="shared" si="2"/>
        <v>1.7</v>
      </c>
      <c r="N46" s="124">
        <f t="shared" si="252"/>
        <v>0</v>
      </c>
      <c r="O46" s="69">
        <f t="shared" si="251"/>
        <v>0.08</v>
      </c>
      <c r="P46" s="120">
        <v>0.1</v>
      </c>
      <c r="Q46" s="162">
        <f t="shared" si="253"/>
        <v>0.1</v>
      </c>
      <c r="R46" s="86">
        <v>0.8</v>
      </c>
      <c r="S46" s="171" t="str">
        <f>各项系数!$D$43</f>
        <v>钢带</v>
      </c>
      <c r="T46" s="74">
        <v>0.5</v>
      </c>
      <c r="U46" s="78">
        <v>2</v>
      </c>
      <c r="V46" s="172"/>
      <c r="W46" s="170">
        <v>2.6</v>
      </c>
      <c r="X46" s="164">
        <f t="shared" si="254"/>
        <v>0.2</v>
      </c>
      <c r="Y46" s="219"/>
      <c r="Z46" s="220"/>
      <c r="AA46" s="217">
        <f>$AA$30</f>
        <v>1.015</v>
      </c>
      <c r="AB46" s="186">
        <f>PI()*EJ46*EJ46/4*EH46*(1-H46)*AA46*各项系数!$F$5*各项系数!$J$4*10^-7</f>
        <v>2.05998769246807</v>
      </c>
      <c r="AC46" s="186">
        <f t="shared" ref="AC46:AC61" si="256">EJ46</f>
        <v>246.701228113631</v>
      </c>
      <c r="AD46" s="186">
        <f t="shared" si="5"/>
        <v>232.884070800354</v>
      </c>
      <c r="AE46" s="186">
        <f>POWER(4*EU46/PI()/EG46/10^-7/EH46/(1-H46)/各项系数!$F$5/各项系数!$J$4,0.5)</f>
        <v>248.544600408187</v>
      </c>
      <c r="AF46" s="218">
        <v>1</v>
      </c>
      <c r="AG46" s="85">
        <f>IF(EM46=0,0,PI()*ER46*ER46/4*EP46*(1-K46)*(1+AF46)*各项系数!$F$5*各项系数!$J$4*10^-7)</f>
        <v>0</v>
      </c>
      <c r="AH46" s="85">
        <f t="shared" ref="AH46:AH61" si="257">ER46</f>
        <v>0</v>
      </c>
      <c r="AI46" s="85">
        <f t="shared" si="128"/>
        <v>0</v>
      </c>
      <c r="AJ46" s="85">
        <f>IF(OR(EP46="",EP46=0),0,POWER(4*EW46/PI()/EO46/10^-7/EP46/(1-K46)/各项系数!$F$5/各项系数!$J$4,0.5))</f>
        <v>0</v>
      </c>
      <c r="AK46" s="85" t="str">
        <f t="shared" si="8"/>
        <v>√</v>
      </c>
      <c r="AL46" s="85">
        <f t="shared" ref="AL46:AL61" si="258">AO46*(1+0.02)</f>
        <v>287.112344113011</v>
      </c>
      <c r="AM46" s="250">
        <f t="shared" ref="AM46:AM61" si="259">EE46*1</f>
        <v>240</v>
      </c>
      <c r="AN46" s="118" t="s">
        <v>486</v>
      </c>
      <c r="AO46" s="259">
        <f>AP46+各项系数!$M$9*$NK46</f>
        <v>281.482690306874</v>
      </c>
      <c r="AP46" s="259">
        <f>AQ46*(1+$BI46+(VLOOKUP($AM46,$A$12:$B$323,2,0))+各项系数!$J$6+各项系数!$M$5)*(1+$E$2)</f>
        <v>279.975223860827</v>
      </c>
      <c r="AQ46" s="260">
        <f>AR46+各项系数!$L$9*$NK46</f>
        <v>285.68900393962</v>
      </c>
      <c r="AR46" s="260">
        <f>AS46*(1+$BJ46+各项系数!$J$5+各项系数!$L$5)</f>
        <v>284.181537493573</v>
      </c>
      <c r="AS46" s="260">
        <f t="shared" si="129"/>
        <v>278.609350483895</v>
      </c>
      <c r="AT46" s="259">
        <f>AU46+各项系数!$M$9*$NM46</f>
        <v>285.498255982239</v>
      </c>
      <c r="AU46" s="259">
        <f>AV46*(1+$BI46+(VLOOKUP($AM46,$A$12:$B$323,2,0))+各项系数!$J$6+各项系数!$M$5)*(1+$E$2)</f>
        <v>283.990789536192</v>
      </c>
      <c r="AV46" s="260">
        <f>AW46+各项系数!$L$9*$NM46</f>
        <v>289.78651993489</v>
      </c>
      <c r="AW46" s="260">
        <f>AX46*(1+$BJ46+各项系数!$J$5+各项系数!$L$5)</f>
        <v>288.279053488843</v>
      </c>
      <c r="AX46" s="260">
        <f t="shared" si="130"/>
        <v>282.626523028278</v>
      </c>
      <c r="AY46" s="259">
        <f>AZ46+各项系数!$M$9*$NS46</f>
        <v>285.985356807159</v>
      </c>
      <c r="AZ46" s="259">
        <f>BA46*(1+$BI46+(VLOOKUP($AM46,$A$12:$B$214,2,0))+各项系数!$J$6+各项系数!$M$5)*(1+$E$2)</f>
        <v>284.458129425256</v>
      </c>
      <c r="BA46" s="260">
        <f>BB46+各项系数!$L$9*$NS46</f>
        <v>290.263397372711</v>
      </c>
      <c r="BB46" s="260">
        <f>BC46*(1+$BJ46+各项系数!$J$5+各项系数!$L$5)</f>
        <v>288.736169990808</v>
      </c>
      <c r="BC46" s="262">
        <f t="shared" si="131"/>
        <v>283.074676461576</v>
      </c>
      <c r="BD46" s="259">
        <f>BE46+各项系数!$M$9*$NS46</f>
        <v>290.013855968969</v>
      </c>
      <c r="BE46" s="259">
        <f>BF46*(1+$BI46+(VLOOKUP($AM46,$A$12:$B$214,2,0))+各项系数!$J$6+各项系数!$M$5)*(1+$E$2)</f>
        <v>288.486628587067</v>
      </c>
      <c r="BF46" s="260">
        <f>BG46+各项系数!$L$9*$NS46</f>
        <v>294.374110803129</v>
      </c>
      <c r="BG46" s="260">
        <f>BH46*(1+$BJ46+各项系数!$J$5+各项系数!$L$5)</f>
        <v>292.846883421227</v>
      </c>
      <c r="BH46" s="262">
        <f t="shared" si="132"/>
        <v>287.104787667869</v>
      </c>
      <c r="BI46" s="277"/>
      <c r="BJ46" s="272"/>
      <c r="BK46" s="69" t="s">
        <v>514</v>
      </c>
      <c r="BL46" s="259">
        <f>BM46+各项系数!$M$9*$NM46</f>
        <v>284.812132587893</v>
      </c>
      <c r="BM46" s="259">
        <f>BN46*(1+$CF46+(VLOOKUP($AM46,$A$12:$B$323,2,0))+各项系数!$J$6+各项系数!$M$5)*(1+$E$2)</f>
        <v>283.304666141847</v>
      </c>
      <c r="BN46" s="260">
        <f>BO46+各项系数!$L$9*$NM46</f>
        <v>289.086394022293</v>
      </c>
      <c r="BO46" s="260">
        <f>BP46*(1+$CG46+各项系数!$J$5+各项系数!$L$5)</f>
        <v>287.578927576246</v>
      </c>
      <c r="BP46" s="260">
        <f t="shared" si="133"/>
        <v>279.202842307035</v>
      </c>
      <c r="BQ46" s="259">
        <f>BR46+各项系数!$M$9*$NM46</f>
        <v>288.267995907916</v>
      </c>
      <c r="BR46" s="259">
        <f>BS46*(1+$CF46+(VLOOKUP($AM46,$A$12:$B$323,2,0))+各项系数!$J$6+各项系数!$M$5)*(1+$E$2)</f>
        <v>286.760529461869</v>
      </c>
      <c r="BS46" s="260">
        <f>BT46+各项系数!$L$9*$NM46</f>
        <v>292.612785165173</v>
      </c>
      <c r="BT46" s="260">
        <f>BU46*(1+$CG46+各项系数!$J$5+各项系数!$L$5)</f>
        <v>291.105318719126</v>
      </c>
      <c r="BU46" s="260">
        <f t="shared" si="134"/>
        <v>282.626523028278</v>
      </c>
      <c r="BV46" s="259">
        <f>BW46+各项系数!$M$9*$NT46</f>
        <v>287.871904093079</v>
      </c>
      <c r="BW46" s="259">
        <f>BX46*(1+$CF46+(VLOOKUP($AM46,$A$12:$B$214,2,0))+各项系数!$J$6+各项系数!$M$5)*(1+$E$2)</f>
        <v>286.344676711176</v>
      </c>
      <c r="BX46" s="260">
        <f>BY46+各项系数!$L$9*$NT$12</f>
        <v>292.188445623649</v>
      </c>
      <c r="BY46" s="260">
        <f>BZ46*(1+$CG46+各项系数!$J$5+各项系数!$L$5)</f>
        <v>292.180182220494</v>
      </c>
      <c r="BZ46" s="262">
        <f t="shared" si="11"/>
        <v>283.670079825722</v>
      </c>
      <c r="CA46" s="259">
        <f>CB46+各项系数!$M$9*$NT46</f>
        <v>291.338898188942</v>
      </c>
      <c r="CB46" s="259">
        <f>CC46*(1+$CF46+(VLOOKUP($AM46,$A$12:$B$214,2,0))+各项系数!$J$6+各项系数!$M$5)*(1+$E$2)</f>
        <v>289.811670807039</v>
      </c>
      <c r="CC46" s="260">
        <f>CD46+各项系数!$L$9*$NT$12</f>
        <v>295.72619470106</v>
      </c>
      <c r="CD46" s="260">
        <f>CE46*(1+$CG46+各项系数!$J$5+各项系数!$L$5)</f>
        <v>295.717931297905</v>
      </c>
      <c r="CE46" s="262">
        <f t="shared" si="135"/>
        <v>287.104787667869</v>
      </c>
      <c r="CF46" s="277">
        <f t="shared" si="136"/>
        <v>0</v>
      </c>
      <c r="CG46" s="277">
        <f t="shared" si="12"/>
        <v>0.01</v>
      </c>
      <c r="CH46" s="123"/>
      <c r="CI46" s="259">
        <f>CJ46+各项系数!$M$9*$NO46</f>
        <v>284.910580395852</v>
      </c>
      <c r="CJ46" s="259">
        <f>CK46*(1+$DC46+(VLOOKUP($AM46,$A$12:$B$323,2,0))+各项系数!$J$6+各项系数!$M$5)*(1+$E$2)+各项系数!$M$9*$NK46</f>
        <v>283.327244781764</v>
      </c>
      <c r="CK46" s="260">
        <f>CL46+各项系数!$L$9*$NO46</f>
        <v>287.571202383385</v>
      </c>
      <c r="CL46" s="260">
        <f>CM46*(1+$DD46+各项系数!$J$5+各项系数!$L$5)</f>
        <v>285.987866769297</v>
      </c>
      <c r="CM46" s="260">
        <f t="shared" si="13"/>
        <v>280.380261538526</v>
      </c>
      <c r="CN46" s="259">
        <f>CO46+各项系数!$M$9*$NO46</f>
        <v>288.775535498343</v>
      </c>
      <c r="CO46" s="259">
        <f>CP46*(1+$DC46+(VLOOKUP($AM46,$A$12:$B$323,2,0))+各项系数!$J$6+各项系数!$M$5)*(1+$E$2)+各项系数!$M$9*$NK46</f>
        <v>287.192199884255</v>
      </c>
      <c r="CP46" s="260">
        <f>CQ46+各项系数!$L$9*$NO46</f>
        <v>291.51503412062</v>
      </c>
      <c r="CQ46" s="260">
        <f>CR46*(1+$DD46+各项系数!$J$5+各项系数!$L$5)</f>
        <v>289.931698506532</v>
      </c>
      <c r="CR46" s="260">
        <f t="shared" si="14"/>
        <v>284.246763241698</v>
      </c>
      <c r="CS46" s="259">
        <f>CT46+各项系数!$M$9*$NU46</f>
        <v>288.025688062775</v>
      </c>
      <c r="CT46" s="259">
        <f t="shared" si="15"/>
        <v>286.422063029369</v>
      </c>
      <c r="CU46" s="260">
        <f>CV46+各项系数!$L$9*$NU46</f>
        <v>292.267411254458</v>
      </c>
      <c r="CV46" s="260">
        <f>CW46*(1+$DD46+各项系数!$J$5+各项系数!$L$5)</f>
        <v>290.663786221052</v>
      </c>
      <c r="CW46" s="262">
        <f t="shared" si="16"/>
        <v>284.964496295149</v>
      </c>
      <c r="CX46" s="259">
        <f>CY46+各项系数!$M$9*$NU46</f>
        <v>292.156131115749</v>
      </c>
      <c r="CY46" s="259">
        <f t="shared" si="17"/>
        <v>290.552506082342</v>
      </c>
      <c r="CZ46" s="260">
        <f>DA46+各项系数!$L$9*$NU46</f>
        <v>296.482149063615</v>
      </c>
      <c r="DA46" s="260">
        <f>DB46*(1+$DD46+各项系数!$J$5+各项系数!$L$5)</f>
        <v>294.878524030208</v>
      </c>
      <c r="DB46" s="262">
        <f t="shared" si="18"/>
        <v>289.096592186479</v>
      </c>
      <c r="DC46" s="277">
        <f t="shared" si="137"/>
        <v>0</v>
      </c>
      <c r="DD46" s="277">
        <f t="shared" si="19"/>
        <v>0</v>
      </c>
      <c r="DE46" s="69" t="s">
        <v>498</v>
      </c>
      <c r="DF46" s="69" t="s">
        <v>513</v>
      </c>
      <c r="DG46" s="259">
        <f>DH46+各项系数!$M$9*$NQ46</f>
        <v>288.272586319919</v>
      </c>
      <c r="DH46" s="259">
        <f>DI46*(1+$EA46+(VLOOKUP($AM46,$A$12:$B$323,2,0))+各项系数!$J$6+各项系数!$M$5)*(1+$E$2)+各项系数!$M$9*$NK46</f>
        <v>286.689250705831</v>
      </c>
      <c r="DI46" s="260">
        <f>DJ46+各项系数!$L$9*$NQ46</f>
        <v>291.001820673249</v>
      </c>
      <c r="DJ46" s="260">
        <f>DK46*(1+$EB46+各项系数!$J$5+各项系数!$L$5)</f>
        <v>289.418485059161</v>
      </c>
      <c r="DK46" s="260">
        <f t="shared" si="20"/>
        <v>280.988820445788</v>
      </c>
      <c r="DL46" s="259">
        <f>DM46+各项系数!$M$9*$NQ46</f>
        <v>291.816184266306</v>
      </c>
      <c r="DM46" s="259">
        <f>DN46*(1+$EA46+(VLOOKUP($AM46,$A$12:$B$323,2,0))+各项系数!$J$6+各项系数!$M$5)*(1+$E$2)+各项系数!$M$9*$NK46</f>
        <v>290.232848652218</v>
      </c>
      <c r="DN46" s="260">
        <f>DO46+各项系数!$L$9*$NQ46</f>
        <v>294.617736945073</v>
      </c>
      <c r="DO46" s="260">
        <f>DP46*(1+$EB46+各项系数!$J$5+各项系数!$L$5)</f>
        <v>293.034401330985</v>
      </c>
      <c r="DP46" s="260">
        <f t="shared" si="21"/>
        <v>284.499418767946</v>
      </c>
      <c r="DQ46" s="259">
        <f>DR46+各项系数!$M$9*$NV46</f>
        <v>291.434548996948</v>
      </c>
      <c r="DR46" s="259">
        <f t="shared" si="22"/>
        <v>289.830923963542</v>
      </c>
      <c r="DS46" s="260">
        <f>DT46+各项系数!$L$9*$NV46</f>
        <v>295.745840779124</v>
      </c>
      <c r="DT46" s="260">
        <f>DU46*(1+$EB46+各项系数!$J$5+各项系数!$L$5)</f>
        <v>294.142215745718</v>
      </c>
      <c r="DU46" s="262">
        <f t="shared" si="23"/>
        <v>285.574966743416</v>
      </c>
      <c r="DV46" s="259">
        <f>DW46+各项系数!$M$9*$NV46</f>
        <v>292.292312979937</v>
      </c>
      <c r="DW46" s="259">
        <f t="shared" si="24"/>
        <v>290.688687946531</v>
      </c>
      <c r="DX46" s="260">
        <f>DY46+各项系数!$L$9*$NV46</f>
        <v>296.621110149521</v>
      </c>
      <c r="DY46" s="260">
        <f>DZ46*(1+$EB46+各项系数!$J$5+各项系数!$L$5)</f>
        <v>295.017485116115</v>
      </c>
      <c r="DZ46" s="262">
        <f t="shared" si="25"/>
        <v>286.424742831179</v>
      </c>
      <c r="EA46" s="277">
        <f t="shared" si="230"/>
        <v>0</v>
      </c>
      <c r="EB46" s="277">
        <f t="shared" si="27"/>
        <v>0.01</v>
      </c>
      <c r="EC46" s="302">
        <f t="shared" si="138"/>
        <v>2</v>
      </c>
      <c r="ED46" s="302" t="str">
        <f t="shared" ref="ED46:ED51" si="260">IF(COUNTIF($D46,"*+*")&gt;0,MID($D46,1,FIND("+",$D46)-1),MID($D46,1,LEN($D46)))</f>
        <v>2*240</v>
      </c>
      <c r="EE46" s="251">
        <f t="shared" si="239"/>
        <v>240</v>
      </c>
      <c r="EF46" s="251" t="str">
        <f>LOOKUP(EH46,{1,7,10,14,19,24,30,37,48,61},{1,"1+6","2+8","4+10","1+6+12","2+8+14","4+10+16","1+6+12+18","3+9+15+21","1+6+12+18+24"})</f>
        <v>3+9+15+21</v>
      </c>
      <c r="EG46" s="250">
        <f t="shared" si="29"/>
        <v>2</v>
      </c>
      <c r="EH46" s="260">
        <f>VLOOKUP(EE46,各项系数!$B$87:$C$124,2,0)</f>
        <v>48</v>
      </c>
      <c r="EI46" s="250">
        <f>IF(EH46=0,0,VLOOKUP(EH46,各项系数!$D$142:$E$195,2,0))*1</f>
        <v>8.15</v>
      </c>
      <c r="EJ46" s="305">
        <f t="shared" si="141"/>
        <v>246.701228113631</v>
      </c>
      <c r="EK46" s="251">
        <f t="shared" ref="EK46:EK61" si="261">IF(COUNTIF($D46,"*+*")&gt;0,MID($D46,FIND("+",$D46)+1,LEN($D46)),0)</f>
        <v>0</v>
      </c>
      <c r="EL46" s="251">
        <f t="shared" si="31"/>
        <v>0</v>
      </c>
      <c r="EM46" s="251">
        <f t="shared" ref="EM46:EM51" si="262">EL46/1</f>
        <v>0</v>
      </c>
      <c r="EN46" s="251">
        <f>IF(EP46=0,0,LOOKUP(EP46,{1,7,10,14,19,24,30,37,48,61},{1,"1+6","2+8","4+10","1+6+12","2+8+14","4+10+16","1+6+12+18","3+9+15+21","1+6+12+18+24"}))</f>
        <v>0</v>
      </c>
      <c r="EO46" s="251">
        <f t="shared" ref="EO46:EO61" si="263">IF(EK46=0,0,MID(EK46,1,1))</f>
        <v>0</v>
      </c>
      <c r="EP46" s="251">
        <f>IF(EM46=0,0,IF(EM46&lt;10,1,IF(AND(EM46&gt;=10,EM46&lt;=35),7,LOOKUP(EM46,{50,70,95,120,150,185,240,300},{10,14,19,24,30,37,48,61})*1)))</f>
        <v>0</v>
      </c>
      <c r="EQ46" s="251">
        <f>IF(EP46=0,0,VLOOKUP(EP46,各项系数!$D$142:$E$195,2,0))*1</f>
        <v>0</v>
      </c>
      <c r="ER46" s="251">
        <f t="shared" ref="ER46:ER61" si="264">$I46-$J46</f>
        <v>0</v>
      </c>
      <c r="ES46" s="302">
        <f t="shared" si="250"/>
        <v>2</v>
      </c>
      <c r="ET46" s="251">
        <f>VLOOKUP(ES46,各项系数!$D$142:$E$195,2,0)*1</f>
        <v>2</v>
      </c>
      <c r="EU46" s="311">
        <f>((各项系数!$F$76/4*$EJ46^2*$EG46*$EH46*1*10^-7)*(1-$H46)*AA46)*(VLOOKUP($EY$9,各项系数!$D$4:$F$143,3,0))*各项系数!$J$4</f>
        <v>4.11997538493614</v>
      </c>
      <c r="EV46" s="312">
        <f>EU46*(VLOOKUP($EY$9,各项系数!$D$4:$F$143,2,0))</f>
        <v>269.858387713317</v>
      </c>
      <c r="EW46" s="324">
        <f>(IF($EO46=0,0,(各项系数!$F$76/4*$ER46^2*$EO46*$EP46*1*10^-7))*(1-$K46)*$AF46)*(VLOOKUP($EY$9,各项系数!$D$4:$F$143,3,0))*各项系数!$J$4</f>
        <v>0</v>
      </c>
      <c r="EX46" s="325">
        <f>EW46*(VLOOKUP($EY$9,各项系数!$D$4:$F$143,2,0))</f>
        <v>0</v>
      </c>
      <c r="EY46" s="251">
        <f>((各项系数!$F$76/4*$EJ46^2*$EG46*$EH46*1*10^-7)*(1-$H46)*AA46+IF($EO46=0,0,(各项系数!$F$76/4*$ER46^2*$EO46*$EP46*1*10^-7))*(1-$K46)*$AF46)*(VLOOKUP($EY$9,各项系数!$D$4:$F$143,3,0))*各项系数!$J$4</f>
        <v>4.11997538493614</v>
      </c>
      <c r="EZ46" s="123">
        <v>1</v>
      </c>
      <c r="FA46" s="251">
        <f t="shared" si="188"/>
        <v>4.11997538493614</v>
      </c>
      <c r="FB46" s="326">
        <f>FA46*(VLOOKUP($EY$9,各项系数!$D$4:$F$143,2,0))</f>
        <v>269.858387713317</v>
      </c>
      <c r="FC46" s="327"/>
      <c r="FD46" s="302">
        <f>各项系数!$F$76/4*($MN46^2-MK46^2)*10^-2*(VLOOKUP(L46,各项系数!$D$1:$F$143,3,0))*10^-3*10^2*$EG46*各项系数!$J$4</f>
        <v>0.254931529980347</v>
      </c>
      <c r="FE46" s="339">
        <f>FD46*VLOOKUP(L46,各项系数!$D$1:$F$143,2,0)</f>
        <v>2.60030160579954</v>
      </c>
      <c r="FF46" s="250">
        <f>各项系数!$F$76/4*($MO46^2-ML46^2)*10^-2*(VLOOKUP(L46,各项系数!$D$1:$F$143,3,0))*10^-3*10^2*$EO46*各项系数!$J$4</f>
        <v>0</v>
      </c>
      <c r="FG46" s="339">
        <f>FF46*VLOOKUP(L46,各项系数!$D$1:$F$143,2,0)</f>
        <v>0</v>
      </c>
      <c r="FH46" s="302">
        <f t="shared" si="142"/>
        <v>0.254931529980347</v>
      </c>
      <c r="FI46" s="123">
        <v>1</v>
      </c>
      <c r="FJ46" s="251">
        <f t="shared" si="189"/>
        <v>0.254931529980347</v>
      </c>
      <c r="FK46" s="339">
        <f>FJ46*VLOOKUP(L46,各项系数!$D$1:$F$143,2,0)</f>
        <v>2.60030160579954</v>
      </c>
      <c r="FL46" s="302"/>
      <c r="FM46" s="123"/>
      <c r="FN46" s="251"/>
      <c r="FO46" s="339"/>
      <c r="FP46" s="364">
        <f t="shared" si="190"/>
        <v>0.254931529980347</v>
      </c>
      <c r="FQ46" s="364">
        <f t="shared" si="191"/>
        <v>2.60030160579954</v>
      </c>
      <c r="FR46" s="365">
        <f>各项系数!$F$76/4*($MQ46^2-$MN46^2*$EG46-$MO46^2*$EO46)*10^-2</f>
        <v>8.67926375469926</v>
      </c>
      <c r="FS46" s="366">
        <f t="shared" si="143"/>
        <v>0.05</v>
      </c>
      <c r="FT46" s="367">
        <f t="shared" si="40"/>
        <v>0.433963187734963</v>
      </c>
      <c r="FU46" s="388">
        <f>$FT46*(VLOOKUP($FT$9,各项系数!$D$1:$F$143,3,0))*10^-3*10^2*各项系数!$J$55</f>
        <v>0.0518152046155546</v>
      </c>
      <c r="FV46" s="389">
        <v>1</v>
      </c>
      <c r="FW46" s="390">
        <f t="shared" si="192"/>
        <v>0.0518152046155546</v>
      </c>
      <c r="FX46" s="367">
        <f>FW46*(VLOOKUP($FT$9,各项系数!$D$1:$F$143,2,0))</f>
        <v>0.155445613846664</v>
      </c>
      <c r="FY46" s="388">
        <f>IF($BK46&lt;&gt;$FY$9,0,各项系数!$F$76/4*($MS46^2-$MQ46^2)*10^-2*(VLOOKUP($FY$9,各项系数!$D$1:$F$143,3,0))*10^-3*10^2)*各项系数!$J$4</f>
        <v>0</v>
      </c>
      <c r="FZ46" s="389">
        <v>1</v>
      </c>
      <c r="GA46" s="390">
        <f t="shared" si="193"/>
        <v>0</v>
      </c>
      <c r="GB46" s="367">
        <f>GA46*(VLOOKUP($FY$9,各项系数!$D$1:$F$143,2,0))</f>
        <v>0</v>
      </c>
      <c r="GC46" s="388">
        <f>IF($BK46&lt;&gt;$GC$9,0,各项系数!$F$76/4*($MS46^2-$MQ46^2)*10^-2*(VLOOKUP($GC$9,各项系数!$D$1:$F$143,3,0))*10^-3*10^2)*各项系数!$J$4</f>
        <v>0.00467421081647696</v>
      </c>
      <c r="GD46" s="389">
        <v>1</v>
      </c>
      <c r="GE46" s="390">
        <f t="shared" si="194"/>
        <v>0.00467421081647696</v>
      </c>
      <c r="GF46" s="367">
        <f>GE46*(VLOOKUP($GC$9,各项系数!$D$1:$F$143,2,0))</f>
        <v>0.0602973195325528</v>
      </c>
      <c r="GG46" s="388">
        <f>IF($BK46&lt;&gt;$GG$9,0,各项系数!$F$76/4*($MS46^2-$MQ46^2)*10^-2*(VLOOKUP($GG$9,各项系数!$D$1:$F$143,3,0))*10^-3*10^2)*各项系数!$J$4</f>
        <v>0</v>
      </c>
      <c r="GH46" s="389">
        <v>1</v>
      </c>
      <c r="GI46" s="390">
        <f t="shared" si="195"/>
        <v>0</v>
      </c>
      <c r="GJ46" s="367">
        <f>GI46*(VLOOKUP($GG$9,各项系数!$D$1:$F$143,2,0))</f>
        <v>0</v>
      </c>
      <c r="GK46" s="388">
        <f>IF($BK46&lt;&gt;$GK$9,0,各项系数!$F$76/4*($MS46^2-$MQ46^2)*10^-2*(VLOOKUP($GK$9,各项系数!$D$1:$F$143,3,0))*10^-3*10^2)*各项系数!$J$4</f>
        <v>0</v>
      </c>
      <c r="GL46" s="389">
        <v>1</v>
      </c>
      <c r="GM46" s="390">
        <f t="shared" si="196"/>
        <v>0</v>
      </c>
      <c r="GN46" s="367">
        <f>GM46*(VLOOKUP($GK$9,各项系数!$D$1:$F$143,2,0))</f>
        <v>0</v>
      </c>
      <c r="GO46" s="390">
        <f t="shared" si="197"/>
        <v>0.00467421081647696</v>
      </c>
      <c r="GP46" s="390">
        <f t="shared" si="198"/>
        <v>0.0602973195325528</v>
      </c>
      <c r="GQ46" s="406">
        <f>各项系数!$F$76/4*($MU46^2-$MS46^2)*10^-2*(VLOOKUP($S46,各项系数!$D$1:$F$143,3,0))*10^-3*10^2*各项系数!$J$4</f>
        <v>0.87681846715735</v>
      </c>
      <c r="GR46" s="389">
        <v>1</v>
      </c>
      <c r="GS46" s="390">
        <f t="shared" si="199"/>
        <v>0.87681846715735</v>
      </c>
      <c r="GT46" s="390">
        <f t="shared" si="200"/>
        <v>0</v>
      </c>
      <c r="GU46" s="390">
        <f>ROUND($GS46*(VLOOKUP($S46,各项系数!$D$1:$F$143,2,0))+$E$3*GS46,GT46)</f>
        <v>5</v>
      </c>
      <c r="GV46" s="406">
        <f>各项系数!$F$76/4*($MT46^2-$MS46^2)*10^-2*(VLOOKUP($GV$9,各项系数!$D$1:$F$143,3,0))*10^-3*10^2*各项系数!$J$4*PI()/4*R46</f>
        <v>0.0658697861870091</v>
      </c>
      <c r="GW46" s="389">
        <v>1</v>
      </c>
      <c r="GX46" s="390">
        <f t="shared" si="201"/>
        <v>0.0658697861870091</v>
      </c>
      <c r="GY46" s="390">
        <f>$GX46*(VLOOKUP($GV$9,各项系数!$D$1:$F$143,2,0))</f>
        <v>4.44621056762311</v>
      </c>
      <c r="GZ46" s="406">
        <f>各项系数!$F$76/4*($MV46^2-$MS46^2)*10^-2*(VLOOKUP($GZ$9,各项系数!$D$1:$F$143,3,0))*10^-3*10^2*各项系数!$J$4</f>
        <v>0.585417104457766</v>
      </c>
      <c r="HA46" s="389">
        <v>1</v>
      </c>
      <c r="HB46" s="390">
        <f t="shared" si="144"/>
        <v>0.585417104457766</v>
      </c>
      <c r="HC46" s="390">
        <f>HB46*(VLOOKUP($GZ$9,各项系数!$D$1:$F$143,2,0))</f>
        <v>9.95209077578203</v>
      </c>
      <c r="HD46" s="406">
        <f>各项系数!$F$76/4*($MW46^2-$MT46^2)*10^-2*(VLOOKUP($HD$9,各项系数!$D$1:$F$143,3,0))*10^-3*10^2*各项系数!$J$4</f>
        <v>0.587302638102969</v>
      </c>
      <c r="HE46" s="389">
        <v>1</v>
      </c>
      <c r="HF46" s="390">
        <f t="shared" si="145"/>
        <v>0.587302638102969</v>
      </c>
      <c r="HG46" s="390">
        <f>HF46*(VLOOKUP($HD$9,各项系数!$D$1:$F$143,2,0))</f>
        <v>9.98414484775047</v>
      </c>
      <c r="HH46" s="406">
        <f>各项系数!$F$76/4*($MV46^2-$MS46^2)*10^-2*(VLOOKUP($HH$9,各项系数!$D$1:$F$143,3,0))*10^-3*10^2*各项系数!$J$4</f>
        <v>0.585417104457766</v>
      </c>
      <c r="HI46" s="420">
        <v>1</v>
      </c>
      <c r="HJ46" s="390">
        <f t="shared" si="146"/>
        <v>0.585417104457766</v>
      </c>
      <c r="HK46" s="390">
        <f>HJ46*(VLOOKUP($HH$9,各项系数!$D$1:$F$143,2,0))</f>
        <v>9.95209077578203</v>
      </c>
      <c r="HL46" s="406">
        <f>各项系数!$F$76/4*($MW46^2-$MT46^2)*10^-2*(VLOOKUP($HL$9,各项系数!$D$1:$F$143,3,0))*10^-3*10^2*各项系数!$J$4</f>
        <v>0.587302638102969</v>
      </c>
      <c r="HM46" s="420">
        <v>1</v>
      </c>
      <c r="HN46" s="390">
        <f t="shared" si="147"/>
        <v>0.587302638102969</v>
      </c>
      <c r="HO46" s="390">
        <f>HN46*(VLOOKUP($HL$9,各项系数!$D$1:$F$143,2,0))</f>
        <v>9.98414484775047</v>
      </c>
      <c r="HP46" s="406">
        <f>各项系数!$F$76/4*($MV46^2-$MS46^2)*10^-2*(VLOOKUP(AN46,各项系数!$D$1:$F$143,3,0))*10^-3*10^2*各项系数!$J$4</f>
        <v>0.593491823139942</v>
      </c>
      <c r="HQ46" s="389">
        <v>1</v>
      </c>
      <c r="HR46" s="390">
        <f t="shared" si="202"/>
        <v>0.593491823139942</v>
      </c>
      <c r="HS46" s="390">
        <f>HR46*(VLOOKUP(AN46,各项系数!$D$1:$F$143,2,0))</f>
        <v>5.93491823139942</v>
      </c>
      <c r="HT46" s="406">
        <f>各项系数!$F$76/4*($MW46^2-$MT46^2)*10^-2*(VLOOKUP(AN46,各项系数!$D$1:$F$143,3,0))*10^-3*10^2*各项系数!$J$4</f>
        <v>0.595403364145768</v>
      </c>
      <c r="HU46" s="389">
        <v>1</v>
      </c>
      <c r="HV46" s="390">
        <f t="shared" si="203"/>
        <v>0.595403364145768</v>
      </c>
      <c r="HW46" s="390">
        <f>HV46*(VLOOKUP(AN46,各项系数!$D$1:$F$143,2,0))</f>
        <v>5.95403364145768</v>
      </c>
      <c r="HX46" s="406">
        <f>各项系数!$F$76/4*($MV46^2-$MS46^2)*10^-2*(VLOOKUP($HX$9,各项系数!$D$1:$F$143,3,0))*10^-3*10^2*各项系数!$J$4</f>
        <v>0.593491823139942</v>
      </c>
      <c r="HY46" s="420">
        <v>1</v>
      </c>
      <c r="HZ46" s="390">
        <f t="shared" si="204"/>
        <v>0.593491823139942</v>
      </c>
      <c r="IA46" s="390">
        <f>HZ46*(VLOOKUP($HX$9,各项系数!$D$1:$F$143,2,0))</f>
        <v>6.52841005453937</v>
      </c>
      <c r="IB46" s="406">
        <f>各项系数!$F$76/4*($MW46^2-$MT46^2)*10^-2*(VLOOKUP($IB$9,各项系数!$D$1:$F$143,3,0))*10^-3*10^2*各项系数!$J$4</f>
        <v>0.595403364145768</v>
      </c>
      <c r="IC46" s="420">
        <v>1</v>
      </c>
      <c r="ID46" s="390">
        <f t="shared" si="205"/>
        <v>0.595403364145768</v>
      </c>
      <c r="IE46" s="390">
        <f>ID46*(VLOOKUP($IB$9,各项系数!$D$1:$F$143,2,0))</f>
        <v>6.54943700560345</v>
      </c>
      <c r="IF46" s="429"/>
      <c r="IG46" s="406">
        <f t="shared" si="148"/>
        <v>0.0574085449111339</v>
      </c>
      <c r="IH46" s="389">
        <v>1</v>
      </c>
      <c r="II46" s="390">
        <f t="shared" si="206"/>
        <v>0.0574085449111339</v>
      </c>
      <c r="IJ46" s="390">
        <f>II46*(VLOOKUP($IG$8,各项系数!$D$1:$F$143,2,0))</f>
        <v>1.43521362277835</v>
      </c>
      <c r="IK46" s="406">
        <f>(各项系数!$F$76/4*($MX46^2-$MK46^2)*$EG46)*10^-2*(VLOOKUP($IG$8,各项系数!$D$1:$F$143,3,0))*10^-3*10^2*各项系数!$J$4</f>
        <v>0.0574085449111339</v>
      </c>
      <c r="IL46" s="389">
        <f>IK46*(VLOOKUP($IG$8,各项系数!$D$1:$F$143,2,0))</f>
        <v>1.43521362277835</v>
      </c>
      <c r="IM46" s="390">
        <f>(各项系数!$F$76/4*(($MM46+3*$X46)^2-MM46^2)*$EO46)*10^-2*(VLOOKUP($IG$8,各项系数!$D$1:$F$143,3,0))*10^-3*10^2*各项系数!$J$4</f>
        <v>0</v>
      </c>
      <c r="IN46" s="389">
        <f>IM46*(VLOOKUP($IG$8,各项系数!$D$1:$F$143,2,0))</f>
        <v>0</v>
      </c>
      <c r="IO46" s="406">
        <f>各项系数!$F$76/4*($MZ46^2-$MX46^2)*10^-2*(VLOOKUP(L46,各项系数!$D$1:$F$143,3,0))*10^-3*10^2*$ES46*各项系数!$J$4</f>
        <v>0.261946015225429</v>
      </c>
      <c r="IP46" s="389">
        <v>1</v>
      </c>
      <c r="IQ46" s="390">
        <f t="shared" si="207"/>
        <v>0.261946015225429</v>
      </c>
      <c r="IR46" s="367">
        <f>IQ46*(VLOOKUP(L46,各项系数!$D$1:$F$143,2,0))</f>
        <v>2.67184935529938</v>
      </c>
      <c r="IS46" s="406">
        <f>IF($L46&lt;&gt;$IS$9,0,各项系数!$F$76/4*($MZ46^2-$MX46^2)*10^-2*各项系数!$F$12*10^-3*10^2)*$ES46*各项系数!$J$4</f>
        <v>0</v>
      </c>
      <c r="IT46" s="389">
        <v>1</v>
      </c>
      <c r="IU46" s="390">
        <f t="shared" si="208"/>
        <v>0</v>
      </c>
      <c r="IV46" s="367">
        <f>IU46*各项系数!$E$12</f>
        <v>0</v>
      </c>
      <c r="IW46" s="388">
        <f t="shared" si="209"/>
        <v>0.261946015225429</v>
      </c>
      <c r="IX46" s="388">
        <f t="shared" si="210"/>
        <v>2.67184935529938</v>
      </c>
      <c r="IY46" s="447">
        <f>各项系数!$F$76/4*($NB46^2-$MZ46^2*$EG46-$NA46^2*$EO46)*10^-2</f>
        <v>9.12799911190875</v>
      </c>
      <c r="IZ46" s="366">
        <f t="shared" si="231"/>
        <v>0.05</v>
      </c>
      <c r="JA46" s="367">
        <f t="shared" si="64"/>
        <v>0.456399955595438</v>
      </c>
      <c r="JB46" s="364">
        <f>IF($DE46&lt;&gt;$JB$9,0,$JA46*各项系数!$F$32*10^-3*10^2)*各项系数!$J$4</f>
        <v>0</v>
      </c>
      <c r="JC46" s="123">
        <v>1</v>
      </c>
      <c r="JD46" s="251">
        <f t="shared" si="211"/>
        <v>0</v>
      </c>
      <c r="JE46" s="339">
        <f>JD46*各项系数!$E$32</f>
        <v>0</v>
      </c>
      <c r="JF46" s="364">
        <f>IF($DE46&lt;&gt;$JF$9,0,$JA46*VLOOKUP($JF$9,各项系数!$D$4:$F$540,2,0)*10^-3*10^2)*各项系数!$J$4</f>
        <v>0.22705897790873</v>
      </c>
      <c r="JG46" s="123">
        <v>1</v>
      </c>
      <c r="JH46" s="251">
        <f t="shared" si="66"/>
        <v>0.22705897790873</v>
      </c>
      <c r="JI46" s="339">
        <f>JH46*VLOOKUP($JF$9,各项系数!$D$4:$F$540,3,0)</f>
        <v>0.272470773490476</v>
      </c>
      <c r="JJ46" s="364">
        <f t="shared" si="212"/>
        <v>0.22705897790873</v>
      </c>
      <c r="JK46" s="251">
        <f t="shared" si="213"/>
        <v>0.272470773490476</v>
      </c>
      <c r="JL46" s="364">
        <f>IF($DF46&lt;&gt;$JL$9,0,各项系数!$F$76/4*($NE46^2-$NC46^2)*10^-2*各项系数!$F$39*10^-3*10^2)*各项系数!$J$4</f>
        <v>0.00283755005155782</v>
      </c>
      <c r="JM46" s="123">
        <v>1</v>
      </c>
      <c r="JN46" s="251">
        <f t="shared" si="214"/>
        <v>0.00283755005155782</v>
      </c>
      <c r="JO46" s="339">
        <f>JN46*各项系数!$E$39</f>
        <v>0.0567510010311563</v>
      </c>
      <c r="JP46" s="364">
        <f>IF($DF46&lt;&gt;$JP$9,0,各项系数!$F$76/4*($NE46^2-$NC46^2)*10^-2*各项系数!$F$36*10^-3*10^2)*各项系数!$J$4</f>
        <v>0</v>
      </c>
      <c r="JQ46" s="123">
        <v>1</v>
      </c>
      <c r="JR46" s="251">
        <f t="shared" si="215"/>
        <v>0</v>
      </c>
      <c r="JS46" s="339">
        <f>JR46*各项系数!$E$36</f>
        <v>0</v>
      </c>
      <c r="JT46" s="364">
        <f>IF($DF46&lt;&gt;$JT$9,0,各项系数!$F$76/4*($NE46^2-$NC46^2)*10^-2*各项系数!$F$40*10^-3*10^2)*各项系数!$J$4</f>
        <v>0</v>
      </c>
      <c r="JU46" s="123">
        <v>1</v>
      </c>
      <c r="JV46" s="251">
        <f t="shared" si="216"/>
        <v>0</v>
      </c>
      <c r="JW46" s="339">
        <f>JV46*各项系数!$E$40</f>
        <v>0</v>
      </c>
      <c r="JX46" s="364">
        <f>IF($DF46&lt;&gt;$JX$9,0,各项系数!$F$76/4*($NE46^2-$NC46^2)*10^-2*各项系数!$F$38*10^-3*10^2)*各项系数!$J$4</f>
        <v>0</v>
      </c>
      <c r="JY46" s="123">
        <v>1</v>
      </c>
      <c r="JZ46" s="251">
        <f t="shared" si="217"/>
        <v>0</v>
      </c>
      <c r="KA46" s="339">
        <f>JZ46*各项系数!$E$38</f>
        <v>0</v>
      </c>
      <c r="KB46" s="364">
        <f>IF($DF46&lt;&gt;$KB$9,0,各项系数!$F$76/4*($NE46^2-$NC46^2)*10^-2*各项系数!$F$41*10^-3*10^2)*各项系数!$J$4</f>
        <v>0</v>
      </c>
      <c r="KC46" s="123">
        <v>1</v>
      </c>
      <c r="KD46" s="251">
        <f t="shared" si="218"/>
        <v>0</v>
      </c>
      <c r="KE46" s="339">
        <f>KD46*各项系数!$E$41</f>
        <v>0</v>
      </c>
      <c r="KF46" s="251">
        <f t="shared" si="219"/>
        <v>0.00283755005155782</v>
      </c>
      <c r="KG46" s="251">
        <f t="shared" si="220"/>
        <v>0.0567510010311563</v>
      </c>
      <c r="KH46" s="302">
        <f>各项系数!$F$76/4*($NG46^2-$NE46^2)*10^-2*各项系数!$F$44*10^-3*10^2*各项系数!$J$4*0.75*$U46</f>
        <v>1.34990919538678</v>
      </c>
      <c r="KI46" s="123">
        <v>1</v>
      </c>
      <c r="KJ46" s="251">
        <f t="shared" si="221"/>
        <v>1.34990919538678</v>
      </c>
      <c r="KK46" s="251">
        <f>ROUND(KJ46*各项系数!$E$43,GT46)</f>
        <v>8</v>
      </c>
      <c r="KL46" s="302">
        <f>各项系数!$F$76/4*($NF46^2-$NE46^2)*10^-2*各项系数!$F$46*10^-3*10^2*各项系数!$J$4*PI()/4*R46</f>
        <v>0.0676313977268742</v>
      </c>
      <c r="KM46" s="123">
        <v>1</v>
      </c>
      <c r="KN46" s="251">
        <f t="shared" si="222"/>
        <v>0.0676313977268742</v>
      </c>
      <c r="KO46" s="251">
        <f>KN46*各项系数!$E$46</f>
        <v>4.56511934656401</v>
      </c>
      <c r="KP46" s="302">
        <f>各项系数!$F$76/4*($NH46^2-$NE46^2)*10^-2*(VLOOKUP($KP$9,各项系数!$D$1:$F$143,3,0))*10^-3*10^2*各项系数!$J$4</f>
        <v>0.600279194237064</v>
      </c>
      <c r="KQ46" s="123">
        <v>1</v>
      </c>
      <c r="KR46" s="251">
        <f t="shared" si="150"/>
        <v>0.600279194237064</v>
      </c>
      <c r="KS46" s="251">
        <f>KR46*(VLOOKUP($KP$9,各项系数!$D$1:$F$143,2,0))</f>
        <v>10.2047463020301</v>
      </c>
      <c r="KT46" s="302">
        <f>各项系数!$F$76/4*($NI46^2-$NF46^2)*10^-2*(VLOOKUP($KT$9,各项系数!$D$1:$F$143,3,0))*10^-3*10^2*各项系数!$J$4</f>
        <v>0.602164727882266</v>
      </c>
      <c r="KU46" s="123">
        <v>1</v>
      </c>
      <c r="KV46" s="251">
        <f t="shared" si="151"/>
        <v>0.602164727882266</v>
      </c>
      <c r="KW46" s="251">
        <f>KV46*(VLOOKUP($KT$9,各项系数!$D$1:$F$143,2,0))</f>
        <v>10.2368003739985</v>
      </c>
      <c r="KX46" s="251">
        <f>各项系数!$F$76/4*($NH46^2-$NE46^2)*10^-2*(VLOOKUP($KX$9,各项系数!$D$1:$F$143,3,0))*10^-3*10^2*各项系数!$J$4</f>
        <v>0.600279194237064</v>
      </c>
      <c r="KY46" s="479">
        <v>1</v>
      </c>
      <c r="KZ46" s="251">
        <f t="shared" si="152"/>
        <v>0.600279194237064</v>
      </c>
      <c r="LA46" s="251">
        <f>KZ46*(VLOOKUP($KX$9,各项系数!$D$1:$F$143,2,0))</f>
        <v>10.2047463020301</v>
      </c>
      <c r="LB46" s="251">
        <f>各项系数!$F$76/4*($NI46^2-$NF46^2)*10^-2*(VLOOKUP($LB$9,各项系数!$D$1:$F$143,3,0))*10^-3*10^2*各项系数!$J$4</f>
        <v>0.602164727882266</v>
      </c>
      <c r="LC46" s="479">
        <v>1</v>
      </c>
      <c r="LD46" s="251">
        <f t="shared" si="153"/>
        <v>0.602164727882266</v>
      </c>
      <c r="LE46" s="251">
        <f>LD46*(VLOOKUP($LB$9,各项系数!$D$1:$F$143,2,0))</f>
        <v>10.2368003739985</v>
      </c>
      <c r="LF46" s="302">
        <f>各项系数!$F$76/4*($NH46^2-$NE46^2)*10^-2*(VLOOKUP(AN46,各项系数!$D$1:$F$143,3,0))*10^-3*10^2*各项系数!$J$4</f>
        <v>0.608558907261023</v>
      </c>
      <c r="LG46" s="123">
        <v>1</v>
      </c>
      <c r="LH46" s="251">
        <f t="shared" si="223"/>
        <v>0.608558907261023</v>
      </c>
      <c r="LI46" s="251">
        <f>LH46*(VLOOKUP(AN46,各项系数!$D$1:$F$143,2,0))</f>
        <v>6.08558907261023</v>
      </c>
      <c r="LJ46" s="302">
        <f>各项系数!$F$76/4*($NI46^2-$NF46^2)*10^-2*(VLOOKUP(AN46,各项系数!$D$1:$F$143,3,0))*10^-3*10^2*各项系数!$J$4</f>
        <v>0.610470448266849</v>
      </c>
      <c r="LK46" s="123">
        <v>1</v>
      </c>
      <c r="LL46" s="251">
        <f t="shared" si="224"/>
        <v>0.610470448266849</v>
      </c>
      <c r="LM46" s="251">
        <f>LL46*(VLOOKUP(AN46,各项系数!$D$1:$F$143,2,0))</f>
        <v>6.10470448266849</v>
      </c>
      <c r="LN46" s="251">
        <f>各项系数!$F$76/4*($NH46^2-$NE46^2)*10^-2*(VLOOKUP($LN$9,各项系数!$D$1:$F$143,3,0))*10^-3*10^2*各项系数!$J$4</f>
        <v>0.608558907261023</v>
      </c>
      <c r="LO46" s="479">
        <v>1</v>
      </c>
      <c r="LP46" s="251">
        <f t="shared" si="225"/>
        <v>0.608558907261023</v>
      </c>
      <c r="LQ46" s="251">
        <f>LP46*(VLOOKUP($LN$9,各项系数!$D$1:$F$143,2,0))</f>
        <v>6.69414797987126</v>
      </c>
      <c r="LR46" s="251">
        <f>各项系数!$F$76/4*($NI46^2-$NF46^2)*10^-2*(VLOOKUP($LR$9,各项系数!$D$1:$F$143,3,0))*10^-3*10^2*各项系数!$J$4</f>
        <v>0.610470448266849</v>
      </c>
      <c r="LS46" s="479">
        <v>1</v>
      </c>
      <c r="LT46" s="251">
        <f t="shared" si="226"/>
        <v>0.610470448266849</v>
      </c>
      <c r="LU46" s="251">
        <f>LT46*(VLOOKUP($LR$9,各项系数!$D$1:$F$143,2,0))</f>
        <v>6.71517493093534</v>
      </c>
      <c r="LV46" s="499">
        <f t="shared" si="154"/>
        <v>635.00583643</v>
      </c>
      <c r="LW46" s="499">
        <f t="shared" si="155"/>
        <v>458.88486815</v>
      </c>
      <c r="LX46" s="499">
        <f t="shared" si="156"/>
        <v>24.1716851007364</v>
      </c>
      <c r="LY46" s="515">
        <f t="shared" si="157"/>
        <v>176.12096828</v>
      </c>
      <c r="LZ46" s="516">
        <f t="shared" si="86"/>
        <v>1</v>
      </c>
      <c r="MA46" s="517">
        <f t="shared" si="87"/>
        <v>635.00583643</v>
      </c>
      <c r="MB46" s="517">
        <f t="shared" si="158"/>
        <v>20.10615008</v>
      </c>
      <c r="MC46" s="499">
        <f t="shared" si="159"/>
        <v>0</v>
      </c>
      <c r="MD46" s="499">
        <f t="shared" si="160"/>
        <v>0</v>
      </c>
      <c r="ME46" s="499">
        <f t="shared" si="161"/>
        <v>0</v>
      </c>
      <c r="MF46" s="499">
        <f t="shared" si="162"/>
        <v>0</v>
      </c>
      <c r="MG46" s="516">
        <f t="shared" si="163"/>
        <v>1</v>
      </c>
      <c r="MH46" s="517">
        <f t="shared" si="88"/>
        <v>0</v>
      </c>
      <c r="MI46" s="517">
        <f t="shared" si="164"/>
        <v>0</v>
      </c>
      <c r="MJ46" s="251">
        <f t="shared" si="89"/>
        <v>20.10615008</v>
      </c>
      <c r="MK46" s="251">
        <f t="shared" si="165"/>
        <v>20.10615008</v>
      </c>
      <c r="ML46" s="251">
        <f t="shared" si="227"/>
        <v>0</v>
      </c>
      <c r="MM46" s="251">
        <f t="shared" si="91"/>
        <v>0</v>
      </c>
      <c r="MN46" s="251">
        <f t="shared" si="92"/>
        <v>23.50615008</v>
      </c>
      <c r="MO46" s="251">
        <f t="shared" si="166"/>
        <v>0</v>
      </c>
      <c r="MP46" s="251">
        <f t="shared" si="167"/>
        <v>47.01230016</v>
      </c>
      <c r="MQ46" s="251">
        <f t="shared" si="228"/>
        <v>47.01230016</v>
      </c>
      <c r="MR46" s="314">
        <f t="shared" si="168"/>
        <v>46.90051304</v>
      </c>
      <c r="MS46" s="530">
        <f t="shared" si="94"/>
        <v>47.07651304</v>
      </c>
      <c r="MT46" s="530">
        <f t="shared" si="95"/>
        <v>47.23651304</v>
      </c>
      <c r="MU46" s="530">
        <f t="shared" si="232"/>
        <v>48.57651304</v>
      </c>
      <c r="MV46" s="530">
        <f t="shared" si="97"/>
        <v>52.27651304</v>
      </c>
      <c r="MW46" s="530">
        <f t="shared" si="98"/>
        <v>52.43651304</v>
      </c>
      <c r="MX46" s="326">
        <f t="shared" si="233"/>
        <v>20.70615008</v>
      </c>
      <c r="MY46" s="326">
        <f t="shared" si="100"/>
        <v>0</v>
      </c>
      <c r="MZ46" s="251">
        <f t="shared" si="101"/>
        <v>24.10615008</v>
      </c>
      <c r="NA46" s="251">
        <f t="shared" si="102"/>
        <v>0</v>
      </c>
      <c r="NB46" s="251">
        <f t="shared" si="169"/>
        <v>48.21230016</v>
      </c>
      <c r="NC46" s="326">
        <f t="shared" si="229"/>
        <v>48.21230016</v>
      </c>
      <c r="ND46" s="314">
        <f t="shared" si="234"/>
        <v>48.09765965</v>
      </c>
      <c r="NE46" s="537">
        <f t="shared" si="235"/>
        <v>48.33765965</v>
      </c>
      <c r="NF46" s="530">
        <f t="shared" si="106"/>
        <v>48.49765965</v>
      </c>
      <c r="NG46" s="538">
        <f t="shared" si="236"/>
        <v>49.83765965</v>
      </c>
      <c r="NH46" s="326">
        <f t="shared" si="108"/>
        <v>53.53765965</v>
      </c>
      <c r="NI46" s="530">
        <f t="shared" si="109"/>
        <v>53.69765965</v>
      </c>
      <c r="NK46" s="539">
        <f t="shared" si="110"/>
        <v>5.02488815348846</v>
      </c>
      <c r="NL46" s="539">
        <f t="shared" si="111"/>
        <v>278.609350483895</v>
      </c>
      <c r="NM46" s="539">
        <f t="shared" si="112"/>
        <v>5.02488815348846</v>
      </c>
      <c r="NN46" s="539">
        <f t="shared" si="113"/>
        <v>279.202842307035</v>
      </c>
      <c r="NO46" s="539">
        <f t="shared" si="114"/>
        <v>5.27778538029401</v>
      </c>
      <c r="NP46" s="539">
        <f t="shared" si="115"/>
        <v>280.380261538526</v>
      </c>
      <c r="NQ46" s="539">
        <f t="shared" si="116"/>
        <v>5.27778538029401</v>
      </c>
      <c r="NR46" s="539">
        <f t="shared" si="117"/>
        <v>280.988820445788</v>
      </c>
      <c r="NS46" s="539">
        <f t="shared" si="118"/>
        <v>5.09075793967547</v>
      </c>
      <c r="NT46" s="539">
        <f t="shared" si="119"/>
        <v>5.09075793967547</v>
      </c>
      <c r="NU46" s="539">
        <f t="shared" si="120"/>
        <v>5.34541677802089</v>
      </c>
      <c r="NV46" s="539">
        <f t="shared" si="121"/>
        <v>5.34541677802089</v>
      </c>
      <c r="NW46">
        <f t="shared" si="122"/>
        <v>5.90170662064581</v>
      </c>
      <c r="NX46">
        <f>各项系数!$M$9*NK46</f>
        <v>1.50746644604654</v>
      </c>
      <c r="NY46">
        <f t="shared" si="123"/>
        <v>5.09075793967547</v>
      </c>
    </row>
    <row r="47" s="11" customFormat="1" customHeight="1" spans="1:389">
      <c r="A47" s="92">
        <v>6</v>
      </c>
      <c r="B47" s="93">
        <v>1</v>
      </c>
      <c r="C47" s="94"/>
      <c r="D47" s="95" t="s">
        <v>333</v>
      </c>
      <c r="E47" s="96">
        <f t="shared" si="255"/>
        <v>56.97523175</v>
      </c>
      <c r="F47" s="97">
        <f>$F$31</f>
        <v>245.118138379664</v>
      </c>
      <c r="G47" s="95"/>
      <c r="H47" s="96"/>
      <c r="I47" s="127"/>
      <c r="J47" s="96"/>
      <c r="K47" s="96"/>
      <c r="L47" s="128" t="s">
        <v>467</v>
      </c>
      <c r="M47" s="129">
        <f t="shared" si="2"/>
        <v>1.8</v>
      </c>
      <c r="N47" s="129">
        <f t="shared" si="252"/>
        <v>0</v>
      </c>
      <c r="O47" s="95">
        <f t="shared" si="251"/>
        <v>0.08</v>
      </c>
      <c r="P47" s="120">
        <v>0.1</v>
      </c>
      <c r="Q47" s="176">
        <f t="shared" si="253"/>
        <v>0.1</v>
      </c>
      <c r="R47" s="93">
        <v>0.8</v>
      </c>
      <c r="S47" s="177" t="str">
        <f>各项系数!$D$43</f>
        <v>钢带</v>
      </c>
      <c r="T47" s="95">
        <v>0.5</v>
      </c>
      <c r="U47" s="127">
        <v>2</v>
      </c>
      <c r="V47" s="178"/>
      <c r="W47" s="179">
        <v>2.8</v>
      </c>
      <c r="X47" s="180">
        <f t="shared" si="254"/>
        <v>0.2</v>
      </c>
      <c r="Y47" s="227"/>
      <c r="Z47" s="228"/>
      <c r="AA47" s="229">
        <f>$AA$31</f>
        <v>1.02</v>
      </c>
      <c r="AB47" s="186">
        <f>PI()*EJ47*EJ47/4*EH47*(1-H47)*AA47*各项系数!$F$5*各项系数!$J$4*10^-7</f>
        <v>2.59714160229395</v>
      </c>
      <c r="AC47" s="230">
        <f t="shared" si="256"/>
        <v>245.118138379664</v>
      </c>
      <c r="AD47" s="230">
        <f t="shared" si="5"/>
        <v>293.609962330657</v>
      </c>
      <c r="AE47" s="230">
        <f>POWER(4*EU47/PI()/EG47/10^-7/EH47/(1-H47)/各项系数!$F$5/各项系数!$J$4,0.5)</f>
        <v>247.557184904753</v>
      </c>
      <c r="AF47" s="231">
        <v>1</v>
      </c>
      <c r="AG47" s="96">
        <f>IF(EM47=0,0,PI()*ER47*ER47/4*EP47*(1-K47)*(1+AF47)*各项系数!$F$5*各项系数!$J$4*10^-7)</f>
        <v>0</v>
      </c>
      <c r="AH47" s="96">
        <f t="shared" si="257"/>
        <v>0</v>
      </c>
      <c r="AI47" s="96">
        <f t="shared" si="128"/>
        <v>0</v>
      </c>
      <c r="AJ47" s="96">
        <f>IF(OR(EP47="",EP47=0),0,POWER(4*EW47/PI()/EO47/10^-7/EP47/(1-K47)/各项系数!$F$5/各项系数!$J$4,0.5))</f>
        <v>0</v>
      </c>
      <c r="AK47" s="96" t="str">
        <f t="shared" si="8"/>
        <v>√</v>
      </c>
      <c r="AL47" s="96">
        <f t="shared" si="258"/>
        <v>361.103417865725</v>
      </c>
      <c r="AM47" s="127">
        <f t="shared" si="259"/>
        <v>300</v>
      </c>
      <c r="AN47" s="128" t="s">
        <v>486</v>
      </c>
      <c r="AO47" s="176">
        <f>AP47+各项系数!$M$9*$NK47</f>
        <v>354.022958691888</v>
      </c>
      <c r="AP47" s="176">
        <f>AQ47*(1+$BI47+(VLOOKUP($AM47,$A$12:$B$323,2,0))+各项系数!$J$6+各项系数!$M$5)*(1+$E$2)</f>
        <v>352.147147209938</v>
      </c>
      <c r="AQ47" s="262">
        <f>AR47+各项系数!$L$9*$NK47</f>
        <v>359.33382368361</v>
      </c>
      <c r="AR47" s="262">
        <f>AS47*(1+$BJ47+各项系数!$J$5+各项系数!$L$5)</f>
        <v>357.458012201661</v>
      </c>
      <c r="AS47" s="262">
        <f t="shared" si="129"/>
        <v>350.449031570256</v>
      </c>
      <c r="AT47" s="176">
        <f>AU47+各项系数!$M$9*$NM47</f>
        <v>358.739037902091</v>
      </c>
      <c r="AU47" s="176">
        <f>AV47*(1+$BI47+(VLOOKUP($AM47,$A$12:$B$323,2,0))+各项系数!$J$6+各项系数!$M$5)*(1+$E$2)</f>
        <v>356.863226420141</v>
      </c>
      <c r="AV47" s="262">
        <f>AW47+各项系数!$L$9*$NM47</f>
        <v>364.146149408307</v>
      </c>
      <c r="AW47" s="262">
        <f>AX47*(1+$BJ47+各项系数!$J$5+各项系数!$L$5)</f>
        <v>362.270337926358</v>
      </c>
      <c r="AX47" s="262">
        <f t="shared" si="130"/>
        <v>355.166997967018</v>
      </c>
      <c r="AY47" s="176">
        <f>AZ47+各项系数!$M$9*$NS47</f>
        <v>358.935809672394</v>
      </c>
      <c r="AZ47" s="176">
        <f>BA47*(1+$BI47+(VLOOKUP($AM47,$A$12:$B$214,2,0))+各项系数!$J$6+各项系数!$M$5)*(1+$E$2)</f>
        <v>357.038435876598</v>
      </c>
      <c r="BA47" s="262">
        <f>BB47+各项系数!$L$9*$NS47</f>
        <v>364.324934567958</v>
      </c>
      <c r="BB47" s="262">
        <f>BC47*(1+$BJ47+各项系数!$J$5+各项系数!$L$5)</f>
        <v>362.427560772162</v>
      </c>
      <c r="BC47" s="262">
        <f t="shared" si="131"/>
        <v>355.321138011923</v>
      </c>
      <c r="BD47" s="176">
        <f>BE47+各项系数!$M$9*$NS47</f>
        <v>363.665817252616</v>
      </c>
      <c r="BE47" s="176">
        <f>BF47*(1+$BI47+(VLOOKUP($AM47,$A$12:$B$214,2,0))+各项系数!$J$6+各项系数!$M$5)*(1+$E$2)</f>
        <v>361.76844345682</v>
      </c>
      <c r="BF47" s="262">
        <f>BG47+各项系数!$L$9*$NS47</f>
        <v>369.151472915122</v>
      </c>
      <c r="BG47" s="262">
        <f>BH47*(1+$BJ47+各项系数!$J$5+各项系数!$L$5)</f>
        <v>367.254099119326</v>
      </c>
      <c r="BH47" s="262">
        <f t="shared" si="132"/>
        <v>360.053038352281</v>
      </c>
      <c r="BI47" s="278"/>
      <c r="BJ47" s="279"/>
      <c r="BK47" s="95" t="s">
        <v>514</v>
      </c>
      <c r="BL47" s="176">
        <f>BM47+各项系数!$M$9*$NM47</f>
        <v>358.160937438755</v>
      </c>
      <c r="BM47" s="176">
        <f>BN47*(1+$CF47+(VLOOKUP($AM47,$A$12:$B$323,2,0))+各项系数!$J$6+各项系数!$M$5)*(1+$E$2)</f>
        <v>356.285125956805</v>
      </c>
      <c r="BN47" s="262">
        <f>BO47+各项系数!$L$9*$NM47</f>
        <v>363.556250976332</v>
      </c>
      <c r="BO47" s="262">
        <f>BP47*(1+$CG47+各项系数!$J$5+各项系数!$L$5)</f>
        <v>361.680439494382</v>
      </c>
      <c r="BP47" s="262">
        <f t="shared" si="133"/>
        <v>351.146057761536</v>
      </c>
      <c r="BQ47" s="176">
        <f>BR47+各项系数!$M$9*$NM47</f>
        <v>362.219674482168</v>
      </c>
      <c r="BR47" s="176">
        <f>BS47*(1+$CF47+(VLOOKUP($AM47,$A$12:$B$323,2,0))+各项系数!$J$6+各项系数!$M$5)*(1+$E$2)</f>
        <v>360.343863000218</v>
      </c>
      <c r="BS47" s="262">
        <f>BT47+各项系数!$L$9*$NM47</f>
        <v>367.697819387978</v>
      </c>
      <c r="BT47" s="262">
        <f>BU47*(1+$CG47+各项系数!$J$5+各项系数!$L$5)</f>
        <v>365.822007906028</v>
      </c>
      <c r="BU47" s="262">
        <f t="shared" si="134"/>
        <v>355.166997967018</v>
      </c>
      <c r="BV47" s="176">
        <f>BW47+各项系数!$M$9*$NT47</f>
        <v>361.2722848109</v>
      </c>
      <c r="BW47" s="176">
        <f>BX47*(1+$CF47+(VLOOKUP($AM47,$A$12:$B$214,2,0))+各项系数!$J$6+各项系数!$M$5)*(1+$E$2)</f>
        <v>359.374911015104</v>
      </c>
      <c r="BX47" s="262">
        <f>BY47+各项系数!$L$9*$NT$12</f>
        <v>366.709092872555</v>
      </c>
      <c r="BY47" s="262">
        <f>BZ47*(1+$CG47+各项系数!$J$5+各项系数!$L$5)</f>
        <v>366.7008294694</v>
      </c>
      <c r="BZ47" s="262">
        <f t="shared" si="11"/>
        <v>356.020222785825</v>
      </c>
      <c r="CA47" s="176">
        <f>CB47+各项系数!$M$9*$NT47</f>
        <v>365.34300884368</v>
      </c>
      <c r="CB47" s="176">
        <f>CC47*(1+$CF47+(VLOOKUP($AM47,$A$12:$B$214,2,0))+各项系数!$J$6+各项系数!$M$5)*(1+$E$2)</f>
        <v>363.445635047884</v>
      </c>
      <c r="CC47" s="262">
        <f>CD47+各项系数!$L$9*$NT$12</f>
        <v>370.862892906004</v>
      </c>
      <c r="CD47" s="262">
        <f>CE47*(1+$CG47+各项系数!$J$5+各项系数!$L$5)</f>
        <v>370.854629502849</v>
      </c>
      <c r="CE47" s="262">
        <f t="shared" si="135"/>
        <v>360.053038352281</v>
      </c>
      <c r="CF47" s="278">
        <f t="shared" si="136"/>
        <v>0</v>
      </c>
      <c r="CG47" s="278">
        <f t="shared" si="12"/>
        <v>0.01</v>
      </c>
      <c r="CH47" s="127"/>
      <c r="CI47" s="176">
        <f>CJ47+各项系数!$M$9*$NO47</f>
        <v>358.022171197884</v>
      </c>
      <c r="CJ47" s="176">
        <f>CK47*(1+$DC47+(VLOOKUP($AM47,$A$12:$B$323,2,0))+各项系数!$J$6+各项系数!$M$5)*(1+$E$2)+各项系数!$M$9*$NK47</f>
        <v>356.058513424363</v>
      </c>
      <c r="CK47" s="262">
        <f>CL47+各项系数!$L$9*$NO47</f>
        <v>361.410920349402</v>
      </c>
      <c r="CL47" s="262">
        <f>CM47*(1+$DD47+各项系数!$J$5+各项系数!$L$5)</f>
        <v>359.447262575881</v>
      </c>
      <c r="CM47" s="262">
        <f t="shared" si="13"/>
        <v>352.399277035177</v>
      </c>
      <c r="CN47" s="176">
        <f>CO47+各项系数!$M$9*$NO47</f>
        <v>362.57605440653</v>
      </c>
      <c r="CO47" s="176">
        <f>CP47*(1+$DC47+(VLOOKUP($AM47,$A$12:$B$323,2,0))+各项系数!$J$6+各项系数!$M$5)*(1+$E$2)+各项系数!$M$9*$NK47</f>
        <v>360.612396633009</v>
      </c>
      <c r="CP47" s="262">
        <f>CQ47+各项系数!$L$9*$NO47</f>
        <v>366.057739950061</v>
      </c>
      <c r="CQ47" s="262">
        <f>CR47*(1+$DD47+各项系数!$J$5+各项系数!$L$5)</f>
        <v>364.09408217654</v>
      </c>
      <c r="CR47" s="262">
        <f t="shared" si="14"/>
        <v>356.95498252602</v>
      </c>
      <c r="CS47" s="176">
        <f>CT47+各项系数!$M$9*$NU47</f>
        <v>361.179118309126</v>
      </c>
      <c r="CT47" s="176">
        <f t="shared" si="15"/>
        <v>359.193369738296</v>
      </c>
      <c r="CU47" s="262">
        <f>CV47+各项系数!$L$9*$NU47</f>
        <v>366.523846671731</v>
      </c>
      <c r="CV47" s="262">
        <f>CW47*(1+$DD47+各项系数!$J$5+各项系数!$L$5)</f>
        <v>364.538098100901</v>
      </c>
      <c r="CW47" s="262">
        <f t="shared" si="16"/>
        <v>357.390292255786</v>
      </c>
      <c r="CX47" s="176">
        <f>CY47+各项系数!$M$9*$NU47</f>
        <v>366.018911618292</v>
      </c>
      <c r="CY47" s="176">
        <f t="shared" si="17"/>
        <v>364.033163047463</v>
      </c>
      <c r="CZ47" s="262">
        <f>DA47+各项系数!$L$9*$NU47</f>
        <v>371.462411272921</v>
      </c>
      <c r="DA47" s="262">
        <f>DB47*(1+$DD47+各项系数!$J$5+各项系数!$L$5)</f>
        <v>369.476662702092</v>
      </c>
      <c r="DB47" s="262">
        <f t="shared" si="18"/>
        <v>362.232022256953</v>
      </c>
      <c r="DC47" s="278">
        <f t="shared" si="137"/>
        <v>0</v>
      </c>
      <c r="DD47" s="278">
        <f t="shared" si="19"/>
        <v>0</v>
      </c>
      <c r="DE47" s="95" t="s">
        <v>498</v>
      </c>
      <c r="DF47" s="95" t="s">
        <v>513</v>
      </c>
      <c r="DG47" s="176">
        <f>DH47+各项系数!$M$9*$NQ47</f>
        <v>362.195640966151</v>
      </c>
      <c r="DH47" s="176">
        <f>DI47*(1+$EA47+(VLOOKUP($AM47,$A$12:$B$323,2,0))+各项系数!$J$6+各项系数!$M$5)*(1+$E$2)+各项系数!$M$9*$NK47</f>
        <v>360.23198319263</v>
      </c>
      <c r="DI47" s="262">
        <f>DJ47+各项系数!$L$9*$NQ47</f>
        <v>365.669562970082</v>
      </c>
      <c r="DJ47" s="262">
        <f>DK47*(1+$EB47+各项系数!$J$5+各项系数!$L$5)</f>
        <v>363.705905196561</v>
      </c>
      <c r="DK47" s="262">
        <f t="shared" si="20"/>
        <v>353.112529317049</v>
      </c>
      <c r="DL47" s="176">
        <f>DM47+各项系数!$M$9*$NQ47</f>
        <v>366.348861453341</v>
      </c>
      <c r="DM47" s="176">
        <f>DN47*(1+$EA47+(VLOOKUP($AM47,$A$12:$B$323,2,0))+各项系数!$J$6+各项系数!$M$5)*(1+$E$2)+各项系数!$M$9*$NK47</f>
        <v>364.38520367982</v>
      </c>
      <c r="DN47" s="262">
        <f>DO47+各项系数!$L$9*$NQ47</f>
        <v>369.907543059052</v>
      </c>
      <c r="DO47" s="262">
        <f>DP47*(1+$EB47+各项系数!$J$5+各项系数!$L$5)</f>
        <v>367.943885285531</v>
      </c>
      <c r="DP47" s="262">
        <f t="shared" si="21"/>
        <v>357.227073092748</v>
      </c>
      <c r="DQ47" s="176">
        <f>DR47+各项系数!$M$9*$NV47</f>
        <v>365.403577959853</v>
      </c>
      <c r="DR47" s="176">
        <f t="shared" si="22"/>
        <v>363.417829389023</v>
      </c>
      <c r="DS47" s="262">
        <f>DT47+各项系数!$L$9*$NV47</f>
        <v>370.834519784718</v>
      </c>
      <c r="DT47" s="262">
        <f>DU47*(1+$EB47+各项系数!$J$5+各项系数!$L$5)</f>
        <v>368.848771213888</v>
      </c>
      <c r="DU47" s="262">
        <f t="shared" si="23"/>
        <v>358.10560312028</v>
      </c>
      <c r="DV47" s="176">
        <f>DW47+各项系数!$M$9*$NV47</f>
        <v>366.451336899205</v>
      </c>
      <c r="DW47" s="176">
        <f t="shared" si="24"/>
        <v>364.465588328375</v>
      </c>
      <c r="DX47" s="262">
        <f>DY47+各项系数!$L$9*$NV47</f>
        <v>371.903661559567</v>
      </c>
      <c r="DY47" s="262">
        <f>DZ47*(1+$EB47+各项系数!$J$5+各项系数!$L$5)</f>
        <v>369.917912988737</v>
      </c>
      <c r="DZ47" s="262">
        <f t="shared" si="25"/>
        <v>359.143604843434</v>
      </c>
      <c r="EA47" s="278">
        <f t="shared" si="230"/>
        <v>0</v>
      </c>
      <c r="EB47" s="278">
        <f t="shared" si="27"/>
        <v>0.01</v>
      </c>
      <c r="EC47" s="304">
        <f t="shared" si="138"/>
        <v>2</v>
      </c>
      <c r="ED47" s="304" t="str">
        <f t="shared" si="260"/>
        <v>2*300</v>
      </c>
      <c r="EE47" s="95">
        <f t="shared" si="239"/>
        <v>300</v>
      </c>
      <c r="EF47" s="95" t="str">
        <f>LOOKUP(EH47,{1,7,10,14,19,24,30,37,48,61},{1,"1+6","2+8","4+10","1+6+12","2+8+14","4+10+16","1+6+12+18","3+9+15+21","1+6+12+18+24"})</f>
        <v>1+6+12+18+24</v>
      </c>
      <c r="EG47" s="127">
        <f t="shared" si="29"/>
        <v>2</v>
      </c>
      <c r="EH47" s="262">
        <f>VLOOKUP(EE47,各项系数!$B$87:$C$124,2,0)</f>
        <v>61</v>
      </c>
      <c r="EI47" s="127">
        <f>IF(EH47=0,0,VLOOKUP(EH47,各项系数!$D$142:$E$195,2,0))*1</f>
        <v>9</v>
      </c>
      <c r="EJ47" s="307">
        <f t="shared" si="141"/>
        <v>245.118138379664</v>
      </c>
      <c r="EK47" s="95">
        <f t="shared" si="261"/>
        <v>0</v>
      </c>
      <c r="EL47" s="95">
        <f t="shared" si="31"/>
        <v>0</v>
      </c>
      <c r="EM47" s="95">
        <f t="shared" si="262"/>
        <v>0</v>
      </c>
      <c r="EN47" s="95">
        <f>IF(EP47=0,0,LOOKUP(EP47,{1,7,10,14,19,24,30,37,48,61},{1,"1+6","2+8","4+10","1+6+12","2+8+14","4+10+16","1+6+12+18","3+9+15+21","1+6+12+18+24"}))</f>
        <v>0</v>
      </c>
      <c r="EO47" s="95">
        <f t="shared" si="263"/>
        <v>0</v>
      </c>
      <c r="EP47" s="95">
        <f>IF(EM47=0,0,IF(EM47&lt;10,1,IF(AND(EM47&gt;=10,EM47&lt;=35),7,LOOKUP(EM47,{50,70,95,120,150,185,240,300},{10,14,19,24,30,37,48,61})*1)))</f>
        <v>0</v>
      </c>
      <c r="EQ47" s="95">
        <f>IF(EP47=0,0,VLOOKUP(EP47,各项系数!$D$142:$E$195,2,0))*1</f>
        <v>0</v>
      </c>
      <c r="ER47" s="95">
        <f t="shared" si="264"/>
        <v>0</v>
      </c>
      <c r="ES47" s="304">
        <f t="shared" si="250"/>
        <v>2</v>
      </c>
      <c r="ET47" s="95">
        <f>VLOOKUP(ES47,各项系数!$D$142:$E$195,2,0)*1</f>
        <v>2</v>
      </c>
      <c r="EU47" s="311">
        <f>((各项系数!$F$76/4*$EJ47^2*$EG47*$EH47*1*10^-7)*(1-$H47)*AA47)*(VLOOKUP($EY$9,各项系数!$D$4:$F$143,3,0))*各项系数!$J$4</f>
        <v>5.19428320458789</v>
      </c>
      <c r="EV47" s="314">
        <f>EU47*(VLOOKUP($EY$9,各项系数!$D$4:$F$143,2,0))</f>
        <v>340.225549900507</v>
      </c>
      <c r="EW47" s="324">
        <f>(IF($EO47=0,0,(各项系数!$F$76/4*$ER47^2*$EO47*$EP47*1*10^-7))*(1-$K47)*$AF47)*(VLOOKUP($EY$9,各项系数!$D$4:$F$143,3,0))*各项系数!$J$4</f>
        <v>0</v>
      </c>
      <c r="EX47" s="314">
        <f>EW47*(VLOOKUP($EY$9,各项系数!$D$4:$F$143,2,0))</f>
        <v>0</v>
      </c>
      <c r="EY47" s="251">
        <f>((各项系数!$F$76/4*$EJ47^2*$EG47*$EH47*1*10^-7)*(1-$H47)*AA47+IF($EO47=0,0,(各项系数!$F$76/4*$ER47^2*$EO47*$EP47*1*10^-7))*(1-$K47)*$AF47)*(VLOOKUP($EY$9,各项系数!$D$4:$F$143,3,0))*各项系数!$J$4</f>
        <v>5.19428320458789</v>
      </c>
      <c r="EZ47" s="127">
        <v>1</v>
      </c>
      <c r="FA47" s="95">
        <f t="shared" si="188"/>
        <v>5.19428320458789</v>
      </c>
      <c r="FB47" s="314">
        <f>FA47*(VLOOKUP($EY$9,各项系数!$D$4:$F$143,2,0))</f>
        <v>340.225549900507</v>
      </c>
      <c r="FC47" s="329"/>
      <c r="FD47" s="304">
        <f>各项系数!$F$76/4*($MN47^2-MK47^2)*10^-2*(VLOOKUP(L47,各项系数!$D$1:$F$143,3,0))*10^-3*10^2*$EG47*各项系数!$J$4</f>
        <v>0.295358918908977</v>
      </c>
      <c r="FE47" s="341">
        <f>FD47*VLOOKUP(L47,各项系数!$D$1:$F$143,2,0)</f>
        <v>3.01266097287156</v>
      </c>
      <c r="FF47" s="127">
        <f>各项系数!$F$76/4*($MO47^2-ML47^2)*10^-2*(VLOOKUP(L47,各项系数!$D$1:$F$143,3,0))*10^-3*10^2*$EO47*各项系数!$J$4</f>
        <v>0</v>
      </c>
      <c r="FG47" s="341">
        <f>FF47*VLOOKUP(L47,各项系数!$D$1:$F$143,2,0)</f>
        <v>0</v>
      </c>
      <c r="FH47" s="304">
        <f t="shared" si="142"/>
        <v>0.295358918908977</v>
      </c>
      <c r="FI47" s="127">
        <v>1</v>
      </c>
      <c r="FJ47" s="95">
        <f t="shared" si="189"/>
        <v>0.295358918908977</v>
      </c>
      <c r="FK47" s="341">
        <f>FJ47*VLOOKUP(L47,各项系数!$D$1:$F$143,2,0)</f>
        <v>3.01266097287156</v>
      </c>
      <c r="FL47" s="304"/>
      <c r="FM47" s="127"/>
      <c r="FN47" s="95"/>
      <c r="FO47" s="341"/>
      <c r="FP47" s="371">
        <f t="shared" si="190"/>
        <v>0.295358918908977</v>
      </c>
      <c r="FQ47" s="371">
        <f t="shared" si="191"/>
        <v>3.01266097287156</v>
      </c>
      <c r="FR47" s="365">
        <f>各项系数!$F$76/4*($MQ47^2-$MN47^2*$EG47-$MO47^2*$EO47)*10^-2</f>
        <v>10.3431920398187</v>
      </c>
      <c r="FS47" s="366">
        <f t="shared" si="143"/>
        <v>0.05</v>
      </c>
      <c r="FT47" s="372">
        <f t="shared" si="40"/>
        <v>0.517159601990935</v>
      </c>
      <c r="FU47" s="395">
        <f>$FT47*(VLOOKUP($FT$9,各项系数!$D$1:$F$143,3,0))*10^-3*10^2*各项系数!$J$55</f>
        <v>0.0617488564777176</v>
      </c>
      <c r="FV47" s="396">
        <v>1</v>
      </c>
      <c r="FW47" s="397">
        <f t="shared" si="192"/>
        <v>0.0617488564777176</v>
      </c>
      <c r="FX47" s="372">
        <f>FW47*(VLOOKUP($FT$9,各项系数!$D$1:$F$143,2,0))</f>
        <v>0.185246569433153</v>
      </c>
      <c r="FY47" s="395">
        <f>IF($BK47&lt;&gt;$FY$9,0,各项系数!$F$76/4*($MS47^2-$MQ47^2)*10^-2*(VLOOKUP($FY$9,各项系数!$D$1:$F$143,3,0))*10^-3*10^2)*各项系数!$J$4</f>
        <v>0</v>
      </c>
      <c r="FZ47" s="396">
        <v>1</v>
      </c>
      <c r="GA47" s="397">
        <f t="shared" si="193"/>
        <v>0</v>
      </c>
      <c r="GB47" s="372">
        <f>GA47*(VLOOKUP($FY$9,各项系数!$D$1:$F$143,2,0))</f>
        <v>0</v>
      </c>
      <c r="GC47" s="395">
        <f>IF($BK47&lt;&gt;$GC$9,0,各项系数!$F$76/4*($MS47^2-$MQ47^2)*10^-2*(VLOOKUP($GC$9,各项系数!$D$1:$F$143,3,0))*10^-3*10^2)*各项系数!$J$4</f>
        <v>0.00428776857674624</v>
      </c>
      <c r="GD47" s="396">
        <v>1</v>
      </c>
      <c r="GE47" s="397">
        <f t="shared" si="194"/>
        <v>0.00428776857674624</v>
      </c>
      <c r="GF47" s="372">
        <f>GE47*(VLOOKUP($GC$9,各项系数!$D$1:$F$143,2,0))</f>
        <v>0.0553122146400265</v>
      </c>
      <c r="GG47" s="395">
        <f>IF($BK47&lt;&gt;$GG$9,0,各项系数!$F$76/4*($MS47^2-$MQ47^2)*10^-2*(VLOOKUP($GG$9,各项系数!$D$1:$F$143,3,0))*10^-3*10^2)*各项系数!$J$4</f>
        <v>0</v>
      </c>
      <c r="GH47" s="396">
        <v>1</v>
      </c>
      <c r="GI47" s="397">
        <f t="shared" si="195"/>
        <v>0</v>
      </c>
      <c r="GJ47" s="372">
        <f>GI47*(VLOOKUP($GG$9,各项系数!$D$1:$F$143,2,0))</f>
        <v>0</v>
      </c>
      <c r="GK47" s="395">
        <f>IF($BK47&lt;&gt;$GK$9,0,各项系数!$F$76/4*($MS47^2-$MQ47^2)*10^-2*(VLOOKUP($GK$9,各项系数!$D$1:$F$143,3,0))*10^-3*10^2)*各项系数!$J$4</f>
        <v>0</v>
      </c>
      <c r="GL47" s="396">
        <v>1</v>
      </c>
      <c r="GM47" s="397">
        <f t="shared" si="196"/>
        <v>0</v>
      </c>
      <c r="GN47" s="372">
        <f>GM47*(VLOOKUP($GK$9,各项系数!$D$1:$F$143,2,0))</f>
        <v>0</v>
      </c>
      <c r="GO47" s="397">
        <f t="shared" si="197"/>
        <v>0.00428776857674624</v>
      </c>
      <c r="GP47" s="397">
        <f t="shared" si="198"/>
        <v>0.0553122146400265</v>
      </c>
      <c r="GQ47" s="408">
        <f>各项系数!$F$76/4*($MU47^2-$MS47^2)*10^-2*(VLOOKUP($S47,各项系数!$D$1:$F$143,3,0))*10^-3*10^2*各项系数!$J$4</f>
        <v>0.955628225813401</v>
      </c>
      <c r="GR47" s="396">
        <v>1</v>
      </c>
      <c r="GS47" s="397">
        <f t="shared" si="199"/>
        <v>0.955628225813401</v>
      </c>
      <c r="GT47" s="397">
        <f t="shared" si="200"/>
        <v>0</v>
      </c>
      <c r="GU47" s="397">
        <f>ROUND($GS47*(VLOOKUP($S47,各项系数!$D$1:$F$143,2,0))+$E$3*GS47,GT47)</f>
        <v>6</v>
      </c>
      <c r="GV47" s="406">
        <f>各项系数!$F$76/4*($MT47^2-$MS47^2)*10^-2*(VLOOKUP($GV$9,各项系数!$D$1:$F$143,3,0))*10^-3*10^2*各项系数!$J$4*PI()/4*R47</f>
        <v>0.0718743794881632</v>
      </c>
      <c r="GW47" s="396">
        <v>1</v>
      </c>
      <c r="GX47" s="397">
        <f t="shared" si="201"/>
        <v>0.0718743794881632</v>
      </c>
      <c r="GY47" s="397">
        <f>$GX47*(VLOOKUP($GV$9,各项系数!$D$1:$F$143,2,0))</f>
        <v>4.85152061545102</v>
      </c>
      <c r="GZ47" s="408">
        <f>各项系数!$F$76/4*($MV47^2-$MS47^2)*10^-2*(VLOOKUP($GZ$9,各项系数!$D$1:$F$143,3,0))*10^-3*10^2*各项系数!$J$4</f>
        <v>0.687542841739169</v>
      </c>
      <c r="HA47" s="396">
        <v>1</v>
      </c>
      <c r="HB47" s="397">
        <f t="shared" si="144"/>
        <v>0.687542841739169</v>
      </c>
      <c r="HC47" s="397">
        <f>HB47*(VLOOKUP($GZ$9,各项系数!$D$1:$F$143,2,0))</f>
        <v>11.6882283095659</v>
      </c>
      <c r="HD47" s="408">
        <f>各项系数!$F$76/4*($MW47^2-$MT47^2)*10^-2*(VLOOKUP($HD$9,各项系数!$D$1:$F$143,3,0))*10^-3*10^2*各项系数!$J$4</f>
        <v>0.689573416434002</v>
      </c>
      <c r="HE47" s="396">
        <v>1</v>
      </c>
      <c r="HF47" s="397">
        <f t="shared" si="145"/>
        <v>0.689573416434002</v>
      </c>
      <c r="HG47" s="397">
        <f>HF47*(VLOOKUP($HD$9,各项系数!$D$1:$F$143,2,0))</f>
        <v>11.722748079378</v>
      </c>
      <c r="HH47" s="408">
        <f>各项系数!$F$76/4*($MV47^2-$MS47^2)*10^-2*(VLOOKUP($HH$9,各项系数!$D$1:$F$143,3,0))*10^-3*10^2*各项系数!$J$4</f>
        <v>0.687542841739169</v>
      </c>
      <c r="HI47" s="397">
        <v>1</v>
      </c>
      <c r="HJ47" s="397">
        <f t="shared" si="146"/>
        <v>0.687542841739169</v>
      </c>
      <c r="HK47" s="397">
        <f>HJ47*(VLOOKUP($HH$9,各项系数!$D$1:$F$143,2,0))</f>
        <v>11.6882283095659</v>
      </c>
      <c r="HL47" s="408">
        <f>各项系数!$F$76/4*($MW47^2-$MT47^2)*10^-2*(VLOOKUP($HL$9,各项系数!$D$1:$F$143,3,0))*10^-3*10^2*各项系数!$J$4</f>
        <v>0.689573416434002</v>
      </c>
      <c r="HM47" s="397">
        <v>1</v>
      </c>
      <c r="HN47" s="397">
        <f t="shared" si="147"/>
        <v>0.689573416434002</v>
      </c>
      <c r="HO47" s="397">
        <f>HN47*(VLOOKUP($HL$9,各项系数!$D$1:$F$143,2,0))</f>
        <v>11.722748079378</v>
      </c>
      <c r="HP47" s="408">
        <f>各项系数!$F$76/4*($MV47^2-$MS47^2)*10^-2*(VLOOKUP(AN47,各项系数!$D$1:$F$143,3,0))*10^-3*10^2*各项系数!$J$4</f>
        <v>0.697026191280399</v>
      </c>
      <c r="HQ47" s="396">
        <v>1</v>
      </c>
      <c r="HR47" s="397">
        <f t="shared" si="202"/>
        <v>0.697026191280399</v>
      </c>
      <c r="HS47" s="397">
        <f>HR47*(VLOOKUP(AN47,各项系数!$D$1:$F$143,2,0))</f>
        <v>6.97026191280399</v>
      </c>
      <c r="HT47" s="408">
        <f>各项系数!$F$76/4*($MW47^2-$MT47^2)*10^-2*(VLOOKUP(AN47,各项系数!$D$1:$F$143,3,0))*10^-3*10^2*各项系数!$J$4</f>
        <v>0.699084773902057</v>
      </c>
      <c r="HU47" s="396">
        <v>1</v>
      </c>
      <c r="HV47" s="397">
        <f t="shared" si="203"/>
        <v>0.699084773902057</v>
      </c>
      <c r="HW47" s="397">
        <f>HV47*(VLOOKUP(AN47,各项系数!$D$1:$F$143,2,0))</f>
        <v>6.99084773902057</v>
      </c>
      <c r="HX47" s="408">
        <f>各项系数!$F$76/4*($MV47^2-$MS47^2)*10^-2*(VLOOKUP($HX$9,各项系数!$D$1:$F$143,3,0))*10^-3*10^2*各项系数!$J$4</f>
        <v>0.697026191280399</v>
      </c>
      <c r="HY47" s="397">
        <v>1</v>
      </c>
      <c r="HZ47" s="397">
        <f t="shared" si="204"/>
        <v>0.697026191280399</v>
      </c>
      <c r="IA47" s="397">
        <f>HZ47*(VLOOKUP($HX$9,各项系数!$D$1:$F$143,2,0))</f>
        <v>7.66728810408439</v>
      </c>
      <c r="IB47" s="408">
        <f>各项系数!$F$76/4*($MW47^2-$MT47^2)*10^-2*(VLOOKUP($IB$9,各项系数!$D$1:$F$143,3,0))*10^-3*10^2*各项系数!$J$4</f>
        <v>0.699084773902057</v>
      </c>
      <c r="IC47" s="397">
        <v>1</v>
      </c>
      <c r="ID47" s="397">
        <f t="shared" si="205"/>
        <v>0.699084773902057</v>
      </c>
      <c r="IE47" s="397">
        <f>ID47*(VLOOKUP($IB$9,各项系数!$D$1:$F$143,2,0))</f>
        <v>7.68993251292263</v>
      </c>
      <c r="IF47" s="395"/>
      <c r="IG47" s="408">
        <f t="shared" si="148"/>
        <v>0.062907082692833</v>
      </c>
      <c r="IH47" s="396">
        <v>1</v>
      </c>
      <c r="II47" s="397">
        <f t="shared" si="206"/>
        <v>0.062907082692833</v>
      </c>
      <c r="IJ47" s="397">
        <f>II47*(VLOOKUP($IG$8,各项系数!$D$1:$F$143,2,0))</f>
        <v>1.57267706732083</v>
      </c>
      <c r="IK47" s="408">
        <f>(各项系数!$F$76/4*($MX47^2-$MK47^2)*$EG47)*10^-2*(VLOOKUP($IG$8,各项系数!$D$1:$F$143,3,0))*10^-3*10^2*各项系数!$J$4</f>
        <v>0.062907082692833</v>
      </c>
      <c r="IL47" s="396">
        <f>IK47*(VLOOKUP($IG$8,各项系数!$D$1:$F$143,2,0))</f>
        <v>1.57267706732083</v>
      </c>
      <c r="IM47" s="397">
        <f>(各项系数!$F$76/4*(($MM47+3*$X47)^2-MM47^2)*$EO47)*10^-2*(VLOOKUP($IG$8,各项系数!$D$1:$F$143,3,0))*10^-3*10^2*各项系数!$J$4</f>
        <v>0</v>
      </c>
      <c r="IN47" s="396">
        <f>IM47*(VLOOKUP($IG$8,各项系数!$D$1:$F$143,2,0))</f>
        <v>0</v>
      </c>
      <c r="IO47" s="408">
        <f>各项系数!$F$76/4*($MZ47^2-$MX47^2)*10^-2*(VLOOKUP(L47,各项系数!$D$1:$F$143,3,0))*10^-3*10^2*$ES47*各项系数!$J$4</f>
        <v>0.302786020933182</v>
      </c>
      <c r="IP47" s="396">
        <v>1</v>
      </c>
      <c r="IQ47" s="397">
        <f t="shared" si="207"/>
        <v>0.302786020933182</v>
      </c>
      <c r="IR47" s="372">
        <f>IQ47*(VLOOKUP(L47,各项系数!$D$1:$F$143,2,0))</f>
        <v>3.08841741351846</v>
      </c>
      <c r="IS47" s="408">
        <f>IF($L47&lt;&gt;$IS$9,0,各项系数!$F$76/4*($MZ47^2-$MX47^2)*10^-2*各项系数!$F$12*10^-3*10^2)*$ES47*各项系数!$J$4</f>
        <v>0</v>
      </c>
      <c r="IT47" s="396">
        <v>1</v>
      </c>
      <c r="IU47" s="397">
        <f t="shared" si="208"/>
        <v>0</v>
      </c>
      <c r="IV47" s="372">
        <f>IU47*各项系数!$E$12</f>
        <v>0</v>
      </c>
      <c r="IW47" s="395">
        <f t="shared" si="209"/>
        <v>0.302786020933182</v>
      </c>
      <c r="IX47" s="395">
        <f t="shared" si="210"/>
        <v>3.08841741351846</v>
      </c>
      <c r="IY47" s="447">
        <f>各项系数!$F$76/4*($NB47^2-$MZ47^2*$EG47-$NA47^2*$EO47)*10^-2</f>
        <v>10.832538432378</v>
      </c>
      <c r="IZ47" s="366">
        <f t="shared" si="231"/>
        <v>0.05</v>
      </c>
      <c r="JA47" s="372">
        <f t="shared" si="64"/>
        <v>0.541626921618899</v>
      </c>
      <c r="JB47" s="371">
        <f>IF($DE47&lt;&gt;$JB$9,0,$JA47*各项系数!$F$32*10^-3*10^2)*各项系数!$J$4</f>
        <v>0</v>
      </c>
      <c r="JC47" s="127">
        <v>1</v>
      </c>
      <c r="JD47" s="95">
        <f t="shared" si="211"/>
        <v>0</v>
      </c>
      <c r="JE47" s="341">
        <f>JD47*各项系数!$E$32</f>
        <v>0</v>
      </c>
      <c r="JF47" s="371">
        <f>IF($DE47&lt;&gt;$JF$9,0,$JA47*VLOOKUP($JF$9,各项系数!$D$4:$F$540,2,0)*10^-3*10^2)*各项系数!$J$4</f>
        <v>0.269459393505402</v>
      </c>
      <c r="JG47" s="127">
        <v>1</v>
      </c>
      <c r="JH47" s="95">
        <f t="shared" si="66"/>
        <v>0.269459393505402</v>
      </c>
      <c r="JI47" s="341">
        <f>JH47*VLOOKUP($JF$9,各项系数!$D$4:$F$540,3,0)</f>
        <v>0.323351272206482</v>
      </c>
      <c r="JJ47" s="371">
        <f t="shared" si="212"/>
        <v>0.269459393505402</v>
      </c>
      <c r="JK47" s="95">
        <f t="shared" si="213"/>
        <v>0.323351272206482</v>
      </c>
      <c r="JL47" s="371">
        <f>IF($DF47&lt;&gt;$JL$9,0,各项系数!$F$76/4*($NE47^2-$NC47^2)*10^-2*各项系数!$F$39*10^-3*10^2)*各项系数!$J$4</f>
        <v>0.00283792814505539</v>
      </c>
      <c r="JM47" s="127">
        <v>1</v>
      </c>
      <c r="JN47" s="95">
        <f t="shared" si="214"/>
        <v>0.00283792814505539</v>
      </c>
      <c r="JO47" s="341">
        <f>JN47*各项系数!$E$39</f>
        <v>0.0567585629011078</v>
      </c>
      <c r="JP47" s="371">
        <f>IF($DF47&lt;&gt;$JP$9,0,各项系数!$F$76/4*($NE47^2-$NC47^2)*10^-2*各项系数!$F$36*10^-3*10^2)*各项系数!$J$4</f>
        <v>0</v>
      </c>
      <c r="JQ47" s="127">
        <v>1</v>
      </c>
      <c r="JR47" s="95">
        <f t="shared" si="215"/>
        <v>0</v>
      </c>
      <c r="JS47" s="341">
        <f>JR47*各项系数!$E$36</f>
        <v>0</v>
      </c>
      <c r="JT47" s="371">
        <f>IF($DF47&lt;&gt;$JT$9,0,各项系数!$F$76/4*($NE47^2-$NC47^2)*10^-2*各项系数!$F$40*10^-3*10^2)*各项系数!$J$4</f>
        <v>0</v>
      </c>
      <c r="JU47" s="127">
        <v>1</v>
      </c>
      <c r="JV47" s="95">
        <f t="shared" si="216"/>
        <v>0</v>
      </c>
      <c r="JW47" s="341">
        <f>JV47*各项系数!$E$40</f>
        <v>0</v>
      </c>
      <c r="JX47" s="371">
        <f>IF($DF47&lt;&gt;$JX$9,0,各项系数!$F$76/4*($NE47^2-$NC47^2)*10^-2*各项系数!$F$38*10^-3*10^2)*各项系数!$J$4</f>
        <v>0</v>
      </c>
      <c r="JY47" s="127">
        <v>1</v>
      </c>
      <c r="JZ47" s="95">
        <f t="shared" si="217"/>
        <v>0</v>
      </c>
      <c r="KA47" s="341">
        <f>JZ47*各项系数!$E$38</f>
        <v>0</v>
      </c>
      <c r="KB47" s="371">
        <f>IF($DF47&lt;&gt;$KB$9,0,各项系数!$F$76/4*($NE47^2-$NC47^2)*10^-2*各项系数!$F$41*10^-3*10^2)*各项系数!$J$4</f>
        <v>0</v>
      </c>
      <c r="KC47" s="127">
        <v>1</v>
      </c>
      <c r="KD47" s="95">
        <f t="shared" si="218"/>
        <v>0</v>
      </c>
      <c r="KE47" s="341">
        <f>KD47*各项系数!$E$41</f>
        <v>0</v>
      </c>
      <c r="KF47" s="95">
        <f t="shared" si="219"/>
        <v>0.00283792814505539</v>
      </c>
      <c r="KG47" s="95">
        <f t="shared" si="220"/>
        <v>0.0567585629011078</v>
      </c>
      <c r="KH47" s="304">
        <f>各项系数!$F$76/4*($NG47^2-$NE47^2)*10^-2*各项系数!$F$44*10^-3*10^2*各项系数!$J$4*0.75*$U47</f>
        <v>1.46812383337086</v>
      </c>
      <c r="KI47" s="127">
        <v>1</v>
      </c>
      <c r="KJ47" s="95">
        <f t="shared" si="221"/>
        <v>1.46812383337086</v>
      </c>
      <c r="KK47" s="95">
        <f>ROUND(KJ47*各项系数!$E$43,GT47)</f>
        <v>9</v>
      </c>
      <c r="KL47" s="302">
        <f>各项系数!$F$76/4*($NF47^2-$NE47^2)*10^-2*各项系数!$F$46*10^-3*10^2*各项系数!$J$4*PI()/4*R47</f>
        <v>0.0736359910280303</v>
      </c>
      <c r="KM47" s="127">
        <v>1</v>
      </c>
      <c r="KN47" s="95">
        <f t="shared" si="222"/>
        <v>0.0736359910280303</v>
      </c>
      <c r="KO47" s="95">
        <f>KN47*各项系数!$E$46</f>
        <v>4.97042939439205</v>
      </c>
      <c r="KP47" s="304">
        <f>各项系数!$F$76/4*($NH47^2-$NE47^2)*10^-2*(VLOOKUP($KP$9,各项系数!$D$1:$F$143,3,0))*10^-3*10^2*各项系数!$J$4</f>
        <v>0.703548169193797</v>
      </c>
      <c r="KQ47" s="127">
        <v>1</v>
      </c>
      <c r="KR47" s="95">
        <f t="shared" si="150"/>
        <v>0.703548169193797</v>
      </c>
      <c r="KS47" s="95">
        <f>KR47*(VLOOKUP($KP$9,各项系数!$D$1:$F$143,2,0))</f>
        <v>11.9603188762945</v>
      </c>
      <c r="KT47" s="304">
        <f>各项系数!$F$76/4*($NI47^2-$NF47^2)*10^-2*(VLOOKUP($KT$9,各项系数!$D$1:$F$143,3,0))*10^-3*10^2*各项系数!$J$4</f>
        <v>0.70557874388863</v>
      </c>
      <c r="KU47" s="127">
        <v>1</v>
      </c>
      <c r="KV47" s="95">
        <f t="shared" si="151"/>
        <v>0.70557874388863</v>
      </c>
      <c r="KW47" s="95">
        <f>KV47*(VLOOKUP($KT$9,各项系数!$D$1:$F$143,2,0))</f>
        <v>11.9948386461067</v>
      </c>
      <c r="KX47" s="95">
        <f>各项系数!$F$76/4*($NH47^2-$NE47^2)*10^-2*(VLOOKUP($KX$9,各项系数!$D$1:$F$143,3,0))*10^-3*10^2*各项系数!$J$4</f>
        <v>0.703548169193797</v>
      </c>
      <c r="KY47" s="481">
        <v>1</v>
      </c>
      <c r="KZ47" s="95">
        <f t="shared" si="152"/>
        <v>0.703548169193797</v>
      </c>
      <c r="LA47" s="95">
        <f>KZ47*(VLOOKUP($KX$9,各项系数!$D$1:$F$143,2,0))</f>
        <v>11.9603188762945</v>
      </c>
      <c r="LB47" s="95">
        <f>各项系数!$F$76/4*($NI47^2-$NF47^2)*10^-2*(VLOOKUP($LB$9,各项系数!$D$1:$F$143,3,0))*10^-3*10^2*各项系数!$J$4</f>
        <v>0.70557874388863</v>
      </c>
      <c r="LC47" s="481">
        <v>1</v>
      </c>
      <c r="LD47" s="95">
        <f t="shared" si="153"/>
        <v>0.70557874388863</v>
      </c>
      <c r="LE47" s="95">
        <f>LD47*(VLOOKUP($LB$9,各项系数!$D$1:$F$143,2,0))</f>
        <v>11.9948386461067</v>
      </c>
      <c r="LF47" s="304">
        <f>各项系数!$F$76/4*($NH47^2-$NE47^2)*10^-2*(VLOOKUP(AN47,各项系数!$D$1:$F$143,3,0))*10^-3*10^2*各项系数!$J$4</f>
        <v>0.713252281872332</v>
      </c>
      <c r="LG47" s="127">
        <v>1</v>
      </c>
      <c r="LH47" s="95">
        <f t="shared" si="223"/>
        <v>0.713252281872332</v>
      </c>
      <c r="LI47" s="95">
        <f>LH47*(VLOOKUP(AN47,各项系数!$D$1:$F$143,2,0))</f>
        <v>7.13252281872332</v>
      </c>
      <c r="LJ47" s="304">
        <f>各项系数!$F$76/4*($NI47^2-$NF47^2)*10^-2*(VLOOKUP(AN47,各项系数!$D$1:$F$143,3,0))*10^-3*10^2*各项系数!$J$4</f>
        <v>0.715310864493991</v>
      </c>
      <c r="LK47" s="127">
        <v>1</v>
      </c>
      <c r="LL47" s="95">
        <f t="shared" si="224"/>
        <v>0.715310864493991</v>
      </c>
      <c r="LM47" s="95">
        <f>LL47*(VLOOKUP(AN47,各项系数!$D$1:$F$143,2,0))</f>
        <v>7.15310864493991</v>
      </c>
      <c r="LN47" s="95">
        <f>各项系数!$F$76/4*($NH47^2-$NE47^2)*10^-2*(VLOOKUP($LN$9,各项系数!$D$1:$F$143,3,0))*10^-3*10^2*各项系数!$J$4</f>
        <v>0.713252281872332</v>
      </c>
      <c r="LO47" s="481">
        <v>1</v>
      </c>
      <c r="LP47" s="95">
        <f t="shared" si="225"/>
        <v>0.713252281872332</v>
      </c>
      <c r="LQ47" s="95">
        <f>LP47*(VLOOKUP($LN$9,各项系数!$D$1:$F$143,2,0))</f>
        <v>7.84577510059565</v>
      </c>
      <c r="LR47" s="95">
        <f>各项系数!$F$76/4*($NI47^2-$NF47^2)*10^-2*(VLOOKUP($LR$9,各项系数!$D$1:$F$143,3,0))*10^-3*10^2*各项系数!$J$4</f>
        <v>0.715310864493991</v>
      </c>
      <c r="LS47" s="481">
        <v>1</v>
      </c>
      <c r="LT47" s="95">
        <f t="shared" si="226"/>
        <v>0.715310864493991</v>
      </c>
      <c r="LU47" s="95">
        <f>LT47*(VLOOKUP($LR$9,各项系数!$D$1:$F$143,2,0))</f>
        <v>7.8684195094339</v>
      </c>
      <c r="LV47" s="501">
        <f t="shared" si="154"/>
        <v>764.46180891</v>
      </c>
      <c r="LW47" s="501">
        <f t="shared" si="155"/>
        <v>575.70580671</v>
      </c>
      <c r="LX47" s="501">
        <f t="shared" si="156"/>
        <v>27.0741832607529</v>
      </c>
      <c r="LY47" s="519">
        <f t="shared" si="157"/>
        <v>188.7560022</v>
      </c>
      <c r="LZ47" s="516">
        <f t="shared" si="86"/>
        <v>1</v>
      </c>
      <c r="MA47" s="501">
        <f t="shared" si="87"/>
        <v>764.46180891</v>
      </c>
      <c r="MB47" s="501">
        <f t="shared" si="158"/>
        <v>22.06063242</v>
      </c>
      <c r="MC47" s="501">
        <f t="shared" si="159"/>
        <v>0</v>
      </c>
      <c r="MD47" s="501">
        <f t="shared" si="160"/>
        <v>0</v>
      </c>
      <c r="ME47" s="501">
        <f t="shared" si="161"/>
        <v>0</v>
      </c>
      <c r="MF47" s="501">
        <f t="shared" si="162"/>
        <v>0</v>
      </c>
      <c r="MG47" s="527">
        <f t="shared" si="163"/>
        <v>1</v>
      </c>
      <c r="MH47" s="501">
        <f t="shared" si="88"/>
        <v>0</v>
      </c>
      <c r="MI47" s="501">
        <f t="shared" si="164"/>
        <v>0</v>
      </c>
      <c r="MJ47" s="95">
        <f t="shared" si="89"/>
        <v>22.06063242</v>
      </c>
      <c r="MK47" s="95">
        <f t="shared" si="165"/>
        <v>22.06063242</v>
      </c>
      <c r="ML47" s="95">
        <f t="shared" si="227"/>
        <v>0</v>
      </c>
      <c r="MM47" s="95">
        <f t="shared" si="91"/>
        <v>0</v>
      </c>
      <c r="MN47" s="95">
        <f t="shared" si="92"/>
        <v>25.66063242</v>
      </c>
      <c r="MO47" s="95">
        <f t="shared" si="166"/>
        <v>0</v>
      </c>
      <c r="MP47" s="95">
        <f t="shared" si="167"/>
        <v>51.32126484</v>
      </c>
      <c r="MQ47" s="95">
        <f t="shared" si="228"/>
        <v>51.32126484</v>
      </c>
      <c r="MR47" s="314">
        <f t="shared" si="168"/>
        <v>51.19923175</v>
      </c>
      <c r="MS47" s="530">
        <f t="shared" si="94"/>
        <v>51.37523175</v>
      </c>
      <c r="MT47" s="532">
        <f t="shared" si="95"/>
        <v>51.53523175</v>
      </c>
      <c r="MU47" s="532">
        <f t="shared" si="232"/>
        <v>52.87523175</v>
      </c>
      <c r="MV47" s="532">
        <f t="shared" si="97"/>
        <v>56.97523175</v>
      </c>
      <c r="MW47" s="532">
        <f t="shared" si="98"/>
        <v>57.13523175</v>
      </c>
      <c r="MX47" s="314">
        <f t="shared" si="233"/>
        <v>22.66063242</v>
      </c>
      <c r="MY47" s="314">
        <f t="shared" si="100"/>
        <v>0</v>
      </c>
      <c r="MZ47" s="95">
        <f t="shared" si="101"/>
        <v>26.26063242</v>
      </c>
      <c r="NA47" s="95">
        <f t="shared" si="102"/>
        <v>0</v>
      </c>
      <c r="NB47" s="95">
        <f t="shared" si="169"/>
        <v>52.52126484</v>
      </c>
      <c r="NC47" s="314">
        <f t="shared" si="229"/>
        <v>52.52126484</v>
      </c>
      <c r="ND47" s="314">
        <f t="shared" si="234"/>
        <v>52.39637836</v>
      </c>
      <c r="NE47" s="540">
        <f t="shared" si="235"/>
        <v>52.63637836</v>
      </c>
      <c r="NF47" s="532">
        <f t="shared" si="106"/>
        <v>52.79637836</v>
      </c>
      <c r="NG47" s="180">
        <f t="shared" si="236"/>
        <v>54.13637836</v>
      </c>
      <c r="NH47" s="314">
        <f t="shared" si="108"/>
        <v>58.23637836</v>
      </c>
      <c r="NI47" s="532">
        <f t="shared" si="109"/>
        <v>58.39637836</v>
      </c>
      <c r="NK47" s="541">
        <f t="shared" si="110"/>
        <v>6.25270493983173</v>
      </c>
      <c r="NL47" s="541">
        <f t="shared" si="111"/>
        <v>350.449031570256</v>
      </c>
      <c r="NM47" s="541">
        <f t="shared" si="112"/>
        <v>6.25270493983173</v>
      </c>
      <c r="NN47" s="541">
        <f t="shared" si="113"/>
        <v>351.146057761536</v>
      </c>
      <c r="NO47" s="541">
        <f t="shared" si="114"/>
        <v>6.5455259117367</v>
      </c>
      <c r="NP47" s="541">
        <f t="shared" si="115"/>
        <v>352.399277035177</v>
      </c>
      <c r="NQ47" s="541">
        <f t="shared" si="116"/>
        <v>6.5455259117367</v>
      </c>
      <c r="NR47" s="541">
        <f t="shared" si="117"/>
        <v>353.112529317049</v>
      </c>
      <c r="NS47" s="541">
        <f t="shared" si="118"/>
        <v>6.32457931931989</v>
      </c>
      <c r="NT47" s="541">
        <f t="shared" si="119"/>
        <v>6.32457931931989</v>
      </c>
      <c r="NU47" s="541">
        <f t="shared" si="120"/>
        <v>6.61916190276473</v>
      </c>
      <c r="NV47" s="541">
        <f t="shared" si="121"/>
        <v>6.61916190276473</v>
      </c>
      <c r="NW47" s="11">
        <f t="shared" si="122"/>
        <v>7.20833316564513</v>
      </c>
      <c r="NX47" s="11">
        <f>各项系数!$M$9*NK47</f>
        <v>1.87581148194952</v>
      </c>
      <c r="NY47" s="11">
        <f t="shared" si="123"/>
        <v>6.32457931931989</v>
      </c>
    </row>
    <row r="48" customHeight="1" spans="1:389">
      <c r="A48" s="91">
        <v>7</v>
      </c>
      <c r="B48" s="86">
        <v>1</v>
      </c>
      <c r="C48" s="83"/>
      <c r="D48" s="69" t="s">
        <v>339</v>
      </c>
      <c r="E48" s="70">
        <f t="shared" si="255"/>
        <v>64.13095576</v>
      </c>
      <c r="F48" s="84">
        <f>$F$32</f>
        <v>277.181191063812</v>
      </c>
      <c r="G48" s="74"/>
      <c r="H48" s="23"/>
      <c r="I48" s="78"/>
      <c r="J48" s="23"/>
      <c r="K48" s="23"/>
      <c r="L48" s="118" t="s">
        <v>467</v>
      </c>
      <c r="M48" s="124">
        <f t="shared" si="2"/>
        <v>2</v>
      </c>
      <c r="N48" s="124">
        <f t="shared" si="252"/>
        <v>0</v>
      </c>
      <c r="O48" s="69">
        <f t="shared" ref="O48:O57" si="265">$O$36</f>
        <v>0.08</v>
      </c>
      <c r="P48" s="120">
        <v>0.1</v>
      </c>
      <c r="Q48" s="162">
        <f t="shared" si="253"/>
        <v>0.1</v>
      </c>
      <c r="R48" s="86">
        <v>0.8</v>
      </c>
      <c r="S48" s="171" t="str">
        <f>各项系数!$D$43</f>
        <v>钢带</v>
      </c>
      <c r="T48" s="74">
        <v>0.5</v>
      </c>
      <c r="U48" s="78">
        <v>2</v>
      </c>
      <c r="V48" s="172"/>
      <c r="W48" s="170">
        <v>3.1</v>
      </c>
      <c r="X48" s="164">
        <f t="shared" si="254"/>
        <v>0.2</v>
      </c>
      <c r="Y48" s="219"/>
      <c r="Z48" s="220"/>
      <c r="AA48" s="217">
        <f>$AA$32</f>
        <v>1.02</v>
      </c>
      <c r="AB48" s="186">
        <f>PI()*EJ48*EJ48/4*EH48*(1-H48)*AA48*各项系数!$F$5*各项系数!$J$4*10^-7</f>
        <v>3.32102575101844</v>
      </c>
      <c r="AC48" s="186">
        <f t="shared" si="256"/>
        <v>277.181191063812</v>
      </c>
      <c r="AD48" s="186">
        <f t="shared" si="5"/>
        <v>375.445930554736</v>
      </c>
      <c r="AE48" s="186">
        <f>POWER(4*EU48/PI()/EG48/10^-7/EH48/(1-H48)/各项系数!$F$5/各项系数!$J$4,0.5)</f>
        <v>279.939280797005</v>
      </c>
      <c r="AF48" s="218">
        <v>1</v>
      </c>
      <c r="AG48" s="85">
        <f>IF(EM48=0,0,PI()*ER48*ER48/4*EP48*(1-K48)*(1+AF48)*各项系数!$F$5*各项系数!$J$4*10^-7)</f>
        <v>0</v>
      </c>
      <c r="AH48" s="85">
        <f t="shared" si="257"/>
        <v>0</v>
      </c>
      <c r="AI48" s="85">
        <f t="shared" si="128"/>
        <v>0</v>
      </c>
      <c r="AJ48" s="85">
        <f>IF(OR(EP48="",EP48=0),0,POWER(4*EW48/PI()/EO48/10^-7/EP48/(1-K48)/各项系数!$F$5/各项系数!$J$4,0.5))</f>
        <v>0</v>
      </c>
      <c r="AK48" s="85" t="str">
        <f t="shared" si="8"/>
        <v>√</v>
      </c>
      <c r="AL48" s="85">
        <f t="shared" si="258"/>
        <v>461.407071841411</v>
      </c>
      <c r="AM48" s="250">
        <f t="shared" si="259"/>
        <v>400</v>
      </c>
      <c r="AN48" s="118" t="s">
        <v>486</v>
      </c>
      <c r="AO48" s="259">
        <f>AP48+各项系数!$M$9*$NK48</f>
        <v>452.359874354324</v>
      </c>
      <c r="AP48" s="259">
        <f>AQ48*(1+$BI48+(VLOOKUP($AM48,$A$12:$B$323,2,0))+各项系数!$J$6+各项系数!$M$5)*(1+$E$2)</f>
        <v>449.970661422614</v>
      </c>
      <c r="AQ48" s="260">
        <f>AR48+各项系数!$L$9*$NK48</f>
        <v>459.153736145524</v>
      </c>
      <c r="AR48" s="260">
        <f>AS48*(1+$BJ48+各项系数!$J$5+各项系数!$L$5)</f>
        <v>456.764523213814</v>
      </c>
      <c r="AS48" s="260">
        <f t="shared" si="129"/>
        <v>447.808356091974</v>
      </c>
      <c r="AT48" s="259">
        <f>AU48+各项系数!$M$9*$NM48</f>
        <v>458.241997962799</v>
      </c>
      <c r="AU48" s="259">
        <f>AV48*(1+$BI48+(VLOOKUP($AM48,$A$12:$B$323,2,0))+各项系数!$J$6+各项系数!$M$5)*(1+$E$2)</f>
        <v>455.852785031088</v>
      </c>
      <c r="AV48" s="260">
        <f>AW48+各项系数!$L$9*$NM48</f>
        <v>465.155903092947</v>
      </c>
      <c r="AW48" s="260">
        <f>AX48*(1+$BJ48+各项系数!$J$5+各项系数!$L$5)</f>
        <v>462.766690161237</v>
      </c>
      <c r="AX48" s="260">
        <f t="shared" si="130"/>
        <v>453.692833491409</v>
      </c>
      <c r="AY48" s="259">
        <f>AZ48+各项系数!$M$9*$NS48</f>
        <v>457.898236843235</v>
      </c>
      <c r="AZ48" s="259">
        <f>BA48*(1+$BI48+(VLOOKUP($AM48,$A$12:$B$214,2,0))+各项系数!$J$6+各项系数!$M$5)*(1+$E$2)</f>
        <v>455.484714421661</v>
      </c>
      <c r="BA48" s="260">
        <f>BB48+各项系数!$L$9*$NS48</f>
        <v>464.78032083843</v>
      </c>
      <c r="BB48" s="260">
        <f>BC48*(1+$BJ48+各项系数!$J$5+各项系数!$L$5)</f>
        <v>462.366798416856</v>
      </c>
      <c r="BC48" s="262">
        <f t="shared" si="131"/>
        <v>453.300782761624</v>
      </c>
      <c r="BD48" s="259">
        <f>BE48+各项系数!$M$9*$NS48</f>
        <v>463.795781147087</v>
      </c>
      <c r="BE48" s="259">
        <f>BF48*(1+$BI48+(VLOOKUP($AM48,$A$12:$B$214,2,0))+各项系数!$J$6+各项系数!$M$5)*(1+$E$2)</f>
        <v>461.382258725513</v>
      </c>
      <c r="BF48" s="260">
        <f>BG48+各项系数!$L$9*$NS48</f>
        <v>470.798223189299</v>
      </c>
      <c r="BG48" s="260">
        <f>BH48*(1+$BJ48+各项系数!$J$5+各项系数!$L$5)</f>
        <v>468.384700767725</v>
      </c>
      <c r="BH48" s="262">
        <f t="shared" si="132"/>
        <v>459.200687027182</v>
      </c>
      <c r="BI48" s="277"/>
      <c r="BJ48" s="272"/>
      <c r="BK48" s="69" t="s">
        <v>514</v>
      </c>
      <c r="BL48" s="259">
        <f>BM48+各项系数!$M$9*$NM48</f>
        <v>457.625933277782</v>
      </c>
      <c r="BM48" s="259">
        <f>BN48*(1+$CF48+(VLOOKUP($AM48,$A$12:$B$323,2,0))+各项系数!$J$6+各项系数!$M$5)*(1+$E$2)</f>
        <v>455.236720346071</v>
      </c>
      <c r="BN48" s="260">
        <f>BO48+各项系数!$L$9*$NM48</f>
        <v>464.527265659256</v>
      </c>
      <c r="BO48" s="260">
        <f>BP48*(1+$CG48+各项系数!$J$5+各项系数!$L$5)</f>
        <v>462.138052727546</v>
      </c>
      <c r="BP48" s="260">
        <f t="shared" si="133"/>
        <v>448.677721094705</v>
      </c>
      <c r="BQ48" s="259">
        <f>BR48+各项系数!$M$9*$NM48</f>
        <v>462.688187731015</v>
      </c>
      <c r="BR48" s="259">
        <f>BS48*(1+$CF48+(VLOOKUP($AM48,$A$12:$B$323,2,0))+各项系数!$J$6+各项系数!$M$5)*(1+$E$2)</f>
        <v>460.298974799304</v>
      </c>
      <c r="BS48" s="260">
        <f>BT48+各项系数!$L$9*$NM48</f>
        <v>469.692831427862</v>
      </c>
      <c r="BT48" s="260">
        <f>BU48*(1+$CG48+各项系数!$J$5+各项系数!$L$5)</f>
        <v>467.303618496151</v>
      </c>
      <c r="BU48" s="260">
        <f t="shared" si="134"/>
        <v>453.692833491409</v>
      </c>
      <c r="BV48" s="259">
        <f>BW48+各项系数!$M$9*$NT48</f>
        <v>460.863268279013</v>
      </c>
      <c r="BW48" s="259">
        <f>BX48*(1+$CF48+(VLOOKUP($AM48,$A$12:$B$214,2,0))+各项系数!$J$6+各项系数!$M$5)*(1+$E$2)</f>
        <v>458.44974585744</v>
      </c>
      <c r="BX48" s="260">
        <f>BY48+各项系数!$L$9*$NT$12</f>
        <v>467.805863119836</v>
      </c>
      <c r="BY48" s="260">
        <f>BZ48*(1+$CG48+各项系数!$J$5+各项系数!$L$5)</f>
        <v>467.797599716681</v>
      </c>
      <c r="BZ48" s="262">
        <f t="shared" si="11"/>
        <v>454.172426909399</v>
      </c>
      <c r="CA48" s="259">
        <f>CB48+各项系数!$M$9*$NT48</f>
        <v>465.938794041903</v>
      </c>
      <c r="CB48" s="259">
        <f>CC48*(1+$CF48+(VLOOKUP($AM48,$A$12:$B$214,2,0))+各项系数!$J$6+各项系数!$M$5)*(1+$E$2)</f>
        <v>463.525271620329</v>
      </c>
      <c r="CC48" s="260">
        <f>CD48+各项系数!$L$9*$NT$12</f>
        <v>472.984971041152</v>
      </c>
      <c r="CD48" s="260">
        <f>CE48*(1+$CG48+各项系数!$J$5+各项系数!$L$5)</f>
        <v>472.976707637997</v>
      </c>
      <c r="CE48" s="262">
        <f t="shared" si="135"/>
        <v>459.200687027182</v>
      </c>
      <c r="CF48" s="277">
        <f t="shared" si="136"/>
        <v>0</v>
      </c>
      <c r="CG48" s="277">
        <f t="shared" si="12"/>
        <v>0.01</v>
      </c>
      <c r="CH48" s="123"/>
      <c r="CI48" s="259">
        <f>CJ48+各项系数!$M$9*$NO48</f>
        <v>457.185416503816</v>
      </c>
      <c r="CJ48" s="259">
        <f>CK48*(1+$DC48+(VLOOKUP($AM48,$A$12:$B$323,2,0))+各项系数!$J$6+各项系数!$M$5)*(1+$E$2)+各项系数!$M$9*$NK48</f>
        <v>454.688474413414</v>
      </c>
      <c r="CK48" s="260">
        <f>CL48+各项系数!$L$9*$NO48</f>
        <v>461.5298586548</v>
      </c>
      <c r="CL48" s="260">
        <f>CM48*(1+$DD48+各项系数!$J$5+各项系数!$L$5)</f>
        <v>459.032916564398</v>
      </c>
      <c r="CM48" s="260">
        <f t="shared" si="13"/>
        <v>450.032271141566</v>
      </c>
      <c r="CN48" s="259">
        <f>CO48+各项系数!$M$9*$NO48</f>
        <v>462.887965969134</v>
      </c>
      <c r="CO48" s="259">
        <f>CP48*(1+$DC48+(VLOOKUP($AM48,$A$12:$B$323,2,0))+各项系数!$J$6+各项系数!$M$5)*(1+$E$2)+各项系数!$M$9*$NK48</f>
        <v>460.391023878732</v>
      </c>
      <c r="CP48" s="260">
        <f>CQ48+各项系数!$L$9*$NO48</f>
        <v>467.348786680634</v>
      </c>
      <c r="CQ48" s="260">
        <f>CR48*(1+$DD48+各项系数!$J$5+各项系数!$L$5)</f>
        <v>464.851844590232</v>
      </c>
      <c r="CR48" s="260">
        <f t="shared" si="14"/>
        <v>455.737102539443</v>
      </c>
      <c r="CS48" s="259">
        <f>CT48+各项系数!$M$9*$NU48</f>
        <v>460.45447367275</v>
      </c>
      <c r="CT48" s="259">
        <f t="shared" si="15"/>
        <v>457.932693609027</v>
      </c>
      <c r="CU48" s="260">
        <f>CV48+各项系数!$L$9*$NU48</f>
        <v>467.278258784721</v>
      </c>
      <c r="CV48" s="260">
        <f>CW48*(1+$DD48+各项系数!$J$5+各项系数!$L$5)</f>
        <v>464.756478720998</v>
      </c>
      <c r="CW48" s="262">
        <f t="shared" si="16"/>
        <v>455.643606589214</v>
      </c>
      <c r="CX48" s="259">
        <f>CY48+各项系数!$M$9*$NU48</f>
        <v>466.473566461256</v>
      </c>
      <c r="CY48" s="259">
        <f t="shared" si="17"/>
        <v>463.951786397533</v>
      </c>
      <c r="CZ48" s="260">
        <f>DA48+各项系数!$L$9*$NU48</f>
        <v>473.420190201564</v>
      </c>
      <c r="DA48" s="260">
        <f>DB48*(1+$DD48+各项系数!$J$5+各项系数!$L$5)</f>
        <v>470.898410137841</v>
      </c>
      <c r="DB48" s="262">
        <f t="shared" si="18"/>
        <v>461.665107978275</v>
      </c>
      <c r="DC48" s="277">
        <f t="shared" si="137"/>
        <v>0</v>
      </c>
      <c r="DD48" s="277">
        <f t="shared" si="19"/>
        <v>0</v>
      </c>
      <c r="DE48" s="69" t="s">
        <v>498</v>
      </c>
      <c r="DF48" s="69" t="s">
        <v>513</v>
      </c>
      <c r="DG48" s="259">
        <f>DH48+各项系数!$M$9*$NQ48</f>
        <v>462.491403262157</v>
      </c>
      <c r="DH48" s="259">
        <f>DI48*(1+$EA48+(VLOOKUP($AM48,$A$12:$B$323,2,0))+各项系数!$J$6+各项系数!$M$5)*(1+$E$2)+各项系数!$M$9*$NK48</f>
        <v>459.994461171755</v>
      </c>
      <c r="DI48" s="260">
        <f>DJ48+各项系数!$L$9*$NQ48</f>
        <v>466.944130857188</v>
      </c>
      <c r="DJ48" s="260">
        <f>DK48*(1+$EB48+各项系数!$J$5+各项系数!$L$5)</f>
        <v>464.447188766786</v>
      </c>
      <c r="DK48" s="260">
        <f t="shared" si="20"/>
        <v>450.919600744453</v>
      </c>
      <c r="DL48" s="259">
        <f>DM48+各项系数!$M$9*$NQ48</f>
        <v>467.658264384457</v>
      </c>
      <c r="DM48" s="259">
        <f>DN48*(1+$EA48+(VLOOKUP($AM48,$A$12:$B$323,2,0))+各项系数!$J$6+各项系数!$M$5)*(1+$E$2)+各项系数!$M$9*$NK48</f>
        <v>465.161322294055</v>
      </c>
      <c r="DN48" s="260">
        <f>DO48+各项系数!$L$9*$NQ48</f>
        <v>472.216438124841</v>
      </c>
      <c r="DO48" s="260">
        <f>DP48*(1+$EB48+各项系数!$J$5+各项系数!$L$5)</f>
        <v>469.719496034439</v>
      </c>
      <c r="DP48" s="260">
        <f t="shared" si="21"/>
        <v>456.038345664504</v>
      </c>
      <c r="DQ48" s="259">
        <f>DR48+各项系数!$M$9*$NV48</f>
        <v>465.817752087486</v>
      </c>
      <c r="DR48" s="259">
        <f t="shared" si="22"/>
        <v>463.295972023763</v>
      </c>
      <c r="DS48" s="260">
        <f>DT48+各项系数!$L$9*$NV48</f>
        <v>472.750991860983</v>
      </c>
      <c r="DT48" s="260">
        <f>DU48*(1+$EB48+各项系数!$J$5+各项系数!$L$5)</f>
        <v>470.22921179726</v>
      </c>
      <c r="DU48" s="262">
        <f t="shared" si="23"/>
        <v>456.533215337145</v>
      </c>
      <c r="DV48" s="259">
        <f>DW48+各项系数!$M$9*$NV48</f>
        <v>467.097095257544</v>
      </c>
      <c r="DW48" s="259">
        <f t="shared" si="24"/>
        <v>464.57531519382</v>
      </c>
      <c r="DX48" s="260">
        <f>DY48+各项系数!$L$9*$NV48</f>
        <v>474.056444075327</v>
      </c>
      <c r="DY48" s="260">
        <f>DZ48*(1+$EB48+各项系数!$J$5+各项系数!$L$5)</f>
        <v>471.534664011604</v>
      </c>
      <c r="DZ48" s="262">
        <f t="shared" si="25"/>
        <v>457.80064467146</v>
      </c>
      <c r="EA48" s="277">
        <f t="shared" si="230"/>
        <v>0</v>
      </c>
      <c r="EB48" s="277">
        <f t="shared" si="27"/>
        <v>0.01</v>
      </c>
      <c r="EC48" s="302">
        <f t="shared" si="138"/>
        <v>2</v>
      </c>
      <c r="ED48" s="302" t="str">
        <f t="shared" si="260"/>
        <v>2*400</v>
      </c>
      <c r="EE48" s="251">
        <f t="shared" si="239"/>
        <v>400</v>
      </c>
      <c r="EF48" s="251" t="str">
        <f>LOOKUP(EH48,{1,7,10,14,19,24,30,37,48,61},{1,"1+6","2+8","4+10","1+6+12","2+8+14","4+10+16","1+6+12+18","3+9+15+21","1+6+12+18+24"})</f>
        <v>1+6+12+18+24</v>
      </c>
      <c r="EG48" s="250">
        <f t="shared" si="29"/>
        <v>2</v>
      </c>
      <c r="EH48" s="260">
        <f>VLOOKUP(EE48,各项系数!$B$87:$C$124,2,0)</f>
        <v>61</v>
      </c>
      <c r="EI48" s="250">
        <f>IF(EH48=0,0,VLOOKUP(EH48,各项系数!$D$142:$E$195,2,0))*1</f>
        <v>9</v>
      </c>
      <c r="EJ48" s="305">
        <f t="shared" si="141"/>
        <v>277.181191063812</v>
      </c>
      <c r="EK48" s="251">
        <f t="shared" si="261"/>
        <v>0</v>
      </c>
      <c r="EL48" s="251">
        <f t="shared" si="31"/>
        <v>0</v>
      </c>
      <c r="EM48" s="251">
        <f t="shared" si="262"/>
        <v>0</v>
      </c>
      <c r="EN48" s="251">
        <f>IF(EP48=0,0,LOOKUP(EP48,{1,7,10,14,19,24,30,37,48,61},{1,"1+6","2+8","4+10","1+6+12","2+8+14","4+10+16","1+6+12+18","3+9+15+21","1+6+12+18+24"}))</f>
        <v>0</v>
      </c>
      <c r="EO48" s="251">
        <f t="shared" si="263"/>
        <v>0</v>
      </c>
      <c r="EP48" s="251">
        <f>IF(EM48=0,0,IF(EM48&lt;10,1,IF(AND(EM48&gt;=10,EM48&lt;=35),7,LOOKUP(EM48,{50,70,95,120,150,185,240,300},{10,14,19,24,30,37,48,61})*1)))</f>
        <v>0</v>
      </c>
      <c r="EQ48" s="251">
        <f>IF(EP48=0,0,VLOOKUP(EP48,各项系数!$D$142:$E$195,2,0))*1</f>
        <v>0</v>
      </c>
      <c r="ER48" s="251">
        <f t="shared" si="264"/>
        <v>0</v>
      </c>
      <c r="ES48" s="302">
        <f t="shared" si="250"/>
        <v>2</v>
      </c>
      <c r="ET48" s="251">
        <f>VLOOKUP(ES48,各项系数!$D$142:$E$195,2,0)*1</f>
        <v>2</v>
      </c>
      <c r="EU48" s="311">
        <f>((各项系数!$F$76/4*$EJ48^2*$EG48*$EH48*1*10^-7)*(1-$H48)*AA48)*(VLOOKUP($EY$9,各项系数!$D$4:$F$143,3,0))*各项系数!$J$4</f>
        <v>6.64205150203688</v>
      </c>
      <c r="EV48" s="312">
        <f>EU48*(VLOOKUP($EY$9,各项系数!$D$4:$F$143,2,0))</f>
        <v>435.054373383416</v>
      </c>
      <c r="EW48" s="324">
        <f>(IF($EO48=0,0,(各项系数!$F$76/4*$ER48^2*$EO48*$EP48*1*10^-7))*(1-$K48)*$AF48)*(VLOOKUP($EY$9,各项系数!$D$4:$F$143,3,0))*各项系数!$J$4</f>
        <v>0</v>
      </c>
      <c r="EX48" s="325">
        <f>EW48*(VLOOKUP($EY$9,各项系数!$D$4:$F$143,2,0))</f>
        <v>0</v>
      </c>
      <c r="EY48" s="251">
        <f>((各项系数!$F$76/4*$EJ48^2*$EG48*$EH48*1*10^-7)*(1-$H48)*AA48+IF($EO48=0,0,(各项系数!$F$76/4*$ER48^2*$EO48*$EP48*1*10^-7))*(1-$K48)*$AF48)*(VLOOKUP($EY$9,各项系数!$D$4:$F$143,3,0))*各项系数!$J$4</f>
        <v>6.64205150203688</v>
      </c>
      <c r="EZ48" s="123">
        <v>1</v>
      </c>
      <c r="FA48" s="251">
        <f t="shared" si="188"/>
        <v>6.64205150203688</v>
      </c>
      <c r="FB48" s="326">
        <f>FA48*(VLOOKUP($EY$9,各项系数!$D$4:$F$143,2,0))</f>
        <v>435.054373383416</v>
      </c>
      <c r="FC48" s="327"/>
      <c r="FD48" s="302">
        <f>各项系数!$F$76/4*($MN48^2-MK48^2)*10^-2*(VLOOKUP(L48,各项系数!$D$1:$F$143,3,0))*10^-3*10^2*$EG48*各项系数!$J$4</f>
        <v>0.370616616066094</v>
      </c>
      <c r="FE48" s="339">
        <f>FD48*VLOOKUP(L48,各项系数!$D$1:$F$143,2,0)</f>
        <v>3.78028948387415</v>
      </c>
      <c r="FF48" s="250">
        <f>各项系数!$F$76/4*($MO48^2-ML48^2)*10^-2*(VLOOKUP(L48,各项系数!$D$1:$F$143,3,0))*10^-3*10^2*$EO48*各项系数!$J$4</f>
        <v>0</v>
      </c>
      <c r="FG48" s="339">
        <f>FF48*VLOOKUP(L48,各项系数!$D$1:$F$143,2,0)</f>
        <v>0</v>
      </c>
      <c r="FH48" s="302">
        <f t="shared" si="142"/>
        <v>0.370616616066094</v>
      </c>
      <c r="FI48" s="123">
        <v>1</v>
      </c>
      <c r="FJ48" s="251">
        <f t="shared" si="189"/>
        <v>0.370616616066094</v>
      </c>
      <c r="FK48" s="339">
        <f>FJ48*VLOOKUP(L48,各项系数!$D$1:$F$143,2,0)</f>
        <v>3.78028948387415</v>
      </c>
      <c r="FL48" s="302"/>
      <c r="FM48" s="123"/>
      <c r="FN48" s="251"/>
      <c r="FO48" s="339"/>
      <c r="FP48" s="364">
        <f t="shared" si="190"/>
        <v>0.370616616066094</v>
      </c>
      <c r="FQ48" s="364">
        <f t="shared" si="191"/>
        <v>3.78028948387415</v>
      </c>
      <c r="FR48" s="365">
        <f>各项系数!$F$76/4*($MQ48^2-$MN48^2*$EG48-$MO48^2*$EO48)*10^-2</f>
        <v>13.1615249212532</v>
      </c>
      <c r="FS48" s="366">
        <f t="shared" si="143"/>
        <v>0.05</v>
      </c>
      <c r="FT48" s="367">
        <f t="shared" si="40"/>
        <v>0.65807624606266</v>
      </c>
      <c r="FU48" s="388">
        <f>$FT48*(VLOOKUP($FT$9,各项系数!$D$1:$F$143,3,0))*10^-3*10^2*各项系数!$J$55</f>
        <v>0.0785743037798816</v>
      </c>
      <c r="FV48" s="389">
        <v>1</v>
      </c>
      <c r="FW48" s="390">
        <f t="shared" si="192"/>
        <v>0.0785743037798816</v>
      </c>
      <c r="FX48" s="367">
        <f>FW48*(VLOOKUP($FT$9,各项系数!$D$1:$F$143,2,0))</f>
        <v>0.235722911339645</v>
      </c>
      <c r="FY48" s="388">
        <f>IF($BK48&lt;&gt;$FY$9,0,各项系数!$F$76/4*($MS48^2-$MQ48^2)*10^-2*(VLOOKUP($FY$9,各项系数!$D$1:$F$143,3,0))*10^-3*10^2)*各项系数!$J$4</f>
        <v>0</v>
      </c>
      <c r="FZ48" s="389">
        <v>1</v>
      </c>
      <c r="GA48" s="390">
        <f t="shared" si="193"/>
        <v>0</v>
      </c>
      <c r="GB48" s="367">
        <f>GA48*(VLOOKUP($FY$9,各项系数!$D$1:$F$143,2,0))</f>
        <v>0</v>
      </c>
      <c r="GC48" s="388">
        <f>IF($BK48&lt;&gt;$GC$9,0,各项系数!$F$76/4*($MS48^2-$MQ48^2)*10^-2*(VLOOKUP($GC$9,各项系数!$D$1:$F$143,3,0))*10^-3*10^2)*各项系数!$J$4</f>
        <v>0.00343568108831006</v>
      </c>
      <c r="GD48" s="389">
        <v>1</v>
      </c>
      <c r="GE48" s="390">
        <f t="shared" si="194"/>
        <v>0.00343568108831006</v>
      </c>
      <c r="GF48" s="367">
        <f>GE48*(VLOOKUP($GC$9,各项系数!$D$1:$F$143,2,0))</f>
        <v>0.0443202860391997</v>
      </c>
      <c r="GG48" s="388">
        <f>IF($BK48&lt;&gt;$GG$9,0,各项系数!$F$76/4*($MS48^2-$MQ48^2)*10^-2*(VLOOKUP($GG$9,各项系数!$D$1:$F$143,3,0))*10^-3*10^2)*各项系数!$J$4</f>
        <v>0</v>
      </c>
      <c r="GH48" s="389">
        <v>1</v>
      </c>
      <c r="GI48" s="390">
        <f t="shared" si="195"/>
        <v>0</v>
      </c>
      <c r="GJ48" s="367">
        <f>GI48*(VLOOKUP($GG$9,各项系数!$D$1:$F$143,2,0))</f>
        <v>0</v>
      </c>
      <c r="GK48" s="388">
        <f>IF($BK48&lt;&gt;$GK$9,0,各项系数!$F$76/4*($MS48^2-$MQ48^2)*10^-2*(VLOOKUP($GK$9,各项系数!$D$1:$F$143,3,0))*10^-3*10^2)*各项系数!$J$4</f>
        <v>0</v>
      </c>
      <c r="GL48" s="389">
        <v>1</v>
      </c>
      <c r="GM48" s="390">
        <f t="shared" si="196"/>
        <v>0</v>
      </c>
      <c r="GN48" s="367">
        <f>GM48*(VLOOKUP($GK$9,各项系数!$D$1:$F$143,2,0))</f>
        <v>0</v>
      </c>
      <c r="GO48" s="390">
        <f t="shared" si="197"/>
        <v>0.00343568108831006</v>
      </c>
      <c r="GP48" s="390">
        <f t="shared" si="198"/>
        <v>0.0443202860391997</v>
      </c>
      <c r="GQ48" s="406">
        <f>各项系数!$F$76/4*($MU48^2-$MS48^2)*10^-2*(VLOOKUP($S48,各项系数!$D$1:$F$143,3,0))*10^-3*10^2*各项系数!$J$4</f>
        <v>1.07581637067663</v>
      </c>
      <c r="GR48" s="389">
        <v>1</v>
      </c>
      <c r="GS48" s="390">
        <f t="shared" si="199"/>
        <v>1.07581637067663</v>
      </c>
      <c r="GT48" s="390">
        <f t="shared" si="200"/>
        <v>0</v>
      </c>
      <c r="GU48" s="390">
        <f>ROUND($GS48*(VLOOKUP($S48,各项系数!$D$1:$F$143,2,0))+$E$3*GS48,GT48)</f>
        <v>6</v>
      </c>
      <c r="GV48" s="406">
        <f>各项系数!$F$76/4*($MT48^2-$MS48^2)*10^-2*(VLOOKUP($GV$9,各项系数!$D$1:$F$143,3,0))*10^-3*10^2*各项系数!$J$4*PI()/4*R48</f>
        <v>0.0810316328769686</v>
      </c>
      <c r="GW48" s="389">
        <v>1</v>
      </c>
      <c r="GX48" s="390">
        <f t="shared" si="201"/>
        <v>0.0810316328769686</v>
      </c>
      <c r="GY48" s="390">
        <f>$GX48*(VLOOKUP($GV$9,各项系数!$D$1:$F$143,2,0))</f>
        <v>5.46963521919538</v>
      </c>
      <c r="GZ48" s="406">
        <f>各项系数!$F$76/4*($MV48^2-$MS48^2)*10^-2*(VLOOKUP($GZ$9,各项系数!$D$1:$F$143,3,0))*10^-3*10^2*各项系数!$J$4</f>
        <v>0.857536907455292</v>
      </c>
      <c r="HA48" s="389">
        <v>1</v>
      </c>
      <c r="HB48" s="390">
        <f t="shared" si="144"/>
        <v>0.857536907455292</v>
      </c>
      <c r="HC48" s="390">
        <f>HB48*(VLOOKUP($GZ$9,各项系数!$D$1:$F$143,2,0))</f>
        <v>14.57812742674</v>
      </c>
      <c r="HD48" s="406">
        <f>各项系数!$F$76/4*($MW48^2-$MT48^2)*10^-2*(VLOOKUP($HD$9,各项系数!$D$1:$F$143,3,0))*10^-3*10^2*各项系数!$J$4</f>
        <v>0.859785043724571</v>
      </c>
      <c r="HE48" s="389">
        <v>1</v>
      </c>
      <c r="HF48" s="390">
        <f t="shared" si="145"/>
        <v>0.859785043724571</v>
      </c>
      <c r="HG48" s="390">
        <f>HF48*(VLOOKUP($HD$9,各项系数!$D$1:$F$143,2,0))</f>
        <v>14.6163457433177</v>
      </c>
      <c r="HH48" s="406">
        <f>各项系数!$F$76/4*($MV48^2-$MS48^2)*10^-2*(VLOOKUP($HH$9,各项系数!$D$1:$F$143,3,0))*10^-3*10^2*各项系数!$J$4</f>
        <v>0.857536907455292</v>
      </c>
      <c r="HI48" s="420">
        <v>1</v>
      </c>
      <c r="HJ48" s="390">
        <f t="shared" si="146"/>
        <v>0.857536907455292</v>
      </c>
      <c r="HK48" s="390">
        <f>HJ48*(VLOOKUP($HH$9,各项系数!$D$1:$F$143,2,0))</f>
        <v>14.57812742674</v>
      </c>
      <c r="HL48" s="406">
        <f>各项系数!$F$76/4*($MW48^2-$MT48^2)*10^-2*(VLOOKUP($HL$9,各项系数!$D$1:$F$143,3,0))*10^-3*10^2*各项系数!$J$4</f>
        <v>0.859785043724571</v>
      </c>
      <c r="HM48" s="420">
        <v>1</v>
      </c>
      <c r="HN48" s="390">
        <f t="shared" si="147"/>
        <v>0.859785043724571</v>
      </c>
      <c r="HO48" s="390">
        <f>HN48*(VLOOKUP($HL$9,各项系数!$D$1:$F$143,2,0))</f>
        <v>14.6163457433177</v>
      </c>
      <c r="HP48" s="406">
        <f>各项系数!$F$76/4*($MV48^2-$MS48^2)*10^-2*(VLOOKUP(AN48,各项系数!$D$1:$F$143,3,0))*10^-3*10^2*各项系数!$J$4</f>
        <v>0.869365002730538</v>
      </c>
      <c r="HQ48" s="389">
        <v>1</v>
      </c>
      <c r="HR48" s="390">
        <f t="shared" si="202"/>
        <v>0.869365002730538</v>
      </c>
      <c r="HS48" s="390">
        <f>HR48*(VLOOKUP(AN48,各项系数!$D$1:$F$143,2,0))</f>
        <v>8.69365002730538</v>
      </c>
      <c r="HT48" s="406">
        <f>各项系数!$F$76/4*($MW48^2-$MT48^2)*10^-2*(VLOOKUP(AN48,各项系数!$D$1:$F$143,3,0))*10^-3*10^2*各项系数!$J$4</f>
        <v>0.871644147775945</v>
      </c>
      <c r="HU48" s="389">
        <v>1</v>
      </c>
      <c r="HV48" s="390">
        <f t="shared" si="203"/>
        <v>0.871644147775945</v>
      </c>
      <c r="HW48" s="390">
        <f>HV48*(VLOOKUP(AN48,各项系数!$D$1:$F$143,2,0))</f>
        <v>8.71644147775945</v>
      </c>
      <c r="HX48" s="406">
        <f>各项系数!$F$76/4*($MV48^2-$MS48^2)*10^-2*(VLOOKUP($HX$9,各项系数!$D$1:$F$143,3,0))*10^-3*10^2*各项系数!$J$4</f>
        <v>0.869365002730538</v>
      </c>
      <c r="HY48" s="420">
        <v>1</v>
      </c>
      <c r="HZ48" s="390">
        <f t="shared" si="204"/>
        <v>0.869365002730538</v>
      </c>
      <c r="IA48" s="390">
        <f>HZ48*(VLOOKUP($HX$9,各项系数!$D$1:$F$143,2,0))</f>
        <v>9.56301503003592</v>
      </c>
      <c r="IB48" s="406">
        <f>各项系数!$F$76/4*($MW48^2-$MT48^2)*10^-2*(VLOOKUP($IB$9,各项系数!$D$1:$F$143,3,0))*10^-3*10^2*各项系数!$J$4</f>
        <v>0.871644147775945</v>
      </c>
      <c r="IC48" s="420">
        <v>1</v>
      </c>
      <c r="ID48" s="390">
        <f t="shared" si="205"/>
        <v>0.871644147775945</v>
      </c>
      <c r="IE48" s="390">
        <f>ID48*(VLOOKUP($IB$9,各项系数!$D$1:$F$143,2,0))</f>
        <v>9.58808562553539</v>
      </c>
      <c r="IF48" s="429"/>
      <c r="IG48" s="406">
        <f t="shared" si="148"/>
        <v>0.0710253406191451</v>
      </c>
      <c r="IH48" s="389">
        <v>1</v>
      </c>
      <c r="II48" s="390">
        <f t="shared" si="206"/>
        <v>0.0710253406191451</v>
      </c>
      <c r="IJ48" s="390">
        <f>II48*(VLOOKUP($IG$8,各项系数!$D$1:$F$143,2,0))</f>
        <v>1.77563351547863</v>
      </c>
      <c r="IK48" s="406">
        <f>(各项系数!$F$76/4*($MX48^2-$MK48^2)*$EG48)*10^-2*(VLOOKUP($IG$8,各项系数!$D$1:$F$143,3,0))*10^-3*10^2*各项系数!$J$4</f>
        <v>0.0710253406191451</v>
      </c>
      <c r="IL48" s="389">
        <f>IK48*(VLOOKUP($IG$8,各项系数!$D$1:$F$143,2,0))</f>
        <v>1.77563351547863</v>
      </c>
      <c r="IM48" s="390">
        <f>(各项系数!$F$76/4*(($MM48+3*$X48)^2-MM48^2)*$EO48)*10^-2*(VLOOKUP($IG$8,各项系数!$D$1:$F$143,3,0))*10^-3*10^2*各项系数!$J$4</f>
        <v>0</v>
      </c>
      <c r="IN48" s="389">
        <f>IM48*(VLOOKUP($IG$8,各项系数!$D$1:$F$143,2,0))</f>
        <v>0</v>
      </c>
      <c r="IO48" s="406">
        <f>各项系数!$F$76/4*($MZ48^2-$MX48^2)*10^-2*(VLOOKUP(L48,各项系数!$D$1:$F$143,3,0))*10^-3*10^2*$ES48*各项系数!$J$4</f>
        <v>0.378868951648543</v>
      </c>
      <c r="IP48" s="389">
        <v>1</v>
      </c>
      <c r="IQ48" s="390">
        <f t="shared" si="207"/>
        <v>0.378868951648543</v>
      </c>
      <c r="IR48" s="367">
        <f>IQ48*(VLOOKUP(L48,各项系数!$D$1:$F$143,2,0))</f>
        <v>3.86446330681514</v>
      </c>
      <c r="IS48" s="406">
        <f>IF($L48&lt;&gt;$IS$9,0,各项系数!$F$76/4*($MZ48^2-$MX48^2)*10^-2*各项系数!$F$12*10^-3*10^2)*$ES48*各项系数!$J$4</f>
        <v>0</v>
      </c>
      <c r="IT48" s="389">
        <v>1</v>
      </c>
      <c r="IU48" s="390">
        <f t="shared" si="208"/>
        <v>0</v>
      </c>
      <c r="IV48" s="367">
        <f>IU48*各项系数!$E$12</f>
        <v>0</v>
      </c>
      <c r="IW48" s="388">
        <f t="shared" si="209"/>
        <v>0.378868951648543</v>
      </c>
      <c r="IX48" s="388">
        <f t="shared" si="210"/>
        <v>3.86446330681514</v>
      </c>
      <c r="IY48" s="447">
        <f>各项系数!$F$76/4*($NB48^2-$MZ48^2*$EG48-$NA48^2*$EO48)*10^-2</f>
        <v>13.7128048241296</v>
      </c>
      <c r="IZ48" s="366">
        <f t="shared" si="231"/>
        <v>0.05</v>
      </c>
      <c r="JA48" s="367">
        <f t="shared" si="64"/>
        <v>0.685640241206479</v>
      </c>
      <c r="JB48" s="364">
        <f>IF($DE48&lt;&gt;$JB$9,0,$JA48*各项系数!$F$32*10^-3*10^2)*各项系数!$J$4</f>
        <v>0</v>
      </c>
      <c r="JC48" s="123">
        <v>1</v>
      </c>
      <c r="JD48" s="251">
        <f t="shared" si="211"/>
        <v>0</v>
      </c>
      <c r="JE48" s="339">
        <f>JD48*各项系数!$E$32</f>
        <v>0</v>
      </c>
      <c r="JF48" s="364">
        <f>IF($DE48&lt;&gt;$JF$9,0,$JA48*VLOOKUP($JF$9,各项系数!$D$4:$F$540,2,0)*10^-3*10^2)*各项系数!$J$4</f>
        <v>0.341106020000223</v>
      </c>
      <c r="JG48" s="123">
        <v>1</v>
      </c>
      <c r="JH48" s="251">
        <f t="shared" si="66"/>
        <v>0.341106020000223</v>
      </c>
      <c r="JI48" s="339">
        <f>JH48*VLOOKUP($JF$9,各项系数!$D$4:$F$540,3,0)</f>
        <v>0.409327224000268</v>
      </c>
      <c r="JJ48" s="364">
        <f t="shared" si="212"/>
        <v>0.341106020000223</v>
      </c>
      <c r="JK48" s="251">
        <f t="shared" si="213"/>
        <v>0.409327224000268</v>
      </c>
      <c r="JL48" s="364">
        <f>IF($DF48&lt;&gt;$JL$9,0,各项系数!$F$76/4*($NE48^2-$NC48^2)*10^-2*各项系数!$F$39*10^-3*10^2)*各项系数!$J$4</f>
        <v>0.00275888414966809</v>
      </c>
      <c r="JM48" s="123">
        <v>1</v>
      </c>
      <c r="JN48" s="251">
        <f t="shared" si="214"/>
        <v>0.00275888414966809</v>
      </c>
      <c r="JO48" s="339">
        <f>JN48*各项系数!$E$39</f>
        <v>0.0551776829933619</v>
      </c>
      <c r="JP48" s="364">
        <f>IF($DF48&lt;&gt;$JP$9,0,各项系数!$F$76/4*($NE48^2-$NC48^2)*10^-2*各项系数!$F$36*10^-3*10^2)*各项系数!$J$4</f>
        <v>0</v>
      </c>
      <c r="JQ48" s="123">
        <v>1</v>
      </c>
      <c r="JR48" s="251">
        <f t="shared" si="215"/>
        <v>0</v>
      </c>
      <c r="JS48" s="339">
        <f>JR48*各项系数!$E$36</f>
        <v>0</v>
      </c>
      <c r="JT48" s="364">
        <f>IF($DF48&lt;&gt;$JT$9,0,各项系数!$F$76/4*($NE48^2-$NC48^2)*10^-2*各项系数!$F$40*10^-3*10^2)*各项系数!$J$4</f>
        <v>0</v>
      </c>
      <c r="JU48" s="123">
        <v>1</v>
      </c>
      <c r="JV48" s="251">
        <f t="shared" si="216"/>
        <v>0</v>
      </c>
      <c r="JW48" s="339">
        <f>JV48*各项系数!$E$40</f>
        <v>0</v>
      </c>
      <c r="JX48" s="364">
        <f>IF($DF48&lt;&gt;$JX$9,0,各项系数!$F$76/4*($NE48^2-$NC48^2)*10^-2*各项系数!$F$38*10^-3*10^2)*各项系数!$J$4</f>
        <v>0</v>
      </c>
      <c r="JY48" s="123">
        <v>1</v>
      </c>
      <c r="JZ48" s="251">
        <f t="shared" si="217"/>
        <v>0</v>
      </c>
      <c r="KA48" s="339">
        <f>JZ48*各项系数!$E$38</f>
        <v>0</v>
      </c>
      <c r="KB48" s="364">
        <f>IF($DF48&lt;&gt;$KB$9,0,各项系数!$F$76/4*($NE48^2-$NC48^2)*10^-2*各项系数!$F$41*10^-3*10^2)*各项系数!$J$4</f>
        <v>0</v>
      </c>
      <c r="KC48" s="123">
        <v>1</v>
      </c>
      <c r="KD48" s="251">
        <f t="shared" si="218"/>
        <v>0</v>
      </c>
      <c r="KE48" s="339">
        <f>KD48*各项系数!$E$41</f>
        <v>0</v>
      </c>
      <c r="KF48" s="251">
        <f t="shared" si="219"/>
        <v>0.00275888414966809</v>
      </c>
      <c r="KG48" s="251">
        <f t="shared" si="220"/>
        <v>0.0551776829933619</v>
      </c>
      <c r="KH48" s="302">
        <f>各项系数!$F$76/4*($NG48^2-$NE48^2)*10^-2*各项系数!$F$44*10^-3*10^2*各项系数!$J$4*0.75*$U48</f>
        <v>1.64840605039071</v>
      </c>
      <c r="KI48" s="123">
        <v>1</v>
      </c>
      <c r="KJ48" s="251">
        <f t="shared" si="221"/>
        <v>1.64840605039071</v>
      </c>
      <c r="KK48" s="251">
        <f>ROUND(KJ48*各项系数!$E$43,GT48)</f>
        <v>10</v>
      </c>
      <c r="KL48" s="302">
        <f>各项系数!$F$76/4*($NF48^2-$NE48^2)*10^-2*各项系数!$F$46*10^-3*10^2*各项系数!$J$4*PI()/4*R48</f>
        <v>0.0827932444028651</v>
      </c>
      <c r="KM48" s="123">
        <v>1</v>
      </c>
      <c r="KN48" s="251">
        <f t="shared" si="222"/>
        <v>0.0827932444028651</v>
      </c>
      <c r="KO48" s="251">
        <f>KN48*各项系数!$E$46</f>
        <v>5.5885439971934</v>
      </c>
      <c r="KP48" s="302">
        <f>各项系数!$F$76/4*($NH48^2-$NE48^2)*10^-2*(VLOOKUP($KP$9,各项系数!$D$1:$F$143,3,0))*10^-3*10^2*各项系数!$J$4</f>
        <v>0.875257091282407</v>
      </c>
      <c r="KQ48" s="123">
        <v>1</v>
      </c>
      <c r="KR48" s="251">
        <f t="shared" si="150"/>
        <v>0.875257091282407</v>
      </c>
      <c r="KS48" s="251">
        <f>KR48*(VLOOKUP($KP$9,各项系数!$D$1:$F$143,2,0))</f>
        <v>14.8793705518009</v>
      </c>
      <c r="KT48" s="302">
        <f>各项系数!$F$76/4*($NI48^2-$NF48^2)*10^-2*(VLOOKUP($KT$9,各项系数!$D$1:$F$143,3,0))*10^-3*10^2*各项系数!$J$4</f>
        <v>0.877505227551686</v>
      </c>
      <c r="KU48" s="123">
        <v>1</v>
      </c>
      <c r="KV48" s="251">
        <f t="shared" si="151"/>
        <v>0.877505227551686</v>
      </c>
      <c r="KW48" s="251">
        <f>KV48*(VLOOKUP($KT$9,各项系数!$D$1:$F$143,2,0))</f>
        <v>14.9175888683787</v>
      </c>
      <c r="KX48" s="251">
        <f>各项系数!$F$76/4*($NH48^2-$NE48^2)*10^-2*(VLOOKUP($KX$9,各项系数!$D$1:$F$143,3,0))*10^-3*10^2*各项系数!$J$4</f>
        <v>0.875257091282407</v>
      </c>
      <c r="KY48" s="479">
        <v>1</v>
      </c>
      <c r="KZ48" s="251">
        <f t="shared" si="152"/>
        <v>0.875257091282407</v>
      </c>
      <c r="LA48" s="251">
        <f>KZ48*(VLOOKUP($KX$9,各项系数!$D$1:$F$143,2,0))</f>
        <v>14.8793705518009</v>
      </c>
      <c r="LB48" s="251">
        <f>各项系数!$F$76/4*($NI48^2-$NF48^2)*10^-2*(VLOOKUP($LB$9,各项系数!$D$1:$F$143,3,0))*10^-3*10^2*各项系数!$J$4</f>
        <v>0.877505227551686</v>
      </c>
      <c r="LC48" s="479">
        <v>1</v>
      </c>
      <c r="LD48" s="251">
        <f t="shared" si="153"/>
        <v>0.877505227551686</v>
      </c>
      <c r="LE48" s="251">
        <f>LD48*(VLOOKUP($LB$9,各项系数!$D$1:$F$143,2,0))</f>
        <v>14.9175888683787</v>
      </c>
      <c r="LF48" s="302">
        <f>各项系数!$F$76/4*($NH48^2-$NE48^2)*10^-2*(VLOOKUP(AN48,各项系数!$D$1:$F$143,3,0))*10^-3*10^2*各项系数!$J$4</f>
        <v>0.887329602886302</v>
      </c>
      <c r="LG48" s="123">
        <v>1</v>
      </c>
      <c r="LH48" s="251">
        <f t="shared" si="223"/>
        <v>0.887329602886302</v>
      </c>
      <c r="LI48" s="251">
        <f>LH48*(VLOOKUP(AN48,各项系数!$D$1:$F$143,2,0))</f>
        <v>8.87329602886302</v>
      </c>
      <c r="LJ48" s="302">
        <f>各项系数!$F$76/4*($NI48^2-$NF48^2)*10^-2*(VLOOKUP(AN48,各项系数!$D$1:$F$143,3,0))*10^-3*10^2*各项系数!$J$4</f>
        <v>0.889608747931709</v>
      </c>
      <c r="LK48" s="123">
        <v>1</v>
      </c>
      <c r="LL48" s="251">
        <f t="shared" si="224"/>
        <v>0.889608747931709</v>
      </c>
      <c r="LM48" s="251">
        <f>LL48*(VLOOKUP(AN48,各项系数!$D$1:$F$143,2,0))</f>
        <v>8.89608747931709</v>
      </c>
      <c r="LN48" s="251">
        <f>各项系数!$F$76/4*($NH48^2-$NE48^2)*10^-2*(VLOOKUP($LN$9,各项系数!$D$1:$F$143,3,0))*10^-3*10^2*各项系数!$J$4</f>
        <v>0.887329602886302</v>
      </c>
      <c r="LO48" s="479">
        <v>1</v>
      </c>
      <c r="LP48" s="251">
        <f t="shared" si="225"/>
        <v>0.887329602886302</v>
      </c>
      <c r="LQ48" s="251">
        <f>LP48*(VLOOKUP($LN$9,各项系数!$D$1:$F$143,2,0))</f>
        <v>9.76062563174932</v>
      </c>
      <c r="LR48" s="251">
        <f>各项系数!$F$76/4*($NI48^2-$NF48^2)*10^-2*(VLOOKUP($LR$9,各项系数!$D$1:$F$143,3,0))*10^-3*10^2*各项系数!$J$4</f>
        <v>0.889608747931709</v>
      </c>
      <c r="LS48" s="479">
        <v>1</v>
      </c>
      <c r="LT48" s="251">
        <f t="shared" si="226"/>
        <v>0.889608747931709</v>
      </c>
      <c r="LU48" s="251">
        <f>LT48*(VLOOKUP($LR$9,各项系数!$D$1:$F$143,2,0))</f>
        <v>9.7856962272488</v>
      </c>
      <c r="LV48" s="499">
        <f t="shared" si="154"/>
        <v>977.53520929</v>
      </c>
      <c r="LW48" s="499">
        <f t="shared" si="155"/>
        <v>736.16849094</v>
      </c>
      <c r="LX48" s="499">
        <f t="shared" si="156"/>
        <v>30.6156632175888</v>
      </c>
      <c r="LY48" s="515">
        <f t="shared" si="157"/>
        <v>241.36671835</v>
      </c>
      <c r="LZ48" s="516">
        <f t="shared" si="86"/>
        <v>1</v>
      </c>
      <c r="MA48" s="517">
        <f t="shared" si="87"/>
        <v>977.53520929</v>
      </c>
      <c r="MB48" s="517">
        <f t="shared" si="158"/>
        <v>24.94630719</v>
      </c>
      <c r="MC48" s="499">
        <f t="shared" si="159"/>
        <v>0</v>
      </c>
      <c r="MD48" s="499">
        <f t="shared" si="160"/>
        <v>0</v>
      </c>
      <c r="ME48" s="499">
        <f t="shared" si="161"/>
        <v>0</v>
      </c>
      <c r="MF48" s="499">
        <f t="shared" si="162"/>
        <v>0</v>
      </c>
      <c r="MG48" s="516">
        <f t="shared" si="163"/>
        <v>1</v>
      </c>
      <c r="MH48" s="517">
        <f t="shared" si="88"/>
        <v>0</v>
      </c>
      <c r="MI48" s="517">
        <f t="shared" si="164"/>
        <v>0</v>
      </c>
      <c r="MJ48" s="251">
        <f t="shared" si="89"/>
        <v>24.94630719</v>
      </c>
      <c r="MK48" s="251">
        <f t="shared" si="165"/>
        <v>24.94630719</v>
      </c>
      <c r="ML48" s="251">
        <f t="shared" si="227"/>
        <v>0</v>
      </c>
      <c r="MM48" s="251">
        <f t="shared" si="91"/>
        <v>0</v>
      </c>
      <c r="MN48" s="251">
        <f t="shared" si="92"/>
        <v>28.94630719</v>
      </c>
      <c r="MO48" s="251">
        <f t="shared" si="166"/>
        <v>0</v>
      </c>
      <c r="MP48" s="251">
        <f t="shared" si="167"/>
        <v>57.89261438</v>
      </c>
      <c r="MQ48" s="251">
        <f t="shared" si="228"/>
        <v>57.89261438</v>
      </c>
      <c r="MR48" s="314">
        <f t="shared" si="168"/>
        <v>57.75495576</v>
      </c>
      <c r="MS48" s="530">
        <f t="shared" si="94"/>
        <v>57.93095576</v>
      </c>
      <c r="MT48" s="530">
        <f t="shared" si="95"/>
        <v>58.09095576</v>
      </c>
      <c r="MU48" s="530">
        <f t="shared" si="232"/>
        <v>59.43095576</v>
      </c>
      <c r="MV48" s="530">
        <f t="shared" si="97"/>
        <v>64.13095576</v>
      </c>
      <c r="MW48" s="530">
        <f t="shared" si="98"/>
        <v>64.29095576</v>
      </c>
      <c r="MX48" s="326">
        <f t="shared" si="233"/>
        <v>25.54630719</v>
      </c>
      <c r="MY48" s="326">
        <f t="shared" si="100"/>
        <v>0</v>
      </c>
      <c r="MZ48" s="251">
        <f t="shared" si="101"/>
        <v>29.54630719</v>
      </c>
      <c r="NA48" s="251">
        <f t="shared" si="102"/>
        <v>0</v>
      </c>
      <c r="NB48" s="251">
        <f t="shared" si="169"/>
        <v>59.09261438</v>
      </c>
      <c r="NC48" s="326">
        <f t="shared" si="229"/>
        <v>59.09261438</v>
      </c>
      <c r="ND48" s="314">
        <f t="shared" si="234"/>
        <v>58.95210236</v>
      </c>
      <c r="NE48" s="537">
        <f t="shared" si="235"/>
        <v>59.19210236</v>
      </c>
      <c r="NF48" s="530">
        <f t="shared" si="106"/>
        <v>59.35210236</v>
      </c>
      <c r="NG48" s="538">
        <f t="shared" si="236"/>
        <v>60.69210236</v>
      </c>
      <c r="NH48" s="326">
        <f t="shared" si="108"/>
        <v>65.39210236</v>
      </c>
      <c r="NI48" s="530">
        <f t="shared" si="109"/>
        <v>65.55210236</v>
      </c>
      <c r="NK48" s="539">
        <f t="shared" si="110"/>
        <v>7.96404310570171</v>
      </c>
      <c r="NL48" s="539">
        <f t="shared" si="111"/>
        <v>447.808356091974</v>
      </c>
      <c r="NM48" s="539">
        <f t="shared" si="112"/>
        <v>7.96404310570171</v>
      </c>
      <c r="NN48" s="539">
        <f t="shared" si="113"/>
        <v>448.677721094705</v>
      </c>
      <c r="NO48" s="539">
        <f t="shared" si="114"/>
        <v>8.32314030134076</v>
      </c>
      <c r="NP48" s="539">
        <f t="shared" si="115"/>
        <v>450.032271141566</v>
      </c>
      <c r="NQ48" s="539">
        <f t="shared" si="116"/>
        <v>8.32314030134076</v>
      </c>
      <c r="NR48" s="539">
        <f t="shared" si="117"/>
        <v>450.919600744453</v>
      </c>
      <c r="NS48" s="539">
        <f t="shared" si="118"/>
        <v>8.04507473857867</v>
      </c>
      <c r="NT48" s="539">
        <f t="shared" si="119"/>
        <v>8.04507473857867</v>
      </c>
      <c r="NU48" s="539">
        <f t="shared" si="120"/>
        <v>8.40593354574363</v>
      </c>
      <c r="NV48" s="539">
        <f t="shared" si="121"/>
        <v>8.40593354574363</v>
      </c>
      <c r="NW48">
        <f t="shared" si="122"/>
        <v>9.03985947637834</v>
      </c>
      <c r="NX48">
        <f>各项系数!$M$9*NK48</f>
        <v>2.38921293171051</v>
      </c>
      <c r="NY48">
        <f t="shared" si="123"/>
        <v>8.04507473857867</v>
      </c>
    </row>
    <row r="49" customHeight="1" spans="1:389">
      <c r="A49" s="91">
        <v>8</v>
      </c>
      <c r="B49" s="86">
        <v>1</v>
      </c>
      <c r="C49" s="83"/>
      <c r="D49" s="74" t="s">
        <v>917</v>
      </c>
      <c r="E49" s="70">
        <f t="shared" si="255"/>
        <v>71.9591838</v>
      </c>
      <c r="F49" s="84">
        <f>$F$33</f>
        <v>314.103042329295</v>
      </c>
      <c r="G49" s="74"/>
      <c r="H49" s="23"/>
      <c r="I49" s="78"/>
      <c r="J49" s="23"/>
      <c r="K49" s="23"/>
      <c r="L49" s="118" t="s">
        <v>467</v>
      </c>
      <c r="M49" s="124">
        <f t="shared" si="2"/>
        <v>2.2</v>
      </c>
      <c r="N49" s="124">
        <f t="shared" si="252"/>
        <v>0</v>
      </c>
      <c r="O49" s="69">
        <f t="shared" si="265"/>
        <v>0.08</v>
      </c>
      <c r="P49" s="120">
        <v>0.1</v>
      </c>
      <c r="Q49" s="162">
        <f t="shared" si="253"/>
        <v>0.1</v>
      </c>
      <c r="R49" s="86">
        <v>0.8</v>
      </c>
      <c r="S49" s="171" t="str">
        <f>各项系数!$D$43</f>
        <v>钢带</v>
      </c>
      <c r="T49" s="78">
        <v>0.5</v>
      </c>
      <c r="U49" s="78">
        <v>2</v>
      </c>
      <c r="V49" s="172"/>
      <c r="W49" s="174">
        <v>3.3</v>
      </c>
      <c r="X49" s="164">
        <f t="shared" si="254"/>
        <v>0.2</v>
      </c>
      <c r="Y49" s="219"/>
      <c r="Z49" s="220"/>
      <c r="AA49" s="217">
        <f>$AA$33</f>
        <v>1.02</v>
      </c>
      <c r="AB49" s="186">
        <f>PI()*EJ49*EJ49/4*EH49*(1-H49)*AA49*各项系数!$F$5*各项系数!$J$4*10^-7</f>
        <v>4.26470519939525</v>
      </c>
      <c r="AC49" s="186">
        <f t="shared" si="256"/>
        <v>314.103042329295</v>
      </c>
      <c r="AD49" s="186">
        <f t="shared" si="5"/>
        <v>482.13002011127</v>
      </c>
      <c r="AE49" s="186">
        <f>POWER(4*EU49/PI()/EG49/10^-7/EH49/(1-H49)/各项系数!$F$5/各项系数!$J$4,0.5)</f>
        <v>317.228522715927</v>
      </c>
      <c r="AF49" s="218">
        <v>1</v>
      </c>
      <c r="AG49" s="85">
        <f>IF(EM49=0,0,PI()*ER49*ER49/4*EP49*(1-K49)*(1+AF49)*各项系数!$F$5*各项系数!$J$4*10^-7)</f>
        <v>0</v>
      </c>
      <c r="AH49" s="85">
        <f t="shared" si="257"/>
        <v>0</v>
      </c>
      <c r="AI49" s="85">
        <f t="shared" si="128"/>
        <v>0</v>
      </c>
      <c r="AJ49" s="85">
        <f>IF(OR(EP49="",EP49=0),0,POWER(4*EW49/PI()/EO49/10^-7/EP49/(1-K49)/各项系数!$F$5/各项系数!$J$4,0.5))</f>
        <v>0</v>
      </c>
      <c r="AK49" s="85" t="str">
        <f t="shared" si="8"/>
        <v>√</v>
      </c>
      <c r="AL49" s="85">
        <f t="shared" si="258"/>
        <v>591.50467816709</v>
      </c>
      <c r="AM49" s="127">
        <f t="shared" si="259"/>
        <v>500</v>
      </c>
      <c r="AN49" s="118" t="s">
        <v>486</v>
      </c>
      <c r="AO49" s="259">
        <f>AP49+各项系数!$M$9*$NK49</f>
        <v>579.906547222637</v>
      </c>
      <c r="AP49" s="259">
        <f>AQ49*(1+$BI49+(VLOOKUP($AM49,$A$12:$B$323,2,0))+各项系数!$J$6+各项系数!$M$5)*(1+$E$2)</f>
        <v>576.866441361372</v>
      </c>
      <c r="AQ49" s="260">
        <f>AR49+各项系数!$L$9*$NK49</f>
        <v>588.639225878951</v>
      </c>
      <c r="AR49" s="260">
        <f>AS49*(1+$BJ49+各项系数!$J$5+各项系数!$L$5)</f>
        <v>585.599120017686</v>
      </c>
      <c r="AS49" s="260">
        <f t="shared" si="129"/>
        <v>574.116784331065</v>
      </c>
      <c r="AT49" s="259">
        <f>AU49+各项系数!$M$9*$NM49</f>
        <v>586.950798799563</v>
      </c>
      <c r="AU49" s="259">
        <f>AV49*(1+$BI49+(VLOOKUP($AM49,$A$12:$B$323,2,0))+各项系数!$J$6+各项系数!$M$5)*(1+$E$2)</f>
        <v>583.910692938298</v>
      </c>
      <c r="AV49" s="260">
        <f>AW49+各项系数!$L$9*$NM49</f>
        <v>595.827237692141</v>
      </c>
      <c r="AW49" s="260">
        <f>AX49*(1+$BJ49+各项系数!$J$5+各项系数!$L$5)</f>
        <v>592.787131830876</v>
      </c>
      <c r="AX49" s="260">
        <f t="shared" si="130"/>
        <v>581.163854736153</v>
      </c>
      <c r="AY49" s="259">
        <f>AZ49+各项系数!$M$9*$NS49</f>
        <v>586.152642462254</v>
      </c>
      <c r="AZ49" s="259">
        <f>BA49*(1+$BI49+(VLOOKUP($AM49,$A$12:$B$214,2,0))+各项系数!$J$6+各项系数!$M$5)*(1+$E$2)</f>
        <v>583.085114312313</v>
      </c>
      <c r="BA49" s="260">
        <f>BB49+各项系数!$L$9*$NS49</f>
        <v>594.984810522768</v>
      </c>
      <c r="BB49" s="260">
        <f>BC49*(1+$BJ49+各项系数!$J$5+各项系数!$L$5)</f>
        <v>591.917282372827</v>
      </c>
      <c r="BC49" s="262">
        <f t="shared" si="131"/>
        <v>580.31106114983</v>
      </c>
      <c r="BD49" s="259">
        <f>BE49+各项系数!$M$9*$NS49</f>
        <v>593.21330961813</v>
      </c>
      <c r="BE49" s="259">
        <f>BF49*(1+$BI49+(VLOOKUP($AM49,$A$12:$B$214,2,0))+各项系数!$J$6+各项系数!$M$5)*(1+$E$2)</f>
        <v>590.145781468189</v>
      </c>
      <c r="BF49" s="260">
        <f>BG49+各项系数!$L$9*$NS49</f>
        <v>602.189572926723</v>
      </c>
      <c r="BG49" s="260">
        <f>BH49*(1+$BJ49+各项系数!$J$5+各项系数!$L$5)</f>
        <v>599.122044776782</v>
      </c>
      <c r="BH49" s="262">
        <f t="shared" si="132"/>
        <v>587.374553702727</v>
      </c>
      <c r="BI49" s="277"/>
      <c r="BJ49" s="272"/>
      <c r="BK49" s="69" t="s">
        <v>514</v>
      </c>
      <c r="BL49" s="259">
        <f>BM49+各项系数!$M$9*$NM49</f>
        <v>586.583803258261</v>
      </c>
      <c r="BM49" s="259">
        <f>BN49*(1+$CF49+(VLOOKUP($AM49,$A$12:$B$323,2,0))+各项系数!$J$6+各项系数!$M$5)*(1+$E$2)</f>
        <v>583.543697396996</v>
      </c>
      <c r="BN49" s="260">
        <f>BO49+各项系数!$L$9*$NM49</f>
        <v>595.452752445915</v>
      </c>
      <c r="BO49" s="260">
        <f>BP49*(1+$CG49+各项系数!$J$5+各项系数!$L$5)</f>
        <v>592.41264658465</v>
      </c>
      <c r="BP49" s="260">
        <f t="shared" si="133"/>
        <v>575.157909305485</v>
      </c>
      <c r="BQ49" s="259">
        <f>BR49+各项系数!$M$9*$NM49</f>
        <v>592.646204575977</v>
      </c>
      <c r="BR49" s="259">
        <f>BS49*(1+$CF49+(VLOOKUP($AM49,$A$12:$B$323,2,0))+各项系数!$J$6+各项系数!$M$5)*(1+$E$2)</f>
        <v>589.606098714712</v>
      </c>
      <c r="BS49" s="260">
        <f>BT49+各项系数!$L$9*$NM49</f>
        <v>601.638876239502</v>
      </c>
      <c r="BT49" s="260">
        <f>BU49*(1+$CG49+各项系数!$J$5+各项系数!$L$5)</f>
        <v>598.598770378237</v>
      </c>
      <c r="BU49" s="260">
        <f t="shared" si="134"/>
        <v>581.163854736153</v>
      </c>
      <c r="BV49" s="259">
        <f>BW49+各项系数!$M$9*$NT49</f>
        <v>589.894971951667</v>
      </c>
      <c r="BW49" s="259">
        <f>BX49*(1+$CF49+(VLOOKUP($AM49,$A$12:$B$214,2,0))+各项系数!$J$6+各项系数!$M$5)*(1+$E$2)</f>
        <v>586.827443801726</v>
      </c>
      <c r="BX49" s="260">
        <f>BY49+各项系数!$L$9*$NT$12</f>
        <v>598.803514083394</v>
      </c>
      <c r="BY49" s="260">
        <f>BZ49*(1+$CG49+各项系数!$J$5+各项系数!$L$5)</f>
        <v>598.795250680239</v>
      </c>
      <c r="BZ49" s="262">
        <f t="shared" si="11"/>
        <v>581.354612310912</v>
      </c>
      <c r="CA49" s="259">
        <f>CB49+各项系数!$M$9*$NT49</f>
        <v>595.971500792566</v>
      </c>
      <c r="CB49" s="259">
        <f>CC49*(1+$CF49+(VLOOKUP($AM49,$A$12:$B$214,2,0))+各项系数!$J$6+各项系数!$M$5)*(1+$E$2)</f>
        <v>592.903972642625</v>
      </c>
      <c r="CC49" s="260">
        <f>CD49+各项系数!$L$9*$NT$12</f>
        <v>605.004053716964</v>
      </c>
      <c r="CD49" s="260">
        <f>CE49*(1+$CG49+各项系数!$J$5+各项系数!$L$5)</f>
        <v>604.995790313809</v>
      </c>
      <c r="CE49" s="262">
        <f t="shared" si="135"/>
        <v>587.374553702727</v>
      </c>
      <c r="CF49" s="277">
        <f t="shared" si="136"/>
        <v>0</v>
      </c>
      <c r="CG49" s="277">
        <f t="shared" si="12"/>
        <v>0.01</v>
      </c>
      <c r="CH49" s="127"/>
      <c r="CI49" s="259">
        <f>CJ49+各项系数!$M$9*$NO49</f>
        <v>585.743893122755</v>
      </c>
      <c r="CJ49" s="259">
        <f>CK49*(1+$DC49+(VLOOKUP($AM49,$A$12:$B$323,2,0))+各项系数!$J$6+各项系数!$M$5)*(1+$E$2)+各项系数!$M$9*$NK49</f>
        <v>582.571355542136</v>
      </c>
      <c r="CK49" s="260">
        <f>CL49+各项系数!$L$9*$NO49</f>
        <v>591.358418041705</v>
      </c>
      <c r="CL49" s="260">
        <f>CM49*(1+$DD49+各项系数!$J$5+各项系数!$L$5)</f>
        <v>588.185880461086</v>
      </c>
      <c r="CM49" s="260">
        <f t="shared" si="13"/>
        <v>576.652823981457</v>
      </c>
      <c r="CN49" s="259">
        <f>CO49+各项系数!$M$9*$NO49</f>
        <v>592.596985127933</v>
      </c>
      <c r="CO49" s="259">
        <f>CP49*(1+$DC49+(VLOOKUP($AM49,$A$12:$B$323,2,0))+各项系数!$J$6+各项系数!$M$5)*(1+$E$2)+各项系数!$M$9*$NK49</f>
        <v>589.424447547314</v>
      </c>
      <c r="CP49" s="260">
        <f>CQ49+各项系数!$L$9*$NO49</f>
        <v>598.351369067397</v>
      </c>
      <c r="CQ49" s="260">
        <f>CR49*(1+$DD49+各项系数!$J$5+各项系数!$L$5)</f>
        <v>595.178831486777</v>
      </c>
      <c r="CR49" s="260">
        <f t="shared" si="14"/>
        <v>583.50865832037</v>
      </c>
      <c r="CS49" s="259">
        <f>CT49+各项系数!$M$9*$NU49</f>
        <v>589.06979011284</v>
      </c>
      <c r="CT49" s="259">
        <f t="shared" si="15"/>
        <v>585.869301760087</v>
      </c>
      <c r="CU49" s="260">
        <f>CV49+各项系数!$L$9*$NU49</f>
        <v>597.825818122538</v>
      </c>
      <c r="CV49" s="260">
        <f>CW49*(1+$DD49+各项系数!$J$5+各项系数!$L$5)</f>
        <v>594.625329769784</v>
      </c>
      <c r="CW49" s="262">
        <f t="shared" si="16"/>
        <v>582.96600957822</v>
      </c>
      <c r="CX49" s="259">
        <f>CY49+各项系数!$M$9*$NU49</f>
        <v>596.25984759109</v>
      </c>
      <c r="CY49" s="259">
        <f t="shared" si="17"/>
        <v>593.059359238336</v>
      </c>
      <c r="CZ49" s="260">
        <f>DA49+各项系数!$L$9*$NU49</f>
        <v>605.16261146769</v>
      </c>
      <c r="DA49" s="260">
        <f>DB49*(1+$DD49+各项系数!$J$5+各项系数!$L$5)</f>
        <v>601.962123114937</v>
      </c>
      <c r="DB49" s="262">
        <f t="shared" si="18"/>
        <v>590.15894423033</v>
      </c>
      <c r="DC49" s="277">
        <f t="shared" si="137"/>
        <v>0</v>
      </c>
      <c r="DD49" s="277">
        <f t="shared" si="19"/>
        <v>0</v>
      </c>
      <c r="DE49" s="69" t="s">
        <v>498</v>
      </c>
      <c r="DF49" s="69" t="s">
        <v>513</v>
      </c>
      <c r="DG49" s="259">
        <f>DH49+各项系数!$M$9*$NQ49</f>
        <v>592.465305715473</v>
      </c>
      <c r="DH49" s="259">
        <f>DI49*(1+$EA49+(VLOOKUP($AM49,$A$12:$B$323,2,0))+各项系数!$J$6+各项系数!$M$5)*(1+$E$2)+各项系数!$M$9*$NK49</f>
        <v>589.292768134853</v>
      </c>
      <c r="DI49" s="260">
        <f>DJ49+各项系数!$L$9*$NQ49</f>
        <v>598.217002319988</v>
      </c>
      <c r="DJ49" s="260">
        <f>DK49*(1+$EB49+各项系数!$J$5+各项系数!$L$5)</f>
        <v>595.044464739369</v>
      </c>
      <c r="DK49" s="260">
        <f t="shared" si="20"/>
        <v>577.713072562494</v>
      </c>
      <c r="DL49" s="259">
        <f>DM49+各项系数!$M$9*$NQ49</f>
        <v>598.639062519615</v>
      </c>
      <c r="DM49" s="259">
        <f>DN49*(1+$EA49+(VLOOKUP($AM49,$A$12:$B$323,2,0))+各项系数!$J$6+各项系数!$M$5)*(1+$E$2)+各项系数!$M$9*$NK49</f>
        <v>595.466524938996</v>
      </c>
      <c r="DN49" s="260">
        <f>DO49+各项系数!$L$9*$NQ49</f>
        <v>604.51675416095</v>
      </c>
      <c r="DO49" s="260">
        <f>DP49*(1+$EB49+各项系数!$J$5+各项系数!$L$5)</f>
        <v>601.34421658033</v>
      </c>
      <c r="DP49" s="260">
        <f t="shared" si="21"/>
        <v>583.829336485757</v>
      </c>
      <c r="DQ49" s="259">
        <f>DR49+各项系数!$M$9*$NV49</f>
        <v>595.855520917222</v>
      </c>
      <c r="DR49" s="259">
        <f t="shared" si="22"/>
        <v>592.655032564469</v>
      </c>
      <c r="DS49" s="260">
        <f>DT49+各项系数!$L$9*$NV49</f>
        <v>604.75003322905</v>
      </c>
      <c r="DT49" s="260">
        <f>DU49*(1+$EB49+各项系数!$J$5+各项系数!$L$5)</f>
        <v>601.549544876296</v>
      </c>
      <c r="DU49" s="262">
        <f t="shared" si="23"/>
        <v>584.028684345919</v>
      </c>
      <c r="DV49" s="259">
        <f>DW49+各项系数!$M$9*$NV49</f>
        <v>597.203767119186</v>
      </c>
      <c r="DW49" s="259">
        <f t="shared" si="24"/>
        <v>594.003278766432</v>
      </c>
      <c r="DX49" s="260">
        <f>DY49+各项系数!$L$9*$NV49</f>
        <v>606.125794659625</v>
      </c>
      <c r="DY49" s="260">
        <f>DZ49*(1+$EB49+各项系数!$J$5+各项系数!$L$5)</f>
        <v>602.925306306871</v>
      </c>
      <c r="DZ49" s="262">
        <f t="shared" si="25"/>
        <v>585.364375055215</v>
      </c>
      <c r="EA49" s="277">
        <f t="shared" si="230"/>
        <v>0</v>
      </c>
      <c r="EB49" s="277">
        <f t="shared" si="27"/>
        <v>0.01</v>
      </c>
      <c r="EC49" s="302">
        <f t="shared" si="138"/>
        <v>2</v>
      </c>
      <c r="ED49" s="304" t="str">
        <f t="shared" si="260"/>
        <v>2*500</v>
      </c>
      <c r="EE49" s="251">
        <f t="shared" si="239"/>
        <v>500</v>
      </c>
      <c r="EF49" s="95" t="str">
        <f>LOOKUP(EH49,{1,7,10,14,19,24,30,37,48,61},{1,"1+6","2+8","4+10","1+6+12","2+8+14","4+10+16","1+6+12+18","3+9+15+21","1+6+12+18+24"})</f>
        <v>1+6+12+18+24</v>
      </c>
      <c r="EG49" s="250">
        <f t="shared" si="29"/>
        <v>2</v>
      </c>
      <c r="EH49" s="260">
        <f>VLOOKUP(EE49,各项系数!$B$87:$C$124,2,0)</f>
        <v>61</v>
      </c>
      <c r="EI49" s="250">
        <f>IF(EH49=0,0,VLOOKUP(EH49,各项系数!$D$142:$E$195,2,0))*1</f>
        <v>9</v>
      </c>
      <c r="EJ49" s="305">
        <f t="shared" si="141"/>
        <v>314.103042329295</v>
      </c>
      <c r="EK49" s="95">
        <f t="shared" si="261"/>
        <v>0</v>
      </c>
      <c r="EL49" s="251">
        <f t="shared" si="31"/>
        <v>0</v>
      </c>
      <c r="EM49" s="95">
        <f t="shared" si="262"/>
        <v>0</v>
      </c>
      <c r="EN49" s="95">
        <f>IF(EP49=0,0,LOOKUP(EP49,{1,7,10,14,19,24,30,37,48,61},{1,"1+6","2+8","4+10","1+6+12","2+8+14","4+10+16","1+6+12+18","3+9+15+21","1+6+12+18+24"}))</f>
        <v>0</v>
      </c>
      <c r="EO49" s="95">
        <f t="shared" si="263"/>
        <v>0</v>
      </c>
      <c r="EP49" s="95">
        <f>IF(EM49=0,0,IF(EM49&lt;10,1,IF(AND(EM49&gt;=10,EM49&lt;=35),7,LOOKUP(EM49,{50,70,95,120,150,185,240,300},{10,14,19,24,30,37,48,61})*1)))</f>
        <v>0</v>
      </c>
      <c r="EQ49" s="251">
        <f>IF(EP49=0,0,VLOOKUP(EP49,各项系数!$D$142:$E$195,2,0))*1</f>
        <v>0</v>
      </c>
      <c r="ER49" s="95">
        <f t="shared" si="264"/>
        <v>0</v>
      </c>
      <c r="ES49" s="304">
        <f t="shared" si="250"/>
        <v>2</v>
      </c>
      <c r="ET49" s="251">
        <f>VLOOKUP(ES49,各项系数!$D$142:$E$195,2,0)*1</f>
        <v>2</v>
      </c>
      <c r="EU49" s="311">
        <f>((各项系数!$F$76/4*$EJ49^2*$EG49*$EH49*1*10^-7)*(1-$H49)*AA49)*(VLOOKUP($EY$9,各项系数!$D$4:$F$143,3,0))*各项系数!$J$4</f>
        <v>8.52941039879049</v>
      </c>
      <c r="EV49" s="312">
        <f>EU49*(VLOOKUP($EY$9,各项系数!$D$4:$F$143,2,0))</f>
        <v>558.676381120777</v>
      </c>
      <c r="EW49" s="324">
        <f>(IF($EO49=0,0,(各项系数!$F$76/4*$ER49^2*$EO49*$EP49*1*10^-7))*(1-$K49)*$AF49)*(VLOOKUP($EY$9,各项系数!$D$4:$F$143,3,0))*各项系数!$J$4</f>
        <v>0</v>
      </c>
      <c r="EX49" s="325">
        <f>EW49*(VLOOKUP($EY$9,各项系数!$D$4:$F$143,2,0))</f>
        <v>0</v>
      </c>
      <c r="EY49" s="251">
        <f>((各项系数!$F$76/4*$EJ49^2*$EG49*$EH49*1*10^-7)*(1-$H49)*AA49+IF($EO49=0,0,(各项系数!$F$76/4*$ER49^2*$EO49*$EP49*1*10^-7))*(1-$K49)*$AF49)*(VLOOKUP($EY$9,各项系数!$D$4:$F$143,3,0))*各项系数!$J$4</f>
        <v>8.52941039879049</v>
      </c>
      <c r="EZ49" s="123">
        <v>1</v>
      </c>
      <c r="FA49" s="251">
        <f t="shared" si="188"/>
        <v>8.52941039879049</v>
      </c>
      <c r="FB49" s="326">
        <f>FA49*(VLOOKUP($EY$9,各项系数!$D$4:$F$143,2,0))</f>
        <v>558.676381120777</v>
      </c>
      <c r="FC49" s="329"/>
      <c r="FD49" s="302">
        <f>各项系数!$F$76/4*($MN49^2-MK49^2)*10^-2*(VLOOKUP(L49,各项系数!$D$1:$F$143,3,0))*10^-3*10^2*$EG49*各项系数!$J$4</f>
        <v>0.460978232341173</v>
      </c>
      <c r="FE49" s="339">
        <f>FD49*VLOOKUP(L49,各项系数!$D$1:$F$143,2,0)</f>
        <v>4.70197796987996</v>
      </c>
      <c r="FF49" s="250">
        <f>各项系数!$F$76/4*($MO49^2-ML49^2)*10^-2*(VLOOKUP(L49,各项系数!$D$1:$F$143,3,0))*10^-3*10^2*$EO49*各项系数!$J$4</f>
        <v>0</v>
      </c>
      <c r="FG49" s="339">
        <f>FF49*VLOOKUP(L49,各项系数!$D$1:$F$143,2,0)</f>
        <v>0</v>
      </c>
      <c r="FH49" s="302">
        <f t="shared" si="142"/>
        <v>0.460978232341173</v>
      </c>
      <c r="FI49" s="123">
        <v>1</v>
      </c>
      <c r="FJ49" s="251">
        <f t="shared" si="189"/>
        <v>0.460978232341173</v>
      </c>
      <c r="FK49" s="339">
        <f>FJ49*VLOOKUP(L49,各项系数!$D$1:$F$143,2,0)</f>
        <v>4.70197796987996</v>
      </c>
      <c r="FL49" s="304"/>
      <c r="FM49" s="127"/>
      <c r="FN49" s="251"/>
      <c r="FO49" s="339"/>
      <c r="FP49" s="364">
        <f t="shared" si="190"/>
        <v>0.460978232341173</v>
      </c>
      <c r="FQ49" s="364">
        <f t="shared" si="191"/>
        <v>4.70197796987996</v>
      </c>
      <c r="FR49" s="365">
        <f>各项系数!$F$76/4*($MQ49^2-$MN49^2*$EG49-$MO49^2*$EO49)*10^-2</f>
        <v>16.7648178023656</v>
      </c>
      <c r="FS49" s="366">
        <f t="shared" si="143"/>
        <v>0.05</v>
      </c>
      <c r="FT49" s="367">
        <f t="shared" si="40"/>
        <v>0.83824089011828</v>
      </c>
      <c r="FU49" s="388">
        <f>$FT49*(VLOOKUP($FT$9,各项系数!$D$1:$F$143,3,0))*10^-3*10^2*各项系数!$J$55</f>
        <v>0.100085962280123</v>
      </c>
      <c r="FV49" s="389">
        <v>1</v>
      </c>
      <c r="FW49" s="390">
        <f t="shared" si="192"/>
        <v>0.100085962280123</v>
      </c>
      <c r="FX49" s="367">
        <f>FW49*(VLOOKUP($FT$9,各项系数!$D$1:$F$143,2,0))</f>
        <v>0.300257886840368</v>
      </c>
      <c r="FY49" s="388">
        <f>IF($BK49&lt;&gt;$FY$9,0,各项系数!$F$76/4*($MS49^2-$MQ49^2)*10^-2*(VLOOKUP($FY$9,各项系数!$D$1:$F$143,3,0))*10^-3*10^2)*各项系数!$J$4</f>
        <v>0</v>
      </c>
      <c r="FZ49" s="389">
        <v>1</v>
      </c>
      <c r="GA49" s="390">
        <f t="shared" si="193"/>
        <v>0</v>
      </c>
      <c r="GB49" s="367">
        <f>GA49*(VLOOKUP($FY$9,各项系数!$D$1:$F$143,2,0))</f>
        <v>0</v>
      </c>
      <c r="GC49" s="388">
        <f>IF($BK49&lt;&gt;$GC$9,0,各项系数!$F$76/4*($MS49^2-$MQ49^2)*10^-2*(VLOOKUP($GC$9,各项系数!$D$1:$F$143,3,0))*10^-3*10^2)*各项系数!$J$4</f>
        <v>0.00208663638511477</v>
      </c>
      <c r="GD49" s="389">
        <v>1</v>
      </c>
      <c r="GE49" s="390">
        <f t="shared" si="194"/>
        <v>0.00208663638511477</v>
      </c>
      <c r="GF49" s="367">
        <f>GE49*(VLOOKUP($GC$9,各项系数!$D$1:$F$143,2,0))</f>
        <v>0.0269176093679805</v>
      </c>
      <c r="GG49" s="388">
        <f>IF($BK49&lt;&gt;$GG$9,0,各项系数!$F$76/4*($MS49^2-$MQ49^2)*10^-2*(VLOOKUP($GG$9,各项系数!$D$1:$F$143,3,0))*10^-3*10^2)*各项系数!$J$4</f>
        <v>0</v>
      </c>
      <c r="GH49" s="389">
        <v>1</v>
      </c>
      <c r="GI49" s="390">
        <f t="shared" si="195"/>
        <v>0</v>
      </c>
      <c r="GJ49" s="367">
        <f>GI49*(VLOOKUP($GG$9,各项系数!$D$1:$F$143,2,0))</f>
        <v>0</v>
      </c>
      <c r="GK49" s="388">
        <f>IF($BK49&lt;&gt;$GK$9,0,各项系数!$F$76/4*($MS49^2-$MQ49^2)*10^-2*(VLOOKUP($GK$9,各项系数!$D$1:$F$143,3,0))*10^-3*10^2)*各项系数!$J$4</f>
        <v>0</v>
      </c>
      <c r="GL49" s="389">
        <v>1</v>
      </c>
      <c r="GM49" s="390">
        <f t="shared" si="196"/>
        <v>0</v>
      </c>
      <c r="GN49" s="367">
        <f>GM49*(VLOOKUP($GK$9,各项系数!$D$1:$F$143,2,0))</f>
        <v>0</v>
      </c>
      <c r="GO49" s="390">
        <f t="shared" si="197"/>
        <v>0.00208663638511477</v>
      </c>
      <c r="GP49" s="390">
        <f t="shared" si="198"/>
        <v>0.0269176093679805</v>
      </c>
      <c r="GQ49" s="406">
        <f>各项系数!$F$76/4*($MU49^2-$MS49^2)*10^-2*(VLOOKUP($S49,各项系数!$D$1:$F$143,3,0))*10^-3*10^2*各项系数!$J$4</f>
        <v>1.212000405634</v>
      </c>
      <c r="GR49" s="389">
        <v>1</v>
      </c>
      <c r="GS49" s="390">
        <f t="shared" si="199"/>
        <v>1.212000405634</v>
      </c>
      <c r="GT49" s="390">
        <f t="shared" si="200"/>
        <v>0</v>
      </c>
      <c r="GU49" s="390">
        <f>ROUND($GS49*(VLOOKUP($S49,各项系数!$D$1:$F$143,2,0))+$E$3*GS49,GT49)</f>
        <v>7</v>
      </c>
      <c r="GV49" s="406">
        <f>各项系数!$F$76/4*($MT49^2-$MS49^2)*10^-2*(VLOOKUP($GV$9,各项系数!$D$1:$F$143,3,0))*10^-3*10^2*各项系数!$J$4*PI()/4*R49</f>
        <v>0.0914076289207854</v>
      </c>
      <c r="GW49" s="389">
        <v>1</v>
      </c>
      <c r="GX49" s="390">
        <f t="shared" si="201"/>
        <v>0.0914076289207854</v>
      </c>
      <c r="GY49" s="390">
        <f>$GX49*(VLOOKUP($GV$9,各项系数!$D$1:$F$143,2,0))</f>
        <v>6.17001495215301</v>
      </c>
      <c r="GZ49" s="406">
        <f>各项系数!$F$76/4*($MV49^2-$MS49^2)*10^-2*(VLOOKUP($GZ$9,各项系数!$D$1:$F$143,3,0))*10^-3*10^2*各项系数!$J$4</f>
        <v>1.02696000878163</v>
      </c>
      <c r="HA49" s="389">
        <v>1</v>
      </c>
      <c r="HB49" s="390">
        <f t="shared" si="144"/>
        <v>1.02696000878163</v>
      </c>
      <c r="HC49" s="390">
        <f>HB49*(VLOOKUP($GZ$9,各项系数!$D$1:$F$143,2,0))</f>
        <v>17.4583201492877</v>
      </c>
      <c r="HD49" s="406">
        <f>各项系数!$F$76/4*($MW49^2-$MT49^2)*10^-2*(VLOOKUP($HD$9,各项系数!$D$1:$F$143,3,0))*10^-3*10^2*各项系数!$J$4</f>
        <v>1.02935318610054</v>
      </c>
      <c r="HE49" s="389">
        <v>1</v>
      </c>
      <c r="HF49" s="390">
        <f t="shared" si="145"/>
        <v>1.02935318610054</v>
      </c>
      <c r="HG49" s="390">
        <f>HF49*(VLOOKUP($HD$9,各项系数!$D$1:$F$143,2,0))</f>
        <v>17.4990041637091</v>
      </c>
      <c r="HH49" s="406">
        <f>各项系数!$F$76/4*($MV49^2-$MS49^2)*10^-2*(VLOOKUP($HH$9,各项系数!$D$1:$F$143,3,0))*10^-3*10^2*各项系数!$J$4</f>
        <v>1.02696000878163</v>
      </c>
      <c r="HI49" s="420">
        <v>1</v>
      </c>
      <c r="HJ49" s="390">
        <f t="shared" si="146"/>
        <v>1.02696000878163</v>
      </c>
      <c r="HK49" s="390">
        <f>HJ49*(VLOOKUP($HH$9,各项系数!$D$1:$F$143,2,0))</f>
        <v>17.4583201492877</v>
      </c>
      <c r="HL49" s="406">
        <f>各项系数!$F$76/4*($MW49^2-$MT49^2)*10^-2*(VLOOKUP($HL$9,各项系数!$D$1:$F$143,3,0))*10^-3*10^2*各项系数!$J$4</f>
        <v>1.02935318610054</v>
      </c>
      <c r="HM49" s="420">
        <v>1</v>
      </c>
      <c r="HN49" s="390">
        <f t="shared" si="147"/>
        <v>1.02935318610054</v>
      </c>
      <c r="HO49" s="390">
        <f>HN49*(VLOOKUP($HL$9,各项系数!$D$1:$F$143,2,0))</f>
        <v>17.4990041637091</v>
      </c>
      <c r="HP49" s="406">
        <f>各项系数!$F$76/4*($MV49^2-$MS49^2)*10^-2*(VLOOKUP(AN49,各项系数!$D$1:$F$143,3,0))*10^-3*10^2*各项系数!$J$4</f>
        <v>1.04112497442</v>
      </c>
      <c r="HQ49" s="389">
        <v>1</v>
      </c>
      <c r="HR49" s="390">
        <f t="shared" si="202"/>
        <v>1.04112497442</v>
      </c>
      <c r="HS49" s="390">
        <f>HR49*(VLOOKUP(AN49,各项系数!$D$1:$F$143,2,0))</f>
        <v>10.4112497442</v>
      </c>
      <c r="HT49" s="406">
        <f>各项系数!$F$76/4*($MW49^2-$MT49^2)*10^-2*(VLOOKUP(AN49,各项系数!$D$1:$F$143,3,0))*10^-3*10^2*各项系数!$J$4</f>
        <v>1.04355116108123</v>
      </c>
      <c r="HU49" s="389">
        <v>1</v>
      </c>
      <c r="HV49" s="390">
        <f t="shared" si="203"/>
        <v>1.04355116108123</v>
      </c>
      <c r="HW49" s="390">
        <f>HV49*(VLOOKUP(AN49,各项系数!$D$1:$F$143,2,0))</f>
        <v>10.4355116108123</v>
      </c>
      <c r="HX49" s="406">
        <f>各项系数!$F$76/4*($MV49^2-$MS49^2)*10^-2*(VLOOKUP($HX$9,各项系数!$D$1:$F$143,3,0))*10^-3*10^2*各项系数!$J$4</f>
        <v>1.04112497442</v>
      </c>
      <c r="HY49" s="420">
        <v>1</v>
      </c>
      <c r="HZ49" s="390">
        <f t="shared" si="204"/>
        <v>1.04112497442</v>
      </c>
      <c r="IA49" s="390">
        <f>HZ49*(VLOOKUP($HX$9,各项系数!$D$1:$F$143,2,0))</f>
        <v>11.4523747186199</v>
      </c>
      <c r="IB49" s="406">
        <f>各项系数!$F$76/4*($MW49^2-$MT49^2)*10^-2*(VLOOKUP($IB$9,各项系数!$D$1:$F$143,3,0))*10^-3*10^2*各项系数!$J$4</f>
        <v>1.04355116108123</v>
      </c>
      <c r="IC49" s="420">
        <v>1</v>
      </c>
      <c r="ID49" s="390">
        <f t="shared" si="205"/>
        <v>1.04355116108123</v>
      </c>
      <c r="IE49" s="390">
        <f>ID49*(VLOOKUP($IB$9,各项系数!$D$1:$F$143,2,0))</f>
        <v>11.4790627718936</v>
      </c>
      <c r="IF49" s="395"/>
      <c r="IG49" s="406">
        <f t="shared" si="148"/>
        <v>0.0803738299702638</v>
      </c>
      <c r="IH49" s="389">
        <v>1</v>
      </c>
      <c r="II49" s="390">
        <f t="shared" si="206"/>
        <v>0.0803738299702638</v>
      </c>
      <c r="IJ49" s="390">
        <f>II49*(VLOOKUP($IG$8,各项系数!$D$1:$F$143,2,0))</f>
        <v>2.00934574925659</v>
      </c>
      <c r="IK49" s="406">
        <f>(各项系数!$F$76/4*($MX49^2-$MK49^2)*$EG49)*10^-2*(VLOOKUP($IG$8,各项系数!$D$1:$F$143,3,0))*10^-3*10^2*各项系数!$J$4</f>
        <v>0.0803738299702638</v>
      </c>
      <c r="IL49" s="389">
        <f>IK49*(VLOOKUP($IG$8,各项系数!$D$1:$F$143,2,0))</f>
        <v>2.00934574925659</v>
      </c>
      <c r="IM49" s="390">
        <f>(各项系数!$F$76/4*(($MM49+3*$X49)^2-MM49^2)*$EO49)*10^-2*(VLOOKUP($IG$8,各项系数!$D$1:$F$143,3,0))*10^-3*10^2*各项系数!$J$4</f>
        <v>0</v>
      </c>
      <c r="IN49" s="389">
        <f>IM49*(VLOOKUP($IG$8,各项系数!$D$1:$F$143,2,0))</f>
        <v>0</v>
      </c>
      <c r="IO49" s="406">
        <f>各项系数!$F$76/4*($MZ49^2-$MX49^2)*10^-2*(VLOOKUP(L49,各项系数!$D$1:$F$143,3,0))*10^-3*10^2*$ES49*各项系数!$J$4</f>
        <v>0.470055801481868</v>
      </c>
      <c r="IP49" s="389">
        <v>1</v>
      </c>
      <c r="IQ49" s="390">
        <f t="shared" si="207"/>
        <v>0.470055801481868</v>
      </c>
      <c r="IR49" s="367">
        <f>IQ49*(VLOOKUP(L49,各项系数!$D$1:$F$143,2,0))</f>
        <v>4.79456917511505</v>
      </c>
      <c r="IS49" s="406">
        <f>IF($L49&lt;&gt;$IS$9,0,各项系数!$F$76/4*($MZ49^2-$MX49^2)*10^-2*各项系数!$F$12*10^-3*10^2)*$ES49*各项系数!$J$4</f>
        <v>0</v>
      </c>
      <c r="IT49" s="396">
        <v>1</v>
      </c>
      <c r="IU49" s="390">
        <f t="shared" si="208"/>
        <v>0</v>
      </c>
      <c r="IV49" s="367">
        <f>IU49*各项系数!$E$12</f>
        <v>0</v>
      </c>
      <c r="IW49" s="388">
        <f t="shared" si="209"/>
        <v>0.470055801481868</v>
      </c>
      <c r="IX49" s="388">
        <f t="shared" si="210"/>
        <v>4.79456917511505</v>
      </c>
      <c r="IY49" s="447">
        <f>各项系数!$F$76/4*($NB49^2-$MZ49^2*$EG49-$NA49^2*$EO49)*10^-2</f>
        <v>17.3862739721742</v>
      </c>
      <c r="IZ49" s="366">
        <f t="shared" si="231"/>
        <v>0.05</v>
      </c>
      <c r="JA49" s="367">
        <f t="shared" si="64"/>
        <v>0.86931369860871</v>
      </c>
      <c r="JB49" s="364">
        <f>IF($DE49&lt;&gt;$JB$9,0,$JA49*各项系数!$F$32*10^-3*10^2)*各项系数!$J$4</f>
        <v>0</v>
      </c>
      <c r="JC49" s="123">
        <v>1</v>
      </c>
      <c r="JD49" s="251">
        <f t="shared" si="211"/>
        <v>0</v>
      </c>
      <c r="JE49" s="339">
        <f>JD49*各项系数!$E$32</f>
        <v>0</v>
      </c>
      <c r="JF49" s="364">
        <f>IF($DE49&lt;&gt;$JF$9,0,$JA49*VLOOKUP($JF$9,各项系数!$D$4:$F$540,2,0)*10^-3*10^2)*各项系数!$J$4</f>
        <v>0.432483565057833</v>
      </c>
      <c r="JG49" s="123">
        <v>1</v>
      </c>
      <c r="JH49" s="251">
        <f t="shared" si="66"/>
        <v>0.432483565057833</v>
      </c>
      <c r="JI49" s="339">
        <f>JH49*VLOOKUP($JF$9,各项系数!$D$4:$F$540,3,0)</f>
        <v>0.5189802780694</v>
      </c>
      <c r="JJ49" s="364">
        <f t="shared" si="212"/>
        <v>0.432483565057833</v>
      </c>
      <c r="JK49" s="251">
        <f t="shared" si="213"/>
        <v>0.5189802780694</v>
      </c>
      <c r="JL49" s="364">
        <f>IF($DF49&lt;&gt;$JL$9,0,各项系数!$F$76/4*($NE49^2-$NC49^2)*10^-2*各项系数!$F$39*10^-3*10^2)*各项系数!$J$4</f>
        <v>0.00255309239322652</v>
      </c>
      <c r="JM49" s="123">
        <v>1</v>
      </c>
      <c r="JN49" s="251">
        <f t="shared" si="214"/>
        <v>0.00255309239322652</v>
      </c>
      <c r="JO49" s="339">
        <f>JN49*各项系数!$E$39</f>
        <v>0.0510618478645303</v>
      </c>
      <c r="JP49" s="364">
        <f>IF($DF49&lt;&gt;$JP$9,0,各项系数!$F$76/4*($NE49^2-$NC49^2)*10^-2*各项系数!$F$36*10^-3*10^2)*各项系数!$J$4</f>
        <v>0</v>
      </c>
      <c r="JQ49" s="123">
        <v>1</v>
      </c>
      <c r="JR49" s="251">
        <f t="shared" si="215"/>
        <v>0</v>
      </c>
      <c r="JS49" s="339">
        <f>JR49*各项系数!$E$36</f>
        <v>0</v>
      </c>
      <c r="JT49" s="364">
        <f>IF($DF49&lt;&gt;$JT$9,0,各项系数!$F$76/4*($NE49^2-$NC49^2)*10^-2*各项系数!$F$40*10^-3*10^2)*各项系数!$J$4</f>
        <v>0</v>
      </c>
      <c r="JU49" s="123">
        <v>1</v>
      </c>
      <c r="JV49" s="251">
        <f t="shared" si="216"/>
        <v>0</v>
      </c>
      <c r="JW49" s="339">
        <f>JV49*各项系数!$E$40</f>
        <v>0</v>
      </c>
      <c r="JX49" s="364">
        <f>IF($DF49&lt;&gt;$JX$9,0,各项系数!$F$76/4*($NE49^2-$NC49^2)*10^-2*各项系数!$F$38*10^-3*10^2)*各项系数!$J$4</f>
        <v>0</v>
      </c>
      <c r="JY49" s="123">
        <v>1</v>
      </c>
      <c r="JZ49" s="251">
        <f t="shared" si="217"/>
        <v>0</v>
      </c>
      <c r="KA49" s="339">
        <f>JZ49*各项系数!$E$38</f>
        <v>0</v>
      </c>
      <c r="KB49" s="364">
        <f>IF($DF49&lt;&gt;$KB$9,0,各项系数!$F$76/4*($NE49^2-$NC49^2)*10^-2*各项系数!$F$41*10^-3*10^2)*各项系数!$J$4</f>
        <v>0</v>
      </c>
      <c r="KC49" s="123">
        <v>1</v>
      </c>
      <c r="KD49" s="251">
        <f t="shared" si="218"/>
        <v>0</v>
      </c>
      <c r="KE49" s="339">
        <f>KD49*各项系数!$E$41</f>
        <v>0</v>
      </c>
      <c r="KF49" s="251">
        <f t="shared" si="219"/>
        <v>0.00255309239322652</v>
      </c>
      <c r="KG49" s="251">
        <f t="shared" si="220"/>
        <v>0.0510618478645303</v>
      </c>
      <c r="KH49" s="302">
        <f>各项系数!$F$76/4*($NG49^2-$NE49^2)*10^-2*各项系数!$F$44*10^-3*10^2*各项系数!$J$4*0.75*$U49</f>
        <v>1.85268210282675</v>
      </c>
      <c r="KI49" s="123">
        <v>1</v>
      </c>
      <c r="KJ49" s="251">
        <f t="shared" si="221"/>
        <v>1.85268210282675</v>
      </c>
      <c r="KK49" s="251">
        <f>ROUND(KJ49*各项系数!$E$43,GT49)</f>
        <v>11</v>
      </c>
      <c r="KL49" s="302">
        <f>各项系数!$F$76/4*($NF49^2-$NE49^2)*10^-2*各项系数!$F$46*10^-3*10^2*各项系数!$J$4*PI()/4*R49</f>
        <v>0.0931692404466819</v>
      </c>
      <c r="KM49" s="123">
        <v>1</v>
      </c>
      <c r="KN49" s="251">
        <f t="shared" si="222"/>
        <v>0.0931692404466819</v>
      </c>
      <c r="KO49" s="251">
        <f>KN49*各项系数!$E$46</f>
        <v>6.28892373015103</v>
      </c>
      <c r="KP49" s="302">
        <f>各项系数!$F$76/4*($NH49^2-$NE49^2)*10^-2*(VLOOKUP($KP$9,各项系数!$D$1:$F$143,3,0))*10^-3*10^2*各项系数!$J$4</f>
        <v>1.04582343027501</v>
      </c>
      <c r="KQ49" s="123">
        <v>1</v>
      </c>
      <c r="KR49" s="251">
        <f t="shared" si="150"/>
        <v>1.04582343027501</v>
      </c>
      <c r="KS49" s="251">
        <f>KR49*(VLOOKUP($KP$9,各项系数!$D$1:$F$143,2,0))</f>
        <v>17.7789983146751</v>
      </c>
      <c r="KT49" s="302">
        <f>各项系数!$F$76/4*($NI49^2-$NF49^2)*10^-2*(VLOOKUP($KT$9,各项系数!$D$1:$F$143,3,0))*10^-3*10^2*各项系数!$J$4</f>
        <v>1.04821660759392</v>
      </c>
      <c r="KU49" s="123">
        <v>1</v>
      </c>
      <c r="KV49" s="251">
        <f t="shared" si="151"/>
        <v>1.04821660759392</v>
      </c>
      <c r="KW49" s="251">
        <f>KV49*(VLOOKUP($KT$9,各项系数!$D$1:$F$143,2,0))</f>
        <v>17.8196823290966</v>
      </c>
      <c r="KX49" s="251">
        <f>各项系数!$F$76/4*($NH49^2-$NE49^2)*10^-2*(VLOOKUP($KX$9,各项系数!$D$1:$F$143,3,0))*10^-3*10^2*各项系数!$J$4</f>
        <v>1.04582343027501</v>
      </c>
      <c r="KY49" s="479">
        <v>1</v>
      </c>
      <c r="KZ49" s="251">
        <f t="shared" si="152"/>
        <v>1.04582343027501</v>
      </c>
      <c r="LA49" s="251">
        <f>KZ49*(VLOOKUP($KX$9,各项系数!$D$1:$F$143,2,0))</f>
        <v>17.7789983146751</v>
      </c>
      <c r="LB49" s="251">
        <f>各项系数!$F$76/4*($NI49^2-$NF49^2)*10^-2*(VLOOKUP($LB$9,各项系数!$D$1:$F$143,3,0))*10^-3*10^2*各项系数!$J$4</f>
        <v>1.04821660759392</v>
      </c>
      <c r="LC49" s="479">
        <v>1</v>
      </c>
      <c r="LD49" s="251">
        <f t="shared" si="153"/>
        <v>1.04821660759392</v>
      </c>
      <c r="LE49" s="251">
        <f>LD49*(VLOOKUP($LB$9,各项系数!$D$1:$F$143,2,0))</f>
        <v>17.8196823290966</v>
      </c>
      <c r="LF49" s="302">
        <f>各项系数!$F$76/4*($NH49^2-$NE49^2)*10^-2*(VLOOKUP(AN49,各项系数!$D$1:$F$143,3,0))*10^-3*10^2*各项系数!$J$4</f>
        <v>1.06024858103742</v>
      </c>
      <c r="LG49" s="123">
        <v>1</v>
      </c>
      <c r="LH49" s="251">
        <f t="shared" si="223"/>
        <v>1.06024858103742</v>
      </c>
      <c r="LI49" s="251">
        <f>LH49*(VLOOKUP(AN49,各项系数!$D$1:$F$143,2,0))</f>
        <v>10.6024858103742</v>
      </c>
      <c r="LJ49" s="302">
        <f>各项系数!$F$76/4*($NI49^2-$NF49^2)*10^-2*(VLOOKUP(AN49,各项系数!$D$1:$F$143,3,0))*10^-3*10^2*各项系数!$J$4</f>
        <v>1.06267476769866</v>
      </c>
      <c r="LK49" s="123">
        <v>1</v>
      </c>
      <c r="LL49" s="251">
        <f t="shared" si="224"/>
        <v>1.06267476769866</v>
      </c>
      <c r="LM49" s="251">
        <f>LL49*(VLOOKUP(AN49,各项系数!$D$1:$F$143,2,0))</f>
        <v>10.6267476769866</v>
      </c>
      <c r="LN49" s="251">
        <f>各项系数!$F$76/4*($NH49^2-$NE49^2)*10^-2*(VLOOKUP($LN$9,各项系数!$D$1:$F$143,3,0))*10^-3*10^2*各项系数!$J$4</f>
        <v>1.06024858103742</v>
      </c>
      <c r="LO49" s="479">
        <v>1</v>
      </c>
      <c r="LP49" s="251">
        <f t="shared" si="225"/>
        <v>1.06024858103742</v>
      </c>
      <c r="LQ49" s="251">
        <f>LP49*(VLOOKUP($LN$9,各项系数!$D$1:$F$143,2,0))</f>
        <v>11.6627343914116</v>
      </c>
      <c r="LR49" s="251">
        <f>各项系数!$F$76/4*($NI49^2-$NF49^2)*10^-2*(VLOOKUP($LR$9,各项系数!$D$1:$F$143,3,0))*10^-3*10^2*各项系数!$J$4</f>
        <v>1.06267476769866</v>
      </c>
      <c r="LS49" s="479">
        <v>1</v>
      </c>
      <c r="LT49" s="251">
        <f t="shared" si="226"/>
        <v>1.06267476769866</v>
      </c>
      <c r="LU49" s="251">
        <f>LT49*(VLOOKUP($LR$9,各项系数!$D$1:$F$143,2,0))</f>
        <v>11.6894224446853</v>
      </c>
      <c r="LV49" s="499">
        <f t="shared" si="154"/>
        <v>1255.3047749</v>
      </c>
      <c r="LW49" s="499">
        <f t="shared" si="155"/>
        <v>945.35297863</v>
      </c>
      <c r="LX49" s="499">
        <f t="shared" si="156"/>
        <v>34.6938149549007</v>
      </c>
      <c r="LY49" s="515">
        <f t="shared" si="157"/>
        <v>309.95179627</v>
      </c>
      <c r="LZ49" s="516">
        <f t="shared" si="86"/>
        <v>1</v>
      </c>
      <c r="MA49" s="517">
        <f t="shared" si="87"/>
        <v>1255.3047749</v>
      </c>
      <c r="MB49" s="517">
        <f t="shared" si="158"/>
        <v>28.26927378</v>
      </c>
      <c r="MC49" s="499">
        <f t="shared" si="159"/>
        <v>0</v>
      </c>
      <c r="MD49" s="499">
        <f t="shared" si="160"/>
        <v>0</v>
      </c>
      <c r="ME49" s="499">
        <f t="shared" si="161"/>
        <v>0</v>
      </c>
      <c r="MF49" s="499">
        <f t="shared" si="162"/>
        <v>0</v>
      </c>
      <c r="MG49" s="516">
        <f t="shared" si="163"/>
        <v>1</v>
      </c>
      <c r="MH49" s="517">
        <f t="shared" si="88"/>
        <v>0</v>
      </c>
      <c r="MI49" s="517">
        <f t="shared" si="164"/>
        <v>0</v>
      </c>
      <c r="MJ49" s="251">
        <f t="shared" si="89"/>
        <v>28.26927378</v>
      </c>
      <c r="MK49" s="251">
        <f t="shared" si="165"/>
        <v>28.26927378</v>
      </c>
      <c r="ML49" s="251">
        <f t="shared" si="227"/>
        <v>0</v>
      </c>
      <c r="MM49" s="251">
        <f t="shared" si="91"/>
        <v>0</v>
      </c>
      <c r="MN49" s="251">
        <f t="shared" si="92"/>
        <v>32.66927378</v>
      </c>
      <c r="MO49" s="251">
        <f t="shared" si="166"/>
        <v>0</v>
      </c>
      <c r="MP49" s="251">
        <f t="shared" si="167"/>
        <v>65.33854756</v>
      </c>
      <c r="MQ49" s="251">
        <f t="shared" si="228"/>
        <v>65.33854756</v>
      </c>
      <c r="MR49" s="314">
        <f t="shared" si="168"/>
        <v>65.1831838</v>
      </c>
      <c r="MS49" s="530">
        <f t="shared" si="94"/>
        <v>65.3591838</v>
      </c>
      <c r="MT49" s="530">
        <f t="shared" si="95"/>
        <v>65.5191838</v>
      </c>
      <c r="MU49" s="530">
        <f t="shared" si="232"/>
        <v>66.8591838</v>
      </c>
      <c r="MV49" s="530">
        <f t="shared" si="97"/>
        <v>71.9591838</v>
      </c>
      <c r="MW49" s="530">
        <f t="shared" si="98"/>
        <v>72.1191838</v>
      </c>
      <c r="MX49" s="326">
        <f t="shared" si="233"/>
        <v>28.86927378</v>
      </c>
      <c r="MY49" s="326">
        <f t="shared" si="100"/>
        <v>0</v>
      </c>
      <c r="MZ49" s="251">
        <f t="shared" si="101"/>
        <v>33.26927378</v>
      </c>
      <c r="NA49" s="251">
        <f t="shared" si="102"/>
        <v>0</v>
      </c>
      <c r="NB49" s="251">
        <f t="shared" si="169"/>
        <v>66.53854756</v>
      </c>
      <c r="NC49" s="326">
        <f t="shared" si="229"/>
        <v>66.53854756</v>
      </c>
      <c r="ND49" s="314">
        <f t="shared" si="234"/>
        <v>66.3803304</v>
      </c>
      <c r="NE49" s="537">
        <f t="shared" si="235"/>
        <v>66.6203304</v>
      </c>
      <c r="NF49" s="530">
        <f t="shared" si="106"/>
        <v>66.7803304</v>
      </c>
      <c r="NG49" s="538">
        <f t="shared" si="236"/>
        <v>68.1203304</v>
      </c>
      <c r="NH49" s="326">
        <f t="shared" si="108"/>
        <v>73.2203304</v>
      </c>
      <c r="NI49" s="530">
        <f t="shared" si="109"/>
        <v>73.3803304</v>
      </c>
      <c r="NK49" s="539">
        <f t="shared" si="110"/>
        <v>10.1336862042169</v>
      </c>
      <c r="NL49" s="539">
        <f t="shared" si="111"/>
        <v>574.116784331065</v>
      </c>
      <c r="NM49" s="539">
        <f t="shared" si="112"/>
        <v>10.1336862042169</v>
      </c>
      <c r="NN49" s="539">
        <f t="shared" si="113"/>
        <v>575.157909305485</v>
      </c>
      <c r="NO49" s="539">
        <f t="shared" si="114"/>
        <v>10.5751252687311</v>
      </c>
      <c r="NP49" s="539">
        <f t="shared" si="115"/>
        <v>576.652823981457</v>
      </c>
      <c r="NQ49" s="539">
        <f t="shared" si="116"/>
        <v>10.5751252687311</v>
      </c>
      <c r="NR49" s="539">
        <f t="shared" si="117"/>
        <v>577.713072562494</v>
      </c>
      <c r="NS49" s="539">
        <f t="shared" si="118"/>
        <v>10.2250938331377</v>
      </c>
      <c r="NT49" s="539">
        <f t="shared" si="119"/>
        <v>10.2250938331377</v>
      </c>
      <c r="NU49" s="539">
        <f t="shared" si="120"/>
        <v>10.6682945091778</v>
      </c>
      <c r="NV49" s="539">
        <f t="shared" si="121"/>
        <v>10.6682945091778</v>
      </c>
      <c r="NW49">
        <f t="shared" si="122"/>
        <v>11.3456866098509</v>
      </c>
      <c r="NX49">
        <f>各项系数!$M$9*NK49</f>
        <v>3.04010586126507</v>
      </c>
      <c r="NY49">
        <f t="shared" si="123"/>
        <v>10.2250938331377</v>
      </c>
    </row>
    <row r="50" customHeight="1" spans="1:389">
      <c r="A50" s="91">
        <v>10</v>
      </c>
      <c r="B50" s="86">
        <v>1</v>
      </c>
      <c r="C50" s="83"/>
      <c r="D50" s="74" t="s">
        <v>918</v>
      </c>
      <c r="E50" s="70">
        <f t="shared" si="255"/>
        <v>80.89747219</v>
      </c>
      <c r="F50" s="84">
        <f>$F$34</f>
        <v>357.206594414564</v>
      </c>
      <c r="G50" s="74"/>
      <c r="H50" s="23"/>
      <c r="I50" s="78"/>
      <c r="J50" s="23"/>
      <c r="K50" s="23"/>
      <c r="L50" s="118" t="s">
        <v>467</v>
      </c>
      <c r="M50" s="124">
        <f t="shared" si="2"/>
        <v>2.4</v>
      </c>
      <c r="N50" s="124">
        <f t="shared" si="252"/>
        <v>0</v>
      </c>
      <c r="O50" s="69">
        <f t="shared" si="265"/>
        <v>0.08</v>
      </c>
      <c r="P50" s="120">
        <v>0.1</v>
      </c>
      <c r="Q50" s="162">
        <f t="shared" si="253"/>
        <v>0.1</v>
      </c>
      <c r="R50" s="86">
        <v>0.8</v>
      </c>
      <c r="S50" s="171" t="str">
        <f>各项系数!$D$43</f>
        <v>钢带</v>
      </c>
      <c r="T50" s="78">
        <v>0.5</v>
      </c>
      <c r="U50" s="78">
        <v>2</v>
      </c>
      <c r="V50" s="172"/>
      <c r="W50" s="174">
        <v>3.5</v>
      </c>
      <c r="X50" s="164">
        <f t="shared" si="254"/>
        <v>0.2</v>
      </c>
      <c r="Y50" s="219"/>
      <c r="Z50" s="220"/>
      <c r="AA50" s="217">
        <f>$AA$34</f>
        <v>1.03</v>
      </c>
      <c r="AB50" s="186">
        <f>PI()*EJ50*EJ50/4*EH50*(1-H50)*AA50*各项系数!$F$5*各项系数!$J$4*10^-7</f>
        <v>5.56955783990862</v>
      </c>
      <c r="AC50" s="186">
        <f t="shared" si="256"/>
        <v>357.206594414564</v>
      </c>
      <c r="AD50" s="186">
        <f t="shared" si="5"/>
        <v>629.645170725237</v>
      </c>
      <c r="AE50" s="186">
        <f>POWER(4*EU50/PI()/EG50/10^-7/EH50/(1-H50)/各项系数!$F$5/各项系数!$J$4,0.5)</f>
        <v>362.525099304928</v>
      </c>
      <c r="AF50" s="218">
        <v>1</v>
      </c>
      <c r="AG50" s="85">
        <f>IF(EM50=0,0,PI()*ER50*ER50/4*EP50*(1-K50)*(1+AF50)*各项系数!$F$5*各项系数!$J$4*10^-7)</f>
        <v>0</v>
      </c>
      <c r="AH50" s="85">
        <f t="shared" si="257"/>
        <v>0</v>
      </c>
      <c r="AI50" s="85">
        <f t="shared" si="128"/>
        <v>0</v>
      </c>
      <c r="AJ50" s="85">
        <f>IF(OR(EP50="",EP50=0),0,POWER(4*EW50/PI()/EO50/10^-7/EP50/(1-K50)/各项系数!$F$5/各项系数!$J$4,0.5))</f>
        <v>0</v>
      </c>
      <c r="AK50" s="85" t="str">
        <f t="shared" si="8"/>
        <v>√</v>
      </c>
      <c r="AL50" s="85">
        <f t="shared" si="258"/>
        <v>770.846453741204</v>
      </c>
      <c r="AM50" s="127">
        <f t="shared" si="259"/>
        <v>630</v>
      </c>
      <c r="AN50" s="118" t="s">
        <v>486</v>
      </c>
      <c r="AO50" s="259">
        <f>AP50+各项系数!$M$9*$NK50</f>
        <v>755.731817393337</v>
      </c>
      <c r="AP50" s="259">
        <f>AQ50*(1+$BI50+(VLOOKUP($AM50,$A$12:$B$323,2,0))+各项系数!$J$6+各项系数!$M$5)*(1+$E$2)</f>
        <v>751.807174314595</v>
      </c>
      <c r="AQ50" s="260">
        <f>AR50+各项系数!$L$9*$NK50</f>
        <v>767.150177872036</v>
      </c>
      <c r="AR50" s="260">
        <f>AS50*(1+$BJ50+各项系数!$J$5+各项系数!$L$5)</f>
        <v>763.225534793294</v>
      </c>
      <c r="AS50" s="260">
        <f t="shared" si="129"/>
        <v>748.260328228719</v>
      </c>
      <c r="AT50" s="259">
        <f>AU50+各项系数!$M$9*$NM50</f>
        <v>764.153853574049</v>
      </c>
      <c r="AU50" s="259">
        <f>AV50*(1+$BI50+(VLOOKUP($AM50,$A$12:$B$323,2,0))+各项系数!$J$6+各项系数!$M$5)*(1+$E$2)</f>
        <v>760.229210495307</v>
      </c>
      <c r="AV50" s="260">
        <f>AW50+各项系数!$L$9*$NM50</f>
        <v>775.74409234215</v>
      </c>
      <c r="AW50" s="260">
        <f>AX50*(1+$BJ50+各项系数!$J$5+各项系数!$L$5)</f>
        <v>771.819449263407</v>
      </c>
      <c r="AX50" s="260">
        <f t="shared" si="130"/>
        <v>756.685734571968</v>
      </c>
      <c r="AY50" s="259">
        <f>AZ50+各项系数!$M$9*$NS50</f>
        <v>762.791187979143</v>
      </c>
      <c r="AZ50" s="259">
        <f>BA50*(1+$BI50+(VLOOKUP($AM50,$A$12:$B$214,2,0))+各项系数!$J$6+各项系数!$M$5)*(1+$E$2)</f>
        <v>758.835544642144</v>
      </c>
      <c r="BA50" s="260">
        <f>BB50+各项系数!$L$9*$NS50</f>
        <v>774.321984328718</v>
      </c>
      <c r="BB50" s="260">
        <f>BC50*(1+$BJ50+各项系数!$J$5+各项系数!$L$5)</f>
        <v>770.366340991719</v>
      </c>
      <c r="BC50" s="262">
        <f t="shared" si="131"/>
        <v>755.261118619332</v>
      </c>
      <c r="BD50" s="259">
        <f>BE50+各项系数!$M$9*$NS50</f>
        <v>771.230634622377</v>
      </c>
      <c r="BE50" s="259">
        <f>BF50*(1+$BI50+(VLOOKUP($AM50,$A$12:$B$214,2,0))+各项系数!$J$6+各项系数!$M$5)*(1+$E$2)</f>
        <v>767.274991285378</v>
      </c>
      <c r="BF50" s="260">
        <f>BG50+各项系数!$L$9*$NS50</f>
        <v>782.933664576916</v>
      </c>
      <c r="BG50" s="260">
        <f>BH50*(1+$BJ50+各项系数!$J$5+各项系数!$L$5)</f>
        <v>778.978021239917</v>
      </c>
      <c r="BH50" s="262">
        <f t="shared" si="132"/>
        <v>763.703942392076</v>
      </c>
      <c r="BI50" s="277"/>
      <c r="BJ50" s="272"/>
      <c r="BK50" s="69" t="s">
        <v>514</v>
      </c>
      <c r="BL50" s="259">
        <f>BM50+各项系数!$M$9*$NM50</f>
        <v>764.321227865198</v>
      </c>
      <c r="BM50" s="259">
        <f>BN50*(1+$CF50+(VLOOKUP($AM50,$A$12:$B$323,2,0))+各项系数!$J$6+各项系数!$M$5)*(1+$E$2)</f>
        <v>760.396584786455</v>
      </c>
      <c r="BN50" s="260">
        <f>BO50+各项系数!$L$9*$NM50</f>
        <v>775.914882435159</v>
      </c>
      <c r="BO50" s="260">
        <f>BP50*(1+$CG50+各项系数!$J$5+各项系数!$L$5)</f>
        <v>771.990239356416</v>
      </c>
      <c r="BP50" s="260">
        <f t="shared" si="133"/>
        <v>749.505086753802</v>
      </c>
      <c r="BQ50" s="259">
        <f>BR50+各项系数!$M$9*$NM50</f>
        <v>771.569373772854</v>
      </c>
      <c r="BR50" s="259">
        <f>BS50*(1+$CF50+(VLOOKUP($AM50,$A$12:$B$323,2,0))+各项系数!$J$6+各项系数!$M$5)*(1+$E$2)</f>
        <v>767.644730694112</v>
      </c>
      <c r="BS50" s="260">
        <f>BT50+各项系数!$L$9*$NM50</f>
        <v>783.310949687869</v>
      </c>
      <c r="BT50" s="260">
        <f>BU50*(1+$CG50+各项系数!$J$5+各项系数!$L$5)</f>
        <v>779.386306609127</v>
      </c>
      <c r="BU50" s="260">
        <f t="shared" si="134"/>
        <v>756.685734571968</v>
      </c>
      <c r="BV50" s="259">
        <f>BW50+各项系数!$M$9*$NT50</f>
        <v>767.583371278287</v>
      </c>
      <c r="BW50" s="259">
        <f>BX50*(1+$CF50+(VLOOKUP($AM50,$A$12:$B$214,2,0))+各项系数!$J$6+各项系数!$M$5)*(1+$E$2)</f>
        <v>763.627727941288</v>
      </c>
      <c r="BX50" s="260">
        <f>BY50+各项系数!$L$9*$NT$12</f>
        <v>779.211967287028</v>
      </c>
      <c r="BY50" s="260">
        <f>BZ50*(1+$CG50+各项系数!$J$5+各项系数!$L$5)</f>
        <v>779.203703883873</v>
      </c>
      <c r="BZ50" s="262">
        <f t="shared" si="11"/>
        <v>756.508450372693</v>
      </c>
      <c r="CA50" s="259">
        <f>CB50+各项系数!$M$9*$NT50</f>
        <v>774.846500922652</v>
      </c>
      <c r="CB50" s="259">
        <f>CC50*(1+$CF50+(VLOOKUP($AM50,$A$12:$B$214,2,0))+各项系数!$J$6+各项系数!$M$5)*(1+$E$2)</f>
        <v>770.890857585653</v>
      </c>
      <c r="CC50" s="260">
        <f>CD50+各项系数!$L$9*$NT$12</f>
        <v>786.623324066993</v>
      </c>
      <c r="CD50" s="260">
        <f>CE50*(1+$CG50+各项系数!$J$5+各项系数!$L$5)</f>
        <v>786.615060663838</v>
      </c>
      <c r="CE50" s="262">
        <f t="shared" si="135"/>
        <v>763.703942392076</v>
      </c>
      <c r="CF50" s="277">
        <f t="shared" si="136"/>
        <v>0</v>
      </c>
      <c r="CG50" s="277">
        <f t="shared" si="12"/>
        <v>0.01</v>
      </c>
      <c r="CH50" s="127"/>
      <c r="CI50" s="259">
        <f>CJ50+各项系数!$M$9*$NO50</f>
        <v>762.885793049154</v>
      </c>
      <c r="CJ50" s="259">
        <f>CK50*(1+$DC50+(VLOOKUP($AM50,$A$12:$B$323,2,0))+各项系数!$J$6+各项系数!$M$5)*(1+$E$2)+各项系数!$M$9*$NK50</f>
        <v>758.797206691851</v>
      </c>
      <c r="CK50" s="260">
        <f>CL50+各项系数!$L$9*$NO50</f>
        <v>770.278126135825</v>
      </c>
      <c r="CL50" s="260">
        <f>CM50*(1+$DD50+各项系数!$J$5+各项系数!$L$5)</f>
        <v>766.189539778522</v>
      </c>
      <c r="CM50" s="260">
        <f t="shared" si="13"/>
        <v>751.16621546914</v>
      </c>
      <c r="CN50" s="259">
        <f>CO50+各项系数!$M$9*$NO50</f>
        <v>771.105084227919</v>
      </c>
      <c r="CO50" s="259">
        <f>CP50*(1+$DC50+(VLOOKUP($AM50,$A$12:$B$323,2,0))+各项系数!$J$6+各项系数!$M$5)*(1+$E$2)+各项系数!$M$9*$NK50</f>
        <v>767.016497870616</v>
      </c>
      <c r="CP50" s="260">
        <f>CQ50+各项系数!$L$9*$NO50</f>
        <v>778.665157950892</v>
      </c>
      <c r="CQ50" s="260">
        <f>CR50*(1+$DD50+各项系数!$J$5+各项系数!$L$5)</f>
        <v>774.576571593589</v>
      </c>
      <c r="CR50" s="260">
        <f t="shared" si="14"/>
        <v>759.388795679989</v>
      </c>
      <c r="CS50" s="259">
        <f>CT50+各项系数!$M$9*$NU50</f>
        <v>766.140428168902</v>
      </c>
      <c r="CT50" s="259">
        <f t="shared" si="15"/>
        <v>762.02031306988</v>
      </c>
      <c r="CU50" s="260">
        <f>CV50+各项系数!$L$9*$NU50</f>
        <v>777.571748030489</v>
      </c>
      <c r="CV50" s="260">
        <f>CW50*(1+$DD50+各项系数!$J$5+各项系数!$L$5)</f>
        <v>773.451632931467</v>
      </c>
      <c r="CW50" s="262">
        <f t="shared" si="16"/>
        <v>758.285914638693</v>
      </c>
      <c r="CX50" s="259">
        <f>CY50+各项系数!$M$9*$NU50</f>
        <v>774.717106973317</v>
      </c>
      <c r="CY50" s="259">
        <f t="shared" si="17"/>
        <v>770.596991874295</v>
      </c>
      <c r="CZ50" s="260">
        <f>DA50+各项系数!$L$9*$NU50</f>
        <v>786.323461096219</v>
      </c>
      <c r="DA50" s="260">
        <f>DB50*(1+$DD50+各项系数!$J$5+各项系数!$L$5)</f>
        <v>782.203345997197</v>
      </c>
      <c r="DB50" s="262">
        <f t="shared" si="18"/>
        <v>766.866025487448</v>
      </c>
      <c r="DC50" s="277">
        <f t="shared" si="137"/>
        <v>0</v>
      </c>
      <c r="DD50" s="277">
        <f t="shared" si="19"/>
        <v>0</v>
      </c>
      <c r="DE50" s="69" t="s">
        <v>498</v>
      </c>
      <c r="DF50" s="69" t="s">
        <v>513</v>
      </c>
      <c r="DG50" s="259">
        <f>DH50+各项系数!$M$9*$NQ50</f>
        <v>771.524154485775</v>
      </c>
      <c r="DH50" s="259">
        <f>DI50*(1+$EA50+(VLOOKUP($AM50,$A$12:$B$323,2,0))+各项系数!$J$6+各项系数!$M$5)*(1+$E$2)+各项系数!$M$9*$NK50</f>
        <v>767.435568128472</v>
      </c>
      <c r="DI50" s="260">
        <f>DJ50+各项系数!$L$9*$NQ50</f>
        <v>779.092780662989</v>
      </c>
      <c r="DJ50" s="260">
        <f>DK50*(1+$EB50+各项系数!$J$5+各项系数!$L$5)</f>
        <v>775.004194305686</v>
      </c>
      <c r="DK50" s="260">
        <f t="shared" si="20"/>
        <v>752.431256607462</v>
      </c>
      <c r="DL50" s="259">
        <f>DM50+各项系数!$M$9*$NQ50</f>
        <v>778.890404698153</v>
      </c>
      <c r="DM50" s="259">
        <f>DN50*(1+$EA50+(VLOOKUP($AM50,$A$12:$B$323,2,0))+各项系数!$J$6+各项系数!$M$5)*(1+$E$2)+各项系数!$M$9*$NK50</f>
        <v>774.80181834085</v>
      </c>
      <c r="DN50" s="260">
        <f>DO50+各项系数!$L$9*$NQ50</f>
        <v>786.609362512355</v>
      </c>
      <c r="DO50" s="260">
        <f>DP50*(1+$EB50+各项系数!$J$5+各项系数!$L$5)</f>
        <v>782.520776155052</v>
      </c>
      <c r="DP50" s="260">
        <f t="shared" si="21"/>
        <v>759.7289088884</v>
      </c>
      <c r="DQ50" s="259">
        <f>DR50+各项系数!$M$9*$NV50</f>
        <v>774.851160074007</v>
      </c>
      <c r="DR50" s="259">
        <f t="shared" si="22"/>
        <v>770.731044974985</v>
      </c>
      <c r="DS50" s="260">
        <f>DT50+各项系数!$L$9*$NV50</f>
        <v>786.460249974474</v>
      </c>
      <c r="DT50" s="260">
        <f>DU50*(1+$EB50+各项系数!$J$5+各项系数!$L$5)</f>
        <v>782.340134875452</v>
      </c>
      <c r="DU50" s="262">
        <f t="shared" si="23"/>
        <v>759.553529005293</v>
      </c>
      <c r="DV50" s="259">
        <f>DW50+各项系数!$M$9*$NV50</f>
        <v>776.259589538169</v>
      </c>
      <c r="DW50" s="259">
        <f t="shared" si="24"/>
        <v>772.139474439147</v>
      </c>
      <c r="DX50" s="260">
        <f>DY50+各项系数!$L$9*$NV50</f>
        <v>787.897422897089</v>
      </c>
      <c r="DY50" s="260">
        <f>DZ50*(1+$EB50+各项系数!$J$5+各项系数!$L$5)</f>
        <v>783.777307798067</v>
      </c>
      <c r="DZ50" s="262">
        <f t="shared" si="25"/>
        <v>760.948842522395</v>
      </c>
      <c r="EA50" s="277">
        <f t="shared" si="230"/>
        <v>0</v>
      </c>
      <c r="EB50" s="277">
        <f t="shared" si="27"/>
        <v>0.01</v>
      </c>
      <c r="EC50" s="302">
        <f t="shared" si="138"/>
        <v>2</v>
      </c>
      <c r="ED50" s="304" t="str">
        <f t="shared" si="260"/>
        <v>2*630</v>
      </c>
      <c r="EE50" s="251">
        <f t="shared" si="239"/>
        <v>630</v>
      </c>
      <c r="EF50" s="95" t="str">
        <f>LOOKUP(EH50,{1,7,10,14,19,24,30,37,48,61},{1,"1+6","2+8","4+10","1+6+12","2+8+14","4+10+16","1+6+12+18","3+9+15+21","1+6+12+18+24"})</f>
        <v>1+6+12+18+24</v>
      </c>
      <c r="EG50" s="250">
        <f t="shared" si="29"/>
        <v>2</v>
      </c>
      <c r="EH50" s="260">
        <f>VLOOKUP(EE50,各项系数!$B$87:$C$124,2,0)</f>
        <v>61</v>
      </c>
      <c r="EI50" s="250">
        <f>IF(EH50=0,0,VLOOKUP(EH50,各项系数!$D$142:$E$195,2,0))*1</f>
        <v>9</v>
      </c>
      <c r="EJ50" s="305">
        <f t="shared" si="141"/>
        <v>357.206594414564</v>
      </c>
      <c r="EK50" s="95">
        <f t="shared" si="261"/>
        <v>0</v>
      </c>
      <c r="EL50" s="251">
        <f t="shared" si="31"/>
        <v>0</v>
      </c>
      <c r="EM50" s="95">
        <f t="shared" si="262"/>
        <v>0</v>
      </c>
      <c r="EN50" s="95">
        <f>IF(EP50=0,0,LOOKUP(EP50,{1,7,10,14,19,24,30,37,48,61},{1,"1+6","2+8","4+10","1+6+12","2+8+14","4+10+16","1+6+12+18","3+9+15+21","1+6+12+18+24"}))</f>
        <v>0</v>
      </c>
      <c r="EO50" s="95">
        <f t="shared" si="263"/>
        <v>0</v>
      </c>
      <c r="EP50" s="95">
        <f>IF(EM50=0,0,IF(EM50&lt;10,1,IF(AND(EM50&gt;=10,EM50&lt;=35),7,LOOKUP(EM50,{50,70,95,120,150,185,240,300},{10,14,19,24,30,37,48,61})*1)))</f>
        <v>0</v>
      </c>
      <c r="EQ50" s="251">
        <f>IF(EP50=0,0,VLOOKUP(EP50,各项系数!$D$142:$E$195,2,0))*1</f>
        <v>0</v>
      </c>
      <c r="ER50" s="95">
        <f t="shared" si="264"/>
        <v>0</v>
      </c>
      <c r="ES50" s="304">
        <f t="shared" si="250"/>
        <v>2</v>
      </c>
      <c r="ET50" s="251">
        <f>VLOOKUP(ES50,各项系数!$D$142:$E$195,2,0)*1</f>
        <v>2</v>
      </c>
      <c r="EU50" s="311">
        <f>((各项系数!$F$76/4*$EJ50^2*$EG50*$EH50*1*10^-7)*(1-$H50)*AA50)*(VLOOKUP($EY$9,各项系数!$D$4:$F$143,3,0))*各项系数!$J$4</f>
        <v>11.1391156798172</v>
      </c>
      <c r="EV50" s="312">
        <f>EU50*(VLOOKUP($EY$9,各项系数!$D$4:$F$143,2,0))</f>
        <v>729.612077028029</v>
      </c>
      <c r="EW50" s="324">
        <f>(IF($EO50=0,0,(各项系数!$F$76/4*$ER50^2*$EO50*$EP50*1*10^-7))*(1-$K50)*$AF50)*(VLOOKUP($EY$9,各项系数!$D$4:$F$143,3,0))*各项系数!$J$4</f>
        <v>0</v>
      </c>
      <c r="EX50" s="325">
        <f>EW50*(VLOOKUP($EY$9,各项系数!$D$4:$F$143,2,0))</f>
        <v>0</v>
      </c>
      <c r="EY50" s="251">
        <f>((各项系数!$F$76/4*$EJ50^2*$EG50*$EH50*1*10^-7)*(1-$H50)*AA50+IF($EO50=0,0,(各项系数!$F$76/4*$ER50^2*$EO50*$EP50*1*10^-7))*(1-$K50)*$AF50)*(VLOOKUP($EY$9,各项系数!$D$4:$F$143,3,0))*各项系数!$J$4</f>
        <v>11.1391156798172</v>
      </c>
      <c r="EZ50" s="123">
        <v>1</v>
      </c>
      <c r="FA50" s="251">
        <f t="shared" si="188"/>
        <v>11.1391156798172</v>
      </c>
      <c r="FB50" s="326">
        <f>FA50*(VLOOKUP($EY$9,各项系数!$D$4:$F$143,2,0))</f>
        <v>729.612077028029</v>
      </c>
      <c r="FC50" s="329"/>
      <c r="FD50" s="302">
        <f>各项系数!$F$76/4*($MN50^2-MK50^2)*10^-2*(VLOOKUP(L50,各项系数!$D$1:$F$143,3,0))*10^-3*10^2*$EG50*各项系数!$J$4</f>
        <v>0.570213174267091</v>
      </c>
      <c r="FE50" s="339">
        <f>FD50*VLOOKUP(L50,各项系数!$D$1:$F$143,2,0)</f>
        <v>5.81617437752433</v>
      </c>
      <c r="FF50" s="250">
        <f>各项系数!$F$76/4*($MO50^2-ML50^2)*10^-2*(VLOOKUP(L50,各项系数!$D$1:$F$143,3,0))*10^-3*10^2*$EO50*各项系数!$J$4</f>
        <v>0</v>
      </c>
      <c r="FG50" s="339">
        <f>FF50*VLOOKUP(L50,各项系数!$D$1:$F$143,2,0)</f>
        <v>0</v>
      </c>
      <c r="FH50" s="302">
        <f t="shared" si="142"/>
        <v>0.570213174267091</v>
      </c>
      <c r="FI50" s="123">
        <v>1</v>
      </c>
      <c r="FJ50" s="251">
        <f t="shared" si="189"/>
        <v>0.570213174267091</v>
      </c>
      <c r="FK50" s="339">
        <f>FJ50*VLOOKUP(L50,各项系数!$D$1:$F$143,2,0)</f>
        <v>5.81617437752433</v>
      </c>
      <c r="FL50" s="304"/>
      <c r="FM50" s="127"/>
      <c r="FN50" s="251"/>
      <c r="FO50" s="339"/>
      <c r="FP50" s="364">
        <f t="shared" si="190"/>
        <v>0.570213174267091</v>
      </c>
      <c r="FQ50" s="364">
        <f t="shared" si="191"/>
        <v>5.81617437752433</v>
      </c>
      <c r="FR50" s="365">
        <f>各项系数!$F$76/4*($MQ50^2-$MN50^2*$EG50-$MO50^2*$EO50)*10^-2</f>
        <v>21.4444888130822</v>
      </c>
      <c r="FS50" s="366">
        <f t="shared" si="143"/>
        <v>0.05</v>
      </c>
      <c r="FT50" s="367">
        <f t="shared" si="40"/>
        <v>1.07222444065411</v>
      </c>
      <c r="FU50" s="388">
        <f>$FT50*(VLOOKUP($FT$9,各项系数!$D$1:$F$143,3,0))*10^-3*10^2*各项系数!$J$55</f>
        <v>0.128023598214101</v>
      </c>
      <c r="FV50" s="389">
        <v>1</v>
      </c>
      <c r="FW50" s="390">
        <f t="shared" si="192"/>
        <v>0.128023598214101</v>
      </c>
      <c r="FX50" s="367">
        <f>FW50*(VLOOKUP($FT$9,各项系数!$D$1:$F$143,2,0))</f>
        <v>0.384070794642302</v>
      </c>
      <c r="FY50" s="388">
        <f>IF($BK50&lt;&gt;$FY$9,0,各项系数!$F$76/4*($MS50^2-$MQ50^2)*10^-2*(VLOOKUP($FY$9,各项系数!$D$1:$F$143,3,0))*10^-3*10^2)*各项系数!$J$4</f>
        <v>0</v>
      </c>
      <c r="FZ50" s="389">
        <v>1</v>
      </c>
      <c r="GA50" s="390">
        <f t="shared" si="193"/>
        <v>0</v>
      </c>
      <c r="GB50" s="367">
        <f>GA50*(VLOOKUP($FY$9,各项系数!$D$1:$F$143,2,0))</f>
        <v>0</v>
      </c>
      <c r="GC50" s="388">
        <f>IF($BK50&lt;&gt;$GC$9,0,各项系数!$F$76/4*($MS50^2-$MQ50^2)*10^-2*(VLOOKUP($GC$9,各项系数!$D$1:$F$143,3,0))*10^-3*10^2)*各项系数!$J$4</f>
        <v>3.2618425895905e-5</v>
      </c>
      <c r="GD50" s="389">
        <v>1</v>
      </c>
      <c r="GE50" s="390">
        <f t="shared" si="194"/>
        <v>3.2618425895905e-5</v>
      </c>
      <c r="GF50" s="367">
        <f>GE50*(VLOOKUP($GC$9,各项系数!$D$1:$F$143,2,0))</f>
        <v>0.000420777694057174</v>
      </c>
      <c r="GG50" s="388">
        <f>IF($BK50&lt;&gt;$GG$9,0,各项系数!$F$76/4*($MS50^2-$MQ50^2)*10^-2*(VLOOKUP($GG$9,各项系数!$D$1:$F$143,3,0))*10^-3*10^2)*各项系数!$J$4</f>
        <v>0</v>
      </c>
      <c r="GH50" s="389">
        <v>1</v>
      </c>
      <c r="GI50" s="390">
        <f t="shared" si="195"/>
        <v>0</v>
      </c>
      <c r="GJ50" s="367">
        <f>GI50*(VLOOKUP($GG$9,各项系数!$D$1:$F$143,2,0))</f>
        <v>0</v>
      </c>
      <c r="GK50" s="388">
        <f>IF($BK50&lt;&gt;$GK$9,0,各项系数!$F$76/4*($MS50^2-$MQ50^2)*10^-2*(VLOOKUP($GK$9,各项系数!$D$1:$F$143,3,0))*10^-3*10^2)*各项系数!$J$4</f>
        <v>0</v>
      </c>
      <c r="GL50" s="389">
        <v>1</v>
      </c>
      <c r="GM50" s="390">
        <f t="shared" si="196"/>
        <v>0</v>
      </c>
      <c r="GN50" s="367">
        <f>GM50*(VLOOKUP($GK$9,各项系数!$D$1:$F$143,2,0))</f>
        <v>0</v>
      </c>
      <c r="GO50" s="390">
        <f t="shared" si="197"/>
        <v>3.2618425895905e-5</v>
      </c>
      <c r="GP50" s="390">
        <f t="shared" si="198"/>
        <v>0.000420777694057174</v>
      </c>
      <c r="GQ50" s="406">
        <f>各项系数!$F$76/4*($MU50^2-$MS50^2)*10^-2*(VLOOKUP($S50,各项系数!$D$1:$F$143,3,0))*10^-3*10^2*各项系数!$J$4</f>
        <v>1.36853552522354</v>
      </c>
      <c r="GR50" s="389">
        <v>1</v>
      </c>
      <c r="GS50" s="390">
        <f t="shared" si="199"/>
        <v>1.36853552522354</v>
      </c>
      <c r="GT50" s="390">
        <f t="shared" si="200"/>
        <v>0</v>
      </c>
      <c r="GU50" s="390">
        <f>ROUND($GS50*(VLOOKUP($S50,各项系数!$D$1:$F$143,2,0))+$E$3*GS50,GT50)</f>
        <v>8</v>
      </c>
      <c r="GV50" s="406">
        <f>各项系数!$F$76/4*($MT50^2-$MS50^2)*10^-2*(VLOOKUP($GV$9,各项系数!$D$1:$F$143,3,0))*10^-3*10^2*各项系数!$J$4*PI()/4*R50</f>
        <v>0.103334194190258</v>
      </c>
      <c r="GW50" s="389">
        <v>1</v>
      </c>
      <c r="GX50" s="390">
        <f t="shared" si="201"/>
        <v>0.103334194190258</v>
      </c>
      <c r="GY50" s="390">
        <f>$GX50*(VLOOKUP($GV$9,各项系数!$D$1:$F$143,2,0))</f>
        <v>6.97505810784242</v>
      </c>
      <c r="GZ50" s="406">
        <f>各项系数!$F$76/4*($MV50^2-$MS50^2)*10^-2*(VLOOKUP($GZ$9,各项系数!$D$1:$F$143,3,0))*10^-3*10^2*各项系数!$J$4</f>
        <v>1.22782303494578</v>
      </c>
      <c r="HA50" s="389">
        <v>1</v>
      </c>
      <c r="HB50" s="390">
        <f t="shared" si="144"/>
        <v>1.22782303494578</v>
      </c>
      <c r="HC50" s="390">
        <f>HB50*(VLOOKUP($GZ$9,各项系数!$D$1:$F$143,2,0))</f>
        <v>20.8729915940783</v>
      </c>
      <c r="HD50" s="406">
        <f>各项系数!$F$76/4*($MW50^2-$MT50^2)*10^-2*(VLOOKUP($HD$9,各项系数!$D$1:$F$143,3,0))*10^-3*10^2*各项系数!$J$4</f>
        <v>1.23036125331432</v>
      </c>
      <c r="HE50" s="389">
        <v>1</v>
      </c>
      <c r="HF50" s="390">
        <f t="shared" si="145"/>
        <v>1.23036125331432</v>
      </c>
      <c r="HG50" s="390">
        <f>HF50*(VLOOKUP($HD$9,各项系数!$D$1:$F$143,2,0))</f>
        <v>20.9161413063435</v>
      </c>
      <c r="HH50" s="406">
        <f>各项系数!$F$76/4*($MV50^2-$MS50^2)*10^-2*(VLOOKUP($HH$9,各项系数!$D$1:$F$143,3,0))*10^-3*10^2*各项系数!$J$4</f>
        <v>1.22782303494578</v>
      </c>
      <c r="HI50" s="420">
        <v>1</v>
      </c>
      <c r="HJ50" s="390">
        <f t="shared" si="146"/>
        <v>1.22782303494578</v>
      </c>
      <c r="HK50" s="390">
        <f>HJ50*(VLOOKUP($HH$9,各项系数!$D$1:$F$143,2,0))</f>
        <v>20.8729915940783</v>
      </c>
      <c r="HL50" s="406">
        <f>各项系数!$F$76/4*($MW50^2-$MT50^2)*10^-2*(VLOOKUP($HL$9,各项系数!$D$1:$F$143,3,0))*10^-3*10^2*各项系数!$J$4</f>
        <v>1.23036125331432</v>
      </c>
      <c r="HM50" s="420">
        <v>1</v>
      </c>
      <c r="HN50" s="390">
        <f t="shared" si="147"/>
        <v>1.23036125331432</v>
      </c>
      <c r="HO50" s="390">
        <f>HN50*(VLOOKUP($HL$9,各项系数!$D$1:$F$143,2,0))</f>
        <v>20.9161413063435</v>
      </c>
      <c r="HP50" s="406">
        <f>各项系数!$F$76/4*($MV50^2-$MS50^2)*10^-2*(VLOOKUP(AN50,各项系数!$D$1:$F$143,3,0))*10^-3*10^2*各项系数!$J$4</f>
        <v>1.24475852508297</v>
      </c>
      <c r="HQ50" s="389">
        <v>1</v>
      </c>
      <c r="HR50" s="390">
        <f t="shared" si="202"/>
        <v>1.24475852508297</v>
      </c>
      <c r="HS50" s="390">
        <f>HR50*(VLOOKUP(AN50,各项系数!$D$1:$F$143,2,0))</f>
        <v>12.4475852508297</v>
      </c>
      <c r="HT50" s="406">
        <f>各项系数!$F$76/4*($MW50^2-$MT50^2)*10^-2*(VLOOKUP(AN50,各项系数!$D$1:$F$143,3,0))*10^-3*10^2*各项系数!$J$4</f>
        <v>1.24733175336004</v>
      </c>
      <c r="HU50" s="389">
        <v>1</v>
      </c>
      <c r="HV50" s="390">
        <f t="shared" si="203"/>
        <v>1.24733175336004</v>
      </c>
      <c r="HW50" s="390">
        <f>HV50*(VLOOKUP(AN50,各项系数!$D$1:$F$143,2,0))</f>
        <v>12.4733175336004</v>
      </c>
      <c r="HX50" s="406">
        <f>各项系数!$F$76/4*($MV50^2-$MS50^2)*10^-2*(VLOOKUP($HX$9,各项系数!$D$1:$F$143,3,0))*10^-3*10^2*各项系数!$J$4</f>
        <v>1.24475852508297</v>
      </c>
      <c r="HY50" s="420">
        <v>1</v>
      </c>
      <c r="HZ50" s="390">
        <f t="shared" si="204"/>
        <v>1.24475852508297</v>
      </c>
      <c r="IA50" s="390">
        <f>HZ50*(VLOOKUP($HX$9,各项系数!$D$1:$F$143,2,0))</f>
        <v>13.6923437759126</v>
      </c>
      <c r="IB50" s="406">
        <f>各项系数!$F$76/4*($MW50^2-$MT50^2)*10^-2*(VLOOKUP($IB$9,各项系数!$D$1:$F$143,3,0))*10^-3*10^2*各项系数!$J$4</f>
        <v>1.24733175336004</v>
      </c>
      <c r="IC50" s="420">
        <v>1</v>
      </c>
      <c r="ID50" s="390">
        <f t="shared" si="205"/>
        <v>1.24733175336004</v>
      </c>
      <c r="IE50" s="390">
        <f>ID50*(VLOOKUP($IB$9,各项系数!$D$1:$F$143,2,0))</f>
        <v>13.7206492869604</v>
      </c>
      <c r="IF50" s="395"/>
      <c r="IG50" s="406">
        <f t="shared" si="148"/>
        <v>0.0912875053671827</v>
      </c>
      <c r="IH50" s="389">
        <v>1</v>
      </c>
      <c r="II50" s="390">
        <f t="shared" si="206"/>
        <v>0.0912875053671827</v>
      </c>
      <c r="IJ50" s="390">
        <f>II50*(VLOOKUP($IG$8,各项系数!$D$1:$F$143,2,0))</f>
        <v>2.28218763417957</v>
      </c>
      <c r="IK50" s="406">
        <f>(各项系数!$F$76/4*($MX50^2-$MK50^2)*$EG50)*10^-2*(VLOOKUP($IG$8,各项系数!$D$1:$F$143,3,0))*10^-3*10^2*各项系数!$J$4</f>
        <v>0.0912875053671827</v>
      </c>
      <c r="IL50" s="389">
        <f>IK50*(VLOOKUP($IG$8,各项系数!$D$1:$F$143,2,0))</f>
        <v>2.28218763417957</v>
      </c>
      <c r="IM50" s="390">
        <f>(各项系数!$F$76/4*(($MM50+3*$X50)^2-MM50^2)*$EO50)*10^-2*(VLOOKUP($IG$8,各项系数!$D$1:$F$143,3,0))*10^-3*10^2*各项系数!$J$4</f>
        <v>0</v>
      </c>
      <c r="IN50" s="389">
        <f>IM50*(VLOOKUP($IG$8,各项系数!$D$1:$F$143,2,0))</f>
        <v>0</v>
      </c>
      <c r="IO50" s="406">
        <f>各项系数!$F$76/4*($MZ50^2-$MX50^2)*10^-2*(VLOOKUP(L50,各项系数!$D$1:$F$143,3,0))*10^-3*10^2*$ES50*各项系数!$J$4</f>
        <v>0.58011597696603</v>
      </c>
      <c r="IP50" s="389">
        <v>1</v>
      </c>
      <c r="IQ50" s="390">
        <f t="shared" si="207"/>
        <v>0.58011597696603</v>
      </c>
      <c r="IR50" s="367">
        <f>IQ50*(VLOOKUP(L50,各项系数!$D$1:$F$143,2,0))</f>
        <v>5.91718296505351</v>
      </c>
      <c r="IS50" s="406">
        <f>IF($L50&lt;&gt;$IS$9,0,各项系数!$F$76/4*($MZ50^2-$MX50^2)*10^-2*各项系数!$F$12*10^-3*10^2)*$ES50*各项系数!$J$4</f>
        <v>0</v>
      </c>
      <c r="IT50" s="396">
        <v>1</v>
      </c>
      <c r="IU50" s="390">
        <f t="shared" si="208"/>
        <v>0</v>
      </c>
      <c r="IV50" s="367">
        <f>IU50*各项系数!$E$12</f>
        <v>0</v>
      </c>
      <c r="IW50" s="388">
        <f t="shared" si="209"/>
        <v>0.58011597696603</v>
      </c>
      <c r="IX50" s="388">
        <f t="shared" si="210"/>
        <v>5.91718296505351</v>
      </c>
      <c r="IY50" s="447">
        <f>各项系数!$F$76/4*($NB50^2-$MZ50^2*$EG50-$NA50^2*$EO50)*10^-2</f>
        <v>22.1466082585051</v>
      </c>
      <c r="IZ50" s="366">
        <f t="shared" si="231"/>
        <v>0.05</v>
      </c>
      <c r="JA50" s="367">
        <f t="shared" si="64"/>
        <v>1.10733041292526</v>
      </c>
      <c r="JB50" s="364">
        <f>IF($DE50&lt;&gt;$JB$9,0,$JA50*各项系数!$F$32*10^-3*10^2)*各项系数!$J$4</f>
        <v>0</v>
      </c>
      <c r="JC50" s="123">
        <v>1</v>
      </c>
      <c r="JD50" s="251">
        <f t="shared" si="211"/>
        <v>0</v>
      </c>
      <c r="JE50" s="339">
        <f>JD50*各项系数!$E$32</f>
        <v>0</v>
      </c>
      <c r="JF50" s="364">
        <f>IF($DE50&lt;&gt;$JF$9,0,$JA50*VLOOKUP($JF$9,各项系数!$D$4:$F$540,2,0)*10^-3*10^2)*各项系数!$J$4</f>
        <v>0.550896880430315</v>
      </c>
      <c r="JG50" s="123">
        <v>1</v>
      </c>
      <c r="JH50" s="251">
        <f t="shared" si="66"/>
        <v>0.550896880430315</v>
      </c>
      <c r="JI50" s="339">
        <f>JH50*VLOOKUP($JF$9,各项系数!$D$4:$F$540,3,0)</f>
        <v>0.661076256516378</v>
      </c>
      <c r="JJ50" s="364">
        <f t="shared" si="212"/>
        <v>0.550896880430315</v>
      </c>
      <c r="JK50" s="251">
        <f t="shared" si="213"/>
        <v>0.661076256516378</v>
      </c>
      <c r="JL50" s="364">
        <f>IF($DF50&lt;&gt;$JL$9,0,各项系数!$F$76/4*($NE50^2-$NC50^2)*10^-2*各项系数!$F$39*10^-3*10^2)*各项系数!$J$4</f>
        <v>0.00216401010661512</v>
      </c>
      <c r="JM50" s="123">
        <v>1</v>
      </c>
      <c r="JN50" s="251">
        <f t="shared" si="214"/>
        <v>0.00216401010661512</v>
      </c>
      <c r="JO50" s="339">
        <f>JN50*各项系数!$E$39</f>
        <v>0.0432802021323023</v>
      </c>
      <c r="JP50" s="364">
        <f>IF($DF50&lt;&gt;$JP$9,0,各项系数!$F$76/4*($NE50^2-$NC50^2)*10^-2*各项系数!$F$36*10^-3*10^2)*各项系数!$J$4</f>
        <v>0</v>
      </c>
      <c r="JQ50" s="123">
        <v>1</v>
      </c>
      <c r="JR50" s="251">
        <f t="shared" si="215"/>
        <v>0</v>
      </c>
      <c r="JS50" s="339">
        <f>JR50*各项系数!$E$36</f>
        <v>0</v>
      </c>
      <c r="JT50" s="364">
        <f>IF($DF50&lt;&gt;$JT$9,0,各项系数!$F$76/4*($NE50^2-$NC50^2)*10^-2*各项系数!$F$40*10^-3*10^2)*各项系数!$J$4</f>
        <v>0</v>
      </c>
      <c r="JU50" s="123">
        <v>1</v>
      </c>
      <c r="JV50" s="251">
        <f t="shared" si="216"/>
        <v>0</v>
      </c>
      <c r="JW50" s="339">
        <f>JV50*各项系数!$E$40</f>
        <v>0</v>
      </c>
      <c r="JX50" s="364">
        <f>IF($DF50&lt;&gt;$JX$9,0,各项系数!$F$76/4*($NE50^2-$NC50^2)*10^-2*各项系数!$F$38*10^-3*10^2)*各项系数!$J$4</f>
        <v>0</v>
      </c>
      <c r="JY50" s="123">
        <v>1</v>
      </c>
      <c r="JZ50" s="251">
        <f t="shared" si="217"/>
        <v>0</v>
      </c>
      <c r="KA50" s="339">
        <f>JZ50*各项系数!$E$38</f>
        <v>0</v>
      </c>
      <c r="KB50" s="364">
        <f>IF($DF50&lt;&gt;$KB$9,0,各项系数!$F$76/4*($NE50^2-$NC50^2)*10^-2*各项系数!$F$41*10^-3*10^2)*各项系数!$J$4</f>
        <v>0</v>
      </c>
      <c r="KC50" s="123">
        <v>1</v>
      </c>
      <c r="KD50" s="251">
        <f t="shared" si="218"/>
        <v>0</v>
      </c>
      <c r="KE50" s="339">
        <f>KD50*各项系数!$E$41</f>
        <v>0</v>
      </c>
      <c r="KF50" s="251">
        <f t="shared" si="219"/>
        <v>0.00216401010661512</v>
      </c>
      <c r="KG50" s="251">
        <f t="shared" si="220"/>
        <v>0.0432802021323023</v>
      </c>
      <c r="KH50" s="302">
        <f>各项系数!$F$76/4*($NG50^2-$NE50^2)*10^-2*各项系数!$F$44*10^-3*10^2*各项系数!$J$4*0.75*$U50</f>
        <v>2.08748478248607</v>
      </c>
      <c r="KI50" s="123">
        <v>1</v>
      </c>
      <c r="KJ50" s="251">
        <f t="shared" si="221"/>
        <v>2.08748478248607</v>
      </c>
      <c r="KK50" s="251">
        <f>ROUND(KJ50*各项系数!$E$43,GT50)</f>
        <v>12</v>
      </c>
      <c r="KL50" s="302">
        <f>各项系数!$F$76/4*($NF50^2-$NE50^2)*10^-2*各项系数!$F$46*10^-3*10^2*各项系数!$J$4*PI()/4*R50</f>
        <v>0.105095805730121</v>
      </c>
      <c r="KM50" s="123">
        <v>1</v>
      </c>
      <c r="KN50" s="251">
        <f t="shared" si="222"/>
        <v>0.105095805730121</v>
      </c>
      <c r="KO50" s="251">
        <f>KN50*各项系数!$E$46</f>
        <v>7.09396688678318</v>
      </c>
      <c r="KP50" s="302">
        <f>各项系数!$F$76/4*($NH50^2-$NE50^2)*10^-2*(VLOOKUP($KP$9,各项系数!$D$1:$F$143,3,0))*10^-3*10^2*各项系数!$J$4</f>
        <v>1.24782969426407</v>
      </c>
      <c r="KQ50" s="123">
        <v>1</v>
      </c>
      <c r="KR50" s="251">
        <f t="shared" si="150"/>
        <v>1.24782969426407</v>
      </c>
      <c r="KS50" s="251">
        <f>KR50*(VLOOKUP($KP$9,各项系数!$D$1:$F$143,2,0))</f>
        <v>21.2131048024891</v>
      </c>
      <c r="KT50" s="302">
        <f>各项系数!$F$76/4*($NI50^2-$NF50^2)*10^-2*(VLOOKUP($KT$9,各项系数!$D$1:$F$143,3,0))*10^-3*10^2*各项系数!$J$4</f>
        <v>1.25036791263261</v>
      </c>
      <c r="KU50" s="123">
        <v>1</v>
      </c>
      <c r="KV50" s="251">
        <f t="shared" si="151"/>
        <v>1.25036791263261</v>
      </c>
      <c r="KW50" s="251">
        <f>KV50*(VLOOKUP($KT$9,各项系数!$D$1:$F$143,2,0))</f>
        <v>21.2562545147544</v>
      </c>
      <c r="KX50" s="251">
        <f>各项系数!$F$76/4*($NH50^2-$NE50^2)*10^-2*(VLOOKUP($KX$9,各项系数!$D$1:$F$143,3,0))*10^-3*10^2*各项系数!$J$4</f>
        <v>1.24782969426407</v>
      </c>
      <c r="KY50" s="479">
        <v>1</v>
      </c>
      <c r="KZ50" s="251">
        <f t="shared" si="152"/>
        <v>1.24782969426407</v>
      </c>
      <c r="LA50" s="251">
        <f>KZ50*(VLOOKUP($KX$9,各项系数!$D$1:$F$143,2,0))</f>
        <v>21.2131048024891</v>
      </c>
      <c r="LB50" s="251">
        <f>各项系数!$F$76/4*($NI50^2-$NF50^2)*10^-2*(VLOOKUP($LB$9,各项系数!$D$1:$F$143,3,0))*10^-3*10^2*各项系数!$J$4</f>
        <v>1.25036791263261</v>
      </c>
      <c r="LC50" s="479">
        <v>1</v>
      </c>
      <c r="LD50" s="251">
        <f t="shared" si="153"/>
        <v>1.25036791263261</v>
      </c>
      <c r="LE50" s="251">
        <f>LD50*(VLOOKUP($LB$9,各项系数!$D$1:$F$143,2,0))</f>
        <v>21.2562545147544</v>
      </c>
      <c r="LF50" s="302">
        <f>各项系数!$F$76/4*($NH50^2-$NE50^2)*10^-2*(VLOOKUP(AN50,各项系数!$D$1:$F$143,3,0))*10^-3*10^2*各项系数!$J$4</f>
        <v>1.26504113832288</v>
      </c>
      <c r="LG50" s="123">
        <v>1</v>
      </c>
      <c r="LH50" s="251">
        <f t="shared" si="223"/>
        <v>1.26504113832288</v>
      </c>
      <c r="LI50" s="251">
        <f>LH50*(VLOOKUP(AN50,各项系数!$D$1:$F$143,2,0))</f>
        <v>12.6504113832288</v>
      </c>
      <c r="LJ50" s="302">
        <f>各项系数!$F$76/4*($NI50^2-$NF50^2)*10^-2*(VLOOKUP(AN50,各项系数!$D$1:$F$143,3,0))*10^-3*10^2*各项系数!$J$4</f>
        <v>1.26761436659996</v>
      </c>
      <c r="LK50" s="123">
        <v>1</v>
      </c>
      <c r="LL50" s="251">
        <f t="shared" si="224"/>
        <v>1.26761436659996</v>
      </c>
      <c r="LM50" s="251">
        <f>LL50*(VLOOKUP(AN50,各项系数!$D$1:$F$143,2,0))</f>
        <v>12.6761436659996</v>
      </c>
      <c r="LN50" s="251">
        <f>各项系数!$F$76/4*($NH50^2-$NE50^2)*10^-2*(VLOOKUP($LN$9,各项系数!$D$1:$F$143,3,0))*10^-3*10^2*各项系数!$J$4</f>
        <v>1.26504113832288</v>
      </c>
      <c r="LO50" s="479">
        <v>1</v>
      </c>
      <c r="LP50" s="251">
        <f t="shared" si="225"/>
        <v>1.26504113832288</v>
      </c>
      <c r="LQ50" s="251">
        <f>LP50*(VLOOKUP($LN$9,各项系数!$D$1:$F$143,2,0))</f>
        <v>13.9154525215517</v>
      </c>
      <c r="LR50" s="251">
        <f>各项系数!$F$76/4*($NI50^2-$NF50^2)*10^-2*(VLOOKUP($LR$9,各项系数!$D$1:$F$143,3,0))*10^-3*10^2*各项系数!$J$4</f>
        <v>1.26761436659996</v>
      </c>
      <c r="LS50" s="479">
        <v>1</v>
      </c>
      <c r="LT50" s="251">
        <f t="shared" si="226"/>
        <v>1.26761436659996</v>
      </c>
      <c r="LU50" s="251">
        <f>LT50*(VLOOKUP($LR$9,各项系数!$D$1:$F$143,2,0))</f>
        <v>13.9437580325995</v>
      </c>
      <c r="LV50" s="499">
        <f t="shared" si="154"/>
        <v>1623.46836576</v>
      </c>
      <c r="LW50" s="499">
        <f t="shared" si="155"/>
        <v>1222.61197915</v>
      </c>
      <c r="LX50" s="499">
        <f t="shared" si="156"/>
        <v>39.4547578844517</v>
      </c>
      <c r="LY50" s="515">
        <f t="shared" si="157"/>
        <v>400.85638661</v>
      </c>
      <c r="LZ50" s="516">
        <f t="shared" si="86"/>
        <v>1</v>
      </c>
      <c r="MA50" s="517">
        <f t="shared" si="87"/>
        <v>1623.46836576</v>
      </c>
      <c r="MB50" s="517">
        <f t="shared" si="158"/>
        <v>32.14859346</v>
      </c>
      <c r="MC50" s="499">
        <f t="shared" si="159"/>
        <v>0</v>
      </c>
      <c r="MD50" s="499">
        <f t="shared" si="160"/>
        <v>0</v>
      </c>
      <c r="ME50" s="499">
        <f t="shared" si="161"/>
        <v>0</v>
      </c>
      <c r="MF50" s="499">
        <f t="shared" si="162"/>
        <v>0</v>
      </c>
      <c r="MG50" s="516">
        <f t="shared" si="163"/>
        <v>1</v>
      </c>
      <c r="MH50" s="517">
        <f t="shared" si="88"/>
        <v>0</v>
      </c>
      <c r="MI50" s="517">
        <f t="shared" si="164"/>
        <v>0</v>
      </c>
      <c r="MJ50" s="251">
        <f t="shared" si="89"/>
        <v>32.14859346</v>
      </c>
      <c r="MK50" s="251">
        <f t="shared" si="165"/>
        <v>32.14859346</v>
      </c>
      <c r="ML50" s="251">
        <f t="shared" si="227"/>
        <v>0</v>
      </c>
      <c r="MM50" s="251">
        <f t="shared" si="91"/>
        <v>0</v>
      </c>
      <c r="MN50" s="251">
        <f t="shared" si="92"/>
        <v>36.94859346</v>
      </c>
      <c r="MO50" s="251">
        <f t="shared" si="166"/>
        <v>0</v>
      </c>
      <c r="MP50" s="251">
        <f t="shared" si="167"/>
        <v>73.89718692</v>
      </c>
      <c r="MQ50" s="251">
        <f t="shared" si="228"/>
        <v>73.89718692</v>
      </c>
      <c r="MR50" s="314">
        <f t="shared" si="168"/>
        <v>73.72147219</v>
      </c>
      <c r="MS50" s="530">
        <f t="shared" si="94"/>
        <v>73.89747219</v>
      </c>
      <c r="MT50" s="530">
        <f t="shared" si="95"/>
        <v>74.05747219</v>
      </c>
      <c r="MU50" s="530">
        <f t="shared" si="232"/>
        <v>75.39747219</v>
      </c>
      <c r="MV50" s="530">
        <f t="shared" si="97"/>
        <v>80.89747219</v>
      </c>
      <c r="MW50" s="530">
        <f t="shared" si="98"/>
        <v>81.05747219</v>
      </c>
      <c r="MX50" s="326">
        <f t="shared" si="233"/>
        <v>32.74859346</v>
      </c>
      <c r="MY50" s="326">
        <f t="shared" si="100"/>
        <v>0</v>
      </c>
      <c r="MZ50" s="251">
        <f t="shared" si="101"/>
        <v>37.54859346</v>
      </c>
      <c r="NA50" s="251">
        <f t="shared" si="102"/>
        <v>0</v>
      </c>
      <c r="NB50" s="251">
        <f t="shared" si="169"/>
        <v>75.09718692</v>
      </c>
      <c r="NC50" s="326">
        <f t="shared" si="229"/>
        <v>75.09718692</v>
      </c>
      <c r="ND50" s="314">
        <f t="shared" si="234"/>
        <v>74.9186188</v>
      </c>
      <c r="NE50" s="537">
        <f t="shared" si="235"/>
        <v>75.1586188</v>
      </c>
      <c r="NF50" s="530">
        <f t="shared" si="106"/>
        <v>75.3186188</v>
      </c>
      <c r="NG50" s="538">
        <f t="shared" si="236"/>
        <v>76.6586188</v>
      </c>
      <c r="NH50" s="326">
        <f t="shared" si="108"/>
        <v>82.1586188</v>
      </c>
      <c r="NI50" s="530">
        <f t="shared" si="109"/>
        <v>82.3186188</v>
      </c>
      <c r="NK50" s="539">
        <f t="shared" si="110"/>
        <v>13.0821435958073</v>
      </c>
      <c r="NL50" s="539">
        <f t="shared" si="111"/>
        <v>748.260328228719</v>
      </c>
      <c r="NM50" s="539">
        <f t="shared" si="112"/>
        <v>13.0821435958073</v>
      </c>
      <c r="NN50" s="539">
        <f t="shared" si="113"/>
        <v>749.505086753802</v>
      </c>
      <c r="NO50" s="539">
        <f t="shared" si="114"/>
        <v>13.6286211910103</v>
      </c>
      <c r="NP50" s="539">
        <f t="shared" si="115"/>
        <v>751.16621546914</v>
      </c>
      <c r="NQ50" s="539">
        <f t="shared" si="116"/>
        <v>13.6286211910103</v>
      </c>
      <c r="NR50" s="539">
        <f t="shared" si="117"/>
        <v>752.431256607462</v>
      </c>
      <c r="NS50" s="539">
        <f t="shared" si="118"/>
        <v>13.1854777899975</v>
      </c>
      <c r="NT50" s="539">
        <f t="shared" si="119"/>
        <v>13.1854777899975</v>
      </c>
      <c r="NU50" s="539">
        <f t="shared" si="120"/>
        <v>13.7337169967404</v>
      </c>
      <c r="NV50" s="539">
        <f t="shared" si="121"/>
        <v>13.7337169967404</v>
      </c>
      <c r="NW50">
        <f t="shared" si="122"/>
        <v>14.4506791210308</v>
      </c>
      <c r="NX50">
        <f>各项系数!$M$9*NK50</f>
        <v>3.92464307874219</v>
      </c>
      <c r="NY50">
        <f t="shared" si="123"/>
        <v>13.1854777899975</v>
      </c>
    </row>
    <row r="51" customHeight="1" spans="1:389">
      <c r="A51" s="91">
        <v>12</v>
      </c>
      <c r="B51" s="86">
        <v>1</v>
      </c>
      <c r="C51" s="83"/>
      <c r="D51" s="74" t="s">
        <v>919</v>
      </c>
      <c r="E51" s="70">
        <f t="shared" si="255"/>
        <v>90.53765219</v>
      </c>
      <c r="F51" s="84">
        <f>$F$35</f>
        <v>404.218837505781</v>
      </c>
      <c r="G51" s="74"/>
      <c r="H51" s="23"/>
      <c r="I51" s="78"/>
      <c r="J51" s="23"/>
      <c r="K51" s="23"/>
      <c r="L51" s="118" t="s">
        <v>467</v>
      </c>
      <c r="M51" s="124">
        <f t="shared" si="2"/>
        <v>2.6</v>
      </c>
      <c r="N51" s="124">
        <f t="shared" si="252"/>
        <v>0</v>
      </c>
      <c r="O51" s="69">
        <f t="shared" si="265"/>
        <v>0.08</v>
      </c>
      <c r="P51" s="120">
        <v>0.1</v>
      </c>
      <c r="Q51" s="162">
        <f t="shared" si="253"/>
        <v>0.1</v>
      </c>
      <c r="R51" s="86">
        <v>0.8</v>
      </c>
      <c r="S51" s="171" t="str">
        <f>各项系数!$D$43</f>
        <v>钢带</v>
      </c>
      <c r="T51" s="78">
        <v>0.5</v>
      </c>
      <c r="U51" s="78">
        <v>2</v>
      </c>
      <c r="V51" s="172"/>
      <c r="W51" s="174">
        <v>3.7</v>
      </c>
      <c r="X51" s="164">
        <f t="shared" si="254"/>
        <v>0.2</v>
      </c>
      <c r="Y51" s="219"/>
      <c r="Z51" s="220"/>
      <c r="AA51" s="217">
        <f>$AA$35</f>
        <v>1.03</v>
      </c>
      <c r="AB51" s="186">
        <f>PI()*EJ51*EJ51/4*EH51*(1-H51)*AA51*各项系数!$F$5*各项系数!$J$4*10^-7</f>
        <v>7.13205822938526</v>
      </c>
      <c r="AC51" s="186">
        <f t="shared" si="256"/>
        <v>404.218837505781</v>
      </c>
      <c r="AD51" s="186">
        <f t="shared" si="5"/>
        <v>806.287707308788</v>
      </c>
      <c r="AE51" s="186">
        <f>POWER(4*EU51/PI()/EG51/10^-7/EH51/(1-H51)/各项系数!$F$5/各项系数!$J$4,0.5)</f>
        <v>410.23731504138</v>
      </c>
      <c r="AF51" s="218">
        <v>1</v>
      </c>
      <c r="AG51" s="85">
        <f>IF(EM51=0,0,PI()*ER51*ER51/4*EP51*(1-K51)*(1+AF51)*各项系数!$F$5*各项系数!$J$4*10^-7)</f>
        <v>0</v>
      </c>
      <c r="AH51" s="85">
        <f t="shared" si="257"/>
        <v>0</v>
      </c>
      <c r="AI51" s="85">
        <f t="shared" si="128"/>
        <v>0</v>
      </c>
      <c r="AJ51" s="85">
        <f>IF(OR(EP51="",EP51=0),0,POWER(4*EW51/PI()/EO51/10^-7/EP51/(1-K51)/各项系数!$F$5/各项系数!$J$4,0.5))</f>
        <v>0</v>
      </c>
      <c r="AK51" s="85" t="str">
        <f t="shared" si="8"/>
        <v>√</v>
      </c>
      <c r="AL51" s="85">
        <f t="shared" si="258"/>
        <v>985.420600819348</v>
      </c>
      <c r="AM51" s="127">
        <f t="shared" si="259"/>
        <v>800</v>
      </c>
      <c r="AN51" s="118" t="s">
        <v>486</v>
      </c>
      <c r="AO51" s="259">
        <f>AP51+各项系数!$M$9*$NK51</f>
        <v>966.098628254263</v>
      </c>
      <c r="AP51" s="259">
        <f>AQ51*(1+$BI51+(VLOOKUP($AM51,$A$12:$B$323,2,0))+各项系数!$J$6+各项系数!$M$5)*(1+$E$2)</f>
        <v>961.119590336366</v>
      </c>
      <c r="AQ51" s="260">
        <f>AR51+各项系数!$L$9*$NK51</f>
        <v>980.734275853434</v>
      </c>
      <c r="AR51" s="260">
        <f>AS51*(1+$BJ51+各项系数!$J$5+各项系数!$L$5)</f>
        <v>975.755237935537</v>
      </c>
      <c r="AS51" s="260">
        <f t="shared" si="129"/>
        <v>956.622782289742</v>
      </c>
      <c r="AT51" s="259">
        <f>AU51+各项系数!$M$9*$NM51</f>
        <v>976.087859770944</v>
      </c>
      <c r="AU51" s="259">
        <f>AV51*(1+$BI51+(VLOOKUP($AM51,$A$12:$B$323,2,0))+各项系数!$J$6+各项系数!$M$5)*(1+$E$2)</f>
        <v>971.108821853046</v>
      </c>
      <c r="AV51" s="260">
        <f>AW51+各项系数!$L$9*$NM51</f>
        <v>990.927369237802</v>
      </c>
      <c r="AW51" s="260">
        <f>AX51*(1+$BJ51+各项系数!$J$5+各项系数!$L$5)</f>
        <v>985.948331319905</v>
      </c>
      <c r="AX51" s="260">
        <f t="shared" si="130"/>
        <v>966.616011097946</v>
      </c>
      <c r="AY51" s="259">
        <f>AZ51+各项系数!$M$9*$NS51</f>
        <v>974.038008812233</v>
      </c>
      <c r="AZ51" s="259">
        <f>BA51*(1+$BI51+(VLOOKUP($AM51,$A$12:$B$214,2,0))+各项系数!$J$6+各项系数!$M$5)*(1+$E$2)</f>
        <v>969.024098538832</v>
      </c>
      <c r="BA51" s="260">
        <f>BB51+各项系数!$L$9*$NS51</f>
        <v>988.800100549829</v>
      </c>
      <c r="BB51" s="260">
        <f>BC51*(1+$BJ51+各项系数!$J$5+各项系数!$L$5)</f>
        <v>983.786190276428</v>
      </c>
      <c r="BC51" s="262">
        <f t="shared" si="131"/>
        <v>964.496264976891</v>
      </c>
      <c r="BD51" s="259">
        <f>BE51+各项系数!$M$9*$NS51</f>
        <v>984.045645675009</v>
      </c>
      <c r="BE51" s="259">
        <f>BF51*(1+$BI51+(VLOOKUP($AM51,$A$12:$B$214,2,0))+各项系数!$J$6+各项系数!$M$5)*(1+$E$2)</f>
        <v>979.031735401608</v>
      </c>
      <c r="BF51" s="260">
        <f>BG51+各项系数!$L$9*$NS51</f>
        <v>999.0119748996</v>
      </c>
      <c r="BG51" s="260">
        <f>BH51*(1+$BJ51+各项系数!$J$5+各项系数!$L$5)</f>
        <v>993.9980646262</v>
      </c>
      <c r="BH51" s="262">
        <f t="shared" si="132"/>
        <v>974.507906496274</v>
      </c>
      <c r="BI51" s="277"/>
      <c r="BJ51" s="272"/>
      <c r="BK51" s="69" t="s">
        <v>514</v>
      </c>
      <c r="BL51" s="259">
        <f>BM51+各项系数!$M$9*$NM51</f>
        <v>976.963796122082</v>
      </c>
      <c r="BM51" s="259">
        <f>BN51*(1+$CF51+(VLOOKUP($AM51,$A$12:$B$323,2,0))+各项系数!$J$6+各项系数!$M$5)*(1+$E$2)</f>
        <v>971.984758204185</v>
      </c>
      <c r="BN51" s="260">
        <f>BO51+各项系数!$L$9*$NM51</f>
        <v>991.821181841005</v>
      </c>
      <c r="BO51" s="260">
        <f>BP51*(1+$CG51+各项系数!$J$5+各项系数!$L$5)</f>
        <v>986.842143923108</v>
      </c>
      <c r="BP51" s="260">
        <f t="shared" si="133"/>
        <v>958.099168857386</v>
      </c>
      <c r="BQ51" s="259">
        <f>BR51+各项系数!$M$9*$NM51</f>
        <v>985.560696679703</v>
      </c>
      <c r="BR51" s="259">
        <f>BS51*(1+$CF51+(VLOOKUP($AM51,$A$12:$B$323,2,0))+各项系数!$J$6+各项系数!$M$5)*(1+$E$2)</f>
        <v>980.581658761806</v>
      </c>
      <c r="BS51" s="260">
        <f>BT51+各项系数!$L$9*$NM51</f>
        <v>1000.59352934878</v>
      </c>
      <c r="BT51" s="260">
        <f>BU51*(1+$CG51+各项系数!$J$5+各项系数!$L$5)</f>
        <v>995.614491430884</v>
      </c>
      <c r="BU51" s="260">
        <f t="shared" si="134"/>
        <v>966.616011097946</v>
      </c>
      <c r="BV51" s="259">
        <f>BW51+各项系数!$M$9*$NT51</f>
        <v>980.077548717976</v>
      </c>
      <c r="BW51" s="259">
        <f>BX51*(1+$CF51+(VLOOKUP($AM51,$A$12:$B$214,2,0))+各项系数!$J$6+各项系数!$M$5)*(1+$E$2)</f>
        <v>975.063638444575</v>
      </c>
      <c r="BX51" s="260">
        <f>BY51+各项系数!$L$9*$NT$12</f>
        <v>994.962896372016</v>
      </c>
      <c r="BY51" s="260">
        <f>BZ51*(1+$CG51+各项系数!$J$5+各项系数!$L$5)</f>
        <v>994.954632968861</v>
      </c>
      <c r="BZ51" s="262">
        <f t="shared" si="11"/>
        <v>965.975371814428</v>
      </c>
      <c r="CA51" s="259">
        <f>CB51+各项系数!$M$9*$NT51</f>
        <v>988.690289225832</v>
      </c>
      <c r="CB51" s="259">
        <f>CC51*(1+$CF51+(VLOOKUP($AM51,$A$12:$B$214,2,0))+各项系数!$J$6+各项系数!$M$5)*(1+$E$2)</f>
        <v>983.676378952431</v>
      </c>
      <c r="CC51" s="260">
        <f>CD51+各项系数!$L$9*$NT$12</f>
        <v>1003.75140709432</v>
      </c>
      <c r="CD51" s="260">
        <f>CE51*(1+$CG51+各项系数!$J$5+各项系数!$L$5)</f>
        <v>1003.74314369116</v>
      </c>
      <c r="CE51" s="262">
        <f t="shared" si="135"/>
        <v>974.507906496274</v>
      </c>
      <c r="CF51" s="277">
        <f t="shared" si="136"/>
        <v>0</v>
      </c>
      <c r="CG51" s="277">
        <f t="shared" si="12"/>
        <v>0.01</v>
      </c>
      <c r="CH51" s="127"/>
      <c r="CI51" s="259">
        <f>CJ51+各项系数!$M$9*$NO51</f>
        <v>974.794650534305</v>
      </c>
      <c r="CJ51" s="259">
        <f>CK51*(1+$DC51+(VLOOKUP($AM51,$A$12:$B$323,2,0))+各项系数!$J$6+各项系数!$M$5)*(1+$E$2)+各项系数!$M$9*$NK51</f>
        <v>969.613785507466</v>
      </c>
      <c r="CK51" s="260">
        <f>CL51+各项系数!$L$9*$NO51</f>
        <v>984.321171009764</v>
      </c>
      <c r="CL51" s="260">
        <f>CM51*(1+$DD51+各项系数!$J$5+各项系数!$L$5)</f>
        <v>979.140305982924</v>
      </c>
      <c r="CM51" s="260">
        <f t="shared" si="13"/>
        <v>959.941476453847</v>
      </c>
      <c r="CN51" s="259">
        <f>CO51+各项系数!$M$9*$NO51</f>
        <v>984.569551620357</v>
      </c>
      <c r="CO51" s="259">
        <f>CP51*(1+$DC51+(VLOOKUP($AM51,$A$12:$B$323,2,0))+各项系数!$J$6+各项系数!$M$5)*(1+$E$2)+各项系数!$M$9*$NK51</f>
        <v>979.388686593517</v>
      </c>
      <c r="CP51" s="260">
        <f>CQ51+各项系数!$L$9*$NO51</f>
        <v>994.295559873082</v>
      </c>
      <c r="CQ51" s="260">
        <f>CR51*(1+$DD51+各项系数!$J$5+各项系数!$L$5)</f>
        <v>989.114694846242</v>
      </c>
      <c r="CR51" s="260">
        <f t="shared" si="14"/>
        <v>969.720289064943</v>
      </c>
      <c r="CS51" s="259">
        <f>CT51+各项系数!$M$9*$NU51</f>
        <v>977.874900787062</v>
      </c>
      <c r="CT51" s="259">
        <f t="shared" si="15"/>
        <v>972.658634921257</v>
      </c>
      <c r="CU51" s="260">
        <f>CV51+各项系数!$L$9*$NU51</f>
        <v>992.50881114414</v>
      </c>
      <c r="CV51" s="260">
        <f>CW51*(1+$DD51+各项系数!$J$5+各项系数!$L$5)</f>
        <v>987.292545278335</v>
      </c>
      <c r="CW51" s="262">
        <f t="shared" si="16"/>
        <v>967.933867919937</v>
      </c>
      <c r="CX51" s="259">
        <f>CY51+各项系数!$M$9*$NU51</f>
        <v>988.027611648801</v>
      </c>
      <c r="CY51" s="259">
        <f t="shared" si="17"/>
        <v>982.811345782996</v>
      </c>
      <c r="CZ51" s="260">
        <f>DA51+各项系数!$L$9*$NU51</f>
        <v>1002.86872018673</v>
      </c>
      <c r="DA51" s="260">
        <f>DB51*(1+$DD51+各项系数!$J$5+各项系数!$L$5)</f>
        <v>997.652454320926</v>
      </c>
      <c r="DB51" s="262">
        <f t="shared" si="18"/>
        <v>978.090641491104</v>
      </c>
      <c r="DC51" s="277">
        <f t="shared" si="137"/>
        <v>0</v>
      </c>
      <c r="DD51" s="277">
        <f t="shared" si="19"/>
        <v>0</v>
      </c>
      <c r="DE51" s="69" t="s">
        <v>498</v>
      </c>
      <c r="DF51" s="69" t="s">
        <v>513</v>
      </c>
      <c r="DG51" s="259">
        <f>DH51+各项系数!$M$9*$NQ51</f>
        <v>985.713984775869</v>
      </c>
      <c r="DH51" s="259">
        <f>DI51*(1+$EA51+(VLOOKUP($AM51,$A$12:$B$323,2,0))+各项系数!$J$6+各项系数!$M$5)*(1+$E$2)+各项系数!$M$9*$NK51</f>
        <v>980.53311974903</v>
      </c>
      <c r="DI51" s="260">
        <f>DJ51+各项系数!$L$9*$NQ51</f>
        <v>995.463348807278</v>
      </c>
      <c r="DJ51" s="260">
        <f>DK51*(1+$EB51+各项系数!$J$5+各项系数!$L$5)</f>
        <v>990.282483780438</v>
      </c>
      <c r="DK51" s="260">
        <f t="shared" si="20"/>
        <v>961.439304641202</v>
      </c>
      <c r="DL51" s="259">
        <f>DM51+各项系数!$M$9*$NQ51</f>
        <v>994.435738455624</v>
      </c>
      <c r="DM51" s="259">
        <f>DN51*(1+$EA51+(VLOOKUP($AM51,$A$12:$B$323,2,0))+各项系数!$J$6+各项系数!$M$5)*(1+$E$2)+各项系数!$M$9*$NK51</f>
        <v>989.254873428785</v>
      </c>
      <c r="DN51" s="260">
        <f>DO51+各项系数!$L$9*$NQ51</f>
        <v>1004.36309746009</v>
      </c>
      <c r="DO51" s="260">
        <f>DP51*(1+$EB51+各项系数!$J$5+各项系数!$L$5)</f>
        <v>999.18223243325</v>
      </c>
      <c r="DP51" s="260">
        <f t="shared" si="21"/>
        <v>970.079837313835</v>
      </c>
      <c r="DQ51" s="259">
        <f>DR51+各项系数!$M$9*$NV51</f>
        <v>988.875306305423</v>
      </c>
      <c r="DR51" s="259">
        <f t="shared" si="22"/>
        <v>983.659040439619</v>
      </c>
      <c r="DS51" s="260">
        <f>DT51+各项系数!$L$9*$NV51</f>
        <v>1003.7337147343</v>
      </c>
      <c r="DT51" s="260">
        <f>DU51*(1+$EB51+各项系数!$J$5+各项系数!$L$5)</f>
        <v>998.5174488685</v>
      </c>
      <c r="DU51" s="262">
        <f t="shared" si="23"/>
        <v>969.434416377185</v>
      </c>
      <c r="DV51" s="259">
        <f>DW51+各项系数!$M$9*$NV51</f>
        <v>990.326635944954</v>
      </c>
      <c r="DW51" s="259">
        <f t="shared" si="24"/>
        <v>985.110370079149</v>
      </c>
      <c r="DX51" s="260">
        <f>DY51+各项系数!$L$9*$NV51</f>
        <v>1005.21466334607</v>
      </c>
      <c r="DY51" s="260">
        <f>DZ51*(1+$EB51+各项系数!$J$5+各项系数!$L$5)</f>
        <v>999.998397480266</v>
      </c>
      <c r="DZ51" s="262">
        <f t="shared" si="25"/>
        <v>970.872230563365</v>
      </c>
      <c r="EA51" s="277">
        <f t="shared" si="230"/>
        <v>0</v>
      </c>
      <c r="EB51" s="277">
        <f t="shared" si="27"/>
        <v>0.01</v>
      </c>
      <c r="EC51" s="302">
        <f t="shared" si="138"/>
        <v>2</v>
      </c>
      <c r="ED51" s="304" t="str">
        <f t="shared" si="260"/>
        <v>2*800</v>
      </c>
      <c r="EE51" s="251">
        <f t="shared" si="239"/>
        <v>800</v>
      </c>
      <c r="EF51" s="95" t="str">
        <f>LOOKUP(EH51,{1,7,10,14,19,24,30,37,48,61},{1,"1+6","2+8","4+10","1+6+12","2+8+14","4+10+16","1+6+12+18","3+9+15+21","1+6+12+18+24"})</f>
        <v>1+6+12+18+24</v>
      </c>
      <c r="EG51" s="250">
        <f t="shared" si="29"/>
        <v>2</v>
      </c>
      <c r="EH51" s="260">
        <f>VLOOKUP(EE51,各项系数!$B$87:$C$124,2,0)</f>
        <v>61</v>
      </c>
      <c r="EI51" s="250">
        <f>IF(EH51=0,0,VLOOKUP(EH51,各项系数!$D$142:$E$195,2,0))*1</f>
        <v>9</v>
      </c>
      <c r="EJ51" s="305">
        <f t="shared" si="141"/>
        <v>404.218837505781</v>
      </c>
      <c r="EK51" s="95">
        <f t="shared" si="261"/>
        <v>0</v>
      </c>
      <c r="EL51" s="251">
        <f t="shared" si="31"/>
        <v>0</v>
      </c>
      <c r="EM51" s="95">
        <f t="shared" si="262"/>
        <v>0</v>
      </c>
      <c r="EN51" s="95">
        <f>IF(EP51=0,0,LOOKUP(EP51,{1,7,10,14,19,24,30,37,48,61},{1,"1+6","2+8","4+10","1+6+12","2+8+14","4+10+16","1+6+12+18","3+9+15+21","1+6+12+18+24"}))</f>
        <v>0</v>
      </c>
      <c r="EO51" s="95">
        <f t="shared" si="263"/>
        <v>0</v>
      </c>
      <c r="EP51" s="95">
        <f>IF(EM51=0,0,IF(EM51&lt;10,1,IF(AND(EM51&gt;=10,EM51&lt;=35),7,LOOKUP(EM51,{50,70,95,120,150,185,240,300},{10,14,19,24,30,37,48,61})*1)))</f>
        <v>0</v>
      </c>
      <c r="EQ51" s="251">
        <f>IF(EP51=0,0,VLOOKUP(EP51,各项系数!$D$142:$E$195,2,0))*1</f>
        <v>0</v>
      </c>
      <c r="ER51" s="95">
        <f t="shared" si="264"/>
        <v>0</v>
      </c>
      <c r="ES51" s="304">
        <f t="shared" si="250"/>
        <v>2</v>
      </c>
      <c r="ET51" s="251">
        <f>VLOOKUP(ES51,各项系数!$D$142:$E$195,2,0)*1</f>
        <v>2</v>
      </c>
      <c r="EU51" s="311">
        <f>((各项系数!$F$76/4*$EJ51^2*$EG51*$EH51*1*10^-7)*(1-$H51)*AA51)*(VLOOKUP($EY$9,各项系数!$D$4:$F$143,3,0))*各项系数!$J$4</f>
        <v>14.2641164587705</v>
      </c>
      <c r="EV51" s="312">
        <f>EU51*(VLOOKUP($EY$9,各项系数!$D$4:$F$143,2,0))</f>
        <v>934.299628049468</v>
      </c>
      <c r="EW51" s="324">
        <f>(IF($EO51=0,0,(各项系数!$F$76/4*$ER51^2*$EO51*$EP51*1*10^-7))*(1-$K51)*$AF51)*(VLOOKUP($EY$9,各项系数!$D$4:$F$143,3,0))*各项系数!$J$4</f>
        <v>0</v>
      </c>
      <c r="EX51" s="325">
        <f>EW51*(VLOOKUP($EY$9,各项系数!$D$4:$F$143,2,0))</f>
        <v>0</v>
      </c>
      <c r="EY51" s="251">
        <f>((各项系数!$F$76/4*$EJ51^2*$EG51*$EH51*1*10^-7)*(1-$H51)*AA51+IF($EO51=0,0,(各项系数!$F$76/4*$ER51^2*$EO51*$EP51*1*10^-7))*(1-$K51)*$AF51)*(VLOOKUP($EY$9,各项系数!$D$4:$F$143,3,0))*各项系数!$J$4</f>
        <v>14.2641164587705</v>
      </c>
      <c r="EZ51" s="123">
        <v>1</v>
      </c>
      <c r="FA51" s="251">
        <f t="shared" si="188"/>
        <v>14.2641164587705</v>
      </c>
      <c r="FB51" s="326">
        <f>FA51*(VLOOKUP($EY$9,各项系数!$D$4:$F$143,2,0))</f>
        <v>934.299628049468</v>
      </c>
      <c r="FC51" s="329"/>
      <c r="FD51" s="302">
        <f>各项系数!$F$76/4*($MN51^2-MK51^2)*10^-2*(VLOOKUP(L51,各项系数!$D$1:$F$143,3,0))*10^-3*10^2*$EG51*各项系数!$J$4</f>
        <v>0.696959309599619</v>
      </c>
      <c r="FE51" s="339">
        <f>FD51*VLOOKUP(L51,各项系数!$D$1:$F$143,2,0)</f>
        <v>7.10898495791611</v>
      </c>
      <c r="FF51" s="250">
        <f>各项系数!$F$76/4*($MO51^2-ML51^2)*10^-2*(VLOOKUP(L51,各项系数!$D$1:$F$143,3,0))*10^-3*10^2*$EO51*各项系数!$J$4</f>
        <v>0</v>
      </c>
      <c r="FG51" s="339">
        <f>FF51*VLOOKUP(L51,各项系数!$D$1:$F$143,2,0)</f>
        <v>0</v>
      </c>
      <c r="FH51" s="302">
        <f t="shared" si="142"/>
        <v>0.696959309599619</v>
      </c>
      <c r="FI51" s="123">
        <v>1</v>
      </c>
      <c r="FJ51" s="251">
        <f t="shared" si="189"/>
        <v>0.696959309599619</v>
      </c>
      <c r="FK51" s="339">
        <f>FJ51*VLOOKUP(L51,各项系数!$D$1:$F$143,2,0)</f>
        <v>7.10898495791611</v>
      </c>
      <c r="FL51" s="304"/>
      <c r="FM51" s="127"/>
      <c r="FN51" s="251"/>
      <c r="FO51" s="339"/>
      <c r="FP51" s="364">
        <f t="shared" si="190"/>
        <v>0.696959309599619</v>
      </c>
      <c r="FQ51" s="364">
        <f t="shared" si="191"/>
        <v>7.10898495791611</v>
      </c>
      <c r="FR51" s="365">
        <f>各项系数!$F$76/4*($MQ51^2-$MN51^2*$EG51-$MO51^2*$EO51)*10^-2</f>
        <v>27.1570432817429</v>
      </c>
      <c r="FS51" s="366">
        <f t="shared" si="143"/>
        <v>0.05</v>
      </c>
      <c r="FT51" s="367">
        <f t="shared" si="40"/>
        <v>1.35785216408715</v>
      </c>
      <c r="FU51" s="388">
        <f>$FT51*(VLOOKUP($FT$9,各项系数!$D$1:$F$143,3,0))*10^-3*10^2*各项系数!$J$55</f>
        <v>0.162127548392005</v>
      </c>
      <c r="FV51" s="389">
        <v>1</v>
      </c>
      <c r="FW51" s="390">
        <f t="shared" si="192"/>
        <v>0.162127548392005</v>
      </c>
      <c r="FX51" s="367">
        <f>FW51*(VLOOKUP($FT$9,各项系数!$D$1:$F$143,2,0))</f>
        <v>0.486382645176015</v>
      </c>
      <c r="FY51" s="388">
        <f>IF($BK51&lt;&gt;$FY$9,0,各项系数!$F$76/4*($MS51^2-$MQ51^2)*10^-2*(VLOOKUP($FY$9,各项系数!$D$1:$F$143,3,0))*10^-3*10^2)*各项系数!$J$4</f>
        <v>0</v>
      </c>
      <c r="FZ51" s="389">
        <v>1</v>
      </c>
      <c r="GA51" s="390">
        <f t="shared" si="193"/>
        <v>0</v>
      </c>
      <c r="GB51" s="367">
        <f>GA51*(VLOOKUP($FY$9,各项系数!$D$1:$F$143,2,0))</f>
        <v>0</v>
      </c>
      <c r="GC51" s="388">
        <f>IF($BK51&lt;&gt;$GC$9,0,各项系数!$F$76/4*($MS51^2-$MQ51^2)*10^-2*(VLOOKUP($GC$9,各项系数!$D$1:$F$143,3,0))*10^-3*10^2)*各项系数!$J$4</f>
        <v>-0.00279682474883358</v>
      </c>
      <c r="GD51" s="389">
        <v>1</v>
      </c>
      <c r="GE51" s="390">
        <f t="shared" si="194"/>
        <v>-0.00279682474883358</v>
      </c>
      <c r="GF51" s="367">
        <f>GE51*(VLOOKUP($GC$9,各项系数!$D$1:$F$143,2,0))</f>
        <v>-0.0360790392599531</v>
      </c>
      <c r="GG51" s="388">
        <f>IF($BK51&lt;&gt;$GG$9,0,各项系数!$F$76/4*($MS51^2-$MQ51^2)*10^-2*(VLOOKUP($GG$9,各项系数!$D$1:$F$143,3,0))*10^-3*10^2)*各项系数!$J$4</f>
        <v>0</v>
      </c>
      <c r="GH51" s="389">
        <v>1</v>
      </c>
      <c r="GI51" s="390">
        <f t="shared" si="195"/>
        <v>0</v>
      </c>
      <c r="GJ51" s="367">
        <f>GI51*(VLOOKUP($GG$9,各项系数!$D$1:$F$143,2,0))</f>
        <v>0</v>
      </c>
      <c r="GK51" s="388">
        <f>IF($BK51&lt;&gt;$GK$9,0,各项系数!$F$76/4*($MS51^2-$MQ51^2)*10^-2*(VLOOKUP($GK$9,各项系数!$D$1:$F$143,3,0))*10^-3*10^2)*各项系数!$J$4</f>
        <v>0</v>
      </c>
      <c r="GL51" s="389">
        <v>1</v>
      </c>
      <c r="GM51" s="390">
        <f t="shared" si="196"/>
        <v>0</v>
      </c>
      <c r="GN51" s="367">
        <f>GM51*(VLOOKUP($GK$9,各项系数!$D$1:$F$143,2,0))</f>
        <v>0</v>
      </c>
      <c r="GO51" s="390">
        <f t="shared" si="197"/>
        <v>-0.00279682474883358</v>
      </c>
      <c r="GP51" s="390">
        <f t="shared" si="198"/>
        <v>-0.0360790392599531</v>
      </c>
      <c r="GQ51" s="406">
        <f>各项系数!$F$76/4*($MU51^2-$MS51^2)*10^-2*(VLOOKUP($S51,各项系数!$D$1:$F$143,3,0))*10^-3*10^2*各项系数!$J$4</f>
        <v>1.53793864388874</v>
      </c>
      <c r="GR51" s="389">
        <v>1</v>
      </c>
      <c r="GS51" s="390">
        <f t="shared" si="199"/>
        <v>1.53793864388874</v>
      </c>
      <c r="GT51" s="390">
        <f t="shared" si="200"/>
        <v>0</v>
      </c>
      <c r="GU51" s="390">
        <f>ROUND($GS51*(VLOOKUP($S51,各项系数!$D$1:$F$143,2,0))+$E$3*GS51,GT51)</f>
        <v>9</v>
      </c>
      <c r="GV51" s="406">
        <f>各项系数!$F$76/4*($MT51^2-$MS51^2)*10^-2*(VLOOKUP($GV$9,各项系数!$D$1:$F$143,3,0))*10^-3*10^2*各项系数!$J$4*PI()/4*R51</f>
        <v>0.116241185010658</v>
      </c>
      <c r="GW51" s="389">
        <v>1</v>
      </c>
      <c r="GX51" s="390">
        <f t="shared" si="201"/>
        <v>0.116241185010658</v>
      </c>
      <c r="GY51" s="390">
        <f>$GX51*(VLOOKUP($GV$9,各项系数!$D$1:$F$143,2,0))</f>
        <v>7.84627998821939</v>
      </c>
      <c r="GZ51" s="406">
        <f>各项系数!$F$76/4*($MV51^2-$MS51^2)*10^-2*(VLOOKUP($GZ$9,各项系数!$D$1:$F$143,3,0))*10^-3*10^2*各项系数!$J$4</f>
        <v>1.45629967556741</v>
      </c>
      <c r="HA51" s="389">
        <v>1</v>
      </c>
      <c r="HB51" s="390">
        <f t="shared" si="144"/>
        <v>1.45629967556741</v>
      </c>
      <c r="HC51" s="390">
        <f>HB51*(VLOOKUP($GZ$9,各项系数!$D$1:$F$143,2,0))</f>
        <v>24.7570944846459</v>
      </c>
      <c r="HD51" s="406">
        <f>各项系数!$F$76/4*($MW51^2-$MT51^2)*10^-2*(VLOOKUP($HD$9,各项系数!$D$1:$F$143,3,0))*10^-3*10^2*各项系数!$J$4</f>
        <v>1.45898293498558</v>
      </c>
      <c r="HE51" s="389">
        <v>1</v>
      </c>
      <c r="HF51" s="390">
        <f t="shared" si="145"/>
        <v>1.45898293498558</v>
      </c>
      <c r="HG51" s="390">
        <f>HF51*(VLOOKUP($HD$9,各项系数!$D$1:$F$143,2,0))</f>
        <v>24.8027098947549</v>
      </c>
      <c r="HH51" s="406">
        <f>各项系数!$F$76/4*($MV51^2-$MS51^2)*10^-2*(VLOOKUP($HH$9,各项系数!$D$1:$F$143,3,0))*10^-3*10^2*各项系数!$J$4</f>
        <v>1.45629967556741</v>
      </c>
      <c r="HI51" s="420">
        <v>1</v>
      </c>
      <c r="HJ51" s="390">
        <f t="shared" si="146"/>
        <v>1.45629967556741</v>
      </c>
      <c r="HK51" s="390">
        <f>HJ51*(VLOOKUP($HH$9,各项系数!$D$1:$F$143,2,0))</f>
        <v>24.7570944846459</v>
      </c>
      <c r="HL51" s="406">
        <f>各项系数!$F$76/4*($MW51^2-$MT51^2)*10^-2*(VLOOKUP($HL$9,各项系数!$D$1:$F$143,3,0))*10^-3*10^2*各项系数!$J$4</f>
        <v>1.45898293498558</v>
      </c>
      <c r="HM51" s="420">
        <v>1</v>
      </c>
      <c r="HN51" s="390">
        <f t="shared" si="147"/>
        <v>1.45898293498558</v>
      </c>
      <c r="HO51" s="390">
        <f>HN51*(VLOOKUP($HL$9,各项系数!$D$1:$F$143,2,0))</f>
        <v>24.8027098947549</v>
      </c>
      <c r="HP51" s="406">
        <f>各项系数!$F$76/4*($MV51^2-$MS51^2)*10^-2*(VLOOKUP(AN51,各项系数!$D$1:$F$143,3,0))*10^-3*10^2*各项系数!$J$4</f>
        <v>1.4763865676442</v>
      </c>
      <c r="HQ51" s="389">
        <v>1</v>
      </c>
      <c r="HR51" s="390">
        <f t="shared" si="202"/>
        <v>1.4763865676442</v>
      </c>
      <c r="HS51" s="390">
        <f>HR51*(VLOOKUP(AN51,各项系数!$D$1:$F$143,2,0))</f>
        <v>14.763865676442</v>
      </c>
      <c r="HT51" s="406">
        <f>各项系数!$F$76/4*($MW51^2-$MT51^2)*10^-2*(VLOOKUP(AN51,各项系数!$D$1:$F$143,3,0))*10^-3*10^2*各项系数!$J$4</f>
        <v>1.47910683753711</v>
      </c>
      <c r="HU51" s="389">
        <v>1</v>
      </c>
      <c r="HV51" s="390">
        <f t="shared" si="203"/>
        <v>1.47910683753711</v>
      </c>
      <c r="HW51" s="390">
        <f>HV51*(VLOOKUP(AN51,各项系数!$D$1:$F$143,2,0))</f>
        <v>14.7910683753711</v>
      </c>
      <c r="HX51" s="406">
        <f>各项系数!$F$76/4*($MV51^2-$MS51^2)*10^-2*(VLOOKUP($HX$9,各项系数!$D$1:$F$143,3,0))*10^-3*10^2*各项系数!$J$4</f>
        <v>1.4763865676442</v>
      </c>
      <c r="HY51" s="420">
        <v>1</v>
      </c>
      <c r="HZ51" s="390">
        <f t="shared" si="204"/>
        <v>1.4763865676442</v>
      </c>
      <c r="IA51" s="390">
        <f>HZ51*(VLOOKUP($HX$9,各项系数!$D$1:$F$143,2,0))</f>
        <v>16.2402522440862</v>
      </c>
      <c r="IB51" s="406">
        <f>各项系数!$F$76/4*($MW51^2-$MT51^2)*10^-2*(VLOOKUP($IB$9,各项系数!$D$1:$F$143,3,0))*10^-3*10^2*各项系数!$J$4</f>
        <v>1.47910683753711</v>
      </c>
      <c r="IC51" s="420">
        <v>1</v>
      </c>
      <c r="ID51" s="390">
        <f t="shared" si="205"/>
        <v>1.47910683753711</v>
      </c>
      <c r="IE51" s="390">
        <f>ID51*(VLOOKUP($IB$9,各项系数!$D$1:$F$143,2,0))</f>
        <v>16.2701752129082</v>
      </c>
      <c r="IF51" s="395"/>
      <c r="IG51" s="406">
        <f t="shared" si="148"/>
        <v>0.103190848523142</v>
      </c>
      <c r="IH51" s="389">
        <v>1</v>
      </c>
      <c r="II51" s="390">
        <f t="shared" si="206"/>
        <v>0.103190848523142</v>
      </c>
      <c r="IJ51" s="390">
        <f>II51*(VLOOKUP($IG$8,各项系数!$D$1:$F$143,2,0))</f>
        <v>2.57977121307855</v>
      </c>
      <c r="IK51" s="406">
        <f>(各项系数!$F$76/4*($MX51^2-$MK51^2)*$EG51)*10^-2*(VLOOKUP($IG$8,各项系数!$D$1:$F$143,3,0))*10^-3*10^2*各项系数!$J$4</f>
        <v>0.103190848523142</v>
      </c>
      <c r="IL51" s="389">
        <f>IK51*(VLOOKUP($IG$8,各项系数!$D$1:$F$143,2,0))</f>
        <v>2.57977121307855</v>
      </c>
      <c r="IM51" s="390">
        <f>(各项系数!$F$76/4*(($MM51+3*$X51)^2-MM51^2)*$EO51)*10^-2*(VLOOKUP($IG$8,各项系数!$D$1:$F$143,3,0))*10^-3*10^2*各项系数!$J$4</f>
        <v>0</v>
      </c>
      <c r="IN51" s="389">
        <f>IM51*(VLOOKUP($IG$8,各项系数!$D$1:$F$143,2,0))</f>
        <v>0</v>
      </c>
      <c r="IO51" s="406">
        <f>各项系数!$F$76/4*($MZ51^2-$MX51^2)*10^-2*(VLOOKUP(L51,各项系数!$D$1:$F$143,3,0))*10^-3*10^2*$ES51*各项系数!$J$4</f>
        <v>0.707687345856803</v>
      </c>
      <c r="IP51" s="389">
        <v>1</v>
      </c>
      <c r="IQ51" s="390">
        <f t="shared" si="207"/>
        <v>0.707687345856803</v>
      </c>
      <c r="IR51" s="367">
        <f>IQ51*(VLOOKUP(L51,各项系数!$D$1:$F$143,2,0))</f>
        <v>7.21841092773939</v>
      </c>
      <c r="IS51" s="406">
        <f>IF($L51&lt;&gt;$IS$9,0,各项系数!$F$76/4*($MZ51^2-$MX51^2)*10^-2*各项系数!$F$12*10^-3*10^2)*$ES51*各项系数!$J$4</f>
        <v>0</v>
      </c>
      <c r="IT51" s="396">
        <v>1</v>
      </c>
      <c r="IU51" s="390">
        <f t="shared" si="208"/>
        <v>0</v>
      </c>
      <c r="IV51" s="367">
        <f>IU51*各项系数!$E$12</f>
        <v>0</v>
      </c>
      <c r="IW51" s="388">
        <f t="shared" si="209"/>
        <v>0.707687345856803</v>
      </c>
      <c r="IX51" s="388">
        <f t="shared" si="210"/>
        <v>7.21841092773939</v>
      </c>
      <c r="IY51" s="447">
        <f>各项系数!$F$76/4*($NB51^2-$MZ51^2*$EG51-$NA51^2*$EO51)*10^-2</f>
        <v>27.9464569425391</v>
      </c>
      <c r="IZ51" s="366">
        <f t="shared" si="231"/>
        <v>0.05</v>
      </c>
      <c r="JA51" s="367">
        <f t="shared" si="64"/>
        <v>1.39732284712696</v>
      </c>
      <c r="JB51" s="364">
        <f>IF($DE51&lt;&gt;$JB$9,0,$JA51*各项系数!$F$32*10^-3*10^2)*各项系数!$J$4</f>
        <v>0</v>
      </c>
      <c r="JC51" s="123">
        <v>1</v>
      </c>
      <c r="JD51" s="251">
        <f t="shared" si="211"/>
        <v>0</v>
      </c>
      <c r="JE51" s="339">
        <f>JD51*各项系数!$E$32</f>
        <v>0</v>
      </c>
      <c r="JF51" s="364">
        <f>IF($DE51&lt;&gt;$JF$9,0,$JA51*VLOOKUP($JF$9,各项系数!$D$4:$F$540,2,0)*10^-3*10^2)*各项系数!$J$4</f>
        <v>0.695168116445661</v>
      </c>
      <c r="JG51" s="123">
        <v>1</v>
      </c>
      <c r="JH51" s="251">
        <f t="shared" si="66"/>
        <v>0.695168116445661</v>
      </c>
      <c r="JI51" s="339">
        <f>JH51*VLOOKUP($JF$9,各项系数!$D$4:$F$540,3,0)</f>
        <v>0.834201739734793</v>
      </c>
      <c r="JJ51" s="364">
        <f t="shared" si="212"/>
        <v>0.695168116445661</v>
      </c>
      <c r="JK51" s="251">
        <f t="shared" si="213"/>
        <v>0.834201739734793</v>
      </c>
      <c r="JL51" s="364">
        <f>IF($DF51&lt;&gt;$JL$9,0,各项系数!$F$76/4*($NE51^2-$NC51^2)*10^-2*各项系数!$F$39*10^-3*10^2)*各项系数!$J$4</f>
        <v>0.00155913251385371</v>
      </c>
      <c r="JM51" s="123">
        <v>1</v>
      </c>
      <c r="JN51" s="251">
        <f t="shared" si="214"/>
        <v>0.00155913251385371</v>
      </c>
      <c r="JO51" s="339">
        <f>JN51*各项系数!$E$39</f>
        <v>0.0311826502770741</v>
      </c>
      <c r="JP51" s="364">
        <f>IF($DF51&lt;&gt;$JP$9,0,各项系数!$F$76/4*($NE51^2-$NC51^2)*10^-2*各项系数!$F$36*10^-3*10^2)*各项系数!$J$4</f>
        <v>0</v>
      </c>
      <c r="JQ51" s="123">
        <v>1</v>
      </c>
      <c r="JR51" s="251">
        <f t="shared" si="215"/>
        <v>0</v>
      </c>
      <c r="JS51" s="339">
        <f>JR51*各项系数!$E$36</f>
        <v>0</v>
      </c>
      <c r="JT51" s="364">
        <f>IF($DF51&lt;&gt;$JT$9,0,各项系数!$F$76/4*($NE51^2-$NC51^2)*10^-2*各项系数!$F$40*10^-3*10^2)*各项系数!$J$4</f>
        <v>0</v>
      </c>
      <c r="JU51" s="123">
        <v>1</v>
      </c>
      <c r="JV51" s="251">
        <f t="shared" si="216"/>
        <v>0</v>
      </c>
      <c r="JW51" s="339">
        <f>JV51*各项系数!$E$40</f>
        <v>0</v>
      </c>
      <c r="JX51" s="364">
        <f>IF($DF51&lt;&gt;$JX$9,0,各项系数!$F$76/4*($NE51^2-$NC51^2)*10^-2*各项系数!$F$38*10^-3*10^2)*各项系数!$J$4</f>
        <v>0</v>
      </c>
      <c r="JY51" s="123">
        <v>1</v>
      </c>
      <c r="JZ51" s="251">
        <f t="shared" si="217"/>
        <v>0</v>
      </c>
      <c r="KA51" s="339">
        <f>JZ51*各项系数!$E$38</f>
        <v>0</v>
      </c>
      <c r="KB51" s="364">
        <f>IF($DF51&lt;&gt;$KB$9,0,各项系数!$F$76/4*($NE51^2-$NC51^2)*10^-2*各项系数!$F$41*10^-3*10^2)*各项系数!$J$4</f>
        <v>0</v>
      </c>
      <c r="KC51" s="123">
        <v>1</v>
      </c>
      <c r="KD51" s="251">
        <f t="shared" si="218"/>
        <v>0</v>
      </c>
      <c r="KE51" s="339">
        <f>KD51*各项系数!$E$41</f>
        <v>0</v>
      </c>
      <c r="KF51" s="251">
        <f t="shared" si="219"/>
        <v>0.00155913251385371</v>
      </c>
      <c r="KG51" s="251">
        <f t="shared" si="220"/>
        <v>0.0311826502770741</v>
      </c>
      <c r="KH51" s="302">
        <f>各项系数!$F$76/4*($NG51^2-$NE51^2)*10^-2*各项系数!$F$44*10^-3*10^2*各项系数!$J$4*0.75*$U51</f>
        <v>2.34158946048387</v>
      </c>
      <c r="KI51" s="123">
        <v>1</v>
      </c>
      <c r="KJ51" s="251">
        <f t="shared" si="221"/>
        <v>2.34158946048387</v>
      </c>
      <c r="KK51" s="251">
        <f>ROUND(KJ51*各项系数!$E$43,GT51)</f>
        <v>14</v>
      </c>
      <c r="KL51" s="302">
        <f>各项系数!$F$76/4*($NF51^2-$NE51^2)*10^-2*各项系数!$F$46*10^-3*10^2*各项系数!$J$4*PI()/4*R51</f>
        <v>0.118002796550525</v>
      </c>
      <c r="KM51" s="123">
        <v>1</v>
      </c>
      <c r="KN51" s="251">
        <f t="shared" si="222"/>
        <v>0.118002796550525</v>
      </c>
      <c r="KO51" s="251">
        <f>KN51*各项系数!$E$46</f>
        <v>7.96518876716041</v>
      </c>
      <c r="KP51" s="302">
        <f>各项系数!$F$76/4*($NH51^2-$NE51^2)*10^-2*(VLOOKUP($KP$9,各项系数!$D$1:$F$143,3,0))*10^-3*10^2*各项系数!$J$4</f>
        <v>1.47744957256102</v>
      </c>
      <c r="KQ51" s="123">
        <v>1</v>
      </c>
      <c r="KR51" s="251">
        <f t="shared" si="150"/>
        <v>1.47744957256102</v>
      </c>
      <c r="KS51" s="251">
        <f>KR51*(VLOOKUP($KP$9,各项系数!$D$1:$F$143,2,0))</f>
        <v>25.1166427335374</v>
      </c>
      <c r="KT51" s="302">
        <f>各项系数!$F$76/4*($NI51^2-$NF51^2)*10^-2*(VLOOKUP($KT$9,各项系数!$D$1:$F$143,3,0))*10^-3*10^2*各项系数!$J$4</f>
        <v>1.4801328319792</v>
      </c>
      <c r="KU51" s="123">
        <v>1</v>
      </c>
      <c r="KV51" s="251">
        <f t="shared" si="151"/>
        <v>1.4801328319792</v>
      </c>
      <c r="KW51" s="251">
        <f>KV51*(VLOOKUP($KT$9,各项系数!$D$1:$F$143,2,0))</f>
        <v>25.1622581436463</v>
      </c>
      <c r="KX51" s="251">
        <f>各项系数!$F$76/4*($NH51^2-$NE51^2)*10^-2*(VLOOKUP($KX$9,各项系数!$D$1:$F$143,3,0))*10^-3*10^2*各项系数!$J$4</f>
        <v>1.47744957256102</v>
      </c>
      <c r="KY51" s="479">
        <v>1</v>
      </c>
      <c r="KZ51" s="251">
        <f t="shared" si="152"/>
        <v>1.47744957256102</v>
      </c>
      <c r="LA51" s="251">
        <f>KZ51*(VLOOKUP($KX$9,各项系数!$D$1:$F$143,2,0))</f>
        <v>25.1166427335374</v>
      </c>
      <c r="LB51" s="251">
        <f>各项系数!$F$76/4*($NI51^2-$NF51^2)*10^-2*(VLOOKUP($LB$9,各项系数!$D$1:$F$143,3,0))*10^-3*10^2*各项系数!$J$4</f>
        <v>1.4801328319792</v>
      </c>
      <c r="LC51" s="479">
        <v>1</v>
      </c>
      <c r="LD51" s="251">
        <f t="shared" si="153"/>
        <v>1.4801328319792</v>
      </c>
      <c r="LE51" s="251">
        <f>LD51*(VLOOKUP($LB$9,各项系数!$D$1:$F$143,2,0))</f>
        <v>25.1622581436463</v>
      </c>
      <c r="LF51" s="302">
        <f>各项系数!$F$76/4*($NH51^2-$NE51^2)*10^-2*(VLOOKUP(AN51,各项系数!$D$1:$F$143,3,0))*10^-3*10^2*各项系数!$J$4</f>
        <v>1.49782818735497</v>
      </c>
      <c r="LG51" s="123">
        <v>1</v>
      </c>
      <c r="LH51" s="251">
        <f t="shared" si="223"/>
        <v>1.49782818735497</v>
      </c>
      <c r="LI51" s="251">
        <f>LH51*(VLOOKUP(AN51,各项系数!$D$1:$F$143,2,0))</f>
        <v>14.9782818735497</v>
      </c>
      <c r="LJ51" s="302">
        <f>各项系数!$F$76/4*($NI51^2-$NF51^2)*10^-2*(VLOOKUP(AN51,各项系数!$D$1:$F$143,3,0))*10^-3*10^2*各项系数!$J$4</f>
        <v>1.50054845724787</v>
      </c>
      <c r="LK51" s="123">
        <v>1</v>
      </c>
      <c r="LL51" s="251">
        <f t="shared" si="224"/>
        <v>1.50054845724787</v>
      </c>
      <c r="LM51" s="251">
        <f>LL51*(VLOOKUP(AN51,各项系数!$D$1:$F$143,2,0))</f>
        <v>15.0054845724787</v>
      </c>
      <c r="LN51" s="251">
        <f>各项系数!$F$76/4*($NH51^2-$NE51^2)*10^-2*(VLOOKUP($LN$9,各项系数!$D$1:$F$143,3,0))*10^-3*10^2*各项系数!$J$4</f>
        <v>1.49782818735497</v>
      </c>
      <c r="LO51" s="479">
        <v>1</v>
      </c>
      <c r="LP51" s="251">
        <f t="shared" si="225"/>
        <v>1.49782818735497</v>
      </c>
      <c r="LQ51" s="251">
        <f>LP51*(VLOOKUP($LN$9,各项系数!$D$1:$F$143,2,0))</f>
        <v>16.4761100609047</v>
      </c>
      <c r="LR51" s="251">
        <f>各项系数!$F$76/4*($NI51^2-$NF51^2)*10^-2*(VLOOKUP($LR$9,各项系数!$D$1:$F$143,3,0))*10^-3*10^2*各项系数!$J$4</f>
        <v>1.50054845724787</v>
      </c>
      <c r="LS51" s="479">
        <v>1</v>
      </c>
      <c r="LT51" s="251">
        <f t="shared" si="226"/>
        <v>1.50054845724787</v>
      </c>
      <c r="LU51" s="251">
        <f>LT51*(VLOOKUP($LR$9,各项系数!$D$1:$F$143,2,0))</f>
        <v>16.5060330297266</v>
      </c>
      <c r="LV51" s="499">
        <f t="shared" si="154"/>
        <v>2078.92103937</v>
      </c>
      <c r="LW51" s="499">
        <f t="shared" si="155"/>
        <v>1565.60720249</v>
      </c>
      <c r="LX51" s="499">
        <f t="shared" si="156"/>
        <v>44.6474299566331</v>
      </c>
      <c r="LY51" s="515">
        <f t="shared" si="157"/>
        <v>513.31383688</v>
      </c>
      <c r="LZ51" s="516">
        <f t="shared" si="86"/>
        <v>1</v>
      </c>
      <c r="MA51" s="517">
        <f t="shared" si="87"/>
        <v>2078.92103937</v>
      </c>
      <c r="MB51" s="517">
        <f t="shared" si="158"/>
        <v>36.37969542</v>
      </c>
      <c r="MC51" s="499">
        <f t="shared" si="159"/>
        <v>0</v>
      </c>
      <c r="MD51" s="499">
        <f t="shared" si="160"/>
        <v>0</v>
      </c>
      <c r="ME51" s="499">
        <f t="shared" si="161"/>
        <v>0</v>
      </c>
      <c r="MF51" s="499">
        <f t="shared" si="162"/>
        <v>0</v>
      </c>
      <c r="MG51" s="516">
        <f t="shared" si="163"/>
        <v>1</v>
      </c>
      <c r="MH51" s="517">
        <f t="shared" si="88"/>
        <v>0</v>
      </c>
      <c r="MI51" s="517">
        <f t="shared" si="164"/>
        <v>0</v>
      </c>
      <c r="MJ51" s="251">
        <f t="shared" si="89"/>
        <v>36.37969542</v>
      </c>
      <c r="MK51" s="251">
        <f t="shared" si="165"/>
        <v>36.37969542</v>
      </c>
      <c r="ML51" s="251">
        <f t="shared" si="227"/>
        <v>0</v>
      </c>
      <c r="MM51" s="251">
        <f t="shared" si="91"/>
        <v>0</v>
      </c>
      <c r="MN51" s="251">
        <f t="shared" si="92"/>
        <v>41.57969542</v>
      </c>
      <c r="MO51" s="251">
        <f t="shared" si="166"/>
        <v>0</v>
      </c>
      <c r="MP51" s="251">
        <f t="shared" si="167"/>
        <v>83.15939084</v>
      </c>
      <c r="MQ51" s="251">
        <f t="shared" si="228"/>
        <v>83.15939084</v>
      </c>
      <c r="MR51" s="314">
        <f t="shared" si="168"/>
        <v>82.96165219</v>
      </c>
      <c r="MS51" s="530">
        <f t="shared" si="94"/>
        <v>83.13765219</v>
      </c>
      <c r="MT51" s="530">
        <f t="shared" si="95"/>
        <v>83.29765219</v>
      </c>
      <c r="MU51" s="530">
        <f t="shared" si="232"/>
        <v>84.63765219</v>
      </c>
      <c r="MV51" s="530">
        <f t="shared" si="97"/>
        <v>90.53765219</v>
      </c>
      <c r="MW51" s="530">
        <f t="shared" si="98"/>
        <v>90.69765219</v>
      </c>
      <c r="MX51" s="326">
        <f t="shared" si="233"/>
        <v>36.97969542</v>
      </c>
      <c r="MY51" s="326">
        <f t="shared" si="100"/>
        <v>0</v>
      </c>
      <c r="MZ51" s="251">
        <f t="shared" si="101"/>
        <v>42.17969542</v>
      </c>
      <c r="NA51" s="251">
        <f t="shared" si="102"/>
        <v>0</v>
      </c>
      <c r="NB51" s="251">
        <f t="shared" si="169"/>
        <v>84.35939084</v>
      </c>
      <c r="NC51" s="326">
        <f t="shared" si="229"/>
        <v>84.35939084</v>
      </c>
      <c r="ND51" s="314">
        <f t="shared" si="234"/>
        <v>84.1587988</v>
      </c>
      <c r="NE51" s="537">
        <f t="shared" si="235"/>
        <v>84.3987988</v>
      </c>
      <c r="NF51" s="530">
        <f t="shared" si="106"/>
        <v>84.5587988</v>
      </c>
      <c r="NG51" s="538">
        <f t="shared" si="236"/>
        <v>85.8987988</v>
      </c>
      <c r="NH51" s="326">
        <f t="shared" si="108"/>
        <v>91.7987988</v>
      </c>
      <c r="NI51" s="530">
        <f t="shared" si="109"/>
        <v>91.9587988</v>
      </c>
      <c r="NK51" s="539">
        <f t="shared" si="110"/>
        <v>16.5967930596575</v>
      </c>
      <c r="NL51" s="539">
        <f t="shared" si="111"/>
        <v>956.622782289742</v>
      </c>
      <c r="NM51" s="539">
        <f t="shared" si="112"/>
        <v>16.5967930596575</v>
      </c>
      <c r="NN51" s="539">
        <f t="shared" si="113"/>
        <v>958.099168857386</v>
      </c>
      <c r="NO51" s="539">
        <f t="shared" si="114"/>
        <v>17.2695500894649</v>
      </c>
      <c r="NP51" s="539">
        <f t="shared" si="115"/>
        <v>959.941476453847</v>
      </c>
      <c r="NQ51" s="539">
        <f t="shared" si="116"/>
        <v>17.2695500894649</v>
      </c>
      <c r="NR51" s="539">
        <f t="shared" si="117"/>
        <v>961.439304641202</v>
      </c>
      <c r="NS51" s="539">
        <f t="shared" si="118"/>
        <v>16.7130342446682</v>
      </c>
      <c r="NT51" s="539">
        <f t="shared" si="119"/>
        <v>16.7130342446682</v>
      </c>
      <c r="NU51" s="539">
        <f t="shared" si="120"/>
        <v>17.3875528860155</v>
      </c>
      <c r="NV51" s="539">
        <f t="shared" si="121"/>
        <v>17.3875528860155</v>
      </c>
      <c r="NW51">
        <f t="shared" si="122"/>
        <v>18.1347317035462</v>
      </c>
      <c r="NX51">
        <f>各项系数!$M$9*NK51</f>
        <v>4.97903791789725</v>
      </c>
      <c r="NY51">
        <f t="shared" si="123"/>
        <v>16.7130342446682</v>
      </c>
    </row>
    <row r="52" customHeight="1" spans="1:389">
      <c r="A52" s="91">
        <v>14</v>
      </c>
      <c r="B52" s="86">
        <v>1</v>
      </c>
      <c r="C52" s="83"/>
      <c r="D52" s="69" t="s">
        <v>197</v>
      </c>
      <c r="E52" s="70">
        <f t="shared" si="255"/>
        <v>15.29724312</v>
      </c>
      <c r="F52" s="84">
        <f>$F$20</f>
        <v>131.130294998433</v>
      </c>
      <c r="G52" s="74"/>
      <c r="H52" s="78"/>
      <c r="I52" s="78"/>
      <c r="J52" s="78"/>
      <c r="K52" s="78"/>
      <c r="L52" s="118" t="s">
        <v>467</v>
      </c>
      <c r="M52" s="124">
        <f t="shared" si="2"/>
        <v>0.7</v>
      </c>
      <c r="N52" s="124">
        <f t="shared" si="252"/>
        <v>0</v>
      </c>
      <c r="O52" s="69">
        <f t="shared" si="265"/>
        <v>0.08</v>
      </c>
      <c r="P52" s="120">
        <v>0.1</v>
      </c>
      <c r="Q52" s="162">
        <f t="shared" si="253"/>
        <v>0.1</v>
      </c>
      <c r="R52" s="86">
        <v>0.8</v>
      </c>
      <c r="S52" s="171" t="str">
        <f>各项系数!$D$43</f>
        <v>钢带</v>
      </c>
      <c r="T52" s="74">
        <v>0.2</v>
      </c>
      <c r="U52" s="78">
        <v>2</v>
      </c>
      <c r="V52" s="181"/>
      <c r="W52" s="124">
        <v>1.8</v>
      </c>
      <c r="X52" s="164">
        <f t="shared" si="254"/>
        <v>0.2</v>
      </c>
      <c r="Y52" s="219"/>
      <c r="Z52" s="220"/>
      <c r="AA52" s="217">
        <f>$AA$20</f>
        <v>1.011</v>
      </c>
      <c r="AB52" s="186">
        <f>PI()*EJ52*EJ52/4*EH52*(1-H52)*AA52*各项系数!$F$5*各项系数!$J$4*10^-7</f>
        <v>0.0845415089527171</v>
      </c>
      <c r="AC52" s="186">
        <f t="shared" si="256"/>
        <v>131.130294998433</v>
      </c>
      <c r="AD52" s="186">
        <f t="shared" si="5"/>
        <v>9.55751863397041</v>
      </c>
      <c r="AE52" s="186">
        <f>POWER(4*EU52/PI()/EG52/10^-7/EH52/(1-H52)/各项系数!$F$5/各项系数!$J$4,0.5)</f>
        <v>131.849539109191</v>
      </c>
      <c r="AF52" s="218">
        <v>1</v>
      </c>
      <c r="AG52" s="85">
        <f>IF(EM52=0,0,PI()*ER52*ER52/4*EP52*(1-K52)*(1+AF52)*各项系数!$F$5*各项系数!$J$4*10^-7)</f>
        <v>0</v>
      </c>
      <c r="AH52" s="85">
        <f t="shared" si="257"/>
        <v>0</v>
      </c>
      <c r="AI52" s="85">
        <f t="shared" si="128"/>
        <v>0</v>
      </c>
      <c r="AJ52" s="85">
        <f>IF(OR(EP52="",EP52=0),0,POWER(4*EW52/PI()/EO52/10^-7/EP52/(1-K52)/各项系数!$F$5/各项系数!$J$4,0.5))</f>
        <v>0</v>
      </c>
      <c r="AK52" s="85" t="str">
        <f t="shared" si="8"/>
        <v>√</v>
      </c>
      <c r="AL52" s="85">
        <f t="shared" si="258"/>
        <v>18.8720279767045</v>
      </c>
      <c r="AM52" s="250">
        <f t="shared" si="259"/>
        <v>10</v>
      </c>
      <c r="AN52" s="118" t="s">
        <v>486</v>
      </c>
      <c r="AO52" s="259">
        <f>AP52+各项系数!$M$9*$NK52</f>
        <v>18.5019882124554</v>
      </c>
      <c r="AP52" s="259">
        <f>AQ52*(1+$BI52+(VLOOKUP($AM52,$A$12:$B$323,2,0))+各项系数!$J$6+各项系数!$M$5)*(1+$E$2)</f>
        <v>18.3680917247906</v>
      </c>
      <c r="AQ52" s="260">
        <f>AR52+各项系数!$L$9*$NK52</f>
        <v>18.7429507395822</v>
      </c>
      <c r="AR52" s="260">
        <f>AS52*(1+$BJ52+各项系数!$J$5+各项系数!$L$5)</f>
        <v>18.6090542519174</v>
      </c>
      <c r="AS52" s="260">
        <f t="shared" si="129"/>
        <v>18.2441708352132</v>
      </c>
      <c r="AT52" s="259">
        <f>AU52+各项系数!$M$9*$NM52</f>
        <v>19.2573236444203</v>
      </c>
      <c r="AU52" s="259">
        <f>AV52*(1+$BI52+(VLOOKUP($AM52,$A$12:$B$323,2,0))+各项系数!$J$6+各项系数!$M$5)*(1+$E$2)</f>
        <v>19.1234271567555</v>
      </c>
      <c r="AV52" s="260">
        <f>AW52+各项系数!$L$9*$NM52</f>
        <v>19.5137011803628</v>
      </c>
      <c r="AW52" s="260">
        <f>AX52*(1+$BJ52+各项系数!$J$5+各项系数!$L$5)</f>
        <v>19.379804692698</v>
      </c>
      <c r="AX52" s="260">
        <f t="shared" si="130"/>
        <v>18.9998085222529</v>
      </c>
      <c r="AY52" s="259">
        <f>AZ52+各项系数!$M$9*$NS52</f>
        <v>19.6349763301676</v>
      </c>
      <c r="AZ52" s="259">
        <f>BA52*(1+$BI52+(VLOOKUP($AM52,$A$12:$B$214,2,0))+各项系数!$J$6+各项系数!$M$5)*(1+$E$2)</f>
        <v>19.4961445890065</v>
      </c>
      <c r="BA52" s="260">
        <f>BB52+各项系数!$L$9*$NS52</f>
        <v>19.894025090823</v>
      </c>
      <c r="BB52" s="260">
        <f>BC52*(1+$BJ52+各项系数!$J$5+各项系数!$L$5)</f>
        <v>19.7551933496618</v>
      </c>
      <c r="BC52" s="262">
        <f t="shared" si="131"/>
        <v>19.3678366173155</v>
      </c>
      <c r="BD52" s="259">
        <f>BE52+各项系数!$M$9*$NS52</f>
        <v>20.3992657142871</v>
      </c>
      <c r="BE52" s="259">
        <f>BF52*(1+$BI52+(VLOOKUP($AM52,$A$12:$B$214,2,0))+各项系数!$J$6+各项系数!$M$5)*(1+$E$2)</f>
        <v>20.260433973126</v>
      </c>
      <c r="BF52" s="260">
        <f>BG52+各项系数!$L$9*$NS52</f>
        <v>20.6739122174755</v>
      </c>
      <c r="BG52" s="260">
        <f>BH52*(1+$BJ52+各项系数!$J$5+各项系数!$L$5)</f>
        <v>20.5350804763143</v>
      </c>
      <c r="BH52" s="262">
        <f t="shared" si="132"/>
        <v>20.1324318395239</v>
      </c>
      <c r="BI52" s="275">
        <v>0</v>
      </c>
      <c r="BJ52" s="272"/>
      <c r="BK52" s="69" t="s">
        <v>514</v>
      </c>
      <c r="BL52" s="259">
        <f>BM52+各项系数!$M$9*$NM52</f>
        <v>18.7934673983498</v>
      </c>
      <c r="BM52" s="259">
        <f>BN52*(1+$CF52+(VLOOKUP($AM52,$A$12:$B$323,2,0))+各项系数!$J$6+各项系数!$M$5)*(1+$E$2)</f>
        <v>18.659570910685</v>
      </c>
      <c r="BN52" s="260">
        <f>BO52+各项系数!$L$9*$NM52</f>
        <v>19.0403784802908</v>
      </c>
      <c r="BO52" s="260">
        <f>BP52*(1+$CG52+各项系数!$J$5+各项系数!$L$5)</f>
        <v>18.906481992626</v>
      </c>
      <c r="BP52" s="260">
        <f t="shared" si="133"/>
        <v>18.3558077598311</v>
      </c>
      <c r="BQ52" s="259">
        <f>BR52+各项系数!$M$9*$NM52</f>
        <v>19.4435217679384</v>
      </c>
      <c r="BR52" s="259">
        <f>BS52*(1+$CF52+(VLOOKUP($AM52,$A$12:$B$323,2,0))+各项系数!$J$6+各项系数!$M$5)*(1+$E$2)</f>
        <v>19.3096252802736</v>
      </c>
      <c r="BS52" s="260">
        <f>BT52+各项系数!$L$9*$NM52</f>
        <v>19.7036992655853</v>
      </c>
      <c r="BT52" s="260">
        <f>BU52*(1+$CG52+各项系数!$J$5+各项系数!$L$5)</f>
        <v>19.5698027779205</v>
      </c>
      <c r="BU52" s="260">
        <f t="shared" si="134"/>
        <v>18.9998085222529</v>
      </c>
      <c r="BV52" s="259">
        <f>BW52+各项系数!$M$9*$NT52</f>
        <v>19.8108462837438</v>
      </c>
      <c r="BW52" s="259">
        <f>BX52*(1+$CF52+(VLOOKUP($AM52,$A$12:$B$214,2,0))+各项系数!$J$6+各项系数!$M$5)*(1+$E$2)</f>
        <v>19.6720145425827</v>
      </c>
      <c r="BX52" s="260">
        <f>BY52+各项系数!$L$9*$NT$12</f>
        <v>20.0734842271252</v>
      </c>
      <c r="BY52" s="260">
        <f>BZ52*(1+$CG52+各项系数!$J$5+各项系数!$L$5)</f>
        <v>20.0652208239702</v>
      </c>
      <c r="BZ52" s="262">
        <f t="shared" si="11"/>
        <v>19.480796916476</v>
      </c>
      <c r="CA52" s="259">
        <f>CB52+各项系数!$M$9*$NT52</f>
        <v>20.4686065750684</v>
      </c>
      <c r="CB52" s="259">
        <f>CC52*(1+$CF52+(VLOOKUP($AM52,$A$12:$B$214,2,0))+各项系数!$J$6+各项系数!$M$5)*(1+$E$2)</f>
        <v>20.3297748339073</v>
      </c>
      <c r="CC52" s="260">
        <f>CD52+各项系数!$L$9*$NT$12</f>
        <v>20.7446681978646</v>
      </c>
      <c r="CD52" s="260">
        <f>CE52*(1+$CG52+各项系数!$J$5+各项系数!$L$5)</f>
        <v>20.7364047947096</v>
      </c>
      <c r="CE52" s="262">
        <f t="shared" si="135"/>
        <v>20.1324318395239</v>
      </c>
      <c r="CF52" s="275">
        <f>(BI52+$CF$2)-BI52/1.3</f>
        <v>0</v>
      </c>
      <c r="CG52" s="277">
        <f t="shared" si="12"/>
        <v>0.01</v>
      </c>
      <c r="CH52" s="123"/>
      <c r="CI52" s="259">
        <f>CJ52+各项系数!$M$9*$NO52</f>
        <v>19.4975285158815</v>
      </c>
      <c r="CJ52" s="259">
        <f>CK52*(1+$DC52+(VLOOKUP($AM52,$A$12:$B$323,2,0))+各项系数!$J$6+各项系数!$M$5)*(1+$E$2)+各项系数!$M$9*$NK52</f>
        <v>19.2986933061924</v>
      </c>
      <c r="CK52" s="260">
        <f>CL52+各项系数!$L$9*$NO52</f>
        <v>19.5559151209465</v>
      </c>
      <c r="CL52" s="260">
        <f>CM52*(1+$DD52+各项系数!$J$5+各项系数!$L$5)</f>
        <v>19.3570799112574</v>
      </c>
      <c r="CM52" s="260">
        <f t="shared" si="13"/>
        <v>18.9775293247622</v>
      </c>
      <c r="CN52" s="259">
        <f>CO52+各项系数!$M$9*$NO52</f>
        <v>20.1404221064688</v>
      </c>
      <c r="CO52" s="259">
        <f>CP52*(1+$DC52+(VLOOKUP($AM52,$A$12:$B$323,2,0))+各项系数!$J$6+各项系数!$M$5)*(1+$E$2)+各项系数!$M$9*$NK52</f>
        <v>19.9415868967797</v>
      </c>
      <c r="CP52" s="260">
        <f>CQ52+各项系数!$L$9*$NO52</f>
        <v>20.2119289888928</v>
      </c>
      <c r="CQ52" s="260">
        <f>CR52*(1+$DD52+各项系数!$J$5+各项系数!$L$5)</f>
        <v>20.0130937792037</v>
      </c>
      <c r="CR52" s="260">
        <f t="shared" si="14"/>
        <v>19.6206801756899</v>
      </c>
      <c r="CS52" s="259">
        <f>CT52+各项系数!$M$9*$NU52</f>
        <v>20.6259265659418</v>
      </c>
      <c r="CT52" s="259">
        <f t="shared" si="15"/>
        <v>20.4215861947833</v>
      </c>
      <c r="CU52" s="260">
        <f>CV52+各项系数!$L$9*$NU52</f>
        <v>20.8383532599829</v>
      </c>
      <c r="CV52" s="260">
        <f>CW52*(1+$DD52+各项系数!$J$5+各项系数!$L$5)</f>
        <v>20.6340128888244</v>
      </c>
      <c r="CW52" s="262">
        <f t="shared" si="16"/>
        <v>20.2294244008082</v>
      </c>
      <c r="CX52" s="259">
        <f>CY52+各项系数!$M$9*$NU52</f>
        <v>21.4663245433746</v>
      </c>
      <c r="CY52" s="259">
        <f t="shared" si="17"/>
        <v>21.2619841722161</v>
      </c>
      <c r="CZ52" s="260">
        <f>DA52+各项系数!$L$9*$NU52</f>
        <v>21.6959022165471</v>
      </c>
      <c r="DA52" s="260">
        <f>DB52*(1+$DD52+各项系数!$J$5+各项系数!$L$5)</f>
        <v>21.4915618453885</v>
      </c>
      <c r="DB52" s="262">
        <f t="shared" si="18"/>
        <v>21.0701586719496</v>
      </c>
      <c r="DC52" s="275">
        <f>(BI52+$DC$2)-BI52/1.3</f>
        <v>0</v>
      </c>
      <c r="DD52" s="277">
        <f t="shared" si="19"/>
        <v>0</v>
      </c>
      <c r="DE52" s="69" t="s">
        <v>498</v>
      </c>
      <c r="DF52" s="69" t="s">
        <v>513</v>
      </c>
      <c r="DG52" s="259">
        <f>DH52+各项系数!$M$9*$NQ52</f>
        <v>19.8075490362106</v>
      </c>
      <c r="DH52" s="259">
        <f>DI52*(1+$EA52+(VLOOKUP($AM52,$A$12:$B$323,2,0))+各项系数!$J$6+各项系数!$M$5)*(1+$E$2)+各项系数!$M$9*$NK52</f>
        <v>19.6087138265215</v>
      </c>
      <c r="DI52" s="260">
        <f>DJ52+各项系数!$L$9*$NQ52</f>
        <v>19.8722625906701</v>
      </c>
      <c r="DJ52" s="260">
        <f>DK52*(1+$EB52+各项系数!$J$5+各项系数!$L$5)</f>
        <v>19.673427380981</v>
      </c>
      <c r="DK52" s="260">
        <f t="shared" si="20"/>
        <v>19.1004149329913</v>
      </c>
      <c r="DL52" s="259">
        <f>DM52+各项系数!$M$9*$NQ52</f>
        <v>20.523103740555</v>
      </c>
      <c r="DM52" s="259">
        <f>DN52*(1+$EA52+(VLOOKUP($AM52,$A$12:$B$323,2,0))+各项系数!$J$6+各项系数!$M$5)*(1+$E$2)+各项系数!$M$9*$NK52</f>
        <v>20.3242685308659</v>
      </c>
      <c r="DN52" s="260">
        <f>DO52+各项系数!$L$9*$NQ52</f>
        <v>20.602420452246</v>
      </c>
      <c r="DO52" s="260">
        <f>DP52*(1+$EB52+各项系数!$J$5+各项系数!$L$5)</f>
        <v>20.403585242557</v>
      </c>
      <c r="DP52" s="260">
        <f t="shared" si="21"/>
        <v>19.8093060607349</v>
      </c>
      <c r="DQ52" s="259">
        <f>DR52+各项系数!$M$9*$NV52</f>
        <v>20.9495514722794</v>
      </c>
      <c r="DR52" s="259">
        <f t="shared" si="22"/>
        <v>20.7452111011209</v>
      </c>
      <c r="DS52" s="260">
        <f>DT52+各项系数!$L$9*$NV52</f>
        <v>21.1685827562458</v>
      </c>
      <c r="DT52" s="260">
        <f>DU52*(1+$EB52+各项系数!$J$5+各项系数!$L$5)</f>
        <v>20.9642423850873</v>
      </c>
      <c r="DU52" s="262">
        <f t="shared" si="23"/>
        <v>20.3536333835799</v>
      </c>
      <c r="DV52" s="259">
        <f>DW52+各项系数!$M$9*$NV52</f>
        <v>21.2837001556233</v>
      </c>
      <c r="DW52" s="259">
        <f t="shared" si="24"/>
        <v>21.0793597844648</v>
      </c>
      <c r="DX52" s="260">
        <f>DY52+各项系数!$L$9*$NV52</f>
        <v>21.5095508004743</v>
      </c>
      <c r="DY52" s="260">
        <f>DZ52*(1+$EB52+各项系数!$J$5+各项系数!$L$5)</f>
        <v>21.3052104293158</v>
      </c>
      <c r="DZ52" s="262">
        <f t="shared" si="25"/>
        <v>20.684670319724</v>
      </c>
      <c r="EA52" s="275">
        <f>(BI52+$EA$2)-BI52/1.3</f>
        <v>0</v>
      </c>
      <c r="EB52" s="277">
        <f t="shared" si="27"/>
        <v>0.01</v>
      </c>
      <c r="EC52" s="302">
        <f t="shared" si="138"/>
        <v>3</v>
      </c>
      <c r="ED52" s="302" t="str">
        <f t="shared" ref="ED52:ED67" si="266">IF(COUNTIF($D52,"*+*")&gt;0,MID($D52,1,FIND("+",$D52)-1),MID($D52,1,LEN($D52)))</f>
        <v>3*10</v>
      </c>
      <c r="EE52" s="251">
        <f t="shared" si="239"/>
        <v>10</v>
      </c>
      <c r="EF52" s="251" t="str">
        <f>LOOKUP(EH52,{1,7,10,14,19,24,30,37,48,61},{1,"1+6","2+8","4+10","1+6+12","2+8+14","4+10+16","1+6+12+18","3+9+15+21","1+6+12+18+24"})</f>
        <v>1+6</v>
      </c>
      <c r="EG52" s="250">
        <f t="shared" si="29"/>
        <v>3</v>
      </c>
      <c r="EH52" s="260">
        <f>VLOOKUP(EE52,各项系数!$B$87:$C$124,2,0)</f>
        <v>7</v>
      </c>
      <c r="EI52" s="250">
        <f>IF(EH52=0,0,VLOOKUP(EH52,各项系数!$D$142:$E$195,2,0))*1</f>
        <v>3</v>
      </c>
      <c r="EJ52" s="305">
        <f t="shared" si="141"/>
        <v>131.130294998433</v>
      </c>
      <c r="EK52" s="251">
        <f t="shared" si="261"/>
        <v>0</v>
      </c>
      <c r="EL52" s="251">
        <f t="shared" si="31"/>
        <v>0</v>
      </c>
      <c r="EM52" s="251">
        <f t="shared" ref="EM52:EM67" si="267">EL52/1</f>
        <v>0</v>
      </c>
      <c r="EN52" s="251">
        <f>IF(EP52=0,0,LOOKUP(EP52,{1,7,10,14,19,24,30,37,48,61},{1,"1+6","2+8","4+10","1+6+12","2+8+14","4+10+16","1+6+12+18","3+9+15+21","1+6+12+18+24"}))</f>
        <v>0</v>
      </c>
      <c r="EO52" s="251">
        <f t="shared" si="263"/>
        <v>0</v>
      </c>
      <c r="EP52" s="251">
        <f>IF(EM52=0,0,IF(EM52&lt;10,1,IF(AND(EM52&gt;=10,EM52&lt;=35),7,LOOKUP(EM52,{50,70,95,120,150,185,240,300},{10,14,19,24,30,37,48,61})*1)))</f>
        <v>0</v>
      </c>
      <c r="EQ52" s="251">
        <f>IF(EP52=0,0,VLOOKUP(EP52,各项系数!$D$142:$E$195,2,0))*1</f>
        <v>0</v>
      </c>
      <c r="ER52" s="251">
        <f t="shared" si="264"/>
        <v>0</v>
      </c>
      <c r="ES52" s="302">
        <f t="shared" si="250"/>
        <v>3</v>
      </c>
      <c r="ET52" s="251">
        <f>VLOOKUP(ES52,各项系数!$D$142:$E$195,2,0)*1</f>
        <v>2.16</v>
      </c>
      <c r="EU52" s="311">
        <f>((各项系数!$F$76/4*$EJ52^2*$EG52*$EH52*1*10^-7)*(1-$H52)*AA52)*(VLOOKUP($EY$9,各项系数!$D$4:$F$143,3,0))*各项系数!$J$4</f>
        <v>0.253624526858151</v>
      </c>
      <c r="EV52" s="312">
        <f>EU52*(VLOOKUP($EY$9,各项系数!$D$4:$F$143,2,0))</f>
        <v>16.6124065092089</v>
      </c>
      <c r="EW52" s="324">
        <f>(IF($EO52=0,0,(各项系数!$F$76/4*$ER52^2*$EO52*$EP52*1*10^-7))*(1-$K52)*$AF52)*(VLOOKUP($EY$9,各项系数!$D$4:$F$143,3,0))*各项系数!$J$4</f>
        <v>0</v>
      </c>
      <c r="EX52" s="325">
        <f>EW52*(VLOOKUP($EY$9,各项系数!$D$4:$F$143,2,0))</f>
        <v>0</v>
      </c>
      <c r="EY52" s="251">
        <f>((各项系数!$F$76/4*$EJ52^2*$EG52*$EH52*1*10^-7)*(1-$H52)*AA52+IF($EO52=0,0,(各项系数!$F$76/4*$ER52^2*$EO52*$EP52*1*10^-7))*(1-$K52)*$AF52)*(VLOOKUP($EY$9,各项系数!$D$4:$F$143,3,0))*各项系数!$J$4</f>
        <v>0.253624526858151</v>
      </c>
      <c r="EZ52" s="123">
        <v>1</v>
      </c>
      <c r="FA52" s="251">
        <f t="shared" si="188"/>
        <v>0.253624526858151</v>
      </c>
      <c r="FB52" s="326">
        <f>FA52*(VLOOKUP($EY$9,各项系数!$D$4:$F$143,2,0))</f>
        <v>16.6124065092089</v>
      </c>
      <c r="FC52" s="327"/>
      <c r="FD52" s="302">
        <f>各项系数!$F$76/4*($MN52^2-MK52^2)*10^-2*(VLOOKUP(L52,各项系数!$D$1:$F$143,3,0))*10^-3*10^2*$EG52*各项系数!$J$4</f>
        <v>0.033460499527598</v>
      </c>
      <c r="FE52" s="339">
        <f>FD52*VLOOKUP(L52,各项系数!$D$1:$F$143,2,0)</f>
        <v>0.341297095181499</v>
      </c>
      <c r="FF52" s="250">
        <f>各项系数!$F$76/4*($MO52^2-ML52^2)*10^-2*(VLOOKUP(L52,各项系数!$D$1:$F$143,3,0))*10^-3*10^2*$EO52*各项系数!$J$4</f>
        <v>0</v>
      </c>
      <c r="FG52" s="339">
        <f>FF52*VLOOKUP(L52,各项系数!$D$1:$F$143,2,0)</f>
        <v>0</v>
      </c>
      <c r="FH52" s="302">
        <f t="shared" si="142"/>
        <v>0.033460499527598</v>
      </c>
      <c r="FI52" s="123">
        <v>1</v>
      </c>
      <c r="FJ52" s="251">
        <f t="shared" si="189"/>
        <v>0.033460499527598</v>
      </c>
      <c r="FK52" s="339">
        <f>FJ52*VLOOKUP(L52,各项系数!$D$1:$F$143,2,0)</f>
        <v>0.341297095181499</v>
      </c>
      <c r="FL52" s="302"/>
      <c r="FM52" s="123"/>
      <c r="FN52" s="251"/>
      <c r="FO52" s="339"/>
      <c r="FP52" s="364">
        <f t="shared" si="190"/>
        <v>0.033460499527598</v>
      </c>
      <c r="FQ52" s="364">
        <f t="shared" si="191"/>
        <v>0.341297095181499</v>
      </c>
      <c r="FR52" s="365">
        <f>各项系数!$F$76/4*($MQ52^2-$MN52^2*$EG52-$MO52^2*$EO52)*10^-2</f>
        <v>0.372178922385567</v>
      </c>
      <c r="FS52" s="366">
        <f t="shared" si="143"/>
        <v>1</v>
      </c>
      <c r="FT52" s="367">
        <f t="shared" si="40"/>
        <v>0.372178922385567</v>
      </c>
      <c r="FU52" s="388">
        <f>$FT52*(VLOOKUP($FT$9,各项系数!$D$1:$F$143,3,0))*10^-3*10^2*各项系数!$J$55</f>
        <v>0.0444381633328367</v>
      </c>
      <c r="FV52" s="389">
        <v>1</v>
      </c>
      <c r="FW52" s="390">
        <f t="shared" si="192"/>
        <v>0.0444381633328367</v>
      </c>
      <c r="FX52" s="367">
        <f>FW52*(VLOOKUP($FT$9,各项系数!$D$1:$F$143,2,0))</f>
        <v>0.13331448999851</v>
      </c>
      <c r="FY52" s="388">
        <f>IF($BK52&lt;&gt;$FY$9,0,各项系数!$F$76/4*($MS52^2-$MQ52^2)*10^-2*(VLOOKUP($FY$9,各项系数!$D$1:$F$143,3,0))*10^-3*10^2)*各项系数!$J$4</f>
        <v>0</v>
      </c>
      <c r="FZ52" s="389">
        <v>1</v>
      </c>
      <c r="GA52" s="390">
        <f t="shared" si="193"/>
        <v>0</v>
      </c>
      <c r="GB52" s="367">
        <f>GA52*(VLOOKUP($FY$9,各项系数!$D$1:$F$143,2,0))</f>
        <v>0</v>
      </c>
      <c r="GC52" s="388">
        <f>IF($BK52&lt;&gt;$GC$9,0,各项系数!$F$76/4*($MS52^2-$MQ52^2)*10^-2*(VLOOKUP($GC$9,各项系数!$D$1:$F$143,3,0))*10^-3*10^2)*各项系数!$J$4</f>
        <v>0.003161511212788</v>
      </c>
      <c r="GD52" s="389">
        <v>1</v>
      </c>
      <c r="GE52" s="390">
        <f t="shared" si="194"/>
        <v>0.003161511212788</v>
      </c>
      <c r="GF52" s="367">
        <f>GE52*(VLOOKUP($GC$9,各项系数!$D$1:$F$143,2,0))</f>
        <v>0.0407834946449652</v>
      </c>
      <c r="GG52" s="388">
        <f>IF($BK52&lt;&gt;$GG$9,0,各项系数!$F$76/4*($MS52^2-$MQ52^2)*10^-2*(VLOOKUP($GG$9,各项系数!$D$1:$F$143,3,0))*10^-3*10^2)*各项系数!$J$4</f>
        <v>0</v>
      </c>
      <c r="GH52" s="389">
        <v>1</v>
      </c>
      <c r="GI52" s="390">
        <f t="shared" si="195"/>
        <v>0</v>
      </c>
      <c r="GJ52" s="367">
        <f>GI52*(VLOOKUP($GG$9,各项系数!$D$1:$F$143,2,0))</f>
        <v>0</v>
      </c>
      <c r="GK52" s="388">
        <f>IF($BK52&lt;&gt;$GK$9,0,各项系数!$F$76/4*($MS52^2-$MQ52^2)*10^-2*(VLOOKUP($GK$9,各项系数!$D$1:$F$143,3,0))*10^-3*10^2)*各项系数!$J$4</f>
        <v>0</v>
      </c>
      <c r="GL52" s="389">
        <v>1</v>
      </c>
      <c r="GM52" s="390">
        <f t="shared" si="196"/>
        <v>0</v>
      </c>
      <c r="GN52" s="367">
        <f>GM52*(VLOOKUP($GK$9,各项系数!$D$1:$F$143,2,0))</f>
        <v>0</v>
      </c>
      <c r="GO52" s="390">
        <f t="shared" si="197"/>
        <v>0.003161511212788</v>
      </c>
      <c r="GP52" s="390">
        <f t="shared" si="198"/>
        <v>0.0407834946449652</v>
      </c>
      <c r="GQ52" s="406">
        <f>各项系数!$F$76/4*($MU52^2-$MS52^2)*10^-2*(VLOOKUP($S52,各项系数!$D$1:$F$143,3,0))*10^-3*10^2*各项系数!$J$4</f>
        <v>0.0879796887035816</v>
      </c>
      <c r="GR52" s="389">
        <v>1</v>
      </c>
      <c r="GS52" s="390">
        <f t="shared" si="199"/>
        <v>0.0879796887035816</v>
      </c>
      <c r="GT52" s="390">
        <f t="shared" si="200"/>
        <v>0</v>
      </c>
      <c r="GU52" s="390">
        <f>ROUND($GS52*(VLOOKUP($S52,各项系数!$D$1:$F$143,2,0))+$E$3*GS52,GT52)</f>
        <v>1</v>
      </c>
      <c r="GV52" s="406">
        <f>各项系数!$F$76/4*($MT52^2-$MS52^2)*10^-2*(VLOOKUP($GV$9,各项系数!$D$1:$F$143,3,0))*10^-3*10^2*各项系数!$J$4*PI()/4*R52</f>
        <v>0.0164508449878133</v>
      </c>
      <c r="GW52" s="389">
        <v>1</v>
      </c>
      <c r="GX52" s="390">
        <f t="shared" si="201"/>
        <v>0.0164508449878133</v>
      </c>
      <c r="GY52" s="390">
        <f>$GX52*(VLOOKUP($GV$9,各项系数!$D$1:$F$143,2,0))</f>
        <v>1.1104320366774</v>
      </c>
      <c r="GZ52" s="406">
        <f>各项系数!$F$76/4*($MV52^2-$MS52^2)*10^-2*(VLOOKUP($GZ$9,各项系数!$D$1:$F$143,3,0))*10^-3*10^2*各项系数!$J$4</f>
        <v>0.110118054895239</v>
      </c>
      <c r="HA52" s="389">
        <v>1</v>
      </c>
      <c r="HB52" s="390">
        <f t="shared" si="144"/>
        <v>0.110118054895239</v>
      </c>
      <c r="HC52" s="390">
        <f>HB52*(VLOOKUP($GZ$9,各项系数!$D$1:$F$143,2,0))</f>
        <v>1.87200693321906</v>
      </c>
      <c r="HD52" s="406">
        <f>各项系数!$F$76/4*($MW52^2-$MT52^2)*10^-2*(VLOOKUP($HD$9,各项系数!$D$1:$F$143,3,0))*10^-3*10^2*各项系数!$J$4</f>
        <v>0.111423424341917</v>
      </c>
      <c r="HE52" s="389">
        <v>1</v>
      </c>
      <c r="HF52" s="390">
        <f t="shared" si="145"/>
        <v>0.111423424341917</v>
      </c>
      <c r="HG52" s="390">
        <f>HF52*(VLOOKUP($HD$9,各项系数!$D$1:$F$143,2,0))</f>
        <v>1.8941982138126</v>
      </c>
      <c r="HH52" s="406">
        <f>各项系数!$F$76/4*($MV52^2-$MS52^2)*10^-2*(VLOOKUP($HH$9,各项系数!$D$1:$F$143,3,0))*10^-3*10^2*各项系数!$J$4</f>
        <v>0.110118054895239</v>
      </c>
      <c r="HI52" s="420">
        <v>1</v>
      </c>
      <c r="HJ52" s="390">
        <f t="shared" si="146"/>
        <v>0.110118054895239</v>
      </c>
      <c r="HK52" s="390">
        <f>HJ52*(VLOOKUP($HH$9,各项系数!$D$1:$F$143,2,0))</f>
        <v>1.87200693321906</v>
      </c>
      <c r="HL52" s="406">
        <f>各项系数!$F$76/4*($MW52^2-$MT52^2)*10^-2*(VLOOKUP($HL$9,各项系数!$D$1:$F$143,3,0))*10^-3*10^2*各项系数!$J$4</f>
        <v>0.111423424341917</v>
      </c>
      <c r="HM52" s="420">
        <v>1</v>
      </c>
      <c r="HN52" s="390">
        <f t="shared" si="147"/>
        <v>0.111423424341917</v>
      </c>
      <c r="HO52" s="390">
        <f>HN52*(VLOOKUP($HL$9,各项系数!$D$1:$F$143,2,0))</f>
        <v>1.8941982138126</v>
      </c>
      <c r="HP52" s="406">
        <f>各项系数!$F$76/4*($MV52^2-$MS52^2)*10^-2*(VLOOKUP(AN52,各项系数!$D$1:$F$143,3,0))*10^-3*10^2*各项系数!$J$4</f>
        <v>0.111636924617932</v>
      </c>
      <c r="HQ52" s="389">
        <v>1</v>
      </c>
      <c r="HR52" s="390">
        <f t="shared" si="202"/>
        <v>0.111636924617932</v>
      </c>
      <c r="HS52" s="390">
        <f>HR52*(VLOOKUP(AN52,各项系数!$D$1:$F$143,2,0))</f>
        <v>1.11636924617932</v>
      </c>
      <c r="HT52" s="406">
        <f>各项系数!$F$76/4*($MW52^2-$MT52^2)*10^-2*(VLOOKUP(AN52,各项系数!$D$1:$F$143,3,0))*10^-3*10^2*各项系数!$J$4</f>
        <v>0.112960299160427</v>
      </c>
      <c r="HU52" s="389">
        <v>1</v>
      </c>
      <c r="HV52" s="390">
        <f t="shared" si="203"/>
        <v>0.112960299160427</v>
      </c>
      <c r="HW52" s="390">
        <f>HV52*(VLOOKUP(AN52,各项系数!$D$1:$F$143,2,0))</f>
        <v>1.12960299160427</v>
      </c>
      <c r="HX52" s="406">
        <f>各项系数!$F$76/4*($MV52^2-$MS52^2)*10^-2*(VLOOKUP($HX$9,各项系数!$D$1:$F$143,3,0))*10^-3*10^2*各项系数!$J$4</f>
        <v>0.111636924617932</v>
      </c>
      <c r="HY52" s="420">
        <v>1</v>
      </c>
      <c r="HZ52" s="390">
        <f t="shared" si="204"/>
        <v>0.111636924617932</v>
      </c>
      <c r="IA52" s="390">
        <f>HZ52*(VLOOKUP($HX$9,各项系数!$D$1:$F$143,2,0))</f>
        <v>1.22800617079725</v>
      </c>
      <c r="IB52" s="406">
        <f>各项系数!$F$76/4*($MW52^2-$MT52^2)*10^-2*(VLOOKUP($IB$9,各项系数!$D$1:$F$143,3,0))*10^-3*10^2*各项系数!$J$4</f>
        <v>0.112960299160427</v>
      </c>
      <c r="IC52" s="420">
        <v>1</v>
      </c>
      <c r="ID52" s="390">
        <f t="shared" si="205"/>
        <v>0.112960299160427</v>
      </c>
      <c r="IE52" s="390">
        <f>ID52*(VLOOKUP($IB$9,各项系数!$D$1:$F$143,2,0))</f>
        <v>1.24256329076469</v>
      </c>
      <c r="IF52" s="429"/>
      <c r="IG52" s="406">
        <f t="shared" si="148"/>
        <v>0.0178668596534847</v>
      </c>
      <c r="IH52" s="389">
        <v>1</v>
      </c>
      <c r="II52" s="390">
        <f t="shared" si="206"/>
        <v>0.0178668596534847</v>
      </c>
      <c r="IJ52" s="390">
        <f>II52*(VLOOKUP($IG$8,各项系数!$D$1:$F$143,2,0))</f>
        <v>0.446671491337119</v>
      </c>
      <c r="IK52" s="406">
        <f>(各项系数!$F$76/4*($MX52^2-$MK52^2)*$EG52)*10^-2*(VLOOKUP($IG$8,各项系数!$D$1:$F$143,3,0))*10^-3*10^2*各项系数!$J$4</f>
        <v>0.0178668596534847</v>
      </c>
      <c r="IL52" s="389">
        <f>IK52*(VLOOKUP($IG$8,各项系数!$D$1:$F$143,2,0))</f>
        <v>0.446671491337119</v>
      </c>
      <c r="IM52" s="390">
        <f>(各项系数!$F$76/4*(($MM52+3*$X52)^2-MM52^2)*$EO52)*10^-2*(VLOOKUP($IG$8,各项系数!$D$1:$F$143,3,0))*10^-3*10^2*各项系数!$J$4</f>
        <v>0</v>
      </c>
      <c r="IN52" s="389">
        <f>IM52*(VLOOKUP($IG$8,各项系数!$D$1:$F$143,2,0))</f>
        <v>0</v>
      </c>
      <c r="IO52" s="406">
        <f>各项系数!$F$76/4*($MZ52^2-$MX52^2)*10^-2*(VLOOKUP(L52,各项系数!$D$1:$F$143,3,0))*10^-3*10^2*$ES52*各项系数!$J$4</f>
        <v>0.0377929757083841</v>
      </c>
      <c r="IP52" s="389">
        <v>1</v>
      </c>
      <c r="IQ52" s="390">
        <f t="shared" si="207"/>
        <v>0.0377929757083841</v>
      </c>
      <c r="IR52" s="367">
        <f>IQ52*(VLOOKUP(L52,各项系数!$D$1:$F$143,2,0))</f>
        <v>0.385488352225517</v>
      </c>
      <c r="IS52" s="406">
        <f>IF($L52&lt;&gt;$IS$9,0,各项系数!$F$76/4*($MZ52^2-$MX52^2)*10^-2*各项系数!$F$12*10^-3*10^2)*$ES52*各项系数!$J$4</f>
        <v>0</v>
      </c>
      <c r="IT52" s="389">
        <v>1</v>
      </c>
      <c r="IU52" s="390">
        <f t="shared" si="208"/>
        <v>0</v>
      </c>
      <c r="IV52" s="367">
        <f>IU52*各项系数!$E$12</f>
        <v>0</v>
      </c>
      <c r="IW52" s="388">
        <f t="shared" si="209"/>
        <v>0.0377929757083841</v>
      </c>
      <c r="IX52" s="388">
        <f t="shared" si="210"/>
        <v>0.385488352225517</v>
      </c>
      <c r="IY52" s="447">
        <f>各项系数!$F$76/4*($NB52^2-$MZ52^2*$EG52-$NA52^2*$EO52)*10^-2</f>
        <v>0.460619517508477</v>
      </c>
      <c r="IZ52" s="366">
        <f t="shared" si="231"/>
        <v>1</v>
      </c>
      <c r="JA52" s="367">
        <f t="shared" si="64"/>
        <v>0.460619517508477</v>
      </c>
      <c r="JB52" s="364">
        <f>IF($DE52&lt;&gt;$JB$9,0,$JA52*各项系数!$F$32*10^-3*10^2)*各项系数!$J$4</f>
        <v>0</v>
      </c>
      <c r="JC52" s="123">
        <v>1</v>
      </c>
      <c r="JD52" s="251">
        <f t="shared" si="211"/>
        <v>0</v>
      </c>
      <c r="JE52" s="339">
        <f>JD52*各项系数!$E$32</f>
        <v>0</v>
      </c>
      <c r="JF52" s="364">
        <f>IF($DE52&lt;&gt;$JF$9,0,$JA52*VLOOKUP($JF$9,各项系数!$D$4:$F$540,2,0)*10^-3*10^2)*各项系数!$J$4</f>
        <v>0.229158209960467</v>
      </c>
      <c r="JG52" s="123">
        <v>1</v>
      </c>
      <c r="JH52" s="251">
        <f t="shared" si="66"/>
        <v>0.229158209960467</v>
      </c>
      <c r="JI52" s="339">
        <f>JH52*VLOOKUP($JF$9,各项系数!$D$4:$F$540,3,0)</f>
        <v>0.274989851952561</v>
      </c>
      <c r="JJ52" s="364">
        <f t="shared" si="212"/>
        <v>0.229158209960467</v>
      </c>
      <c r="JK52" s="251">
        <f t="shared" si="213"/>
        <v>0.274989851952561</v>
      </c>
      <c r="JL52" s="364">
        <f>IF($DF52&lt;&gt;$JL$9,0,各项系数!$F$76/4*($NE52^2-$NC52^2)*10^-2*各项系数!$F$39*10^-3*10^2)*各项系数!$J$4</f>
        <v>0.00145585188733607</v>
      </c>
      <c r="JM52" s="123">
        <v>1</v>
      </c>
      <c r="JN52" s="251">
        <f t="shared" si="214"/>
        <v>0.00145585188733607</v>
      </c>
      <c r="JO52" s="339">
        <f>JN52*各项系数!$E$39</f>
        <v>0.0291170377467213</v>
      </c>
      <c r="JP52" s="364">
        <f>IF($DF52&lt;&gt;$JP$9,0,各项系数!$F$76/4*($NE52^2-$NC52^2)*10^-2*各项系数!$F$36*10^-3*10^2)*各项系数!$J$4</f>
        <v>0</v>
      </c>
      <c r="JQ52" s="123">
        <v>1</v>
      </c>
      <c r="JR52" s="251">
        <f t="shared" si="215"/>
        <v>0</v>
      </c>
      <c r="JS52" s="339">
        <f>JR52*各项系数!$E$36</f>
        <v>0</v>
      </c>
      <c r="JT52" s="364">
        <f>IF($DF52&lt;&gt;$JT$9,0,各项系数!$F$76/4*($NE52^2-$NC52^2)*10^-2*各项系数!$F$40*10^-3*10^2)*各项系数!$J$4</f>
        <v>0</v>
      </c>
      <c r="JU52" s="123">
        <v>1</v>
      </c>
      <c r="JV52" s="251">
        <f t="shared" si="216"/>
        <v>0</v>
      </c>
      <c r="JW52" s="339">
        <f>JV52*各项系数!$E$40</f>
        <v>0</v>
      </c>
      <c r="JX52" s="364">
        <f>IF($DF52&lt;&gt;$JX$9,0,各项系数!$F$76/4*($NE52^2-$NC52^2)*10^-2*各项系数!$F$38*10^-3*10^2)*各项系数!$J$4</f>
        <v>0</v>
      </c>
      <c r="JY52" s="123">
        <v>1</v>
      </c>
      <c r="JZ52" s="251">
        <f t="shared" si="217"/>
        <v>0</v>
      </c>
      <c r="KA52" s="339">
        <f>JZ52*各项系数!$E$38</f>
        <v>0</v>
      </c>
      <c r="KB52" s="364">
        <f>IF($DF52&lt;&gt;$KB$9,0,各项系数!$F$76/4*($NE52^2-$NC52^2)*10^-2*各项系数!$F$41*10^-3*10^2)*各项系数!$J$4</f>
        <v>0</v>
      </c>
      <c r="KC52" s="123">
        <v>1</v>
      </c>
      <c r="KD52" s="251">
        <f t="shared" si="218"/>
        <v>0</v>
      </c>
      <c r="KE52" s="339">
        <f>KD52*各项系数!$E$41</f>
        <v>0</v>
      </c>
      <c r="KF52" s="251">
        <f t="shared" si="219"/>
        <v>0.00145585188733607</v>
      </c>
      <c r="KG52" s="251">
        <f t="shared" si="220"/>
        <v>0.0291170377467213</v>
      </c>
      <c r="KH52" s="302">
        <f>各项系数!$F$76/4*($NG52^2-$NE52^2)*10^-2*各项系数!$F$44*10^-3*10^2*各项系数!$J$4*0.75*$U52</f>
        <v>0.146929517041702</v>
      </c>
      <c r="KI52" s="123">
        <v>1</v>
      </c>
      <c r="KJ52" s="251">
        <f t="shared" si="221"/>
        <v>0.146929517041702</v>
      </c>
      <c r="KK52" s="251">
        <f>ROUND(KJ52*各项系数!$E$43,GT52)</f>
        <v>1</v>
      </c>
      <c r="KL52" s="302">
        <f>各项系数!$F$76/4*($NF52^2-$NE52^2)*10^-2*各项系数!$F$46*10^-3*10^2*各项系数!$J$4*PI()/4*R52</f>
        <v>0.018350538231424</v>
      </c>
      <c r="KM52" s="123">
        <v>1</v>
      </c>
      <c r="KN52" s="251">
        <f t="shared" si="222"/>
        <v>0.018350538231424</v>
      </c>
      <c r="KO52" s="251">
        <f>KN52*各项系数!$E$46</f>
        <v>1.23866133062112</v>
      </c>
      <c r="KP52" s="302">
        <f>各项系数!$F$76/4*($NH52^2-$NE52^2)*10^-2*(VLOOKUP($KP$9,各项系数!$D$1:$F$143,3,0))*10^-3*10^2*各项系数!$J$4</f>
        <v>0.121213695192005</v>
      </c>
      <c r="KQ52" s="123">
        <v>1</v>
      </c>
      <c r="KR52" s="251">
        <f t="shared" si="150"/>
        <v>0.121213695192005</v>
      </c>
      <c r="KS52" s="251">
        <f>KR52*(VLOOKUP($KP$9,各项系数!$D$1:$F$143,2,0))</f>
        <v>2.06063281826409</v>
      </c>
      <c r="KT52" s="302">
        <f>各项系数!$F$76/4*($NI52^2-$NF52^2)*10^-2*(VLOOKUP($KT$9,各项系数!$D$1:$F$143,3,0))*10^-3*10^2*各项系数!$J$4</f>
        <v>0.122519064638684</v>
      </c>
      <c r="KU52" s="123">
        <v>1</v>
      </c>
      <c r="KV52" s="251">
        <f t="shared" si="151"/>
        <v>0.122519064638684</v>
      </c>
      <c r="KW52" s="251">
        <f>KV52*(VLOOKUP($KT$9,各项系数!$D$1:$F$143,2,0))</f>
        <v>2.08282409885763</v>
      </c>
      <c r="KX52" s="251">
        <f>各项系数!$F$76/4*($NH52^2-$NE52^2)*10^-2*(VLOOKUP($KX$9,各项系数!$D$1:$F$143,3,0))*10^-3*10^2*各项系数!$J$4</f>
        <v>0.121213695192005</v>
      </c>
      <c r="KY52" s="479">
        <v>1</v>
      </c>
      <c r="KZ52" s="251">
        <f t="shared" si="152"/>
        <v>0.121213695192005</v>
      </c>
      <c r="LA52" s="251">
        <f>KZ52*(VLOOKUP($KX$9,各项系数!$D$1:$F$143,2,0))</f>
        <v>2.06063281826409</v>
      </c>
      <c r="LB52" s="251">
        <f>各项系数!$F$76/4*($NI52^2-$NF52^2)*10^-2*(VLOOKUP($LB$9,各项系数!$D$1:$F$143,3,0))*10^-3*10^2*各项系数!$J$4</f>
        <v>0.122519064638684</v>
      </c>
      <c r="LC52" s="479">
        <v>1</v>
      </c>
      <c r="LD52" s="251">
        <f t="shared" si="153"/>
        <v>0.122519064638684</v>
      </c>
      <c r="LE52" s="251">
        <f>LD52*(VLOOKUP($LB$9,各项系数!$D$1:$F$143,2,0))</f>
        <v>2.08282409885763</v>
      </c>
      <c r="LF52" s="302">
        <f>各项系数!$F$76/4*($NH52^2-$NE52^2)*10^-2*(VLOOKUP(AN52,各项系数!$D$1:$F$143,3,0))*10^-3*10^2*各项系数!$J$4</f>
        <v>0.122885608229137</v>
      </c>
      <c r="LG52" s="123">
        <v>1</v>
      </c>
      <c r="LH52" s="251">
        <f t="shared" si="223"/>
        <v>0.122885608229137</v>
      </c>
      <c r="LI52" s="251">
        <f>LH52*(VLOOKUP(AN52,各项系数!$D$1:$F$143,2,0))</f>
        <v>1.22885608229137</v>
      </c>
      <c r="LJ52" s="302">
        <f>各项系数!$F$76/4*($NI52^2-$NF52^2)*10^-2*(VLOOKUP(AN52,各项系数!$D$1:$F$143,3,0))*10^-3*10^2*各项系数!$J$4</f>
        <v>0.124208982771631</v>
      </c>
      <c r="LK52" s="123">
        <v>1</v>
      </c>
      <c r="LL52" s="251">
        <f t="shared" si="224"/>
        <v>0.124208982771631</v>
      </c>
      <c r="LM52" s="251">
        <f>LL52*(VLOOKUP(AN52,各项系数!$D$1:$F$143,2,0))</f>
        <v>1.24208982771631</v>
      </c>
      <c r="LN52" s="251">
        <f>各项系数!$F$76/4*($NH52^2-$NE52^2)*10^-2*(VLOOKUP($LN$9,各项系数!$D$1:$F$143,3,0))*10^-3*10^2*各项系数!$J$4</f>
        <v>0.122885608229137</v>
      </c>
      <c r="LO52" s="479">
        <v>1</v>
      </c>
      <c r="LP52" s="251">
        <f t="shared" si="225"/>
        <v>0.122885608229137</v>
      </c>
      <c r="LQ52" s="251">
        <f>LP52*(VLOOKUP($LN$9,各项系数!$D$1:$F$143,2,0))</f>
        <v>1.3517416905205</v>
      </c>
      <c r="LR52" s="251">
        <f>各项系数!$F$76/4*($NI52^2-$NF52^2)*10^-2*(VLOOKUP($LR$9,各项系数!$D$1:$F$143,3,0))*10^-3*10^2*各项系数!$J$4</f>
        <v>0.124208982771631</v>
      </c>
      <c r="LS52" s="479">
        <v>1</v>
      </c>
      <c r="LT52" s="251">
        <f t="shared" si="226"/>
        <v>0.124208982771631</v>
      </c>
      <c r="LU52" s="251">
        <f>LT52*(VLOOKUP($LR$9,各项系数!$D$1:$F$143,2,0))</f>
        <v>1.36629881048794</v>
      </c>
      <c r="LV52" s="499">
        <f t="shared" si="154"/>
        <v>36.46361497</v>
      </c>
      <c r="LW52" s="499">
        <f t="shared" si="155"/>
        <v>28.36058942</v>
      </c>
      <c r="LX52" s="499">
        <f t="shared" si="156"/>
        <v>6.00914502750114</v>
      </c>
      <c r="LY52" s="515">
        <f t="shared" si="157"/>
        <v>8.10302555</v>
      </c>
      <c r="LZ52" s="516">
        <f t="shared" si="86"/>
        <v>1</v>
      </c>
      <c r="MA52" s="517">
        <f t="shared" si="87"/>
        <v>36.46361497</v>
      </c>
      <c r="MB52" s="517">
        <f t="shared" si="158"/>
        <v>3.93390885</v>
      </c>
      <c r="MC52" s="499">
        <f t="shared" si="159"/>
        <v>0</v>
      </c>
      <c r="MD52" s="499">
        <f t="shared" si="160"/>
        <v>0</v>
      </c>
      <c r="ME52" s="499">
        <f t="shared" si="161"/>
        <v>0</v>
      </c>
      <c r="MF52" s="499">
        <f t="shared" si="162"/>
        <v>0</v>
      </c>
      <c r="MG52" s="516">
        <f t="shared" si="163"/>
        <v>1</v>
      </c>
      <c r="MH52" s="517">
        <f t="shared" si="88"/>
        <v>0</v>
      </c>
      <c r="MI52" s="517">
        <f t="shared" si="164"/>
        <v>0</v>
      </c>
      <c r="MJ52" s="251">
        <f t="shared" si="89"/>
        <v>3.93390885</v>
      </c>
      <c r="MK52" s="251">
        <f t="shared" si="165"/>
        <v>3.93390885</v>
      </c>
      <c r="ML52" s="251">
        <f t="shared" si="227"/>
        <v>0</v>
      </c>
      <c r="MM52" s="251">
        <f t="shared" si="91"/>
        <v>0</v>
      </c>
      <c r="MN52" s="251">
        <f t="shared" si="92"/>
        <v>5.33390885</v>
      </c>
      <c r="MO52" s="251">
        <f t="shared" si="166"/>
        <v>0</v>
      </c>
      <c r="MP52" s="251">
        <f t="shared" si="167"/>
        <v>11.52124312</v>
      </c>
      <c r="MQ52" s="251">
        <f t="shared" si="228"/>
        <v>11.52124312</v>
      </c>
      <c r="MR52" s="314">
        <f t="shared" si="168"/>
        <v>11.52124312</v>
      </c>
      <c r="MS52" s="530">
        <f t="shared" si="94"/>
        <v>11.69724312</v>
      </c>
      <c r="MT52" s="530">
        <f t="shared" si="95"/>
        <v>11.85724312</v>
      </c>
      <c r="MU52" s="530">
        <f t="shared" si="232"/>
        <v>12.29724312</v>
      </c>
      <c r="MV52" s="530">
        <f t="shared" si="97"/>
        <v>15.29724312</v>
      </c>
      <c r="MW52" s="530">
        <f t="shared" si="98"/>
        <v>15.45724312</v>
      </c>
      <c r="MX52" s="326">
        <f t="shared" si="233"/>
        <v>4.53390885</v>
      </c>
      <c r="MY52" s="326">
        <f t="shared" si="100"/>
        <v>0</v>
      </c>
      <c r="MZ52" s="251">
        <f t="shared" si="101"/>
        <v>5.93390885</v>
      </c>
      <c r="NA52" s="251">
        <f t="shared" si="102"/>
        <v>0</v>
      </c>
      <c r="NB52" s="251">
        <f t="shared" si="169"/>
        <v>12.81724312</v>
      </c>
      <c r="NC52" s="326">
        <f t="shared" si="229"/>
        <v>12.81724312</v>
      </c>
      <c r="ND52" s="314">
        <f t="shared" si="234"/>
        <v>12.81724312</v>
      </c>
      <c r="NE52" s="537">
        <f t="shared" si="235"/>
        <v>13.05724312</v>
      </c>
      <c r="NF52" s="530">
        <f t="shared" si="106"/>
        <v>13.21724312</v>
      </c>
      <c r="NG52" s="538">
        <f t="shared" si="236"/>
        <v>13.65724312</v>
      </c>
      <c r="NH52" s="326">
        <f t="shared" si="108"/>
        <v>16.65724312</v>
      </c>
      <c r="NI52" s="530">
        <f t="shared" si="109"/>
        <v>16.81724312</v>
      </c>
      <c r="NK52" s="539">
        <f t="shared" si="110"/>
        <v>0.446321625549306</v>
      </c>
      <c r="NL52" s="539">
        <f t="shared" si="111"/>
        <v>18.2441708352132</v>
      </c>
      <c r="NM52" s="539">
        <f t="shared" si="112"/>
        <v>0.446321625549306</v>
      </c>
      <c r="NN52" s="539">
        <f t="shared" si="113"/>
        <v>18.3558077598311</v>
      </c>
      <c r="NO52" s="539">
        <f t="shared" si="114"/>
        <v>0.66278403229696</v>
      </c>
      <c r="NP52" s="539">
        <f t="shared" si="115"/>
        <v>18.9775293247622</v>
      </c>
      <c r="NQ52" s="539">
        <f t="shared" si="116"/>
        <v>0.66278403229696</v>
      </c>
      <c r="NR52" s="539">
        <f t="shared" si="117"/>
        <v>19.1004149329913</v>
      </c>
      <c r="NS52" s="539">
        <f t="shared" si="118"/>
        <v>0.462772470537119</v>
      </c>
      <c r="NT52" s="539">
        <f t="shared" si="119"/>
        <v>0.462772470537119</v>
      </c>
      <c r="NU52" s="539">
        <f t="shared" si="120"/>
        <v>0.681134570528384</v>
      </c>
      <c r="NV52" s="539">
        <f t="shared" si="121"/>
        <v>0.681134570528384</v>
      </c>
      <c r="NW52">
        <f t="shared" si="122"/>
        <v>0.534301314252887</v>
      </c>
      <c r="NX52">
        <f>各项系数!$M$9*NK52</f>
        <v>0.133896487664792</v>
      </c>
      <c r="NY52">
        <f t="shared" si="123"/>
        <v>0.462772470537119</v>
      </c>
    </row>
    <row r="53" customHeight="1" spans="1:389">
      <c r="A53" s="91">
        <v>16</v>
      </c>
      <c r="B53" s="86">
        <v>1</v>
      </c>
      <c r="C53" s="83"/>
      <c r="D53" s="69" t="s">
        <v>207</v>
      </c>
      <c r="E53" s="70">
        <f t="shared" si="255"/>
        <v>17.51900981</v>
      </c>
      <c r="F53" s="84">
        <f>$F$21</f>
        <v>165.416818206689</v>
      </c>
      <c r="G53" s="74"/>
      <c r="H53" s="78"/>
      <c r="I53" s="78"/>
      <c r="J53" s="78"/>
      <c r="K53" s="78"/>
      <c r="L53" s="118" t="s">
        <v>467</v>
      </c>
      <c r="M53" s="124">
        <f t="shared" si="2"/>
        <v>0.7</v>
      </c>
      <c r="N53" s="124">
        <f t="shared" si="252"/>
        <v>0</v>
      </c>
      <c r="O53" s="69">
        <f t="shared" si="265"/>
        <v>0.08</v>
      </c>
      <c r="P53" s="120">
        <v>0.1</v>
      </c>
      <c r="Q53" s="162">
        <f t="shared" si="253"/>
        <v>0.1</v>
      </c>
      <c r="R53" s="86">
        <v>0.8</v>
      </c>
      <c r="S53" s="171" t="str">
        <f>各项系数!$D$43</f>
        <v>钢带</v>
      </c>
      <c r="T53" s="74">
        <v>0.2</v>
      </c>
      <c r="U53" s="78">
        <v>2</v>
      </c>
      <c r="V53" s="172"/>
      <c r="W53" s="170">
        <v>1.8</v>
      </c>
      <c r="X53" s="164">
        <f t="shared" si="254"/>
        <v>0.2</v>
      </c>
      <c r="Y53" s="219"/>
      <c r="Z53" s="220"/>
      <c r="AA53" s="217">
        <f>$AA$21</f>
        <v>1.011</v>
      </c>
      <c r="AB53" s="186">
        <f>PI()*EJ53*EJ53/4*EH53*(1-H53)*AA53*各项系数!$F$5*各项系数!$J$4*10^-7</f>
        <v>0.134531270768238</v>
      </c>
      <c r="AC53" s="186">
        <f t="shared" si="256"/>
        <v>165.416818206689</v>
      </c>
      <c r="AD53" s="186">
        <f t="shared" si="5"/>
        <v>15.2089209566661</v>
      </c>
      <c r="AE53" s="186">
        <f>POWER(4*EU53/PI()/EG53/10^-7/EH53/(1-H53)/各项系数!$F$5/各项系数!$J$4,0.5)</f>
        <v>166.32412244418</v>
      </c>
      <c r="AF53" s="218">
        <v>1</v>
      </c>
      <c r="AG53" s="85">
        <f>IF(EM53=0,0,PI()*ER53*ER53/4*EP53*(1-K53)*(1+AF53)*各项系数!$F$5*各项系数!$J$4*10^-7)</f>
        <v>0</v>
      </c>
      <c r="AH53" s="85">
        <f t="shared" si="257"/>
        <v>0</v>
      </c>
      <c r="AI53" s="85">
        <f t="shared" si="128"/>
        <v>0</v>
      </c>
      <c r="AJ53" s="85">
        <f>IF(OR(EP53="",EP53=0),0,POWER(4*EW53/PI()/EO53/10^-7/EP53/(1-K53)/各项系数!$F$5/各项系数!$J$4,0.5))</f>
        <v>0</v>
      </c>
      <c r="AK53" s="85" t="str">
        <f t="shared" si="8"/>
        <v>√</v>
      </c>
      <c r="AL53" s="85">
        <f t="shared" si="258"/>
        <v>29.3357617735112</v>
      </c>
      <c r="AM53" s="250">
        <f t="shared" si="259"/>
        <v>16</v>
      </c>
      <c r="AN53" s="118" t="s">
        <v>486</v>
      </c>
      <c r="AO53" s="259">
        <f>AP53+各项系数!$M$9*$NK53</f>
        <v>28.7605507583443</v>
      </c>
      <c r="AP53" s="259">
        <f>AQ53*(1+$BI53+(VLOOKUP($AM53,$A$12:$B$323,2,0))+各项系数!$J$6+各项系数!$M$5)*(1+$E$2)</f>
        <v>28.5681033960017</v>
      </c>
      <c r="AQ53" s="260">
        <f>AR53+各项系数!$L$9*$NK53</f>
        <v>29.1511259142875</v>
      </c>
      <c r="AR53" s="260">
        <f>AS53*(1+$BJ53+各项系数!$J$5+各项系数!$L$5)</f>
        <v>28.9586785519448</v>
      </c>
      <c r="AS53" s="260">
        <f t="shared" si="129"/>
        <v>28.3908613254361</v>
      </c>
      <c r="AT53" s="259">
        <f>AU53+各项系数!$M$9*$NM53</f>
        <v>29.640221144314</v>
      </c>
      <c r="AU53" s="259">
        <f>AV53*(1+$BI53+(VLOOKUP($AM53,$A$12:$B$323,2,0))+各项系数!$J$6+各项系数!$M$5)*(1+$E$2)</f>
        <v>29.4477737819714</v>
      </c>
      <c r="AV53" s="260">
        <f>AW53+各项系数!$L$9*$NM53</f>
        <v>30.0487487571137</v>
      </c>
      <c r="AW53" s="260">
        <f>AX53*(1+$BJ53+各项系数!$J$5+各项系数!$L$5)</f>
        <v>29.8563013947711</v>
      </c>
      <c r="AX53" s="260">
        <f t="shared" si="130"/>
        <v>29.2708837203638</v>
      </c>
      <c r="AY53" s="259">
        <f>AZ53+各项系数!$M$9*$NS53</f>
        <v>30.1047805648711</v>
      </c>
      <c r="AZ53" s="259">
        <f>BA53*(1+$BI53+(VLOOKUP($AM53,$A$12:$B$214,2,0))+各项系数!$J$6+各项系数!$M$5)*(1+$E$2)</f>
        <v>29.9064669177447</v>
      </c>
      <c r="BA53" s="260">
        <f>BB53+各项系数!$L$9*$NS53</f>
        <v>30.5168029772905</v>
      </c>
      <c r="BB53" s="260">
        <f>BC53*(1+$BJ53+各项系数!$J$5+各项系数!$L$5)</f>
        <v>30.318489330164</v>
      </c>
      <c r="BC53" s="262">
        <f t="shared" si="131"/>
        <v>29.7240091472196</v>
      </c>
      <c r="BD53" s="259">
        <f>BE53+各项系数!$M$9*$NS53</f>
        <v>30.9934049029953</v>
      </c>
      <c r="BE53" s="259">
        <f>BF53*(1+$BI53+(VLOOKUP($AM53,$A$12:$B$214,2,0))+各项系数!$J$6+各项系数!$M$5)*(1+$E$2)</f>
        <v>30.7950912558689</v>
      </c>
      <c r="BF53" s="260">
        <f>BG53+各项系数!$L$9*$NS53</f>
        <v>31.4235625059886</v>
      </c>
      <c r="BG53" s="260">
        <f>BH53*(1+$BJ53+各项系数!$J$5+各项系数!$L$5)</f>
        <v>31.2252488588622</v>
      </c>
      <c r="BH53" s="262">
        <f t="shared" si="132"/>
        <v>30.6129890773159</v>
      </c>
      <c r="BI53" s="277"/>
      <c r="BJ53" s="272"/>
      <c r="BK53" s="69" t="s">
        <v>514</v>
      </c>
      <c r="BL53" s="259">
        <f>BM53+各项系数!$M$9*$NM53</f>
        <v>29.1700166837554</v>
      </c>
      <c r="BM53" s="259">
        <f>BN53*(1+$CF53+(VLOOKUP($AM53,$A$12:$B$323,2,0))+各项系数!$J$6+各项系数!$M$5)*(1+$E$2)</f>
        <v>28.9775693214128</v>
      </c>
      <c r="BN53" s="260">
        <f>BO53+各项系数!$L$9*$NM53</f>
        <v>29.5689482871559</v>
      </c>
      <c r="BO53" s="260">
        <f>BP53*(1+$CG53+各项系数!$J$5+各项系数!$L$5)</f>
        <v>29.3765009248133</v>
      </c>
      <c r="BP53" s="260">
        <f t="shared" si="133"/>
        <v>28.5208746842847</v>
      </c>
      <c r="BQ53" s="259">
        <f>BR53+各项系数!$M$9*$NM53</f>
        <v>29.9270758047736</v>
      </c>
      <c r="BR53" s="259">
        <f>BS53*(1+$CF53+(VLOOKUP($AM53,$A$12:$B$323,2,0))+各项系数!$J$6+各项系数!$M$5)*(1+$E$2)</f>
        <v>29.734628442431</v>
      </c>
      <c r="BS53" s="260">
        <f>BT53+各项系数!$L$9*$NM53</f>
        <v>30.3414575943173</v>
      </c>
      <c r="BT53" s="260">
        <f>BU53*(1+$CG53+各项系数!$J$5+各项系数!$L$5)</f>
        <v>30.1490102319747</v>
      </c>
      <c r="BU53" s="260">
        <f t="shared" si="134"/>
        <v>29.2708837203638</v>
      </c>
      <c r="BV53" s="259">
        <f>BW53+各项系数!$M$9*$NT53</f>
        <v>30.3423979141068</v>
      </c>
      <c r="BW53" s="259">
        <f>BX53*(1+$CF53+(VLOOKUP($AM53,$A$12:$B$214,2,0))+各项系数!$J$6+各项系数!$M$5)*(1+$E$2)</f>
        <v>30.1440842669804</v>
      </c>
      <c r="BX53" s="260">
        <f>BY53+各项系数!$L$9*$NT$12</f>
        <v>30.759269660184</v>
      </c>
      <c r="BY53" s="260">
        <f>BZ53*(1+$CG53+各项系数!$J$5+各项系数!$L$5)</f>
        <v>30.7510062570291</v>
      </c>
      <c r="BZ53" s="262">
        <f t="shared" si="11"/>
        <v>29.8553458806107</v>
      </c>
      <c r="CA53" s="259">
        <f>CB53+各项系数!$M$9*$NT53</f>
        <v>31.107162956861</v>
      </c>
      <c r="CB53" s="259">
        <f>CC53*(1+$CF53+(VLOOKUP($AM53,$A$12:$B$214,2,0))+各项系数!$J$6+各项系数!$M$5)*(1+$E$2)</f>
        <v>30.9088493097345</v>
      </c>
      <c r="CC53" s="260">
        <f>CD53+各项系数!$L$9*$NT$12</f>
        <v>31.5396421527903</v>
      </c>
      <c r="CD53" s="260">
        <f>CE53*(1+$CG53+各项系数!$J$5+各项系数!$L$5)</f>
        <v>31.5313787496354</v>
      </c>
      <c r="CE53" s="262">
        <f t="shared" si="135"/>
        <v>30.6129890773159</v>
      </c>
      <c r="CF53" s="277">
        <f t="shared" si="136"/>
        <v>0</v>
      </c>
      <c r="CG53" s="277">
        <f t="shared" si="12"/>
        <v>0.01</v>
      </c>
      <c r="CH53" s="123"/>
      <c r="CI53" s="259">
        <f>CJ53+各项系数!$M$9*$NO53</f>
        <v>30.0100001209521</v>
      </c>
      <c r="CJ53" s="259">
        <f>CK53*(1+$DC53+(VLOOKUP($AM53,$A$12:$B$323,2,0))+各项系数!$J$6+各项系数!$M$5)*(1+$E$2)+各项系数!$M$9*$NK53</f>
        <v>29.7311564883825</v>
      </c>
      <c r="CK53" s="260">
        <f>CL53+各项系数!$L$9*$NO53</f>
        <v>30.1415399245304</v>
      </c>
      <c r="CL53" s="260">
        <f>CM53*(1+$DD53+各项系数!$J$5+各项系数!$L$5)</f>
        <v>29.8626962919608</v>
      </c>
      <c r="CM53" s="260">
        <f t="shared" si="13"/>
        <v>29.2771532274125</v>
      </c>
      <c r="CN53" s="259">
        <f>CO53+各项系数!$M$9*$NO53</f>
        <v>30.7772286655442</v>
      </c>
      <c r="CO53" s="259">
        <f>CP53*(1+$DC53+(VLOOKUP($AM53,$A$12:$B$323,2,0))+各项系数!$J$6+各项系数!$M$5)*(1+$E$2)+各项系数!$M$9*$NK53</f>
        <v>30.4983850329746</v>
      </c>
      <c r="CP53" s="260">
        <f>CQ53+各项系数!$L$9*$NO53</f>
        <v>30.9244261945224</v>
      </c>
      <c r="CQ53" s="260">
        <f>CR53*(1+$DD53+各项系数!$J$5+各项系数!$L$5)</f>
        <v>30.6455825619527</v>
      </c>
      <c r="CR53" s="260">
        <f t="shared" si="14"/>
        <v>30.0446887862281</v>
      </c>
      <c r="CS53" s="259">
        <f>CT53+各项系数!$M$9*$NU53</f>
        <v>31.2910889851491</v>
      </c>
      <c r="CT53" s="259">
        <f t="shared" si="15"/>
        <v>31.0058091598225</v>
      </c>
      <c r="CU53" s="260">
        <f>CV53+各项系数!$L$9*$NU53</f>
        <v>31.6385807753291</v>
      </c>
      <c r="CV53" s="260">
        <f>CW53*(1+$DD53+各项系数!$J$5+各项系数!$L$5)</f>
        <v>31.3533009500026</v>
      </c>
      <c r="CW53" s="262">
        <f t="shared" si="16"/>
        <v>30.7385303431398</v>
      </c>
      <c r="CX53" s="259">
        <f>CY53+各项系数!$M$9*$NU53</f>
        <v>32.2558219165867</v>
      </c>
      <c r="CY53" s="259">
        <f t="shared" si="17"/>
        <v>31.9705420912602</v>
      </c>
      <c r="CZ53" s="260">
        <f>DA53+各项系数!$L$9*$NU53</f>
        <v>32.623002133939</v>
      </c>
      <c r="DA53" s="260">
        <f>DB53*(1+$DD53+各项系数!$J$5+各项系数!$L$5)</f>
        <v>32.3377223086124</v>
      </c>
      <c r="DB53" s="262">
        <f t="shared" si="18"/>
        <v>31.703649322169</v>
      </c>
      <c r="DC53" s="277">
        <f t="shared" si="137"/>
        <v>0</v>
      </c>
      <c r="DD53" s="277">
        <f t="shared" si="19"/>
        <v>0</v>
      </c>
      <c r="DE53" s="69" t="s">
        <v>498</v>
      </c>
      <c r="DF53" s="69" t="s">
        <v>513</v>
      </c>
      <c r="DG53" s="259">
        <f>DH53+各项系数!$M$9*$NQ53</f>
        <v>30.4395061282397</v>
      </c>
      <c r="DH53" s="259">
        <f>DI53*(1+$EA53+(VLOOKUP($AM53,$A$12:$B$323,2,0))+各项系数!$J$6+各项系数!$M$5)*(1+$E$2)+各项系数!$M$9*$NK53</f>
        <v>30.16066249567</v>
      </c>
      <c r="DI53" s="260">
        <f>DJ53+各项系数!$L$9*$NQ53</f>
        <v>30.5798113605382</v>
      </c>
      <c r="DJ53" s="260">
        <f>DK53*(1+$EB53+各项系数!$J$5+各项系数!$L$5)</f>
        <v>30.3009677279685</v>
      </c>
      <c r="DK53" s="260">
        <f t="shared" si="20"/>
        <v>29.4184152698723</v>
      </c>
      <c r="DL53" s="259">
        <f>DM53+各项系数!$M$9*$NQ53</f>
        <v>31.2620655840137</v>
      </c>
      <c r="DM53" s="259">
        <f>DN53*(1+$EA53+(VLOOKUP($AM53,$A$12:$B$323,2,0))+各项系数!$J$6+各项系数!$M$5)*(1+$E$2)+各项系数!$M$9*$NK53</f>
        <v>30.983221951444</v>
      </c>
      <c r="DN53" s="260">
        <f>DO53+各项系数!$L$9*$NQ53</f>
        <v>31.419157743981</v>
      </c>
      <c r="DO53" s="260">
        <f>DP53*(1+$EB53+各项系数!$J$5+各项系数!$L$5)</f>
        <v>31.1403141114114</v>
      </c>
      <c r="DP53" s="260">
        <f t="shared" si="21"/>
        <v>30.2333146712732</v>
      </c>
      <c r="DQ53" s="259">
        <f>DR53+各项系数!$M$9*$NV53</f>
        <v>31.736252302434</v>
      </c>
      <c r="DR53" s="259">
        <f t="shared" si="22"/>
        <v>31.4509724771074</v>
      </c>
      <c r="DS53" s="260">
        <f>DT53+各项系数!$L$9*$NV53</f>
        <v>32.0928290582729</v>
      </c>
      <c r="DT53" s="260">
        <f>DU53*(1+$EB53+各项系数!$J$5+各项系数!$L$5)</f>
        <v>31.8075492329463</v>
      </c>
      <c r="DU53" s="262">
        <f t="shared" si="23"/>
        <v>30.8811157601421</v>
      </c>
      <c r="DV53" s="259">
        <f>DW53+各项系数!$M$9*$NV53</f>
        <v>32.1009353823166</v>
      </c>
      <c r="DW53" s="259">
        <f t="shared" si="24"/>
        <v>31.8156555569901</v>
      </c>
      <c r="DX53" s="260">
        <f>DY53+各项系数!$L$9*$NV53</f>
        <v>32.4649546499899</v>
      </c>
      <c r="DY53" s="260">
        <f>DZ53*(1+$EB53+各项系数!$J$5+各项系数!$L$5)</f>
        <v>32.1796748246633</v>
      </c>
      <c r="DZ53" s="262">
        <f t="shared" si="25"/>
        <v>31.2424027423916</v>
      </c>
      <c r="EA53" s="277">
        <f t="shared" si="230"/>
        <v>0</v>
      </c>
      <c r="EB53" s="277">
        <f t="shared" si="27"/>
        <v>0.01</v>
      </c>
      <c r="EC53" s="302">
        <f t="shared" si="138"/>
        <v>3</v>
      </c>
      <c r="ED53" s="302" t="str">
        <f t="shared" si="266"/>
        <v>3*16</v>
      </c>
      <c r="EE53" s="251">
        <f t="shared" si="239"/>
        <v>16</v>
      </c>
      <c r="EF53" s="251" t="str">
        <f>LOOKUP(EH53,{1,7,10,14,19,24,30,37,48,61},{1,"1+6","2+8","4+10","1+6+12","2+8+14","4+10+16","1+6+12+18","3+9+15+21","1+6+12+18+24"})</f>
        <v>1+6</v>
      </c>
      <c r="EG53" s="250">
        <f t="shared" si="29"/>
        <v>3</v>
      </c>
      <c r="EH53" s="260">
        <f>VLOOKUP(EE53,各项系数!$B$87:$C$124,2,0)</f>
        <v>7</v>
      </c>
      <c r="EI53" s="250">
        <f>IF(EH53=0,0,VLOOKUP(EH53,各项系数!$D$142:$E$195,2,0))*1</f>
        <v>3</v>
      </c>
      <c r="EJ53" s="305">
        <f t="shared" si="141"/>
        <v>165.416818206689</v>
      </c>
      <c r="EK53" s="251">
        <f t="shared" si="261"/>
        <v>0</v>
      </c>
      <c r="EL53" s="251">
        <f t="shared" si="31"/>
        <v>0</v>
      </c>
      <c r="EM53" s="251">
        <f t="shared" si="267"/>
        <v>0</v>
      </c>
      <c r="EN53" s="251">
        <f>IF(EP53=0,0,LOOKUP(EP53,{1,7,10,14,19,24,30,37,48,61},{1,"1+6","2+8","4+10","1+6+12","2+8+14","4+10+16","1+6+12+18","3+9+15+21","1+6+12+18+24"}))</f>
        <v>0</v>
      </c>
      <c r="EO53" s="251">
        <f t="shared" si="263"/>
        <v>0</v>
      </c>
      <c r="EP53" s="251">
        <f>IF(EM53=0,0,IF(EM53&lt;10,1,IF(AND(EM53&gt;=10,EM53&lt;=35),7,LOOKUP(EM53,{50,70,95,120,150,185,240,300},{10,14,19,24,30,37,48,61})*1)))</f>
        <v>0</v>
      </c>
      <c r="EQ53" s="251">
        <f>IF(EP53=0,0,VLOOKUP(EP53,各项系数!$D$142:$E$195,2,0))*1</f>
        <v>0</v>
      </c>
      <c r="ER53" s="251">
        <f t="shared" si="264"/>
        <v>0</v>
      </c>
      <c r="ES53" s="302">
        <f t="shared" si="250"/>
        <v>3</v>
      </c>
      <c r="ET53" s="251">
        <f>VLOOKUP(ES53,各项系数!$D$142:$E$195,2,0)*1</f>
        <v>2.16</v>
      </c>
      <c r="EU53" s="311">
        <f>((各项系数!$F$76/4*$EJ53^2*$EG53*$EH53*1*10^-7)*(1-$H53)*AA53)*(VLOOKUP($EY$9,各项系数!$D$4:$F$143,3,0))*各项系数!$J$4</f>
        <v>0.403593812304714</v>
      </c>
      <c r="EV53" s="312">
        <f>EU53*(VLOOKUP($EY$9,各项系数!$D$4:$F$143,2,0))</f>
        <v>26.4353947059588</v>
      </c>
      <c r="EW53" s="324">
        <f>(IF($EO53=0,0,(各项系数!$F$76/4*$ER53^2*$EO53*$EP53*1*10^-7))*(1-$K53)*$AF53)*(VLOOKUP($EY$9,各项系数!$D$4:$F$143,3,0))*各项系数!$J$4</f>
        <v>0</v>
      </c>
      <c r="EX53" s="325">
        <f>EW53*(VLOOKUP($EY$9,各项系数!$D$4:$F$143,2,0))</f>
        <v>0</v>
      </c>
      <c r="EY53" s="251">
        <f>((各项系数!$F$76/4*$EJ53^2*$EG53*$EH53*1*10^-7)*(1-$H53)*AA53+IF($EO53=0,0,(各项系数!$F$76/4*$ER53^2*$EO53*$EP53*1*10^-7))*(1-$K53)*$AF53)*(VLOOKUP($EY$9,各项系数!$D$4:$F$143,3,0))*各项系数!$J$4</f>
        <v>0.403593812304714</v>
      </c>
      <c r="EZ53" s="123">
        <v>1</v>
      </c>
      <c r="FA53" s="251">
        <f t="shared" ref="FA53:FA84" si="268">EZ53*EY53</f>
        <v>0.403593812304714</v>
      </c>
      <c r="FB53" s="326">
        <f>FA53*(VLOOKUP($EY$9,各项系数!$D$4:$F$143,2,0))</f>
        <v>26.4353947059588</v>
      </c>
      <c r="FC53" s="327"/>
      <c r="FD53" s="302">
        <f>各项系数!$F$76/4*($MN53^2-MK53^2)*10^-2*(VLOOKUP(L53,各项系数!$D$1:$F$143,3,0))*10^-3*10^2*$EG53*各项系数!$J$4</f>
        <v>0.0408877767385716</v>
      </c>
      <c r="FE53" s="339">
        <f>FD53*VLOOKUP(L53,各项系数!$D$1:$F$143,2,0)</f>
        <v>0.417055322733431</v>
      </c>
      <c r="FF53" s="250">
        <f>各项系数!$F$76/4*($MO53^2-ML53^2)*10^-2*(VLOOKUP(L53,各项系数!$D$1:$F$143,3,0))*10^-3*10^2*$EO53*各项系数!$J$4</f>
        <v>0</v>
      </c>
      <c r="FG53" s="339">
        <f>FF53*VLOOKUP(L53,各项系数!$D$1:$F$143,2,0)</f>
        <v>0</v>
      </c>
      <c r="FH53" s="302">
        <f t="shared" si="142"/>
        <v>0.0408877767385716</v>
      </c>
      <c r="FI53" s="123">
        <v>1</v>
      </c>
      <c r="FJ53" s="251">
        <f t="shared" ref="FJ53:FJ84" si="269">FI53*FH53</f>
        <v>0.0408877767385716</v>
      </c>
      <c r="FK53" s="339">
        <f>FJ53*VLOOKUP(L53,各项系数!$D$1:$F$143,2,0)</f>
        <v>0.417055322733431</v>
      </c>
      <c r="FL53" s="302"/>
      <c r="FM53" s="123"/>
      <c r="FN53" s="251"/>
      <c r="FO53" s="339"/>
      <c r="FP53" s="364">
        <f t="shared" ref="FP53:FP84" si="270">FJ53</f>
        <v>0.0408877767385716</v>
      </c>
      <c r="FQ53" s="364">
        <f t="shared" ref="FQ53:FQ84" si="271">FK53</f>
        <v>0.417055322733431</v>
      </c>
      <c r="FR53" s="365">
        <f>各项系数!$F$76/4*($MQ53^2-$MN53^2*$EG53-$MO53^2*$EO53)*10^-2</f>
        <v>0.529561988959581</v>
      </c>
      <c r="FS53" s="366">
        <f t="shared" si="143"/>
        <v>1</v>
      </c>
      <c r="FT53" s="367">
        <f t="shared" si="40"/>
        <v>0.529561988959581</v>
      </c>
      <c r="FU53" s="388">
        <f>$FT53*(VLOOKUP($FT$9,各项系数!$D$1:$F$143,3,0))*10^-3*10^2*各项系数!$J$55</f>
        <v>0.063229701481774</v>
      </c>
      <c r="FV53" s="389">
        <v>1</v>
      </c>
      <c r="FW53" s="390">
        <f t="shared" ref="FW53:FW84" si="272">FV53*FU53</f>
        <v>0.063229701481774</v>
      </c>
      <c r="FX53" s="367">
        <f>FW53*(VLOOKUP($FT$9,各项系数!$D$1:$F$143,2,0))</f>
        <v>0.189689104445322</v>
      </c>
      <c r="FY53" s="388">
        <f>IF($BK53&lt;&gt;$FY$9,0,各项系数!$F$76/4*($MS53^2-$MQ53^2)*10^-2*(VLOOKUP($FY$9,各项系数!$D$1:$F$143,3,0))*10^-3*10^2)*各项系数!$J$4</f>
        <v>0</v>
      </c>
      <c r="FZ53" s="389">
        <v>1</v>
      </c>
      <c r="GA53" s="390">
        <f t="shared" ref="GA53:GA84" si="273">FZ53*FY53</f>
        <v>0</v>
      </c>
      <c r="GB53" s="367">
        <f>GA53*(VLOOKUP($FY$9,各项系数!$D$1:$F$143,2,0))</f>
        <v>0</v>
      </c>
      <c r="GC53" s="388">
        <f>IF($BK53&lt;&gt;$GC$9,0,各项系数!$F$76/4*($MS53^2-$MQ53^2)*10^-2*(VLOOKUP($GC$9,各项系数!$D$1:$F$143,3,0))*10^-3*10^2)*各项系数!$J$4</f>
        <v>0.00376655843507703</v>
      </c>
      <c r="GD53" s="389">
        <v>1</v>
      </c>
      <c r="GE53" s="390">
        <f t="shared" ref="GE53:GE84" si="274">GD53*GC53</f>
        <v>0.00376655843507703</v>
      </c>
      <c r="GF53" s="367">
        <f>GE53*(VLOOKUP($GC$9,各项系数!$D$1:$F$143,2,0))</f>
        <v>0.0485886038124937</v>
      </c>
      <c r="GG53" s="388">
        <f>IF($BK53&lt;&gt;$GG$9,0,各项系数!$F$76/4*($MS53^2-$MQ53^2)*10^-2*(VLOOKUP($GG$9,各项系数!$D$1:$F$143,3,0))*10^-3*10^2)*各项系数!$J$4</f>
        <v>0</v>
      </c>
      <c r="GH53" s="389">
        <v>1</v>
      </c>
      <c r="GI53" s="390">
        <f t="shared" ref="GI53:GI84" si="275">GH53*GG53</f>
        <v>0</v>
      </c>
      <c r="GJ53" s="367">
        <f>GI53*(VLOOKUP($GG$9,各项系数!$D$1:$F$143,2,0))</f>
        <v>0</v>
      </c>
      <c r="GK53" s="388">
        <f>IF($BK53&lt;&gt;$GK$9,0,各项系数!$F$76/4*($MS53^2-$MQ53^2)*10^-2*(VLOOKUP($GK$9,各项系数!$D$1:$F$143,3,0))*10^-3*10^2)*各项系数!$J$4</f>
        <v>0</v>
      </c>
      <c r="GL53" s="389">
        <v>1</v>
      </c>
      <c r="GM53" s="390">
        <f t="shared" ref="GM53:GM84" si="276">GL53*GK53</f>
        <v>0</v>
      </c>
      <c r="GN53" s="367">
        <f>GM53*(VLOOKUP($GK$9,各项系数!$D$1:$F$143,2,0))</f>
        <v>0</v>
      </c>
      <c r="GO53" s="390">
        <f t="shared" ref="GO53:GO84" si="277">GM53+GI53+GE53+GA53</f>
        <v>0.00376655843507703</v>
      </c>
      <c r="GP53" s="390">
        <f t="shared" ref="GP53:GP84" si="278">GN53+GJ53+GF53+GB53</f>
        <v>0.0485886038124937</v>
      </c>
      <c r="GQ53" s="406">
        <f>各项系数!$F$76/4*($MU53^2-$MS53^2)*10^-2*(VLOOKUP($S53,各项系数!$D$1:$F$143,3,0))*10^-3*10^2*各项系数!$J$4</f>
        <v>0.104272626989739</v>
      </c>
      <c r="GR53" s="389">
        <v>1</v>
      </c>
      <c r="GS53" s="390">
        <f t="shared" ref="GS53:GS84" si="279">$GR53*$GQ53</f>
        <v>0.104272626989739</v>
      </c>
      <c r="GT53" s="390">
        <f t="shared" si="200"/>
        <v>0</v>
      </c>
      <c r="GU53" s="390">
        <f>ROUND($GS53*(VLOOKUP($S53,各项系数!$D$1:$F$143,2,0))+$E$3*GS53,GT53)</f>
        <v>1</v>
      </c>
      <c r="GV53" s="406">
        <f>各项系数!$F$76/4*($MT53^2-$MS53^2)*10^-2*(VLOOKUP($GV$9,各项系数!$D$1:$F$143,3,0))*10^-3*10^2*各项系数!$J$4*PI()/4*R53</f>
        <v>0.0195542826127195</v>
      </c>
      <c r="GW53" s="389">
        <v>1</v>
      </c>
      <c r="GX53" s="390">
        <f t="shared" ref="GX53:GX84" si="280">$GW53*$GV53</f>
        <v>0.0195542826127195</v>
      </c>
      <c r="GY53" s="390">
        <f>$GX53*(VLOOKUP($GV$9,各项系数!$D$1:$F$143,2,0))</f>
        <v>1.31991407635857</v>
      </c>
      <c r="GZ53" s="406">
        <f>各项系数!$F$76/4*($MV53^2-$MS53^2)*10^-2*(VLOOKUP($GZ$9,各项系数!$D$1:$F$143,3,0))*10^-3*10^2*各项系数!$J$4</f>
        <v>0.128244469612575</v>
      </c>
      <c r="HA53" s="389">
        <v>1</v>
      </c>
      <c r="HB53" s="390">
        <f t="shared" si="144"/>
        <v>0.128244469612575</v>
      </c>
      <c r="HC53" s="390">
        <f>HB53*(VLOOKUP($GZ$9,各项系数!$D$1:$F$143,2,0))</f>
        <v>2.18015598341378</v>
      </c>
      <c r="HD53" s="406">
        <f>各项系数!$F$76/4*($MW53^2-$MT53^2)*10^-2*(VLOOKUP($HD$9,各项系数!$D$1:$F$143,3,0))*10^-3*10^2*各项系数!$J$4</f>
        <v>0.129549839059254</v>
      </c>
      <c r="HE53" s="389">
        <v>1</v>
      </c>
      <c r="HF53" s="390">
        <f t="shared" si="145"/>
        <v>0.129549839059254</v>
      </c>
      <c r="HG53" s="390">
        <f>HF53*(VLOOKUP($HD$9,各项系数!$D$1:$F$143,2,0))</f>
        <v>2.20234726400731</v>
      </c>
      <c r="HH53" s="406">
        <f>各项系数!$F$76/4*($MV53^2-$MS53^2)*10^-2*(VLOOKUP($HH$9,各项系数!$D$1:$F$143,3,0))*10^-3*10^2*各项系数!$J$4</f>
        <v>0.128244469612575</v>
      </c>
      <c r="HI53" s="420">
        <v>1</v>
      </c>
      <c r="HJ53" s="390">
        <f t="shared" si="146"/>
        <v>0.128244469612575</v>
      </c>
      <c r="HK53" s="390">
        <f>HJ53*(VLOOKUP($HH$9,各项系数!$D$1:$F$143,2,0))</f>
        <v>2.18015598341378</v>
      </c>
      <c r="HL53" s="406">
        <f>各项系数!$F$76/4*($MW53^2-$MT53^2)*10^-2*(VLOOKUP($HL$9,各项系数!$D$1:$F$143,3,0))*10^-3*10^2*各项系数!$J$4</f>
        <v>0.129549839059254</v>
      </c>
      <c r="HM53" s="420">
        <v>1</v>
      </c>
      <c r="HN53" s="390">
        <f t="shared" si="147"/>
        <v>0.129549839059254</v>
      </c>
      <c r="HO53" s="390">
        <f>HN53*(VLOOKUP($HL$9,各项系数!$D$1:$F$143,2,0))</f>
        <v>2.20234726400731</v>
      </c>
      <c r="HP53" s="406">
        <f>各项系数!$F$76/4*($MV53^2-$MS53^2)*10^-2*(VLOOKUP(AN53,各项系数!$D$1:$F$143,3,0))*10^-3*10^2*各项系数!$J$4</f>
        <v>0.130013358848611</v>
      </c>
      <c r="HQ53" s="389">
        <v>1</v>
      </c>
      <c r="HR53" s="390">
        <f t="shared" ref="HR53:HR84" si="281">HQ53*HP53</f>
        <v>0.130013358848611</v>
      </c>
      <c r="HS53" s="390">
        <f>HR53*(VLOOKUP(AN53,各项系数!$D$1:$F$143,2,0))</f>
        <v>1.30013358848611</v>
      </c>
      <c r="HT53" s="406">
        <f>各项系数!$F$76/4*($MW53^2-$MT53^2)*10^-2*(VLOOKUP(AN53,各项系数!$D$1:$F$143,3,0))*10^-3*10^2*各项系数!$J$4</f>
        <v>0.131336733391105</v>
      </c>
      <c r="HU53" s="389">
        <v>1</v>
      </c>
      <c r="HV53" s="390">
        <f t="shared" ref="HV53:HV84" si="282">HU53*HT53</f>
        <v>0.131336733391105</v>
      </c>
      <c r="HW53" s="390">
        <f>HV53*(VLOOKUP(AN53,各项系数!$D$1:$F$143,2,0))</f>
        <v>1.31336733391105</v>
      </c>
      <c r="HX53" s="406">
        <f>各项系数!$F$76/4*($MV53^2-$MS53^2)*10^-2*(VLOOKUP($HX$9,各项系数!$D$1:$F$143,3,0))*10^-3*10^2*各项系数!$J$4</f>
        <v>0.130013358848611</v>
      </c>
      <c r="HY53" s="420">
        <v>1</v>
      </c>
      <c r="HZ53" s="390">
        <f t="shared" ref="HZ53:HZ84" si="283">HY53*HX53</f>
        <v>0.130013358848611</v>
      </c>
      <c r="IA53" s="390">
        <f>HZ53*(VLOOKUP($HX$9,各项系数!$D$1:$F$143,2,0))</f>
        <v>1.43014694733472</v>
      </c>
      <c r="IB53" s="406">
        <f>各项系数!$F$76/4*($MW53^2-$MT53^2)*10^-2*(VLOOKUP($IB$9,各项系数!$D$1:$F$143,3,0))*10^-3*10^2*各项系数!$J$4</f>
        <v>0.131336733391105</v>
      </c>
      <c r="IC53" s="420">
        <v>1</v>
      </c>
      <c r="ID53" s="390">
        <f t="shared" ref="ID53:ID84" si="284">IC53*IB53</f>
        <v>0.131336733391105</v>
      </c>
      <c r="IE53" s="390">
        <f>ID53*(VLOOKUP($IB$9,各项系数!$D$1:$F$143,2,0))</f>
        <v>1.44470406730216</v>
      </c>
      <c r="IF53" s="429"/>
      <c r="IG53" s="406">
        <f t="shared" si="148"/>
        <v>0.0222074762053525</v>
      </c>
      <c r="IH53" s="389">
        <v>1</v>
      </c>
      <c r="II53" s="390">
        <f t="shared" ref="II53:II84" si="285">IH53*IG53</f>
        <v>0.0222074762053525</v>
      </c>
      <c r="IJ53" s="390">
        <f>II53*(VLOOKUP($IG$8,各项系数!$D$1:$F$143,2,0))</f>
        <v>0.555186905133813</v>
      </c>
      <c r="IK53" s="406">
        <f>(各项系数!$F$76/4*($MX53^2-$MK53^2)*$EG53)*10^-2*(VLOOKUP($IG$8,各项系数!$D$1:$F$143,3,0))*10^-3*10^2*各项系数!$J$4</f>
        <v>0.0222074762053525</v>
      </c>
      <c r="IL53" s="389">
        <f>IK53*(VLOOKUP($IG$8,各项系数!$D$1:$F$143,2,0))</f>
        <v>0.555186905133813</v>
      </c>
      <c r="IM53" s="390">
        <f>(各项系数!$F$76/4*(($MM53+3*$X53)^2-MM53^2)*$EO53)*10^-2*(VLOOKUP($IG$8,各项系数!$D$1:$F$143,3,0))*10^-3*10^2*各项系数!$J$4</f>
        <v>0</v>
      </c>
      <c r="IN53" s="389">
        <f>IM53*(VLOOKUP($IG$8,各项系数!$D$1:$F$143,2,0))</f>
        <v>0</v>
      </c>
      <c r="IO53" s="406">
        <f>各项系数!$F$76/4*($MZ53^2-$MX53^2)*10^-2*(VLOOKUP(L53,各项系数!$D$1:$F$143,3,0))*10^-3*10^2*$ES53*各项系数!$J$4</f>
        <v>0.0452202529193578</v>
      </c>
      <c r="IP53" s="389">
        <v>1</v>
      </c>
      <c r="IQ53" s="390">
        <f t="shared" ref="IQ53:IQ84" si="286">IP53*IO53</f>
        <v>0.0452202529193578</v>
      </c>
      <c r="IR53" s="367">
        <f>IQ53*(VLOOKUP(L53,各项系数!$D$1:$F$143,2,0))</f>
        <v>0.461246579777449</v>
      </c>
      <c r="IS53" s="406">
        <f>IF($L53&lt;&gt;$IS$9,0,各项系数!$F$76/4*($MZ53^2-$MX53^2)*10^-2*各项系数!$F$12*10^-3*10^2)*$ES53*各项系数!$J$4</f>
        <v>0</v>
      </c>
      <c r="IT53" s="389">
        <v>1</v>
      </c>
      <c r="IU53" s="390">
        <f t="shared" ref="IU53:IU84" si="287">IT53*IS53</f>
        <v>0</v>
      </c>
      <c r="IV53" s="367">
        <f>IU53*各项系数!$E$12</f>
        <v>0</v>
      </c>
      <c r="IW53" s="388">
        <f t="shared" ref="IW53:IW84" si="288">IQ53</f>
        <v>0.0452202529193578</v>
      </c>
      <c r="IX53" s="388">
        <f t="shared" ref="IX53:IX84" si="289">IR53</f>
        <v>0.461246579777449</v>
      </c>
      <c r="IY53" s="447">
        <f>各项系数!$F$76/4*($NB53^2-$MZ53^2*$EG53-$NA53^2*$EO53)*10^-2</f>
        <v>0.634149386818714</v>
      </c>
      <c r="IZ53" s="366">
        <f t="shared" si="231"/>
        <v>1</v>
      </c>
      <c r="JA53" s="367">
        <f t="shared" si="64"/>
        <v>0.634149386818714</v>
      </c>
      <c r="JB53" s="364">
        <f>IF($DE53&lt;&gt;$JB$9,0,$JA53*各项系数!$F$32*10^-3*10^2)*各项系数!$J$4</f>
        <v>0</v>
      </c>
      <c r="JC53" s="123">
        <v>1</v>
      </c>
      <c r="JD53" s="251">
        <f t="shared" ref="JD53:JD84" si="290">JC53*JB53</f>
        <v>0</v>
      </c>
      <c r="JE53" s="339">
        <f>JD53*各项系数!$E$32</f>
        <v>0</v>
      </c>
      <c r="JF53" s="364">
        <f>IF($DE53&lt;&gt;$JF$9,0,$JA53*VLOOKUP($JF$9,各项系数!$D$4:$F$540,2,0)*10^-3*10^2)*各项系数!$J$4</f>
        <v>0.31548931994231</v>
      </c>
      <c r="JG53" s="123">
        <v>1</v>
      </c>
      <c r="JH53" s="251">
        <f t="shared" si="66"/>
        <v>0.31548931994231</v>
      </c>
      <c r="JI53" s="339">
        <f>JH53*VLOOKUP($JF$9,各项系数!$D$4:$F$540,3,0)</f>
        <v>0.378587183930773</v>
      </c>
      <c r="JJ53" s="364">
        <f t="shared" ref="JJ53:JJ84" si="291">JH53+JD53</f>
        <v>0.31548931994231</v>
      </c>
      <c r="JK53" s="251">
        <f t="shared" ref="JK53:JK84" si="292">JI53+JE53</f>
        <v>0.378587183930773</v>
      </c>
      <c r="JL53" s="364">
        <f>IF($DF53&lt;&gt;$JL$9,0,各项系数!$F$76/4*($NE53^2-$NC53^2)*10^-2*各项系数!$F$39*10^-3*10^2)*各项系数!$J$4</f>
        <v>0.00170587140067863</v>
      </c>
      <c r="JM53" s="123">
        <v>1</v>
      </c>
      <c r="JN53" s="251">
        <f t="shared" ref="JN53:JN84" si="293">JM53*JL53</f>
        <v>0.00170587140067863</v>
      </c>
      <c r="JO53" s="339">
        <f>JN53*各项系数!$E$39</f>
        <v>0.0341174280135726</v>
      </c>
      <c r="JP53" s="364">
        <f>IF($DF53&lt;&gt;$JP$9,0,各项系数!$F$76/4*($NE53^2-$NC53^2)*10^-2*各项系数!$F$36*10^-3*10^2)*各项系数!$J$4</f>
        <v>0</v>
      </c>
      <c r="JQ53" s="123">
        <v>1</v>
      </c>
      <c r="JR53" s="251">
        <f t="shared" ref="JR53:JR84" si="294">JQ53*JP53</f>
        <v>0</v>
      </c>
      <c r="JS53" s="339">
        <f>JR53*各项系数!$E$36</f>
        <v>0</v>
      </c>
      <c r="JT53" s="364">
        <f>IF($DF53&lt;&gt;$JT$9,0,各项系数!$F$76/4*($NE53^2-$NC53^2)*10^-2*各项系数!$F$40*10^-3*10^2)*各项系数!$J$4</f>
        <v>0</v>
      </c>
      <c r="JU53" s="123">
        <v>1</v>
      </c>
      <c r="JV53" s="251">
        <f t="shared" ref="JV53:JV84" si="295">JU53*JT53</f>
        <v>0</v>
      </c>
      <c r="JW53" s="339">
        <f>JV53*各项系数!$E$40</f>
        <v>0</v>
      </c>
      <c r="JX53" s="364">
        <f>IF($DF53&lt;&gt;$JX$9,0,各项系数!$F$76/4*($NE53^2-$NC53^2)*10^-2*各项系数!$F$38*10^-3*10^2)*各项系数!$J$4</f>
        <v>0</v>
      </c>
      <c r="JY53" s="123">
        <v>1</v>
      </c>
      <c r="JZ53" s="251">
        <f t="shared" ref="JZ53:JZ84" si="296">JY53*JX53</f>
        <v>0</v>
      </c>
      <c r="KA53" s="339">
        <f>JZ53*各项系数!$E$38</f>
        <v>0</v>
      </c>
      <c r="KB53" s="364">
        <f>IF($DF53&lt;&gt;$KB$9,0,各项系数!$F$76/4*($NE53^2-$NC53^2)*10^-2*各项系数!$F$41*10^-3*10^2)*各项系数!$J$4</f>
        <v>0</v>
      </c>
      <c r="KC53" s="123">
        <v>1</v>
      </c>
      <c r="KD53" s="251">
        <f t="shared" ref="KD53:KD84" si="297">KC53*KB53</f>
        <v>0</v>
      </c>
      <c r="KE53" s="339">
        <f>KD53*各项系数!$E$41</f>
        <v>0</v>
      </c>
      <c r="KF53" s="251">
        <f t="shared" ref="KF53:KF84" si="298">KD53+JZ53+JV53+JR53+JN53</f>
        <v>0.00170587140067863</v>
      </c>
      <c r="KG53" s="251">
        <f t="shared" ref="KG53:KG84" si="299">KE53+KA53+JW53+JS53+JO53</f>
        <v>0.0341174280135726</v>
      </c>
      <c r="KH53" s="302">
        <f>各项系数!$F$76/4*($NG53^2-$NE53^2)*10^-2*各项系数!$F$44*10^-3*10^2*各项系数!$J$4*0.75*$U53</f>
        <v>0.171368924470938</v>
      </c>
      <c r="KI53" s="123">
        <v>1</v>
      </c>
      <c r="KJ53" s="251">
        <f t="shared" ref="KJ53:KJ84" si="300">KI53*KH53</f>
        <v>0.171368924470938</v>
      </c>
      <c r="KK53" s="251">
        <f>ROUND(KJ53*各项系数!$E$43,GT53)</f>
        <v>1</v>
      </c>
      <c r="KL53" s="302">
        <f>各项系数!$F$76/4*($NF53^2-$NE53^2)*10^-2*各项系数!$F$46*10^-3*10^2*各项系数!$J$4*PI()/4*R53</f>
        <v>0.0214539758563304</v>
      </c>
      <c r="KM53" s="123">
        <v>1</v>
      </c>
      <c r="KN53" s="251">
        <f t="shared" ref="KN53:KN84" si="301">$KL53*$KM53</f>
        <v>0.0214539758563304</v>
      </c>
      <c r="KO53" s="251">
        <f>KN53*各项系数!$E$46</f>
        <v>1.4481433703023</v>
      </c>
      <c r="KP53" s="302">
        <f>各项系数!$F$76/4*($NH53^2-$NE53^2)*10^-2*(VLOOKUP($KP$9,各项系数!$D$1:$F$143,3,0))*10^-3*10^2*各项系数!$J$4</f>
        <v>0.139340109909342</v>
      </c>
      <c r="KQ53" s="123">
        <v>1</v>
      </c>
      <c r="KR53" s="251">
        <f t="shared" si="150"/>
        <v>0.139340109909342</v>
      </c>
      <c r="KS53" s="251">
        <f>KR53*(VLOOKUP($KP$9,各项系数!$D$1:$F$143,2,0))</f>
        <v>2.36878186845881</v>
      </c>
      <c r="KT53" s="302">
        <f>各项系数!$F$76/4*($NI53^2-$NF53^2)*10^-2*(VLOOKUP($KT$9,各项系数!$D$1:$F$143,3,0))*10^-3*10^2*各项系数!$J$4</f>
        <v>0.14064547935602</v>
      </c>
      <c r="KU53" s="123">
        <v>1</v>
      </c>
      <c r="KV53" s="251">
        <f t="shared" si="151"/>
        <v>0.14064547935602</v>
      </c>
      <c r="KW53" s="251">
        <f>KV53*(VLOOKUP($KT$9,各项系数!$D$1:$F$143,2,0))</f>
        <v>2.39097314905234</v>
      </c>
      <c r="KX53" s="251">
        <f>各项系数!$F$76/4*($NH53^2-$NE53^2)*10^-2*(VLOOKUP($KX$9,各项系数!$D$1:$F$143,3,0))*10^-3*10^2*各项系数!$J$4</f>
        <v>0.139340109909342</v>
      </c>
      <c r="KY53" s="479">
        <v>1</v>
      </c>
      <c r="KZ53" s="251">
        <f t="shared" si="152"/>
        <v>0.139340109909342</v>
      </c>
      <c r="LA53" s="251">
        <f>KZ53*(VLOOKUP($KX$9,各项系数!$D$1:$F$143,2,0))</f>
        <v>2.36878186845881</v>
      </c>
      <c r="LB53" s="251">
        <f>各项系数!$F$76/4*($NI53^2-$NF53^2)*10^-2*(VLOOKUP($LB$9,各项系数!$D$1:$F$143,3,0))*10^-3*10^2*各项系数!$J$4</f>
        <v>0.14064547935602</v>
      </c>
      <c r="LC53" s="479">
        <v>1</v>
      </c>
      <c r="LD53" s="251">
        <f t="shared" si="153"/>
        <v>0.14064547935602</v>
      </c>
      <c r="LE53" s="251">
        <f>LD53*(VLOOKUP($LB$9,各项系数!$D$1:$F$143,2,0))</f>
        <v>2.39097314905234</v>
      </c>
      <c r="LF53" s="302">
        <f>各项系数!$F$76/4*($NH53^2-$NE53^2)*10^-2*(VLOOKUP(AN53,各项系数!$D$1:$F$143,3,0))*10^-3*10^2*各项系数!$J$4</f>
        <v>0.141262042459815</v>
      </c>
      <c r="LG53" s="123">
        <v>1</v>
      </c>
      <c r="LH53" s="251">
        <f t="shared" ref="LH53:LH84" si="302">LG53*LF53</f>
        <v>0.141262042459815</v>
      </c>
      <c r="LI53" s="251">
        <f>LH53*(VLOOKUP(AN53,各项系数!$D$1:$F$143,2,0))</f>
        <v>1.41262042459815</v>
      </c>
      <c r="LJ53" s="302">
        <f>各项系数!$F$76/4*($NI53^2-$NF53^2)*10^-2*(VLOOKUP(AN53,各项系数!$D$1:$F$143,3,0))*10^-3*10^2*各项系数!$J$4</f>
        <v>0.14258541700231</v>
      </c>
      <c r="LK53" s="123">
        <v>1</v>
      </c>
      <c r="LL53" s="251">
        <f t="shared" ref="LL53:LL84" si="303">LK53*LJ53</f>
        <v>0.14258541700231</v>
      </c>
      <c r="LM53" s="251">
        <f>LL53*(VLOOKUP(AN53,各项系数!$D$1:$F$143,2,0))</f>
        <v>1.4258541700231</v>
      </c>
      <c r="LN53" s="251">
        <f>各项系数!$F$76/4*($NH53^2-$NE53^2)*10^-2*(VLOOKUP($LN$9,各项系数!$D$1:$F$143,3,0))*10^-3*10^2*各项系数!$J$4</f>
        <v>0.141262042459815</v>
      </c>
      <c r="LO53" s="479">
        <v>1</v>
      </c>
      <c r="LP53" s="251">
        <f t="shared" ref="LP53:LP84" si="304">LO53*LN53</f>
        <v>0.141262042459815</v>
      </c>
      <c r="LQ53" s="251">
        <f>LP53*(VLOOKUP($LN$9,各项系数!$D$1:$F$143,2,0))</f>
        <v>1.55388246705797</v>
      </c>
      <c r="LR53" s="251">
        <f>各项系数!$F$76/4*($NI53^2-$NF53^2)*10^-2*(VLOOKUP($LR$9,各项系数!$D$1:$F$143,3,0))*10^-3*10^2*各项系数!$J$4</f>
        <v>0.14258541700231</v>
      </c>
      <c r="LS53" s="479">
        <v>1</v>
      </c>
      <c r="LT53" s="251">
        <f t="shared" ref="LT53:LT84" si="305">LS53*LR53</f>
        <v>0.14258541700231</v>
      </c>
      <c r="LU53" s="251">
        <f>LT53*(VLOOKUP($LR$9,各项系数!$D$1:$F$143,2,0))</f>
        <v>1.56843958702541</v>
      </c>
      <c r="LV53" s="499">
        <f t="shared" si="154"/>
        <v>58.02470889</v>
      </c>
      <c r="LW53" s="499">
        <f t="shared" si="155"/>
        <v>45.13032914</v>
      </c>
      <c r="LX53" s="499">
        <f t="shared" si="156"/>
        <v>7.5803508974164</v>
      </c>
      <c r="LY53" s="515">
        <f t="shared" si="157"/>
        <v>12.89437975</v>
      </c>
      <c r="LZ53" s="516">
        <f t="shared" si="86"/>
        <v>1</v>
      </c>
      <c r="MA53" s="517">
        <f t="shared" si="87"/>
        <v>58.02470889</v>
      </c>
      <c r="MB53" s="517">
        <f t="shared" si="158"/>
        <v>4.96250454</v>
      </c>
      <c r="MC53" s="499">
        <f t="shared" si="159"/>
        <v>0</v>
      </c>
      <c r="MD53" s="499">
        <f t="shared" si="160"/>
        <v>0</v>
      </c>
      <c r="ME53" s="499">
        <f t="shared" si="161"/>
        <v>0</v>
      </c>
      <c r="MF53" s="499">
        <f t="shared" si="162"/>
        <v>0</v>
      </c>
      <c r="MG53" s="516">
        <f t="shared" si="163"/>
        <v>1</v>
      </c>
      <c r="MH53" s="517">
        <f t="shared" si="88"/>
        <v>0</v>
      </c>
      <c r="MI53" s="517">
        <f t="shared" si="164"/>
        <v>0</v>
      </c>
      <c r="MJ53" s="251">
        <f t="shared" si="89"/>
        <v>4.96250454</v>
      </c>
      <c r="MK53" s="251">
        <f t="shared" si="165"/>
        <v>4.96250454</v>
      </c>
      <c r="ML53" s="251">
        <f t="shared" ref="ML53:ML84" si="306">$ER53*$EQ53*10^-2</f>
        <v>0</v>
      </c>
      <c r="MM53" s="251">
        <f t="shared" si="91"/>
        <v>0</v>
      </c>
      <c r="MN53" s="251">
        <f t="shared" si="92"/>
        <v>6.36250454</v>
      </c>
      <c r="MO53" s="251">
        <f t="shared" si="166"/>
        <v>0</v>
      </c>
      <c r="MP53" s="251">
        <f t="shared" si="167"/>
        <v>13.74300981</v>
      </c>
      <c r="MQ53" s="251">
        <f t="shared" ref="MQ53:MQ84" si="307">MP53</f>
        <v>13.74300981</v>
      </c>
      <c r="MR53" s="314">
        <f t="shared" si="168"/>
        <v>13.74300981</v>
      </c>
      <c r="MS53" s="530">
        <f t="shared" si="94"/>
        <v>13.91900981</v>
      </c>
      <c r="MT53" s="530">
        <f t="shared" si="95"/>
        <v>14.07900981</v>
      </c>
      <c r="MU53" s="530">
        <f t="shared" si="232"/>
        <v>14.51900981</v>
      </c>
      <c r="MV53" s="530">
        <f t="shared" si="97"/>
        <v>17.51900981</v>
      </c>
      <c r="MW53" s="530">
        <f t="shared" si="98"/>
        <v>17.67900981</v>
      </c>
      <c r="MX53" s="326">
        <f t="shared" si="233"/>
        <v>5.56250454</v>
      </c>
      <c r="MY53" s="326">
        <f t="shared" si="100"/>
        <v>0</v>
      </c>
      <c r="MZ53" s="251">
        <f t="shared" si="101"/>
        <v>6.96250454</v>
      </c>
      <c r="NA53" s="251">
        <f t="shared" si="102"/>
        <v>0</v>
      </c>
      <c r="NB53" s="251">
        <f t="shared" si="169"/>
        <v>15.03900981</v>
      </c>
      <c r="NC53" s="326">
        <f t="shared" ref="NC53:NC84" si="308">NB53</f>
        <v>15.03900981</v>
      </c>
      <c r="ND53" s="314">
        <f t="shared" si="234"/>
        <v>15.03900981</v>
      </c>
      <c r="NE53" s="537">
        <f t="shared" si="235"/>
        <v>15.27900981</v>
      </c>
      <c r="NF53" s="530">
        <f t="shared" si="106"/>
        <v>15.43900981</v>
      </c>
      <c r="NG53" s="538">
        <f t="shared" si="236"/>
        <v>15.87900981</v>
      </c>
      <c r="NH53" s="326">
        <f t="shared" si="108"/>
        <v>18.87900981</v>
      </c>
      <c r="NI53" s="530">
        <f t="shared" si="109"/>
        <v>19.03900981</v>
      </c>
      <c r="NK53" s="539">
        <f t="shared" si="110"/>
        <v>0.641491207808747</v>
      </c>
      <c r="NL53" s="539">
        <f t="shared" si="111"/>
        <v>28.3908613254361</v>
      </c>
      <c r="NM53" s="539">
        <f t="shared" si="112"/>
        <v>0.641491207808747</v>
      </c>
      <c r="NN53" s="539">
        <f t="shared" si="113"/>
        <v>28.5208746842847</v>
      </c>
      <c r="NO53" s="539">
        <f t="shared" si="114"/>
        <v>0.929478775232229</v>
      </c>
      <c r="NP53" s="539">
        <f t="shared" si="115"/>
        <v>29.2771532274125</v>
      </c>
      <c r="NQ53" s="539">
        <f t="shared" si="116"/>
        <v>0.929478775232229</v>
      </c>
      <c r="NR53" s="539">
        <f t="shared" si="117"/>
        <v>29.4184152698723</v>
      </c>
      <c r="NS53" s="539">
        <f t="shared" si="118"/>
        <v>0.661045490421467</v>
      </c>
      <c r="NT53" s="539">
        <f t="shared" si="119"/>
        <v>0.661045490421467</v>
      </c>
      <c r="NU53" s="539">
        <f t="shared" si="120"/>
        <v>0.950932751088559</v>
      </c>
      <c r="NV53" s="539">
        <f t="shared" si="121"/>
        <v>0.950932751088559</v>
      </c>
      <c r="NW53">
        <f t="shared" si="122"/>
        <v>0.745763834798486</v>
      </c>
      <c r="NX53">
        <f>各项系数!$M$9*NK53</f>
        <v>0.192447362342624</v>
      </c>
      <c r="NY53">
        <f t="shared" si="123"/>
        <v>0.661045490421467</v>
      </c>
    </row>
    <row r="54" customHeight="1" spans="1:389">
      <c r="A54" s="91">
        <v>19</v>
      </c>
      <c r="B54" s="86">
        <v>1</v>
      </c>
      <c r="C54" s="83"/>
      <c r="D54" s="69" t="s">
        <v>162</v>
      </c>
      <c r="E54" s="77">
        <f t="shared" si="255"/>
        <v>21.14544314</v>
      </c>
      <c r="F54" s="84">
        <f>$F$22</f>
        <v>208.046961644752</v>
      </c>
      <c r="G54" s="74"/>
      <c r="H54" s="23"/>
      <c r="I54" s="78"/>
      <c r="J54" s="23"/>
      <c r="K54" s="23"/>
      <c r="L54" s="118" t="s">
        <v>467</v>
      </c>
      <c r="M54" s="124">
        <f t="shared" si="2"/>
        <v>0.9</v>
      </c>
      <c r="N54" s="124">
        <f t="shared" si="252"/>
        <v>0</v>
      </c>
      <c r="O54" s="69">
        <f t="shared" si="265"/>
        <v>0.08</v>
      </c>
      <c r="P54" s="120">
        <v>0.1</v>
      </c>
      <c r="Q54" s="162">
        <f t="shared" ref="Q54:Q63" si="309">$Q$12</f>
        <v>0.1</v>
      </c>
      <c r="R54" s="86">
        <v>0.8</v>
      </c>
      <c r="S54" s="171" t="str">
        <f>各项系数!$D$43</f>
        <v>钢带</v>
      </c>
      <c r="T54" s="74">
        <v>0.2</v>
      </c>
      <c r="U54" s="78">
        <v>2</v>
      </c>
      <c r="V54" s="172"/>
      <c r="W54" s="170">
        <v>1.8</v>
      </c>
      <c r="X54" s="164">
        <f t="shared" ref="X54:X63" si="310">$X$12</f>
        <v>0.2</v>
      </c>
      <c r="Y54" s="219"/>
      <c r="Z54" s="220"/>
      <c r="AA54" s="217">
        <f>$AA$22</f>
        <v>1.011</v>
      </c>
      <c r="AB54" s="186">
        <f>PI()*EJ54*EJ54/4*EH54*(1-H54)*AA54*各项系数!$F$5*各项系数!$J$4*10^-7</f>
        <v>0.212807374667777</v>
      </c>
      <c r="AC54" s="186">
        <f t="shared" si="256"/>
        <v>208.046961644752</v>
      </c>
      <c r="AD54" s="186">
        <f t="shared" si="5"/>
        <v>24.0581280607511</v>
      </c>
      <c r="AE54" s="186">
        <f>POWER(4*EU54/PI()/EG54/10^-7/EH54/(1-H54)/各项系数!$F$5/各项系数!$J$4,0.5)</f>
        <v>209.188090412333</v>
      </c>
      <c r="AF54" s="218">
        <v>1</v>
      </c>
      <c r="AG54" s="85">
        <f>IF(EM54=0,0,PI()*ER54*ER54/4*EP54*(1-K54)*(1+AF54)*各项系数!$F$5*各项系数!$J$4*10^-7)</f>
        <v>0</v>
      </c>
      <c r="AH54" s="85">
        <f t="shared" si="257"/>
        <v>0</v>
      </c>
      <c r="AI54" s="85">
        <f t="shared" si="128"/>
        <v>0</v>
      </c>
      <c r="AJ54" s="85">
        <f>IF(OR(EP54="",EP54=0),0,POWER(4*EW54/PI()/EO54/10^-7/EP54/(1-K54)/各项系数!$F$5/各项系数!$J$4,0.5))</f>
        <v>0</v>
      </c>
      <c r="AK54" s="85" t="str">
        <f t="shared" si="8"/>
        <v>√</v>
      </c>
      <c r="AL54" s="85">
        <f t="shared" si="258"/>
        <v>45.9163276373028</v>
      </c>
      <c r="AM54" s="250">
        <f t="shared" si="259"/>
        <v>25</v>
      </c>
      <c r="AN54" s="118" t="s">
        <v>486</v>
      </c>
      <c r="AO54" s="259">
        <f>AP54+各项系数!$M$9*$NK54</f>
        <v>45.0160074875517</v>
      </c>
      <c r="AP54" s="259">
        <f>AQ54*(1+$BI54+(VLOOKUP($AM54,$A$12:$B$323,2,0))+各项系数!$J$6+各项系数!$M$5)*(1+$E$2)</f>
        <v>44.7248616982493</v>
      </c>
      <c r="AQ54" s="260">
        <f>AR54+各项系数!$L$9*$NK54</f>
        <v>45.6376139778054</v>
      </c>
      <c r="AR54" s="260">
        <f>AS54*(1+$BJ54+各项系数!$J$5+各项系数!$L$5)</f>
        <v>45.346468188503</v>
      </c>
      <c r="AS54" s="260">
        <f t="shared" si="129"/>
        <v>44.4573217534343</v>
      </c>
      <c r="AT54" s="259">
        <f>AU54+各项系数!$M$9*$NM54</f>
        <v>46.0986210643238</v>
      </c>
      <c r="AU54" s="259">
        <f>AV54*(1+$BI54+(VLOOKUP($AM54,$A$12:$B$323,2,0))+各项系数!$J$6+各项系数!$M$5)*(1+$E$2)</f>
        <v>45.8074752750213</v>
      </c>
      <c r="AV54" s="260">
        <f>AW54+各项系数!$L$9*$NM54</f>
        <v>46.7423217092054</v>
      </c>
      <c r="AW54" s="260">
        <f>AX54*(1+$BJ54+各项系数!$J$5+各项系数!$L$5)</f>
        <v>46.451175919903</v>
      </c>
      <c r="AX54" s="260">
        <f t="shared" si="130"/>
        <v>45.5403685489245</v>
      </c>
      <c r="AY54" s="259">
        <f>AZ54+各项系数!$M$9*$NS54</f>
        <v>46.7050322288709</v>
      </c>
      <c r="AZ54" s="259">
        <f>BA54*(1+$BI54+(VLOOKUP($AM54,$A$12:$B$214,2,0))+各项系数!$J$6+各项系数!$M$5)*(1+$E$2)</f>
        <v>46.4065004979694</v>
      </c>
      <c r="BA54" s="260">
        <f>BB54+各项系数!$L$9*$NS54</f>
        <v>47.3535719367035</v>
      </c>
      <c r="BB54" s="260">
        <f>BC54*(1+$BJ54+各项系数!$J$5+各项系数!$L$5)</f>
        <v>47.0550402058021</v>
      </c>
      <c r="BC54" s="262">
        <f t="shared" si="131"/>
        <v>46.1323923586295</v>
      </c>
      <c r="BD54" s="259">
        <f>BE54+各项系数!$M$9*$NS54</f>
        <v>47.7965997577974</v>
      </c>
      <c r="BE54" s="259">
        <f>BF54*(1+$BI54+(VLOOKUP($AM54,$A$12:$B$214,2,0))+各项系数!$J$6+各项系数!$M$5)*(1+$E$2)</f>
        <v>47.498068026896</v>
      </c>
      <c r="BF54" s="260">
        <f>BG54+各项系数!$L$9*$NS54</f>
        <v>48.4674163539755</v>
      </c>
      <c r="BG54" s="260">
        <f>BH54*(1+$BJ54+各项系数!$J$5+各项系数!$L$5)</f>
        <v>48.1688846230741</v>
      </c>
      <c r="BH54" s="262">
        <f t="shared" si="132"/>
        <v>47.2243966892883</v>
      </c>
      <c r="BI54" s="277"/>
      <c r="BJ54" s="272"/>
      <c r="BK54" s="69" t="s">
        <v>514</v>
      </c>
      <c r="BL54" s="259">
        <f>BM54+各项系数!$M$9*$NM54</f>
        <v>45.6132012336993</v>
      </c>
      <c r="BM54" s="259">
        <f>BN54*(1+$CF54+(VLOOKUP($AM54,$A$12:$B$323,2,0))+各项系数!$J$6+各项系数!$M$5)*(1+$E$2)</f>
        <v>45.3220554443968</v>
      </c>
      <c r="BN54" s="260">
        <f>BO54+各项系数!$L$9*$NM54</f>
        <v>46.2469953514253</v>
      </c>
      <c r="BO54" s="260">
        <f>BP54*(1+$CG54+各项系数!$J$5+各项系数!$L$5)</f>
        <v>45.9558495621229</v>
      </c>
      <c r="BP54" s="260">
        <f t="shared" si="133"/>
        <v>44.617329671964</v>
      </c>
      <c r="BQ54" s="259">
        <f>BR54+各项系数!$M$9*$NM54</f>
        <v>46.5449166761032</v>
      </c>
      <c r="BR54" s="259">
        <f>BS54*(1+$CF54+(VLOOKUP($AM54,$A$12:$B$323,2,0))+各项系数!$J$6+各项系数!$M$5)*(1+$E$2)</f>
        <v>46.2537708868008</v>
      </c>
      <c r="BS54" s="260">
        <f>BT54+各项系数!$L$9*$NM54</f>
        <v>47.1977253946947</v>
      </c>
      <c r="BT54" s="260">
        <f>BU54*(1+$CG54+各项系数!$J$5+各项系数!$L$5)</f>
        <v>46.9065796053922</v>
      </c>
      <c r="BU54" s="260">
        <f t="shared" si="134"/>
        <v>45.5403685489245</v>
      </c>
      <c r="BV54" s="259">
        <f>BW54+各项系数!$M$9*$NT54</f>
        <v>47.035514520021</v>
      </c>
      <c r="BW54" s="259">
        <f>BX54*(1+$CF54+(VLOOKUP($AM54,$A$12:$B$214,2,0))+各项系数!$J$6+各项系数!$M$5)*(1+$E$2)</f>
        <v>46.7369827891195</v>
      </c>
      <c r="BX54" s="260">
        <f>BY54+各项系数!$L$9*$NT$12</f>
        <v>47.6907987644077</v>
      </c>
      <c r="BY54" s="260">
        <f>BZ54*(1+$CG54+各项系数!$J$5+各项系数!$L$5)</f>
        <v>47.6825353612527</v>
      </c>
      <c r="BZ54" s="262">
        <f t="shared" si="11"/>
        <v>46.2937236517017</v>
      </c>
      <c r="CA54" s="259">
        <f>CB54+各项系数!$M$9*$NT54</f>
        <v>47.9749358841609</v>
      </c>
      <c r="CB54" s="259">
        <f>CC54*(1+$CF54+(VLOOKUP($AM54,$A$12:$B$214,2,0))+各项系数!$J$6+各项系数!$M$5)*(1+$E$2)</f>
        <v>47.6764041532595</v>
      </c>
      <c r="CC54" s="260">
        <f>CD54+各项系数!$L$9*$NT$12</f>
        <v>48.6493919931219</v>
      </c>
      <c r="CD54" s="260">
        <f>CE54*(1+$CG54+各项系数!$J$5+各项系数!$L$5)</f>
        <v>48.6411285899669</v>
      </c>
      <c r="CE54" s="262">
        <f t="shared" si="135"/>
        <v>47.2243966892883</v>
      </c>
      <c r="CF54" s="277">
        <f t="shared" si="136"/>
        <v>0</v>
      </c>
      <c r="CG54" s="277">
        <f t="shared" si="12"/>
        <v>0.01</v>
      </c>
      <c r="CH54" s="123"/>
      <c r="CI54" s="259">
        <f>CJ54+各项系数!$M$9*$NO54</f>
        <v>46.680745252437</v>
      </c>
      <c r="CJ54" s="259">
        <f>CK54*(1+$DC54+(VLOOKUP($AM54,$A$12:$B$323,2,0))+各项系数!$J$6+各项系数!$M$5)*(1+$E$2)+各项系数!$M$9*$NK54</f>
        <v>46.2615695707749</v>
      </c>
      <c r="CK54" s="260">
        <f>CL54+各项系数!$L$9*$NO54</f>
        <v>46.9085956953801</v>
      </c>
      <c r="CL54" s="260">
        <f>CM54*(1+$DD54+各项系数!$J$5+各项系数!$L$5)</f>
        <v>46.489420013718</v>
      </c>
      <c r="CM54" s="260">
        <f t="shared" si="13"/>
        <v>45.5778627585471</v>
      </c>
      <c r="CN54" s="259">
        <f>CO54+各项系数!$M$9*$NO54</f>
        <v>47.6509169878314</v>
      </c>
      <c r="CO54" s="259">
        <f>CP54*(1+$DC54+(VLOOKUP($AM54,$A$12:$B$323,2,0))+各项系数!$J$6+各项系数!$M$5)*(1+$E$2)+各项系数!$M$9*$NK54</f>
        <v>47.2317413061694</v>
      </c>
      <c r="CP54" s="260">
        <f>CQ54+各项系数!$L$9*$NO54</f>
        <v>47.8985668539458</v>
      </c>
      <c r="CQ54" s="260">
        <f>CR54*(1+$DD54+各项系数!$J$5+各项系数!$L$5)</f>
        <v>47.4793911722838</v>
      </c>
      <c r="CR54" s="260">
        <f t="shared" si="14"/>
        <v>46.5484227179253</v>
      </c>
      <c r="CS54" s="259">
        <f>CT54+各项系数!$M$9*$NU54</f>
        <v>48.2079306244665</v>
      </c>
      <c r="CT54" s="259">
        <f t="shared" si="15"/>
        <v>47.7807990932324</v>
      </c>
      <c r="CU54" s="260">
        <f>CV54+各项系数!$L$9*$NU54</f>
        <v>48.7559174420739</v>
      </c>
      <c r="CV54" s="260">
        <f>CW54*(1+$DD54+各项系数!$J$5+各项系数!$L$5)</f>
        <v>48.3287859108398</v>
      </c>
      <c r="CW54" s="262">
        <f t="shared" si="16"/>
        <v>47.3811626576861</v>
      </c>
      <c r="CX54" s="259">
        <f>CY54+各项系数!$M$9*$NU54</f>
        <v>49.3756067467065</v>
      </c>
      <c r="CY54" s="259">
        <f t="shared" si="17"/>
        <v>48.9484752154724</v>
      </c>
      <c r="CZ54" s="260">
        <f>DA54+各项系数!$L$9*$NU54</f>
        <v>49.9474236892575</v>
      </c>
      <c r="DA54" s="260">
        <f>DB54*(1+$DD54+各项系数!$J$5+各项系数!$L$5)</f>
        <v>49.5202921580234</v>
      </c>
      <c r="DB54" s="262">
        <f t="shared" si="18"/>
        <v>48.5493060372779</v>
      </c>
      <c r="DC54" s="277">
        <f t="shared" si="137"/>
        <v>0</v>
      </c>
      <c r="DD54" s="277">
        <f t="shared" si="19"/>
        <v>0</v>
      </c>
      <c r="DE54" s="69" t="s">
        <v>498</v>
      </c>
      <c r="DF54" s="69" t="s">
        <v>513</v>
      </c>
      <c r="DG54" s="259">
        <f>DH54+各项系数!$M$9*$NQ54</f>
        <v>47.3002747216718</v>
      </c>
      <c r="DH54" s="259">
        <f>DI54*(1+$EA54+(VLOOKUP($AM54,$A$12:$B$323,2,0))+各项系数!$J$6+各项系数!$M$5)*(1+$E$2)+各项系数!$M$9*$NK54</f>
        <v>46.8810990400097</v>
      </c>
      <c r="DI54" s="260">
        <f>DJ54+各项系数!$L$9*$NQ54</f>
        <v>47.5407686231707</v>
      </c>
      <c r="DJ54" s="260">
        <f>DK54*(1+$EB54+各项系数!$J$5+各项系数!$L$5)</f>
        <v>47.1215929415087</v>
      </c>
      <c r="DK54" s="260">
        <f t="shared" si="20"/>
        <v>45.749119360688</v>
      </c>
      <c r="DL54" s="259">
        <f>DM54+各项系数!$M$9*$NQ54</f>
        <v>48.2974904988315</v>
      </c>
      <c r="DM54" s="259">
        <f>DN54*(1+$EA54+(VLOOKUP($AM54,$A$12:$B$323,2,0))+各项系数!$J$6+各项系数!$M$5)*(1+$E$2)+各项系数!$M$9*$NK54</f>
        <v>47.8783148171695</v>
      </c>
      <c r="DN54" s="260">
        <f>DO54+各项系数!$L$9*$NQ54</f>
        <v>48.5583357427215</v>
      </c>
      <c r="DO54" s="260">
        <f>DP54*(1+$EB54+各项系数!$J$5+各项系数!$L$5)</f>
        <v>48.1391600610594</v>
      </c>
      <c r="DP54" s="260">
        <f t="shared" si="21"/>
        <v>46.7370486029703</v>
      </c>
      <c r="DQ54" s="259">
        <f>DR54+各项系数!$M$9*$NV54</f>
        <v>48.846468246976</v>
      </c>
      <c r="DR54" s="259">
        <f t="shared" si="22"/>
        <v>48.4193367157419</v>
      </c>
      <c r="DS54" s="260">
        <f>DT54+各项系数!$L$9*$NV54</f>
        <v>49.4074864446346</v>
      </c>
      <c r="DT54" s="260">
        <f>DU54*(1+$EB54+各项系数!$J$5+各项系数!$L$5)</f>
        <v>48.9803549134005</v>
      </c>
      <c r="DU54" s="262">
        <f t="shared" si="23"/>
        <v>47.5537426343695</v>
      </c>
      <c r="DV54" s="259">
        <f>DW54+各项系数!$M$9*$NV54</f>
        <v>49.1114220462647</v>
      </c>
      <c r="DW54" s="259">
        <f t="shared" si="24"/>
        <v>48.6842905150306</v>
      </c>
      <c r="DX54" s="260">
        <f>DY54+各项系数!$L$9*$NV54</f>
        <v>49.677847464317</v>
      </c>
      <c r="DY54" s="260">
        <f>DZ54*(1+$EB54+各项系数!$J$5+各项系数!$L$5)</f>
        <v>49.2507159330829</v>
      </c>
      <c r="DZ54" s="262">
        <f t="shared" si="25"/>
        <v>47.8162290612455</v>
      </c>
      <c r="EA54" s="277">
        <f t="shared" ref="EA54:EA66" si="311">BI54+$EA$2</f>
        <v>0</v>
      </c>
      <c r="EB54" s="277">
        <f t="shared" si="27"/>
        <v>0.01</v>
      </c>
      <c r="EC54" s="302">
        <f t="shared" si="138"/>
        <v>3</v>
      </c>
      <c r="ED54" s="302" t="str">
        <f t="shared" si="266"/>
        <v>3*25</v>
      </c>
      <c r="EE54" s="251">
        <f t="shared" si="239"/>
        <v>25</v>
      </c>
      <c r="EF54" s="251" t="str">
        <f>LOOKUP(EH54,{1,7,10,14,19,24,30,37,48,61},{1,"1+6","2+8","4+10","1+6+12","2+8+14","4+10+16","1+6+12+18","3+9+15+21","1+6+12+18+24"})</f>
        <v>1+6</v>
      </c>
      <c r="EG54" s="250">
        <f t="shared" si="29"/>
        <v>3</v>
      </c>
      <c r="EH54" s="260">
        <f>VLOOKUP(EE54,各项系数!$B$87:$C$124,2,0)</f>
        <v>7</v>
      </c>
      <c r="EI54" s="250">
        <f>IF(EH54=0,0,VLOOKUP(EH54,各项系数!$D$142:$E$195,2,0))*1</f>
        <v>3</v>
      </c>
      <c r="EJ54" s="305">
        <f t="shared" si="141"/>
        <v>208.046961644752</v>
      </c>
      <c r="EK54" s="251">
        <f t="shared" si="261"/>
        <v>0</v>
      </c>
      <c r="EL54" s="251">
        <f t="shared" si="31"/>
        <v>0</v>
      </c>
      <c r="EM54" s="251">
        <f t="shared" si="267"/>
        <v>0</v>
      </c>
      <c r="EN54" s="251">
        <f>IF(EP54=0,0,LOOKUP(EP54,{1,7,10,14,19,24,30,37,48,61},{1,"1+6","2+8","4+10","1+6+12","2+8+14","4+10+16","1+6+12+18","3+9+15+21","1+6+12+18+24"}))</f>
        <v>0</v>
      </c>
      <c r="EO54" s="251">
        <f t="shared" si="263"/>
        <v>0</v>
      </c>
      <c r="EP54" s="251">
        <f>IF(EM54=0,0,IF(EM54&lt;10,1,IF(AND(EM54&gt;=10,EM54&lt;=35),7,LOOKUP(EM54,{50,70,95,120,150,185,240,300},{10,14,19,24,30,37,48,61})*1)))</f>
        <v>0</v>
      </c>
      <c r="EQ54" s="251">
        <f>IF(EP54=0,0,VLOOKUP(EP54,各项系数!$D$142:$E$195,2,0))*1</f>
        <v>0</v>
      </c>
      <c r="ER54" s="251">
        <f t="shared" si="264"/>
        <v>0</v>
      </c>
      <c r="ES54" s="302">
        <f t="shared" si="250"/>
        <v>3</v>
      </c>
      <c r="ET54" s="251">
        <f>VLOOKUP(ES54,各项系数!$D$142:$E$195,2,0)*1</f>
        <v>2.16</v>
      </c>
      <c r="EU54" s="311">
        <f>((各项系数!$F$76/4*$EJ54^2*$EG54*$EH54*1*10^-7)*(1-$H54)*AA54)*(VLOOKUP($EY$9,各项系数!$D$4:$F$143,3,0))*各项系数!$J$4</f>
        <v>0.638422124003332</v>
      </c>
      <c r="EV54" s="312">
        <f>EU54*(VLOOKUP($EY$9,各项系数!$D$4:$F$143,2,0))</f>
        <v>41.8166491222182</v>
      </c>
      <c r="EW54" s="324">
        <f>(IF($EO54=0,0,(各项系数!$F$76/4*$ER54^2*$EO54*$EP54*1*10^-7))*(1-$K54)*$AF54)*(VLOOKUP($EY$9,各项系数!$D$4:$F$143,3,0))*各项系数!$J$4</f>
        <v>0</v>
      </c>
      <c r="EX54" s="325">
        <f>EW54*(VLOOKUP($EY$9,各项系数!$D$4:$F$143,2,0))</f>
        <v>0</v>
      </c>
      <c r="EY54" s="251">
        <f>((各项系数!$F$76/4*$EJ54^2*$EG54*$EH54*1*10^-7)*(1-$H54)*AA54+IF($EO54=0,0,(各项系数!$F$76/4*$ER54^2*$EO54*$EP54*1*10^-7))*(1-$K54)*$AF54)*(VLOOKUP($EY$9,各项系数!$D$4:$F$143,3,0))*各项系数!$J$4</f>
        <v>0.638422124003332</v>
      </c>
      <c r="EZ54" s="123">
        <v>1</v>
      </c>
      <c r="FA54" s="251">
        <f t="shared" si="268"/>
        <v>0.638422124003332</v>
      </c>
      <c r="FB54" s="326">
        <f>FA54*(VLOOKUP($EY$9,各项系数!$D$4:$F$143,2,0))</f>
        <v>41.8166491222182</v>
      </c>
      <c r="FC54" s="327"/>
      <c r="FD54" s="302">
        <f>各项系数!$F$76/4*($MN54^2-MK54^2)*10^-2*(VLOOKUP(L54,各项系数!$D$1:$F$143,3,0))*10^-3*10^2*$EG54*各项系数!$J$4</f>
        <v>0.0662999652497242</v>
      </c>
      <c r="FE54" s="339">
        <f>FD54*VLOOKUP(L54,各项系数!$D$1:$F$143,2,0)</f>
        <v>0.676259645547187</v>
      </c>
      <c r="FF54" s="250">
        <f>各项系数!$F$76/4*($MO54^2-ML54^2)*10^-2*(VLOOKUP(L54,各项系数!$D$1:$F$143,3,0))*10^-3*10^2*$EO54*各项系数!$J$4</f>
        <v>0</v>
      </c>
      <c r="FG54" s="339">
        <f>FF54*VLOOKUP(L54,各项系数!$D$1:$F$143,2,0)</f>
        <v>0</v>
      </c>
      <c r="FH54" s="302">
        <f t="shared" si="142"/>
        <v>0.0662999652497242</v>
      </c>
      <c r="FI54" s="123">
        <v>1</v>
      </c>
      <c r="FJ54" s="251">
        <f t="shared" si="269"/>
        <v>0.0662999652497242</v>
      </c>
      <c r="FK54" s="339">
        <f>FJ54*VLOOKUP(L54,各项系数!$D$1:$F$143,2,0)</f>
        <v>0.676259645547187</v>
      </c>
      <c r="FL54" s="302"/>
      <c r="FM54" s="123"/>
      <c r="FN54" s="251"/>
      <c r="FO54" s="339"/>
      <c r="FP54" s="364">
        <f t="shared" si="270"/>
        <v>0.0662999652497242</v>
      </c>
      <c r="FQ54" s="364">
        <f t="shared" si="271"/>
        <v>0.676259645547187</v>
      </c>
      <c r="FR54" s="365">
        <f>各项系数!$F$76/4*($MQ54^2-$MN54^2*$EG54-$MO54^2*$EO54)*10^-2</f>
        <v>0.845911408249863</v>
      </c>
      <c r="FS54" s="366">
        <f t="shared" si="143"/>
        <v>1</v>
      </c>
      <c r="FT54" s="367">
        <f t="shared" si="40"/>
        <v>0.845911408249863</v>
      </c>
      <c r="FU54" s="388">
        <f>$FT54*(VLOOKUP($FT$9,各项系数!$D$1:$F$143,3,0))*10^-3*10^2*各项系数!$J$55</f>
        <v>0.101001822145034</v>
      </c>
      <c r="FV54" s="389">
        <v>1</v>
      </c>
      <c r="FW54" s="390">
        <f t="shared" si="272"/>
        <v>0.101001822145034</v>
      </c>
      <c r="FX54" s="367">
        <f>FW54*(VLOOKUP($FT$9,各项系数!$D$1:$F$143,2,0))</f>
        <v>0.303005466435101</v>
      </c>
      <c r="FY54" s="388">
        <f>IF($BK54&lt;&gt;$FY$9,0,各项系数!$F$76/4*($MS54^2-$MQ54^2)*10^-2*(VLOOKUP($FY$9,各项系数!$D$1:$F$143,3,0))*10^-3*10^2)*各项系数!$J$4</f>
        <v>0</v>
      </c>
      <c r="FZ54" s="389">
        <v>1</v>
      </c>
      <c r="GA54" s="390">
        <f t="shared" si="273"/>
        <v>0</v>
      </c>
      <c r="GB54" s="367">
        <f>GA54*(VLOOKUP($FY$9,各项系数!$D$1:$F$143,2,0))</f>
        <v>0</v>
      </c>
      <c r="GC54" s="388">
        <f>IF($BK54&lt;&gt;$GC$9,0,各项系数!$F$76/4*($MS54^2-$MQ54^2)*10^-2*(VLOOKUP($GC$9,各项系数!$D$1:$F$143,3,0))*10^-3*10^2)*各项系数!$J$4</f>
        <v>0.0047541344136928</v>
      </c>
      <c r="GD54" s="389">
        <v>1</v>
      </c>
      <c r="GE54" s="390">
        <f t="shared" si="274"/>
        <v>0.0047541344136928</v>
      </c>
      <c r="GF54" s="367">
        <f>GE54*(VLOOKUP($GC$9,各项系数!$D$1:$F$143,2,0))</f>
        <v>0.0613283339366371</v>
      </c>
      <c r="GG54" s="388">
        <f>IF($BK54&lt;&gt;$GG$9,0,各项系数!$F$76/4*($MS54^2-$MQ54^2)*10^-2*(VLOOKUP($GG$9,各项系数!$D$1:$F$143,3,0))*10^-3*10^2)*各项系数!$J$4</f>
        <v>0</v>
      </c>
      <c r="GH54" s="389">
        <v>1</v>
      </c>
      <c r="GI54" s="390">
        <f t="shared" si="275"/>
        <v>0</v>
      </c>
      <c r="GJ54" s="367">
        <f>GI54*(VLOOKUP($GG$9,各项系数!$D$1:$F$143,2,0))</f>
        <v>0</v>
      </c>
      <c r="GK54" s="388">
        <f>IF($BK54&lt;&gt;$GK$9,0,各项系数!$F$76/4*($MS54^2-$MQ54^2)*10^-2*(VLOOKUP($GK$9,各项系数!$D$1:$F$143,3,0))*10^-3*10^2)*各项系数!$J$4</f>
        <v>0</v>
      </c>
      <c r="GL54" s="389">
        <v>1</v>
      </c>
      <c r="GM54" s="390">
        <f t="shared" si="276"/>
        <v>0</v>
      </c>
      <c r="GN54" s="367">
        <f>GM54*(VLOOKUP($GK$9,各项系数!$D$1:$F$143,2,0))</f>
        <v>0</v>
      </c>
      <c r="GO54" s="390">
        <f t="shared" si="277"/>
        <v>0.0047541344136928</v>
      </c>
      <c r="GP54" s="390">
        <f t="shared" si="278"/>
        <v>0.0613283339366371</v>
      </c>
      <c r="GQ54" s="406">
        <f>各项系数!$F$76/4*($MU54^2-$MS54^2)*10^-2*(VLOOKUP($S54,各项系数!$D$1:$F$143,3,0))*10^-3*10^2*各项系数!$J$4</f>
        <v>0.130866442942824</v>
      </c>
      <c r="GR54" s="389">
        <v>1</v>
      </c>
      <c r="GS54" s="390">
        <f t="shared" si="279"/>
        <v>0.130866442942824</v>
      </c>
      <c r="GT54" s="390">
        <f t="shared" si="200"/>
        <v>0</v>
      </c>
      <c r="GU54" s="390">
        <f>ROUND($GS54*(VLOOKUP($S54,各项系数!$D$1:$F$143,2,0))+$E$3*GS54,GT54)</f>
        <v>1</v>
      </c>
      <c r="GV54" s="406">
        <f>各项系数!$F$76/4*($MT54^2-$MS54^2)*10^-2*(VLOOKUP($GV$9,各项系数!$D$1:$F$143,3,0))*10^-3*10^2*各项系数!$J$4*PI()/4*R54</f>
        <v>0.0246198053299299</v>
      </c>
      <c r="GW54" s="389">
        <v>1</v>
      </c>
      <c r="GX54" s="390">
        <f t="shared" si="280"/>
        <v>0.0246198053299299</v>
      </c>
      <c r="GY54" s="390">
        <f>$GX54*(VLOOKUP($GV$9,各项系数!$D$1:$F$143,2,0))</f>
        <v>1.66183685977027</v>
      </c>
      <c r="GZ54" s="406">
        <f>各项系数!$F$76/4*($MV54^2-$MS54^2)*10^-2*(VLOOKUP($GZ$9,各项系数!$D$1:$F$143,3,0))*10^-3*10^2*各项系数!$J$4</f>
        <v>0.157830940046314</v>
      </c>
      <c r="HA54" s="389">
        <v>1</v>
      </c>
      <c r="HB54" s="390">
        <f t="shared" si="144"/>
        <v>0.157830940046314</v>
      </c>
      <c r="HC54" s="390">
        <f>HB54*(VLOOKUP($GZ$9,各项系数!$D$1:$F$143,2,0))</f>
        <v>2.68312598078734</v>
      </c>
      <c r="HD54" s="406">
        <f>各项系数!$F$76/4*($MW54^2-$MT54^2)*10^-2*(VLOOKUP($HD$9,各项系数!$D$1:$F$143,3,0))*10^-3*10^2*各项系数!$J$4</f>
        <v>0.159136309492993</v>
      </c>
      <c r="HE54" s="389">
        <v>1</v>
      </c>
      <c r="HF54" s="390">
        <f t="shared" si="145"/>
        <v>0.159136309492993</v>
      </c>
      <c r="HG54" s="390">
        <f>HF54*(VLOOKUP($HD$9,各项系数!$D$1:$F$143,2,0))</f>
        <v>2.70531726138087</v>
      </c>
      <c r="HH54" s="406">
        <f>各项系数!$F$76/4*($MV54^2-$MS54^2)*10^-2*(VLOOKUP($HH$9,各项系数!$D$1:$F$143,3,0))*10^-3*10^2*各项系数!$J$4</f>
        <v>0.157830940046314</v>
      </c>
      <c r="HI54" s="420">
        <v>1</v>
      </c>
      <c r="HJ54" s="390">
        <f t="shared" si="146"/>
        <v>0.157830940046314</v>
      </c>
      <c r="HK54" s="390">
        <f>HJ54*(VLOOKUP($HH$9,各项系数!$D$1:$F$143,2,0))</f>
        <v>2.68312598078734</v>
      </c>
      <c r="HL54" s="406">
        <f>各项系数!$F$76/4*($MW54^2-$MT54^2)*10^-2*(VLOOKUP($HL$9,各项系数!$D$1:$F$143,3,0))*10^-3*10^2*各项系数!$J$4</f>
        <v>0.159136309492993</v>
      </c>
      <c r="HM54" s="420">
        <v>1</v>
      </c>
      <c r="HN54" s="390">
        <f t="shared" si="147"/>
        <v>0.159136309492993</v>
      </c>
      <c r="HO54" s="390">
        <f>HN54*(VLOOKUP($HL$9,各项系数!$D$1:$F$143,2,0))</f>
        <v>2.70531726138087</v>
      </c>
      <c r="HP54" s="406">
        <f>各项系数!$F$76/4*($MV54^2-$MS54^2)*10^-2*(VLOOKUP(AN54,各项系数!$D$1:$F$143,3,0))*10^-3*10^2*各项系数!$J$4</f>
        <v>0.160007918529712</v>
      </c>
      <c r="HQ54" s="389">
        <v>1</v>
      </c>
      <c r="HR54" s="390">
        <f t="shared" si="281"/>
        <v>0.160007918529712</v>
      </c>
      <c r="HS54" s="390">
        <f>HR54*(VLOOKUP(AN54,各项系数!$D$1:$F$143,2,0))</f>
        <v>1.60007918529712</v>
      </c>
      <c r="HT54" s="406">
        <f>各项系数!$F$76/4*($MW54^2-$MT54^2)*10^-2*(VLOOKUP(AN54,各项系数!$D$1:$F$143,3,0))*10^-3*10^2*各项系数!$J$4</f>
        <v>0.161331293072206</v>
      </c>
      <c r="HU54" s="389">
        <v>1</v>
      </c>
      <c r="HV54" s="390">
        <f t="shared" si="282"/>
        <v>0.161331293072206</v>
      </c>
      <c r="HW54" s="390">
        <f>HV54*(VLOOKUP(AN54,各项系数!$D$1:$F$143,2,0))</f>
        <v>1.61331293072206</v>
      </c>
      <c r="HX54" s="406">
        <f>各项系数!$F$76/4*($MV54^2-$MS54^2)*10^-2*(VLOOKUP($HX$9,各项系数!$D$1:$F$143,3,0))*10^-3*10^2*各项系数!$J$4</f>
        <v>0.160007918529712</v>
      </c>
      <c r="HY54" s="420">
        <v>1</v>
      </c>
      <c r="HZ54" s="390">
        <f t="shared" si="283"/>
        <v>0.160007918529712</v>
      </c>
      <c r="IA54" s="390">
        <f>HZ54*(VLOOKUP($HX$9,各项系数!$D$1:$F$143,2,0))</f>
        <v>1.76008710382683</v>
      </c>
      <c r="IB54" s="406">
        <f>各项系数!$F$76/4*($MW54^2-$MT54^2)*10^-2*(VLOOKUP($IB$9,各项系数!$D$1:$F$143,3,0))*10^-3*10^2*各项系数!$J$4</f>
        <v>0.161331293072206</v>
      </c>
      <c r="IC54" s="420">
        <v>1</v>
      </c>
      <c r="ID54" s="390">
        <f t="shared" si="284"/>
        <v>0.161331293072206</v>
      </c>
      <c r="IE54" s="390">
        <f>ID54*(VLOOKUP($IB$9,各项系数!$D$1:$F$143,2,0))</f>
        <v>1.77464422379427</v>
      </c>
      <c r="IF54" s="429"/>
      <c r="IG54" s="406">
        <f t="shared" si="148"/>
        <v>0.027604381241623</v>
      </c>
      <c r="IH54" s="389">
        <v>1</v>
      </c>
      <c r="II54" s="390">
        <f t="shared" si="285"/>
        <v>0.027604381241623</v>
      </c>
      <c r="IJ54" s="390">
        <f>II54*(VLOOKUP($IG$8,各项系数!$D$1:$F$143,2,0))</f>
        <v>0.690109531040575</v>
      </c>
      <c r="IK54" s="406">
        <f>(各项系数!$F$76/4*($MX54^2-$MK54^2)*$EG54)*10^-2*(VLOOKUP($IG$8,各项系数!$D$1:$F$143,3,0))*10^-3*10^2*各项系数!$J$4</f>
        <v>0.027604381241623</v>
      </c>
      <c r="IL54" s="389">
        <f>IK54*(VLOOKUP($IG$8,各项系数!$D$1:$F$143,2,0))</f>
        <v>0.690109531040575</v>
      </c>
      <c r="IM54" s="390">
        <f>(各项系数!$F$76/4*(($MM54+3*$X54)^2-MM54^2)*$EO54)*10^-2*(VLOOKUP($IG$8,各项系数!$D$1:$F$143,3,0))*10^-3*10^2*各项系数!$J$4</f>
        <v>0</v>
      </c>
      <c r="IN54" s="389">
        <f>IM54*(VLOOKUP($IG$8,各项系数!$D$1:$F$143,2,0))</f>
        <v>0</v>
      </c>
      <c r="IO54" s="406">
        <f>各项系数!$F$76/4*($MZ54^2-$MX54^2)*10^-2*(VLOOKUP(L54,各项系数!$D$1:$F$143,3,0))*10^-3*10^2*$ES54*各项系数!$J$4</f>
        <v>0.0718702917678777</v>
      </c>
      <c r="IP54" s="389">
        <v>1</v>
      </c>
      <c r="IQ54" s="390">
        <f t="shared" si="286"/>
        <v>0.0718702917678777</v>
      </c>
      <c r="IR54" s="367">
        <f>IQ54*(VLOOKUP(L54,各项系数!$D$1:$F$143,2,0))</f>
        <v>0.733076976032353</v>
      </c>
      <c r="IS54" s="406">
        <f>IF($L54&lt;&gt;$IS$9,0,各项系数!$F$76/4*($MZ54^2-$MX54^2)*10^-2*各项系数!$F$12*10^-3*10^2)*$ES54*各项系数!$J$4</f>
        <v>0</v>
      </c>
      <c r="IT54" s="389">
        <v>1</v>
      </c>
      <c r="IU54" s="390">
        <f t="shared" si="287"/>
        <v>0</v>
      </c>
      <c r="IV54" s="367">
        <f>IU54*各项系数!$E$12</f>
        <v>0</v>
      </c>
      <c r="IW54" s="388">
        <f t="shared" si="288"/>
        <v>0.0718702917678777</v>
      </c>
      <c r="IX54" s="388">
        <f t="shared" si="289"/>
        <v>0.733076976032353</v>
      </c>
      <c r="IY54" s="447">
        <f>各项系数!$F$76/4*($NB54^2-$MZ54^2*$EG54-$NA54^2*$EO54)*10^-2</f>
        <v>0.976854095286399</v>
      </c>
      <c r="IZ54" s="366">
        <f t="shared" si="231"/>
        <v>1</v>
      </c>
      <c r="JA54" s="367">
        <f t="shared" si="64"/>
        <v>0.976854095286399</v>
      </c>
      <c r="JB54" s="364">
        <f>IF($DE54&lt;&gt;$JB$9,0,$JA54*各项系数!$F$32*10^-3*10^2)*各项系数!$J$4</f>
        <v>0</v>
      </c>
      <c r="JC54" s="123">
        <v>1</v>
      </c>
      <c r="JD54" s="251">
        <f t="shared" si="290"/>
        <v>0</v>
      </c>
      <c r="JE54" s="339">
        <f>JD54*各项系数!$E$32</f>
        <v>0</v>
      </c>
      <c r="JF54" s="364">
        <f>IF($DE54&lt;&gt;$JF$9,0,$JA54*VLOOKUP($JF$9,各项系数!$D$4:$F$540,2,0)*10^-3*10^2)*各项系数!$J$4</f>
        <v>0.485984912404984</v>
      </c>
      <c r="JG54" s="123">
        <v>1</v>
      </c>
      <c r="JH54" s="251">
        <f t="shared" si="66"/>
        <v>0.485984912404984</v>
      </c>
      <c r="JI54" s="339">
        <f>JH54*VLOOKUP($JF$9,各项系数!$D$4:$F$540,3,0)</f>
        <v>0.58318189488598</v>
      </c>
      <c r="JJ54" s="364">
        <f t="shared" si="291"/>
        <v>0.485984912404984</v>
      </c>
      <c r="JK54" s="251">
        <f t="shared" si="292"/>
        <v>0.58318189488598</v>
      </c>
      <c r="JL54" s="364">
        <f>IF($DF54&lt;&gt;$JL$9,0,各项系数!$F$76/4*($NE54^2-$NC54^2)*10^-2*各项系数!$F$39*10^-3*10^2)*各项系数!$J$4</f>
        <v>0.00211396064804054</v>
      </c>
      <c r="JM54" s="123">
        <v>1</v>
      </c>
      <c r="JN54" s="251">
        <f t="shared" si="293"/>
        <v>0.00211396064804054</v>
      </c>
      <c r="JO54" s="339">
        <f>JN54*各项系数!$E$39</f>
        <v>0.0422792129608108</v>
      </c>
      <c r="JP54" s="364">
        <f>IF($DF54&lt;&gt;$JP$9,0,各项系数!$F$76/4*($NE54^2-$NC54^2)*10^-2*各项系数!$F$36*10^-3*10^2)*各项系数!$J$4</f>
        <v>0</v>
      </c>
      <c r="JQ54" s="123">
        <v>1</v>
      </c>
      <c r="JR54" s="251">
        <f t="shared" si="294"/>
        <v>0</v>
      </c>
      <c r="JS54" s="339">
        <f>JR54*各项系数!$E$36</f>
        <v>0</v>
      </c>
      <c r="JT54" s="364">
        <f>IF($DF54&lt;&gt;$JT$9,0,各项系数!$F$76/4*($NE54^2-$NC54^2)*10^-2*各项系数!$F$40*10^-3*10^2)*各项系数!$J$4</f>
        <v>0</v>
      </c>
      <c r="JU54" s="123">
        <v>1</v>
      </c>
      <c r="JV54" s="251">
        <f t="shared" si="295"/>
        <v>0</v>
      </c>
      <c r="JW54" s="339">
        <f>JV54*各项系数!$E$40</f>
        <v>0</v>
      </c>
      <c r="JX54" s="364">
        <f>IF($DF54&lt;&gt;$JX$9,0,各项系数!$F$76/4*($NE54^2-$NC54^2)*10^-2*各项系数!$F$38*10^-3*10^2)*各项系数!$J$4</f>
        <v>0</v>
      </c>
      <c r="JY54" s="123">
        <v>1</v>
      </c>
      <c r="JZ54" s="251">
        <f t="shared" si="296"/>
        <v>0</v>
      </c>
      <c r="KA54" s="339">
        <f>JZ54*各项系数!$E$38</f>
        <v>0</v>
      </c>
      <c r="KB54" s="364">
        <f>IF($DF54&lt;&gt;$KB$9,0,各项系数!$F$76/4*($NE54^2-$NC54^2)*10^-2*各项系数!$F$41*10^-3*10^2)*各项系数!$J$4</f>
        <v>0</v>
      </c>
      <c r="KC54" s="123">
        <v>1</v>
      </c>
      <c r="KD54" s="251">
        <f t="shared" si="297"/>
        <v>0</v>
      </c>
      <c r="KE54" s="339">
        <f>KD54*各项系数!$E$41</f>
        <v>0</v>
      </c>
      <c r="KF54" s="251">
        <f t="shared" si="298"/>
        <v>0.00211396064804054</v>
      </c>
      <c r="KG54" s="251">
        <f t="shared" si="299"/>
        <v>0.0422792129608108</v>
      </c>
      <c r="KH54" s="302">
        <f>各项系数!$F$76/4*($NG54^2-$NE54^2)*10^-2*各项系数!$F$44*10^-3*10^2*各项系数!$J$4*0.75*$U54</f>
        <v>0.211259648400566</v>
      </c>
      <c r="KI54" s="123">
        <v>1</v>
      </c>
      <c r="KJ54" s="251">
        <f t="shared" si="300"/>
        <v>0.211259648400566</v>
      </c>
      <c r="KK54" s="251">
        <f>ROUND(KJ54*各项系数!$E$43,GT54)</f>
        <v>1</v>
      </c>
      <c r="KL54" s="302">
        <f>各项系数!$F$76/4*($NF54^2-$NE54^2)*10^-2*各项系数!$F$46*10^-3*10^2*各项系数!$J$4*PI()/4*R54</f>
        <v>0.0265194985735408</v>
      </c>
      <c r="KM54" s="123">
        <v>1</v>
      </c>
      <c r="KN54" s="251">
        <f t="shared" si="301"/>
        <v>0.0265194985735408</v>
      </c>
      <c r="KO54" s="251">
        <f>KN54*各项系数!$E$46</f>
        <v>1.790066153714</v>
      </c>
      <c r="KP54" s="302">
        <f>各项系数!$F$76/4*($NH54^2-$NE54^2)*10^-2*(VLOOKUP($KP$9,各项系数!$D$1:$F$143,3,0))*10^-3*10^2*各项系数!$J$4</f>
        <v>0.168926580343081</v>
      </c>
      <c r="KQ54" s="123">
        <v>1</v>
      </c>
      <c r="KR54" s="251">
        <f t="shared" si="150"/>
        <v>0.168926580343081</v>
      </c>
      <c r="KS54" s="251">
        <f>KR54*(VLOOKUP($KP$9,各项系数!$D$1:$F$143,2,0))</f>
        <v>2.87175186583237</v>
      </c>
      <c r="KT54" s="302">
        <f>各项系数!$F$76/4*($NI54^2-$NF54^2)*10^-2*(VLOOKUP($KT$9,各项系数!$D$1:$F$143,3,0))*10^-3*10^2*各项系数!$J$4</f>
        <v>0.170231949789759</v>
      </c>
      <c r="KU54" s="123">
        <v>1</v>
      </c>
      <c r="KV54" s="251">
        <f t="shared" si="151"/>
        <v>0.170231949789759</v>
      </c>
      <c r="KW54" s="251">
        <f>KV54*(VLOOKUP($KT$9,各项系数!$D$1:$F$143,2,0))</f>
        <v>2.8939431464259</v>
      </c>
      <c r="KX54" s="251">
        <f>各项系数!$F$76/4*($NH54^2-$NE54^2)*10^-2*(VLOOKUP($KX$9,各项系数!$D$1:$F$143,3,0))*10^-3*10^2*各项系数!$J$4</f>
        <v>0.168926580343081</v>
      </c>
      <c r="KY54" s="479">
        <v>1</v>
      </c>
      <c r="KZ54" s="251">
        <f t="shared" si="152"/>
        <v>0.168926580343081</v>
      </c>
      <c r="LA54" s="251">
        <f>KZ54*(VLOOKUP($KX$9,各项系数!$D$1:$F$143,2,0))</f>
        <v>2.87175186583237</v>
      </c>
      <c r="LB54" s="251">
        <f>各项系数!$F$76/4*($NI54^2-$NF54^2)*10^-2*(VLOOKUP($LB$9,各项系数!$D$1:$F$143,3,0))*10^-3*10^2*各项系数!$J$4</f>
        <v>0.170231949789759</v>
      </c>
      <c r="LC54" s="479">
        <v>1</v>
      </c>
      <c r="LD54" s="251">
        <f t="shared" si="153"/>
        <v>0.170231949789759</v>
      </c>
      <c r="LE54" s="251">
        <f>LD54*(VLOOKUP($LB$9,各项系数!$D$1:$F$143,2,0))</f>
        <v>2.8939431464259</v>
      </c>
      <c r="LF54" s="302">
        <f>各项系数!$F$76/4*($NH54^2-$NE54^2)*10^-2*(VLOOKUP(AN54,各项系数!$D$1:$F$143,3,0))*10^-3*10^2*各项系数!$J$4</f>
        <v>0.171256602140916</v>
      </c>
      <c r="LG54" s="123">
        <v>1</v>
      </c>
      <c r="LH54" s="251">
        <f t="shared" si="302"/>
        <v>0.171256602140916</v>
      </c>
      <c r="LI54" s="251">
        <f>LH54*(VLOOKUP(AN54,各项系数!$D$1:$F$143,2,0))</f>
        <v>1.71256602140916</v>
      </c>
      <c r="LJ54" s="302">
        <f>各项系数!$F$76/4*($NI54^2-$NF54^2)*10^-2*(VLOOKUP(AN54,各项系数!$D$1:$F$143,3,0))*10^-3*10^2*各项系数!$J$4</f>
        <v>0.172579976683411</v>
      </c>
      <c r="LK54" s="123">
        <v>1</v>
      </c>
      <c r="LL54" s="251">
        <f t="shared" si="303"/>
        <v>0.172579976683411</v>
      </c>
      <c r="LM54" s="251">
        <f>LL54*(VLOOKUP(AN54,各项系数!$D$1:$F$143,2,0))</f>
        <v>1.72579976683411</v>
      </c>
      <c r="LN54" s="251">
        <f>各项系数!$F$76/4*($NH54^2-$NE54^2)*10^-2*(VLOOKUP($LN$9,各项系数!$D$1:$F$143,3,0))*10^-3*10^2*各项系数!$J$4</f>
        <v>0.171256602140916</v>
      </c>
      <c r="LO54" s="479">
        <v>1</v>
      </c>
      <c r="LP54" s="251">
        <f t="shared" si="304"/>
        <v>0.171256602140916</v>
      </c>
      <c r="LQ54" s="251">
        <f>LP54*(VLOOKUP($LN$9,各项系数!$D$1:$F$143,2,0))</f>
        <v>1.88382262355008</v>
      </c>
      <c r="LR54" s="251">
        <f>各项系数!$F$76/4*($NI54^2-$NF54^2)*10^-2*(VLOOKUP($LR$9,各项系数!$D$1:$F$143,3,0))*10^-3*10^2*各项系数!$J$4</f>
        <v>0.172579976683411</v>
      </c>
      <c r="LS54" s="479">
        <v>1</v>
      </c>
      <c r="LT54" s="251">
        <f t="shared" si="305"/>
        <v>0.172579976683411</v>
      </c>
      <c r="LU54" s="251">
        <f>LT54*(VLOOKUP($LR$9,各项系数!$D$1:$F$143,2,0))</f>
        <v>1.89837974351752</v>
      </c>
      <c r="LV54" s="499">
        <f t="shared" si="154"/>
        <v>91.78599122</v>
      </c>
      <c r="LW54" s="499">
        <f t="shared" si="155"/>
        <v>71.38910428</v>
      </c>
      <c r="LX54" s="499">
        <f t="shared" si="156"/>
        <v>9.53390951459674</v>
      </c>
      <c r="LY54" s="515">
        <f t="shared" si="157"/>
        <v>20.39688694</v>
      </c>
      <c r="LZ54" s="516">
        <f t="shared" si="86"/>
        <v>1</v>
      </c>
      <c r="MA54" s="517">
        <f t="shared" si="87"/>
        <v>91.78599122</v>
      </c>
      <c r="MB54" s="517">
        <f t="shared" si="158"/>
        <v>6.24140886</v>
      </c>
      <c r="MC54" s="499">
        <f t="shared" si="159"/>
        <v>0</v>
      </c>
      <c r="MD54" s="499">
        <f t="shared" si="160"/>
        <v>0</v>
      </c>
      <c r="ME54" s="499">
        <f t="shared" si="161"/>
        <v>0</v>
      </c>
      <c r="MF54" s="499">
        <f t="shared" si="162"/>
        <v>0</v>
      </c>
      <c r="MG54" s="516">
        <f t="shared" si="163"/>
        <v>1</v>
      </c>
      <c r="MH54" s="517">
        <f t="shared" si="88"/>
        <v>0</v>
      </c>
      <c r="MI54" s="517">
        <f t="shared" si="164"/>
        <v>0</v>
      </c>
      <c r="MJ54" s="251">
        <f t="shared" si="89"/>
        <v>6.24140886</v>
      </c>
      <c r="MK54" s="251">
        <f t="shared" si="165"/>
        <v>6.24140886</v>
      </c>
      <c r="ML54" s="251">
        <f t="shared" si="306"/>
        <v>0</v>
      </c>
      <c r="MM54" s="251">
        <f t="shared" si="91"/>
        <v>0</v>
      </c>
      <c r="MN54" s="251">
        <f t="shared" si="92"/>
        <v>8.04140886</v>
      </c>
      <c r="MO54" s="251">
        <f t="shared" si="166"/>
        <v>0</v>
      </c>
      <c r="MP54" s="251">
        <f t="shared" si="167"/>
        <v>17.36944314</v>
      </c>
      <c r="MQ54" s="251">
        <f t="shared" si="307"/>
        <v>17.36944314</v>
      </c>
      <c r="MR54" s="314">
        <f t="shared" si="168"/>
        <v>17.36944314</v>
      </c>
      <c r="MS54" s="530">
        <f t="shared" si="94"/>
        <v>17.54544314</v>
      </c>
      <c r="MT54" s="530">
        <f t="shared" si="95"/>
        <v>17.70544314</v>
      </c>
      <c r="MU54" s="530">
        <f t="shared" si="232"/>
        <v>18.14544314</v>
      </c>
      <c r="MV54" s="530">
        <f t="shared" si="97"/>
        <v>21.14544314</v>
      </c>
      <c r="MW54" s="530">
        <f t="shared" si="98"/>
        <v>21.30544314</v>
      </c>
      <c r="MX54" s="326">
        <f t="shared" si="233"/>
        <v>6.84140886</v>
      </c>
      <c r="MY54" s="326">
        <f t="shared" si="100"/>
        <v>0</v>
      </c>
      <c r="MZ54" s="251">
        <f t="shared" si="101"/>
        <v>8.64140886</v>
      </c>
      <c r="NA54" s="251">
        <f t="shared" si="102"/>
        <v>0</v>
      </c>
      <c r="NB54" s="251">
        <f t="shared" si="169"/>
        <v>18.66544314</v>
      </c>
      <c r="NC54" s="326">
        <f t="shared" si="308"/>
        <v>18.66544314</v>
      </c>
      <c r="ND54" s="314">
        <f t="shared" si="234"/>
        <v>18.66544314</v>
      </c>
      <c r="NE54" s="537">
        <f t="shared" si="235"/>
        <v>18.90544314</v>
      </c>
      <c r="NF54" s="530">
        <f t="shared" si="106"/>
        <v>19.06544314</v>
      </c>
      <c r="NG54" s="538">
        <f t="shared" si="236"/>
        <v>19.50544314</v>
      </c>
      <c r="NH54" s="326">
        <f t="shared" si="108"/>
        <v>22.50544314</v>
      </c>
      <c r="NI54" s="530">
        <f t="shared" si="109"/>
        <v>22.66544314</v>
      </c>
      <c r="NK54" s="539">
        <f t="shared" si="110"/>
        <v>0.970485964341494</v>
      </c>
      <c r="NL54" s="539">
        <f t="shared" si="111"/>
        <v>44.4573217534343</v>
      </c>
      <c r="NM54" s="539">
        <f t="shared" si="112"/>
        <v>0.970485964341494</v>
      </c>
      <c r="NN54" s="539">
        <f t="shared" si="113"/>
        <v>44.617329671964</v>
      </c>
      <c r="NO54" s="539">
        <f t="shared" si="114"/>
        <v>1.39725227220677</v>
      </c>
      <c r="NP54" s="539">
        <f t="shared" si="115"/>
        <v>45.5778627585471</v>
      </c>
      <c r="NQ54" s="539">
        <f t="shared" si="116"/>
        <v>1.39725227220677</v>
      </c>
      <c r="NR54" s="539">
        <f t="shared" si="117"/>
        <v>45.749119360688</v>
      </c>
      <c r="NS54" s="539">
        <f t="shared" si="118"/>
        <v>0.995105769671424</v>
      </c>
      <c r="NT54" s="539">
        <f t="shared" si="119"/>
        <v>0.995105769671424</v>
      </c>
      <c r="NU54" s="539">
        <f t="shared" si="120"/>
        <v>1.42377177078031</v>
      </c>
      <c r="NV54" s="539">
        <f t="shared" si="121"/>
        <v>1.42377177078031</v>
      </c>
      <c r="NW54">
        <f t="shared" si="122"/>
        <v>1.10135240728432</v>
      </c>
      <c r="NX54">
        <f>各项系数!$M$9*NK54</f>
        <v>0.291145789302448</v>
      </c>
      <c r="NY54">
        <f t="shared" si="123"/>
        <v>0.995105769671424</v>
      </c>
    </row>
    <row r="55" customHeight="1" spans="1:389">
      <c r="A55" s="91">
        <v>20</v>
      </c>
      <c r="B55" s="86">
        <v>1</v>
      </c>
      <c r="C55" s="83"/>
      <c r="D55" s="69" t="s">
        <v>177</v>
      </c>
      <c r="E55" s="77">
        <f t="shared" si="255"/>
        <v>23.543541</v>
      </c>
      <c r="F55" s="84">
        <f>$F$23</f>
        <v>245.05464536043</v>
      </c>
      <c r="G55" s="74"/>
      <c r="H55" s="23"/>
      <c r="I55" s="78"/>
      <c r="J55" s="23"/>
      <c r="K55" s="23"/>
      <c r="L55" s="118" t="s">
        <v>467</v>
      </c>
      <c r="M55" s="124">
        <f t="shared" si="2"/>
        <v>0.9</v>
      </c>
      <c r="N55" s="124">
        <f t="shared" si="252"/>
        <v>0</v>
      </c>
      <c r="O55" s="69">
        <f t="shared" si="265"/>
        <v>0.08</v>
      </c>
      <c r="P55" s="120">
        <v>0.1</v>
      </c>
      <c r="Q55" s="162">
        <f t="shared" si="309"/>
        <v>0.1</v>
      </c>
      <c r="R55" s="86">
        <v>0.8</v>
      </c>
      <c r="S55" s="171" t="str">
        <f>各项系数!$D$43</f>
        <v>钢带</v>
      </c>
      <c r="T55" s="69">
        <v>0.2</v>
      </c>
      <c r="U55" s="123">
        <v>2</v>
      </c>
      <c r="V55" s="169"/>
      <c r="W55" s="170">
        <v>1.8</v>
      </c>
      <c r="X55" s="164">
        <f t="shared" si="310"/>
        <v>0.2</v>
      </c>
      <c r="Y55" s="219"/>
      <c r="Z55" s="220"/>
      <c r="AA55" s="217">
        <f>$AA$23</f>
        <v>1.011</v>
      </c>
      <c r="AB55" s="186">
        <f>PI()*EJ55*EJ55/4*EH55*(1-H55)*AA55*各项系数!$F$5*各项系数!$J$4*10^-7</f>
        <v>0.295249926304339</v>
      </c>
      <c r="AC55" s="186">
        <f t="shared" si="256"/>
        <v>245.05464536043</v>
      </c>
      <c r="AD55" s="186">
        <f t="shared" si="5"/>
        <v>33.3783570613855</v>
      </c>
      <c r="AE55" s="186">
        <f>POWER(4*EU55/PI()/EG55/10^-7/EH55/(1-H55)/各项系数!$F$5/各项系数!$J$4,0.5)</f>
        <v>246.398759704805</v>
      </c>
      <c r="AF55" s="218">
        <v>1</v>
      </c>
      <c r="AG55" s="85">
        <f>IF(EM55=0,0,PI()*ER55*ER55/4*EP55*(1-K55)*(1+AF55)*各项系数!$F$5*各项系数!$J$4*10^-7)</f>
        <v>0</v>
      </c>
      <c r="AH55" s="85">
        <f t="shared" si="257"/>
        <v>0</v>
      </c>
      <c r="AI55" s="85">
        <f t="shared" si="128"/>
        <v>0</v>
      </c>
      <c r="AJ55" s="85">
        <f>IF(OR(EP55="",EP55=0),0,POWER(4*EW55/PI()/EO55/10^-7/EP55/(1-K55)/各项系数!$F$5/各项系数!$J$4,0.5))</f>
        <v>0</v>
      </c>
      <c r="AK55" s="85" t="str">
        <f t="shared" si="8"/>
        <v>√</v>
      </c>
      <c r="AL55" s="85">
        <f t="shared" si="258"/>
        <v>63.0294666911382</v>
      </c>
      <c r="AM55" s="250">
        <f t="shared" si="259"/>
        <v>35</v>
      </c>
      <c r="AN55" s="118" t="s">
        <v>486</v>
      </c>
      <c r="AO55" s="259">
        <f>AP55+各项系数!$M$9*$NK55</f>
        <v>61.7935947952335</v>
      </c>
      <c r="AP55" s="259">
        <f>AQ55*(1+$BI55+(VLOOKUP($AM55,$A$12:$B$323,2,0))+各项系数!$J$6+各项系数!$M$5)*(1+$E$2)</f>
        <v>61.4100677301115</v>
      </c>
      <c r="AQ55" s="260">
        <f>AR55+各项系数!$L$9*$NK55</f>
        <v>62.6633344184811</v>
      </c>
      <c r="AR55" s="260">
        <f>AS55*(1+$BJ55+各项系数!$J$5+各项系数!$L$5)</f>
        <v>62.279807353359</v>
      </c>
      <c r="AS55" s="260">
        <f t="shared" si="129"/>
        <v>61.0586346601559</v>
      </c>
      <c r="AT55" s="259">
        <f>AU55+各项系数!$M$9*$NM55</f>
        <v>63.0104112063824</v>
      </c>
      <c r="AU55" s="259">
        <f>AV55*(1+$BI55+(VLOOKUP($AM55,$A$12:$B$323,2,0))+各项系数!$J$6+各项系数!$M$5)*(1+$E$2)</f>
        <v>62.6268841412603</v>
      </c>
      <c r="AV55" s="260">
        <f>AW55+各项系数!$L$9*$NM55</f>
        <v>63.9049838176126</v>
      </c>
      <c r="AW55" s="260">
        <f>AX55*(1+$BJ55+各项系数!$J$5+各项系数!$L$5)</f>
        <v>63.5214567524905</v>
      </c>
      <c r="AX55" s="260">
        <f t="shared" si="130"/>
        <v>62.2759379926378</v>
      </c>
      <c r="AY55" s="259">
        <f>AZ55+各项系数!$M$9*$NS55</f>
        <v>63.7106264844328</v>
      </c>
      <c r="AZ55" s="259">
        <f>BA55*(1+$BI55+(VLOOKUP($AM55,$A$12:$B$214,2,0))+各项系数!$J$6+各项系数!$M$5)*(1+$E$2)</f>
        <v>63.318708554851</v>
      </c>
      <c r="BA55" s="260">
        <f>BB55+各项系数!$L$9*$NS55</f>
        <v>64.6109270967868</v>
      </c>
      <c r="BB55" s="260">
        <f>BC55*(1+$BJ55+各项系数!$J$5+各项系数!$L$5)</f>
        <v>64.219009167205</v>
      </c>
      <c r="BC55" s="262">
        <f t="shared" si="131"/>
        <v>62.9598129090245</v>
      </c>
      <c r="BD55" s="259">
        <f>BE55+各项系数!$M$9*$NS55</f>
        <v>64.9363968477362</v>
      </c>
      <c r="BE55" s="259">
        <f>BF55*(1+$BI55+(VLOOKUP($AM55,$A$12:$B$214,2,0))+各项系数!$J$6+各项系数!$M$5)*(1+$E$2)</f>
        <v>64.5444789181544</v>
      </c>
      <c r="BF55" s="260">
        <f>BG55+各项系数!$L$9*$NS55</f>
        <v>65.8617131817902</v>
      </c>
      <c r="BG55" s="260">
        <f>BH55*(1+$BJ55+各项系数!$J$5+各项系数!$L$5)</f>
        <v>65.4697952522084</v>
      </c>
      <c r="BH55" s="262">
        <f t="shared" si="132"/>
        <v>64.1860737766749</v>
      </c>
      <c r="BI55" s="277"/>
      <c r="BJ55" s="272"/>
      <c r="BK55" s="69" t="s">
        <v>514</v>
      </c>
      <c r="BL55" s="259">
        <f>BM55+各项系数!$M$9*$NM55</f>
        <v>62.573502741154</v>
      </c>
      <c r="BM55" s="259">
        <f>BN55*(1+$CF55+(VLOOKUP($AM55,$A$12:$B$323,2,0))+各项系数!$J$6+各项系数!$M$5)*(1+$E$2)</f>
        <v>62.1899756760319</v>
      </c>
      <c r="BN55" s="260">
        <f>BO55+各项系数!$L$9*$NM55</f>
        <v>63.4591588530938</v>
      </c>
      <c r="BO55" s="260">
        <f>BP55*(1+$CG55+各项系数!$J$5+各项系数!$L$5)</f>
        <v>63.0756317879717</v>
      </c>
      <c r="BP55" s="260">
        <f t="shared" si="133"/>
        <v>61.2384774640502</v>
      </c>
      <c r="BQ55" s="259">
        <f>BR55+各项系数!$M$9*$NM55</f>
        <v>63.6207153987102</v>
      </c>
      <c r="BR55" s="259">
        <f>BS55*(1+$CF55+(VLOOKUP($AM55,$A$12:$B$323,2,0))+各项系数!$J$6+各项系数!$M$5)*(1+$E$2)</f>
        <v>63.2371883335882</v>
      </c>
      <c r="BS55" s="260">
        <f>BT55+各项系数!$L$9*$NM55</f>
        <v>64.527743197539</v>
      </c>
      <c r="BT55" s="260">
        <f>BU55*(1+$CG55+各项系数!$J$5+各项系数!$L$5)</f>
        <v>64.1442161324169</v>
      </c>
      <c r="BU55" s="260">
        <f t="shared" si="134"/>
        <v>62.2759379926378</v>
      </c>
      <c r="BV55" s="259">
        <f>BW55+各项系数!$M$9*$NT55</f>
        <v>64.1345203555571</v>
      </c>
      <c r="BW55" s="259">
        <f>BX55*(1+$CF55+(VLOOKUP($AM55,$A$12:$B$214,2,0))+各项系数!$J$6+各项系数!$M$5)*(1+$E$2)</f>
        <v>63.7426024259753</v>
      </c>
      <c r="BX55" s="260">
        <f>BY55+各项系数!$L$9*$NT$12</f>
        <v>65.0434718632401</v>
      </c>
      <c r="BY55" s="260">
        <f>BZ55*(1+$CG55+各项系数!$J$5+各项系数!$L$5)</f>
        <v>65.0352084600851</v>
      </c>
      <c r="BZ55" s="262">
        <f t="shared" si="11"/>
        <v>63.1409790874613</v>
      </c>
      <c r="CA55" s="259">
        <f>CB55+各项系数!$M$9*$NT55</f>
        <v>65.1894389348493</v>
      </c>
      <c r="CB55" s="259">
        <f>CC55*(1+$CF55+(VLOOKUP($AM55,$A$12:$B$214,2,0))+各项系数!$J$6+各项系数!$M$5)*(1+$E$2)</f>
        <v>64.7975210052676</v>
      </c>
      <c r="CC55" s="260">
        <f>CD55+各项系数!$L$9*$NT$12</f>
        <v>66.1199193931302</v>
      </c>
      <c r="CD55" s="260">
        <f>CE55*(1+$CG55+各项系数!$J$5+各项系数!$L$5)</f>
        <v>66.1116559899752</v>
      </c>
      <c r="CE55" s="262">
        <f t="shared" si="135"/>
        <v>64.1860737766749</v>
      </c>
      <c r="CF55" s="277">
        <f t="shared" si="136"/>
        <v>0</v>
      </c>
      <c r="CG55" s="277">
        <f t="shared" si="12"/>
        <v>0.01</v>
      </c>
      <c r="CH55" s="123"/>
      <c r="CI55" s="259">
        <f>CJ55+各项系数!$M$9*$NO55</f>
        <v>63.7985619738399</v>
      </c>
      <c r="CJ55" s="259">
        <f>CK55*(1+$DC55+(VLOOKUP($AM55,$A$12:$B$323,2,0))+各项系数!$J$6+各项系数!$M$5)*(1+$E$2)+各项系数!$M$9*$NK55</f>
        <v>63.2547892727477</v>
      </c>
      <c r="CK55" s="260">
        <f>CL55+各项系数!$L$9*$NO55</f>
        <v>64.1543491914548</v>
      </c>
      <c r="CL55" s="260">
        <f>CM55*(1+$DD55+各项系数!$J$5+各项系数!$L$5)</f>
        <v>63.6105764903625</v>
      </c>
      <c r="CM55" s="260">
        <f t="shared" si="13"/>
        <v>62.3633102846692</v>
      </c>
      <c r="CN55" s="259">
        <f>CO55+各项系数!$M$9*$NO55</f>
        <v>64.9029365436112</v>
      </c>
      <c r="CO55" s="259">
        <f>CP55*(1+$DC55+(VLOOKUP($AM55,$A$12:$B$323,2,0))+各项系数!$J$6+各项系数!$M$5)*(1+$E$2)+各项系数!$M$9*$NK55</f>
        <v>64.359163842519</v>
      </c>
      <c r="CP55" s="260">
        <f>CQ55+各项系数!$L$9*$NO55</f>
        <v>65.281262017752</v>
      </c>
      <c r="CQ55" s="260">
        <f>CR55*(1+$DD55+各项系数!$J$5+各项系数!$L$5)</f>
        <v>64.7374893166598</v>
      </c>
      <c r="CR55" s="260">
        <f t="shared" si="14"/>
        <v>63.468126781039</v>
      </c>
      <c r="CS55" s="259">
        <f>CT55+各项系数!$M$9*$NU55</f>
        <v>65.4613730179301</v>
      </c>
      <c r="CT55" s="259">
        <f t="shared" si="15"/>
        <v>64.908639544405</v>
      </c>
      <c r="CU55" s="260">
        <f>CV55+各项系数!$L$9*$NU55</f>
        <v>66.2333056575561</v>
      </c>
      <c r="CV55" s="260">
        <f>CW55*(1+$DD55+各项系数!$J$5+各项系数!$L$5)</f>
        <v>65.6805721840311</v>
      </c>
      <c r="CW55" s="262">
        <f t="shared" si="16"/>
        <v>64.3927178274815</v>
      </c>
      <c r="CX55" s="259">
        <f>CY55+各项系数!$M$9*$NU55</f>
        <v>66.7632519745469</v>
      </c>
      <c r="CY55" s="259">
        <f t="shared" si="17"/>
        <v>66.2105185010218</v>
      </c>
      <c r="CZ55" s="260">
        <f>DA55+各项系数!$L$9*$NU55</f>
        <v>67.5617535724712</v>
      </c>
      <c r="DA55" s="260">
        <f>DB55*(1+$DD55+各项系数!$J$5+各项系数!$L$5)</f>
        <v>67.0090200989462</v>
      </c>
      <c r="DB55" s="262">
        <f t="shared" si="18"/>
        <v>65.6951177440649</v>
      </c>
      <c r="DC55" s="277">
        <f t="shared" si="137"/>
        <v>0</v>
      </c>
      <c r="DD55" s="277">
        <f t="shared" si="19"/>
        <v>0</v>
      </c>
      <c r="DE55" s="69" t="s">
        <v>498</v>
      </c>
      <c r="DF55" s="69" t="s">
        <v>513</v>
      </c>
      <c r="DG55" s="259">
        <f>DH55+各项系数!$M$9*$NQ55</f>
        <v>64.6026101621178</v>
      </c>
      <c r="DH55" s="259">
        <f>DI55*(1+$EA55+(VLOOKUP($AM55,$A$12:$B$323,2,0))+各项系数!$J$6+各项系数!$M$5)*(1+$E$2)+各项系数!$M$9*$NK55</f>
        <v>64.0588374610255</v>
      </c>
      <c r="DI55" s="260">
        <f>DJ55+各项系数!$L$9*$NQ55</f>
        <v>64.9748065264321</v>
      </c>
      <c r="DJ55" s="260">
        <f>DK55*(1+$EB55+各项系数!$J$5+各项系数!$L$5)</f>
        <v>64.4310338253399</v>
      </c>
      <c r="DK55" s="260">
        <f t="shared" si="20"/>
        <v>62.5544017721747</v>
      </c>
      <c r="DL55" s="259">
        <f>DM55+各项系数!$M$9*$NQ55</f>
        <v>65.7153231544298</v>
      </c>
      <c r="DM55" s="259">
        <f>DN55*(1+$EA55+(VLOOKUP($AM55,$A$12:$B$323,2,0))+各项系数!$J$6+各项系数!$M$5)*(1+$E$2)+各项系数!$M$9*$NK55</f>
        <v>65.1715504533376</v>
      </c>
      <c r="DN55" s="260">
        <f>DO55+各项系数!$L$9*$NQ55</f>
        <v>66.1102279471587</v>
      </c>
      <c r="DO55" s="260">
        <f>DP55*(1+$EB55+各项系数!$J$5+各项系数!$L$5)</f>
        <v>65.5664552460665</v>
      </c>
      <c r="DP55" s="260">
        <f t="shared" si="21"/>
        <v>63.656752666084</v>
      </c>
      <c r="DQ55" s="259">
        <f>DR55+各项系数!$M$9*$NV55</f>
        <v>66.2866452143907</v>
      </c>
      <c r="DR55" s="259">
        <f t="shared" si="22"/>
        <v>65.7339117408656</v>
      </c>
      <c r="DS55" s="260">
        <f>DT55+各项系数!$L$9*$NV55</f>
        <v>67.0754201437404</v>
      </c>
      <c r="DT55" s="260">
        <f>DU55*(1+$EB55+各项系数!$J$5+各项系数!$L$5)</f>
        <v>66.5226866702154</v>
      </c>
      <c r="DU55" s="262">
        <f t="shared" si="23"/>
        <v>64.5851326895295</v>
      </c>
      <c r="DV55" s="259">
        <f>DW55+各项系数!$M$9*$NV55</f>
        <v>66.5609740825115</v>
      </c>
      <c r="DW55" s="259">
        <f t="shared" si="24"/>
        <v>66.0082406089865</v>
      </c>
      <c r="DX55" s="260">
        <f>DY55+各项系数!$L$9*$NV55</f>
        <v>67.3553475601903</v>
      </c>
      <c r="DY55" s="260">
        <f>DZ55*(1+$EB55+各项系数!$J$5+各项系数!$L$5)</f>
        <v>66.8026140866652</v>
      </c>
      <c r="DZ55" s="262">
        <f t="shared" si="25"/>
        <v>64.8569068802575</v>
      </c>
      <c r="EA55" s="277">
        <f t="shared" si="311"/>
        <v>0</v>
      </c>
      <c r="EB55" s="277">
        <f t="shared" si="27"/>
        <v>0.01</v>
      </c>
      <c r="EC55" s="302">
        <f t="shared" si="138"/>
        <v>3</v>
      </c>
      <c r="ED55" s="302" t="str">
        <f t="shared" si="266"/>
        <v>3*35</v>
      </c>
      <c r="EE55" s="251">
        <f t="shared" si="239"/>
        <v>35</v>
      </c>
      <c r="EF55" s="251" t="str">
        <f>LOOKUP(EH55,{1,7,10,14,19,24,30,37,48,61},{1,"1+6","2+8","4+10","1+6+12","2+8+14","4+10+16","1+6+12+18","3+9+15+21","1+6+12+18+24"})</f>
        <v>1+6</v>
      </c>
      <c r="EG55" s="250">
        <f t="shared" si="29"/>
        <v>3</v>
      </c>
      <c r="EH55" s="260">
        <f>VLOOKUP(EE55,各项系数!$B$87:$C$124,2,0)</f>
        <v>7</v>
      </c>
      <c r="EI55" s="250">
        <f>IF(EH55=0,0,VLOOKUP(EH55,各项系数!$D$142:$E$195,2,0))*1</f>
        <v>3</v>
      </c>
      <c r="EJ55" s="305">
        <f t="shared" si="141"/>
        <v>245.05464536043</v>
      </c>
      <c r="EK55" s="251">
        <f t="shared" si="261"/>
        <v>0</v>
      </c>
      <c r="EL55" s="251">
        <f t="shared" si="31"/>
        <v>0</v>
      </c>
      <c r="EM55" s="251">
        <f t="shared" si="267"/>
        <v>0</v>
      </c>
      <c r="EN55" s="251">
        <f>IF(EP55=0,0,LOOKUP(EP55,{1,7,10,14,19,24,30,37,48,61},{1,"1+6","2+8","4+10","1+6+12","2+8+14","4+10+16","1+6+12+18","3+9+15+21","1+6+12+18+24"}))</f>
        <v>0</v>
      </c>
      <c r="EO55" s="251">
        <f t="shared" si="263"/>
        <v>0</v>
      </c>
      <c r="EP55" s="251">
        <f>IF(EM55=0,0,IF(EM55&lt;10,1,IF(AND(EM55&gt;=10,EM55&lt;=35),7,LOOKUP(EM55,{50,70,95,120,150,185,240,300},{10,14,19,24,30,37,48,61})*1)))</f>
        <v>0</v>
      </c>
      <c r="EQ55" s="251">
        <f>IF(EP55=0,0,VLOOKUP(EP55,各项系数!$D$142:$E$195,2,0))*1</f>
        <v>0</v>
      </c>
      <c r="ER55" s="251">
        <f t="shared" si="264"/>
        <v>0</v>
      </c>
      <c r="ES55" s="302">
        <f t="shared" si="250"/>
        <v>3</v>
      </c>
      <c r="ET55" s="251">
        <f>VLOOKUP(ES55,各项系数!$D$142:$E$195,2,0)*1</f>
        <v>2.16</v>
      </c>
      <c r="EU55" s="311">
        <f>((各项系数!$F$76/4*$EJ55^2*$EG55*$EH55*1*10^-7)*(1-$H55)*AA55)*(VLOOKUP($EY$9,各项系数!$D$4:$F$143,3,0))*各项系数!$J$4</f>
        <v>0.885749778913017</v>
      </c>
      <c r="EV55" s="312">
        <f>EU55*(VLOOKUP($EY$9,各项系数!$D$4:$F$143,2,0))</f>
        <v>58.0166105188026</v>
      </c>
      <c r="EW55" s="324">
        <f>(IF($EO55=0,0,(各项系数!$F$76/4*$ER55^2*$EO55*$EP55*1*10^-7))*(1-$K55)*$AF55)*(VLOOKUP($EY$9,各项系数!$D$4:$F$143,3,0))*各项系数!$J$4</f>
        <v>0</v>
      </c>
      <c r="EX55" s="325">
        <f>EW55*(VLOOKUP($EY$9,各项系数!$D$4:$F$143,2,0))</f>
        <v>0</v>
      </c>
      <c r="EY55" s="251">
        <f>((各项系数!$F$76/4*$EJ55^2*$EG55*$EH55*1*10^-7)*(1-$H55)*AA55+IF($EO55=0,0,(各项系数!$F$76/4*$ER55^2*$EO55*$EP55*1*10^-7))*(1-$K55)*$AF55)*(VLOOKUP($EY$9,各项系数!$D$4:$F$143,3,0))*各项系数!$J$4</f>
        <v>0.885749778913017</v>
      </c>
      <c r="EZ55" s="123">
        <v>1</v>
      </c>
      <c r="FA55" s="251">
        <f t="shared" si="268"/>
        <v>0.885749778913017</v>
      </c>
      <c r="FB55" s="326">
        <f>FA55*(VLOOKUP($EY$9,各项系数!$D$4:$F$143,2,0))</f>
        <v>58.0166105188026</v>
      </c>
      <c r="FC55" s="327"/>
      <c r="FD55" s="302">
        <f>各项系数!$F$76/4*($MN55^2-MK55^2)*10^-2*(VLOOKUP(L55,各项系数!$D$1:$F$143,3,0))*10^-3*10^2*$EG55*各项系数!$J$4</f>
        <v>0.0766072091492401</v>
      </c>
      <c r="FE55" s="339">
        <f>FD55*VLOOKUP(L55,各项系数!$D$1:$F$143,2,0)</f>
        <v>0.781393533322249</v>
      </c>
      <c r="FF55" s="250">
        <f>各项系数!$F$76/4*($MO55^2-ML55^2)*10^-2*(VLOOKUP(L55,各项系数!$D$1:$F$143,3,0))*10^-3*10^2*$EO55*各项系数!$J$4</f>
        <v>0</v>
      </c>
      <c r="FG55" s="339">
        <f>FF55*VLOOKUP(L55,各项系数!$D$1:$F$143,2,0)</f>
        <v>0</v>
      </c>
      <c r="FH55" s="302">
        <f t="shared" si="142"/>
        <v>0.0766072091492401</v>
      </c>
      <c r="FI55" s="123">
        <v>1</v>
      </c>
      <c r="FJ55" s="251">
        <f t="shared" si="269"/>
        <v>0.0766072091492401</v>
      </c>
      <c r="FK55" s="339">
        <f>FJ55*VLOOKUP(L55,各项系数!$D$1:$F$143,2,0)</f>
        <v>0.781393533322249</v>
      </c>
      <c r="FL55" s="302"/>
      <c r="FM55" s="123"/>
      <c r="FN55" s="251"/>
      <c r="FO55" s="339"/>
      <c r="FP55" s="364">
        <f t="shared" si="270"/>
        <v>0.0766072091492401</v>
      </c>
      <c r="FQ55" s="364">
        <f t="shared" si="271"/>
        <v>0.781393533322249</v>
      </c>
      <c r="FR55" s="365">
        <f>各项系数!$F$76/4*($MQ55^2-$MN55^2*$EG55-$MO55^2*$EO55)*10^-2</f>
        <v>1.09561605580112</v>
      </c>
      <c r="FS55" s="366">
        <f t="shared" si="143"/>
        <v>1</v>
      </c>
      <c r="FT55" s="367">
        <f t="shared" si="40"/>
        <v>1.09561605580112</v>
      </c>
      <c r="FU55" s="388">
        <f>$FT55*(VLOOKUP($FT$9,各项系数!$D$1:$F$143,3,0))*10^-3*10^2*各项系数!$J$55</f>
        <v>0.130816557062654</v>
      </c>
      <c r="FV55" s="389">
        <v>1</v>
      </c>
      <c r="FW55" s="390">
        <f t="shared" si="272"/>
        <v>0.130816557062654</v>
      </c>
      <c r="FX55" s="367">
        <f>FW55*(VLOOKUP($FT$9,各项系数!$D$1:$F$143,2,0))</f>
        <v>0.392449671187961</v>
      </c>
      <c r="FY55" s="388">
        <f>IF($BK55&lt;&gt;$FY$9,0,各项系数!$F$76/4*($MS55^2-$MQ55^2)*10^-2*(VLOOKUP($FY$9,各项系数!$D$1:$F$143,3,0))*10^-3*10^2)*各项系数!$J$4</f>
        <v>0</v>
      </c>
      <c r="FZ55" s="389">
        <v>1</v>
      </c>
      <c r="GA55" s="390">
        <f t="shared" si="273"/>
        <v>0</v>
      </c>
      <c r="GB55" s="367">
        <f>GA55*(VLOOKUP($FY$9,各项系数!$D$1:$F$143,2,0))</f>
        <v>0</v>
      </c>
      <c r="GC55" s="388">
        <f>IF($BK55&lt;&gt;$GC$9,0,各项系数!$F$76/4*($MS55^2-$MQ55^2)*10^-2*(VLOOKUP($GC$9,各项系数!$D$1:$F$143,3,0))*10^-3*10^2)*各项系数!$J$4</f>
        <v>0.00540720138760184</v>
      </c>
      <c r="GD55" s="389">
        <v>1</v>
      </c>
      <c r="GE55" s="390">
        <f t="shared" si="274"/>
        <v>0.00540720138760184</v>
      </c>
      <c r="GF55" s="367">
        <f>GE55*(VLOOKUP($GC$9,各项系数!$D$1:$F$143,2,0))</f>
        <v>0.0697528979000638</v>
      </c>
      <c r="GG55" s="388">
        <f>IF($BK55&lt;&gt;$GG$9,0,各项系数!$F$76/4*($MS55^2-$MQ55^2)*10^-2*(VLOOKUP($GG$9,各项系数!$D$1:$F$143,3,0))*10^-3*10^2)*各项系数!$J$4</f>
        <v>0</v>
      </c>
      <c r="GH55" s="389">
        <v>1</v>
      </c>
      <c r="GI55" s="390">
        <f t="shared" si="275"/>
        <v>0</v>
      </c>
      <c r="GJ55" s="367">
        <f>GI55*(VLOOKUP($GG$9,各项系数!$D$1:$F$143,2,0))</f>
        <v>0</v>
      </c>
      <c r="GK55" s="388">
        <f>IF($BK55&lt;&gt;$GK$9,0,各项系数!$F$76/4*($MS55^2-$MQ55^2)*10^-2*(VLOOKUP($GK$9,各项系数!$D$1:$F$143,3,0))*10^-3*10^2)*各项系数!$J$4</f>
        <v>0</v>
      </c>
      <c r="GL55" s="389">
        <v>1</v>
      </c>
      <c r="GM55" s="390">
        <f t="shared" si="276"/>
        <v>0</v>
      </c>
      <c r="GN55" s="367">
        <f>GM55*(VLOOKUP($GK$9,各项系数!$D$1:$F$143,2,0))</f>
        <v>0</v>
      </c>
      <c r="GO55" s="390">
        <f t="shared" si="277"/>
        <v>0.00540720138760184</v>
      </c>
      <c r="GP55" s="390">
        <f t="shared" si="278"/>
        <v>0.0697528979000638</v>
      </c>
      <c r="GQ55" s="406">
        <f>各项系数!$F$76/4*($MU55^2-$MS55^2)*10^-2*(VLOOKUP($S55,各项系数!$D$1:$F$143,3,0))*10^-3*10^2*各项系数!$J$4</f>
        <v>0.148452475091477</v>
      </c>
      <c r="GR55" s="389">
        <v>1</v>
      </c>
      <c r="GS55" s="390">
        <f t="shared" si="279"/>
        <v>0.148452475091477</v>
      </c>
      <c r="GT55" s="390">
        <f t="shared" si="200"/>
        <v>0</v>
      </c>
      <c r="GU55" s="390">
        <f>ROUND($GS55*(VLOOKUP($S55,各项系数!$D$1:$F$143,2,0))+$E$3*GS55,GT55)</f>
        <v>1</v>
      </c>
      <c r="GV55" s="406">
        <f>各项系数!$F$76/4*($MT55^2-$MS55^2)*10^-2*(VLOOKUP($GV$9,各项系数!$D$1:$F$143,3,0))*10^-3*10^2*各项系数!$J$4*PI()/4*R55</f>
        <v>0.027969548199165</v>
      </c>
      <c r="GW55" s="389">
        <v>1</v>
      </c>
      <c r="GX55" s="390">
        <f t="shared" si="280"/>
        <v>0.027969548199165</v>
      </c>
      <c r="GY55" s="390">
        <f>$GX55*(VLOOKUP($GV$9,各项系数!$D$1:$F$143,2,0))</f>
        <v>1.88794450344364</v>
      </c>
      <c r="GZ55" s="406">
        <f>各项系数!$F$76/4*($MV55^2-$MS55^2)*10^-2*(VLOOKUP($GZ$9,各项系数!$D$1:$F$143,3,0))*10^-3*10^2*各项系数!$J$4</f>
        <v>0.177395963024995</v>
      </c>
      <c r="HA55" s="389">
        <v>1</v>
      </c>
      <c r="HB55" s="390">
        <f t="shared" si="144"/>
        <v>0.177395963024995</v>
      </c>
      <c r="HC55" s="390">
        <f>HB55*(VLOOKUP($GZ$9,各项系数!$D$1:$F$143,2,0))</f>
        <v>3.01573137142491</v>
      </c>
      <c r="HD55" s="406">
        <f>各项系数!$F$76/4*($MW55^2-$MT55^2)*10^-2*(VLOOKUP($HD$9,各项系数!$D$1:$F$143,3,0))*10^-3*10^2*各项系数!$J$4</f>
        <v>0.178701332471673</v>
      </c>
      <c r="HE55" s="389">
        <v>1</v>
      </c>
      <c r="HF55" s="390">
        <f t="shared" si="145"/>
        <v>0.178701332471673</v>
      </c>
      <c r="HG55" s="390">
        <f>HF55*(VLOOKUP($HD$9,各项系数!$D$1:$F$143,2,0))</f>
        <v>3.03792265201844</v>
      </c>
      <c r="HH55" s="406">
        <f>各项系数!$F$76/4*($MV55^2-$MS55^2)*10^-2*(VLOOKUP($HH$9,各项系数!$D$1:$F$143,3,0))*10^-3*10^2*各项系数!$J$4</f>
        <v>0.177395963024995</v>
      </c>
      <c r="HI55" s="420">
        <v>1</v>
      </c>
      <c r="HJ55" s="390">
        <f t="shared" si="146"/>
        <v>0.177395963024995</v>
      </c>
      <c r="HK55" s="390">
        <f>HJ55*(VLOOKUP($HH$9,各项系数!$D$1:$F$143,2,0))</f>
        <v>3.01573137142491</v>
      </c>
      <c r="HL55" s="406">
        <f>各项系数!$F$76/4*($MW55^2-$MT55^2)*10^-2*(VLOOKUP($HL$9,各项系数!$D$1:$F$143,3,0))*10^-3*10^2*各项系数!$J$4</f>
        <v>0.178701332471673</v>
      </c>
      <c r="HM55" s="420">
        <v>1</v>
      </c>
      <c r="HN55" s="390">
        <f t="shared" si="147"/>
        <v>0.178701332471673</v>
      </c>
      <c r="HO55" s="390">
        <f>HN55*(VLOOKUP($HL$9,各项系数!$D$1:$F$143,2,0))</f>
        <v>3.03792265201844</v>
      </c>
      <c r="HP55" s="406">
        <f>各项系数!$F$76/4*($MV55^2-$MS55^2)*10^-2*(VLOOKUP(AN55,各项系数!$D$1:$F$143,3,0))*10^-3*10^2*各项系数!$J$4</f>
        <v>0.179842803894305</v>
      </c>
      <c r="HQ55" s="389">
        <v>1</v>
      </c>
      <c r="HR55" s="390">
        <f t="shared" si="281"/>
        <v>0.179842803894305</v>
      </c>
      <c r="HS55" s="390">
        <f>HR55*(VLOOKUP(AN55,各项系数!$D$1:$F$143,2,0))</f>
        <v>1.79842803894305</v>
      </c>
      <c r="HT55" s="406">
        <f>各项系数!$F$76/4*($MW55^2-$MT55^2)*10^-2*(VLOOKUP(AN55,各项系数!$D$1:$F$143,3,0))*10^-3*10^2*各项系数!$J$4</f>
        <v>0.181166178436799</v>
      </c>
      <c r="HU55" s="389">
        <v>1</v>
      </c>
      <c r="HV55" s="390">
        <f t="shared" si="282"/>
        <v>0.181166178436799</v>
      </c>
      <c r="HW55" s="390">
        <f>HV55*(VLOOKUP(AN55,各项系数!$D$1:$F$143,2,0))</f>
        <v>1.81166178436799</v>
      </c>
      <c r="HX55" s="406">
        <f>各项系数!$F$76/4*($MV55^2-$MS55^2)*10^-2*(VLOOKUP($HX$9,各项系数!$D$1:$F$143,3,0))*10^-3*10^2*各项系数!$J$4</f>
        <v>0.179842803894305</v>
      </c>
      <c r="HY55" s="420">
        <v>1</v>
      </c>
      <c r="HZ55" s="390">
        <f t="shared" si="283"/>
        <v>0.179842803894305</v>
      </c>
      <c r="IA55" s="390">
        <f>HZ55*(VLOOKUP($HX$9,各项系数!$D$1:$F$143,2,0))</f>
        <v>1.97827084283735</v>
      </c>
      <c r="IB55" s="406">
        <f>各项系数!$F$76/4*($MW55^2-$MT55^2)*10^-2*(VLOOKUP($IB$9,各项系数!$D$1:$F$143,3,0))*10^-3*10^2*各项系数!$J$4</f>
        <v>0.181166178436799</v>
      </c>
      <c r="IC55" s="420">
        <v>1</v>
      </c>
      <c r="ID55" s="390">
        <f t="shared" si="284"/>
        <v>0.181166178436799</v>
      </c>
      <c r="IE55" s="390">
        <f>ID55*(VLOOKUP($IB$9,各项系数!$D$1:$F$143,2,0))</f>
        <v>1.99282796280479</v>
      </c>
      <c r="IF55" s="429"/>
      <c r="IG55" s="406">
        <f t="shared" si="148"/>
        <v>0.0322894921050394</v>
      </c>
      <c r="IH55" s="389">
        <v>1</v>
      </c>
      <c r="II55" s="390">
        <f t="shared" si="285"/>
        <v>0.0322894921050394</v>
      </c>
      <c r="IJ55" s="390">
        <f>II55*(VLOOKUP($IG$8,各项系数!$D$1:$F$143,2,0))</f>
        <v>0.807237302625985</v>
      </c>
      <c r="IK55" s="406">
        <f>(各项系数!$F$76/4*($MX55^2-$MK55^2)*$EG55)*10^-2*(VLOOKUP($IG$8,各项系数!$D$1:$F$143,3,0))*10^-3*10^2*各项系数!$J$4</f>
        <v>0.0322894921050394</v>
      </c>
      <c r="IL55" s="389">
        <f>IK55*(VLOOKUP($IG$8,各项系数!$D$1:$F$143,2,0))</f>
        <v>0.807237302625985</v>
      </c>
      <c r="IM55" s="390">
        <f>(各项系数!$F$76/4*(($MM55+3*$X55)^2-MM55^2)*$EO55)*10^-2*(VLOOKUP($IG$8,各项系数!$D$1:$F$143,3,0))*10^-3*10^2*各项系数!$J$4</f>
        <v>0</v>
      </c>
      <c r="IN55" s="389">
        <f>IM55*(VLOOKUP($IG$8,各项系数!$D$1:$F$143,2,0))</f>
        <v>0</v>
      </c>
      <c r="IO55" s="406">
        <f>各项系数!$F$76/4*($MZ55^2-$MX55^2)*10^-2*(VLOOKUP(L55,各项系数!$D$1:$F$143,3,0))*10^-3*10^2*$ES55*各项系数!$J$4</f>
        <v>0.0821775356673937</v>
      </c>
      <c r="IP55" s="389">
        <v>1</v>
      </c>
      <c r="IQ55" s="390">
        <f t="shared" si="286"/>
        <v>0.0821775356673937</v>
      </c>
      <c r="IR55" s="367">
        <f>IQ55*(VLOOKUP(L55,各项系数!$D$1:$F$143,2,0))</f>
        <v>0.838210863807416</v>
      </c>
      <c r="IS55" s="406">
        <f>IF($L55&lt;&gt;$IS$9,0,各项系数!$F$76/4*($MZ55^2-$MX55^2)*10^-2*各项系数!$F$12*10^-3*10^2)*$ES55*各项系数!$J$4</f>
        <v>0</v>
      </c>
      <c r="IT55" s="389">
        <v>1</v>
      </c>
      <c r="IU55" s="390">
        <f t="shared" si="287"/>
        <v>0</v>
      </c>
      <c r="IV55" s="367">
        <f>IU55*各项系数!$E$12</f>
        <v>0</v>
      </c>
      <c r="IW55" s="388">
        <f t="shared" si="288"/>
        <v>0.0821775356673937</v>
      </c>
      <c r="IX55" s="388">
        <f t="shared" si="289"/>
        <v>0.838210863807416</v>
      </c>
      <c r="IY55" s="447">
        <f>各项系数!$F$76/4*($NB55^2-$MZ55^2*$EG55-$NA55^2*$EO55)*10^-2</f>
        <v>1.24398704137186</v>
      </c>
      <c r="IZ55" s="366">
        <f t="shared" si="231"/>
        <v>1</v>
      </c>
      <c r="JA55" s="367">
        <f t="shared" si="64"/>
        <v>1.24398704137186</v>
      </c>
      <c r="JB55" s="364">
        <f>IF($DE55&lt;&gt;$JB$9,0,$JA55*各项系数!$F$32*10^-3*10^2)*各项系数!$J$4</f>
        <v>0</v>
      </c>
      <c r="JC55" s="123">
        <v>1</v>
      </c>
      <c r="JD55" s="251">
        <f t="shared" si="290"/>
        <v>0</v>
      </c>
      <c r="JE55" s="339">
        <f>JD55*各项系数!$E$32</f>
        <v>0</v>
      </c>
      <c r="JF55" s="364">
        <f>IF($DE55&lt;&gt;$JF$9,0,$JA55*VLOOKUP($JF$9,各项系数!$D$4:$F$540,2,0)*10^-3*10^2)*各项系数!$J$4</f>
        <v>0.618883553082503</v>
      </c>
      <c r="JG55" s="123">
        <v>1</v>
      </c>
      <c r="JH55" s="251">
        <f t="shared" si="66"/>
        <v>0.618883553082503</v>
      </c>
      <c r="JI55" s="339">
        <f>JH55*VLOOKUP($JF$9,各项系数!$D$4:$F$540,3,0)</f>
        <v>0.742660263699003</v>
      </c>
      <c r="JJ55" s="364">
        <f t="shared" si="291"/>
        <v>0.618883553082503</v>
      </c>
      <c r="JK55" s="251">
        <f t="shared" si="292"/>
        <v>0.742660263699003</v>
      </c>
      <c r="JL55" s="364">
        <f>IF($DF55&lt;&gt;$JL$9,0,各项系数!$F$76/4*($NE55^2-$NC55^2)*10^-2*各项系数!$F$39*10^-3*10^2)*各项系数!$J$4</f>
        <v>0.00238382303395337</v>
      </c>
      <c r="JM55" s="123">
        <v>1</v>
      </c>
      <c r="JN55" s="251">
        <f t="shared" si="293"/>
        <v>0.00238382303395337</v>
      </c>
      <c r="JO55" s="339">
        <f>JN55*各项系数!$E$39</f>
        <v>0.0476764606790674</v>
      </c>
      <c r="JP55" s="364">
        <f>IF($DF55&lt;&gt;$JP$9,0,各项系数!$F$76/4*($NE55^2-$NC55^2)*10^-2*各项系数!$F$36*10^-3*10^2)*各项系数!$J$4</f>
        <v>0</v>
      </c>
      <c r="JQ55" s="123">
        <v>1</v>
      </c>
      <c r="JR55" s="251">
        <f t="shared" si="294"/>
        <v>0</v>
      </c>
      <c r="JS55" s="339">
        <f>JR55*各项系数!$E$36</f>
        <v>0</v>
      </c>
      <c r="JT55" s="364">
        <f>IF($DF55&lt;&gt;$JT$9,0,各项系数!$F$76/4*($NE55^2-$NC55^2)*10^-2*各项系数!$F$40*10^-3*10^2)*各项系数!$J$4</f>
        <v>0</v>
      </c>
      <c r="JU55" s="123">
        <v>1</v>
      </c>
      <c r="JV55" s="251">
        <f t="shared" si="295"/>
        <v>0</v>
      </c>
      <c r="JW55" s="339">
        <f>JV55*各项系数!$E$40</f>
        <v>0</v>
      </c>
      <c r="JX55" s="364">
        <f>IF($DF55&lt;&gt;$JX$9,0,各项系数!$F$76/4*($NE55^2-$NC55^2)*10^-2*各项系数!$F$38*10^-3*10^2)*各项系数!$J$4</f>
        <v>0</v>
      </c>
      <c r="JY55" s="123">
        <v>1</v>
      </c>
      <c r="JZ55" s="251">
        <f t="shared" si="296"/>
        <v>0</v>
      </c>
      <c r="KA55" s="339">
        <f>JZ55*各项系数!$E$38</f>
        <v>0</v>
      </c>
      <c r="KB55" s="364">
        <f>IF($DF55&lt;&gt;$KB$9,0,各项系数!$F$76/4*($NE55^2-$NC55^2)*10^-2*各项系数!$F$41*10^-3*10^2)*各项系数!$J$4</f>
        <v>0</v>
      </c>
      <c r="KC55" s="123">
        <v>1</v>
      </c>
      <c r="KD55" s="251">
        <f t="shared" si="297"/>
        <v>0</v>
      </c>
      <c r="KE55" s="339">
        <f>KD55*各项系数!$E$41</f>
        <v>0</v>
      </c>
      <c r="KF55" s="251">
        <f t="shared" si="298"/>
        <v>0.00238382303395337</v>
      </c>
      <c r="KG55" s="251">
        <f t="shared" si="299"/>
        <v>0.0476764606790674</v>
      </c>
      <c r="KH55" s="302">
        <f>各项系数!$F$76/4*($NG55^2-$NE55^2)*10^-2*各项系数!$F$44*10^-3*10^2*各项系数!$J$4*0.75*$U55</f>
        <v>0.237638696623546</v>
      </c>
      <c r="KI55" s="123">
        <v>1</v>
      </c>
      <c r="KJ55" s="251">
        <f t="shared" si="300"/>
        <v>0.237638696623546</v>
      </c>
      <c r="KK55" s="251">
        <f>ROUND(KJ55*各项系数!$E$43,GT55)</f>
        <v>1</v>
      </c>
      <c r="KL55" s="302">
        <f>各项系数!$F$76/4*($NF55^2-$NE55^2)*10^-2*各项系数!$F$46*10^-3*10^2*各项系数!$J$4*PI()/4*R55</f>
        <v>0.0298692414427756</v>
      </c>
      <c r="KM55" s="123">
        <v>1</v>
      </c>
      <c r="KN55" s="251">
        <f t="shared" si="301"/>
        <v>0.0298692414427756</v>
      </c>
      <c r="KO55" s="251">
        <f>KN55*各项系数!$E$46</f>
        <v>2.01617379738735</v>
      </c>
      <c r="KP55" s="302">
        <f>各项系数!$F$76/4*($NH55^2-$NE55^2)*10^-2*(VLOOKUP($KP$9,各项系数!$D$1:$F$143,3,0))*10^-3*10^2*各项系数!$J$4</f>
        <v>0.188491603321761</v>
      </c>
      <c r="KQ55" s="123">
        <v>1</v>
      </c>
      <c r="KR55" s="251">
        <f t="shared" si="150"/>
        <v>0.188491603321761</v>
      </c>
      <c r="KS55" s="251">
        <f>KR55*(VLOOKUP($KP$9,各项系数!$D$1:$F$143,2,0))</f>
        <v>3.20435725646994</v>
      </c>
      <c r="KT55" s="302">
        <f>各项系数!$F$76/4*($NI55^2-$NF55^2)*10^-2*(VLOOKUP($KT$9,各项系数!$D$1:$F$143,3,0))*10^-3*10^2*各项系数!$J$4</f>
        <v>0.189796972768439</v>
      </c>
      <c r="KU55" s="123">
        <v>1</v>
      </c>
      <c r="KV55" s="251">
        <f t="shared" si="151"/>
        <v>0.189796972768439</v>
      </c>
      <c r="KW55" s="251">
        <f>KV55*(VLOOKUP($KT$9,各项系数!$D$1:$F$143,2,0))</f>
        <v>3.22654853706347</v>
      </c>
      <c r="KX55" s="251">
        <f>各项系数!$F$76/4*($NH55^2-$NE55^2)*10^-2*(VLOOKUP($KX$9,各项系数!$D$1:$F$143,3,0))*10^-3*10^2*各项系数!$J$4</f>
        <v>0.188491603321761</v>
      </c>
      <c r="KY55" s="479">
        <v>1</v>
      </c>
      <c r="KZ55" s="251">
        <f t="shared" si="152"/>
        <v>0.188491603321761</v>
      </c>
      <c r="LA55" s="251">
        <f>KZ55*(VLOOKUP($KX$9,各项系数!$D$1:$F$143,2,0))</f>
        <v>3.20435725646994</v>
      </c>
      <c r="LB55" s="251">
        <f>各项系数!$F$76/4*($NI55^2-$NF55^2)*10^-2*(VLOOKUP($LB$9,各项系数!$D$1:$F$143,3,0))*10^-3*10^2*各项系数!$J$4</f>
        <v>0.189796972768439</v>
      </c>
      <c r="LC55" s="479">
        <v>1</v>
      </c>
      <c r="LD55" s="251">
        <f t="shared" si="153"/>
        <v>0.189796972768439</v>
      </c>
      <c r="LE55" s="251">
        <f>LD55*(VLOOKUP($LB$9,各项系数!$D$1:$F$143,2,0))</f>
        <v>3.22654853706347</v>
      </c>
      <c r="LF55" s="302">
        <f>各项系数!$F$76/4*($NH55^2-$NE55^2)*10^-2*(VLOOKUP(AN55,各项系数!$D$1:$F$143,3,0))*10^-3*10^2*各项系数!$J$4</f>
        <v>0.191091487505509</v>
      </c>
      <c r="LG55" s="123">
        <v>1</v>
      </c>
      <c r="LH55" s="251">
        <f t="shared" si="302"/>
        <v>0.191091487505509</v>
      </c>
      <c r="LI55" s="251">
        <f>LH55*(VLOOKUP(AN55,各项系数!$D$1:$F$143,2,0))</f>
        <v>1.91091487505509</v>
      </c>
      <c r="LJ55" s="302">
        <f>各项系数!$F$76/4*($NI55^2-$NF55^2)*10^-2*(VLOOKUP(AN55,各项系数!$D$1:$F$143,3,0))*10^-3*10^2*各项系数!$J$4</f>
        <v>0.192414862048004</v>
      </c>
      <c r="LK55" s="123">
        <v>1</v>
      </c>
      <c r="LL55" s="251">
        <f t="shared" si="303"/>
        <v>0.192414862048004</v>
      </c>
      <c r="LM55" s="251">
        <f>LL55*(VLOOKUP(AN55,各项系数!$D$1:$F$143,2,0))</f>
        <v>1.92414862048004</v>
      </c>
      <c r="LN55" s="251">
        <f>各项系数!$F$76/4*($NH55^2-$NE55^2)*10^-2*(VLOOKUP($LN$9,各项系数!$D$1:$F$143,3,0))*10^-3*10^2*各项系数!$J$4</f>
        <v>0.191091487505509</v>
      </c>
      <c r="LO55" s="479">
        <v>1</v>
      </c>
      <c r="LP55" s="251">
        <f t="shared" si="304"/>
        <v>0.191091487505509</v>
      </c>
      <c r="LQ55" s="251">
        <f>LP55*(VLOOKUP($LN$9,各项系数!$D$1:$F$143,2,0))</f>
        <v>2.1020063625606</v>
      </c>
      <c r="LR55" s="251">
        <f>各项系数!$F$76/4*($NI55^2-$NF55^2)*10^-2*(VLOOKUP($LR$9,各项系数!$D$1:$F$143,3,0))*10^-3*10^2*各项系数!$J$4</f>
        <v>0.192414862048004</v>
      </c>
      <c r="LS55" s="479">
        <v>1</v>
      </c>
      <c r="LT55" s="251">
        <f t="shared" si="305"/>
        <v>0.192414862048004</v>
      </c>
      <c r="LU55" s="251">
        <f>LT55*(VLOOKUP($LR$9,各项系数!$D$1:$F$143,2,0))</f>
        <v>2.11656348252805</v>
      </c>
      <c r="LV55" s="499">
        <f t="shared" si="154"/>
        <v>127.3443038</v>
      </c>
      <c r="LW55" s="499">
        <f t="shared" si="155"/>
        <v>99.04556962</v>
      </c>
      <c r="LX55" s="499">
        <f t="shared" si="156"/>
        <v>11.2298146009186</v>
      </c>
      <c r="LY55" s="515">
        <f t="shared" si="157"/>
        <v>28.29873418</v>
      </c>
      <c r="LZ55" s="516">
        <f t="shared" si="86"/>
        <v>1</v>
      </c>
      <c r="MA55" s="517">
        <f t="shared" si="87"/>
        <v>127.3443038</v>
      </c>
      <c r="MB55" s="517">
        <f t="shared" si="158"/>
        <v>7.35163935</v>
      </c>
      <c r="MC55" s="499">
        <f t="shared" si="159"/>
        <v>0</v>
      </c>
      <c r="MD55" s="499">
        <f t="shared" si="160"/>
        <v>0</v>
      </c>
      <c r="ME55" s="499">
        <f t="shared" si="161"/>
        <v>0</v>
      </c>
      <c r="MF55" s="499">
        <f t="shared" si="162"/>
        <v>0</v>
      </c>
      <c r="MG55" s="516">
        <f t="shared" si="163"/>
        <v>1</v>
      </c>
      <c r="MH55" s="517">
        <f t="shared" si="88"/>
        <v>0</v>
      </c>
      <c r="MI55" s="517">
        <f t="shared" si="164"/>
        <v>0</v>
      </c>
      <c r="MJ55" s="251">
        <f t="shared" si="89"/>
        <v>7.35163935</v>
      </c>
      <c r="MK55" s="251">
        <f t="shared" si="165"/>
        <v>7.35163935</v>
      </c>
      <c r="ML55" s="251">
        <f t="shared" si="306"/>
        <v>0</v>
      </c>
      <c r="MM55" s="251">
        <f t="shared" si="91"/>
        <v>0</v>
      </c>
      <c r="MN55" s="251">
        <f t="shared" si="92"/>
        <v>9.15163935</v>
      </c>
      <c r="MO55" s="251">
        <f t="shared" si="166"/>
        <v>0</v>
      </c>
      <c r="MP55" s="251">
        <f t="shared" si="167"/>
        <v>19.767541</v>
      </c>
      <c r="MQ55" s="251">
        <f t="shared" si="307"/>
        <v>19.767541</v>
      </c>
      <c r="MR55" s="314">
        <f t="shared" si="168"/>
        <v>19.767541</v>
      </c>
      <c r="MS55" s="530">
        <f t="shared" si="94"/>
        <v>19.943541</v>
      </c>
      <c r="MT55" s="530">
        <f t="shared" si="95"/>
        <v>20.103541</v>
      </c>
      <c r="MU55" s="530">
        <f t="shared" si="232"/>
        <v>20.543541</v>
      </c>
      <c r="MV55" s="530">
        <f t="shared" si="97"/>
        <v>23.543541</v>
      </c>
      <c r="MW55" s="530">
        <f t="shared" si="98"/>
        <v>23.703541</v>
      </c>
      <c r="MX55" s="326">
        <f t="shared" si="233"/>
        <v>7.95163935</v>
      </c>
      <c r="MY55" s="326">
        <f t="shared" si="100"/>
        <v>0</v>
      </c>
      <c r="MZ55" s="251">
        <f t="shared" si="101"/>
        <v>9.75163935</v>
      </c>
      <c r="NA55" s="251">
        <f t="shared" si="102"/>
        <v>0</v>
      </c>
      <c r="NB55" s="251">
        <f t="shared" si="169"/>
        <v>21.063541</v>
      </c>
      <c r="NC55" s="326">
        <f t="shared" si="308"/>
        <v>21.063541</v>
      </c>
      <c r="ND55" s="314">
        <f t="shared" si="234"/>
        <v>21.063541</v>
      </c>
      <c r="NE55" s="537">
        <f t="shared" si="235"/>
        <v>21.303541</v>
      </c>
      <c r="NF55" s="530">
        <f t="shared" si="106"/>
        <v>21.463541</v>
      </c>
      <c r="NG55" s="538">
        <f t="shared" si="236"/>
        <v>21.903541</v>
      </c>
      <c r="NH55" s="326">
        <f t="shared" si="108"/>
        <v>24.903541</v>
      </c>
      <c r="NI55" s="530">
        <f t="shared" si="109"/>
        <v>25.063541</v>
      </c>
      <c r="NK55" s="539">
        <f t="shared" si="110"/>
        <v>1.27842355040682</v>
      </c>
      <c r="NL55" s="539">
        <f t="shared" si="111"/>
        <v>61.0586346601559</v>
      </c>
      <c r="NM55" s="539">
        <f t="shared" si="112"/>
        <v>1.27842355040682</v>
      </c>
      <c r="NN55" s="539">
        <f t="shared" si="113"/>
        <v>61.2384774640502</v>
      </c>
      <c r="NO55" s="539">
        <f t="shared" si="114"/>
        <v>1.81257567030742</v>
      </c>
      <c r="NP55" s="539">
        <f t="shared" si="115"/>
        <v>62.3633102846692</v>
      </c>
      <c r="NQ55" s="539">
        <f t="shared" si="116"/>
        <v>1.81257567030742</v>
      </c>
      <c r="NR55" s="539">
        <f t="shared" si="117"/>
        <v>62.5544017721747</v>
      </c>
      <c r="NS55" s="539">
        <f t="shared" si="118"/>
        <v>1.30639309860598</v>
      </c>
      <c r="NT55" s="539">
        <f t="shared" si="119"/>
        <v>1.30639309860598</v>
      </c>
      <c r="NU55" s="539">
        <f t="shared" si="120"/>
        <v>1.84244491175019</v>
      </c>
      <c r="NV55" s="539">
        <f t="shared" si="121"/>
        <v>1.84244491175019</v>
      </c>
      <c r="NW55">
        <f t="shared" si="122"/>
        <v>1.42687602549829</v>
      </c>
      <c r="NX55">
        <f>各项系数!$M$9*NK55</f>
        <v>0.383527065122045</v>
      </c>
      <c r="NY55">
        <f t="shared" si="123"/>
        <v>1.30639309860598</v>
      </c>
    </row>
    <row r="56" customHeight="1" spans="1:389">
      <c r="A56" s="91">
        <v>24</v>
      </c>
      <c r="B56" s="86">
        <v>1</v>
      </c>
      <c r="C56" s="83"/>
      <c r="D56" s="69" t="s">
        <v>190</v>
      </c>
      <c r="E56" s="77">
        <f t="shared" si="255"/>
        <v>28.70874651</v>
      </c>
      <c r="F56" s="84">
        <f>$F$24</f>
        <v>238.573455311777</v>
      </c>
      <c r="G56" s="74"/>
      <c r="H56" s="23"/>
      <c r="I56" s="78"/>
      <c r="J56" s="23"/>
      <c r="K56" s="23"/>
      <c r="L56" s="118" t="s">
        <v>467</v>
      </c>
      <c r="M56" s="124">
        <f t="shared" si="2"/>
        <v>1</v>
      </c>
      <c r="N56" s="124">
        <f t="shared" si="252"/>
        <v>0</v>
      </c>
      <c r="O56" s="69">
        <f t="shared" si="265"/>
        <v>0.08</v>
      </c>
      <c r="P56" s="120">
        <v>0.1</v>
      </c>
      <c r="Q56" s="162">
        <f t="shared" si="309"/>
        <v>0.1</v>
      </c>
      <c r="R56" s="86">
        <v>0.8</v>
      </c>
      <c r="S56" s="171" t="str">
        <f>各项系数!$D$43</f>
        <v>钢带</v>
      </c>
      <c r="T56" s="69">
        <v>0.2</v>
      </c>
      <c r="U56" s="123">
        <v>2</v>
      </c>
      <c r="V56" s="169"/>
      <c r="W56" s="170">
        <v>1.8</v>
      </c>
      <c r="X56" s="164">
        <f t="shared" si="310"/>
        <v>0.2</v>
      </c>
      <c r="Y56" s="219"/>
      <c r="Z56" s="220"/>
      <c r="AA56" s="217">
        <f>$AA$24</f>
        <v>1.011</v>
      </c>
      <c r="AB56" s="186">
        <f>PI()*EJ56*EJ56/4*EH56*(1-H56)*AA56*各项系数!$F$5*各项系数!$J$4*10^-7</f>
        <v>0.399769926055488</v>
      </c>
      <c r="AC56" s="186">
        <f t="shared" si="256"/>
        <v>238.573455311777</v>
      </c>
      <c r="AD56" s="186">
        <f t="shared" si="5"/>
        <v>45.1944679590854</v>
      </c>
      <c r="AE56" s="186">
        <f>POWER(4*EU56/PI()/EG56/10^-7/EH56/(1-H56)/各项系数!$F$5/各项系数!$J$4,0.5)</f>
        <v>239.882020603408</v>
      </c>
      <c r="AF56" s="218">
        <v>1</v>
      </c>
      <c r="AG56" s="85">
        <f>IF(EM56=0,0,PI()*ER56*ER56/4*EP56*(1-K56)*(1+AF56)*各项系数!$F$5*各项系数!$J$4*10^-7)</f>
        <v>0</v>
      </c>
      <c r="AH56" s="85">
        <f t="shared" si="257"/>
        <v>0</v>
      </c>
      <c r="AI56" s="85">
        <f t="shared" si="128"/>
        <v>0</v>
      </c>
      <c r="AJ56" s="85">
        <f>IF(OR(EP56="",EP56=0),0,POWER(4*EW56/PI()/EO56/10^-7/EP56/(1-K56)/各项系数!$F$5/各项系数!$J$4,0.5))</f>
        <v>0</v>
      </c>
      <c r="AK56" s="85" t="str">
        <f t="shared" si="8"/>
        <v>√</v>
      </c>
      <c r="AL56" s="85">
        <f t="shared" si="258"/>
        <v>85.2779066808188</v>
      </c>
      <c r="AM56" s="250">
        <f t="shared" si="259"/>
        <v>50</v>
      </c>
      <c r="AN56" s="118" t="s">
        <v>486</v>
      </c>
      <c r="AO56" s="259">
        <f>AP56+各项系数!$M$9*$NK56</f>
        <v>83.6057908635479</v>
      </c>
      <c r="AP56" s="259">
        <f>AQ56*(1+$BI56+(VLOOKUP($AM56,$A$12:$B$323,2,0))+各项系数!$J$6+各项系数!$M$5)*(1+$E$2)</f>
        <v>83.082124249259</v>
      </c>
      <c r="AQ56" s="260">
        <f>AR56+各项系数!$L$9*$NK56</f>
        <v>84.7776778053663</v>
      </c>
      <c r="AR56" s="260">
        <f>AS56*(1+$BJ56+各项系数!$J$5+各项系数!$L$5)</f>
        <v>84.2540111910774</v>
      </c>
      <c r="AS56" s="260">
        <f t="shared" si="129"/>
        <v>82.6019717559582</v>
      </c>
      <c r="AT56" s="259">
        <f>AU56+各项系数!$M$9*$NM56</f>
        <v>85.1116635434767</v>
      </c>
      <c r="AU56" s="259">
        <f>AV56*(1+$BI56+(VLOOKUP($AM56,$A$12:$B$323,2,0))+各项系数!$J$6+各项系数!$M$5)*(1+$E$2)</f>
        <v>84.5879969291878</v>
      </c>
      <c r="AV56" s="260">
        <f>AW56+各项系数!$L$9*$NM56</f>
        <v>86.3142825808039</v>
      </c>
      <c r="AW56" s="260">
        <f>AX56*(1+$BJ56+各项系数!$J$5+各项系数!$L$5)</f>
        <v>85.790615966515</v>
      </c>
      <c r="AX56" s="260">
        <f t="shared" si="130"/>
        <v>84.1084470259951</v>
      </c>
      <c r="AY56" s="259">
        <f>AZ56+各项系数!$M$9*$NS56</f>
        <v>86.0139212535772</v>
      </c>
      <c r="AZ56" s="259">
        <f>BA56*(1+$BI56+(VLOOKUP($AM56,$A$12:$B$214,2,0))+各项系数!$J$6+各项系数!$M$5)*(1+$E$2)</f>
        <v>85.4796992955618</v>
      </c>
      <c r="BA56" s="260">
        <f>BB56+各项系数!$L$9*$NS56</f>
        <v>87.2241829546549</v>
      </c>
      <c r="BB56" s="260">
        <f>BC56*(1+$BJ56+各项系数!$J$5+各项系数!$L$5)</f>
        <v>86.6899609966396</v>
      </c>
      <c r="BC56" s="262">
        <f t="shared" si="131"/>
        <v>84.9901578398427</v>
      </c>
      <c r="BD56" s="259">
        <f>BE56+各项系数!$M$9*$NS56</f>
        <v>87.5287478856606</v>
      </c>
      <c r="BE56" s="259">
        <f>BF56*(1+$BI56+(VLOOKUP($AM56,$A$12:$B$214,2,0))+各项系数!$J$6+各项系数!$M$5)*(1+$E$2)</f>
        <v>86.9945259276452</v>
      </c>
      <c r="BF56" s="260">
        <f>BG56+各项系数!$L$9*$NS56</f>
        <v>88.7699244159645</v>
      </c>
      <c r="BG56" s="260">
        <f>BH56*(1+$BJ56+各项系数!$J$5+各项系数!$L$5)</f>
        <v>88.2357024579491</v>
      </c>
      <c r="BH56" s="262">
        <f t="shared" si="132"/>
        <v>86.5055906450481</v>
      </c>
      <c r="BI56" s="277"/>
      <c r="BJ56" s="272"/>
      <c r="BK56" s="69" t="s">
        <v>514</v>
      </c>
      <c r="BL56" s="259">
        <f>BM56+各项系数!$M$9*$NM56</f>
        <v>84.6399469829609</v>
      </c>
      <c r="BM56" s="259">
        <f>BN56*(1+$CF56+(VLOOKUP($AM56,$A$12:$B$323,2,0))+各项系数!$J$6+各项系数!$M$5)*(1+$E$2)</f>
        <v>84.116280368672</v>
      </c>
      <c r="BN56" s="260">
        <f>BO56+各项系数!$L$9*$NM56</f>
        <v>85.8329391517061</v>
      </c>
      <c r="BO56" s="260">
        <f>BP56*(1+$CG56+各项系数!$J$5+各项系数!$L$5)</f>
        <v>85.3092725374172</v>
      </c>
      <c r="BP56" s="260">
        <f t="shared" si="133"/>
        <v>82.8245364440943</v>
      </c>
      <c r="BQ56" s="259">
        <f>BR56+各项系数!$M$9*$NM56</f>
        <v>85.9359263243315</v>
      </c>
      <c r="BR56" s="259">
        <f>BS56*(1+$CF56+(VLOOKUP($AM56,$A$12:$B$323,2,0))+各项系数!$J$6+各项系数!$M$5)*(1+$E$2)</f>
        <v>85.4122597100426</v>
      </c>
      <c r="BS56" s="260">
        <f>BT56+各项系数!$L$9*$NM56</f>
        <v>87.1553670510639</v>
      </c>
      <c r="BT56" s="260">
        <f>BU56*(1+$CG56+各项系数!$J$5+各项系数!$L$5)</f>
        <v>86.631700436775</v>
      </c>
      <c r="BU56" s="260">
        <f t="shared" si="134"/>
        <v>84.1084470259951</v>
      </c>
      <c r="BV56" s="259">
        <f>BW56+各项系数!$M$9*$NT56</f>
        <v>86.5573780271123</v>
      </c>
      <c r="BW56" s="259">
        <f>BX56*(1+$CF56+(VLOOKUP($AM56,$A$12:$B$214,2,0))+各项系数!$J$6+各项系数!$M$5)*(1+$E$2)</f>
        <v>86.0231560690969</v>
      </c>
      <c r="BX56" s="260">
        <f>BY56+各项系数!$L$9*$NT$12</f>
        <v>87.7787306827519</v>
      </c>
      <c r="BY56" s="260">
        <f>BZ56*(1+$CG56+各项系数!$J$5+各项系数!$L$5)</f>
        <v>87.7704672795969</v>
      </c>
      <c r="BZ56" s="262">
        <f t="shared" si="11"/>
        <v>85.2140459025213</v>
      </c>
      <c r="CA56" s="259">
        <f>CB56+各项系数!$M$9*$NT56</f>
        <v>87.8610632902189</v>
      </c>
      <c r="CB56" s="259">
        <f>CC56*(1+$CF56+(VLOOKUP($AM56,$A$12:$B$214,2,0))+各项系数!$J$6+各项系数!$M$5)*(1+$E$2)</f>
        <v>87.3268413322035</v>
      </c>
      <c r="CC56" s="260">
        <f>CD56+各项系数!$L$9*$NT$12</f>
        <v>89.1090217675546</v>
      </c>
      <c r="CD56" s="260">
        <f>CE56*(1+$CG56+各项系数!$J$5+各项系数!$L$5)</f>
        <v>89.1007583643996</v>
      </c>
      <c r="CE56" s="262">
        <f t="shared" si="135"/>
        <v>86.5055906450481</v>
      </c>
      <c r="CF56" s="277">
        <f t="shared" si="136"/>
        <v>0</v>
      </c>
      <c r="CG56" s="277">
        <f t="shared" si="12"/>
        <v>0.01</v>
      </c>
      <c r="CH56" s="123"/>
      <c r="CI56" s="259">
        <f>CJ56+各项系数!$M$9*$NO56</f>
        <v>86.3205643301187</v>
      </c>
      <c r="CJ56" s="259">
        <f>CK56*(1+$DC56+(VLOOKUP($AM56,$A$12:$B$323,2,0))+各项系数!$J$6+各项系数!$M$5)*(1+$E$2)+各项系数!$M$9*$NK56</f>
        <v>85.5549063459476</v>
      </c>
      <c r="CK56" s="260">
        <f>CL56+各项系数!$L$9*$NO56</f>
        <v>86.7665711547538</v>
      </c>
      <c r="CL56" s="260">
        <f>CM56*(1+$DD56+各项系数!$J$5+各项系数!$L$5)</f>
        <v>86.0009131705827</v>
      </c>
      <c r="CM56" s="260">
        <f t="shared" si="13"/>
        <v>84.3146207554733</v>
      </c>
      <c r="CN56" s="259">
        <f>CO56+各项系数!$M$9*$NO56</f>
        <v>87.71399516867</v>
      </c>
      <c r="CO56" s="259">
        <f>CP56*(1+$DC56+(VLOOKUP($AM56,$A$12:$B$323,2,0))+各项系数!$J$6+各项系数!$M$5)*(1+$E$2)+各项系数!$M$9*$NK56</f>
        <v>86.9483371844989</v>
      </c>
      <c r="CP56" s="260">
        <f>CQ56+各项系数!$L$9*$NO56</f>
        <v>88.1884393573571</v>
      </c>
      <c r="CQ56" s="260">
        <f>CR56*(1+$DD56+各项系数!$J$5+各项系数!$L$5)</f>
        <v>87.4227813731861</v>
      </c>
      <c r="CR56" s="260">
        <f t="shared" si="14"/>
        <v>85.7086091893981</v>
      </c>
      <c r="CS56" s="259">
        <f>CT56+各项系数!$M$9*$NU56</f>
        <v>88.334334525872</v>
      </c>
      <c r="CT56" s="259">
        <f t="shared" si="15"/>
        <v>87.5575512900013</v>
      </c>
      <c r="CU56" s="260">
        <f>CV56+各项系数!$L$9*$NU56</f>
        <v>89.3444400918381</v>
      </c>
      <c r="CV56" s="260">
        <f>CW56*(1+$DD56+各项系数!$J$5+各项系数!$L$5)</f>
        <v>88.5676568559675</v>
      </c>
      <c r="CW56" s="262">
        <f t="shared" si="16"/>
        <v>86.8310361333014</v>
      </c>
      <c r="CX56" s="259">
        <f>CY56+各项系数!$M$9*$NU56</f>
        <v>89.9252697512688</v>
      </c>
      <c r="CY56" s="259">
        <f t="shared" si="17"/>
        <v>89.1484865153981</v>
      </c>
      <c r="CZ56" s="260">
        <f>DA56+各项系数!$L$9*$NU56</f>
        <v>90.9678433830593</v>
      </c>
      <c r="DA56" s="260">
        <f>DB56*(1+$DD56+各项系数!$J$5+各项系数!$L$5)</f>
        <v>90.1910601471887</v>
      </c>
      <c r="DB56" s="262">
        <f t="shared" si="18"/>
        <v>88.4226079874399</v>
      </c>
      <c r="DC56" s="277">
        <f t="shared" si="137"/>
        <v>0</v>
      </c>
      <c r="DD56" s="277">
        <f t="shared" si="19"/>
        <v>0</v>
      </c>
      <c r="DE56" s="69" t="s">
        <v>498</v>
      </c>
      <c r="DF56" s="69" t="s">
        <v>513</v>
      </c>
      <c r="DG56" s="259">
        <f>DH56+各项系数!$M$9*$NQ56</f>
        <v>87.3828588309641</v>
      </c>
      <c r="DH56" s="259">
        <f>DI56*(1+$EA56+(VLOOKUP($AM56,$A$12:$B$323,2,0))+各项系数!$J$6+各项系数!$M$5)*(1+$E$2)+各项系数!$M$9*$NK56</f>
        <v>86.617200846793</v>
      </c>
      <c r="DI56" s="260">
        <f>DJ56+各项系数!$L$9*$NQ56</f>
        <v>87.8505451352083</v>
      </c>
      <c r="DJ56" s="260">
        <f>DK56*(1+$EB56+各项系数!$J$5+各项系数!$L$5)</f>
        <v>87.0848871510372</v>
      </c>
      <c r="DK56" s="260">
        <f t="shared" si="20"/>
        <v>84.5484341272206</v>
      </c>
      <c r="DL56" s="259">
        <f>DM56+各项系数!$M$9*$NQ56</f>
        <v>88.7443385070905</v>
      </c>
      <c r="DM56" s="259">
        <f>DN56*(1+$EA56+(VLOOKUP($AM56,$A$12:$B$323,2,0))+各项系数!$J$6+各项系数!$M$5)*(1+$E$2)+各项系数!$M$9*$NK56</f>
        <v>87.9786805229194</v>
      </c>
      <c r="DN56" s="260">
        <f>DO56+各项系数!$L$9*$NQ56</f>
        <v>89.2398101108475</v>
      </c>
      <c r="DO56" s="260">
        <f>DP56*(1+$EB56+各项系数!$J$5+各项系数!$L$5)</f>
        <v>88.4741521266764</v>
      </c>
      <c r="DP56" s="260">
        <f t="shared" si="21"/>
        <v>85.8972350744431</v>
      </c>
      <c r="DQ56" s="259">
        <f>DR56+各项系数!$M$9*$NV56</f>
        <v>89.4226257116833</v>
      </c>
      <c r="DR56" s="259">
        <f t="shared" si="22"/>
        <v>88.6458424758126</v>
      </c>
      <c r="DS56" s="260">
        <f>DT56+各项系数!$L$9*$NV56</f>
        <v>90.4549413018496</v>
      </c>
      <c r="DT56" s="260">
        <f>DU56*(1+$EB56+各项系数!$J$5+各项系数!$L$5)</f>
        <v>89.678158065979</v>
      </c>
      <c r="DU56" s="262">
        <f t="shared" si="23"/>
        <v>87.0661728795912</v>
      </c>
      <c r="DV56" s="259">
        <f>DW56+各项系数!$M$9*$NV56</f>
        <v>89.6083608371259</v>
      </c>
      <c r="DW56" s="259">
        <f t="shared" si="24"/>
        <v>88.8315776012553</v>
      </c>
      <c r="DX56" s="260">
        <f>DY56+各项系数!$L$9*$NV56</f>
        <v>90.6444669400564</v>
      </c>
      <c r="DY56" s="260">
        <f>DZ56*(1+$EB56+各项系数!$J$5+各项系数!$L$5)</f>
        <v>89.8676837041858</v>
      </c>
      <c r="DZ56" s="262">
        <f t="shared" si="25"/>
        <v>87.2501783535784</v>
      </c>
      <c r="EA56" s="277">
        <f t="shared" si="311"/>
        <v>0</v>
      </c>
      <c r="EB56" s="277">
        <f t="shared" si="27"/>
        <v>0.01</v>
      </c>
      <c r="EC56" s="302">
        <f t="shared" si="138"/>
        <v>3</v>
      </c>
      <c r="ED56" s="302" t="str">
        <f t="shared" si="266"/>
        <v>3*50</v>
      </c>
      <c r="EE56" s="251">
        <f t="shared" si="239"/>
        <v>50</v>
      </c>
      <c r="EF56" s="251" t="str">
        <f>LOOKUP(EH56,{1,7,10,14,19,24,30,37,48,61},{1,"1+6","2+8","4+10","1+6+12","2+8+14","4+10+16","1+6+12+18","3+9+15+21","1+6+12+18+24"})</f>
        <v>2+8</v>
      </c>
      <c r="EG56" s="250">
        <f t="shared" si="29"/>
        <v>3</v>
      </c>
      <c r="EH56" s="260">
        <f>VLOOKUP(EE56,各项系数!$B$87:$C$124,2,0)</f>
        <v>10</v>
      </c>
      <c r="EI56" s="250">
        <f>IF(EH56=0,0,VLOOKUP(EH56,各项系数!$D$142:$E$195,2,0))*1</f>
        <v>4</v>
      </c>
      <c r="EJ56" s="305">
        <f t="shared" si="141"/>
        <v>238.573455311777</v>
      </c>
      <c r="EK56" s="251">
        <f t="shared" si="261"/>
        <v>0</v>
      </c>
      <c r="EL56" s="251">
        <f t="shared" si="31"/>
        <v>0</v>
      </c>
      <c r="EM56" s="251">
        <f t="shared" si="267"/>
        <v>0</v>
      </c>
      <c r="EN56" s="251">
        <f>IF(EP56=0,0,LOOKUP(EP56,{1,7,10,14,19,24,30,37,48,61},{1,"1+6","2+8","4+10","1+6+12","2+8+14","4+10+16","1+6+12+18","3+9+15+21","1+6+12+18+24"}))</f>
        <v>0</v>
      </c>
      <c r="EO56" s="251">
        <f t="shared" si="263"/>
        <v>0</v>
      </c>
      <c r="EP56" s="251">
        <f>IF(EM56=0,0,IF(EM56&lt;10,1,IF(AND(EM56&gt;=10,EM56&lt;=35),7,LOOKUP(EM56,{50,70,95,120,150,185,240,300},{10,14,19,24,30,37,48,61})*1)))</f>
        <v>0</v>
      </c>
      <c r="EQ56" s="251">
        <f>IF(EP56=0,0,VLOOKUP(EP56,各项系数!$D$142:$E$195,2,0))*1</f>
        <v>0</v>
      </c>
      <c r="ER56" s="251">
        <f t="shared" si="264"/>
        <v>0</v>
      </c>
      <c r="ES56" s="302">
        <f t="shared" si="250"/>
        <v>3</v>
      </c>
      <c r="ET56" s="251">
        <f>VLOOKUP(ES56,各项系数!$D$142:$E$195,2,0)*1</f>
        <v>2.16</v>
      </c>
      <c r="EU56" s="311">
        <f>((各项系数!$F$76/4*$EJ56^2*$EG56*$EH56*1*10^-7)*(1-$H56)*AA56)*(VLOOKUP($EY$9,各项系数!$D$4:$F$143,3,0))*各项系数!$J$4</f>
        <v>1.19930977816646</v>
      </c>
      <c r="EV56" s="312">
        <f>EU56*(VLOOKUP($EY$9,各项系数!$D$4:$F$143,2,0))</f>
        <v>78.5547904699034</v>
      </c>
      <c r="EW56" s="324">
        <f>(IF($EO56=0,0,(各项系数!$F$76/4*$ER56^2*$EO56*$EP56*1*10^-7))*(1-$K56)*$AF56)*(VLOOKUP($EY$9,各项系数!$D$4:$F$143,3,0))*各项系数!$J$4</f>
        <v>0</v>
      </c>
      <c r="EX56" s="325">
        <f>EW56*(VLOOKUP($EY$9,各项系数!$D$4:$F$143,2,0))</f>
        <v>0</v>
      </c>
      <c r="EY56" s="251">
        <f>((各项系数!$F$76/4*$EJ56^2*$EG56*$EH56*1*10^-7)*(1-$H56)*AA56+IF($EO56=0,0,(各项系数!$F$76/4*$ER56^2*$EO56*$EP56*1*10^-7))*(1-$K56)*$AF56)*(VLOOKUP($EY$9,各项系数!$D$4:$F$143,3,0))*各项系数!$J$4</f>
        <v>1.19930977816646</v>
      </c>
      <c r="EZ56" s="123">
        <v>1</v>
      </c>
      <c r="FA56" s="251">
        <f t="shared" si="268"/>
        <v>1.19930977816646</v>
      </c>
      <c r="FB56" s="326">
        <f>FA56*(VLOOKUP($EY$9,各项系数!$D$4:$F$143,2,0))</f>
        <v>78.5547904699034</v>
      </c>
      <c r="FC56" s="327"/>
      <c r="FD56" s="302">
        <f>各项系数!$F$76/4*($MN56^2-MK56^2)*10^-2*(VLOOKUP(L56,各项系数!$D$1:$F$143,3,0))*10^-3*10^2*$EG56*各项系数!$J$4</f>
        <v>0.108754830064285</v>
      </c>
      <c r="FE56" s="339">
        <f>FD56*VLOOKUP(L56,各项系数!$D$1:$F$143,2,0)</f>
        <v>1.1092992666557</v>
      </c>
      <c r="FF56" s="250">
        <f>各项系数!$F$76/4*($MO56^2-ML56^2)*10^-2*(VLOOKUP(L56,各项系数!$D$1:$F$143,3,0))*10^-3*10^2*$EO56*各项系数!$J$4</f>
        <v>0</v>
      </c>
      <c r="FG56" s="339">
        <f>FF56*VLOOKUP(L56,各项系数!$D$1:$F$143,2,0)</f>
        <v>0</v>
      </c>
      <c r="FH56" s="302">
        <f t="shared" si="142"/>
        <v>0.108754830064285</v>
      </c>
      <c r="FI56" s="123">
        <v>1</v>
      </c>
      <c r="FJ56" s="251">
        <f t="shared" si="269"/>
        <v>0.108754830064285</v>
      </c>
      <c r="FK56" s="339">
        <f>FJ56*VLOOKUP(L56,各项系数!$D$1:$F$143,2,0)</f>
        <v>1.1092992666557</v>
      </c>
      <c r="FL56" s="302"/>
      <c r="FM56" s="123"/>
      <c r="FN56" s="251"/>
      <c r="FO56" s="339"/>
      <c r="FP56" s="364">
        <f t="shared" si="270"/>
        <v>0.108754830064285</v>
      </c>
      <c r="FQ56" s="364">
        <f t="shared" si="271"/>
        <v>1.1092992666557</v>
      </c>
      <c r="FR56" s="365">
        <f>各项系数!$F$76/4*($MQ56^2-$MN56^2*$EG56-$MO56^2*$EO56)*10^-2</f>
        <v>1.74298373454164</v>
      </c>
      <c r="FS56" s="366">
        <f t="shared" si="143"/>
        <v>1</v>
      </c>
      <c r="FT56" s="367">
        <f t="shared" si="40"/>
        <v>1.74298373454164</v>
      </c>
      <c r="FU56" s="388">
        <f>$FT56*(VLOOKUP($FT$9,各项系数!$D$1:$F$143,3,0))*10^-3*10^2*各项系数!$J$55</f>
        <v>0.208112257904272</v>
      </c>
      <c r="FV56" s="389">
        <v>1</v>
      </c>
      <c r="FW56" s="390">
        <f t="shared" si="272"/>
        <v>0.208112257904272</v>
      </c>
      <c r="FX56" s="367">
        <f>FW56*(VLOOKUP($FT$9,各项系数!$D$1:$F$143,2,0))</f>
        <v>0.624336773712815</v>
      </c>
      <c r="FY56" s="388">
        <f>IF($BK56&lt;&gt;$FY$9,0,各项系数!$F$76/4*($MS56^2-$MQ56^2)*10^-2*(VLOOKUP($FY$9,各项系数!$D$1:$F$143,3,0))*10^-3*10^2)*各项系数!$J$4</f>
        <v>0</v>
      </c>
      <c r="FZ56" s="389">
        <v>1</v>
      </c>
      <c r="GA56" s="390">
        <f t="shared" si="273"/>
        <v>0</v>
      </c>
      <c r="GB56" s="367">
        <f>GA56*(VLOOKUP($FY$9,各项系数!$D$1:$F$143,2,0))</f>
        <v>0</v>
      </c>
      <c r="GC56" s="388">
        <f>IF($BK56&lt;&gt;$GC$9,0,各项系数!$F$76/4*($MS56^2-$MQ56^2)*10^-2*(VLOOKUP($GC$9,各项系数!$D$1:$F$143,3,0))*10^-3*10^2)*各项系数!$J$4</f>
        <v>0.00681382669188945</v>
      </c>
      <c r="GD56" s="389">
        <v>1</v>
      </c>
      <c r="GE56" s="390">
        <f t="shared" si="274"/>
        <v>0.00681382669188945</v>
      </c>
      <c r="GF56" s="367">
        <f>GE56*(VLOOKUP($GC$9,各项系数!$D$1:$F$143,2,0))</f>
        <v>0.0878983643253739</v>
      </c>
      <c r="GG56" s="388">
        <f>IF($BK56&lt;&gt;$GG$9,0,各项系数!$F$76/4*($MS56^2-$MQ56^2)*10^-2*(VLOOKUP($GG$9,各项系数!$D$1:$F$143,3,0))*10^-3*10^2)*各项系数!$J$4</f>
        <v>0</v>
      </c>
      <c r="GH56" s="389">
        <v>1</v>
      </c>
      <c r="GI56" s="390">
        <f t="shared" si="275"/>
        <v>0</v>
      </c>
      <c r="GJ56" s="367">
        <f>GI56*(VLOOKUP($GG$9,各项系数!$D$1:$F$143,2,0))</f>
        <v>0</v>
      </c>
      <c r="GK56" s="388">
        <f>IF($BK56&lt;&gt;$GK$9,0,各项系数!$F$76/4*($MS56^2-$MQ56^2)*10^-2*(VLOOKUP($GK$9,各项系数!$D$1:$F$143,3,0))*10^-3*10^2)*各项系数!$J$4</f>
        <v>0</v>
      </c>
      <c r="GL56" s="389">
        <v>1</v>
      </c>
      <c r="GM56" s="390">
        <f t="shared" si="276"/>
        <v>0</v>
      </c>
      <c r="GN56" s="367">
        <f>GM56*(VLOOKUP($GK$9,各项系数!$D$1:$F$143,2,0))</f>
        <v>0</v>
      </c>
      <c r="GO56" s="390">
        <f t="shared" si="277"/>
        <v>0.00681382669188945</v>
      </c>
      <c r="GP56" s="390">
        <f t="shared" si="278"/>
        <v>0.0878983643253739</v>
      </c>
      <c r="GQ56" s="406">
        <f>各项系数!$F$76/4*($MU56^2-$MS56^2)*10^-2*(VLOOKUP($S56,各项系数!$D$1:$F$143,3,0))*10^-3*10^2*各项系数!$J$4</f>
        <v>0.186330608285449</v>
      </c>
      <c r="GR56" s="389">
        <v>1</v>
      </c>
      <c r="GS56" s="390">
        <f t="shared" si="279"/>
        <v>0.186330608285449</v>
      </c>
      <c r="GT56" s="390">
        <f t="shared" si="200"/>
        <v>0</v>
      </c>
      <c r="GU56" s="390">
        <f>ROUND($GS56*(VLOOKUP($S56,各项系数!$D$1:$F$143,2,0))+$E$3*GS56,GT56)</f>
        <v>1</v>
      </c>
      <c r="GV56" s="406">
        <f>各项系数!$F$76/4*($MT56^2-$MS56^2)*10^-2*(VLOOKUP($GV$9,各项系数!$D$1:$F$143,3,0))*10^-3*10^2*各项系数!$J$4*PI()/4*R56</f>
        <v>0.0351844790882888</v>
      </c>
      <c r="GW56" s="389">
        <v>1</v>
      </c>
      <c r="GX56" s="390">
        <f t="shared" si="280"/>
        <v>0.0351844790882888</v>
      </c>
      <c r="GY56" s="390">
        <f>$GX56*(VLOOKUP($GV$9,各项系数!$D$1:$F$143,2,0))</f>
        <v>2.37495233845949</v>
      </c>
      <c r="GZ56" s="406">
        <f>各项系数!$F$76/4*($MV56^2-$MS56^2)*10^-2*(VLOOKUP($GZ$9,各项系数!$D$1:$F$143,3,0))*10^-3*10^2*各项系数!$J$4</f>
        <v>0.21953659714105</v>
      </c>
      <c r="HA56" s="389">
        <v>1</v>
      </c>
      <c r="HB56" s="390">
        <f t="shared" si="144"/>
        <v>0.21953659714105</v>
      </c>
      <c r="HC56" s="390">
        <f>HB56*(VLOOKUP($GZ$9,各项系数!$D$1:$F$143,2,0))</f>
        <v>3.73212215139786</v>
      </c>
      <c r="HD56" s="406">
        <f>各项系数!$F$76/4*($MW56^2-$MT56^2)*10^-2*(VLOOKUP($HD$9,各项系数!$D$1:$F$143,3,0))*10^-3*10^2*各项系数!$J$4</f>
        <v>0.220841966587729</v>
      </c>
      <c r="HE56" s="389">
        <v>1</v>
      </c>
      <c r="HF56" s="390">
        <f t="shared" si="145"/>
        <v>0.220841966587729</v>
      </c>
      <c r="HG56" s="390">
        <f>HF56*(VLOOKUP($HD$9,各项系数!$D$1:$F$143,2,0))</f>
        <v>3.75431343199139</v>
      </c>
      <c r="HH56" s="406">
        <f>各项系数!$F$76/4*($MV56^2-$MS56^2)*10^-2*(VLOOKUP($HH$9,各项系数!$D$1:$F$143,3,0))*10^-3*10^2*各项系数!$J$4</f>
        <v>0.21953659714105</v>
      </c>
      <c r="HI56" s="420">
        <v>1</v>
      </c>
      <c r="HJ56" s="390">
        <f t="shared" si="146"/>
        <v>0.21953659714105</v>
      </c>
      <c r="HK56" s="390">
        <f>HJ56*(VLOOKUP($HH$9,各项系数!$D$1:$F$143,2,0))</f>
        <v>3.73212215139786</v>
      </c>
      <c r="HL56" s="406">
        <f>各项系数!$F$76/4*($MW56^2-$MT56^2)*10^-2*(VLOOKUP($HL$9,各项系数!$D$1:$F$143,3,0))*10^-3*10^2*各项系数!$J$4</f>
        <v>0.220841966587729</v>
      </c>
      <c r="HM56" s="420">
        <v>1</v>
      </c>
      <c r="HN56" s="390">
        <f t="shared" si="147"/>
        <v>0.220841966587729</v>
      </c>
      <c r="HO56" s="390">
        <f>HN56*(VLOOKUP($HL$9,各项系数!$D$1:$F$143,2,0))</f>
        <v>3.75431343199139</v>
      </c>
      <c r="HP56" s="406">
        <f>各项系数!$F$76/4*($MV56^2-$MS56^2)*10^-2*(VLOOKUP(AN56,各项系数!$D$1:$F$143,3,0))*10^-3*10^2*各项系数!$J$4</f>
        <v>0.222564688136099</v>
      </c>
      <c r="HQ56" s="389">
        <v>1</v>
      </c>
      <c r="HR56" s="390">
        <f t="shared" si="281"/>
        <v>0.222564688136099</v>
      </c>
      <c r="HS56" s="390">
        <f>HR56*(VLOOKUP(AN56,各项系数!$D$1:$F$143,2,0))</f>
        <v>2.22564688136099</v>
      </c>
      <c r="HT56" s="406">
        <f>各项系数!$F$76/4*($MW56^2-$MT56^2)*10^-2*(VLOOKUP(AN56,各项系数!$D$1:$F$143,3,0))*10^-3*10^2*各项系数!$J$4</f>
        <v>0.223888062678594</v>
      </c>
      <c r="HU56" s="389">
        <v>1</v>
      </c>
      <c r="HV56" s="390">
        <f t="shared" si="282"/>
        <v>0.223888062678594</v>
      </c>
      <c r="HW56" s="390">
        <f>HV56*(VLOOKUP(AN56,各项系数!$D$1:$F$143,2,0))</f>
        <v>2.23888062678594</v>
      </c>
      <c r="HX56" s="406">
        <f>各项系数!$F$76/4*($MV56^2-$MS56^2)*10^-2*(VLOOKUP($HX$9,各项系数!$D$1:$F$143,3,0))*10^-3*10^2*各项系数!$J$4</f>
        <v>0.222564688136099</v>
      </c>
      <c r="HY56" s="420">
        <v>1</v>
      </c>
      <c r="HZ56" s="390">
        <f t="shared" si="283"/>
        <v>0.222564688136099</v>
      </c>
      <c r="IA56" s="390">
        <f>HZ56*(VLOOKUP($HX$9,各项系数!$D$1:$F$143,2,0))</f>
        <v>2.44821156949709</v>
      </c>
      <c r="IB56" s="406">
        <f>各项系数!$F$76/4*($MW56^2-$MT56^2)*10^-2*(VLOOKUP($IB$9,各项系数!$D$1:$F$143,3,0))*10^-3*10^2*各项系数!$J$4</f>
        <v>0.223888062678594</v>
      </c>
      <c r="IC56" s="420">
        <v>1</v>
      </c>
      <c r="ID56" s="390">
        <f t="shared" si="284"/>
        <v>0.223888062678594</v>
      </c>
      <c r="IE56" s="390">
        <f>ID56*(VLOOKUP($IB$9,各项系数!$D$1:$F$143,2,0))</f>
        <v>2.46276868946453</v>
      </c>
      <c r="IF56" s="429"/>
      <c r="IG56" s="406">
        <f t="shared" si="148"/>
        <v>0.0415366512666714</v>
      </c>
      <c r="IH56" s="389">
        <v>1</v>
      </c>
      <c r="II56" s="390">
        <f t="shared" si="285"/>
        <v>0.0415366512666714</v>
      </c>
      <c r="IJ56" s="390">
        <f>II56*(VLOOKUP($IG$8,各项系数!$D$1:$F$143,2,0))</f>
        <v>1.03841628166679</v>
      </c>
      <c r="IK56" s="406">
        <f>(各项系数!$F$76/4*($MX56^2-$MK56^2)*$EG56)*10^-2*(VLOOKUP($IG$8,各项系数!$D$1:$F$143,3,0))*10^-3*10^2*各项系数!$J$4</f>
        <v>0.0415366512666714</v>
      </c>
      <c r="IL56" s="389">
        <f>IK56*(VLOOKUP($IG$8,各项系数!$D$1:$F$143,2,0))</f>
        <v>1.03841628166679</v>
      </c>
      <c r="IM56" s="390">
        <f>(各项系数!$F$76/4*(($MM56+3*$X56)^2-MM56^2)*$EO56)*10^-2*(VLOOKUP($IG$8,各项系数!$D$1:$F$143,3,0))*10^-3*10^2*各项系数!$J$4</f>
        <v>0</v>
      </c>
      <c r="IN56" s="389">
        <f>IM56*(VLOOKUP($IG$8,各项系数!$D$1:$F$143,2,0))</f>
        <v>0</v>
      </c>
      <c r="IO56" s="406">
        <f>各项系数!$F$76/4*($MZ56^2-$MX56^2)*10^-2*(VLOOKUP(L56,各项系数!$D$1:$F$143,3,0))*10^-3*10^2*$ES56*各项系数!$J$4</f>
        <v>0.114944081751122</v>
      </c>
      <c r="IP56" s="389">
        <v>1</v>
      </c>
      <c r="IQ56" s="390">
        <f t="shared" si="286"/>
        <v>0.114944081751122</v>
      </c>
      <c r="IR56" s="367">
        <f>IQ56*(VLOOKUP(L56,各项系数!$D$1:$F$143,2,0))</f>
        <v>1.17242963386144</v>
      </c>
      <c r="IS56" s="406">
        <f>IF($L56&lt;&gt;$IS$9,0,各项系数!$F$76/4*($MZ56^2-$MX56^2)*10^-2*各项系数!$F$12*10^-3*10^2)*$ES56*各项系数!$J$4</f>
        <v>0</v>
      </c>
      <c r="IT56" s="389">
        <v>1</v>
      </c>
      <c r="IU56" s="390">
        <f t="shared" si="287"/>
        <v>0</v>
      </c>
      <c r="IV56" s="367">
        <f>IU56*各项系数!$E$12</f>
        <v>0</v>
      </c>
      <c r="IW56" s="388">
        <f t="shared" si="288"/>
        <v>0.114944081751122</v>
      </c>
      <c r="IX56" s="388">
        <f t="shared" si="289"/>
        <v>1.17242963386144</v>
      </c>
      <c r="IY56" s="447">
        <f>各项系数!$F$76/4*($NB56^2-$MZ56^2*$EG56-$NA56^2*$EO56)*10^-2</f>
        <v>1.92889311453065</v>
      </c>
      <c r="IZ56" s="366">
        <f t="shared" si="231"/>
        <v>1</v>
      </c>
      <c r="JA56" s="367">
        <f t="shared" si="64"/>
        <v>1.92889311453065</v>
      </c>
      <c r="JB56" s="364">
        <f>IF($DE56&lt;&gt;$JB$9,0,$JA56*各项系数!$F$32*10^-3*10^2)*各项系数!$J$4</f>
        <v>0</v>
      </c>
      <c r="JC56" s="123">
        <v>1</v>
      </c>
      <c r="JD56" s="251">
        <f t="shared" si="290"/>
        <v>0</v>
      </c>
      <c r="JE56" s="339">
        <f>JD56*各项系数!$E$32</f>
        <v>0</v>
      </c>
      <c r="JF56" s="364">
        <f>IF($DE56&lt;&gt;$JF$9,0,$JA56*VLOOKUP($JF$9,各项系数!$D$4:$F$540,2,0)*10^-3*10^2)*各项系数!$J$4</f>
        <v>0.959624324478998</v>
      </c>
      <c r="JG56" s="123">
        <v>1</v>
      </c>
      <c r="JH56" s="251">
        <f t="shared" si="66"/>
        <v>0.959624324478998</v>
      </c>
      <c r="JI56" s="339">
        <f>JH56*VLOOKUP($JF$9,各项系数!$D$4:$F$540,3,0)</f>
        <v>1.1515491893748</v>
      </c>
      <c r="JJ56" s="364">
        <f t="shared" si="291"/>
        <v>0.959624324478998</v>
      </c>
      <c r="JK56" s="251">
        <f t="shared" si="292"/>
        <v>1.1515491893748</v>
      </c>
      <c r="JL56" s="364">
        <f>IF($DF56&lt;&gt;$JL$9,0,各项系数!$F$76/4*($NE56^2-$NC56^2)*10^-2*各项系数!$F$39*10^-3*10^2)*各项系数!$J$4</f>
        <v>0.00296507315969207</v>
      </c>
      <c r="JM56" s="123">
        <v>1</v>
      </c>
      <c r="JN56" s="251">
        <f t="shared" si="293"/>
        <v>0.00296507315969207</v>
      </c>
      <c r="JO56" s="339">
        <f>JN56*各项系数!$E$39</f>
        <v>0.0593014631938414</v>
      </c>
      <c r="JP56" s="364">
        <f>IF($DF56&lt;&gt;$JP$9,0,各项系数!$F$76/4*($NE56^2-$NC56^2)*10^-2*各项系数!$F$36*10^-3*10^2)*各项系数!$J$4</f>
        <v>0</v>
      </c>
      <c r="JQ56" s="123">
        <v>1</v>
      </c>
      <c r="JR56" s="251">
        <f t="shared" si="294"/>
        <v>0</v>
      </c>
      <c r="JS56" s="339">
        <f>JR56*各项系数!$E$36</f>
        <v>0</v>
      </c>
      <c r="JT56" s="364">
        <f>IF($DF56&lt;&gt;$JT$9,0,各项系数!$F$76/4*($NE56^2-$NC56^2)*10^-2*各项系数!$F$40*10^-3*10^2)*各项系数!$J$4</f>
        <v>0</v>
      </c>
      <c r="JU56" s="123">
        <v>1</v>
      </c>
      <c r="JV56" s="251">
        <f t="shared" si="295"/>
        <v>0</v>
      </c>
      <c r="JW56" s="339">
        <f>JV56*各项系数!$E$40</f>
        <v>0</v>
      </c>
      <c r="JX56" s="364">
        <f>IF($DF56&lt;&gt;$JX$9,0,各项系数!$F$76/4*($NE56^2-$NC56^2)*10^-2*各项系数!$F$38*10^-3*10^2)*各项系数!$J$4</f>
        <v>0</v>
      </c>
      <c r="JY56" s="123">
        <v>1</v>
      </c>
      <c r="JZ56" s="251">
        <f t="shared" si="296"/>
        <v>0</v>
      </c>
      <c r="KA56" s="339">
        <f>JZ56*各项系数!$E$38</f>
        <v>0</v>
      </c>
      <c r="KB56" s="364">
        <f>IF($DF56&lt;&gt;$KB$9,0,各项系数!$F$76/4*($NE56^2-$NC56^2)*10^-2*各项系数!$F$41*10^-3*10^2)*各项系数!$J$4</f>
        <v>0</v>
      </c>
      <c r="KC56" s="123">
        <v>1</v>
      </c>
      <c r="KD56" s="251">
        <f t="shared" si="297"/>
        <v>0</v>
      </c>
      <c r="KE56" s="339">
        <f>KD56*各项系数!$E$41</f>
        <v>0</v>
      </c>
      <c r="KF56" s="251">
        <f t="shared" si="298"/>
        <v>0.00296507315969207</v>
      </c>
      <c r="KG56" s="251">
        <f t="shared" si="299"/>
        <v>0.0593014631938414</v>
      </c>
      <c r="KH56" s="302">
        <f>各项系数!$F$76/4*($NG56^2-$NE56^2)*10^-2*各项系数!$F$44*10^-3*10^2*各项系数!$J$4*0.75*$U56</f>
        <v>0.294455896414504</v>
      </c>
      <c r="KI56" s="123">
        <v>1</v>
      </c>
      <c r="KJ56" s="251">
        <f t="shared" si="300"/>
        <v>0.294455896414504</v>
      </c>
      <c r="KK56" s="251">
        <f>ROUND(KJ56*各项系数!$E$43,GT56)</f>
        <v>2</v>
      </c>
      <c r="KL56" s="302">
        <f>各项系数!$F$76/4*($NF56^2-$NE56^2)*10^-2*各项系数!$F$46*10^-3*10^2*各项系数!$J$4*PI()/4*R56</f>
        <v>0.0370841723318996</v>
      </c>
      <c r="KM56" s="123">
        <v>1</v>
      </c>
      <c r="KN56" s="251">
        <f t="shared" si="301"/>
        <v>0.0370841723318996</v>
      </c>
      <c r="KO56" s="251">
        <f>KN56*各项系数!$E$46</f>
        <v>2.50318163240323</v>
      </c>
      <c r="KP56" s="302">
        <f>各项系数!$F$76/4*($NH56^2-$NE56^2)*10^-2*(VLOOKUP($KP$9,各项系数!$D$1:$F$143,3,0))*10^-3*10^2*各项系数!$J$4</f>
        <v>0.230632237437817</v>
      </c>
      <c r="KQ56" s="123">
        <v>1</v>
      </c>
      <c r="KR56" s="251">
        <f t="shared" si="150"/>
        <v>0.230632237437817</v>
      </c>
      <c r="KS56" s="251">
        <f>KR56*(VLOOKUP($KP$9,各项系数!$D$1:$F$143,2,0))</f>
        <v>3.92074803644289</v>
      </c>
      <c r="KT56" s="302">
        <f>各项系数!$F$76/4*($NI56^2-$NF56^2)*10^-2*(VLOOKUP($KT$9,各项系数!$D$1:$F$143,3,0))*10^-3*10^2*各项系数!$J$4</f>
        <v>0.231937606884495</v>
      </c>
      <c r="KU56" s="123">
        <v>1</v>
      </c>
      <c r="KV56" s="251">
        <f t="shared" si="151"/>
        <v>0.231937606884495</v>
      </c>
      <c r="KW56" s="251">
        <f>KV56*(VLOOKUP($KT$9,各项系数!$D$1:$F$143,2,0))</f>
        <v>3.94293931703642</v>
      </c>
      <c r="KX56" s="251">
        <f>各项系数!$F$76/4*($NH56^2-$NE56^2)*10^-2*(VLOOKUP($KX$9,各项系数!$D$1:$F$143,3,0))*10^-3*10^2*各项系数!$J$4</f>
        <v>0.230632237437817</v>
      </c>
      <c r="KY56" s="479">
        <v>1</v>
      </c>
      <c r="KZ56" s="251">
        <f t="shared" si="152"/>
        <v>0.230632237437817</v>
      </c>
      <c r="LA56" s="251">
        <f>KZ56*(VLOOKUP($KX$9,各项系数!$D$1:$F$143,2,0))</f>
        <v>3.92074803644289</v>
      </c>
      <c r="LB56" s="251">
        <f>各项系数!$F$76/4*($NI56^2-$NF56^2)*10^-2*(VLOOKUP($LB$9,各项系数!$D$1:$F$143,3,0))*10^-3*10^2*各项系数!$J$4</f>
        <v>0.231937606884495</v>
      </c>
      <c r="LC56" s="479">
        <v>1</v>
      </c>
      <c r="LD56" s="251">
        <f t="shared" si="153"/>
        <v>0.231937606884495</v>
      </c>
      <c r="LE56" s="251">
        <f>LD56*(VLOOKUP($LB$9,各项系数!$D$1:$F$143,2,0))</f>
        <v>3.94293931703642</v>
      </c>
      <c r="LF56" s="302">
        <f>各项系数!$F$76/4*($NH56^2-$NE56^2)*10^-2*(VLOOKUP(AN56,各项系数!$D$1:$F$143,3,0))*10^-3*10^2*各项系数!$J$4</f>
        <v>0.233813371747304</v>
      </c>
      <c r="LG56" s="123">
        <v>1</v>
      </c>
      <c r="LH56" s="251">
        <f t="shared" si="302"/>
        <v>0.233813371747304</v>
      </c>
      <c r="LI56" s="251">
        <f>LH56*(VLOOKUP(AN56,各项系数!$D$1:$F$143,2,0))</f>
        <v>2.33813371747304</v>
      </c>
      <c r="LJ56" s="302">
        <f>各项系数!$F$76/4*($NI56^2-$NF56^2)*10^-2*(VLOOKUP(AN56,各项系数!$D$1:$F$143,3,0))*10^-3*10^2*各项系数!$J$4</f>
        <v>0.235136746289799</v>
      </c>
      <c r="LK56" s="123">
        <v>1</v>
      </c>
      <c r="LL56" s="251">
        <f t="shared" si="303"/>
        <v>0.235136746289799</v>
      </c>
      <c r="LM56" s="251">
        <f>LL56*(VLOOKUP(AN56,各项系数!$D$1:$F$143,2,0))</f>
        <v>2.35136746289799</v>
      </c>
      <c r="LN56" s="251">
        <f>各项系数!$F$76/4*($NH56^2-$NE56^2)*10^-2*(VLOOKUP($LN$9,各项系数!$D$1:$F$143,3,0))*10^-3*10^2*各项系数!$J$4</f>
        <v>0.233813371747304</v>
      </c>
      <c r="LO56" s="479">
        <v>1</v>
      </c>
      <c r="LP56" s="251">
        <f t="shared" si="304"/>
        <v>0.233813371747304</v>
      </c>
      <c r="LQ56" s="251">
        <f>LP56*(VLOOKUP($LN$9,各项系数!$D$1:$F$143,2,0))</f>
        <v>2.57194708922034</v>
      </c>
      <c r="LR56" s="251">
        <f>各项系数!$F$76/4*($NI56^2-$NF56^2)*10^-2*(VLOOKUP($LR$9,各项系数!$D$1:$F$143,3,0))*10^-3*10^2*各项系数!$J$4</f>
        <v>0.235136746289799</v>
      </c>
      <c r="LS56" s="479">
        <v>1</v>
      </c>
      <c r="LT56" s="251">
        <f t="shared" si="305"/>
        <v>0.235136746289799</v>
      </c>
      <c r="LU56" s="251">
        <f>LT56*(VLOOKUP($LR$9,各项系数!$D$1:$F$143,2,0))</f>
        <v>2.58650420918778</v>
      </c>
      <c r="LV56" s="499">
        <f t="shared" si="154"/>
        <v>214.57314108</v>
      </c>
      <c r="LW56" s="499">
        <f t="shared" si="155"/>
        <v>134.10821318</v>
      </c>
      <c r="LX56" s="499">
        <f t="shared" si="156"/>
        <v>13.0672062926453</v>
      </c>
      <c r="LY56" s="515">
        <f t="shared" si="157"/>
        <v>80.4649279</v>
      </c>
      <c r="LZ56" s="516">
        <f t="shared" si="86"/>
        <v>1</v>
      </c>
      <c r="MA56" s="517">
        <f t="shared" si="87"/>
        <v>214.57314108</v>
      </c>
      <c r="MB56" s="517">
        <f t="shared" si="158"/>
        <v>9.5429382</v>
      </c>
      <c r="MC56" s="499">
        <f t="shared" si="159"/>
        <v>0</v>
      </c>
      <c r="MD56" s="499">
        <f t="shared" si="160"/>
        <v>0</v>
      </c>
      <c r="ME56" s="499">
        <f t="shared" si="161"/>
        <v>0</v>
      </c>
      <c r="MF56" s="499">
        <f t="shared" si="162"/>
        <v>0</v>
      </c>
      <c r="MG56" s="516">
        <f t="shared" si="163"/>
        <v>1</v>
      </c>
      <c r="MH56" s="517">
        <f t="shared" si="88"/>
        <v>0</v>
      </c>
      <c r="MI56" s="517">
        <f t="shared" si="164"/>
        <v>0</v>
      </c>
      <c r="MJ56" s="251">
        <f t="shared" si="89"/>
        <v>9.5429382</v>
      </c>
      <c r="MK56" s="251">
        <f t="shared" si="165"/>
        <v>9.5429382</v>
      </c>
      <c r="ML56" s="251">
        <f t="shared" si="306"/>
        <v>0</v>
      </c>
      <c r="MM56" s="251">
        <f t="shared" si="91"/>
        <v>0</v>
      </c>
      <c r="MN56" s="251">
        <f t="shared" si="92"/>
        <v>11.5429382</v>
      </c>
      <c r="MO56" s="251">
        <f t="shared" si="166"/>
        <v>0</v>
      </c>
      <c r="MP56" s="251">
        <f t="shared" si="167"/>
        <v>24.93274651</v>
      </c>
      <c r="MQ56" s="251">
        <f t="shared" si="307"/>
        <v>24.93274651</v>
      </c>
      <c r="MR56" s="314">
        <f t="shared" si="168"/>
        <v>24.93274651</v>
      </c>
      <c r="MS56" s="530">
        <f t="shared" si="94"/>
        <v>25.10874651</v>
      </c>
      <c r="MT56" s="530">
        <f t="shared" si="95"/>
        <v>25.26874651</v>
      </c>
      <c r="MU56" s="530">
        <f t="shared" si="232"/>
        <v>25.70874651</v>
      </c>
      <c r="MV56" s="530">
        <f t="shared" si="97"/>
        <v>28.70874651</v>
      </c>
      <c r="MW56" s="530">
        <f t="shared" si="98"/>
        <v>28.86874651</v>
      </c>
      <c r="MX56" s="326">
        <f t="shared" si="233"/>
        <v>10.1429382</v>
      </c>
      <c r="MY56" s="326">
        <f t="shared" si="100"/>
        <v>0</v>
      </c>
      <c r="MZ56" s="251">
        <f t="shared" si="101"/>
        <v>12.1429382</v>
      </c>
      <c r="NA56" s="251">
        <f t="shared" si="102"/>
        <v>0</v>
      </c>
      <c r="NB56" s="251">
        <f t="shared" si="169"/>
        <v>26.22874651</v>
      </c>
      <c r="NC56" s="326">
        <f t="shared" si="308"/>
        <v>26.22874651</v>
      </c>
      <c r="ND56" s="314">
        <f t="shared" si="234"/>
        <v>26.22874651</v>
      </c>
      <c r="NE56" s="537">
        <f t="shared" si="235"/>
        <v>26.46874651</v>
      </c>
      <c r="NF56" s="530">
        <f t="shared" si="106"/>
        <v>26.62874651</v>
      </c>
      <c r="NG56" s="538">
        <f t="shared" si="236"/>
        <v>27.06874651</v>
      </c>
      <c r="NH56" s="326">
        <f t="shared" si="108"/>
        <v>30.06874651</v>
      </c>
      <c r="NI56" s="530">
        <f t="shared" si="109"/>
        <v>30.22874651</v>
      </c>
      <c r="NK56" s="539">
        <f t="shared" si="110"/>
        <v>1.74555538096301</v>
      </c>
      <c r="NL56" s="539">
        <f t="shared" si="111"/>
        <v>82.6019717559582</v>
      </c>
      <c r="NM56" s="539">
        <f t="shared" si="112"/>
        <v>1.74555538096301</v>
      </c>
      <c r="NN56" s="539">
        <f t="shared" si="113"/>
        <v>82.8245364440943</v>
      </c>
      <c r="NO56" s="539">
        <f t="shared" si="114"/>
        <v>2.55219328057025</v>
      </c>
      <c r="NP56" s="539">
        <f t="shared" si="115"/>
        <v>84.3146207554733</v>
      </c>
      <c r="NQ56" s="539">
        <f t="shared" si="116"/>
        <v>2.55219328057025</v>
      </c>
      <c r="NR56" s="539">
        <f t="shared" si="117"/>
        <v>84.5484341272206</v>
      </c>
      <c r="NS56" s="539">
        <f t="shared" si="118"/>
        <v>1.7807398600513</v>
      </c>
      <c r="NT56" s="539">
        <f t="shared" si="119"/>
        <v>1.7807398600513</v>
      </c>
      <c r="NU56" s="539">
        <f t="shared" si="120"/>
        <v>2.58927745290215</v>
      </c>
      <c r="NV56" s="539">
        <f t="shared" si="121"/>
        <v>2.58927745290215</v>
      </c>
      <c r="NW56">
        <f t="shared" si="122"/>
        <v>1.93188598924846</v>
      </c>
      <c r="NX56">
        <f>各项系数!$M$9*NK56</f>
        <v>0.523666614288903</v>
      </c>
      <c r="NY56">
        <f t="shared" si="123"/>
        <v>1.7807398600513</v>
      </c>
    </row>
    <row r="57" customHeight="1" spans="1:389">
      <c r="A57" s="91">
        <v>27</v>
      </c>
      <c r="B57" s="86">
        <v>1</v>
      </c>
      <c r="C57" s="83"/>
      <c r="D57" s="69" t="s">
        <v>200</v>
      </c>
      <c r="E57" s="77">
        <f t="shared" si="255"/>
        <v>32.00814482</v>
      </c>
      <c r="F57" s="84">
        <f>$F$25</f>
        <v>242.295968589101</v>
      </c>
      <c r="G57" s="74"/>
      <c r="H57" s="23"/>
      <c r="I57" s="78"/>
      <c r="J57" s="23"/>
      <c r="K57" s="23"/>
      <c r="L57" s="118" t="s">
        <v>467</v>
      </c>
      <c r="M57" s="124">
        <f t="shared" si="2"/>
        <v>1.1</v>
      </c>
      <c r="N57" s="124">
        <f t="shared" si="252"/>
        <v>0</v>
      </c>
      <c r="O57" s="69">
        <f t="shared" si="265"/>
        <v>0.08</v>
      </c>
      <c r="P57" s="120">
        <v>0.1</v>
      </c>
      <c r="Q57" s="162">
        <f t="shared" si="309"/>
        <v>0.1</v>
      </c>
      <c r="R57" s="86">
        <v>0.8</v>
      </c>
      <c r="S57" s="171" t="str">
        <f>各项系数!$D$43</f>
        <v>钢带</v>
      </c>
      <c r="T57" s="123">
        <v>0.5</v>
      </c>
      <c r="U57" s="123">
        <v>2</v>
      </c>
      <c r="V57" s="169"/>
      <c r="W57" s="170">
        <v>2</v>
      </c>
      <c r="X57" s="164">
        <f t="shared" si="310"/>
        <v>0.2</v>
      </c>
      <c r="Y57" s="219"/>
      <c r="Z57" s="220"/>
      <c r="AA57" s="217">
        <f>$AA$25</f>
        <v>1.013</v>
      </c>
      <c r="AB57" s="186">
        <f>PI()*EJ57*EJ57/4*EH57*(1-H57)*AA57*各项系数!$F$5*各项系数!$J$4*10^-7</f>
        <v>0.578421704096205</v>
      </c>
      <c r="AC57" s="186">
        <f t="shared" si="256"/>
        <v>242.295968589101</v>
      </c>
      <c r="AD57" s="186">
        <f t="shared" si="5"/>
        <v>65.3912649972251</v>
      </c>
      <c r="AE57" s="186">
        <f>POWER(4*EU57/PI()/EG57/10^-7/EH57/(1-H57)/各项系数!$F$5/各项系数!$J$4,0.5)</f>
        <v>243.865806884974</v>
      </c>
      <c r="AF57" s="218">
        <v>1</v>
      </c>
      <c r="AG57" s="85">
        <f>IF(EM57=0,0,PI()*ER57*ER57/4*EP57*(1-K57)*(1+AF57)*各项系数!$F$5*各项系数!$J$4*10^-7)</f>
        <v>0</v>
      </c>
      <c r="AH57" s="85">
        <f t="shared" si="257"/>
        <v>0</v>
      </c>
      <c r="AI57" s="85">
        <f t="shared" si="128"/>
        <v>0</v>
      </c>
      <c r="AJ57" s="85">
        <f>IF(OR(EP57="",EP57=0),0,POWER(4*EW57/PI()/EO57/10^-7/EP57/(1-K57)/各项系数!$F$5/各项系数!$J$4,0.5))</f>
        <v>0</v>
      </c>
      <c r="AK57" s="85" t="str">
        <f t="shared" si="8"/>
        <v>√</v>
      </c>
      <c r="AL57" s="85">
        <f t="shared" si="258"/>
        <v>122.443671710254</v>
      </c>
      <c r="AM57" s="250">
        <f t="shared" si="259"/>
        <v>70</v>
      </c>
      <c r="AN57" s="118" t="s">
        <v>486</v>
      </c>
      <c r="AO57" s="259">
        <f>AP57+各项系数!$M$9*$NK57</f>
        <v>120.04281540221</v>
      </c>
      <c r="AP57" s="259">
        <f>AQ57*(1+$BI57+(VLOOKUP($AM57,$A$12:$B$323,2,0))+各项系数!$J$6+各项系数!$M$5)*(1+$E$2)</f>
        <v>119.319304796589</v>
      </c>
      <c r="AQ57" s="260">
        <f>AR57+各项系数!$L$9*$NK57</f>
        <v>121.754392649581</v>
      </c>
      <c r="AR57" s="260">
        <f>AS57*(1+$BJ57+各项系数!$J$5+各项系数!$L$5)</f>
        <v>121.03088204396</v>
      </c>
      <c r="AS57" s="260">
        <f t="shared" si="129"/>
        <v>118.657727494078</v>
      </c>
      <c r="AT57" s="259">
        <f>AU57+各项系数!$M$9*$NM57</f>
        <v>121.908728547795</v>
      </c>
      <c r="AU57" s="259">
        <f>AV57*(1+$BI57+(VLOOKUP($AM57,$A$12:$B$323,2,0))+各项系数!$J$6+各项系数!$M$5)*(1+$E$2)</f>
        <v>121.185217942174</v>
      </c>
      <c r="AV57" s="260">
        <f>AW57+各项系数!$L$9*$NM57</f>
        <v>123.658385655279</v>
      </c>
      <c r="AW57" s="260">
        <f>AX57*(1+$BJ57+各项系数!$J$5+各项系数!$L$5)</f>
        <v>122.934875049658</v>
      </c>
      <c r="AX57" s="260">
        <f t="shared" si="130"/>
        <v>120.524387303586</v>
      </c>
      <c r="AY57" s="259">
        <f>AZ57+各项系数!$M$9*$NS57</f>
        <v>122.728085337626</v>
      </c>
      <c r="AZ57" s="259">
        <f>BA57*(1+$BI57+(VLOOKUP($AM57,$A$12:$B$214,2,0))+各项系数!$J$6+各项系数!$M$5)*(1+$E$2)</f>
        <v>121.992804395475</v>
      </c>
      <c r="BA57" s="260">
        <f>BB57+各项系数!$L$9*$NS57</f>
        <v>124.48245346477</v>
      </c>
      <c r="BB57" s="260">
        <f>BC57*(1+$BJ57+各项系数!$J$5+各项系数!$L$5)</f>
        <v>123.747172522618</v>
      </c>
      <c r="BC57" s="262">
        <f t="shared" si="131"/>
        <v>121.320757375116</v>
      </c>
      <c r="BD57" s="259">
        <f>BE57+各项系数!$M$9*$NS57</f>
        <v>124.603947318938</v>
      </c>
      <c r="BE57" s="259">
        <f>BF57*(1+$BI57+(VLOOKUP($AM57,$A$12:$B$214,2,0))+各项系数!$J$6+各项系数!$M$5)*(1+$E$2)</f>
        <v>123.868666376786</v>
      </c>
      <c r="BF57" s="260">
        <f>BG57+各项系数!$L$9*$NS57</f>
        <v>126.396598343659</v>
      </c>
      <c r="BG57" s="260">
        <f>BH57*(1+$BJ57+各项系数!$J$5+各项系数!$L$5)</f>
        <v>125.661317401507</v>
      </c>
      <c r="BH57" s="262">
        <f t="shared" si="132"/>
        <v>123.197370001478</v>
      </c>
      <c r="BI57" s="277"/>
      <c r="BJ57" s="272"/>
      <c r="BK57" s="69" t="s">
        <v>514</v>
      </c>
      <c r="BL57" s="259">
        <f>BM57+各项系数!$M$9*$NM57</f>
        <v>121.484031325142</v>
      </c>
      <c r="BM57" s="259">
        <f>BN57*(1+$CF57+(VLOOKUP($AM57,$A$12:$B$323,2,0))+各项系数!$J$6+各项系数!$M$5)*(1+$E$2)</f>
        <v>120.760520719521</v>
      </c>
      <c r="BN57" s="260">
        <f>BO57+各项系数!$L$9*$NM57</f>
        <v>123.225021142368</v>
      </c>
      <c r="BO57" s="260">
        <f>BP57*(1+$CG57+各项系数!$J$5+各项系数!$L$5)</f>
        <v>122.501510536747</v>
      </c>
      <c r="BP57" s="260">
        <f t="shared" si="133"/>
        <v>118.933505375483</v>
      </c>
      <c r="BQ57" s="259">
        <f>BR57+各项系数!$M$9*$NM57</f>
        <v>123.08986754337</v>
      </c>
      <c r="BR57" s="259">
        <f>BS57*(1+$CF57+(VLOOKUP($AM57,$A$12:$B$323,2,0))+各项系数!$J$6+各项系数!$M$5)*(1+$E$2)</f>
        <v>122.366356937749</v>
      </c>
      <c r="BS57" s="260">
        <f>BT57+各项系数!$L$9*$NM57</f>
        <v>124.863629528315</v>
      </c>
      <c r="BT57" s="260">
        <f>BU57*(1+$CG57+各项系数!$J$5+各项系数!$L$5)</f>
        <v>124.140118922694</v>
      </c>
      <c r="BU57" s="260">
        <f t="shared" si="134"/>
        <v>120.524387303586</v>
      </c>
      <c r="BV57" s="259">
        <f>BW57+各项系数!$M$9*$NT57</f>
        <v>123.484406003246</v>
      </c>
      <c r="BW57" s="259">
        <f>BX57*(1+$CF57+(VLOOKUP($AM57,$A$12:$B$214,2,0))+各项系数!$J$6+各项系数!$M$5)*(1+$E$2)</f>
        <v>122.749125061094</v>
      </c>
      <c r="BX57" s="260">
        <f>BY57+各项系数!$L$9*$NT$12</f>
        <v>125.254209246014</v>
      </c>
      <c r="BY57" s="260">
        <f>BZ57*(1+$CG57+各项系数!$J$5+各项系数!$L$5)</f>
        <v>125.245945842859</v>
      </c>
      <c r="BZ57" s="262">
        <f t="shared" si="11"/>
        <v>121.598005672679</v>
      </c>
      <c r="CA57" s="259">
        <f>CB57+各项系数!$M$9*$NT57</f>
        <v>125.098804356736</v>
      </c>
      <c r="CB57" s="259">
        <f>CC57*(1+$CF57+(VLOOKUP($AM57,$A$12:$B$214,2,0))+各项系数!$J$6+各项系数!$M$5)*(1+$E$2)</f>
        <v>124.363523414584</v>
      </c>
      <c r="CC57" s="260">
        <f>CD57+各项系数!$L$9*$NT$12</f>
        <v>126.901554504677</v>
      </c>
      <c r="CD57" s="260">
        <f>CE57*(1+$CG57+各项系数!$J$5+各项系数!$L$5)</f>
        <v>126.893291101522</v>
      </c>
      <c r="CE57" s="262">
        <f t="shared" si="135"/>
        <v>123.197370001478</v>
      </c>
      <c r="CF57" s="277">
        <f t="shared" si="136"/>
        <v>0</v>
      </c>
      <c r="CG57" s="277">
        <f t="shared" si="12"/>
        <v>0.01</v>
      </c>
      <c r="CH57" s="123"/>
      <c r="CI57" s="259">
        <f>CJ57+各项系数!$M$9*$NO57</f>
        <v>123.314272877112</v>
      </c>
      <c r="CJ57" s="259">
        <f>CK57*(1+$DC57+(VLOOKUP($AM57,$A$12:$B$323,2,0))+各项系数!$J$6+各项系数!$M$5)*(1+$E$2)+各项系数!$M$9*$NK57</f>
        <v>122.295102459649</v>
      </c>
      <c r="CK57" s="260">
        <f>CL57+各项系数!$L$9*$NO57</f>
        <v>124.052644749008</v>
      </c>
      <c r="CL57" s="260">
        <f>CM57*(1+$DD57+各项系数!$J$5+各项系数!$L$5)</f>
        <v>123.033474331546</v>
      </c>
      <c r="CM57" s="260">
        <f t="shared" si="13"/>
        <v>120.621053266222</v>
      </c>
      <c r="CN57" s="259">
        <f>CO57+各项系数!$M$9*$NO57</f>
        <v>125.055250643388</v>
      </c>
      <c r="CO57" s="259">
        <f>CP57*(1+$DC57+(VLOOKUP($AM57,$A$12:$B$323,2,0))+各项系数!$J$6+各项系数!$M$5)*(1+$E$2)+各项系数!$M$9*$NK57</f>
        <v>124.036080225925</v>
      </c>
      <c r="CP57" s="260">
        <f>CQ57+各项系数!$L$9*$NO57</f>
        <v>125.82915267378</v>
      </c>
      <c r="CQ57" s="260">
        <f>CR57*(1+$DD57+各项系数!$J$5+各项系数!$L$5)</f>
        <v>124.809982256318</v>
      </c>
      <c r="CR57" s="260">
        <f t="shared" si="14"/>
        <v>122.362727702272</v>
      </c>
      <c r="CS57" s="259">
        <f>CT57+各项系数!$M$9*$NU57</f>
        <v>125.40533862692</v>
      </c>
      <c r="CT57" s="259">
        <f t="shared" si="15"/>
        <v>124.373827964954</v>
      </c>
      <c r="CU57" s="260">
        <f>CV57+各项系数!$L$9*$NU57</f>
        <v>126.912069351993</v>
      </c>
      <c r="CV57" s="260">
        <f>CW57*(1+$DD57+各项系数!$J$5+各项系数!$L$5)</f>
        <v>125.880558690027</v>
      </c>
      <c r="CW57" s="262">
        <f t="shared" si="16"/>
        <v>123.412312441203</v>
      </c>
      <c r="CX57" s="259">
        <f>CY57+各项系数!$M$9*$NU57</f>
        <v>127.365765711913</v>
      </c>
      <c r="CY57" s="259">
        <f t="shared" si="17"/>
        <v>126.334255049947</v>
      </c>
      <c r="CZ57" s="260">
        <f>DA57+各项系数!$L$9*$NU57</f>
        <v>128.912505153007</v>
      </c>
      <c r="DA57" s="260">
        <f>DB57*(1+$DD57+各项系数!$J$5+各项系数!$L$5)</f>
        <v>127.880994491041</v>
      </c>
      <c r="DB57" s="262">
        <f t="shared" si="18"/>
        <v>125.373524010824</v>
      </c>
      <c r="DC57" s="277">
        <f t="shared" si="137"/>
        <v>0</v>
      </c>
      <c r="DD57" s="277">
        <f t="shared" si="19"/>
        <v>0</v>
      </c>
      <c r="DE57" s="69" t="s">
        <v>498</v>
      </c>
      <c r="DF57" s="69" t="s">
        <v>513</v>
      </c>
      <c r="DG57" s="259">
        <f>DH57+各项系数!$M$9*$NQ57</f>
        <v>124.787345416207</v>
      </c>
      <c r="DH57" s="259">
        <f>DI57*(1+$EA57+(VLOOKUP($AM57,$A$12:$B$323,2,0))+各项系数!$J$6+各项系数!$M$5)*(1+$E$2)+各项系数!$M$9*$NK57</f>
        <v>123.768174998745</v>
      </c>
      <c r="DI57" s="260">
        <f>DJ57+各项系数!$L$9*$NQ57</f>
        <v>125.555779992984</v>
      </c>
      <c r="DJ57" s="260">
        <f>DK57*(1+$EB57+各项系数!$J$5+各项系数!$L$5)</f>
        <v>124.536609575521</v>
      </c>
      <c r="DK57" s="260">
        <f t="shared" si="20"/>
        <v>120.909329684972</v>
      </c>
      <c r="DL57" s="259">
        <f>DM57+各项系数!$M$9*$NQ57</f>
        <v>126.465959784164</v>
      </c>
      <c r="DM57" s="259">
        <f>DN57*(1+$EA57+(VLOOKUP($AM57,$A$12:$B$323,2,0))+各项系数!$J$6+各项系数!$M$5)*(1+$E$2)+各项系数!$M$9*$NK57</f>
        <v>125.446789366701</v>
      </c>
      <c r="DN57" s="260">
        <f>DO57+各项系数!$L$9*$NQ57</f>
        <v>127.268651797021</v>
      </c>
      <c r="DO57" s="260">
        <f>DP57*(1+$EB57+各项系数!$J$5+各项系数!$L$5)</f>
        <v>126.249481379558</v>
      </c>
      <c r="DP57" s="260">
        <f t="shared" si="21"/>
        <v>122.572312018989</v>
      </c>
      <c r="DQ57" s="259">
        <f>DR57+各项系数!$M$9*$NV57</f>
        <v>126.907249744001</v>
      </c>
      <c r="DR57" s="259">
        <f t="shared" si="22"/>
        <v>125.875739082034</v>
      </c>
      <c r="DS57" s="260">
        <f>DT57+各项系数!$L$9*$NV57</f>
        <v>128.444631716362</v>
      </c>
      <c r="DT57" s="260">
        <f>DU57*(1+$EB57+各项系数!$J$5+各项系数!$L$5)</f>
        <v>127.413121054395</v>
      </c>
      <c r="DU57" s="262">
        <f t="shared" si="23"/>
        <v>123.702059276112</v>
      </c>
      <c r="DV57" s="259">
        <f>DW57+各项系数!$M$9*$NV57</f>
        <v>127.147494964508</v>
      </c>
      <c r="DW57" s="259">
        <f t="shared" si="24"/>
        <v>126.115984302542</v>
      </c>
      <c r="DX57" s="260">
        <f>DY57+各项系数!$L$9*$NV57</f>
        <v>128.689779900553</v>
      </c>
      <c r="DY57" s="260">
        <f>DZ57*(1+$EB57+各项系数!$J$5+各项系数!$L$5)</f>
        <v>127.658269238587</v>
      </c>
      <c r="DZ57" s="262">
        <f t="shared" si="25"/>
        <v>123.940067221929</v>
      </c>
      <c r="EA57" s="277">
        <f t="shared" si="311"/>
        <v>0</v>
      </c>
      <c r="EB57" s="277">
        <f t="shared" si="27"/>
        <v>0.01</v>
      </c>
      <c r="EC57" s="302">
        <f t="shared" si="138"/>
        <v>3</v>
      </c>
      <c r="ED57" s="302" t="str">
        <f t="shared" si="266"/>
        <v>3*70</v>
      </c>
      <c r="EE57" s="251">
        <f t="shared" si="239"/>
        <v>70</v>
      </c>
      <c r="EF57" s="251" t="str">
        <f>LOOKUP(EH57,{1,7,10,14,19,24,30,37,48,61},{1,"1+6","2+8","4+10","1+6+12","2+8+14","4+10+16","1+6+12+18","3+9+15+21","1+6+12+18+24"})</f>
        <v>4+10</v>
      </c>
      <c r="EG57" s="250">
        <f t="shared" si="29"/>
        <v>3</v>
      </c>
      <c r="EH57" s="260">
        <f>VLOOKUP(EE57,各项系数!$B$87:$C$124,2,0)</f>
        <v>14</v>
      </c>
      <c r="EI57" s="250">
        <f>IF(EH57=0,0,VLOOKUP(EH57,各项系数!$D$142:$E$195,2,0))*1</f>
        <v>4.41</v>
      </c>
      <c r="EJ57" s="305">
        <f t="shared" si="141"/>
        <v>242.295968589101</v>
      </c>
      <c r="EK57" s="251">
        <f t="shared" si="261"/>
        <v>0</v>
      </c>
      <c r="EL57" s="251">
        <f t="shared" si="31"/>
        <v>0</v>
      </c>
      <c r="EM57" s="251">
        <f t="shared" si="267"/>
        <v>0</v>
      </c>
      <c r="EN57" s="251">
        <f>IF(EP57=0,0,LOOKUP(EP57,{1,7,10,14,19,24,30,37,48,61},{1,"1+6","2+8","4+10","1+6+12","2+8+14","4+10+16","1+6+12+18","3+9+15+21","1+6+12+18+24"}))</f>
        <v>0</v>
      </c>
      <c r="EO57" s="251">
        <f t="shared" si="263"/>
        <v>0</v>
      </c>
      <c r="EP57" s="251">
        <f>IF(EM57=0,0,IF(EM57&lt;10,1,IF(AND(EM57&gt;=10,EM57&lt;=35),7,LOOKUP(EM57,{50,70,95,120,150,185,240,300},{10,14,19,24,30,37,48,61})*1)))</f>
        <v>0</v>
      </c>
      <c r="EQ57" s="251">
        <f>IF(EP57=0,0,VLOOKUP(EP57,各项系数!$D$142:$E$195,2,0))*1</f>
        <v>0</v>
      </c>
      <c r="ER57" s="251">
        <f t="shared" si="264"/>
        <v>0</v>
      </c>
      <c r="ES57" s="302">
        <f t="shared" si="250"/>
        <v>3</v>
      </c>
      <c r="ET57" s="251">
        <f>VLOOKUP(ES57,各项系数!$D$142:$E$195,2,0)*1</f>
        <v>2.16</v>
      </c>
      <c r="EU57" s="311">
        <f>((各项系数!$F$76/4*$EJ57^2*$EG57*$EH57*1*10^-7)*(1-$H57)*AA57)*(VLOOKUP($EY$9,各项系数!$D$4:$F$143,3,0))*各项系数!$J$4</f>
        <v>1.73526511228861</v>
      </c>
      <c r="EV57" s="312">
        <f>EU57*(VLOOKUP($EY$9,各项系数!$D$4:$F$143,2,0))</f>
        <v>113.659864854904</v>
      </c>
      <c r="EW57" s="324">
        <f>(IF($EO57=0,0,(各项系数!$F$76/4*$ER57^2*$EO57*$EP57*1*10^-7))*(1-$K57)*$AF57)*(VLOOKUP($EY$9,各项系数!$D$4:$F$143,3,0))*各项系数!$J$4</f>
        <v>0</v>
      </c>
      <c r="EX57" s="325">
        <f>EW57*(VLOOKUP($EY$9,各项系数!$D$4:$F$143,2,0))</f>
        <v>0</v>
      </c>
      <c r="EY57" s="251">
        <f>((各项系数!$F$76/4*$EJ57^2*$EG57*$EH57*1*10^-7)*(1-$H57)*AA57+IF($EO57=0,0,(各项系数!$F$76/4*$ER57^2*$EO57*$EP57*1*10^-7))*(1-$K57)*$AF57)*(VLOOKUP($EY$9,各项系数!$D$4:$F$143,3,0))*各项系数!$J$4</f>
        <v>1.73526511228861</v>
      </c>
      <c r="EZ57" s="123">
        <v>1</v>
      </c>
      <c r="FA57" s="251">
        <f t="shared" si="268"/>
        <v>1.73526511228861</v>
      </c>
      <c r="FB57" s="326">
        <f>FA57*(VLOOKUP($EY$9,各项系数!$D$4:$F$143,2,0))</f>
        <v>113.659864854904</v>
      </c>
      <c r="FC57" s="327"/>
      <c r="FD57" s="302">
        <f>各项系数!$F$76/4*($MN57^2-MK57^2)*10^-2*(VLOOKUP(L57,各项系数!$D$1:$F$143,3,0))*10^-3*10^2*$EG57*各项系数!$J$4</f>
        <v>0.133726802447938</v>
      </c>
      <c r="FE57" s="339">
        <f>FD57*VLOOKUP(L57,各项系数!$D$1:$F$143,2,0)</f>
        <v>1.36401338496897</v>
      </c>
      <c r="FF57" s="250">
        <f>各项系数!$F$76/4*($MO57^2-ML57^2)*10^-2*(VLOOKUP(L57,各项系数!$D$1:$F$143,3,0))*10^-3*10^2*$EO57*各项系数!$J$4</f>
        <v>0</v>
      </c>
      <c r="FG57" s="339">
        <f>FF57*VLOOKUP(L57,各项系数!$D$1:$F$143,2,0)</f>
        <v>0</v>
      </c>
      <c r="FH57" s="302">
        <f t="shared" si="142"/>
        <v>0.133726802447938</v>
      </c>
      <c r="FI57" s="123">
        <v>1</v>
      </c>
      <c r="FJ57" s="251">
        <f t="shared" si="269"/>
        <v>0.133726802447938</v>
      </c>
      <c r="FK57" s="339">
        <f>FJ57*VLOOKUP(L57,各项系数!$D$1:$F$143,2,0)</f>
        <v>1.36401338496897</v>
      </c>
      <c r="FL57" s="302"/>
      <c r="FM57" s="123"/>
      <c r="FN57" s="251"/>
      <c r="FO57" s="339"/>
      <c r="FP57" s="364">
        <f t="shared" si="270"/>
        <v>0.133726802447938</v>
      </c>
      <c r="FQ57" s="364">
        <f t="shared" si="271"/>
        <v>1.36401338496897</v>
      </c>
      <c r="FR57" s="365">
        <f>各项系数!$F$76/4*($MQ57^2-$MN57^2*$EG57-$MO57^2*$EO57)*10^-2</f>
        <v>2.17193309250235</v>
      </c>
      <c r="FS57" s="366">
        <f t="shared" si="143"/>
        <v>1</v>
      </c>
      <c r="FT57" s="367">
        <f t="shared" si="40"/>
        <v>2.17193309250235</v>
      </c>
      <c r="FU57" s="388">
        <f>$FT57*(VLOOKUP($FT$9,各项系数!$D$1:$F$143,3,0))*10^-3*10^2*各项系数!$J$55</f>
        <v>0.259328811244781</v>
      </c>
      <c r="FV57" s="389">
        <v>1</v>
      </c>
      <c r="FW57" s="390">
        <f t="shared" si="272"/>
        <v>0.259328811244781</v>
      </c>
      <c r="FX57" s="367">
        <f>FW57*(VLOOKUP($FT$9,各项系数!$D$1:$F$143,2,0))</f>
        <v>0.777986433734342</v>
      </c>
      <c r="FY57" s="388">
        <f>IF($BK57&lt;&gt;$FY$9,0,各项系数!$F$76/4*($MS57^2-$MQ57^2)*10^-2*(VLOOKUP($FY$9,各项系数!$D$1:$F$143,3,0))*10^-3*10^2)*各项系数!$J$4</f>
        <v>0</v>
      </c>
      <c r="FZ57" s="389">
        <v>1</v>
      </c>
      <c r="GA57" s="390">
        <f t="shared" si="273"/>
        <v>0</v>
      </c>
      <c r="GB57" s="367">
        <f>GA57*(VLOOKUP($FY$9,各项系数!$D$1:$F$143,2,0))</f>
        <v>0</v>
      </c>
      <c r="GC57" s="388">
        <f>IF($BK57&lt;&gt;$GC$9,0,各项系数!$F$76/4*($MS57^2-$MQ57^2)*10^-2*(VLOOKUP($GC$9,各项系数!$D$1:$F$143,3,0))*10^-3*10^2)*各项系数!$J$4</f>
        <v>0.00760341135065261</v>
      </c>
      <c r="GD57" s="389">
        <v>1</v>
      </c>
      <c r="GE57" s="390">
        <f t="shared" si="274"/>
        <v>0.00760341135065261</v>
      </c>
      <c r="GF57" s="367">
        <f>GE57*(VLOOKUP($GC$9,各项系数!$D$1:$F$143,2,0))</f>
        <v>0.0980840064234187</v>
      </c>
      <c r="GG57" s="388">
        <f>IF($BK57&lt;&gt;$GG$9,0,各项系数!$F$76/4*($MS57^2-$MQ57^2)*10^-2*(VLOOKUP($GG$9,各项系数!$D$1:$F$143,3,0))*10^-3*10^2)*各项系数!$J$4</f>
        <v>0</v>
      </c>
      <c r="GH57" s="389">
        <v>1</v>
      </c>
      <c r="GI57" s="390">
        <f t="shared" si="275"/>
        <v>0</v>
      </c>
      <c r="GJ57" s="367">
        <f>GI57*(VLOOKUP($GG$9,各项系数!$D$1:$F$143,2,0))</f>
        <v>0</v>
      </c>
      <c r="GK57" s="388">
        <f>IF($BK57&lt;&gt;$GK$9,0,各项系数!$F$76/4*($MS57^2-$MQ57^2)*10^-2*(VLOOKUP($GK$9,各项系数!$D$1:$F$143,3,0))*10^-3*10^2)*各项系数!$J$4</f>
        <v>0</v>
      </c>
      <c r="GL57" s="389">
        <v>1</v>
      </c>
      <c r="GM57" s="390">
        <f t="shared" si="276"/>
        <v>0</v>
      </c>
      <c r="GN57" s="367">
        <f>GM57*(VLOOKUP($GK$9,各项系数!$D$1:$F$143,2,0))</f>
        <v>0</v>
      </c>
      <c r="GO57" s="390">
        <f t="shared" si="277"/>
        <v>0.00760341135065261</v>
      </c>
      <c r="GP57" s="390">
        <f t="shared" si="278"/>
        <v>0.0980840064234187</v>
      </c>
      <c r="GQ57" s="406">
        <f>各项系数!$F$76/4*($MU57^2-$MS57^2)*10^-2*(VLOOKUP($S57,各项系数!$D$1:$F$143,3,0))*10^-3*10^2*各项系数!$J$4</f>
        <v>0.527232090666368</v>
      </c>
      <c r="GR57" s="389">
        <v>1</v>
      </c>
      <c r="GS57" s="390">
        <f t="shared" si="279"/>
        <v>0.527232090666368</v>
      </c>
      <c r="GT57" s="390">
        <f t="shared" si="200"/>
        <v>0</v>
      </c>
      <c r="GU57" s="390">
        <f>ROUND($GS57*(VLOOKUP($S57,各项系数!$D$1:$F$143,2,0))+$E$3*GS57,GT57)</f>
        <v>3</v>
      </c>
      <c r="GV57" s="406">
        <f>各项系数!$F$76/4*($MT57^2-$MS57^2)*10^-2*(VLOOKUP($GV$9,各项系数!$D$1:$F$143,3,0))*10^-3*10^2*各项系数!$J$4*PI()/4*R57</f>
        <v>0.0392344551030269</v>
      </c>
      <c r="GW57" s="389">
        <v>1</v>
      </c>
      <c r="GX57" s="390">
        <f t="shared" si="280"/>
        <v>0.0392344551030269</v>
      </c>
      <c r="GY57" s="390">
        <f>$GX57*(VLOOKUP($GV$9,各项系数!$D$1:$F$143,2,0))</f>
        <v>2.64832571945432</v>
      </c>
      <c r="GZ57" s="406">
        <f>各项系数!$F$76/4*($MV57^2-$MS57^2)*10^-2*(VLOOKUP($GZ$9,各项系数!$D$1:$F$143,3,0))*10^-3*10^2*各项系数!$J$4</f>
        <v>0.272025801385616</v>
      </c>
      <c r="HA57" s="389">
        <v>1</v>
      </c>
      <c r="HB57" s="390">
        <f t="shared" si="144"/>
        <v>0.272025801385616</v>
      </c>
      <c r="HC57" s="390">
        <f>HB57*(VLOOKUP($GZ$9,各项系数!$D$1:$F$143,2,0))</f>
        <v>4.62443862355548</v>
      </c>
      <c r="HD57" s="406">
        <f>各项系数!$F$76/4*($MW57^2-$MT57^2)*10^-2*(VLOOKUP($HD$9,各项系数!$D$1:$F$143,3,0))*10^-3*10^2*各项系数!$J$4</f>
        <v>0.273476211881925</v>
      </c>
      <c r="HE57" s="389">
        <v>1</v>
      </c>
      <c r="HF57" s="390">
        <f t="shared" si="145"/>
        <v>0.273476211881925</v>
      </c>
      <c r="HG57" s="390">
        <f>HF57*(VLOOKUP($HD$9,各项系数!$D$1:$F$143,2,0))</f>
        <v>4.64909560199273</v>
      </c>
      <c r="HH57" s="406">
        <f>各项系数!$F$76/4*($MV57^2-$MS57^2)*10^-2*(VLOOKUP($HH$9,各项系数!$D$1:$F$143,3,0))*10^-3*10^2*各项系数!$J$4</f>
        <v>0.272025801385616</v>
      </c>
      <c r="HI57" s="420">
        <v>1</v>
      </c>
      <c r="HJ57" s="390">
        <f t="shared" si="146"/>
        <v>0.272025801385616</v>
      </c>
      <c r="HK57" s="390">
        <f>HJ57*(VLOOKUP($HH$9,各项系数!$D$1:$F$143,2,0))</f>
        <v>4.62443862355548</v>
      </c>
      <c r="HL57" s="406">
        <f>各项系数!$F$76/4*($MW57^2-$MT57^2)*10^-2*(VLOOKUP($HL$9,各项系数!$D$1:$F$143,3,0))*10^-3*10^2*各项系数!$J$4</f>
        <v>0.273476211881925</v>
      </c>
      <c r="HM57" s="420">
        <v>1</v>
      </c>
      <c r="HN57" s="390">
        <f t="shared" si="147"/>
        <v>0.273476211881925</v>
      </c>
      <c r="HO57" s="390">
        <f>HN57*(VLOOKUP($HL$9,各项系数!$D$1:$F$143,2,0))</f>
        <v>4.64909560199273</v>
      </c>
      <c r="HP57" s="406">
        <f>各项系数!$F$76/4*($MV57^2-$MS57^2)*10^-2*(VLOOKUP(AN57,各项系数!$D$1:$F$143,3,0))*10^-3*10^2*各项系数!$J$4</f>
        <v>0.275777881404728</v>
      </c>
      <c r="HQ57" s="389">
        <v>1</v>
      </c>
      <c r="HR57" s="390">
        <f t="shared" si="281"/>
        <v>0.275777881404728</v>
      </c>
      <c r="HS57" s="390">
        <f>HR57*(VLOOKUP(AN57,各项系数!$D$1:$F$143,2,0))</f>
        <v>2.75777881404728</v>
      </c>
      <c r="HT57" s="406">
        <f>各项系数!$F$76/4*($MW57^2-$MT57^2)*10^-2*(VLOOKUP(AN57,各项系数!$D$1:$F$143,3,0))*10^-3*10^2*各项系数!$J$4</f>
        <v>0.277248297563055</v>
      </c>
      <c r="HU57" s="389">
        <v>1</v>
      </c>
      <c r="HV57" s="390">
        <f t="shared" si="282"/>
        <v>0.277248297563055</v>
      </c>
      <c r="HW57" s="390">
        <f>HV57*(VLOOKUP(AN57,各项系数!$D$1:$F$143,2,0))</f>
        <v>2.77248297563055</v>
      </c>
      <c r="HX57" s="406">
        <f>各项系数!$F$76/4*($MV57^2-$MS57^2)*10^-2*(VLOOKUP($HX$9,各项系数!$D$1:$F$143,3,0))*10^-3*10^2*各项系数!$J$4</f>
        <v>0.275777881404728</v>
      </c>
      <c r="HY57" s="420">
        <v>1</v>
      </c>
      <c r="HZ57" s="390">
        <f t="shared" si="283"/>
        <v>0.275777881404728</v>
      </c>
      <c r="IA57" s="390">
        <f>HZ57*(VLOOKUP($HX$9,各项系数!$D$1:$F$143,2,0))</f>
        <v>3.03355669545201</v>
      </c>
      <c r="IB57" s="406">
        <f>各项系数!$F$76/4*($MW57^2-$MT57^2)*10^-2*(VLOOKUP($IB$9,各项系数!$D$1:$F$143,3,0))*10^-3*10^2*各项系数!$J$4</f>
        <v>0.277248297563055</v>
      </c>
      <c r="IC57" s="420">
        <v>1</v>
      </c>
      <c r="ID57" s="390">
        <f t="shared" si="284"/>
        <v>0.277248297563055</v>
      </c>
      <c r="IE57" s="390">
        <f>ID57*(VLOOKUP($IB$9,各项系数!$D$1:$F$143,2,0))</f>
        <v>3.04973127319361</v>
      </c>
      <c r="IF57" s="429"/>
      <c r="IG57" s="406">
        <f t="shared" si="148"/>
        <v>0.0463571528828591</v>
      </c>
      <c r="IH57" s="389">
        <v>1</v>
      </c>
      <c r="II57" s="390">
        <f t="shared" si="285"/>
        <v>0.0463571528828591</v>
      </c>
      <c r="IJ57" s="390">
        <f>II57*(VLOOKUP($IG$8,各项系数!$D$1:$F$143,2,0))</f>
        <v>1.15892882207148</v>
      </c>
      <c r="IK57" s="406">
        <f>(各项系数!$F$76/4*($MX57^2-$MK57^2)*$EG57)*10^-2*(VLOOKUP($IG$8,各项系数!$D$1:$F$143,3,0))*10^-3*10^2*各项系数!$J$4</f>
        <v>0.0463571528828591</v>
      </c>
      <c r="IL57" s="389">
        <f>IK57*(VLOOKUP($IG$8,各项系数!$D$1:$F$143,2,0))</f>
        <v>1.15892882207148</v>
      </c>
      <c r="IM57" s="390">
        <f>(各项系数!$F$76/4*(($MM57+3*$X57)^2-MM57^2)*$EO57)*10^-2*(VLOOKUP($IG$8,各项系数!$D$1:$F$143,3,0))*10^-3*10^2*各项系数!$J$4</f>
        <v>0</v>
      </c>
      <c r="IN57" s="389">
        <f>IM57*(VLOOKUP($IG$8,各项系数!$D$1:$F$143,2,0))</f>
        <v>0</v>
      </c>
      <c r="IO57" s="406">
        <f>各项系数!$F$76/4*($MZ57^2-$MX57^2)*10^-2*(VLOOKUP(L57,各项系数!$D$1:$F$143,3,0))*10^-3*10^2*$ES57*各项系数!$J$4</f>
        <v>0.140534979303459</v>
      </c>
      <c r="IP57" s="389">
        <v>1</v>
      </c>
      <c r="IQ57" s="390">
        <f t="shared" si="286"/>
        <v>0.140534979303459</v>
      </c>
      <c r="IR57" s="367">
        <f>IQ57*(VLOOKUP(L57,各项系数!$D$1:$F$143,2,0))</f>
        <v>1.43345678889528</v>
      </c>
      <c r="IS57" s="406">
        <f>IF($L57&lt;&gt;$IS$9,0,各项系数!$F$76/4*($MZ57^2-$MX57^2)*10^-2*各项系数!$F$12*10^-3*10^2)*$ES57*各项系数!$J$4</f>
        <v>0</v>
      </c>
      <c r="IT57" s="389">
        <v>1</v>
      </c>
      <c r="IU57" s="390">
        <f t="shared" si="287"/>
        <v>0</v>
      </c>
      <c r="IV57" s="367">
        <f>IU57*各项系数!$E$12</f>
        <v>0</v>
      </c>
      <c r="IW57" s="388">
        <f t="shared" si="288"/>
        <v>0.140534979303459</v>
      </c>
      <c r="IX57" s="388">
        <f t="shared" si="289"/>
        <v>1.43345678889528</v>
      </c>
      <c r="IY57" s="447">
        <f>各项系数!$F$76/4*($NB57^2-$MZ57^2*$EG57-$NA57^2*$EO57)*10^-2</f>
        <v>2.37891399766204</v>
      </c>
      <c r="IZ57" s="366">
        <f t="shared" si="231"/>
        <v>1</v>
      </c>
      <c r="JA57" s="367">
        <f t="shared" si="64"/>
        <v>2.37891399766204</v>
      </c>
      <c r="JB57" s="364">
        <f>IF($DE57&lt;&gt;$JB$9,0,$JA57*各项系数!$F$32*10^-3*10^2)*各项系数!$J$4</f>
        <v>0</v>
      </c>
      <c r="JC57" s="123">
        <v>1</v>
      </c>
      <c r="JD57" s="251">
        <f t="shared" si="290"/>
        <v>0</v>
      </c>
      <c r="JE57" s="339">
        <f>JD57*各项系数!$E$32</f>
        <v>0</v>
      </c>
      <c r="JF57" s="364">
        <f>IF($DE57&lt;&gt;$JF$9,0,$JA57*VLOOKUP($JF$9,各项系数!$D$4:$F$540,2,0)*10^-3*10^2)*各项系数!$J$4</f>
        <v>1.18350971383687</v>
      </c>
      <c r="JG57" s="123">
        <v>1</v>
      </c>
      <c r="JH57" s="251">
        <f t="shared" si="66"/>
        <v>1.18350971383687</v>
      </c>
      <c r="JI57" s="339">
        <f>JH57*VLOOKUP($JF$9,各项系数!$D$4:$F$540,3,0)</f>
        <v>1.42021165660424</v>
      </c>
      <c r="JJ57" s="364">
        <f t="shared" si="291"/>
        <v>1.18350971383687</v>
      </c>
      <c r="JK57" s="251">
        <f t="shared" si="292"/>
        <v>1.42021165660424</v>
      </c>
      <c r="JL57" s="364">
        <f>IF($DF57&lt;&gt;$JL$9,0,各项系数!$F$76/4*($NE57^2-$NC57^2)*10^-2*各项系数!$F$39*10^-3*10^2)*各项系数!$J$4</f>
        <v>0.00329134781207352</v>
      </c>
      <c r="JM57" s="123">
        <v>1</v>
      </c>
      <c r="JN57" s="251">
        <f t="shared" si="293"/>
        <v>0.00329134781207352</v>
      </c>
      <c r="JO57" s="339">
        <f>JN57*各项系数!$E$39</f>
        <v>0.0658269562414704</v>
      </c>
      <c r="JP57" s="364">
        <f>IF($DF57&lt;&gt;$JP$9,0,各项系数!$F$76/4*($NE57^2-$NC57^2)*10^-2*各项系数!$F$36*10^-3*10^2)*各项系数!$J$4</f>
        <v>0</v>
      </c>
      <c r="JQ57" s="123">
        <v>1</v>
      </c>
      <c r="JR57" s="251">
        <f t="shared" si="294"/>
        <v>0</v>
      </c>
      <c r="JS57" s="339">
        <f>JR57*各项系数!$E$36</f>
        <v>0</v>
      </c>
      <c r="JT57" s="364">
        <f>IF($DF57&lt;&gt;$JT$9,0,各项系数!$F$76/4*($NE57^2-$NC57^2)*10^-2*各项系数!$F$40*10^-3*10^2)*各项系数!$J$4</f>
        <v>0</v>
      </c>
      <c r="JU57" s="123">
        <v>1</v>
      </c>
      <c r="JV57" s="251">
        <f t="shared" si="295"/>
        <v>0</v>
      </c>
      <c r="JW57" s="339">
        <f>JV57*各项系数!$E$40</f>
        <v>0</v>
      </c>
      <c r="JX57" s="364">
        <f>IF($DF57&lt;&gt;$JX$9,0,各项系数!$F$76/4*($NE57^2-$NC57^2)*10^-2*各项系数!$F$38*10^-3*10^2)*各项系数!$J$4</f>
        <v>0</v>
      </c>
      <c r="JY57" s="123">
        <v>1</v>
      </c>
      <c r="JZ57" s="251">
        <f t="shared" si="296"/>
        <v>0</v>
      </c>
      <c r="KA57" s="339">
        <f>JZ57*各项系数!$E$38</f>
        <v>0</v>
      </c>
      <c r="KB57" s="364">
        <f>IF($DF57&lt;&gt;$KB$9,0,各项系数!$F$76/4*($NE57^2-$NC57^2)*10^-2*各项系数!$F$41*10^-3*10^2)*各项系数!$J$4</f>
        <v>0</v>
      </c>
      <c r="KC57" s="123">
        <v>1</v>
      </c>
      <c r="KD57" s="251">
        <f t="shared" si="297"/>
        <v>0</v>
      </c>
      <c r="KE57" s="339">
        <f>KD57*各项系数!$E$41</f>
        <v>0</v>
      </c>
      <c r="KF57" s="251">
        <f t="shared" si="298"/>
        <v>0.00329134781207352</v>
      </c>
      <c r="KG57" s="251">
        <f t="shared" si="299"/>
        <v>0.0658269562414704</v>
      </c>
      <c r="KH57" s="302">
        <f>各项系数!$F$76/4*($NG57^2-$NE57^2)*10^-2*各项系数!$F$44*10^-3*10^2*各项系数!$J$4*0.75*$U57</f>
        <v>0.828248095965375</v>
      </c>
      <c r="KI57" s="123">
        <v>1</v>
      </c>
      <c r="KJ57" s="251">
        <f t="shared" si="300"/>
        <v>0.828248095965375</v>
      </c>
      <c r="KK57" s="251">
        <f>ROUND(KJ57*各项系数!$E$43,GT57)</f>
        <v>5</v>
      </c>
      <c r="KL57" s="302">
        <f>各项系数!$F$76/4*($NF57^2-$NE57^2)*10^-2*各项系数!$F$46*10^-3*10^2*各项系数!$J$4*PI()/4*R57</f>
        <v>0.0411341483466378</v>
      </c>
      <c r="KM57" s="123">
        <v>1</v>
      </c>
      <c r="KN57" s="251">
        <f t="shared" si="301"/>
        <v>0.0411341483466378</v>
      </c>
      <c r="KO57" s="251">
        <f>KN57*各项系数!$E$46</f>
        <v>2.77655501339805</v>
      </c>
      <c r="KP57" s="302">
        <f>各项系数!$F$76/4*($NH57^2-$NE57^2)*10^-2*(VLOOKUP($KP$9,各项系数!$D$1:$F$143,3,0))*10^-3*10^2*各项系数!$J$4</f>
        <v>0.284354290604246</v>
      </c>
      <c r="KQ57" s="123">
        <v>1</v>
      </c>
      <c r="KR57" s="251">
        <f t="shared" si="150"/>
        <v>0.284354290604246</v>
      </c>
      <c r="KS57" s="251">
        <f>KR57*(VLOOKUP($KP$9,各项系数!$D$1:$F$143,2,0))</f>
        <v>4.83402294027217</v>
      </c>
      <c r="KT57" s="302">
        <f>各项系数!$F$76/4*($NI57^2-$NF57^2)*10^-2*(VLOOKUP($KT$9,各项系数!$D$1:$F$143,3,0))*10^-3*10^2*各项系数!$J$4</f>
        <v>0.285804701100554</v>
      </c>
      <c r="KU57" s="123">
        <v>1</v>
      </c>
      <c r="KV57" s="251">
        <f t="shared" si="151"/>
        <v>0.285804701100554</v>
      </c>
      <c r="KW57" s="251">
        <f>KV57*(VLOOKUP($KT$9,各项系数!$D$1:$F$143,2,0))</f>
        <v>4.85867991870942</v>
      </c>
      <c r="KX57" s="251">
        <f>各项系数!$F$76/4*($NH57^2-$NE57^2)*10^-2*(VLOOKUP($KX$9,各项系数!$D$1:$F$143,3,0))*10^-3*10^2*各项系数!$J$4</f>
        <v>0.284354290604246</v>
      </c>
      <c r="KY57" s="479">
        <v>1</v>
      </c>
      <c r="KZ57" s="251">
        <f t="shared" si="152"/>
        <v>0.284354290604246</v>
      </c>
      <c r="LA57" s="251">
        <f>KZ57*(VLOOKUP($KX$9,各项系数!$D$1:$F$143,2,0))</f>
        <v>4.83402294027217</v>
      </c>
      <c r="LB57" s="251">
        <f>各项系数!$F$76/4*($NI57^2-$NF57^2)*10^-2*(VLOOKUP($LB$9,各项系数!$D$1:$F$143,3,0))*10^-3*10^2*各项系数!$J$4</f>
        <v>0.285804701100554</v>
      </c>
      <c r="LC57" s="479">
        <v>1</v>
      </c>
      <c r="LD57" s="251">
        <f t="shared" si="153"/>
        <v>0.285804701100554</v>
      </c>
      <c r="LE57" s="251">
        <f>LD57*(VLOOKUP($LB$9,各项系数!$D$1:$F$143,2,0))</f>
        <v>4.85867991870942</v>
      </c>
      <c r="LF57" s="302">
        <f>各项系数!$F$76/4*($NH57^2-$NE57^2)*10^-2*(VLOOKUP(AN57,各项系数!$D$1:$F$143,3,0))*10^-3*10^2*各项系数!$J$4</f>
        <v>0.288276418750511</v>
      </c>
      <c r="LG57" s="123">
        <v>1</v>
      </c>
      <c r="LH57" s="251">
        <f t="shared" si="302"/>
        <v>0.288276418750511</v>
      </c>
      <c r="LI57" s="251">
        <f>LH57*(VLOOKUP(AN57,各项系数!$D$1:$F$143,2,0))</f>
        <v>2.88276418750511</v>
      </c>
      <c r="LJ57" s="302">
        <f>各项系数!$F$76/4*($NI57^2-$NF57^2)*10^-2*(VLOOKUP(AN57,各项系数!$D$1:$F$143,3,0))*10^-3*10^2*各项系数!$J$4</f>
        <v>0.289746834908838</v>
      </c>
      <c r="LK57" s="123">
        <v>1</v>
      </c>
      <c r="LL57" s="251">
        <f t="shared" si="303"/>
        <v>0.289746834908838</v>
      </c>
      <c r="LM57" s="251">
        <f>LL57*(VLOOKUP(AN57,各项系数!$D$1:$F$143,2,0))</f>
        <v>2.89746834908838</v>
      </c>
      <c r="LN57" s="251">
        <f>各项系数!$F$76/4*($NH57^2-$NE57^2)*10^-2*(VLOOKUP($LN$9,各项系数!$D$1:$F$143,3,0))*10^-3*10^2*各项系数!$J$4</f>
        <v>0.288276418750511</v>
      </c>
      <c r="LO57" s="479">
        <v>1</v>
      </c>
      <c r="LP57" s="251">
        <f t="shared" si="304"/>
        <v>0.288276418750511</v>
      </c>
      <c r="LQ57" s="251">
        <f>LP57*(VLOOKUP($LN$9,各项系数!$D$1:$F$143,2,0))</f>
        <v>3.17104060625562</v>
      </c>
      <c r="LR57" s="251">
        <f>各项系数!$F$76/4*($NI57^2-$NF57^2)*10^-2*(VLOOKUP($LR$9,各项系数!$D$1:$F$143,3,0))*10^-3*10^2*各项系数!$J$4</f>
        <v>0.289746834908838</v>
      </c>
      <c r="LS57" s="479">
        <v>1</v>
      </c>
      <c r="LT57" s="251">
        <f t="shared" si="305"/>
        <v>0.289746834908838</v>
      </c>
      <c r="LU57" s="251">
        <f>LT57*(VLOOKUP($LR$9,各项系数!$D$1:$F$143,2,0))</f>
        <v>3.18721518399722</v>
      </c>
      <c r="LV57" s="499">
        <f t="shared" si="154"/>
        <v>269.0175993</v>
      </c>
      <c r="LW57" s="499">
        <f t="shared" si="155"/>
        <v>193.65626422</v>
      </c>
      <c r="LX57" s="499">
        <f t="shared" si="156"/>
        <v>15.7025734734974</v>
      </c>
      <c r="LY57" s="515">
        <f t="shared" si="157"/>
        <v>75.36133508</v>
      </c>
      <c r="LZ57" s="516">
        <f t="shared" si="86"/>
        <v>1</v>
      </c>
      <c r="MA57" s="517">
        <f t="shared" si="87"/>
        <v>269.0175993</v>
      </c>
      <c r="MB57" s="517">
        <f t="shared" si="158"/>
        <v>10.68525223</v>
      </c>
      <c r="MC57" s="499">
        <f t="shared" si="159"/>
        <v>0</v>
      </c>
      <c r="MD57" s="499">
        <f t="shared" si="160"/>
        <v>0</v>
      </c>
      <c r="ME57" s="499">
        <f t="shared" si="161"/>
        <v>0</v>
      </c>
      <c r="MF57" s="499">
        <f t="shared" si="162"/>
        <v>0</v>
      </c>
      <c r="MG57" s="516">
        <f t="shared" si="163"/>
        <v>1</v>
      </c>
      <c r="MH57" s="517">
        <f t="shared" si="88"/>
        <v>0</v>
      </c>
      <c r="MI57" s="517">
        <f t="shared" si="164"/>
        <v>0</v>
      </c>
      <c r="MJ57" s="251">
        <f t="shared" si="89"/>
        <v>10.68525223</v>
      </c>
      <c r="MK57" s="251">
        <f t="shared" si="165"/>
        <v>10.68525223</v>
      </c>
      <c r="ML57" s="251">
        <f t="shared" si="306"/>
        <v>0</v>
      </c>
      <c r="MM57" s="251">
        <f t="shared" si="91"/>
        <v>0</v>
      </c>
      <c r="MN57" s="251">
        <f t="shared" si="92"/>
        <v>12.88525223</v>
      </c>
      <c r="MO57" s="251">
        <f t="shared" si="166"/>
        <v>0</v>
      </c>
      <c r="MP57" s="251">
        <f t="shared" si="167"/>
        <v>27.83214482</v>
      </c>
      <c r="MQ57" s="251">
        <f t="shared" si="307"/>
        <v>27.83214482</v>
      </c>
      <c r="MR57" s="314">
        <f t="shared" si="168"/>
        <v>27.83214482</v>
      </c>
      <c r="MS57" s="530">
        <f t="shared" si="94"/>
        <v>28.00814482</v>
      </c>
      <c r="MT57" s="530">
        <f t="shared" si="95"/>
        <v>28.16814482</v>
      </c>
      <c r="MU57" s="530">
        <f t="shared" si="232"/>
        <v>29.50814482</v>
      </c>
      <c r="MV57" s="530">
        <f t="shared" si="97"/>
        <v>32.00814482</v>
      </c>
      <c r="MW57" s="530">
        <f t="shared" si="98"/>
        <v>32.16814482</v>
      </c>
      <c r="MX57" s="326">
        <f t="shared" si="233"/>
        <v>11.28525223</v>
      </c>
      <c r="MY57" s="326">
        <f t="shared" si="100"/>
        <v>0</v>
      </c>
      <c r="MZ57" s="251">
        <f t="shared" si="101"/>
        <v>13.48525223</v>
      </c>
      <c r="NA57" s="251">
        <f t="shared" si="102"/>
        <v>0</v>
      </c>
      <c r="NB57" s="251">
        <f t="shared" si="169"/>
        <v>29.12814482</v>
      </c>
      <c r="NC57" s="326">
        <f t="shared" si="308"/>
        <v>29.12814482</v>
      </c>
      <c r="ND57" s="314">
        <f t="shared" si="234"/>
        <v>29.12814482</v>
      </c>
      <c r="NE57" s="537">
        <f t="shared" si="235"/>
        <v>29.36814482</v>
      </c>
      <c r="NF57" s="530">
        <f t="shared" si="106"/>
        <v>29.52814482</v>
      </c>
      <c r="NG57" s="538">
        <f t="shared" si="236"/>
        <v>30.86814482</v>
      </c>
      <c r="NH57" s="326">
        <f t="shared" si="108"/>
        <v>33.36814482</v>
      </c>
      <c r="NI57" s="530">
        <f t="shared" si="109"/>
        <v>33.52814482</v>
      </c>
      <c r="NK57" s="539">
        <f t="shared" si="110"/>
        <v>2.41170201873671</v>
      </c>
      <c r="NL57" s="539">
        <f t="shared" si="111"/>
        <v>118.657727494078</v>
      </c>
      <c r="NM57" s="539">
        <f t="shared" si="112"/>
        <v>2.41170201873671</v>
      </c>
      <c r="NN57" s="539">
        <f t="shared" si="113"/>
        <v>118.933505375483</v>
      </c>
      <c r="NO57" s="539">
        <f t="shared" si="114"/>
        <v>3.39723472487438</v>
      </c>
      <c r="NP57" s="539">
        <f t="shared" si="115"/>
        <v>120.621053266222</v>
      </c>
      <c r="NQ57" s="539">
        <f t="shared" si="116"/>
        <v>3.39723472487438</v>
      </c>
      <c r="NR57" s="539">
        <f t="shared" si="117"/>
        <v>120.909329684972</v>
      </c>
      <c r="NS57" s="539">
        <f t="shared" si="118"/>
        <v>2.45093647383974</v>
      </c>
      <c r="NT57" s="539">
        <f t="shared" si="119"/>
        <v>2.45093647383974</v>
      </c>
      <c r="NU57" s="539">
        <f t="shared" si="120"/>
        <v>3.43836887322102</v>
      </c>
      <c r="NV57" s="539">
        <f t="shared" si="121"/>
        <v>3.43836887322102</v>
      </c>
      <c r="NW57">
        <f t="shared" si="122"/>
        <v>2.93893410940308</v>
      </c>
      <c r="NX57">
        <f>各项系数!$M$9*NK57</f>
        <v>0.723510605621014</v>
      </c>
      <c r="NY57">
        <f t="shared" si="123"/>
        <v>2.45093647383974</v>
      </c>
    </row>
    <row r="58" customHeight="1" spans="1:389">
      <c r="A58" s="91">
        <v>30</v>
      </c>
      <c r="B58" s="86">
        <v>1</v>
      </c>
      <c r="C58" s="83"/>
      <c r="D58" s="69" t="s">
        <v>213</v>
      </c>
      <c r="E58" s="77">
        <f t="shared" si="255"/>
        <v>35.59751016</v>
      </c>
      <c r="F58" s="84">
        <f>$F$26</f>
        <v>245.088056587712</v>
      </c>
      <c r="G58" s="74"/>
      <c r="H58" s="78"/>
      <c r="I58" s="78"/>
      <c r="J58" s="23"/>
      <c r="K58" s="78"/>
      <c r="L58" s="118" t="s">
        <v>467</v>
      </c>
      <c r="M58" s="124">
        <f t="shared" si="2"/>
        <v>1.1</v>
      </c>
      <c r="N58" s="124">
        <f t="shared" si="252"/>
        <v>0</v>
      </c>
      <c r="O58" s="69">
        <f t="shared" ref="O58:O67" si="312">$O$36</f>
        <v>0.08</v>
      </c>
      <c r="P58" s="120">
        <v>0.1</v>
      </c>
      <c r="Q58" s="162">
        <f t="shared" si="309"/>
        <v>0.1</v>
      </c>
      <c r="R58" s="86">
        <v>0.8</v>
      </c>
      <c r="S58" s="171" t="str">
        <f>各项系数!$D$43</f>
        <v>钢带</v>
      </c>
      <c r="T58" s="123">
        <v>0.5</v>
      </c>
      <c r="U58" s="123">
        <v>2</v>
      </c>
      <c r="V58" s="169"/>
      <c r="W58" s="170">
        <v>2.1</v>
      </c>
      <c r="X58" s="164">
        <f t="shared" si="310"/>
        <v>0.2</v>
      </c>
      <c r="Y58" s="219"/>
      <c r="Z58" s="220"/>
      <c r="AA58" s="217">
        <f>$AA$26</f>
        <v>1.013</v>
      </c>
      <c r="AB58" s="186">
        <f>PI()*EJ58*EJ58/4*EH58*(1-H58)*AA58*各项系数!$F$5*各项系数!$J$4*10^-7</f>
        <v>0.803196977708722</v>
      </c>
      <c r="AC58" s="186">
        <f t="shared" si="256"/>
        <v>245.088056587712</v>
      </c>
      <c r="AD58" s="186">
        <f t="shared" si="5"/>
        <v>90.8023783381159</v>
      </c>
      <c r="AE58" s="186">
        <f>POWER(4*EU58/PI()/EG58/10^-7/EH58/(1-H58)/各项系数!$F$5/各项系数!$J$4,0.5)</f>
        <v>246.675984853019</v>
      </c>
      <c r="AF58" s="218">
        <v>1</v>
      </c>
      <c r="AG58" s="85">
        <f>IF(EM58=0,0,PI()*ER58*ER58/4*EP58*(1-K58)*(1+AF58)*各项系数!$F$5*各项系数!$J$4*10^-7)</f>
        <v>0</v>
      </c>
      <c r="AH58" s="85">
        <f t="shared" si="257"/>
        <v>0</v>
      </c>
      <c r="AI58" s="85">
        <f t="shared" si="128"/>
        <v>0</v>
      </c>
      <c r="AJ58" s="85">
        <f>IF(OR(EP58="",EP58=0),0,POWER(4*EW58/PI()/EO58/10^-7/EP58/(1-K58)/各项系数!$F$5/各项系数!$J$4,0.5))</f>
        <v>0</v>
      </c>
      <c r="AK58" s="85" t="str">
        <f t="shared" si="8"/>
        <v>√</v>
      </c>
      <c r="AL58" s="85">
        <f t="shared" si="258"/>
        <v>168.852788152413</v>
      </c>
      <c r="AM58" s="250">
        <f t="shared" si="259"/>
        <v>95</v>
      </c>
      <c r="AN58" s="118" t="s">
        <v>486</v>
      </c>
      <c r="AO58" s="259">
        <f>AP58+各项系数!$M$9*$NK58</f>
        <v>165.541949169032</v>
      </c>
      <c r="AP58" s="259">
        <f>AQ58*(1+$BI58+(VLOOKUP($AM58,$A$12:$B$323,2,0))+各项系数!$J$6+各项系数!$M$5)*(1+$E$2)</f>
        <v>164.576182204866</v>
      </c>
      <c r="AQ58" s="260">
        <f>AR58+各项系数!$L$9*$NK58</f>
        <v>167.934879800883</v>
      </c>
      <c r="AR58" s="260">
        <f>AS58*(1+$BJ58+各项系数!$J$5+各项系数!$L$5)</f>
        <v>166.969112836717</v>
      </c>
      <c r="AS58" s="260">
        <f t="shared" si="129"/>
        <v>163.695208663448</v>
      </c>
      <c r="AT58" s="259">
        <f>AU58+各项系数!$M$9*$NM58</f>
        <v>167.728975963696</v>
      </c>
      <c r="AU58" s="259">
        <f>AV58*(1+$BI58+(VLOOKUP($AM58,$A$12:$B$323,2,0))+各项系数!$J$6+各项系数!$M$5)*(1+$E$2)</f>
        <v>166.763208999529</v>
      </c>
      <c r="AV58" s="260">
        <f>AW58+各项系数!$L$9*$NM58</f>
        <v>170.166539795438</v>
      </c>
      <c r="AW58" s="260">
        <f>AX58*(1+$BJ58+各项系数!$J$5+各项系数!$L$5)</f>
        <v>169.200772831272</v>
      </c>
      <c r="AX58" s="260">
        <f t="shared" si="130"/>
        <v>165.883110618894</v>
      </c>
      <c r="AY58" s="259">
        <f>AZ58+各项系数!$M$9*$NS58</f>
        <v>168.550208943614</v>
      </c>
      <c r="AZ58" s="259">
        <f>BA58*(1+$BI58+(VLOOKUP($AM58,$A$12:$B$214,2,0))+各项系数!$J$6+各项系数!$M$5)*(1+$E$2)</f>
        <v>167.571251329438</v>
      </c>
      <c r="BA58" s="260">
        <f>BB58+各项系数!$L$9*$NS58</f>
        <v>170.991072785141</v>
      </c>
      <c r="BB58" s="260">
        <f>BC58*(1+$BJ58+各项系数!$J$5+各项系数!$L$5)</f>
        <v>170.012115170965</v>
      </c>
      <c r="BC58" s="262">
        <f t="shared" si="131"/>
        <v>166.67854428526</v>
      </c>
      <c r="BD58" s="259">
        <f>BE58+各项系数!$M$9*$NS58</f>
        <v>170.747682015791</v>
      </c>
      <c r="BE58" s="259">
        <f>BF58*(1+$BI58+(VLOOKUP($AM58,$A$12:$B$214,2,0))+各项系数!$J$6+各项系数!$M$5)*(1+$E$2)</f>
        <v>169.768724401615</v>
      </c>
      <c r="BF58" s="260">
        <f>BG58+各项系数!$L$9*$NS58</f>
        <v>173.233392246546</v>
      </c>
      <c r="BG58" s="260">
        <f>BH58*(1+$BJ58+各项系数!$J$5+各项系数!$L$5)</f>
        <v>172.254434632371</v>
      </c>
      <c r="BH58" s="262">
        <f t="shared" si="132"/>
        <v>168.876896698402</v>
      </c>
      <c r="BI58" s="277"/>
      <c r="BJ58" s="272"/>
      <c r="BK58" s="69" t="s">
        <v>514</v>
      </c>
      <c r="BL58" s="259">
        <f>BM58+各项系数!$M$9*$NM58</f>
        <v>167.472438425364</v>
      </c>
      <c r="BM58" s="259">
        <f>BN58*(1+$CF58+(VLOOKUP($AM58,$A$12:$B$323,2,0))+各项系数!$J$6+各项系数!$M$5)*(1+$E$2)</f>
        <v>166.506671461197</v>
      </c>
      <c r="BN58" s="260">
        <f>BO58+各项系数!$L$9*$NM58</f>
        <v>169.90476679714</v>
      </c>
      <c r="BO58" s="260">
        <f>BP58*(1+$CG58+各项系数!$J$5+各项系数!$L$5)</f>
        <v>168.938999832974</v>
      </c>
      <c r="BP58" s="260">
        <f t="shared" si="133"/>
        <v>164.01844643978</v>
      </c>
      <c r="BQ58" s="259">
        <f>BR58+各项系数!$M$9*$NM58</f>
        <v>169.354630447761</v>
      </c>
      <c r="BR58" s="259">
        <f>BS58*(1+$CF58+(VLOOKUP($AM58,$A$12:$B$323,2,0))+各项系数!$J$6+各项系数!$M$5)*(1+$E$2)</f>
        <v>168.388863483594</v>
      </c>
      <c r="BS58" s="260">
        <f>BT58+各项系数!$L$9*$NM58</f>
        <v>171.825370901627</v>
      </c>
      <c r="BT58" s="260">
        <f>BU58*(1+$CG58+各项系数!$J$5+各项系数!$L$5)</f>
        <v>170.859603937461</v>
      </c>
      <c r="BU58" s="260">
        <f t="shared" si="134"/>
        <v>165.883110618894</v>
      </c>
      <c r="BV58" s="259">
        <f>BW58+各项系数!$M$9*$NT58</f>
        <v>169.560213012213</v>
      </c>
      <c r="BW58" s="259">
        <f>BX58*(1+$CF58+(VLOOKUP($AM58,$A$12:$B$214,2,0))+各项系数!$J$6+各项系数!$M$5)*(1+$E$2)</f>
        <v>168.581255398037</v>
      </c>
      <c r="BX58" s="260">
        <f>BY58+各项系数!$L$9*$NT$12</f>
        <v>172.02168918167</v>
      </c>
      <c r="BY58" s="260">
        <f>BZ58*(1+$CG58+各项系数!$J$5+各项系数!$L$5)</f>
        <v>172.013425778515</v>
      </c>
      <c r="BZ58" s="262">
        <f t="shared" si="11"/>
        <v>167.003325998558</v>
      </c>
      <c r="CA58" s="259">
        <f>CB58+各项系数!$M$9*$NT58</f>
        <v>171.451395276635</v>
      </c>
      <c r="CB58" s="259">
        <f>CC58*(1+$CF58+(VLOOKUP($AM58,$A$12:$B$214,2,0))+各项系数!$J$6+各项系数!$M$5)*(1+$E$2)</f>
        <v>170.472437662459</v>
      </c>
      <c r="CC58" s="260">
        <f>CD58+各项系数!$L$9*$NT$12</f>
        <v>173.95146700251</v>
      </c>
      <c r="CD58" s="260">
        <f>CE58*(1+$CG58+各项系数!$J$5+各项系数!$L$5)</f>
        <v>173.943203599355</v>
      </c>
      <c r="CE58" s="262">
        <f t="shared" si="135"/>
        <v>168.876896698402</v>
      </c>
      <c r="CF58" s="277">
        <f t="shared" si="136"/>
        <v>0</v>
      </c>
      <c r="CG58" s="277">
        <f t="shared" si="12"/>
        <v>0.01</v>
      </c>
      <c r="CH58" s="123"/>
      <c r="CI58" s="259">
        <f>CJ58+各项系数!$M$9*$NO58</f>
        <v>169.509073493348</v>
      </c>
      <c r="CJ58" s="259">
        <f>CK58*(1+$DC58+(VLOOKUP($AM58,$A$12:$B$323,2,0))+各项系数!$J$6+各项系数!$M$5)*(1+$E$2)+各项系数!$M$9*$NK58</f>
        <v>168.178301815296</v>
      </c>
      <c r="CK58" s="260">
        <f>CL58+各项系数!$L$9*$NO58</f>
        <v>170.625035562377</v>
      </c>
      <c r="CL58" s="260">
        <f>CM58*(1+$DD58+各项系数!$J$5+各项系数!$L$5)</f>
        <v>169.294263884325</v>
      </c>
      <c r="CM58" s="260">
        <f t="shared" si="13"/>
        <v>165.974768514044</v>
      </c>
      <c r="CN58" s="259">
        <f>CO58+各项系数!$M$9*$NO58</f>
        <v>171.564918139737</v>
      </c>
      <c r="CO58" s="259">
        <f>CP58*(1+$DC58+(VLOOKUP($AM58,$A$12:$B$323,2,0))+各项系数!$J$6+各项系数!$M$5)*(1+$E$2)+各项系数!$M$9*$NK58</f>
        <v>170.234146461685</v>
      </c>
      <c r="CP58" s="260">
        <f>CQ58+各项系数!$L$9*$NO58</f>
        <v>172.722836221958</v>
      </c>
      <c r="CQ58" s="260">
        <f>CR58*(1+$DD58+各项系数!$J$5+各项系数!$L$5)</f>
        <v>171.392064543907</v>
      </c>
      <c r="CR58" s="260">
        <f t="shared" si="14"/>
        <v>168.031435827359</v>
      </c>
      <c r="CS58" s="259">
        <f>CT58+各项系数!$M$9*$NU58</f>
        <v>171.680872723776</v>
      </c>
      <c r="CT58" s="259">
        <f t="shared" si="15"/>
        <v>170.336340487742</v>
      </c>
      <c r="CU58" s="260">
        <f>CV58+各项系数!$L$9*$NU58</f>
        <v>173.81259233443</v>
      </c>
      <c r="CV58" s="260">
        <f>CW58*(1+$DD58+各项系数!$J$5+各项系数!$L$5)</f>
        <v>172.468060098396</v>
      </c>
      <c r="CW58" s="262">
        <f t="shared" si="16"/>
        <v>169.0863334298</v>
      </c>
      <c r="CX58" s="259">
        <f>CY58+各项系数!$M$9*$NU58</f>
        <v>173.967139154819</v>
      </c>
      <c r="CY58" s="259">
        <f t="shared" si="17"/>
        <v>172.622606918785</v>
      </c>
      <c r="CZ58" s="260">
        <f>DA58+各项系数!$L$9*$NU58</f>
        <v>176.145517264066</v>
      </c>
      <c r="DA58" s="260">
        <f>DB58*(1+$DD58+各项系数!$J$5+各项系数!$L$5)</f>
        <v>174.800985028032</v>
      </c>
      <c r="DB58" s="262">
        <f t="shared" si="18"/>
        <v>171.373514733364</v>
      </c>
      <c r="DC58" s="277">
        <f t="shared" si="137"/>
        <v>0</v>
      </c>
      <c r="DD58" s="277">
        <f t="shared" si="19"/>
        <v>0</v>
      </c>
      <c r="DE58" s="69" t="s">
        <v>498</v>
      </c>
      <c r="DF58" s="69" t="s">
        <v>513</v>
      </c>
      <c r="DG58" s="259">
        <f>DH58+各项系数!$M$9*$NQ58</f>
        <v>171.475149260992</v>
      </c>
      <c r="DH58" s="259">
        <f>DI58*(1+$EA58+(VLOOKUP($AM58,$A$12:$B$323,2,0))+各项系数!$J$6+各项系数!$M$5)*(1+$E$2)+各项系数!$M$9*$NK58</f>
        <v>170.14437758294</v>
      </c>
      <c r="DI58" s="260">
        <f>DJ58+各项系数!$L$9*$NQ58</f>
        <v>172.631235325279</v>
      </c>
      <c r="DJ58" s="260">
        <f>DK58*(1+$EB58+各项系数!$J$5+各项系数!$L$5)</f>
        <v>171.300463647227</v>
      </c>
      <c r="DK58" s="260">
        <f t="shared" si="20"/>
        <v>166.31112975459</v>
      </c>
      <c r="DL58" s="259">
        <f>DM58+各项系数!$M$9*$NQ58</f>
        <v>173.433758340604</v>
      </c>
      <c r="DM58" s="259">
        <f>DN58*(1+$EA58+(VLOOKUP($AM58,$A$12:$B$323,2,0))+各项系数!$J$6+各项系数!$M$5)*(1+$E$2)+各项系数!$M$9*$NK58</f>
        <v>172.102986662552</v>
      </c>
      <c r="DN58" s="260">
        <f>DO58+各项系数!$L$9*$NQ58</f>
        <v>174.629816018761</v>
      </c>
      <c r="DO58" s="260">
        <f>DP58*(1+$EB58+各项系数!$J$5+各项系数!$L$5)</f>
        <v>173.299044340709</v>
      </c>
      <c r="DP58" s="260">
        <f t="shared" si="21"/>
        <v>168.251499359912</v>
      </c>
      <c r="DQ58" s="259">
        <f>DR58+各项系数!$M$9*$NV58</f>
        <v>173.679000277568</v>
      </c>
      <c r="DR58" s="259">
        <f t="shared" si="22"/>
        <v>172.334468041534</v>
      </c>
      <c r="DS58" s="260">
        <f>DT58+各项系数!$L$9*$NV58</f>
        <v>175.851498001565</v>
      </c>
      <c r="DT58" s="260">
        <f>DU58*(1+$EB58+各项系数!$J$5+各项系数!$L$5)</f>
        <v>174.506965765531</v>
      </c>
      <c r="DU58" s="262">
        <f t="shared" si="23"/>
        <v>169.424238607312</v>
      </c>
      <c r="DV58" s="259">
        <f>DW58+各项系数!$M$9*$NV58</f>
        <v>174.01634923044</v>
      </c>
      <c r="DW58" s="259">
        <f t="shared" si="24"/>
        <v>172.671816994406</v>
      </c>
      <c r="DX58" s="260">
        <f>DY58+各项系数!$L$9*$NV58</f>
        <v>176.195731626945</v>
      </c>
      <c r="DY58" s="260">
        <f>DZ58*(1+$EB58+各项系数!$J$5+各项系数!$L$5)</f>
        <v>174.85119939091</v>
      </c>
      <c r="DZ58" s="262">
        <f t="shared" si="25"/>
        <v>169.758446010593</v>
      </c>
      <c r="EA58" s="277">
        <f t="shared" si="311"/>
        <v>0</v>
      </c>
      <c r="EB58" s="277">
        <f t="shared" si="27"/>
        <v>0.01</v>
      </c>
      <c r="EC58" s="302">
        <f t="shared" si="138"/>
        <v>3</v>
      </c>
      <c r="ED58" s="302" t="str">
        <f t="shared" si="266"/>
        <v>3*95</v>
      </c>
      <c r="EE58" s="251">
        <f t="shared" si="239"/>
        <v>95</v>
      </c>
      <c r="EF58" s="251" t="str">
        <f>LOOKUP(EH58,{1,7,10,14,19,24,30,37,48,61},{1,"1+6","2+8","4+10","1+6+12","2+8+14","4+10+16","1+6+12+18","3+9+15+21","1+6+12+18+24"})</f>
        <v>1+6+12</v>
      </c>
      <c r="EG58" s="250">
        <f t="shared" si="29"/>
        <v>3</v>
      </c>
      <c r="EH58" s="260">
        <f>VLOOKUP(EE58,各项系数!$B$87:$C$124,2,0)</f>
        <v>19</v>
      </c>
      <c r="EI58" s="250">
        <f>IF(EH58=0,0,VLOOKUP(EH58,各项系数!$D$142:$E$195,2,0))*1</f>
        <v>5</v>
      </c>
      <c r="EJ58" s="305">
        <f t="shared" si="141"/>
        <v>245.088056587712</v>
      </c>
      <c r="EK58" s="251">
        <f t="shared" si="261"/>
        <v>0</v>
      </c>
      <c r="EL58" s="251">
        <f t="shared" si="31"/>
        <v>0</v>
      </c>
      <c r="EM58" s="251">
        <f t="shared" si="267"/>
        <v>0</v>
      </c>
      <c r="EN58" s="251">
        <f>IF(EP58=0,0,LOOKUP(EP58,{1,7,10,14,19,24,30,37,48,61},{1,"1+6","2+8","4+10","1+6+12","2+8+14","4+10+16","1+6+12+18","3+9+15+21","1+6+12+18+24"}))</f>
        <v>0</v>
      </c>
      <c r="EO58" s="251">
        <f t="shared" si="263"/>
        <v>0</v>
      </c>
      <c r="EP58" s="251">
        <f>IF(EM58=0,0,IF(EM58&lt;10,1,IF(AND(EM58&gt;=10,EM58&lt;=35),7,LOOKUP(EM58,{50,70,95,120,150,185,240,300},{10,14,19,24,30,37,48,61})*1)))</f>
        <v>0</v>
      </c>
      <c r="EQ58" s="251">
        <f>IF(EP58=0,0,VLOOKUP(EP58,各项系数!$D$142:$E$195,2,0))*1</f>
        <v>0</v>
      </c>
      <c r="ER58" s="251">
        <f t="shared" si="264"/>
        <v>0</v>
      </c>
      <c r="ES58" s="302">
        <f t="shared" si="250"/>
        <v>3</v>
      </c>
      <c r="ET58" s="251">
        <f>VLOOKUP(ES58,各项系数!$D$142:$E$195,2,0)*1</f>
        <v>2.16</v>
      </c>
      <c r="EU58" s="311">
        <f>((各项系数!$F$76/4*$EJ58^2*$EG58*$EH58*1*10^-7)*(1-$H58)*AA58)*(VLOOKUP($EY$9,各项系数!$D$4:$F$143,3,0))*各项系数!$J$4</f>
        <v>2.40959093312616</v>
      </c>
      <c r="EV58" s="312">
        <f>EU58*(VLOOKUP($EY$9,各项系数!$D$4:$F$143,2,0))</f>
        <v>157.828206119764</v>
      </c>
      <c r="EW58" s="324">
        <f>(IF($EO58=0,0,(各项系数!$F$76/4*$ER58^2*$EO58*$EP58*1*10^-7))*(1-$K58)*$AF58)*(VLOOKUP($EY$9,各项系数!$D$4:$F$143,3,0))*各项系数!$J$4</f>
        <v>0</v>
      </c>
      <c r="EX58" s="325">
        <f>EW58*(VLOOKUP($EY$9,各项系数!$D$4:$F$143,2,0))</f>
        <v>0</v>
      </c>
      <c r="EY58" s="251">
        <f>((各项系数!$F$76/4*$EJ58^2*$EG58*$EH58*1*10^-7)*(1-$H58)*AA58+IF($EO58=0,0,(各项系数!$F$76/4*$ER58^2*$EO58*$EP58*1*10^-7))*(1-$K58)*$AF58)*(VLOOKUP($EY$9,各项系数!$D$4:$F$143,3,0))*各项系数!$J$4</f>
        <v>2.40959093312616</v>
      </c>
      <c r="EZ58" s="123">
        <v>1</v>
      </c>
      <c r="FA58" s="251">
        <f t="shared" si="268"/>
        <v>2.40959093312616</v>
      </c>
      <c r="FB58" s="326">
        <f>FA58*(VLOOKUP($EY$9,各项系数!$D$4:$F$143,2,0))</f>
        <v>157.828206119764</v>
      </c>
      <c r="FC58" s="327"/>
      <c r="FD58" s="302">
        <f>各项系数!$F$76/4*($MN58^2-MK58^2)*10^-2*(VLOOKUP(L58,各项系数!$D$1:$F$143,3,0))*10^-3*10^2*$EG58*各项系数!$J$4</f>
        <v>0.151531894004455</v>
      </c>
      <c r="FE58" s="339">
        <f>FD58*VLOOKUP(L58,各项系数!$D$1:$F$143,2,0)</f>
        <v>1.54562531884544</v>
      </c>
      <c r="FF58" s="250">
        <f>各项系数!$F$76/4*($MO58^2-ML58^2)*10^-2*(VLOOKUP(L58,各项系数!$D$1:$F$143,3,0))*10^-3*10^2*$EO58*各项系数!$J$4</f>
        <v>0</v>
      </c>
      <c r="FG58" s="339">
        <f>FF58*VLOOKUP(L58,各项系数!$D$1:$F$143,2,0)</f>
        <v>0</v>
      </c>
      <c r="FH58" s="302">
        <f t="shared" si="142"/>
        <v>0.151531894004455</v>
      </c>
      <c r="FI58" s="123">
        <v>1</v>
      </c>
      <c r="FJ58" s="251">
        <f t="shared" si="269"/>
        <v>0.151531894004455</v>
      </c>
      <c r="FK58" s="339">
        <f>FJ58*VLOOKUP(L58,各项系数!$D$1:$F$143,2,0)</f>
        <v>1.54562531884544</v>
      </c>
      <c r="FL58" s="302"/>
      <c r="FM58" s="123"/>
      <c r="FN58" s="251"/>
      <c r="FO58" s="339"/>
      <c r="FP58" s="364">
        <f t="shared" si="270"/>
        <v>0.151531894004455</v>
      </c>
      <c r="FQ58" s="364">
        <f t="shared" si="271"/>
        <v>1.54562531884544</v>
      </c>
      <c r="FR58" s="365">
        <f>各项系数!$F$76/4*($MQ58^2-$MN58^2*$EG58-$MO58^2*$EO58)*10^-2</f>
        <v>2.73313386204245</v>
      </c>
      <c r="FS58" s="366">
        <f t="shared" si="143"/>
        <v>1</v>
      </c>
      <c r="FT58" s="367">
        <f t="shared" si="40"/>
        <v>2.73313386204245</v>
      </c>
      <c r="FU58" s="388">
        <f>$FT58*(VLOOKUP($FT$9,各项系数!$D$1:$F$143,3,0))*10^-3*10^2*各项系数!$J$55</f>
        <v>0.326336183127869</v>
      </c>
      <c r="FV58" s="389">
        <v>1</v>
      </c>
      <c r="FW58" s="390">
        <f t="shared" si="272"/>
        <v>0.326336183127869</v>
      </c>
      <c r="FX58" s="367">
        <f>FW58*(VLOOKUP($FT$9,各项系数!$D$1:$F$143,2,0))</f>
        <v>0.979008549383606</v>
      </c>
      <c r="FY58" s="388">
        <f>IF($BK58&lt;&gt;$FY$9,0,各项系数!$F$76/4*($MS58^2-$MQ58^2)*10^-2*(VLOOKUP($FY$9,各项系数!$D$1:$F$143,3,0))*10^-3*10^2)*各项系数!$J$4</f>
        <v>0</v>
      </c>
      <c r="FZ58" s="389">
        <v>1</v>
      </c>
      <c r="GA58" s="390">
        <f t="shared" si="273"/>
        <v>0</v>
      </c>
      <c r="GB58" s="367">
        <f>GA58*(VLOOKUP($FY$9,各项系数!$D$1:$F$143,2,0))</f>
        <v>0</v>
      </c>
      <c r="GC58" s="388">
        <f>IF($BK58&lt;&gt;$GC$9,0,各项系数!$F$76/4*($MS58^2-$MQ58^2)*10^-2*(VLOOKUP($GC$9,各项系数!$D$1:$F$143,3,0))*10^-3*10^2)*各项系数!$J$4</f>
        <v>0.00852642729716029</v>
      </c>
      <c r="GD58" s="389">
        <v>1</v>
      </c>
      <c r="GE58" s="390">
        <f t="shared" si="274"/>
        <v>0.00852642729716029</v>
      </c>
      <c r="GF58" s="367">
        <f>GE58*(VLOOKUP($GC$9,各项系数!$D$1:$F$143,2,0))</f>
        <v>0.109990912133368</v>
      </c>
      <c r="GG58" s="388">
        <f>IF($BK58&lt;&gt;$GG$9,0,各项系数!$F$76/4*($MS58^2-$MQ58^2)*10^-2*(VLOOKUP($GG$9,各项系数!$D$1:$F$143,3,0))*10^-3*10^2)*各项系数!$J$4</f>
        <v>0</v>
      </c>
      <c r="GH58" s="389">
        <v>1</v>
      </c>
      <c r="GI58" s="390">
        <f t="shared" si="275"/>
        <v>0</v>
      </c>
      <c r="GJ58" s="367">
        <f>GI58*(VLOOKUP($GG$9,各项系数!$D$1:$F$143,2,0))</f>
        <v>0</v>
      </c>
      <c r="GK58" s="388">
        <f>IF($BK58&lt;&gt;$GK$9,0,各项系数!$F$76/4*($MS58^2-$MQ58^2)*10^-2*(VLOOKUP($GK$9,各项系数!$D$1:$F$143,3,0))*10^-3*10^2)*各项系数!$J$4</f>
        <v>0</v>
      </c>
      <c r="GL58" s="389">
        <v>1</v>
      </c>
      <c r="GM58" s="390">
        <f t="shared" si="276"/>
        <v>0</v>
      </c>
      <c r="GN58" s="367">
        <f>GM58*(VLOOKUP($GK$9,各项系数!$D$1:$F$143,2,0))</f>
        <v>0</v>
      </c>
      <c r="GO58" s="390">
        <f t="shared" si="277"/>
        <v>0.00852642729716029</v>
      </c>
      <c r="GP58" s="390">
        <f t="shared" si="278"/>
        <v>0.109990912133368</v>
      </c>
      <c r="GQ58" s="406">
        <f>各项系数!$F$76/4*($MU58^2-$MS58^2)*10^-2*(VLOOKUP($S58,各项系数!$D$1:$F$143,3,0))*10^-3*10^2*各项系数!$J$4</f>
        <v>0.589370388718108</v>
      </c>
      <c r="GR58" s="389">
        <v>1</v>
      </c>
      <c r="GS58" s="390">
        <f t="shared" si="279"/>
        <v>0.589370388718108</v>
      </c>
      <c r="GT58" s="390">
        <f t="shared" si="200"/>
        <v>0</v>
      </c>
      <c r="GU58" s="390">
        <f>ROUND($GS58*(VLOOKUP($S58,各项系数!$D$1:$F$143,2,0))+$E$3*GS58,GT58)</f>
        <v>3</v>
      </c>
      <c r="GV58" s="406">
        <f>各项系数!$F$76/4*($MT58^2-$MS58^2)*10^-2*(VLOOKUP($GV$9,各项系数!$D$1:$F$143,3,0))*10^-3*10^2*各项系数!$J$4*PI()/4*R58</f>
        <v>0.0439688333651789</v>
      </c>
      <c r="GW58" s="389">
        <v>1</v>
      </c>
      <c r="GX58" s="390">
        <f t="shared" si="280"/>
        <v>0.0439688333651789</v>
      </c>
      <c r="GY58" s="390">
        <f>$GX58*(VLOOKUP($GV$9,各项系数!$D$1:$F$143,2,0))</f>
        <v>2.96789625214957</v>
      </c>
      <c r="GZ58" s="406">
        <f>各项系数!$F$76/4*($MV58^2-$MS58^2)*10^-2*(VLOOKUP($GZ$9,各项系数!$D$1:$F$143,3,0))*10^-3*10^2*各项系数!$J$4</f>
        <v>0.31883998345692</v>
      </c>
      <c r="HA58" s="389">
        <v>1</v>
      </c>
      <c r="HB58" s="390">
        <f t="shared" si="144"/>
        <v>0.31883998345692</v>
      </c>
      <c r="HC58" s="390">
        <f>HB58*(VLOOKUP($GZ$9,各项系数!$D$1:$F$143,2,0))</f>
        <v>5.42027971876764</v>
      </c>
      <c r="HD58" s="406">
        <f>各项系数!$F$76/4*($MW58^2-$MT58^2)*10^-2*(VLOOKUP($HD$9,各项系数!$D$1:$F$143,3,0))*10^-3*10^2*各项系数!$J$4</f>
        <v>0.320362914478045</v>
      </c>
      <c r="HE58" s="389">
        <v>1</v>
      </c>
      <c r="HF58" s="390">
        <f t="shared" si="145"/>
        <v>0.320362914478045</v>
      </c>
      <c r="HG58" s="390">
        <f>HF58*(VLOOKUP($HD$9,各项系数!$D$1:$F$143,2,0))</f>
        <v>5.44616954612676</v>
      </c>
      <c r="HH58" s="406">
        <f>各项系数!$F$76/4*($MV58^2-$MS58^2)*10^-2*(VLOOKUP($HH$9,各项系数!$D$1:$F$143,3,0))*10^-3*10^2*各项系数!$J$4</f>
        <v>0.31883998345692</v>
      </c>
      <c r="HI58" s="420">
        <v>1</v>
      </c>
      <c r="HJ58" s="390">
        <f t="shared" si="146"/>
        <v>0.31883998345692</v>
      </c>
      <c r="HK58" s="390">
        <f>HJ58*(VLOOKUP($HH$9,各项系数!$D$1:$F$143,2,0))</f>
        <v>5.42027971876764</v>
      </c>
      <c r="HL58" s="406">
        <f>各项系数!$F$76/4*($MW58^2-$MT58^2)*10^-2*(VLOOKUP($HL$9,各项系数!$D$1:$F$143,3,0))*10^-3*10^2*各项系数!$J$4</f>
        <v>0.320362914478045</v>
      </c>
      <c r="HM58" s="420">
        <v>1</v>
      </c>
      <c r="HN58" s="390">
        <f t="shared" si="147"/>
        <v>0.320362914478045</v>
      </c>
      <c r="HO58" s="390">
        <f>HN58*(VLOOKUP($HL$9,各项系数!$D$1:$F$143,2,0))</f>
        <v>5.44616954612676</v>
      </c>
      <c r="HP58" s="406">
        <f>各项系数!$F$76/4*($MV58^2-$MS58^2)*10^-2*(VLOOKUP(AN58,各项系数!$D$1:$F$143,3,0))*10^-3*10^2*各项系数!$J$4</f>
        <v>0.323237776332188</v>
      </c>
      <c r="HQ58" s="389">
        <v>1</v>
      </c>
      <c r="HR58" s="390">
        <f t="shared" si="281"/>
        <v>0.323237776332188</v>
      </c>
      <c r="HS58" s="390">
        <f>HR58*(VLOOKUP(AN58,各项系数!$D$1:$F$143,2,0))</f>
        <v>3.23237776332188</v>
      </c>
      <c r="HT58" s="406">
        <f>各项系数!$F$76/4*($MW58^2-$MT58^2)*10^-2*(VLOOKUP(AN58,各项系数!$D$1:$F$143,3,0))*10^-3*10^2*各项系数!$J$4</f>
        <v>0.324781713298432</v>
      </c>
      <c r="HU58" s="389">
        <v>1</v>
      </c>
      <c r="HV58" s="390">
        <f t="shared" si="282"/>
        <v>0.324781713298432</v>
      </c>
      <c r="HW58" s="390">
        <f>HV58*(VLOOKUP(AN58,各项系数!$D$1:$F$143,2,0))</f>
        <v>3.24781713298432</v>
      </c>
      <c r="HX58" s="406">
        <f>各项系数!$F$76/4*($MV58^2-$MS58^2)*10^-2*(VLOOKUP($HX$9,各项系数!$D$1:$F$143,3,0))*10^-3*10^2*各项系数!$J$4</f>
        <v>0.323237776332188</v>
      </c>
      <c r="HY58" s="420">
        <v>1</v>
      </c>
      <c r="HZ58" s="390">
        <f t="shared" si="283"/>
        <v>0.323237776332188</v>
      </c>
      <c r="IA58" s="390">
        <f>HZ58*(VLOOKUP($HX$9,各项系数!$D$1:$F$143,2,0))</f>
        <v>3.55561553965406</v>
      </c>
      <c r="IB58" s="406">
        <f>各项系数!$F$76/4*($MW58^2-$MT58^2)*10^-2*(VLOOKUP($IB$9,各项系数!$D$1:$F$143,3,0))*10^-3*10^2*各项系数!$J$4</f>
        <v>0.324781713298432</v>
      </c>
      <c r="IC58" s="420">
        <v>1</v>
      </c>
      <c r="ID58" s="390">
        <f t="shared" si="284"/>
        <v>0.324781713298432</v>
      </c>
      <c r="IE58" s="390">
        <f>ID58*(VLOOKUP($IB$9,各项系数!$D$1:$F$143,2,0))</f>
        <v>3.57259884628275</v>
      </c>
      <c r="IF58" s="429"/>
      <c r="IG58" s="406">
        <f t="shared" si="148"/>
        <v>0.0529788811476796</v>
      </c>
      <c r="IH58" s="389">
        <v>1</v>
      </c>
      <c r="II58" s="390">
        <f t="shared" si="285"/>
        <v>0.0529788811476796</v>
      </c>
      <c r="IJ58" s="390">
        <f>II58*(VLOOKUP($IG$8,各项系数!$D$1:$F$143,2,0))</f>
        <v>1.32447202869199</v>
      </c>
      <c r="IK58" s="406">
        <f>(各项系数!$F$76/4*($MX58^2-$MK58^2)*$EG58)*10^-2*(VLOOKUP($IG$8,各项系数!$D$1:$F$143,3,0))*10^-3*10^2*各项系数!$J$4</f>
        <v>0.0529788811476796</v>
      </c>
      <c r="IL58" s="389">
        <f>IK58*(VLOOKUP($IG$8,各项系数!$D$1:$F$143,2,0))</f>
        <v>1.32447202869199</v>
      </c>
      <c r="IM58" s="390">
        <f>(各项系数!$F$76/4*(($MM58+3*$X58)^2-MM58^2)*$EO58)*10^-2*(VLOOKUP($IG$8,各项系数!$D$1:$F$143,3,0))*10^-3*10^2*各项系数!$J$4</f>
        <v>0</v>
      </c>
      <c r="IN58" s="389">
        <f>IM58*(VLOOKUP($IG$8,各项系数!$D$1:$F$143,2,0))</f>
        <v>0</v>
      </c>
      <c r="IO58" s="406">
        <f>各项系数!$F$76/4*($MZ58^2-$MX58^2)*10^-2*(VLOOKUP(L58,各项系数!$D$1:$F$143,3,0))*10^-3*10^2*$ES58*各项系数!$J$4</f>
        <v>0.158340070859976</v>
      </c>
      <c r="IP58" s="389">
        <v>1</v>
      </c>
      <c r="IQ58" s="390">
        <f t="shared" si="286"/>
        <v>0.158340070859976</v>
      </c>
      <c r="IR58" s="367">
        <f>IQ58*(VLOOKUP(L58,各项系数!$D$1:$F$143,2,0))</f>
        <v>1.61506872277176</v>
      </c>
      <c r="IS58" s="406">
        <f>IF($L58&lt;&gt;$IS$9,0,各项系数!$F$76/4*($MZ58^2-$MX58^2)*10^-2*各项系数!$F$12*10^-3*10^2)*$ES58*各项系数!$J$4</f>
        <v>0</v>
      </c>
      <c r="IT58" s="389">
        <v>1</v>
      </c>
      <c r="IU58" s="390">
        <f t="shared" si="287"/>
        <v>0</v>
      </c>
      <c r="IV58" s="367">
        <f>IU58*各项系数!$E$12</f>
        <v>0</v>
      </c>
      <c r="IW58" s="388">
        <f t="shared" si="288"/>
        <v>0.158340070859976</v>
      </c>
      <c r="IX58" s="388">
        <f t="shared" si="289"/>
        <v>1.61506872277176</v>
      </c>
      <c r="IY58" s="447">
        <f>各项系数!$F$76/4*($NB58^2-$MZ58^2*$EG58-$NA58^2*$EO58)*10^-2</f>
        <v>2.96474715269668</v>
      </c>
      <c r="IZ58" s="366">
        <f t="shared" si="231"/>
        <v>1</v>
      </c>
      <c r="JA58" s="367">
        <f t="shared" si="64"/>
        <v>2.96474715269668</v>
      </c>
      <c r="JB58" s="364">
        <f>IF($DE58&lt;&gt;$JB$9,0,$JA58*各项系数!$F$32*10^-3*10^2)*各项系数!$J$4</f>
        <v>0</v>
      </c>
      <c r="JC58" s="123">
        <v>1</v>
      </c>
      <c r="JD58" s="251">
        <f t="shared" si="290"/>
        <v>0</v>
      </c>
      <c r="JE58" s="339">
        <f>JD58*各项系数!$E$32</f>
        <v>0</v>
      </c>
      <c r="JF58" s="364">
        <f>IF($DE58&lt;&gt;$JF$9,0,$JA58*VLOOKUP($JF$9,各项系数!$D$4:$F$540,2,0)*10^-3*10^2)*各项系数!$J$4</f>
        <v>1.4749617084666</v>
      </c>
      <c r="JG58" s="123">
        <v>1</v>
      </c>
      <c r="JH58" s="251">
        <f t="shared" si="66"/>
        <v>1.4749617084666</v>
      </c>
      <c r="JI58" s="339">
        <f>JH58*VLOOKUP($JF$9,各项系数!$D$4:$F$540,3,0)</f>
        <v>1.76995405015992</v>
      </c>
      <c r="JJ58" s="364">
        <f t="shared" si="291"/>
        <v>1.4749617084666</v>
      </c>
      <c r="JK58" s="251">
        <f t="shared" si="292"/>
        <v>1.76995405015992</v>
      </c>
      <c r="JL58" s="364">
        <f>IF($DF58&lt;&gt;$JL$9,0,各项系数!$F$76/4*($NE58^2-$NC58^2)*10^-2*各项系数!$F$39*10^-3*10^2)*各项系数!$J$4</f>
        <v>0.00367275936021726</v>
      </c>
      <c r="JM58" s="123">
        <v>1</v>
      </c>
      <c r="JN58" s="251">
        <f t="shared" si="293"/>
        <v>0.00367275936021726</v>
      </c>
      <c r="JO58" s="339">
        <f>JN58*各项系数!$E$39</f>
        <v>0.0734551872043452</v>
      </c>
      <c r="JP58" s="364">
        <f>IF($DF58&lt;&gt;$JP$9,0,各项系数!$F$76/4*($NE58^2-$NC58^2)*10^-2*各项系数!$F$36*10^-3*10^2)*各项系数!$J$4</f>
        <v>0</v>
      </c>
      <c r="JQ58" s="123">
        <v>1</v>
      </c>
      <c r="JR58" s="251">
        <f t="shared" si="294"/>
        <v>0</v>
      </c>
      <c r="JS58" s="339">
        <f>JR58*各项系数!$E$36</f>
        <v>0</v>
      </c>
      <c r="JT58" s="364">
        <f>IF($DF58&lt;&gt;$JT$9,0,各项系数!$F$76/4*($NE58^2-$NC58^2)*10^-2*各项系数!$F$40*10^-3*10^2)*各项系数!$J$4</f>
        <v>0</v>
      </c>
      <c r="JU58" s="123">
        <v>1</v>
      </c>
      <c r="JV58" s="251">
        <f t="shared" si="295"/>
        <v>0</v>
      </c>
      <c r="JW58" s="339">
        <f>JV58*各项系数!$E$40</f>
        <v>0</v>
      </c>
      <c r="JX58" s="364">
        <f>IF($DF58&lt;&gt;$JX$9,0,各项系数!$F$76/4*($NE58^2-$NC58^2)*10^-2*各项系数!$F$38*10^-3*10^2)*各项系数!$J$4</f>
        <v>0</v>
      </c>
      <c r="JY58" s="123">
        <v>1</v>
      </c>
      <c r="JZ58" s="251">
        <f t="shared" si="296"/>
        <v>0</v>
      </c>
      <c r="KA58" s="339">
        <f>JZ58*各项系数!$E$38</f>
        <v>0</v>
      </c>
      <c r="KB58" s="364">
        <f>IF($DF58&lt;&gt;$KB$9,0,各项系数!$F$76/4*($NE58^2-$NC58^2)*10^-2*各项系数!$F$41*10^-3*10^2)*各项系数!$J$4</f>
        <v>0</v>
      </c>
      <c r="KC58" s="123">
        <v>1</v>
      </c>
      <c r="KD58" s="251">
        <f t="shared" si="297"/>
        <v>0</v>
      </c>
      <c r="KE58" s="339">
        <f>KD58*各项系数!$E$41</f>
        <v>0</v>
      </c>
      <c r="KF58" s="251">
        <f t="shared" si="298"/>
        <v>0.00367275936021726</v>
      </c>
      <c r="KG58" s="251">
        <f t="shared" si="299"/>
        <v>0.0734551872043452</v>
      </c>
      <c r="KH58" s="302">
        <f>各项系数!$F$76/4*($NG58^2-$NE58^2)*10^-2*各项系数!$F$44*10^-3*10^2*各项系数!$J$4*0.75*$U58</f>
        <v>0.92145554304299</v>
      </c>
      <c r="KI58" s="123">
        <v>1</v>
      </c>
      <c r="KJ58" s="251">
        <f t="shared" si="300"/>
        <v>0.92145554304299</v>
      </c>
      <c r="KK58" s="251">
        <f>ROUND(KJ58*各项系数!$E$43,GT58)</f>
        <v>5</v>
      </c>
      <c r="KL58" s="302">
        <f>各项系数!$F$76/4*($NF58^2-$NE58^2)*10^-2*各项系数!$F$46*10^-3*10^2*各项系数!$J$4*PI()/4*R58</f>
        <v>0.0458685266087887</v>
      </c>
      <c r="KM58" s="123">
        <v>1</v>
      </c>
      <c r="KN58" s="251">
        <f t="shared" si="301"/>
        <v>0.0458685266087887</v>
      </c>
      <c r="KO58" s="251">
        <f>KN58*各项系数!$E$46</f>
        <v>3.09612554609324</v>
      </c>
      <c r="KP58" s="302">
        <f>各项系数!$F$76/4*($NH58^2-$NE58^2)*10^-2*(VLOOKUP($KP$9,各项系数!$D$1:$F$143,3,0))*10^-3*10^2*各项系数!$J$4</f>
        <v>0.331784897136481</v>
      </c>
      <c r="KQ58" s="123">
        <v>1</v>
      </c>
      <c r="KR58" s="251">
        <f t="shared" si="150"/>
        <v>0.331784897136481</v>
      </c>
      <c r="KS58" s="251">
        <f>KR58*(VLOOKUP($KP$9,各项系数!$D$1:$F$143,2,0))</f>
        <v>5.64034325132018</v>
      </c>
      <c r="KT58" s="302">
        <f>各项系数!$F$76/4*($NI58^2-$NF58^2)*10^-2*(VLOOKUP($KT$9,各项系数!$D$1:$F$143,3,0))*10^-3*10^2*各项系数!$J$4</f>
        <v>0.333307828157606</v>
      </c>
      <c r="KU58" s="123">
        <v>1</v>
      </c>
      <c r="KV58" s="251">
        <f t="shared" si="151"/>
        <v>0.333307828157606</v>
      </c>
      <c r="KW58" s="251">
        <f>KV58*(VLOOKUP($KT$9,各项系数!$D$1:$F$143,2,0))</f>
        <v>5.6662330786793</v>
      </c>
      <c r="KX58" s="251">
        <f>各项系数!$F$76/4*($NH58^2-$NE58^2)*10^-2*(VLOOKUP($KX$9,各项系数!$D$1:$F$143,3,0))*10^-3*10^2*各项系数!$J$4</f>
        <v>0.331784897136481</v>
      </c>
      <c r="KY58" s="479">
        <v>1</v>
      </c>
      <c r="KZ58" s="251">
        <f t="shared" si="152"/>
        <v>0.331784897136481</v>
      </c>
      <c r="LA58" s="251">
        <f>KZ58*(VLOOKUP($KX$9,各项系数!$D$1:$F$143,2,0))</f>
        <v>5.64034325132018</v>
      </c>
      <c r="LB58" s="251">
        <f>各项系数!$F$76/4*($NI58^2-$NF58^2)*10^-2*(VLOOKUP($LB$9,各项系数!$D$1:$F$143,3,0))*10^-3*10^2*各项系数!$J$4</f>
        <v>0.333307828157606</v>
      </c>
      <c r="LC58" s="479">
        <v>1</v>
      </c>
      <c r="LD58" s="251">
        <f t="shared" si="153"/>
        <v>0.333307828157606</v>
      </c>
      <c r="LE58" s="251">
        <f>LD58*(VLOOKUP($LB$9,各项系数!$D$1:$F$143,2,0))</f>
        <v>5.6662330786793</v>
      </c>
      <c r="LF58" s="302">
        <f>各项系数!$F$76/4*($NH58^2-$NE58^2)*10^-2*(VLOOKUP(AN58,各项系数!$D$1:$F$143,3,0))*10^-3*10^2*各项系数!$J$4</f>
        <v>0.33636124054526</v>
      </c>
      <c r="LG58" s="123">
        <v>1</v>
      </c>
      <c r="LH58" s="251">
        <f t="shared" si="302"/>
        <v>0.33636124054526</v>
      </c>
      <c r="LI58" s="251">
        <f>LH58*(VLOOKUP(AN58,各项系数!$D$1:$F$143,2,0))</f>
        <v>3.3636124054526</v>
      </c>
      <c r="LJ58" s="302">
        <f>各项系数!$F$76/4*($NI58^2-$NF58^2)*10^-2*(VLOOKUP(AN58,各项系数!$D$1:$F$143,3,0))*10^-3*10^2*各项系数!$J$4</f>
        <v>0.337905177511504</v>
      </c>
      <c r="LK58" s="123">
        <v>1</v>
      </c>
      <c r="LL58" s="251">
        <f t="shared" si="303"/>
        <v>0.337905177511504</v>
      </c>
      <c r="LM58" s="251">
        <f>LL58*(VLOOKUP(AN58,各项系数!$D$1:$F$143,2,0))</f>
        <v>3.37905177511504</v>
      </c>
      <c r="LN58" s="251">
        <f>各项系数!$F$76/4*($NH58^2-$NE58^2)*10^-2*(VLOOKUP($LN$9,各项系数!$D$1:$F$143,3,0))*10^-3*10^2*各项系数!$J$4</f>
        <v>0.33636124054526</v>
      </c>
      <c r="LO58" s="479">
        <v>1</v>
      </c>
      <c r="LP58" s="251">
        <f t="shared" si="304"/>
        <v>0.33636124054526</v>
      </c>
      <c r="LQ58" s="251">
        <f>LP58*(VLOOKUP($LN$9,各项系数!$D$1:$F$143,2,0))</f>
        <v>3.69997364599786</v>
      </c>
      <c r="LR58" s="251">
        <f>各项系数!$F$76/4*($NI58^2-$NF58^2)*10^-2*(VLOOKUP($LR$9,各项系数!$D$1:$F$143,3,0))*10^-3*10^2*各项系数!$J$4</f>
        <v>0.337905177511504</v>
      </c>
      <c r="LS58" s="479">
        <v>1</v>
      </c>
      <c r="LT58" s="251">
        <f t="shared" si="305"/>
        <v>0.337905177511504</v>
      </c>
      <c r="LU58" s="251">
        <f>LT58*(VLOOKUP($LR$9,各项系数!$D$1:$F$143,2,0))</f>
        <v>3.71695695262654</v>
      </c>
      <c r="LV58" s="499">
        <f t="shared" si="154"/>
        <v>353.83064365</v>
      </c>
      <c r="LW58" s="499">
        <f t="shared" si="155"/>
        <v>268.91128917</v>
      </c>
      <c r="LX58" s="499">
        <f t="shared" si="156"/>
        <v>18.5037425240668</v>
      </c>
      <c r="LY58" s="515">
        <f t="shared" si="157"/>
        <v>84.91935448</v>
      </c>
      <c r="LZ58" s="516">
        <f t="shared" si="86"/>
        <v>1</v>
      </c>
      <c r="MA58" s="517">
        <f t="shared" si="87"/>
        <v>353.83064365</v>
      </c>
      <c r="MB58" s="517">
        <f t="shared" si="158"/>
        <v>12.25440285</v>
      </c>
      <c r="MC58" s="499">
        <f t="shared" si="159"/>
        <v>0</v>
      </c>
      <c r="MD58" s="499">
        <f t="shared" si="160"/>
        <v>0</v>
      </c>
      <c r="ME58" s="499">
        <f t="shared" si="161"/>
        <v>0</v>
      </c>
      <c r="MF58" s="499">
        <f t="shared" si="162"/>
        <v>0</v>
      </c>
      <c r="MG58" s="516">
        <f t="shared" si="163"/>
        <v>1</v>
      </c>
      <c r="MH58" s="517">
        <f t="shared" si="88"/>
        <v>0</v>
      </c>
      <c r="MI58" s="517">
        <f t="shared" si="164"/>
        <v>0</v>
      </c>
      <c r="MJ58" s="251">
        <f t="shared" si="89"/>
        <v>12.25440285</v>
      </c>
      <c r="MK58" s="251">
        <f t="shared" si="165"/>
        <v>12.25440285</v>
      </c>
      <c r="ML58" s="251">
        <f t="shared" si="306"/>
        <v>0</v>
      </c>
      <c r="MM58" s="251">
        <f t="shared" si="91"/>
        <v>0</v>
      </c>
      <c r="MN58" s="251">
        <f t="shared" si="92"/>
        <v>14.45440285</v>
      </c>
      <c r="MO58" s="251">
        <f t="shared" si="166"/>
        <v>0</v>
      </c>
      <c r="MP58" s="251">
        <f t="shared" si="167"/>
        <v>31.22151016</v>
      </c>
      <c r="MQ58" s="251">
        <f t="shared" si="307"/>
        <v>31.22151016</v>
      </c>
      <c r="MR58" s="314">
        <f t="shared" si="168"/>
        <v>31.22151016</v>
      </c>
      <c r="MS58" s="530">
        <f t="shared" si="94"/>
        <v>31.39751016</v>
      </c>
      <c r="MT58" s="530">
        <f t="shared" si="95"/>
        <v>31.55751016</v>
      </c>
      <c r="MU58" s="530">
        <f t="shared" si="232"/>
        <v>32.89751016</v>
      </c>
      <c r="MV58" s="530">
        <f t="shared" si="97"/>
        <v>35.59751016</v>
      </c>
      <c r="MW58" s="530">
        <f t="shared" si="98"/>
        <v>35.75751016</v>
      </c>
      <c r="MX58" s="326">
        <f t="shared" si="233"/>
        <v>12.85440285</v>
      </c>
      <c r="MY58" s="326">
        <f t="shared" si="100"/>
        <v>0</v>
      </c>
      <c r="MZ58" s="251">
        <f t="shared" si="101"/>
        <v>15.05440285</v>
      </c>
      <c r="NA58" s="251">
        <f t="shared" si="102"/>
        <v>0</v>
      </c>
      <c r="NB58" s="251">
        <f t="shared" si="169"/>
        <v>32.51751016</v>
      </c>
      <c r="NC58" s="326">
        <f t="shared" si="308"/>
        <v>32.51751016</v>
      </c>
      <c r="ND58" s="314">
        <f t="shared" si="234"/>
        <v>32.51751016</v>
      </c>
      <c r="NE58" s="537">
        <f t="shared" si="235"/>
        <v>32.75751016</v>
      </c>
      <c r="NF58" s="530">
        <f t="shared" si="106"/>
        <v>32.91751016</v>
      </c>
      <c r="NG58" s="538">
        <f t="shared" si="236"/>
        <v>34.25751016</v>
      </c>
      <c r="NH58" s="326">
        <f t="shared" si="108"/>
        <v>36.95751016</v>
      </c>
      <c r="NI58" s="530">
        <f t="shared" si="109"/>
        <v>37.11751016</v>
      </c>
      <c r="NK58" s="539">
        <f t="shared" si="110"/>
        <v>3.21922321388784</v>
      </c>
      <c r="NL58" s="539">
        <f t="shared" si="111"/>
        <v>163.695208663448</v>
      </c>
      <c r="NM58" s="539">
        <f t="shared" si="112"/>
        <v>3.21922321388784</v>
      </c>
      <c r="NN58" s="539">
        <f t="shared" si="113"/>
        <v>164.01844643978</v>
      </c>
      <c r="NO58" s="539">
        <f t="shared" si="114"/>
        <v>4.43590559350589</v>
      </c>
      <c r="NP58" s="539">
        <f t="shared" si="115"/>
        <v>165.974768514044</v>
      </c>
      <c r="NQ58" s="539">
        <f t="shared" si="116"/>
        <v>4.43590559350589</v>
      </c>
      <c r="NR58" s="539">
        <f t="shared" si="117"/>
        <v>166.31112975459</v>
      </c>
      <c r="NS58" s="539">
        <f t="shared" si="118"/>
        <v>3.26319204725301</v>
      </c>
      <c r="NT58" s="539">
        <f t="shared" si="119"/>
        <v>3.26319204725301</v>
      </c>
      <c r="NU58" s="539">
        <f t="shared" si="120"/>
        <v>4.48177412011468</v>
      </c>
      <c r="NV58" s="539">
        <f t="shared" si="121"/>
        <v>4.48177412011468</v>
      </c>
      <c r="NW58">
        <f t="shared" si="122"/>
        <v>3.80859360260594</v>
      </c>
      <c r="NX58">
        <f>各项系数!$M$9*NK58</f>
        <v>0.965766964166351</v>
      </c>
      <c r="NY58">
        <f t="shared" si="123"/>
        <v>3.26319204725301</v>
      </c>
    </row>
    <row r="59" customHeight="1" spans="1:389">
      <c r="A59" s="91">
        <v>37</v>
      </c>
      <c r="B59" s="86">
        <v>1</v>
      </c>
      <c r="C59" s="83"/>
      <c r="D59" s="69" t="s">
        <v>224</v>
      </c>
      <c r="E59" s="77">
        <f t="shared" si="255"/>
        <v>41.50177936</v>
      </c>
      <c r="F59" s="84">
        <f>$F$27</f>
        <v>244.921136962963</v>
      </c>
      <c r="G59" s="74"/>
      <c r="H59" s="78"/>
      <c r="I59" s="78"/>
      <c r="J59" s="23"/>
      <c r="K59" s="78"/>
      <c r="L59" s="118" t="s">
        <v>467</v>
      </c>
      <c r="M59" s="124">
        <f t="shared" si="2"/>
        <v>1.2</v>
      </c>
      <c r="N59" s="124">
        <f t="shared" si="252"/>
        <v>0</v>
      </c>
      <c r="O59" s="69">
        <f t="shared" si="312"/>
        <v>0.08</v>
      </c>
      <c r="P59" s="120">
        <v>0.1</v>
      </c>
      <c r="Q59" s="162">
        <f t="shared" si="309"/>
        <v>0.1</v>
      </c>
      <c r="R59" s="86">
        <v>0.8</v>
      </c>
      <c r="S59" s="171" t="str">
        <f>各项系数!$D$43</f>
        <v>钢带</v>
      </c>
      <c r="T59" s="123">
        <v>0.5</v>
      </c>
      <c r="U59" s="123">
        <v>2</v>
      </c>
      <c r="V59" s="169"/>
      <c r="W59" s="170">
        <v>2.2</v>
      </c>
      <c r="X59" s="164">
        <f t="shared" si="310"/>
        <v>0.2</v>
      </c>
      <c r="Y59" s="219"/>
      <c r="Z59" s="220"/>
      <c r="AA59" s="217">
        <f>$AA$27</f>
        <v>1.013</v>
      </c>
      <c r="AB59" s="186">
        <f>PI()*EJ59*EJ59/4*EH59*(1-H59)*AA59*各项系数!$F$5*各项系数!$J$4*10^-7</f>
        <v>1.01318311567178</v>
      </c>
      <c r="AC59" s="186">
        <f t="shared" si="256"/>
        <v>244.921136962963</v>
      </c>
      <c r="AD59" s="186">
        <f t="shared" si="5"/>
        <v>114.541562217361</v>
      </c>
      <c r="AE59" s="186">
        <f>POWER(4*EU59/PI()/EG59/10^-7/EH59/(1-H59)/各项系数!$F$5/各项系数!$J$4,0.5)</f>
        <v>246.50798375415</v>
      </c>
      <c r="AF59" s="218">
        <v>1</v>
      </c>
      <c r="AG59" s="85">
        <f>IF(EM59=0,0,PI()*ER59*ER59/4*EP59*(1-K59)*(1+AF59)*各项系数!$F$5*各项系数!$J$4*10^-7)</f>
        <v>0</v>
      </c>
      <c r="AH59" s="85">
        <f t="shared" si="257"/>
        <v>0</v>
      </c>
      <c r="AI59" s="85">
        <f t="shared" si="128"/>
        <v>0</v>
      </c>
      <c r="AJ59" s="85">
        <f>IF(OR(EP59="",EP59=0),0,POWER(4*EW59/PI()/EO59/10^-7/EP59/(1-K59)/各项系数!$F$5/各项系数!$J$4,0.5))</f>
        <v>0</v>
      </c>
      <c r="AK59" s="85" t="str">
        <f t="shared" si="8"/>
        <v>√</v>
      </c>
      <c r="AL59" s="85">
        <f t="shared" si="258"/>
        <v>213.101274520476</v>
      </c>
      <c r="AM59" s="250">
        <f t="shared" si="259"/>
        <v>120</v>
      </c>
      <c r="AN59" s="118" t="s">
        <v>486</v>
      </c>
      <c r="AO59" s="259">
        <f>AP59+各项系数!$M$9*$NK59</f>
        <v>208.922818157329</v>
      </c>
      <c r="AP59" s="259">
        <f>AQ59*(1+$BI59+(VLOOKUP($AM59,$A$12:$B$323,2,0))+各项系数!$J$6+各项系数!$M$5)*(1+$E$2)</f>
        <v>207.692767266669</v>
      </c>
      <c r="AQ59" s="260">
        <f>AR59+各项系数!$L$9*$NK59</f>
        <v>211.931395170071</v>
      </c>
      <c r="AR59" s="260">
        <f>AS59*(1+$BJ59+各项系数!$J$5+各项系数!$L$5)</f>
        <v>210.701344279411</v>
      </c>
      <c r="AS59" s="260">
        <f t="shared" si="129"/>
        <v>206.569945371971</v>
      </c>
      <c r="AT59" s="259">
        <f>AU59+各项系数!$M$9*$NM59</f>
        <v>211.610990915486</v>
      </c>
      <c r="AU59" s="259">
        <f>AV59*(1+$BI59+(VLOOKUP($AM59,$A$12:$B$323,2,0))+各项系数!$J$6+各项系数!$M$5)*(1+$E$2)</f>
        <v>210.380940024826</v>
      </c>
      <c r="AV59" s="260">
        <f>AW59+各项系数!$L$9*$NM59</f>
        <v>214.674428596762</v>
      </c>
      <c r="AW59" s="260">
        <f>AX59*(1+$BJ59+各项系数!$J$5+各项系数!$L$5)</f>
        <v>213.444377706101</v>
      </c>
      <c r="AX59" s="260">
        <f t="shared" si="130"/>
        <v>209.259193829511</v>
      </c>
      <c r="AY59" s="259">
        <f>AZ59+各项系数!$M$9*$NS59</f>
        <v>212.474164779026</v>
      </c>
      <c r="AZ59" s="259">
        <f>BA59*(1+$BI59+(VLOOKUP($AM59,$A$12:$B$214,2,0))+各项系数!$J$6+各项系数!$M$5)*(1+$E$2)</f>
        <v>211.228532864461</v>
      </c>
      <c r="BA59" s="260">
        <f>BB59+各项系数!$L$9*$NS59</f>
        <v>215.53931924945</v>
      </c>
      <c r="BB59" s="260">
        <f>BC59*(1+$BJ59+各项系数!$J$5+各项系数!$L$5)</f>
        <v>214.293687334885</v>
      </c>
      <c r="BC59" s="262">
        <f t="shared" si="131"/>
        <v>210.091850328319</v>
      </c>
      <c r="BD59" s="259">
        <f>BE59+各项系数!$M$9*$NS59</f>
        <v>215.173281256483</v>
      </c>
      <c r="BE59" s="259">
        <f>BF59*(1+$BI59+(VLOOKUP($AM59,$A$12:$B$214,2,0))+各项系数!$J$6+各项系数!$M$5)*(1+$E$2)</f>
        <v>213.927649341918</v>
      </c>
      <c r="BF59" s="260">
        <f>BG59+各项系数!$L$9*$NS59</f>
        <v>218.293519736651</v>
      </c>
      <c r="BG59" s="260">
        <f>BH59*(1+$BJ59+各项系数!$J$5+各项系数!$L$5)</f>
        <v>217.047887822086</v>
      </c>
      <c r="BH59" s="262">
        <f t="shared" si="132"/>
        <v>212.792046884398</v>
      </c>
      <c r="BI59" s="277"/>
      <c r="BJ59" s="272"/>
      <c r="BK59" s="69" t="s">
        <v>514</v>
      </c>
      <c r="BL59" s="259">
        <f>BM59+各项系数!$M$9*$NM59</f>
        <v>211.348244352404</v>
      </c>
      <c r="BM59" s="259">
        <f>BN59*(1+$CF59+(VLOOKUP($AM59,$A$12:$B$323,2,0))+各项系数!$J$6+各项系数!$M$5)*(1+$E$2)</f>
        <v>210.118193461744</v>
      </c>
      <c r="BN59" s="260">
        <f>BO59+各项系数!$L$9*$NM59</f>
        <v>214.406319858922</v>
      </c>
      <c r="BO59" s="260">
        <f>BP59*(1+$CG59+各项系数!$J$5+各项系数!$L$5)</f>
        <v>213.176268968262</v>
      </c>
      <c r="BP59" s="260">
        <f t="shared" si="133"/>
        <v>206.967251425497</v>
      </c>
      <c r="BQ59" s="259">
        <f>BR59+各项系数!$M$9*$NM59</f>
        <v>213.661731015016</v>
      </c>
      <c r="BR59" s="259">
        <f>BS59*(1+$CF59+(VLOOKUP($AM59,$A$12:$B$323,2,0))+各项系数!$J$6+各项系数!$M$5)*(1+$E$2)</f>
        <v>212.431680124355</v>
      </c>
      <c r="BS59" s="260">
        <f>BT59+各项系数!$L$9*$NM59</f>
        <v>216.767020535057</v>
      </c>
      <c r="BT59" s="260">
        <f>BU59*(1+$CG59+各项系数!$J$5+各项系数!$L$5)</f>
        <v>215.536969644397</v>
      </c>
      <c r="BU59" s="260">
        <f t="shared" si="134"/>
        <v>209.259193829511</v>
      </c>
      <c r="BV59" s="259">
        <f>BW59+各项系数!$M$9*$NT59</f>
        <v>213.723117163369</v>
      </c>
      <c r="BW59" s="259">
        <f>BX59*(1+$CF59+(VLOOKUP($AM59,$A$12:$B$214,2,0))+各项系数!$J$6+各项系数!$M$5)*(1+$E$2)</f>
        <v>212.477485248804</v>
      </c>
      <c r="BX59" s="260">
        <f>BY59+各项系数!$L$9*$NT$12</f>
        <v>216.813760457963</v>
      </c>
      <c r="BY59" s="260">
        <f>BZ59*(1+$CG59+各项系数!$J$5+各项系数!$L$5)</f>
        <v>216.805497054808</v>
      </c>
      <c r="BZ59" s="262">
        <f t="shared" si="11"/>
        <v>210.490773839619</v>
      </c>
      <c r="CA59" s="259">
        <f>CB59+各项系数!$M$9*$NT59</f>
        <v>216.046022174769</v>
      </c>
      <c r="CB59" s="259">
        <f>CC59*(1+$CF59+(VLOOKUP($AM59,$A$12:$B$214,2,0))+各项系数!$J$6+各项系数!$M$5)*(1+$E$2)</f>
        <v>214.800390260204</v>
      </c>
      <c r="CC59" s="260">
        <f>CD59+各项系数!$L$9*$NT$12</f>
        <v>219.184071694085</v>
      </c>
      <c r="CD59" s="260">
        <f>CE59*(1+$CG59+各项系数!$J$5+各项系数!$L$5)</f>
        <v>219.17580829093</v>
      </c>
      <c r="CE59" s="262">
        <f t="shared" si="135"/>
        <v>212.792046884398</v>
      </c>
      <c r="CF59" s="277">
        <f t="shared" si="136"/>
        <v>0</v>
      </c>
      <c r="CG59" s="277">
        <f t="shared" si="12"/>
        <v>0.01</v>
      </c>
      <c r="CH59" s="123"/>
      <c r="CI59" s="259">
        <f>CJ59+各项系数!$M$9*$NO59</f>
        <v>213.965260220326</v>
      </c>
      <c r="CJ59" s="259">
        <f>CK59*(1+$DC59+(VLOOKUP($AM59,$A$12:$B$323,2,0))+各项系数!$J$6+各项系数!$M$5)*(1+$E$2)+各项系数!$M$9*$NK59</f>
        <v>212.237195863793</v>
      </c>
      <c r="CK59" s="260">
        <f>CL59+各项系数!$L$9*$NO59</f>
        <v>215.31341323789</v>
      </c>
      <c r="CL59" s="260">
        <f>CM59*(1+$DD59+各项系数!$J$5+各项系数!$L$5)</f>
        <v>213.585348881357</v>
      </c>
      <c r="CM59" s="260">
        <f t="shared" si="13"/>
        <v>209.397400864076</v>
      </c>
      <c r="CN59" s="259">
        <f>CO59+各项系数!$M$9*$NO59</f>
        <v>216.516004061243</v>
      </c>
      <c r="CO59" s="259">
        <f>CP59*(1+$DC59+(VLOOKUP($AM59,$A$12:$B$323,2,0))+各项系数!$J$6+各项系数!$M$5)*(1+$E$2)+各项系数!$M$9*$NK59</f>
        <v>214.78793970471</v>
      </c>
      <c r="CP59" s="260">
        <f>CQ59+各项系数!$L$9*$NO59</f>
        <v>217.916213075561</v>
      </c>
      <c r="CQ59" s="260">
        <f>CR59*(1+$DD59+各项系数!$J$5+各项系数!$L$5)</f>
        <v>216.188148719028</v>
      </c>
      <c r="CR59" s="260">
        <f t="shared" si="14"/>
        <v>211.949165410812</v>
      </c>
      <c r="CS59" s="259">
        <f>CT59+各项系数!$M$9*$NU59</f>
        <v>216.415862371375</v>
      </c>
      <c r="CT59" s="259">
        <f t="shared" si="15"/>
        <v>214.671647082964</v>
      </c>
      <c r="CU59" s="260">
        <f>CV59+各项系数!$L$9*$NU59</f>
        <v>219.052701105066</v>
      </c>
      <c r="CV59" s="260">
        <f>CW59*(1+$DD59+各项系数!$J$5+各项系数!$L$5)</f>
        <v>217.308485816655</v>
      </c>
      <c r="CW59" s="262">
        <f t="shared" si="16"/>
        <v>213.047535114367</v>
      </c>
      <c r="CX59" s="259">
        <f>CY59+各项系数!$M$9*$NU59</f>
        <v>219.208000462882</v>
      </c>
      <c r="CY59" s="259">
        <f t="shared" si="17"/>
        <v>217.463785174471</v>
      </c>
      <c r="CZ59" s="260">
        <f>DA59+各项系数!$L$9*$NU59</f>
        <v>221.901821606603</v>
      </c>
      <c r="DA59" s="260">
        <f>DB59*(1+$DD59+各项系数!$J$5+各项系数!$L$5)</f>
        <v>220.157606318192</v>
      </c>
      <c r="DB59" s="262">
        <f t="shared" si="18"/>
        <v>215.840790508031</v>
      </c>
      <c r="DC59" s="277">
        <f t="shared" si="137"/>
        <v>0</v>
      </c>
      <c r="DD59" s="277">
        <f t="shared" si="19"/>
        <v>0</v>
      </c>
      <c r="DE59" s="69" t="s">
        <v>498</v>
      </c>
      <c r="DF59" s="69" t="s">
        <v>513</v>
      </c>
      <c r="DG59" s="259">
        <f>DH59+各项系数!$M$9*$NQ59</f>
        <v>216.432273105179</v>
      </c>
      <c r="DH59" s="259">
        <f>DI59*(1+$EA59+(VLOOKUP($AM59,$A$12:$B$323,2,0))+各项系数!$J$6+各项系数!$M$5)*(1+$E$2)+各项系数!$M$9*$NK59</f>
        <v>214.704208748646</v>
      </c>
      <c r="DI59" s="260">
        <f>DJ59+各项系数!$L$9*$NQ59</f>
        <v>217.830773324476</v>
      </c>
      <c r="DJ59" s="260">
        <f>DK59*(1+$EB59+各项系数!$J$5+各项系数!$L$5)</f>
        <v>216.102708967943</v>
      </c>
      <c r="DK59" s="260">
        <f t="shared" si="20"/>
        <v>209.808455308682</v>
      </c>
      <c r="DL59" s="259">
        <f>DM59+各项系数!$M$9*$NQ59</f>
        <v>218.825815732492</v>
      </c>
      <c r="DM59" s="259">
        <f>DN59*(1+$EA59+(VLOOKUP($AM59,$A$12:$B$323,2,0))+各项系数!$J$6+各项系数!$M$5)*(1+$E$2)+各项系数!$M$9*$NK59</f>
        <v>217.097751375959</v>
      </c>
      <c r="DN59" s="260">
        <f>DO59+各项系数!$L$9*$NQ59</f>
        <v>220.27316376051</v>
      </c>
      <c r="DO59" s="260">
        <f>DP59*(1+$EB59+各项系数!$J$5+各项系数!$L$5)</f>
        <v>218.545099403976</v>
      </c>
      <c r="DP59" s="260">
        <f t="shared" si="21"/>
        <v>212.1797081592</v>
      </c>
      <c r="DQ59" s="259">
        <f>DR59+各项系数!$M$9*$NV59</f>
        <v>218.920279233759</v>
      </c>
      <c r="DR59" s="259">
        <f t="shared" si="22"/>
        <v>217.176063945348</v>
      </c>
      <c r="DS59" s="260">
        <f>DT59+各项系数!$L$9*$NV59</f>
        <v>221.608228515661</v>
      </c>
      <c r="DT59" s="260">
        <f>DU59*(1+$EB59+各项系数!$J$5+各项系数!$L$5)</f>
        <v>219.86401322725</v>
      </c>
      <c r="DU59" s="262">
        <f t="shared" si="23"/>
        <v>213.460207016748</v>
      </c>
      <c r="DV59" s="259">
        <f>DW59+各项系数!$M$9*$NV59</f>
        <v>219.220958106099</v>
      </c>
      <c r="DW59" s="259">
        <f t="shared" si="24"/>
        <v>217.476742817688</v>
      </c>
      <c r="DX59" s="260">
        <f>DY59+各项系数!$L$9*$NV59</f>
        <v>221.915043691519</v>
      </c>
      <c r="DY59" s="260">
        <f>DZ59*(1+$EB59+各项系数!$J$5+各项系数!$L$5)</f>
        <v>220.170828403107</v>
      </c>
      <c r="DZ59" s="262">
        <f t="shared" si="25"/>
        <v>213.75808582826</v>
      </c>
      <c r="EA59" s="277">
        <f t="shared" si="311"/>
        <v>0</v>
      </c>
      <c r="EB59" s="277">
        <f t="shared" si="27"/>
        <v>0.01</v>
      </c>
      <c r="EC59" s="302">
        <f t="shared" si="138"/>
        <v>3</v>
      </c>
      <c r="ED59" s="302" t="str">
        <f t="shared" si="266"/>
        <v>3*120</v>
      </c>
      <c r="EE59" s="251">
        <f t="shared" si="239"/>
        <v>120</v>
      </c>
      <c r="EF59" s="251" t="str">
        <f>LOOKUP(EH59,{1,7,10,14,19,24,30,37,48,61},{1,"1+6","2+8","4+10","1+6+12","2+8+14","4+10+16","1+6+12+18","3+9+15+21","1+6+12+18+24"})</f>
        <v>2+8+14</v>
      </c>
      <c r="EG59" s="250">
        <f t="shared" si="29"/>
        <v>3</v>
      </c>
      <c r="EH59" s="260">
        <f>VLOOKUP(EE59,各项系数!$B$87:$C$124,2,0)</f>
        <v>24</v>
      </c>
      <c r="EI59" s="250">
        <f>IF(EH59=0,0,VLOOKUP(EH59,各项系数!$D$142:$E$195,2,0))*1</f>
        <v>6</v>
      </c>
      <c r="EJ59" s="305">
        <f t="shared" si="141"/>
        <v>244.921136962963</v>
      </c>
      <c r="EK59" s="251">
        <f t="shared" si="261"/>
        <v>0</v>
      </c>
      <c r="EL59" s="251">
        <f t="shared" si="31"/>
        <v>0</v>
      </c>
      <c r="EM59" s="251">
        <f t="shared" si="267"/>
        <v>0</v>
      </c>
      <c r="EN59" s="251">
        <f>IF(EP59=0,0,LOOKUP(EP59,{1,7,10,14,19,24,30,37,48,61},{1,"1+6","2+8","4+10","1+6+12","2+8+14","4+10+16","1+6+12+18","3+9+15+21","1+6+12+18+24"}))</f>
        <v>0</v>
      </c>
      <c r="EO59" s="251">
        <f t="shared" si="263"/>
        <v>0</v>
      </c>
      <c r="EP59" s="251">
        <f>IF(EM59=0,0,IF(EM59&lt;10,1,IF(AND(EM59&gt;=10,EM59&lt;=35),7,LOOKUP(EM59,{50,70,95,120,150,185,240,300},{10,14,19,24,30,37,48,61})*1)))</f>
        <v>0</v>
      </c>
      <c r="EQ59" s="251">
        <f>IF(EP59=0,0,VLOOKUP(EP59,各项系数!$D$142:$E$195,2,0))*1</f>
        <v>0</v>
      </c>
      <c r="ER59" s="251">
        <f t="shared" si="264"/>
        <v>0</v>
      </c>
      <c r="ES59" s="302">
        <f t="shared" si="250"/>
        <v>3</v>
      </c>
      <c r="ET59" s="251">
        <f>VLOOKUP(ES59,各项系数!$D$142:$E$195,2,0)*1</f>
        <v>2.16</v>
      </c>
      <c r="EU59" s="311">
        <f>((各项系数!$F$76/4*$EJ59^2*$EG59*$EH59*1*10^-7)*(1-$H59)*AA59)*(VLOOKUP($EY$9,各项系数!$D$4:$F$143,3,0))*各项系数!$J$4</f>
        <v>3.03954934701534</v>
      </c>
      <c r="EV59" s="312">
        <f>EU59*(VLOOKUP($EY$9,各项系数!$D$4:$F$143,2,0))</f>
        <v>199.090482229505</v>
      </c>
      <c r="EW59" s="324">
        <f>(IF($EO59=0,0,(各项系数!$F$76/4*$ER59^2*$EO59*$EP59*1*10^-7))*(1-$K59)*$AF59)*(VLOOKUP($EY$9,各项系数!$D$4:$F$143,3,0))*各项系数!$J$4</f>
        <v>0</v>
      </c>
      <c r="EX59" s="325">
        <f>EW59*(VLOOKUP($EY$9,各项系数!$D$4:$F$143,2,0))</f>
        <v>0</v>
      </c>
      <c r="EY59" s="251">
        <f>((各项系数!$F$76/4*$EJ59^2*$EG59*$EH59*1*10^-7)*(1-$H59)*AA59+IF($EO59=0,0,(各项系数!$F$76/4*$ER59^2*$EO59*$EP59*1*10^-7))*(1-$K59)*$AF59)*(VLOOKUP($EY$9,各项系数!$D$4:$F$143,3,0))*各项系数!$J$4</f>
        <v>3.03954934701534</v>
      </c>
      <c r="EZ59" s="123">
        <v>1</v>
      </c>
      <c r="FA59" s="251">
        <f t="shared" si="268"/>
        <v>3.03954934701534</v>
      </c>
      <c r="FB59" s="326">
        <f>FA59*(VLOOKUP($EY$9,各项系数!$D$4:$F$143,2,0))</f>
        <v>199.090482229505</v>
      </c>
      <c r="FC59" s="327"/>
      <c r="FD59" s="302">
        <f>各项系数!$F$76/4*($MN59^2-MK59^2)*10^-2*(VLOOKUP(L59,各项系数!$D$1:$F$143,3,0))*10^-3*10^2*$EG59*各项系数!$J$4</f>
        <v>0.196759631286731</v>
      </c>
      <c r="FE59" s="339">
        <f>FD59*VLOOKUP(L59,各项系数!$D$1:$F$143,2,0)</f>
        <v>2.00694823912466</v>
      </c>
      <c r="FF59" s="250">
        <f>各项系数!$F$76/4*($MO59^2-ML59^2)*10^-2*(VLOOKUP(L59,各项系数!$D$1:$F$143,3,0))*10^-3*10^2*$EO59*各项系数!$J$4</f>
        <v>0</v>
      </c>
      <c r="FG59" s="339">
        <f>FF59*VLOOKUP(L59,各项系数!$D$1:$F$143,2,0)</f>
        <v>0</v>
      </c>
      <c r="FH59" s="302">
        <f t="shared" si="142"/>
        <v>0.196759631286731</v>
      </c>
      <c r="FI59" s="123">
        <v>1</v>
      </c>
      <c r="FJ59" s="251">
        <f t="shared" si="269"/>
        <v>0.196759631286731</v>
      </c>
      <c r="FK59" s="339">
        <f>FJ59*VLOOKUP(L59,各项系数!$D$1:$F$143,2,0)</f>
        <v>2.00694823912466</v>
      </c>
      <c r="FL59" s="302"/>
      <c r="FM59" s="123"/>
      <c r="FN59" s="251"/>
      <c r="FO59" s="339"/>
      <c r="FP59" s="364">
        <f t="shared" si="270"/>
        <v>0.196759631286731</v>
      </c>
      <c r="FQ59" s="364">
        <f t="shared" si="271"/>
        <v>2.00694823912466</v>
      </c>
      <c r="FR59" s="365">
        <f>各项系数!$F$76/4*($MQ59^2-$MN59^2*$EG59-$MO59^2*$EO59)*10^-2</f>
        <v>3.82307160357186</v>
      </c>
      <c r="FS59" s="366">
        <f t="shared" si="143"/>
        <v>1</v>
      </c>
      <c r="FT59" s="367">
        <f t="shared" si="40"/>
        <v>3.82307160357186</v>
      </c>
      <c r="FU59" s="388">
        <f>$FT59*(VLOOKUP($FT$9,各项系数!$D$1:$F$143,3,0))*10^-3*10^2*各项系数!$J$55</f>
        <v>0.45647474946648</v>
      </c>
      <c r="FV59" s="389">
        <v>1</v>
      </c>
      <c r="FW59" s="390">
        <f t="shared" si="272"/>
        <v>0.45647474946648</v>
      </c>
      <c r="FX59" s="367">
        <f>FW59*(VLOOKUP($FT$9,各项系数!$D$1:$F$143,2,0))</f>
        <v>1.36942424839944</v>
      </c>
      <c r="FY59" s="388">
        <f>IF($BK59&lt;&gt;$FY$9,0,各项系数!$F$76/4*($MS59^2-$MQ59^2)*10^-2*(VLOOKUP($FY$9,各项系数!$D$1:$F$143,3,0))*10^-3*10^2)*各项系数!$J$4</f>
        <v>0</v>
      </c>
      <c r="FZ59" s="389">
        <v>1</v>
      </c>
      <c r="GA59" s="390">
        <f t="shared" si="273"/>
        <v>0</v>
      </c>
      <c r="GB59" s="367">
        <f>GA59*(VLOOKUP($FY$9,各项系数!$D$1:$F$143,2,0))</f>
        <v>0</v>
      </c>
      <c r="GC59" s="388">
        <f>IF($BK59&lt;&gt;$GC$9,0,各项系数!$F$76/4*($MS59^2-$MQ59^2)*10^-2*(VLOOKUP($GC$9,各项系数!$D$1:$F$143,3,0))*10^-3*10^2)*各项系数!$J$4</f>
        <v>0.0100798542389646</v>
      </c>
      <c r="GD59" s="389">
        <v>1</v>
      </c>
      <c r="GE59" s="390">
        <f t="shared" si="274"/>
        <v>0.0100798542389646</v>
      </c>
      <c r="GF59" s="367">
        <f>GE59*(VLOOKUP($GC$9,各项系数!$D$1:$F$143,2,0))</f>
        <v>0.130030119682643</v>
      </c>
      <c r="GG59" s="388">
        <f>IF($BK59&lt;&gt;$GG$9,0,各项系数!$F$76/4*($MS59^2-$MQ59^2)*10^-2*(VLOOKUP($GG$9,各项系数!$D$1:$F$143,3,0))*10^-3*10^2)*各项系数!$J$4</f>
        <v>0</v>
      </c>
      <c r="GH59" s="389">
        <v>1</v>
      </c>
      <c r="GI59" s="390">
        <f t="shared" si="275"/>
        <v>0</v>
      </c>
      <c r="GJ59" s="367">
        <f>GI59*(VLOOKUP($GG$9,各项系数!$D$1:$F$143,2,0))</f>
        <v>0</v>
      </c>
      <c r="GK59" s="388">
        <f>IF($BK59&lt;&gt;$GK$9,0,各项系数!$F$76/4*($MS59^2-$MQ59^2)*10^-2*(VLOOKUP($GK$9,各项系数!$D$1:$F$143,3,0))*10^-3*10^2)*各项系数!$J$4</f>
        <v>0</v>
      </c>
      <c r="GL59" s="389">
        <v>1</v>
      </c>
      <c r="GM59" s="390">
        <f t="shared" si="276"/>
        <v>0</v>
      </c>
      <c r="GN59" s="367">
        <f>GM59*(VLOOKUP($GK$9,各项系数!$D$1:$F$143,2,0))</f>
        <v>0</v>
      </c>
      <c r="GO59" s="390">
        <f t="shared" si="277"/>
        <v>0.0100798542389646</v>
      </c>
      <c r="GP59" s="390">
        <f t="shared" si="278"/>
        <v>0.130030119682643</v>
      </c>
      <c r="GQ59" s="406">
        <f>各项系数!$F$76/4*($MU59^2-$MS59^2)*10^-2*(VLOOKUP($S59,各项系数!$D$1:$F$143,3,0))*10^-3*10^2*各项系数!$J$4</f>
        <v>0.693948545440799</v>
      </c>
      <c r="GR59" s="389">
        <v>1</v>
      </c>
      <c r="GS59" s="390">
        <f t="shared" si="279"/>
        <v>0.693948545440799</v>
      </c>
      <c r="GT59" s="390">
        <f t="shared" si="200"/>
        <v>0</v>
      </c>
      <c r="GU59" s="390">
        <f>ROUND($GS59*(VLOOKUP($S59,各项系数!$D$1:$F$143,2,0))+$E$3*GS59,GT59)</f>
        <v>4</v>
      </c>
      <c r="GV59" s="406">
        <f>各项系数!$F$76/4*($MT59^2-$MS59^2)*10^-2*(VLOOKUP($GV$9,各项系数!$D$1:$F$143,3,0))*10^-3*10^2*各项系数!$J$4*PI()/4*R59</f>
        <v>0.0519367463497199</v>
      </c>
      <c r="GW59" s="389">
        <v>1</v>
      </c>
      <c r="GX59" s="390">
        <f t="shared" si="280"/>
        <v>0.0519367463497199</v>
      </c>
      <c r="GY59" s="390">
        <f>$GX59*(VLOOKUP($GV$9,各项系数!$D$1:$F$143,2,0))</f>
        <v>3.50573037860609</v>
      </c>
      <c r="GZ59" s="406">
        <f>各项系数!$F$76/4*($MV59^2-$MS59^2)*10^-2*(VLOOKUP($GZ$9,各项系数!$D$1:$F$143,3,0))*10^-3*10^2*各项系数!$J$4</f>
        <v>0.391900528988221</v>
      </c>
      <c r="HA59" s="389">
        <v>1</v>
      </c>
      <c r="HB59" s="390">
        <f t="shared" si="144"/>
        <v>0.391900528988221</v>
      </c>
      <c r="HC59" s="390">
        <f>HB59*(VLOOKUP($GZ$9,各项系数!$D$1:$F$143,2,0))</f>
        <v>6.66230899279975</v>
      </c>
      <c r="HD59" s="406">
        <f>各项系数!$F$76/4*($MW59^2-$MT59^2)*10^-2*(VLOOKUP($HD$9,各项系数!$D$1:$F$143,3,0))*10^-3*10^2*各项系数!$J$4</f>
        <v>0.393495980534161</v>
      </c>
      <c r="HE59" s="389">
        <v>1</v>
      </c>
      <c r="HF59" s="390">
        <f t="shared" si="145"/>
        <v>0.393495980534161</v>
      </c>
      <c r="HG59" s="390">
        <f>HF59*(VLOOKUP($HD$9,各项系数!$D$1:$F$143,2,0))</f>
        <v>6.68943166908073</v>
      </c>
      <c r="HH59" s="406">
        <f>各项系数!$F$76/4*($MV59^2-$MS59^2)*10^-2*(VLOOKUP($HH$9,各项系数!$D$1:$F$143,3,0))*10^-3*10^2*各项系数!$J$4</f>
        <v>0.391900528988221</v>
      </c>
      <c r="HI59" s="420">
        <v>1</v>
      </c>
      <c r="HJ59" s="390">
        <f t="shared" si="146"/>
        <v>0.391900528988221</v>
      </c>
      <c r="HK59" s="390">
        <f>HJ59*(VLOOKUP($HH$9,各项系数!$D$1:$F$143,2,0))</f>
        <v>6.66230899279975</v>
      </c>
      <c r="HL59" s="406">
        <f>各项系数!$F$76/4*($MW59^2-$MT59^2)*10^-2*(VLOOKUP($HL$9,各项系数!$D$1:$F$143,3,0))*10^-3*10^2*各项系数!$J$4</f>
        <v>0.393495980534161</v>
      </c>
      <c r="HM59" s="420">
        <v>1</v>
      </c>
      <c r="HN59" s="390">
        <f t="shared" si="147"/>
        <v>0.393495980534161</v>
      </c>
      <c r="HO59" s="390">
        <f>HN59*(VLOOKUP($HL$9,各项系数!$D$1:$F$143,2,0))</f>
        <v>6.68943166908073</v>
      </c>
      <c r="HP59" s="406">
        <f>各项系数!$F$76/4*($MV59^2-$MS59^2)*10^-2*(VLOOKUP(AN59,各项系数!$D$1:$F$143,3,0))*10^-3*10^2*各项系数!$J$4</f>
        <v>0.397306053525989</v>
      </c>
      <c r="HQ59" s="389">
        <v>1</v>
      </c>
      <c r="HR59" s="390">
        <f t="shared" si="281"/>
        <v>0.397306053525989</v>
      </c>
      <c r="HS59" s="390">
        <f>HR59*(VLOOKUP(AN59,各项系数!$D$1:$F$143,2,0))</f>
        <v>3.97306053525989</v>
      </c>
      <c r="HT59" s="406">
        <f>各项系数!$F$76/4*($MW59^2-$MT59^2)*10^-2*(VLOOKUP(AN59,各项系数!$D$1:$F$143,3,0))*10^-3*10^2*各项系数!$J$4</f>
        <v>0.398923511300149</v>
      </c>
      <c r="HU59" s="389">
        <v>1</v>
      </c>
      <c r="HV59" s="390">
        <f t="shared" si="282"/>
        <v>0.398923511300149</v>
      </c>
      <c r="HW59" s="390">
        <f>HV59*(VLOOKUP(AN59,各项系数!$D$1:$F$143,2,0))</f>
        <v>3.98923511300149</v>
      </c>
      <c r="HX59" s="406">
        <f>各项系数!$F$76/4*($MV59^2-$MS59^2)*10^-2*(VLOOKUP($HX$9,各项系数!$D$1:$F$143,3,0))*10^-3*10^2*各项系数!$J$4</f>
        <v>0.397306053525989</v>
      </c>
      <c r="HY59" s="420">
        <v>1</v>
      </c>
      <c r="HZ59" s="390">
        <f t="shared" si="283"/>
        <v>0.397306053525989</v>
      </c>
      <c r="IA59" s="390">
        <f>HZ59*(VLOOKUP($HX$9,各项系数!$D$1:$F$143,2,0))</f>
        <v>4.37036658878588</v>
      </c>
      <c r="IB59" s="406">
        <f>各项系数!$F$76/4*($MW59^2-$MT59^2)*10^-2*(VLOOKUP($IB$9,各项系数!$D$1:$F$143,3,0))*10^-3*10^2*各项系数!$J$4</f>
        <v>0.398923511300149</v>
      </c>
      <c r="IC59" s="420">
        <v>1</v>
      </c>
      <c r="ID59" s="390">
        <f t="shared" si="284"/>
        <v>0.398923511300149</v>
      </c>
      <c r="IE59" s="390">
        <f>ID59*(VLOOKUP($IB$9,各项系数!$D$1:$F$143,2,0))</f>
        <v>4.38815862430164</v>
      </c>
      <c r="IF59" s="429"/>
      <c r="IG59" s="406">
        <f t="shared" si="148"/>
        <v>0.0632791971308263</v>
      </c>
      <c r="IH59" s="389">
        <v>1</v>
      </c>
      <c r="II59" s="390">
        <f t="shared" si="285"/>
        <v>0.0632791971308263</v>
      </c>
      <c r="IJ59" s="390">
        <f>II59*(VLOOKUP($IG$8,各项系数!$D$1:$F$143,2,0))</f>
        <v>1.58197992827066</v>
      </c>
      <c r="IK59" s="406">
        <f>(各项系数!$F$76/4*($MX59^2-$MK59^2)*$EG59)*10^-2*(VLOOKUP($IG$8,各项系数!$D$1:$F$143,3,0))*10^-3*10^2*各项系数!$J$4</f>
        <v>0.0632791971308263</v>
      </c>
      <c r="IL59" s="389">
        <f>IK59*(VLOOKUP($IG$8,各项系数!$D$1:$F$143,2,0))</f>
        <v>1.58197992827066</v>
      </c>
      <c r="IM59" s="390">
        <f>(各项系数!$F$76/4*(($MM59+3*$X59)^2-MM59^2)*$EO59)*10^-2*(VLOOKUP($IG$8,各项系数!$D$1:$F$143,3,0))*10^-3*10^2*各项系数!$J$4</f>
        <v>0</v>
      </c>
      <c r="IN59" s="389">
        <f>IM59*(VLOOKUP($IG$8,各项系数!$D$1:$F$143,2,0))</f>
        <v>0</v>
      </c>
      <c r="IO59" s="406">
        <f>各项系数!$F$76/4*($MZ59^2-$MX59^2)*10^-2*(VLOOKUP(L59,各项系数!$D$1:$F$143,3,0))*10^-3*10^2*$ES59*各项系数!$J$4</f>
        <v>0.204186733310935</v>
      </c>
      <c r="IP59" s="389">
        <v>1</v>
      </c>
      <c r="IQ59" s="390">
        <f t="shared" si="286"/>
        <v>0.204186733310935</v>
      </c>
      <c r="IR59" s="367">
        <f>IQ59*(VLOOKUP(L59,各项系数!$D$1:$F$143,2,0))</f>
        <v>2.08270467977154</v>
      </c>
      <c r="IS59" s="406">
        <f>IF($L59&lt;&gt;$IS$9,0,各项系数!$F$76/4*($MZ59^2-$MX59^2)*10^-2*各项系数!$F$12*10^-3*10^2)*$ES59*各项系数!$J$4</f>
        <v>0</v>
      </c>
      <c r="IT59" s="389">
        <v>1</v>
      </c>
      <c r="IU59" s="390">
        <f t="shared" si="287"/>
        <v>0</v>
      </c>
      <c r="IV59" s="367">
        <f>IU59*各项系数!$E$12</f>
        <v>0</v>
      </c>
      <c r="IW59" s="388">
        <f t="shared" si="288"/>
        <v>0.204186733310935</v>
      </c>
      <c r="IX59" s="388">
        <f t="shared" si="289"/>
        <v>2.08270467977154</v>
      </c>
      <c r="IY59" s="447">
        <f>各项系数!$F$76/4*($NB59^2-$MZ59^2*$EG59-$NA59^2*$EO59)*10^-2</f>
        <v>4.09614096159554</v>
      </c>
      <c r="IZ59" s="366">
        <f t="shared" si="231"/>
        <v>1</v>
      </c>
      <c r="JA59" s="367">
        <f t="shared" si="64"/>
        <v>4.09614096159554</v>
      </c>
      <c r="JB59" s="364">
        <f>IF($DE59&lt;&gt;$JB$9,0,$JA59*各项系数!$F$32*10^-3*10^2)*各项系数!$J$4</f>
        <v>0</v>
      </c>
      <c r="JC59" s="123">
        <v>1</v>
      </c>
      <c r="JD59" s="251">
        <f t="shared" si="290"/>
        <v>0</v>
      </c>
      <c r="JE59" s="339">
        <f>JD59*各项系数!$E$32</f>
        <v>0</v>
      </c>
      <c r="JF59" s="364">
        <f>IF($DE59&lt;&gt;$JF$9,0,$JA59*VLOOKUP($JF$9,各项系数!$D$4:$F$540,2,0)*10^-3*10^2)*各项系数!$J$4</f>
        <v>2.03783012839378</v>
      </c>
      <c r="JG59" s="123">
        <v>1</v>
      </c>
      <c r="JH59" s="251">
        <f t="shared" si="66"/>
        <v>2.03783012839378</v>
      </c>
      <c r="JI59" s="339">
        <f>JH59*VLOOKUP($JF$9,各项系数!$D$4:$F$540,3,0)</f>
        <v>2.44539615407254</v>
      </c>
      <c r="JJ59" s="364">
        <f t="shared" si="291"/>
        <v>2.03783012839378</v>
      </c>
      <c r="JK59" s="251">
        <f t="shared" si="292"/>
        <v>2.44539615407254</v>
      </c>
      <c r="JL59" s="364">
        <f>IF($DF59&lt;&gt;$JL$9,0,各项系数!$F$76/4*($NE59^2-$NC59^2)*10^-2*各项系数!$F$39*10^-3*10^2)*各项系数!$J$4</f>
        <v>0.00431467131964043</v>
      </c>
      <c r="JM59" s="123">
        <v>1</v>
      </c>
      <c r="JN59" s="251">
        <f t="shared" si="293"/>
        <v>0.00431467131964043</v>
      </c>
      <c r="JO59" s="339">
        <f>JN59*各项系数!$E$39</f>
        <v>0.0862934263928085</v>
      </c>
      <c r="JP59" s="364">
        <f>IF($DF59&lt;&gt;$JP$9,0,各项系数!$F$76/4*($NE59^2-$NC59^2)*10^-2*各项系数!$F$36*10^-3*10^2)*各项系数!$J$4</f>
        <v>0</v>
      </c>
      <c r="JQ59" s="123">
        <v>1</v>
      </c>
      <c r="JR59" s="251">
        <f t="shared" si="294"/>
        <v>0</v>
      </c>
      <c r="JS59" s="339">
        <f>JR59*各项系数!$E$36</f>
        <v>0</v>
      </c>
      <c r="JT59" s="364">
        <f>IF($DF59&lt;&gt;$JT$9,0,各项系数!$F$76/4*($NE59^2-$NC59^2)*10^-2*各项系数!$F$40*10^-3*10^2)*各项系数!$J$4</f>
        <v>0</v>
      </c>
      <c r="JU59" s="123">
        <v>1</v>
      </c>
      <c r="JV59" s="251">
        <f t="shared" si="295"/>
        <v>0</v>
      </c>
      <c r="JW59" s="339">
        <f>JV59*各项系数!$E$40</f>
        <v>0</v>
      </c>
      <c r="JX59" s="364">
        <f>IF($DF59&lt;&gt;$JX$9,0,各项系数!$F$76/4*($NE59^2-$NC59^2)*10^-2*各项系数!$F$38*10^-3*10^2)*各项系数!$J$4</f>
        <v>0</v>
      </c>
      <c r="JY59" s="123">
        <v>1</v>
      </c>
      <c r="JZ59" s="251">
        <f t="shared" si="296"/>
        <v>0</v>
      </c>
      <c r="KA59" s="339">
        <f>JZ59*各项系数!$E$38</f>
        <v>0</v>
      </c>
      <c r="KB59" s="364">
        <f>IF($DF59&lt;&gt;$KB$9,0,各项系数!$F$76/4*($NE59^2-$NC59^2)*10^-2*各项系数!$F$41*10^-3*10^2)*各项系数!$J$4</f>
        <v>0</v>
      </c>
      <c r="KC59" s="123">
        <v>1</v>
      </c>
      <c r="KD59" s="251">
        <f t="shared" si="297"/>
        <v>0</v>
      </c>
      <c r="KE59" s="339">
        <f>KD59*各项系数!$E$41</f>
        <v>0</v>
      </c>
      <c r="KF59" s="251">
        <f t="shared" si="298"/>
        <v>0.00431467131964043</v>
      </c>
      <c r="KG59" s="251">
        <f t="shared" si="299"/>
        <v>0.0862934263928085</v>
      </c>
      <c r="KH59" s="302">
        <f>各项系数!$F$76/4*($NG59^2-$NE59^2)*10^-2*各项系数!$F$44*10^-3*10^2*各项系数!$J$4*0.75*$U59</f>
        <v>1.07832277812702</v>
      </c>
      <c r="KI59" s="123">
        <v>1</v>
      </c>
      <c r="KJ59" s="251">
        <f t="shared" si="300"/>
        <v>1.07832277812702</v>
      </c>
      <c r="KK59" s="251">
        <f>ROUND(KJ59*各项系数!$E$43,GT59)</f>
        <v>6</v>
      </c>
      <c r="KL59" s="302">
        <f>各项系数!$F$76/4*($NF59^2-$NE59^2)*10^-2*各项系数!$F$46*10^-3*10^2*各项系数!$J$4*PI()/4*R59</f>
        <v>0.0538364395933303</v>
      </c>
      <c r="KM59" s="123">
        <v>1</v>
      </c>
      <c r="KN59" s="251">
        <f t="shared" si="301"/>
        <v>0.0538364395933303</v>
      </c>
      <c r="KO59" s="251">
        <f>KN59*各项系数!$E$46</f>
        <v>3.63395967254979</v>
      </c>
      <c r="KP59" s="302">
        <f>各项系数!$F$76/4*($NH59^2-$NE59^2)*10^-2*(VLOOKUP($KP$9,各项系数!$D$1:$F$143,3,0))*10^-3*10^2*各项系数!$J$4</f>
        <v>0.405461867128713</v>
      </c>
      <c r="KQ59" s="123">
        <v>1</v>
      </c>
      <c r="KR59" s="251">
        <f t="shared" si="150"/>
        <v>0.405461867128713</v>
      </c>
      <c r="KS59" s="251">
        <f>KR59*(VLOOKUP($KP$9,各项系数!$D$1:$F$143,2,0))</f>
        <v>6.89285174118812</v>
      </c>
      <c r="KT59" s="302">
        <f>各项系数!$F$76/4*($NI59^2-$NF59^2)*10^-2*(VLOOKUP($KT$9,各项系数!$D$1:$F$143,3,0))*10^-3*10^2*各项系数!$J$4</f>
        <v>0.407057318674653</v>
      </c>
      <c r="KU59" s="123">
        <v>1</v>
      </c>
      <c r="KV59" s="251">
        <f t="shared" si="151"/>
        <v>0.407057318674653</v>
      </c>
      <c r="KW59" s="251">
        <f>KV59*(VLOOKUP($KT$9,各项系数!$D$1:$F$143,2,0))</f>
        <v>6.9199744174691</v>
      </c>
      <c r="KX59" s="251">
        <f>各项系数!$F$76/4*($NH59^2-$NE59^2)*10^-2*(VLOOKUP($KX$9,各项系数!$D$1:$F$143,3,0))*10^-3*10^2*各项系数!$J$4</f>
        <v>0.405461867128713</v>
      </c>
      <c r="KY59" s="479">
        <v>1</v>
      </c>
      <c r="KZ59" s="251">
        <f t="shared" si="152"/>
        <v>0.405461867128713</v>
      </c>
      <c r="LA59" s="251">
        <f>KZ59*(VLOOKUP($KX$9,各项系数!$D$1:$F$143,2,0))</f>
        <v>6.89285174118812</v>
      </c>
      <c r="LB59" s="251">
        <f>各项系数!$F$76/4*($NI59^2-$NF59^2)*10^-2*(VLOOKUP($LB$9,各项系数!$D$1:$F$143,3,0))*10^-3*10^2*各项系数!$J$4</f>
        <v>0.407057318674653</v>
      </c>
      <c r="LC59" s="479">
        <v>1</v>
      </c>
      <c r="LD59" s="251">
        <f t="shared" si="153"/>
        <v>0.407057318674653</v>
      </c>
      <c r="LE59" s="251">
        <f>LD59*(VLOOKUP($LB$9,各项系数!$D$1:$F$143,2,0))</f>
        <v>6.9199744174691</v>
      </c>
      <c r="LF59" s="302">
        <f>各项系数!$F$76/4*($NH59^2-$NE59^2)*10^-2*(VLOOKUP(AN59,各项系数!$D$1:$F$143,3,0))*10^-3*10^2*各项系数!$J$4</f>
        <v>0.41105444460635</v>
      </c>
      <c r="LG59" s="123">
        <v>1</v>
      </c>
      <c r="LH59" s="251">
        <f t="shared" si="302"/>
        <v>0.41105444460635</v>
      </c>
      <c r="LI59" s="251">
        <f>LH59*(VLOOKUP(AN59,各项系数!$D$1:$F$143,2,0))</f>
        <v>4.1105444460635</v>
      </c>
      <c r="LJ59" s="302">
        <f>各项系数!$F$76/4*($NI59^2-$NF59^2)*10^-2*(VLOOKUP(AN59,各项系数!$D$1:$F$143,3,0))*10^-3*10^2*各项系数!$J$4</f>
        <v>0.41267190238051</v>
      </c>
      <c r="LK59" s="123">
        <v>1</v>
      </c>
      <c r="LL59" s="251">
        <f t="shared" si="303"/>
        <v>0.41267190238051</v>
      </c>
      <c r="LM59" s="251">
        <f>LL59*(VLOOKUP(AN59,各项系数!$D$1:$F$143,2,0))</f>
        <v>4.1267190238051</v>
      </c>
      <c r="LN59" s="251">
        <f>各项系数!$F$76/4*($NH59^2-$NE59^2)*10^-2*(VLOOKUP($LN$9,各项系数!$D$1:$F$143,3,0))*10^-3*10^2*各项系数!$J$4</f>
        <v>0.41105444460635</v>
      </c>
      <c r="LO59" s="479">
        <v>1</v>
      </c>
      <c r="LP59" s="251">
        <f t="shared" si="304"/>
        <v>0.41105444460635</v>
      </c>
      <c r="LQ59" s="251">
        <f>LP59*(VLOOKUP($LN$9,各项系数!$D$1:$F$143,2,0))</f>
        <v>4.52159889066985</v>
      </c>
      <c r="LR59" s="251">
        <f>各项系数!$F$76/4*($NI59^2-$NF59^2)*10^-2*(VLOOKUP($LR$9,各项系数!$D$1:$F$143,3,0))*10^-3*10^2*各项系数!$J$4</f>
        <v>0.41267190238051</v>
      </c>
      <c r="LS59" s="479">
        <v>1</v>
      </c>
      <c r="LT59" s="251">
        <f t="shared" si="305"/>
        <v>0.41267190238051</v>
      </c>
      <c r="LU59" s="251">
        <f>LT59*(VLOOKUP($LR$9,各项系数!$D$1:$F$143,2,0))</f>
        <v>4.53939092618561</v>
      </c>
      <c r="LV59" s="499">
        <f t="shared" si="154"/>
        <v>508.82233972</v>
      </c>
      <c r="LW59" s="499">
        <f t="shared" si="155"/>
        <v>339.21489315</v>
      </c>
      <c r="LX59" s="499">
        <f t="shared" si="156"/>
        <v>20.7822476195837</v>
      </c>
      <c r="LY59" s="515">
        <f t="shared" si="157"/>
        <v>169.60744657</v>
      </c>
      <c r="LZ59" s="516">
        <f t="shared" si="86"/>
        <v>1</v>
      </c>
      <c r="MA59" s="517">
        <f t="shared" si="87"/>
        <v>508.82233972</v>
      </c>
      <c r="MB59" s="517">
        <f t="shared" si="158"/>
        <v>14.69526822</v>
      </c>
      <c r="MC59" s="499">
        <f t="shared" si="159"/>
        <v>0</v>
      </c>
      <c r="MD59" s="499">
        <f t="shared" si="160"/>
        <v>0</v>
      </c>
      <c r="ME59" s="499">
        <f t="shared" si="161"/>
        <v>0</v>
      </c>
      <c r="MF59" s="499">
        <f t="shared" si="162"/>
        <v>0</v>
      </c>
      <c r="MG59" s="516">
        <f t="shared" si="163"/>
        <v>1</v>
      </c>
      <c r="MH59" s="517">
        <f t="shared" si="88"/>
        <v>0</v>
      </c>
      <c r="MI59" s="517">
        <f t="shared" si="164"/>
        <v>0</v>
      </c>
      <c r="MJ59" s="251">
        <f t="shared" si="89"/>
        <v>14.69526822</v>
      </c>
      <c r="MK59" s="251">
        <f t="shared" si="165"/>
        <v>14.69526822</v>
      </c>
      <c r="ML59" s="251">
        <f t="shared" si="306"/>
        <v>0</v>
      </c>
      <c r="MM59" s="251">
        <f t="shared" si="91"/>
        <v>0</v>
      </c>
      <c r="MN59" s="251">
        <f t="shared" si="92"/>
        <v>17.09526822</v>
      </c>
      <c r="MO59" s="251">
        <f t="shared" si="166"/>
        <v>0</v>
      </c>
      <c r="MP59" s="251">
        <f t="shared" si="167"/>
        <v>36.92577936</v>
      </c>
      <c r="MQ59" s="251">
        <f t="shared" si="307"/>
        <v>36.92577936</v>
      </c>
      <c r="MR59" s="314">
        <f t="shared" si="168"/>
        <v>36.92577936</v>
      </c>
      <c r="MS59" s="530">
        <f t="shared" si="94"/>
        <v>37.10177936</v>
      </c>
      <c r="MT59" s="530">
        <f t="shared" si="95"/>
        <v>37.26177936</v>
      </c>
      <c r="MU59" s="530">
        <f t="shared" si="232"/>
        <v>38.60177936</v>
      </c>
      <c r="MV59" s="530">
        <f t="shared" si="97"/>
        <v>41.50177936</v>
      </c>
      <c r="MW59" s="530">
        <f t="shared" si="98"/>
        <v>41.66177936</v>
      </c>
      <c r="MX59" s="326">
        <f t="shared" si="233"/>
        <v>15.29526822</v>
      </c>
      <c r="MY59" s="326">
        <f t="shared" si="100"/>
        <v>0</v>
      </c>
      <c r="MZ59" s="251">
        <f t="shared" si="101"/>
        <v>17.69526822</v>
      </c>
      <c r="NA59" s="251">
        <f t="shared" si="102"/>
        <v>0</v>
      </c>
      <c r="NB59" s="251">
        <f t="shared" si="169"/>
        <v>38.22177936</v>
      </c>
      <c r="NC59" s="326">
        <f t="shared" si="308"/>
        <v>38.22177936</v>
      </c>
      <c r="ND59" s="314">
        <f t="shared" si="234"/>
        <v>38.22177936</v>
      </c>
      <c r="NE59" s="537">
        <f t="shared" si="235"/>
        <v>38.46177936</v>
      </c>
      <c r="NF59" s="530">
        <f t="shared" si="106"/>
        <v>38.62177936</v>
      </c>
      <c r="NG59" s="538">
        <f t="shared" si="236"/>
        <v>39.96177936</v>
      </c>
      <c r="NH59" s="326">
        <f t="shared" si="108"/>
        <v>42.86177936</v>
      </c>
      <c r="NI59" s="530">
        <f t="shared" si="109"/>
        <v>43.02177936</v>
      </c>
      <c r="NK59" s="539">
        <f t="shared" si="110"/>
        <v>4.10016963553351</v>
      </c>
      <c r="NL59" s="539">
        <f t="shared" si="111"/>
        <v>206.569945371971</v>
      </c>
      <c r="NM59" s="539">
        <f t="shared" si="112"/>
        <v>4.10016963553351</v>
      </c>
      <c r="NN59" s="539">
        <f t="shared" si="113"/>
        <v>206.967251425497</v>
      </c>
      <c r="NO59" s="539">
        <f t="shared" si="114"/>
        <v>5.76021452177687</v>
      </c>
      <c r="NP59" s="539">
        <f t="shared" si="115"/>
        <v>209.397400864076</v>
      </c>
      <c r="NQ59" s="539">
        <f t="shared" si="116"/>
        <v>5.76021452177687</v>
      </c>
      <c r="NR59" s="539">
        <f t="shared" si="117"/>
        <v>209.808455308682</v>
      </c>
      <c r="NS59" s="539">
        <f t="shared" si="118"/>
        <v>4.15210638188323</v>
      </c>
      <c r="NT59" s="539">
        <f t="shared" si="119"/>
        <v>4.15210638188323</v>
      </c>
      <c r="NU59" s="539">
        <f t="shared" si="120"/>
        <v>5.8140509613702</v>
      </c>
      <c r="NV59" s="539">
        <f t="shared" si="121"/>
        <v>5.8140509613702</v>
      </c>
      <c r="NW59">
        <f t="shared" si="122"/>
        <v>4.7941181809743</v>
      </c>
      <c r="NX59">
        <f>各项系数!$M$9*NK59</f>
        <v>1.23005089066005</v>
      </c>
      <c r="NY59">
        <f t="shared" si="123"/>
        <v>4.15210638188323</v>
      </c>
    </row>
    <row r="60" customHeight="1" spans="1:389">
      <c r="A60" s="81"/>
      <c r="B60" s="98"/>
      <c r="C60" s="83"/>
      <c r="D60" s="69" t="s">
        <v>234</v>
      </c>
      <c r="E60" s="77">
        <f t="shared" si="255"/>
        <v>44.51531122</v>
      </c>
      <c r="F60" s="84">
        <f>$F$28</f>
        <v>243.335870228497</v>
      </c>
      <c r="G60" s="74"/>
      <c r="H60" s="23"/>
      <c r="I60" s="78"/>
      <c r="J60" s="23"/>
      <c r="K60" s="23"/>
      <c r="L60" s="118" t="s">
        <v>467</v>
      </c>
      <c r="M60" s="124">
        <f t="shared" si="2"/>
        <v>1.4</v>
      </c>
      <c r="N60" s="124">
        <f t="shared" si="252"/>
        <v>0</v>
      </c>
      <c r="O60" s="69">
        <f t="shared" si="312"/>
        <v>0.08</v>
      </c>
      <c r="P60" s="120">
        <v>0.1</v>
      </c>
      <c r="Q60" s="162">
        <f t="shared" si="309"/>
        <v>0.1</v>
      </c>
      <c r="R60" s="86">
        <v>0.8</v>
      </c>
      <c r="S60" s="171" t="str">
        <f>各项系数!$D$43</f>
        <v>钢带</v>
      </c>
      <c r="T60" s="123">
        <v>0.5</v>
      </c>
      <c r="U60" s="123">
        <v>2</v>
      </c>
      <c r="V60" s="169"/>
      <c r="W60" s="170">
        <v>2.3</v>
      </c>
      <c r="X60" s="164">
        <f t="shared" si="310"/>
        <v>0.2</v>
      </c>
      <c r="Y60" s="219"/>
      <c r="Z60" s="220"/>
      <c r="AA60" s="217">
        <f>$AA$28</f>
        <v>1.015</v>
      </c>
      <c r="AB60" s="186">
        <f>PI()*EJ60*EJ60/4*EH60*(1-H60)*AA60*各项系数!$F$5*各项系数!$J$4*10^-7</f>
        <v>1.25260541945236</v>
      </c>
      <c r="AC60" s="186">
        <f t="shared" si="256"/>
        <v>243.335870228497</v>
      </c>
      <c r="AD60" s="186">
        <f t="shared" si="5"/>
        <v>141.608539825376</v>
      </c>
      <c r="AE60" s="186">
        <f>POWER(4*EU60/PI()/EG60/10^-7/EH60/(1-H60)/各项系数!$F$5/各项系数!$J$4,0.5)</f>
        <v>245.154096286311</v>
      </c>
      <c r="AF60" s="218">
        <v>1</v>
      </c>
      <c r="AG60" s="85">
        <f>IF(EM60=0,0,PI()*ER60*ER60/4*EP60*(1-K60)*(1+AF60)*各项系数!$F$5*各项系数!$J$4*10^-7)</f>
        <v>0</v>
      </c>
      <c r="AH60" s="85">
        <f t="shared" si="257"/>
        <v>0</v>
      </c>
      <c r="AI60" s="85">
        <f t="shared" si="128"/>
        <v>0</v>
      </c>
      <c r="AJ60" s="85">
        <f>IF(OR(EP60="",EP60=0),0,POWER(4*EW60/PI()/EO60/10^-7/EP60/(1-K60)/各项系数!$F$5/各项系数!$J$4,0.5))</f>
        <v>0</v>
      </c>
      <c r="AK60" s="85" t="str">
        <f t="shared" si="8"/>
        <v>√</v>
      </c>
      <c r="AL60" s="85">
        <f t="shared" si="258"/>
        <v>262.843685259211</v>
      </c>
      <c r="AM60" s="250">
        <f t="shared" si="259"/>
        <v>150</v>
      </c>
      <c r="AN60" s="118" t="s">
        <v>486</v>
      </c>
      <c r="AO60" s="259">
        <f>AP60+各项系数!$M$9*$NK60</f>
        <v>257.68988750903</v>
      </c>
      <c r="AP60" s="259">
        <f>AQ60*(1+$BI60+(VLOOKUP($AM60,$A$12:$B$323,2,0))+各项系数!$J$6+各项系数!$M$5)*(1+$E$2)</f>
        <v>256.193192996941</v>
      </c>
      <c r="AQ60" s="260">
        <f>AR60+各项系数!$L$9*$NK60</f>
        <v>261.421625507083</v>
      </c>
      <c r="AR60" s="260">
        <f>AS60*(1+$BJ60+各项系数!$J$5+各项系数!$L$5)</f>
        <v>259.924930994994</v>
      </c>
      <c r="AS60" s="260">
        <f t="shared" si="129"/>
        <v>254.828363720582</v>
      </c>
      <c r="AT60" s="259">
        <f>AU60+各项系数!$M$9*$NM60</f>
        <v>260.70858860889</v>
      </c>
      <c r="AU60" s="259">
        <f>AV60*(1+$BI60+(VLOOKUP($AM60,$A$12:$B$323,2,0))+各项系数!$J$6+各项系数!$M$5)*(1+$E$2)</f>
        <v>259.211894096801</v>
      </c>
      <c r="AV60" s="260">
        <f>AW60+各项系数!$L$9*$NM60</f>
        <v>264.501932751838</v>
      </c>
      <c r="AW60" s="260">
        <f>AX60*(1+$BJ60+各项系数!$J$5+各项系数!$L$5)</f>
        <v>263.005238239749</v>
      </c>
      <c r="AX60" s="260">
        <f t="shared" si="130"/>
        <v>257.848272784067</v>
      </c>
      <c r="AY60" s="259">
        <f>AZ60+各项系数!$M$9*$NS60</f>
        <v>261.509474730318</v>
      </c>
      <c r="AZ60" s="259">
        <f>BA60*(1+$BI60+(VLOOKUP($AM60,$A$12:$B$214,2,0))+各项系数!$J$6+各项系数!$M$5)*(1+$E$2)</f>
        <v>259.996020183854</v>
      </c>
      <c r="BA60" s="260">
        <f>BB60+各项系数!$L$9*$NS60</f>
        <v>265.302061412096</v>
      </c>
      <c r="BB60" s="260">
        <f>BC60*(1+$BJ60+各项系数!$J$5+各项系数!$L$5)</f>
        <v>263.788606865631</v>
      </c>
      <c r="BC60" s="262">
        <f t="shared" si="131"/>
        <v>258.616281240815</v>
      </c>
      <c r="BD60" s="259">
        <f>BE60+各项系数!$M$9*$NS60</f>
        <v>264.539616991264</v>
      </c>
      <c r="BE60" s="259">
        <f>BF60*(1+$BI60+(VLOOKUP($AM60,$A$12:$B$214,2,0))+各项系数!$J$6+各项系数!$M$5)*(1+$E$2)</f>
        <v>263.0261624448</v>
      </c>
      <c r="BF60" s="260">
        <f>BG60+各项系数!$L$9*$NS60</f>
        <v>268.39404331102</v>
      </c>
      <c r="BG60" s="260">
        <f>BH60*(1+$BJ60+各项系数!$J$5+各项系数!$L$5)</f>
        <v>266.880588764556</v>
      </c>
      <c r="BH60" s="262">
        <f t="shared" si="132"/>
        <v>261.647636043682</v>
      </c>
      <c r="BI60" s="277"/>
      <c r="BJ60" s="272"/>
      <c r="BK60" s="69" t="s">
        <v>514</v>
      </c>
      <c r="BL60" s="259">
        <f>BM60+各项系数!$M$9*$NM60</f>
        <v>260.637556772664</v>
      </c>
      <c r="BM60" s="259">
        <f>BN60*(1+$CF60+(VLOOKUP($AM60,$A$12:$B$323,2,0))+各项系数!$J$6+各项系数!$M$5)*(1+$E$2)</f>
        <v>259.140862260575</v>
      </c>
      <c r="BN60" s="260">
        <f>BO60+各项系数!$L$9*$NM60</f>
        <v>264.429451286301</v>
      </c>
      <c r="BO60" s="260">
        <f>BP60*(1+$CG60+各项系数!$J$5+各项系数!$L$5)</f>
        <v>262.932756774212</v>
      </c>
      <c r="BP60" s="260">
        <f t="shared" si="133"/>
        <v>255.274521140012</v>
      </c>
      <c r="BQ60" s="259">
        <f>BR60+各项系数!$M$9*$NM60</f>
        <v>263.235501682174</v>
      </c>
      <c r="BR60" s="259">
        <f>BS60*(1+$CF60+(VLOOKUP($AM60,$A$12:$B$323,2,0))+各项系数!$J$6+各项系数!$M$5)*(1+$E$2)</f>
        <v>261.738807170085</v>
      </c>
      <c r="BS60" s="260">
        <f>BT60+各项系数!$L$9*$NM60</f>
        <v>267.080415479678</v>
      </c>
      <c r="BT60" s="260">
        <f>BU60*(1+$CG60+各项系数!$J$5+各项系数!$L$5)</f>
        <v>265.583720967589</v>
      </c>
      <c r="BU60" s="260">
        <f t="shared" si="134"/>
        <v>257.848272784067</v>
      </c>
      <c r="BV60" s="259">
        <f>BW60+各项系数!$M$9*$NT60</f>
        <v>263.020885138988</v>
      </c>
      <c r="BW60" s="259">
        <f>BX60*(1+$CF60+(VLOOKUP($AM60,$A$12:$B$214,2,0))+各项系数!$J$6+各项系数!$M$5)*(1+$E$2)</f>
        <v>261.507430592523</v>
      </c>
      <c r="BX60" s="260">
        <f>BY60+各项系数!$L$9*$NT$12</f>
        <v>266.844316931146</v>
      </c>
      <c r="BY60" s="260">
        <f>BZ60*(1+$CG60+各项系数!$J$5+各项系数!$L$5)</f>
        <v>266.836053527991</v>
      </c>
      <c r="BZ60" s="262">
        <f t="shared" si="11"/>
        <v>259.064129638827</v>
      </c>
      <c r="CA60" s="259">
        <f>CB60+各项系数!$M$9*$NT60</f>
        <v>265.628676504049</v>
      </c>
      <c r="CB60" s="259">
        <f>CC60*(1+$CF60+(VLOOKUP($AM60,$A$12:$B$214,2,0))+各项系数!$J$6+各项系数!$M$5)*(1+$E$2)</f>
        <v>264.115221957585</v>
      </c>
      <c r="CC60" s="260">
        <f>CD60+各项系数!$L$9*$NT$12</f>
        <v>269.505328528148</v>
      </c>
      <c r="CD60" s="260">
        <f>CE60*(1+$CG60+各项系数!$J$5+各项系数!$L$5)</f>
        <v>269.497065124993</v>
      </c>
      <c r="CE60" s="262">
        <f t="shared" si="135"/>
        <v>261.647636043682</v>
      </c>
      <c r="CF60" s="277">
        <f t="shared" si="136"/>
        <v>0</v>
      </c>
      <c r="CG60" s="277">
        <f t="shared" si="12"/>
        <v>0.01</v>
      </c>
      <c r="CH60" s="123"/>
      <c r="CI60" s="259">
        <f>CJ60+各项系数!$M$9*$NO60</f>
        <v>263.411013552127</v>
      </c>
      <c r="CJ60" s="259">
        <f>CK60*(1+$DC60+(VLOOKUP($AM60,$A$12:$B$323,2,0))+各项系数!$J$6+各项系数!$M$5)*(1+$E$2)+各项系数!$M$9*$NK60</f>
        <v>261.343086192869</v>
      </c>
      <c r="CK60" s="260">
        <f>CL60+各项系数!$L$9*$NO60</f>
        <v>265.149379266102</v>
      </c>
      <c r="CL60" s="260">
        <f>CM60*(1+$DD60+各项系数!$J$5+各项系数!$L$5)</f>
        <v>263.081451906844</v>
      </c>
      <c r="CM60" s="260">
        <f t="shared" si="13"/>
        <v>257.922992065533</v>
      </c>
      <c r="CN60" s="259">
        <f>CO60+各项系数!$M$9*$NO60</f>
        <v>266.286038965783</v>
      </c>
      <c r="CO60" s="259">
        <f>CP60*(1+$DC60+(VLOOKUP($AM60,$A$12:$B$323,2,0))+各项系数!$J$6+各项系数!$M$5)*(1+$E$2)+各项系数!$M$9*$NK60</f>
        <v>264.218111606524</v>
      </c>
      <c r="CP60" s="260">
        <f>CQ60+各项系数!$L$9*$NO60</f>
        <v>268.083078667791</v>
      </c>
      <c r="CQ60" s="260">
        <f>CR60*(1+$DD60+各项系数!$J$5+各项系数!$L$5)</f>
        <v>266.015151308533</v>
      </c>
      <c r="CR60" s="260">
        <f t="shared" si="14"/>
        <v>260.799167949542</v>
      </c>
      <c r="CS60" s="259">
        <f>CT60+各项系数!$M$9*$NU60</f>
        <v>265.863212681339</v>
      </c>
      <c r="CT60" s="259">
        <f t="shared" si="15"/>
        <v>263.777955379732</v>
      </c>
      <c r="CU60" s="260">
        <f>CV60+各项系数!$L$9*$NU60</f>
        <v>269.16117895891</v>
      </c>
      <c r="CV60" s="260">
        <f>CW60*(1+$DD60+各项系数!$J$5+各项系数!$L$5)</f>
        <v>267.075921657304</v>
      </c>
      <c r="CW60" s="262">
        <f t="shared" si="16"/>
        <v>261.83913887971</v>
      </c>
      <c r="CX60" s="259">
        <f>CY60+各项系数!$M$9*$NU60</f>
        <v>268.990604811519</v>
      </c>
      <c r="CY60" s="259">
        <f t="shared" si="17"/>
        <v>266.905347509912</v>
      </c>
      <c r="CZ60" s="260">
        <f>DA60+各项系数!$L$9*$NU60</f>
        <v>272.352395418278</v>
      </c>
      <c r="DA60" s="260">
        <f>DB60*(1+$DD60+各项系数!$J$5+各项系数!$L$5)</f>
        <v>270.267138116671</v>
      </c>
      <c r="DB60" s="262">
        <f t="shared" si="18"/>
        <v>264.967782467325</v>
      </c>
      <c r="DC60" s="277">
        <f t="shared" si="137"/>
        <v>0</v>
      </c>
      <c r="DD60" s="277">
        <f t="shared" si="19"/>
        <v>0</v>
      </c>
      <c r="DE60" s="69" t="s">
        <v>498</v>
      </c>
      <c r="DF60" s="69" t="s">
        <v>513</v>
      </c>
      <c r="DG60" s="259">
        <f>DH60+各项系数!$M$9*$NQ60</f>
        <v>266.403518600678</v>
      </c>
      <c r="DH60" s="259">
        <f>DI60*(1+$EA60+(VLOOKUP($AM60,$A$12:$B$323,2,0))+各项系数!$J$6+各项系数!$M$5)*(1+$E$2)+各项系数!$M$9*$NK60</f>
        <v>264.33559124142</v>
      </c>
      <c r="DI60" s="260">
        <f>DJ60+各项系数!$L$9*$NQ60</f>
        <v>268.202955846256</v>
      </c>
      <c r="DJ60" s="260">
        <f>DK60*(1+$EB60+各项系数!$J$5+各项系数!$L$5)</f>
        <v>266.135028486998</v>
      </c>
      <c r="DK60" s="260">
        <f t="shared" si="20"/>
        <v>258.38352280291</v>
      </c>
      <c r="DL60" s="259">
        <f>DM60+各项系数!$M$9*$NQ60</f>
        <v>269.085158382376</v>
      </c>
      <c r="DM60" s="259">
        <f>DN60*(1+$EA60+(VLOOKUP($AM60,$A$12:$B$323,2,0))+各项系数!$J$6+各项系数!$M$5)*(1+$E$2)+各项系数!$M$9*$NK60</f>
        <v>267.017231023118</v>
      </c>
      <c r="DN60" s="260">
        <f>DO60+各项系数!$L$9*$NQ60</f>
        <v>270.939322970437</v>
      </c>
      <c r="DO60" s="260">
        <f>DP60*(1+$EB60+各项系数!$J$5+各项系数!$L$5)</f>
        <v>268.871395611179</v>
      </c>
      <c r="DP60" s="260">
        <f t="shared" si="21"/>
        <v>261.040189913766</v>
      </c>
      <c r="DQ60" s="259">
        <f>DR60+各项系数!$M$9*$NV60</f>
        <v>268.895802842449</v>
      </c>
      <c r="DR60" s="259">
        <f t="shared" si="22"/>
        <v>266.810545540843</v>
      </c>
      <c r="DS60" s="260">
        <f>DT60+各项系数!$L$9*$NV60</f>
        <v>272.255658715146</v>
      </c>
      <c r="DT60" s="260">
        <f>DU60*(1+$EB60+各项系数!$J$5+各项系数!$L$5)</f>
        <v>270.170401413539</v>
      </c>
      <c r="DU60" s="262">
        <f t="shared" si="23"/>
        <v>262.301360595669</v>
      </c>
      <c r="DV60" s="259">
        <f>DW60+各项系数!$M$9*$NV60</f>
        <v>268.970688091244</v>
      </c>
      <c r="DW60" s="259">
        <f t="shared" si="24"/>
        <v>266.885430789638</v>
      </c>
      <c r="DX60" s="260">
        <f>DY60+各项系数!$L$9*$NV60</f>
        <v>272.332072234324</v>
      </c>
      <c r="DY60" s="260">
        <f>DZ60*(1+$EB60+各项系数!$J$5+各项系数!$L$5)</f>
        <v>270.246814932718</v>
      </c>
      <c r="DZ60" s="262">
        <f t="shared" si="25"/>
        <v>262.375548478367</v>
      </c>
      <c r="EA60" s="277">
        <f t="shared" si="311"/>
        <v>0</v>
      </c>
      <c r="EB60" s="277">
        <f t="shared" si="27"/>
        <v>0.01</v>
      </c>
      <c r="EC60" s="302">
        <f t="shared" si="138"/>
        <v>3</v>
      </c>
      <c r="ED60" s="302" t="str">
        <f t="shared" si="266"/>
        <v>3*150</v>
      </c>
      <c r="EE60" s="251">
        <f t="shared" si="239"/>
        <v>150</v>
      </c>
      <c r="EF60" s="251" t="str">
        <f>LOOKUP(EH60,{1,7,10,14,19,24,30,37,48,61},{1,"1+6","2+8","4+10","1+6+12","2+8+14","4+10+16","1+6+12+18","3+9+15+21","1+6+12+18+24"})</f>
        <v>4+10+16</v>
      </c>
      <c r="EG60" s="250">
        <f t="shared" si="29"/>
        <v>3</v>
      </c>
      <c r="EH60" s="260">
        <f>VLOOKUP(EE60,各项系数!$B$87:$C$124,2,0)</f>
        <v>30</v>
      </c>
      <c r="EI60" s="250">
        <f>IF(EH60=0,0,VLOOKUP(EH60,各项系数!$D$142:$E$195,2,0))*1</f>
        <v>6.41</v>
      </c>
      <c r="EJ60" s="305">
        <f t="shared" si="141"/>
        <v>243.335870228497</v>
      </c>
      <c r="EK60" s="251">
        <f t="shared" si="261"/>
        <v>0</v>
      </c>
      <c r="EL60" s="251">
        <f t="shared" si="31"/>
        <v>0</v>
      </c>
      <c r="EM60" s="251">
        <f t="shared" si="267"/>
        <v>0</v>
      </c>
      <c r="EN60" s="251">
        <f>IF(EP60=0,0,LOOKUP(EP60,{1,7,10,14,19,24,30,37,48,61},{1,"1+6","2+8","4+10","1+6+12","2+8+14","4+10+16","1+6+12+18","3+9+15+21","1+6+12+18+24"}))</f>
        <v>0</v>
      </c>
      <c r="EO60" s="251">
        <f t="shared" si="263"/>
        <v>0</v>
      </c>
      <c r="EP60" s="251">
        <f>IF(EM60=0,0,IF(EM60&lt;10,1,IF(AND(EM60&gt;=10,EM60&lt;=35),7,LOOKUP(EM60,{50,70,95,120,150,185,240,300},{10,14,19,24,30,37,48,61})*1)))</f>
        <v>0</v>
      </c>
      <c r="EQ60" s="251">
        <f>IF(EP60=0,0,VLOOKUP(EP60,各项系数!$D$142:$E$195,2,0))*1</f>
        <v>0</v>
      </c>
      <c r="ER60" s="251">
        <f t="shared" si="264"/>
        <v>0</v>
      </c>
      <c r="ES60" s="302">
        <f t="shared" si="250"/>
        <v>3</v>
      </c>
      <c r="ET60" s="251">
        <f>VLOOKUP(ES60,各项系数!$D$142:$E$195,2,0)*1</f>
        <v>2.16</v>
      </c>
      <c r="EU60" s="311">
        <f>((各项系数!$F$76/4*$EJ60^2*$EG60*$EH60*1*10^-7)*(1-$H60)*AA60)*(VLOOKUP($EY$9,各项系数!$D$4:$F$143,3,0))*各项系数!$J$4</f>
        <v>3.75781625835707</v>
      </c>
      <c r="EV60" s="312">
        <f>EU60*(VLOOKUP($EY$9,各项系数!$D$4:$F$143,2,0))</f>
        <v>246.136964922388</v>
      </c>
      <c r="EW60" s="324">
        <f>(IF($EO60=0,0,(各项系数!$F$76/4*$ER60^2*$EO60*$EP60*1*10^-7))*(1-$K60)*$AF60)*(VLOOKUP($EY$9,各项系数!$D$4:$F$143,3,0))*各项系数!$J$4</f>
        <v>0</v>
      </c>
      <c r="EX60" s="325">
        <f>EW60*(VLOOKUP($EY$9,各项系数!$D$4:$F$143,2,0))</f>
        <v>0</v>
      </c>
      <c r="EY60" s="251">
        <f>((各项系数!$F$76/4*$EJ60^2*$EG60*$EH60*1*10^-7)*(1-$H60)*AA60+IF($EO60=0,0,(各项系数!$F$76/4*$ER60^2*$EO60*$EP60*1*10^-7))*(1-$K60)*$AF60)*(VLOOKUP($EY$9,各项系数!$D$4:$F$143,3,0))*各项系数!$J$4</f>
        <v>3.75781625835707</v>
      </c>
      <c r="EZ60" s="123">
        <v>1</v>
      </c>
      <c r="FA60" s="251">
        <f t="shared" si="268"/>
        <v>3.75781625835707</v>
      </c>
      <c r="FB60" s="326">
        <f>FA60*(VLOOKUP($EY$9,各项系数!$D$4:$F$143,2,0))</f>
        <v>246.136964922388</v>
      </c>
      <c r="FC60" s="327"/>
      <c r="FD60" s="302">
        <f>各项系数!$F$76/4*($MN60^2-MK60^2)*10^-2*(VLOOKUP(L60,各项系数!$D$1:$F$143,3,0))*10^-3*10^2*$EG60*各项系数!$J$4</f>
        <v>0.245475634791144</v>
      </c>
      <c r="FE60" s="339">
        <f>FD60*VLOOKUP(L60,各项系数!$D$1:$F$143,2,0)</f>
        <v>2.50385147486967</v>
      </c>
      <c r="FF60" s="250">
        <f>各项系数!$F$76/4*($MO60^2-ML60^2)*10^-2*(VLOOKUP(L60,各项系数!$D$1:$F$143,3,0))*10^-3*10^2*$EO60*各项系数!$J$4</f>
        <v>0</v>
      </c>
      <c r="FG60" s="339">
        <f>FF60*VLOOKUP(L60,各项系数!$D$1:$F$143,2,0)</f>
        <v>0</v>
      </c>
      <c r="FH60" s="302">
        <f t="shared" si="142"/>
        <v>0.245475634791144</v>
      </c>
      <c r="FI60" s="123">
        <v>1</v>
      </c>
      <c r="FJ60" s="251">
        <f t="shared" si="269"/>
        <v>0.245475634791144</v>
      </c>
      <c r="FK60" s="339">
        <f>FJ60*VLOOKUP(L60,各项系数!$D$1:$F$143,2,0)</f>
        <v>2.50385147486967</v>
      </c>
      <c r="FL60" s="302"/>
      <c r="FM60" s="123"/>
      <c r="FN60" s="251"/>
      <c r="FO60" s="339"/>
      <c r="FP60" s="364">
        <f t="shared" si="270"/>
        <v>0.245475634791144</v>
      </c>
      <c r="FQ60" s="364">
        <f t="shared" si="271"/>
        <v>2.50385147486967</v>
      </c>
      <c r="FR60" s="365">
        <f>各项系数!$F$76/4*($MQ60^2-$MN60^2*$EG60-$MO60^2*$EO60)*10^-2</f>
        <v>4.42785878766496</v>
      </c>
      <c r="FS60" s="366">
        <f t="shared" si="143"/>
        <v>1</v>
      </c>
      <c r="FT60" s="367">
        <f t="shared" si="40"/>
        <v>4.42785878766496</v>
      </c>
      <c r="FU60" s="388">
        <f>$FT60*(VLOOKUP($FT$9,各项系数!$D$1:$F$143,3,0))*10^-3*10^2*各项系数!$J$55</f>
        <v>0.528686339247196</v>
      </c>
      <c r="FV60" s="389">
        <v>1</v>
      </c>
      <c r="FW60" s="390">
        <f t="shared" si="272"/>
        <v>0.528686339247196</v>
      </c>
      <c r="FX60" s="367">
        <f>FW60*(VLOOKUP($FT$9,各项系数!$D$1:$F$143,2,0))</f>
        <v>1.58605901774159</v>
      </c>
      <c r="FY60" s="388">
        <f>IF($BK60&lt;&gt;$FY$9,0,各项系数!$F$76/4*($MS60^2-$MQ60^2)*10^-2*(VLOOKUP($FY$9,各项系数!$D$1:$F$143,3,0))*10^-3*10^2)*各项系数!$J$4</f>
        <v>0</v>
      </c>
      <c r="FZ60" s="389">
        <v>1</v>
      </c>
      <c r="GA60" s="390">
        <f t="shared" si="273"/>
        <v>0</v>
      </c>
      <c r="GB60" s="367">
        <f>GA60*(VLOOKUP($FY$9,各项系数!$D$1:$F$143,2,0))</f>
        <v>0</v>
      </c>
      <c r="GC60" s="388">
        <f>IF($BK60&lt;&gt;$GC$9,0,各项系数!$F$76/4*($MS60^2-$MQ60^2)*10^-2*(VLOOKUP($GC$9,各项系数!$D$1:$F$143,3,0))*10^-3*10^2)*各项系数!$J$4</f>
        <v>0.0108460551386255</v>
      </c>
      <c r="GD60" s="389">
        <v>1</v>
      </c>
      <c r="GE60" s="390">
        <f t="shared" si="274"/>
        <v>0.0108460551386255</v>
      </c>
      <c r="GF60" s="367">
        <f>GE60*(VLOOKUP($GC$9,各项系数!$D$1:$F$143,2,0))</f>
        <v>0.139914111288269</v>
      </c>
      <c r="GG60" s="388">
        <f>IF($BK60&lt;&gt;$GG$9,0,各项系数!$F$76/4*($MS60^2-$MQ60^2)*10^-2*(VLOOKUP($GG$9,各项系数!$D$1:$F$143,3,0))*10^-3*10^2)*各项系数!$J$4</f>
        <v>0</v>
      </c>
      <c r="GH60" s="389">
        <v>1</v>
      </c>
      <c r="GI60" s="390">
        <f t="shared" si="275"/>
        <v>0</v>
      </c>
      <c r="GJ60" s="367">
        <f>GI60*(VLOOKUP($GG$9,各项系数!$D$1:$F$143,2,0))</f>
        <v>0</v>
      </c>
      <c r="GK60" s="388">
        <f>IF($BK60&lt;&gt;$GK$9,0,各项系数!$F$76/4*($MS60^2-$MQ60^2)*10^-2*(VLOOKUP($GK$9,各项系数!$D$1:$F$143,3,0))*10^-3*10^2)*各项系数!$J$4</f>
        <v>0</v>
      </c>
      <c r="GL60" s="389">
        <v>1</v>
      </c>
      <c r="GM60" s="390">
        <f t="shared" si="276"/>
        <v>0</v>
      </c>
      <c r="GN60" s="367">
        <f>GM60*(VLOOKUP($GK$9,各项系数!$D$1:$F$143,2,0))</f>
        <v>0</v>
      </c>
      <c r="GO60" s="390">
        <f t="shared" si="277"/>
        <v>0.0108460551386255</v>
      </c>
      <c r="GP60" s="390">
        <f t="shared" si="278"/>
        <v>0.139914111288269</v>
      </c>
      <c r="GQ60" s="406">
        <f>各项系数!$F$76/4*($MU60^2-$MS60^2)*10^-2*(VLOOKUP($S60,各项系数!$D$1:$F$143,3,0))*10^-3*10^2*各项系数!$J$4</f>
        <v>0.745529907659707</v>
      </c>
      <c r="GR60" s="389">
        <v>1</v>
      </c>
      <c r="GS60" s="390">
        <f t="shared" si="279"/>
        <v>0.745529907659707</v>
      </c>
      <c r="GT60" s="390">
        <f t="shared" si="200"/>
        <v>0</v>
      </c>
      <c r="GU60" s="390">
        <f>ROUND($GS60*(VLOOKUP($S60,各项系数!$D$1:$F$143,2,0))+$E$3*GS60,GT60)</f>
        <v>4</v>
      </c>
      <c r="GV60" s="406">
        <f>各项系数!$F$76/4*($MT60^2-$MS60^2)*10^-2*(VLOOKUP($GV$9,各项系数!$D$1:$F$143,3,0))*10^-3*10^2*各项系数!$J$4*PI()/4*R60</f>
        <v>0.0558667812505468</v>
      </c>
      <c r="GW60" s="389">
        <v>1</v>
      </c>
      <c r="GX60" s="390">
        <f t="shared" si="280"/>
        <v>0.0558667812505468</v>
      </c>
      <c r="GY60" s="390">
        <f>$GX60*(VLOOKUP($GV$9,各项系数!$D$1:$F$143,2,0))</f>
        <v>3.77100773441191</v>
      </c>
      <c r="GZ60" s="406">
        <f>各项系数!$F$76/4*($MV60^2-$MS60^2)*10^-2*(VLOOKUP($GZ$9,各项系数!$D$1:$F$143,3,0))*10^-3*10^2*各项系数!$J$4</f>
        <v>0.440087250457632</v>
      </c>
      <c r="HA60" s="389">
        <v>1</v>
      </c>
      <c r="HB60" s="390">
        <f t="shared" si="144"/>
        <v>0.440087250457632</v>
      </c>
      <c r="HC60" s="390">
        <f>HB60*(VLOOKUP($GZ$9,各项系数!$D$1:$F$143,2,0))</f>
        <v>7.48148325777975</v>
      </c>
      <c r="HD60" s="406">
        <f>各项系数!$F$76/4*($MW60^2-$MT60^2)*10^-2*(VLOOKUP($HD$9,各项系数!$D$1:$F$143,3,0))*10^-3*10^2*各项系数!$J$4</f>
        <v>0.441755222528388</v>
      </c>
      <c r="HE60" s="389">
        <v>1</v>
      </c>
      <c r="HF60" s="390">
        <f t="shared" si="145"/>
        <v>0.441755222528388</v>
      </c>
      <c r="HG60" s="390">
        <f>HF60*(VLOOKUP($HD$9,各项系数!$D$1:$F$143,2,0))</f>
        <v>7.5098387829826</v>
      </c>
      <c r="HH60" s="406">
        <f>各项系数!$F$76/4*($MV60^2-$MS60^2)*10^-2*(VLOOKUP($HH$9,各项系数!$D$1:$F$143,3,0))*10^-3*10^2*各项系数!$J$4</f>
        <v>0.440087250457632</v>
      </c>
      <c r="HI60" s="420">
        <v>1</v>
      </c>
      <c r="HJ60" s="390">
        <f t="shared" si="146"/>
        <v>0.440087250457632</v>
      </c>
      <c r="HK60" s="390">
        <f>HJ60*(VLOOKUP($HH$9,各项系数!$D$1:$F$143,2,0))</f>
        <v>7.48148325777975</v>
      </c>
      <c r="HL60" s="406">
        <f>各项系数!$F$76/4*($MW60^2-$MT60^2)*10^-2*(VLOOKUP($HL$9,各项系数!$D$1:$F$143,3,0))*10^-3*10^2*各项系数!$J$4</f>
        <v>0.441755222528388</v>
      </c>
      <c r="HM60" s="420">
        <v>1</v>
      </c>
      <c r="HN60" s="390">
        <f t="shared" si="147"/>
        <v>0.441755222528388</v>
      </c>
      <c r="HO60" s="390">
        <f>HN60*(VLOOKUP($HL$9,各项系数!$D$1:$F$143,2,0))</f>
        <v>7.5098387829826</v>
      </c>
      <c r="HP60" s="406">
        <f>各项系数!$F$76/4*($MV60^2-$MS60^2)*10^-2*(VLOOKUP(AN60,各项系数!$D$1:$F$143,3,0))*10^-3*10^2*各项系数!$J$4</f>
        <v>0.446157419429462</v>
      </c>
      <c r="HQ60" s="389">
        <v>1</v>
      </c>
      <c r="HR60" s="390">
        <f t="shared" si="281"/>
        <v>0.446157419429462</v>
      </c>
      <c r="HS60" s="390">
        <f>HR60*(VLOOKUP(AN60,各项系数!$D$1:$F$143,2,0))</f>
        <v>4.46157419429462</v>
      </c>
      <c r="HT60" s="406">
        <f>各项系数!$F$76/4*($MW60^2-$MT60^2)*10^-2*(VLOOKUP(AN60,各项系数!$D$1:$F$143,3,0))*10^-3*10^2*各项系数!$J$4</f>
        <v>0.447848398011539</v>
      </c>
      <c r="HU60" s="389">
        <v>1</v>
      </c>
      <c r="HV60" s="390">
        <f t="shared" si="282"/>
        <v>0.447848398011539</v>
      </c>
      <c r="HW60" s="390">
        <f>HV60*(VLOOKUP(AN60,各项系数!$D$1:$F$143,2,0))</f>
        <v>4.47848398011539</v>
      </c>
      <c r="HX60" s="406">
        <f>各项系数!$F$76/4*($MV60^2-$MS60^2)*10^-2*(VLOOKUP($HX$9,各项系数!$D$1:$F$143,3,0))*10^-3*10^2*各项系数!$J$4</f>
        <v>0.446157419429462</v>
      </c>
      <c r="HY60" s="420">
        <v>1</v>
      </c>
      <c r="HZ60" s="390">
        <f t="shared" si="283"/>
        <v>0.446157419429462</v>
      </c>
      <c r="IA60" s="390">
        <f>HZ60*(VLOOKUP($HX$9,各项系数!$D$1:$F$143,2,0))</f>
        <v>4.90773161372408</v>
      </c>
      <c r="IB60" s="406">
        <f>各项系数!$F$76/4*($MW60^2-$MT60^2)*10^-2*(VLOOKUP($IB$9,各项系数!$D$1:$F$143,3,0))*10^-3*10^2*各项系数!$J$4</f>
        <v>0.447848398011539</v>
      </c>
      <c r="IC60" s="420">
        <v>1</v>
      </c>
      <c r="ID60" s="390">
        <f t="shared" si="284"/>
        <v>0.447848398011539</v>
      </c>
      <c r="IE60" s="390">
        <f>ID60*(VLOOKUP($IB$9,各项系数!$D$1:$F$143,2,0))</f>
        <v>4.92633237812692</v>
      </c>
      <c r="IF60" s="429"/>
      <c r="IG60" s="406">
        <f t="shared" si="148"/>
        <v>0.0670879545179987</v>
      </c>
      <c r="IH60" s="389">
        <v>1</v>
      </c>
      <c r="II60" s="390">
        <f t="shared" si="285"/>
        <v>0.0670879545179987</v>
      </c>
      <c r="IJ60" s="390">
        <f>II60*(VLOOKUP($IG$8,各项系数!$D$1:$F$143,2,0))</f>
        <v>1.67719886294997</v>
      </c>
      <c r="IK60" s="406">
        <f>(各项系数!$F$76/4*($MX60^2-$MK60^2)*$EG60)*10^-2*(VLOOKUP($IG$8,各项系数!$D$1:$F$143,3,0))*10^-3*10^2*各项系数!$J$4</f>
        <v>0.0670879545179987</v>
      </c>
      <c r="IL60" s="389">
        <f>IK60*(VLOOKUP($IG$8,各项系数!$D$1:$F$143,2,0))</f>
        <v>1.67719886294997</v>
      </c>
      <c r="IM60" s="390">
        <f>(各项系数!$F$76/4*(($MM60+3*$X60)^2-MM60^2)*$EO60)*10^-2*(VLOOKUP($IG$8,各项系数!$D$1:$F$143,3,0))*10^-3*10^2*各项系数!$J$4</f>
        <v>0</v>
      </c>
      <c r="IN60" s="389">
        <f>IM60*(VLOOKUP($IG$8,各项系数!$D$1:$F$143,2,0))</f>
        <v>0</v>
      </c>
      <c r="IO60" s="406">
        <f>各项系数!$F$76/4*($MZ60^2-$MX60^2)*10^-2*(VLOOKUP(L60,各项系数!$D$1:$F$143,3,0))*10^-3*10^2*$ES60*各项系数!$J$4</f>
        <v>0.254140587152717</v>
      </c>
      <c r="IP60" s="389">
        <v>1</v>
      </c>
      <c r="IQ60" s="390">
        <f t="shared" si="286"/>
        <v>0.254140587152717</v>
      </c>
      <c r="IR60" s="367">
        <f>IQ60*(VLOOKUP(L60,各项系数!$D$1:$F$143,2,0))</f>
        <v>2.59223398895771</v>
      </c>
      <c r="IS60" s="406">
        <f>IF($L60&lt;&gt;$IS$9,0,各项系数!$F$76/4*($MZ60^2-$MX60^2)*10^-2*各项系数!$F$12*10^-3*10^2)*$ES60*各项系数!$J$4</f>
        <v>0</v>
      </c>
      <c r="IT60" s="389">
        <v>1</v>
      </c>
      <c r="IU60" s="390">
        <f t="shared" si="287"/>
        <v>0</v>
      </c>
      <c r="IV60" s="367">
        <f>IU60*各项系数!$E$12</f>
        <v>0</v>
      </c>
      <c r="IW60" s="388">
        <f t="shared" si="288"/>
        <v>0.254140587152717</v>
      </c>
      <c r="IX60" s="388">
        <f t="shared" si="289"/>
        <v>2.59223398895771</v>
      </c>
      <c r="IY60" s="447">
        <f>各项系数!$F$76/4*($NB60^2-$MZ60^2*$EG60-$NA60^2*$EO60)*10^-2</f>
        <v>4.72137563188151</v>
      </c>
      <c r="IZ60" s="366">
        <f t="shared" si="231"/>
        <v>1</v>
      </c>
      <c r="JA60" s="367">
        <f t="shared" si="64"/>
        <v>4.72137563188151</v>
      </c>
      <c r="JB60" s="364">
        <f>IF($DE60&lt;&gt;$JB$9,0,$JA60*各项系数!$F$32*10^-3*10^2)*各项系数!$J$4</f>
        <v>0</v>
      </c>
      <c r="JC60" s="123">
        <v>1</v>
      </c>
      <c r="JD60" s="251">
        <f t="shared" si="290"/>
        <v>0</v>
      </c>
      <c r="JE60" s="339">
        <f>JD60*各项系数!$E$32</f>
        <v>0</v>
      </c>
      <c r="JF60" s="364">
        <f>IF($DE60&lt;&gt;$JF$9,0,$JA60*VLOOKUP($JF$9,各项系数!$D$4:$F$540,2,0)*10^-3*10^2)*各项系数!$J$4</f>
        <v>2.34888437686105</v>
      </c>
      <c r="JG60" s="123">
        <v>1</v>
      </c>
      <c r="JH60" s="251">
        <f t="shared" si="66"/>
        <v>2.34888437686105</v>
      </c>
      <c r="JI60" s="339">
        <f>JH60*VLOOKUP($JF$9,各项系数!$D$4:$F$540,3,0)</f>
        <v>2.81866125223326</v>
      </c>
      <c r="JJ60" s="364">
        <f t="shared" si="291"/>
        <v>2.34888437686105</v>
      </c>
      <c r="JK60" s="251">
        <f t="shared" si="292"/>
        <v>2.81866125223326</v>
      </c>
      <c r="JL60" s="364">
        <f>IF($DF60&lt;&gt;$JL$9,0,各项系数!$F$76/4*($NE60^2-$NC60^2)*10^-2*各项系数!$F$39*10^-3*10^2)*各项系数!$J$4</f>
        <v>0.00463128326164905</v>
      </c>
      <c r="JM60" s="123">
        <v>1</v>
      </c>
      <c r="JN60" s="251">
        <f t="shared" si="293"/>
        <v>0.00463128326164905</v>
      </c>
      <c r="JO60" s="339">
        <f>JN60*各项系数!$E$39</f>
        <v>0.0926256652329809</v>
      </c>
      <c r="JP60" s="364">
        <f>IF($DF60&lt;&gt;$JP$9,0,各项系数!$F$76/4*($NE60^2-$NC60^2)*10^-2*各项系数!$F$36*10^-3*10^2)*各项系数!$J$4</f>
        <v>0</v>
      </c>
      <c r="JQ60" s="123">
        <v>1</v>
      </c>
      <c r="JR60" s="251">
        <f t="shared" si="294"/>
        <v>0</v>
      </c>
      <c r="JS60" s="339">
        <f>JR60*各项系数!$E$36</f>
        <v>0</v>
      </c>
      <c r="JT60" s="364">
        <f>IF($DF60&lt;&gt;$JT$9,0,各项系数!$F$76/4*($NE60^2-$NC60^2)*10^-2*各项系数!$F$40*10^-3*10^2)*各项系数!$J$4</f>
        <v>0</v>
      </c>
      <c r="JU60" s="123">
        <v>1</v>
      </c>
      <c r="JV60" s="251">
        <f t="shared" si="295"/>
        <v>0</v>
      </c>
      <c r="JW60" s="339">
        <f>JV60*各项系数!$E$40</f>
        <v>0</v>
      </c>
      <c r="JX60" s="364">
        <f>IF($DF60&lt;&gt;$JX$9,0,各项系数!$F$76/4*($NE60^2-$NC60^2)*10^-2*各项系数!$F$38*10^-3*10^2)*各项系数!$J$4</f>
        <v>0</v>
      </c>
      <c r="JY60" s="123">
        <v>1</v>
      </c>
      <c r="JZ60" s="251">
        <f t="shared" si="296"/>
        <v>0</v>
      </c>
      <c r="KA60" s="339">
        <f>JZ60*各项系数!$E$38</f>
        <v>0</v>
      </c>
      <c r="KB60" s="364">
        <f>IF($DF60&lt;&gt;$KB$9,0,各项系数!$F$76/4*($NE60^2-$NC60^2)*10^-2*各项系数!$F$41*10^-3*10^2)*各项系数!$J$4</f>
        <v>0</v>
      </c>
      <c r="KC60" s="123">
        <v>1</v>
      </c>
      <c r="KD60" s="251">
        <f t="shared" si="297"/>
        <v>0</v>
      </c>
      <c r="KE60" s="339">
        <f>KD60*各项系数!$E$41</f>
        <v>0</v>
      </c>
      <c r="KF60" s="251">
        <f t="shared" si="298"/>
        <v>0.00463128326164905</v>
      </c>
      <c r="KG60" s="251">
        <f t="shared" si="299"/>
        <v>0.0926256652329809</v>
      </c>
      <c r="KH60" s="302">
        <f>各项系数!$F$76/4*($NG60^2-$NE60^2)*10^-2*各项系数!$F$44*10^-3*10^2*各项系数!$J$4*0.75*$U60</f>
        <v>1.15569482145538</v>
      </c>
      <c r="KI60" s="123">
        <v>1</v>
      </c>
      <c r="KJ60" s="251">
        <f t="shared" si="300"/>
        <v>1.15569482145538</v>
      </c>
      <c r="KK60" s="251">
        <f>ROUND(KJ60*各项系数!$E$43,GT60)</f>
        <v>7</v>
      </c>
      <c r="KL60" s="302">
        <f>各项系数!$F$76/4*($NF60^2-$NE60^2)*10^-2*各项系数!$F$46*10^-3*10^2*各项系数!$J$4*PI()/4*R60</f>
        <v>0.0577664744941581</v>
      </c>
      <c r="KM60" s="123">
        <v>1</v>
      </c>
      <c r="KN60" s="251">
        <f t="shared" si="301"/>
        <v>0.0577664744941581</v>
      </c>
      <c r="KO60" s="251">
        <f>KN60*各项系数!$E$46</f>
        <v>3.89923702835567</v>
      </c>
      <c r="KP60" s="302">
        <f>各项系数!$F$76/4*($NH60^2-$NE60^2)*10^-2*(VLOOKUP($KP$9,各项系数!$D$1:$F$143,3,0))*10^-3*10^2*各项系数!$J$4</f>
        <v>0.454265013059056</v>
      </c>
      <c r="KQ60" s="123">
        <v>1</v>
      </c>
      <c r="KR60" s="251">
        <f t="shared" si="150"/>
        <v>0.454265013059056</v>
      </c>
      <c r="KS60" s="251">
        <f>KR60*(VLOOKUP($KP$9,各项系数!$D$1:$F$143,2,0))</f>
        <v>7.72250522200396</v>
      </c>
      <c r="KT60" s="302">
        <f>各项系数!$F$76/4*($NI60^2-$NF60^2)*10^-2*(VLOOKUP($KT$9,各项系数!$D$1:$F$143,3,0))*10^-3*10^2*各项系数!$J$4</f>
        <v>0.455932985129812</v>
      </c>
      <c r="KU60" s="123">
        <v>1</v>
      </c>
      <c r="KV60" s="251">
        <f t="shared" si="151"/>
        <v>0.455932985129812</v>
      </c>
      <c r="KW60" s="251">
        <f>KV60*(VLOOKUP($KT$9,各项系数!$D$1:$F$143,2,0))</f>
        <v>7.7508607472068</v>
      </c>
      <c r="KX60" s="251">
        <f>各项系数!$F$76/4*($NH60^2-$NE60^2)*10^-2*(VLOOKUP($KX$9,各项系数!$D$1:$F$143,3,0))*10^-3*10^2*各项系数!$J$4</f>
        <v>0.454265013059056</v>
      </c>
      <c r="KY60" s="479">
        <v>1</v>
      </c>
      <c r="KZ60" s="251">
        <f t="shared" si="152"/>
        <v>0.454265013059056</v>
      </c>
      <c r="LA60" s="251">
        <f>KZ60*(VLOOKUP($KX$9,各项系数!$D$1:$F$143,2,0))</f>
        <v>7.72250522200396</v>
      </c>
      <c r="LB60" s="251">
        <f>各项系数!$F$76/4*($NI60^2-$NF60^2)*10^-2*(VLOOKUP($LB$9,各项系数!$D$1:$F$143,3,0))*10^-3*10^2*各项系数!$J$4</f>
        <v>0.455932985129812</v>
      </c>
      <c r="LC60" s="479">
        <v>1</v>
      </c>
      <c r="LD60" s="251">
        <f t="shared" si="153"/>
        <v>0.455932985129812</v>
      </c>
      <c r="LE60" s="251">
        <f>LD60*(VLOOKUP($LB$9,各项系数!$D$1:$F$143,2,0))</f>
        <v>7.7508607472068</v>
      </c>
      <c r="LF60" s="302">
        <f>各项系数!$F$76/4*($NH60^2-$NE60^2)*10^-2*(VLOOKUP(AN60,各项系数!$D$1:$F$143,3,0))*10^-3*10^2*各项系数!$J$4</f>
        <v>0.460530737377112</v>
      </c>
      <c r="LG60" s="123">
        <v>1</v>
      </c>
      <c r="LH60" s="251">
        <f t="shared" si="302"/>
        <v>0.460530737377112</v>
      </c>
      <c r="LI60" s="251">
        <f>LH60*(VLOOKUP(AN60,各项系数!$D$1:$F$143,2,0))</f>
        <v>4.60530737377112</v>
      </c>
      <c r="LJ60" s="302">
        <f>各项系数!$F$76/4*($NI60^2-$NF60^2)*10^-2*(VLOOKUP(AN60,各项系数!$D$1:$F$143,3,0))*10^-3*10^2*各项系数!$J$4</f>
        <v>0.462221715959189</v>
      </c>
      <c r="LK60" s="123">
        <v>1</v>
      </c>
      <c r="LL60" s="251">
        <f t="shared" si="303"/>
        <v>0.462221715959189</v>
      </c>
      <c r="LM60" s="251">
        <f>LL60*(VLOOKUP(AN60,各项系数!$D$1:$F$143,2,0))</f>
        <v>4.62221715959189</v>
      </c>
      <c r="LN60" s="251">
        <f>各项系数!$F$76/4*($NH60^2-$NE60^2)*10^-2*(VLOOKUP($LN$9,各项系数!$D$1:$F$143,3,0))*10^-3*10^2*各项系数!$J$4</f>
        <v>0.460530737377112</v>
      </c>
      <c r="LO60" s="479">
        <v>1</v>
      </c>
      <c r="LP60" s="251">
        <f t="shared" si="304"/>
        <v>0.460530737377112</v>
      </c>
      <c r="LQ60" s="251">
        <f>LP60*(VLOOKUP($LN$9,各项系数!$D$1:$F$143,2,0))</f>
        <v>5.06583811114824</v>
      </c>
      <c r="LR60" s="251">
        <f>各项系数!$F$76/4*($NI60^2-$NF60^2)*10^-2*(VLOOKUP($LR$9,各项系数!$D$1:$F$143,3,0))*10^-3*10^2*各项系数!$J$4</f>
        <v>0.462221715959189</v>
      </c>
      <c r="LS60" s="479">
        <v>1</v>
      </c>
      <c r="LT60" s="251">
        <f t="shared" si="305"/>
        <v>0.462221715959189</v>
      </c>
      <c r="LU60" s="251">
        <f>LT60*(VLOOKUP($LR$9,各项系数!$D$1:$F$143,2,0))</f>
        <v>5.08443887555107</v>
      </c>
      <c r="LV60" s="499">
        <f t="shared" si="154"/>
        <v>573.24392478</v>
      </c>
      <c r="LW60" s="499">
        <f t="shared" si="155"/>
        <v>418.54740756</v>
      </c>
      <c r="LX60" s="499">
        <f t="shared" si="156"/>
        <v>23.0848675684262</v>
      </c>
      <c r="LY60" s="515">
        <f t="shared" si="157"/>
        <v>154.69651722</v>
      </c>
      <c r="LZ60" s="516">
        <f t="shared" si="86"/>
        <v>1</v>
      </c>
      <c r="MA60" s="517">
        <f t="shared" si="87"/>
        <v>573.24392478</v>
      </c>
      <c r="MB60" s="517">
        <f t="shared" si="158"/>
        <v>15.59782927</v>
      </c>
      <c r="MC60" s="499">
        <f t="shared" si="159"/>
        <v>0</v>
      </c>
      <c r="MD60" s="499">
        <f t="shared" si="160"/>
        <v>0</v>
      </c>
      <c r="ME60" s="499">
        <f t="shared" si="161"/>
        <v>0</v>
      </c>
      <c r="MF60" s="499">
        <f t="shared" si="162"/>
        <v>0</v>
      </c>
      <c r="MG60" s="516">
        <f t="shared" si="163"/>
        <v>1</v>
      </c>
      <c r="MH60" s="517">
        <f t="shared" si="88"/>
        <v>0</v>
      </c>
      <c r="MI60" s="517">
        <f t="shared" si="164"/>
        <v>0</v>
      </c>
      <c r="MJ60" s="251">
        <f t="shared" si="89"/>
        <v>15.59782927</v>
      </c>
      <c r="MK60" s="251">
        <f t="shared" si="165"/>
        <v>15.59782927</v>
      </c>
      <c r="ML60" s="251">
        <f t="shared" si="306"/>
        <v>0</v>
      </c>
      <c r="MM60" s="251">
        <f t="shared" si="91"/>
        <v>0</v>
      </c>
      <c r="MN60" s="251">
        <f t="shared" si="92"/>
        <v>18.39782927</v>
      </c>
      <c r="MO60" s="251">
        <f t="shared" si="166"/>
        <v>0</v>
      </c>
      <c r="MP60" s="251">
        <f t="shared" si="167"/>
        <v>39.73931122</v>
      </c>
      <c r="MQ60" s="251">
        <f t="shared" si="307"/>
        <v>39.73931122</v>
      </c>
      <c r="MR60" s="314">
        <f t="shared" si="168"/>
        <v>39.73931122</v>
      </c>
      <c r="MS60" s="530">
        <f t="shared" si="94"/>
        <v>39.91531122</v>
      </c>
      <c r="MT60" s="530">
        <f t="shared" si="95"/>
        <v>40.07531122</v>
      </c>
      <c r="MU60" s="530">
        <f t="shared" si="232"/>
        <v>41.41531122</v>
      </c>
      <c r="MV60" s="530">
        <f t="shared" si="97"/>
        <v>44.51531122</v>
      </c>
      <c r="MW60" s="530">
        <f t="shared" si="98"/>
        <v>44.67531122</v>
      </c>
      <c r="MX60" s="326">
        <f t="shared" si="233"/>
        <v>16.19782927</v>
      </c>
      <c r="MY60" s="326">
        <f t="shared" si="100"/>
        <v>0</v>
      </c>
      <c r="MZ60" s="251">
        <f t="shared" si="101"/>
        <v>18.99782927</v>
      </c>
      <c r="NA60" s="251">
        <f t="shared" si="102"/>
        <v>0</v>
      </c>
      <c r="NB60" s="251">
        <f t="shared" si="169"/>
        <v>41.03531122</v>
      </c>
      <c r="NC60" s="326">
        <f t="shared" si="308"/>
        <v>41.03531122</v>
      </c>
      <c r="ND60" s="314">
        <f t="shared" si="234"/>
        <v>41.03531122</v>
      </c>
      <c r="NE60" s="537">
        <f t="shared" si="235"/>
        <v>41.27531122</v>
      </c>
      <c r="NF60" s="530">
        <f t="shared" si="106"/>
        <v>41.43531122</v>
      </c>
      <c r="NG60" s="538">
        <f t="shared" si="236"/>
        <v>42.77531122</v>
      </c>
      <c r="NH60" s="326">
        <f t="shared" si="108"/>
        <v>45.87531122</v>
      </c>
      <c r="NI60" s="530">
        <f t="shared" si="109"/>
        <v>46.03531122</v>
      </c>
      <c r="NK60" s="539">
        <f t="shared" si="110"/>
        <v>4.9889817069635</v>
      </c>
      <c r="NL60" s="539">
        <f t="shared" si="111"/>
        <v>254.828363720582</v>
      </c>
      <c r="NM60" s="539">
        <f t="shared" si="112"/>
        <v>4.9889817069635</v>
      </c>
      <c r="NN60" s="539">
        <f t="shared" si="113"/>
        <v>255.274521140012</v>
      </c>
      <c r="NO60" s="539">
        <f t="shared" si="114"/>
        <v>6.8930911975276</v>
      </c>
      <c r="NP60" s="539">
        <f t="shared" si="115"/>
        <v>257.922992065533</v>
      </c>
      <c r="NQ60" s="539">
        <f t="shared" si="116"/>
        <v>6.8930911975276</v>
      </c>
      <c r="NR60" s="539">
        <f t="shared" si="117"/>
        <v>258.38352280291</v>
      </c>
      <c r="NS60" s="539">
        <f t="shared" si="118"/>
        <v>5.04484848821405</v>
      </c>
      <c r="NT60" s="539">
        <f t="shared" si="119"/>
        <v>5.04484848821405</v>
      </c>
      <c r="NU60" s="539">
        <f t="shared" si="120"/>
        <v>6.95085767202176</v>
      </c>
      <c r="NV60" s="539">
        <f t="shared" si="121"/>
        <v>6.95085767202176</v>
      </c>
      <c r="NW60">
        <f t="shared" si="122"/>
        <v>5.73451161462321</v>
      </c>
      <c r="NX60">
        <f>各项系数!$M$9*NK60</f>
        <v>1.49669451208905</v>
      </c>
      <c r="NY60">
        <f t="shared" si="123"/>
        <v>5.04484848821405</v>
      </c>
    </row>
    <row r="61" customHeight="1" spans="1:389">
      <c r="A61" s="81"/>
      <c r="B61" s="98"/>
      <c r="C61" s="83"/>
      <c r="D61" s="69" t="s">
        <v>242</v>
      </c>
      <c r="E61" s="77">
        <f t="shared" si="255"/>
        <v>49.14683015</v>
      </c>
      <c r="F61" s="84">
        <f>$F$29</f>
        <v>245.09808262108</v>
      </c>
      <c r="G61" s="74"/>
      <c r="H61" s="23"/>
      <c r="I61" s="78"/>
      <c r="J61" s="23"/>
      <c r="K61" s="23"/>
      <c r="L61" s="118" t="s">
        <v>467</v>
      </c>
      <c r="M61" s="124">
        <f t="shared" si="2"/>
        <v>1.6</v>
      </c>
      <c r="N61" s="124">
        <f t="shared" si="252"/>
        <v>0</v>
      </c>
      <c r="O61" s="69">
        <f t="shared" si="312"/>
        <v>0.08</v>
      </c>
      <c r="P61" s="120">
        <v>0.1</v>
      </c>
      <c r="Q61" s="162">
        <f t="shared" si="309"/>
        <v>0.1</v>
      </c>
      <c r="R61" s="86">
        <v>0.8</v>
      </c>
      <c r="S61" s="171" t="str">
        <f>各项系数!$D$43</f>
        <v>钢带</v>
      </c>
      <c r="T61" s="123">
        <v>0.5</v>
      </c>
      <c r="U61" s="123">
        <v>2</v>
      </c>
      <c r="V61" s="169"/>
      <c r="W61" s="170">
        <v>2.5</v>
      </c>
      <c r="X61" s="164">
        <f t="shared" si="310"/>
        <v>0.2</v>
      </c>
      <c r="Y61" s="219"/>
      <c r="Z61" s="220"/>
      <c r="AA61" s="217">
        <f>$AA$29</f>
        <v>1.015</v>
      </c>
      <c r="AB61" s="186">
        <f>PI()*EJ61*EJ61/4*EH61*(1-H61)*AA61*各项系数!$F$5*各项系数!$J$4*10^-7</f>
        <v>1.56733675087884</v>
      </c>
      <c r="AC61" s="186">
        <f t="shared" si="256"/>
        <v>245.09808262108</v>
      </c>
      <c r="AD61" s="186">
        <f t="shared" si="5"/>
        <v>177.189293020653</v>
      </c>
      <c r="AE61" s="186">
        <f>POWER(4*EU61/PI()/EG61/10^-7/EH61/(1-H61)/各项系数!$F$5/各项系数!$J$4,0.5)</f>
        <v>246.929476077883</v>
      </c>
      <c r="AF61" s="218">
        <v>1</v>
      </c>
      <c r="AG61" s="85">
        <f>IF(EM61=0,0,PI()*ER61*ER61/4*EP61*(1-K61)*(1+AF61)*各项系数!$F$5*各项系数!$J$4*10^-7)</f>
        <v>0</v>
      </c>
      <c r="AH61" s="85">
        <f t="shared" si="257"/>
        <v>0</v>
      </c>
      <c r="AI61" s="85">
        <f t="shared" si="128"/>
        <v>0</v>
      </c>
      <c r="AJ61" s="85">
        <f>IF(OR(EP61="",EP61=0),0,POWER(4*EW61/PI()/EO61/10^-7/EP61/(1-K61)/各项系数!$F$5/各项系数!$J$4,0.5))</f>
        <v>0</v>
      </c>
      <c r="AK61" s="85" t="str">
        <f t="shared" si="8"/>
        <v>√</v>
      </c>
      <c r="AL61" s="85">
        <f t="shared" si="258"/>
        <v>328.596985141415</v>
      </c>
      <c r="AM61" s="250">
        <f t="shared" si="259"/>
        <v>185</v>
      </c>
      <c r="AN61" s="118" t="s">
        <v>486</v>
      </c>
      <c r="AO61" s="259">
        <f>AP61+各项系数!$M$9*$NK61</f>
        <v>322.153907001387</v>
      </c>
      <c r="AP61" s="259">
        <f>AQ61*(1+$BI61+(VLOOKUP($AM61,$A$12:$B$323,2,0))+各项系数!$J$6+各项系数!$M$5)*(1+$E$2)</f>
        <v>320.291891658664</v>
      </c>
      <c r="AQ61" s="260">
        <f>AR61+各项系数!$L$9*$NK61</f>
        <v>326.828460876188</v>
      </c>
      <c r="AR61" s="260">
        <f>AS61*(1+$BJ61+各项系数!$J$5+各项系数!$L$5)</f>
        <v>324.966445533465</v>
      </c>
      <c r="AS61" s="260">
        <f t="shared" si="129"/>
        <v>318.594554444573</v>
      </c>
      <c r="AT61" s="259">
        <f>AU61+各项系数!$M$9*$NM61</f>
        <v>325.779544894816</v>
      </c>
      <c r="AU61" s="259">
        <f>AV61*(1+$BI61+(VLOOKUP($AM61,$A$12:$B$323,2,0))+各项系数!$J$6+各项系数!$M$5)*(1+$E$2)</f>
        <v>323.917529552093</v>
      </c>
      <c r="AV61" s="260">
        <f>AW61+各项系数!$L$9*$NM61</f>
        <v>330.528091379687</v>
      </c>
      <c r="AW61" s="260">
        <f>AX61*(1+$BJ61+各项系数!$J$5+各项系数!$L$5)</f>
        <v>328.666076036964</v>
      </c>
      <c r="AX61" s="260">
        <f t="shared" si="130"/>
        <v>322.221643173494</v>
      </c>
      <c r="AY61" s="259">
        <f>AZ61+各项系数!$M$9*$NS61</f>
        <v>326.377289465413</v>
      </c>
      <c r="AZ61" s="259">
        <f>BA61*(1+$BI61+(VLOOKUP($AM61,$A$12:$B$214,2,0))+各项系数!$J$6+各项系数!$M$5)*(1+$E$2)</f>
        <v>324.496740870391</v>
      </c>
      <c r="BA61" s="260">
        <f>BB61+各项系数!$L$9*$NS61</f>
        <v>331.119123337133</v>
      </c>
      <c r="BB61" s="260">
        <f>BC61*(1+$BJ61+各项系数!$J$5+各项系数!$L$5)</f>
        <v>329.238574742111</v>
      </c>
      <c r="BC61" s="262">
        <f t="shared" si="131"/>
        <v>322.782916413834</v>
      </c>
      <c r="BD61" s="259">
        <f>BE61+各项系数!$M$9*$NS61</f>
        <v>330.015363403501</v>
      </c>
      <c r="BE61" s="259">
        <f>BF61*(1+$BI61+(VLOOKUP($AM61,$A$12:$B$214,2,0))+各项系数!$J$6+各项系数!$M$5)*(1+$E$2)</f>
        <v>328.134814808479</v>
      </c>
      <c r="BF61" s="260">
        <f>BG61+各项系数!$L$9*$NS61</f>
        <v>334.831443682121</v>
      </c>
      <c r="BG61" s="260">
        <f>BH61*(1+$BJ61+各项系数!$J$5+各项系数!$L$5)</f>
        <v>332.950895087099</v>
      </c>
      <c r="BH61" s="262">
        <f t="shared" si="132"/>
        <v>326.422446163823</v>
      </c>
      <c r="BI61" s="277"/>
      <c r="BJ61" s="272"/>
      <c r="BK61" s="69" t="s">
        <v>514</v>
      </c>
      <c r="BL61" s="259">
        <f>BM61+各项系数!$M$9*$NM61</f>
        <v>325.817032081534</v>
      </c>
      <c r="BM61" s="259">
        <f>BN61*(1+$CF61+(VLOOKUP($AM61,$A$12:$B$323,2,0))+各项系数!$J$6+各项系数!$M$5)*(1+$E$2)</f>
        <v>323.955016738811</v>
      </c>
      <c r="BN61" s="260">
        <f>BO61+各项系数!$L$9*$NM61</f>
        <v>330.566343611031</v>
      </c>
      <c r="BO61" s="260">
        <f>BP61*(1+$CG61+各项系数!$J$5+各项系数!$L$5)</f>
        <v>328.704328268308</v>
      </c>
      <c r="BP61" s="260">
        <f t="shared" si="133"/>
        <v>319.130415794474</v>
      </c>
      <c r="BQ61" s="259">
        <f>BR61+各项系数!$M$9*$NM61</f>
        <v>328.937316997917</v>
      </c>
      <c r="BR61" s="259">
        <f>BS61*(1+$CF61+(VLOOKUP($AM61,$A$12:$B$323,2,0))+各项系数!$J$6+各项系数!$M$5)*(1+$E$2)</f>
        <v>327.075301655194</v>
      </c>
      <c r="BS61" s="260">
        <f>BT61+各项系数!$L$9*$NM61</f>
        <v>333.750307811422</v>
      </c>
      <c r="BT61" s="260">
        <f>BU61*(1+$CG61+各项系数!$J$5+各项系数!$L$5)</f>
        <v>331.888292468699</v>
      </c>
      <c r="BU61" s="260">
        <f t="shared" si="134"/>
        <v>322.221643173494</v>
      </c>
      <c r="BV61" s="259">
        <f>BW61+各项系数!$M$9*$NT61</f>
        <v>328.248476302416</v>
      </c>
      <c r="BW61" s="259">
        <f>BX61*(1+$CF61+(VLOOKUP($AM61,$A$12:$B$214,2,0))+各项系数!$J$6+各项系数!$M$5)*(1+$E$2)</f>
        <v>326.367927707394</v>
      </c>
      <c r="BX61" s="260">
        <f>BY61+各项系数!$L$9*$NT$12</f>
        <v>333.028497660606</v>
      </c>
      <c r="BY61" s="260">
        <f>BZ61*(1+$CG61+各项系数!$J$5+各项系数!$L$5)</f>
        <v>333.020234257451</v>
      </c>
      <c r="BZ61" s="262">
        <f t="shared" si="11"/>
        <v>323.320615783933</v>
      </c>
      <c r="CA61" s="259">
        <f>CB61+各项系数!$M$9*$NT61</f>
        <v>331.379463887877</v>
      </c>
      <c r="CB61" s="259">
        <f>CC61*(1+$CF61+(VLOOKUP($AM61,$A$12:$B$214,2,0))+各项系数!$J$6+各项系数!$M$5)*(1+$E$2)</f>
        <v>329.498915292855</v>
      </c>
      <c r="CC61" s="260">
        <f>CD61+各项系数!$L$9*$NT$12</f>
        <v>336.223382951893</v>
      </c>
      <c r="CD61" s="260">
        <f>CE61*(1+$CG61+各项系数!$J$5+各项系数!$L$5)</f>
        <v>336.215119548738</v>
      </c>
      <c r="CE61" s="262">
        <f t="shared" si="135"/>
        <v>326.422446163823</v>
      </c>
      <c r="CF61" s="277">
        <f t="shared" si="136"/>
        <v>0</v>
      </c>
      <c r="CG61" s="277">
        <f t="shared" si="12"/>
        <v>0.01</v>
      </c>
      <c r="CH61" s="123"/>
      <c r="CI61" s="259">
        <f>CJ61+各项系数!$M$9*$NO61</f>
        <v>328.91709880959</v>
      </c>
      <c r="CJ61" s="259">
        <f>CK61*(1+$DC61+(VLOOKUP($AM61,$A$12:$B$323,2,0))+各项系数!$J$6+各项系数!$M$5)*(1+$E$2)+各项系数!$M$9*$NK61</f>
        <v>326.364087319769</v>
      </c>
      <c r="CK61" s="260">
        <f>CL61+各项系数!$L$9*$NO61</f>
        <v>331.124563241883</v>
      </c>
      <c r="CL61" s="260">
        <f>CM61*(1+$DD61+各项系数!$J$5+各项系数!$L$5)</f>
        <v>328.571551752062</v>
      </c>
      <c r="CM61" s="260">
        <f t="shared" si="13"/>
        <v>322.128972305943</v>
      </c>
      <c r="CN61" s="259">
        <f>CO61+各项系数!$M$9*$NO61</f>
        <v>332.386567478884</v>
      </c>
      <c r="CO61" s="259">
        <f>CP61*(1+$DC61+(VLOOKUP($AM61,$A$12:$B$323,2,0))+各项系数!$J$6+各项系数!$M$5)*(1+$E$2)+各项系数!$M$9*$NK61</f>
        <v>329.833555989063</v>
      </c>
      <c r="CP61" s="260">
        <f>CQ61+各项系数!$L$9*$NO61</f>
        <v>334.664837394224</v>
      </c>
      <c r="CQ61" s="260">
        <f>CR61*(1+$DD61+各项系数!$J$5+各项系数!$L$5)</f>
        <v>332.111825904403</v>
      </c>
      <c r="CR61" s="260">
        <f t="shared" si="14"/>
        <v>325.599829318042</v>
      </c>
      <c r="CS61" s="259">
        <f>CT61+各项系数!$M$9*$NU61</f>
        <v>331.407772350905</v>
      </c>
      <c r="CT61" s="259">
        <f t="shared" si="15"/>
        <v>328.835657700812</v>
      </c>
      <c r="CU61" s="260">
        <f>CV61+各项系数!$L$9*$NU61</f>
        <v>335.546589490624</v>
      </c>
      <c r="CV61" s="260">
        <f>CW61*(1+$DD61+各项系数!$J$5+各项系数!$L$5)</f>
        <v>332.974474840531</v>
      </c>
      <c r="CW61" s="262">
        <f t="shared" si="16"/>
        <v>326.445563569148</v>
      </c>
      <c r="CX61" s="259">
        <f>CY61+各项系数!$M$9*$NU61</f>
        <v>335.151552668596</v>
      </c>
      <c r="CY61" s="259">
        <f t="shared" si="17"/>
        <v>332.579438018502</v>
      </c>
      <c r="CZ61" s="260">
        <f>DA61+各项系数!$L$9*$NU61</f>
        <v>339.366773488268</v>
      </c>
      <c r="DA61" s="260">
        <f>DB61*(1+$DD61+各项系数!$J$5+各项系数!$L$5)</f>
        <v>336.794658838174</v>
      </c>
      <c r="DB61" s="262">
        <f t="shared" si="18"/>
        <v>330.19084199821</v>
      </c>
      <c r="DC61" s="277">
        <f t="shared" si="137"/>
        <v>0</v>
      </c>
      <c r="DD61" s="277">
        <f t="shared" si="19"/>
        <v>0</v>
      </c>
      <c r="DE61" s="69" t="s">
        <v>498</v>
      </c>
      <c r="DF61" s="69" t="s">
        <v>513</v>
      </c>
      <c r="DG61" s="259">
        <f>DH61+各项系数!$M$9*$NQ61</f>
        <v>332.630631214274</v>
      </c>
      <c r="DH61" s="259">
        <f>DI61*(1+$EA61+(VLOOKUP($AM61,$A$12:$B$323,2,0))+各项系数!$J$6+各项系数!$M$5)*(1+$E$2)+各项系数!$M$9*$NK61</f>
        <v>330.077619724453</v>
      </c>
      <c r="DI61" s="260">
        <f>DJ61+各项系数!$L$9*$NQ61</f>
        <v>334.913882022173</v>
      </c>
      <c r="DJ61" s="260">
        <f>DK61*(1+$EB61+各项系数!$J$5+各项系数!$L$5)</f>
        <v>332.360870532352</v>
      </c>
      <c r="DK61" s="260">
        <f t="shared" si="20"/>
        <v>322.680456827526</v>
      </c>
      <c r="DL61" s="259">
        <f>DM61+各项系数!$M$9*$NQ61</f>
        <v>335.841888817818</v>
      </c>
      <c r="DM61" s="259">
        <f>DN61*(1+$EA61+(VLOOKUP($AM61,$A$12:$B$323,2,0))+各项系数!$J$6+各项系数!$M$5)*(1+$E$2)+各项系数!$M$9*$NK61</f>
        <v>333.288877327997</v>
      </c>
      <c r="DN61" s="260">
        <f>DO61+各项系数!$L$9*$NQ61</f>
        <v>338.190675495177</v>
      </c>
      <c r="DO61" s="260">
        <f>DP61*(1+$EB61+各项系数!$J$5+各项系数!$L$5)</f>
        <v>335.637664005356</v>
      </c>
      <c r="DP61" s="260">
        <f t="shared" si="21"/>
        <v>325.861809713938</v>
      </c>
      <c r="DQ61" s="259">
        <f>DR61+各项系数!$M$9*$NV61</f>
        <v>335.165462647557</v>
      </c>
      <c r="DR61" s="259">
        <f t="shared" si="22"/>
        <v>332.593347997463</v>
      </c>
      <c r="DS61" s="260">
        <f>DT61+各项系数!$L$9*$NV61</f>
        <v>339.38096734435</v>
      </c>
      <c r="DT61" s="260">
        <f>DU61*(1+$EB61+各项系数!$J$5+各项系数!$L$5)</f>
        <v>336.808852694257</v>
      </c>
      <c r="DU61" s="262">
        <f t="shared" si="23"/>
        <v>326.998886110929</v>
      </c>
      <c r="DV61" s="259">
        <f>DW61+各项系数!$M$9*$NV61</f>
        <v>335.098108511178</v>
      </c>
      <c r="DW61" s="259">
        <f t="shared" si="24"/>
        <v>332.525993861085</v>
      </c>
      <c r="DX61" s="260">
        <f>DY61+各项系数!$L$9*$NV61</f>
        <v>339.31223863376</v>
      </c>
      <c r="DY61" s="260">
        <f>DZ61*(1+$EB61+各项系数!$J$5+各项系数!$L$5)</f>
        <v>336.740123983667</v>
      </c>
      <c r="DZ61" s="262">
        <f t="shared" si="25"/>
        <v>326.932159207444</v>
      </c>
      <c r="EA61" s="277">
        <f t="shared" si="311"/>
        <v>0</v>
      </c>
      <c r="EB61" s="277">
        <f t="shared" si="27"/>
        <v>0.01</v>
      </c>
      <c r="EC61" s="302">
        <f t="shared" si="138"/>
        <v>3</v>
      </c>
      <c r="ED61" s="302" t="str">
        <f t="shared" si="266"/>
        <v>3*185</v>
      </c>
      <c r="EE61" s="251">
        <f t="shared" si="239"/>
        <v>185</v>
      </c>
      <c r="EF61" s="251" t="str">
        <f>LOOKUP(EH61,{1,7,10,14,19,24,30,37,48,61},{1,"1+6","2+8","4+10","1+6+12","2+8+14","4+10+16","1+6+12+18","3+9+15+21","1+6+12+18+24"})</f>
        <v>1+6+12+18</v>
      </c>
      <c r="EG61" s="250">
        <f t="shared" si="29"/>
        <v>3</v>
      </c>
      <c r="EH61" s="260">
        <f>VLOOKUP(EE61,各项系数!$B$87:$C$124,2,0)</f>
        <v>37</v>
      </c>
      <c r="EI61" s="250">
        <f>IF(EH61=0,0,VLOOKUP(EH61,各项系数!$D$142:$E$195,2,0))*1</f>
        <v>7</v>
      </c>
      <c r="EJ61" s="305">
        <f t="shared" si="141"/>
        <v>245.09808262108</v>
      </c>
      <c r="EK61" s="251">
        <f t="shared" si="261"/>
        <v>0</v>
      </c>
      <c r="EL61" s="251">
        <f t="shared" si="31"/>
        <v>0</v>
      </c>
      <c r="EM61" s="251">
        <f t="shared" si="267"/>
        <v>0</v>
      </c>
      <c r="EN61" s="251">
        <f>IF(EP61=0,0,LOOKUP(EP61,{1,7,10,14,19,24,30,37,48,61},{1,"1+6","2+8","4+10","1+6+12","2+8+14","4+10+16","1+6+12+18","3+9+15+21","1+6+12+18+24"}))</f>
        <v>0</v>
      </c>
      <c r="EO61" s="251">
        <f t="shared" si="263"/>
        <v>0</v>
      </c>
      <c r="EP61" s="251">
        <f>IF(EM61=0,0,IF(EM61&lt;10,1,IF(AND(EM61&gt;=10,EM61&lt;=35),7,LOOKUP(EM61,{50,70,95,120,150,185,240,300},{10,14,19,24,30,37,48,61})*1)))</f>
        <v>0</v>
      </c>
      <c r="EQ61" s="251">
        <f>IF(EP61=0,0,VLOOKUP(EP61,各项系数!$D$142:$E$195,2,0))*1</f>
        <v>0</v>
      </c>
      <c r="ER61" s="251">
        <f t="shared" si="264"/>
        <v>0</v>
      </c>
      <c r="ES61" s="302">
        <f t="shared" si="250"/>
        <v>3</v>
      </c>
      <c r="ET61" s="251">
        <f>VLOOKUP(ES61,各项系数!$D$142:$E$195,2,0)*1</f>
        <v>2.16</v>
      </c>
      <c r="EU61" s="311">
        <f>((各项系数!$F$76/4*$EJ61^2*$EG61*$EH61*1*10^-7)*(1-$H61)*AA61)*(VLOOKUP($EY$9,各项系数!$D$4:$F$143,3,0))*各项系数!$J$4</f>
        <v>4.7020102526365</v>
      </c>
      <c r="EV61" s="312">
        <f>EU61*(VLOOKUP($EY$9,各项系数!$D$4:$F$143,2,0))</f>
        <v>307.981671547691</v>
      </c>
      <c r="EW61" s="324">
        <f>(IF($EO61=0,0,(各项系数!$F$76/4*$ER61^2*$EO61*$EP61*1*10^-7))*(1-$K61)*$AF61)*(VLOOKUP($EY$9,各项系数!$D$4:$F$143,3,0))*各项系数!$J$4</f>
        <v>0</v>
      </c>
      <c r="EX61" s="325">
        <f>EW61*(VLOOKUP($EY$9,各项系数!$D$4:$F$143,2,0))</f>
        <v>0</v>
      </c>
      <c r="EY61" s="251">
        <f>((各项系数!$F$76/4*$EJ61^2*$EG61*$EH61*1*10^-7)*(1-$H61)*AA61+IF($EO61=0,0,(各项系数!$F$76/4*$ER61^2*$EO61*$EP61*1*10^-7))*(1-$K61)*$AF61)*(VLOOKUP($EY$9,各项系数!$D$4:$F$143,3,0))*各项系数!$J$4</f>
        <v>4.7020102526365</v>
      </c>
      <c r="EZ61" s="123">
        <v>1</v>
      </c>
      <c r="FA61" s="251">
        <f t="shared" si="268"/>
        <v>4.7020102526365</v>
      </c>
      <c r="FB61" s="326">
        <f>FA61*(VLOOKUP($EY$9,各项系数!$D$4:$F$143,2,0))</f>
        <v>307.981671547691</v>
      </c>
      <c r="FC61" s="327"/>
      <c r="FD61" s="302">
        <f>各项系数!$F$76/4*($MN61^2-MK61^2)*10^-2*(VLOOKUP(L61,各项系数!$D$1:$F$143,3,0))*10^-3*10^2*$EG61*各项系数!$J$4</f>
        <v>0.309575902278193</v>
      </c>
      <c r="FE61" s="339">
        <f>FD61*VLOOKUP(L61,各项系数!$D$1:$F$143,2,0)</f>
        <v>3.15767420323757</v>
      </c>
      <c r="FF61" s="250">
        <f>各项系数!$F$76/4*($MO61^2-ML61^2)*10^-2*(VLOOKUP(L61,各项系数!$D$1:$F$143,3,0))*10^-3*10^2*$EO61*各项系数!$J$4</f>
        <v>0</v>
      </c>
      <c r="FG61" s="339">
        <f>FF61*VLOOKUP(L61,各项系数!$D$1:$F$143,2,0)</f>
        <v>0</v>
      </c>
      <c r="FH61" s="302">
        <f t="shared" si="142"/>
        <v>0.309575902278193</v>
      </c>
      <c r="FI61" s="123">
        <v>1</v>
      </c>
      <c r="FJ61" s="251">
        <f t="shared" si="269"/>
        <v>0.309575902278193</v>
      </c>
      <c r="FK61" s="339">
        <f>FJ61*VLOOKUP(L61,各项系数!$D$1:$F$143,2,0)</f>
        <v>3.15767420323757</v>
      </c>
      <c r="FL61" s="302"/>
      <c r="FM61" s="123"/>
      <c r="FN61" s="251"/>
      <c r="FO61" s="339"/>
      <c r="FP61" s="364">
        <f t="shared" si="270"/>
        <v>0.309575902278193</v>
      </c>
      <c r="FQ61" s="364">
        <f t="shared" si="271"/>
        <v>3.15767420323757</v>
      </c>
      <c r="FR61" s="365">
        <f>各项系数!$F$76/4*($MQ61^2-$MN61^2*$EG61-$MO61^2*$EO61)*10^-2</f>
        <v>5.42103762104465</v>
      </c>
      <c r="FS61" s="366">
        <f t="shared" si="143"/>
        <v>1</v>
      </c>
      <c r="FT61" s="367">
        <f t="shared" si="40"/>
        <v>5.42103762104465</v>
      </c>
      <c r="FU61" s="388">
        <f>$FT61*(VLOOKUP($FT$9,各项系数!$D$1:$F$143,3,0))*10^-3*10^2*各项系数!$J$55</f>
        <v>0.647271891952731</v>
      </c>
      <c r="FV61" s="389">
        <v>1</v>
      </c>
      <c r="FW61" s="390">
        <f t="shared" si="272"/>
        <v>0.647271891952731</v>
      </c>
      <c r="FX61" s="367">
        <f>FW61*(VLOOKUP($FT$9,各项系数!$D$1:$F$143,2,0))</f>
        <v>1.94181567585819</v>
      </c>
      <c r="FY61" s="388">
        <f>IF($BK61&lt;&gt;$FY$9,0,各项系数!$F$76/4*($MS61^2-$MQ61^2)*10^-2*(VLOOKUP($FY$9,各项系数!$D$1:$F$143,3,0))*10^-3*10^2)*各项系数!$J$4</f>
        <v>0</v>
      </c>
      <c r="FZ61" s="389">
        <v>1</v>
      </c>
      <c r="GA61" s="390">
        <f t="shared" si="273"/>
        <v>0</v>
      </c>
      <c r="GB61" s="367">
        <f>GA61*(VLOOKUP($FY$9,各项系数!$D$1:$F$143,2,0))</f>
        <v>0</v>
      </c>
      <c r="GC61" s="388">
        <f>IF($BK61&lt;&gt;$GC$9,0,各项系数!$F$76/4*($MS61^2-$MQ61^2)*10^-2*(VLOOKUP($GC$9,各项系数!$D$1:$F$143,3,0))*10^-3*10^2)*各项系数!$J$4</f>
        <v>0.0119984123083426</v>
      </c>
      <c r="GD61" s="389">
        <v>1</v>
      </c>
      <c r="GE61" s="390">
        <f t="shared" si="274"/>
        <v>0.0119984123083426</v>
      </c>
      <c r="GF61" s="367">
        <f>GE61*(VLOOKUP($GC$9,各项系数!$D$1:$F$143,2,0))</f>
        <v>0.154779518777619</v>
      </c>
      <c r="GG61" s="388">
        <f>IF($BK61&lt;&gt;$GG$9,0,各项系数!$F$76/4*($MS61^2-$MQ61^2)*10^-2*(VLOOKUP($GG$9,各项系数!$D$1:$F$143,3,0))*10^-3*10^2)*各项系数!$J$4</f>
        <v>0</v>
      </c>
      <c r="GH61" s="389">
        <v>1</v>
      </c>
      <c r="GI61" s="390">
        <f t="shared" si="275"/>
        <v>0</v>
      </c>
      <c r="GJ61" s="367">
        <f>GI61*(VLOOKUP($GG$9,各项系数!$D$1:$F$143,2,0))</f>
        <v>0</v>
      </c>
      <c r="GK61" s="388">
        <f>IF($BK61&lt;&gt;$GK$9,0,各项系数!$F$76/4*($MS61^2-$MQ61^2)*10^-2*(VLOOKUP($GK$9,各项系数!$D$1:$F$143,3,0))*10^-3*10^2)*各项系数!$J$4</f>
        <v>0</v>
      </c>
      <c r="GL61" s="389">
        <v>1</v>
      </c>
      <c r="GM61" s="390">
        <f t="shared" si="276"/>
        <v>0</v>
      </c>
      <c r="GN61" s="367">
        <f>GM61*(VLOOKUP($GK$9,各项系数!$D$1:$F$143,2,0))</f>
        <v>0</v>
      </c>
      <c r="GO61" s="390">
        <f t="shared" si="277"/>
        <v>0.0119984123083426</v>
      </c>
      <c r="GP61" s="390">
        <f t="shared" si="278"/>
        <v>0.154779518777619</v>
      </c>
      <c r="GQ61" s="406">
        <f>各项系数!$F$76/4*($MU61^2-$MS61^2)*10^-2*(VLOOKUP($S61,各项系数!$D$1:$F$143,3,0))*10^-3*10^2*各项系数!$J$4</f>
        <v>0.82310767166786</v>
      </c>
      <c r="GR61" s="389">
        <v>1</v>
      </c>
      <c r="GS61" s="390">
        <f t="shared" si="279"/>
        <v>0.82310767166786</v>
      </c>
      <c r="GT61" s="390">
        <f t="shared" si="200"/>
        <v>0</v>
      </c>
      <c r="GU61" s="390">
        <f>ROUND($GS61*(VLOOKUP($S61,各项系数!$D$1:$F$143,2,0))+$E$3*GS61,GT61)</f>
        <v>5</v>
      </c>
      <c r="GV61" s="406">
        <f>各项系数!$F$76/4*($MT61^2-$MS61^2)*10^-2*(VLOOKUP($GV$9,各项系数!$D$1:$F$143,3,0))*10^-3*10^2*各项系数!$J$4*PI()/4*R61</f>
        <v>0.0617775076634389</v>
      </c>
      <c r="GW61" s="389">
        <v>1</v>
      </c>
      <c r="GX61" s="390">
        <f t="shared" si="280"/>
        <v>0.0617775076634389</v>
      </c>
      <c r="GY61" s="390">
        <f>$GX61*(VLOOKUP($GV$9,各项系数!$D$1:$F$143,2,0))</f>
        <v>4.16998176728212</v>
      </c>
      <c r="GZ61" s="406">
        <f>各项系数!$F$76/4*($MV61^2-$MS61^2)*10^-2*(VLOOKUP($GZ$9,各项系数!$D$1:$F$143,3,0))*10^-3*10^2*各项系数!$J$4</f>
        <v>0.52857071928999</v>
      </c>
      <c r="HA61" s="389">
        <v>1</v>
      </c>
      <c r="HB61" s="390">
        <f t="shared" si="144"/>
        <v>0.52857071928999</v>
      </c>
      <c r="HC61" s="390">
        <f>HB61*(VLOOKUP($GZ$9,各项系数!$D$1:$F$143,2,0))</f>
        <v>8.98570222792983</v>
      </c>
      <c r="HD61" s="406">
        <f>各项系数!$F$76/4*($MW61^2-$MT61^2)*10^-2*(VLOOKUP($HD$9,各项系数!$D$1:$F$143,3,0))*10^-3*10^2*各项系数!$J$4</f>
        <v>0.530383732410377</v>
      </c>
      <c r="HE61" s="389">
        <v>1</v>
      </c>
      <c r="HF61" s="390">
        <f t="shared" si="145"/>
        <v>0.530383732410377</v>
      </c>
      <c r="HG61" s="390">
        <f>HF61*(VLOOKUP($HD$9,各项系数!$D$1:$F$143,2,0))</f>
        <v>9.0165234509764</v>
      </c>
      <c r="HH61" s="406">
        <f>各项系数!$F$76/4*($MV61^2-$MS61^2)*10^-2*(VLOOKUP($HH$9,各项系数!$D$1:$F$143,3,0))*10^-3*10^2*各项系数!$J$4</f>
        <v>0.52857071928999</v>
      </c>
      <c r="HI61" s="420">
        <v>1</v>
      </c>
      <c r="HJ61" s="390">
        <f t="shared" si="146"/>
        <v>0.52857071928999</v>
      </c>
      <c r="HK61" s="390">
        <f>HJ61*(VLOOKUP($HH$9,各项系数!$D$1:$F$143,2,0))</f>
        <v>8.98570222792983</v>
      </c>
      <c r="HL61" s="406">
        <f>各项系数!$F$76/4*($MW61^2-$MT61^2)*10^-2*(VLOOKUP($HL$9,各项系数!$D$1:$F$143,3,0))*10^-3*10^2*各项系数!$J$4</f>
        <v>0.530383732410377</v>
      </c>
      <c r="HM61" s="420">
        <v>1</v>
      </c>
      <c r="HN61" s="390">
        <f t="shared" si="147"/>
        <v>0.530383732410377</v>
      </c>
      <c r="HO61" s="390">
        <f>HN61*(VLOOKUP($HL$9,各项系数!$D$1:$F$143,2,0))</f>
        <v>9.0165234509764</v>
      </c>
      <c r="HP61" s="406">
        <f>各项系数!$F$76/4*($MV61^2-$MS61^2)*10^-2*(VLOOKUP(AN61,各项系数!$D$1:$F$143,3,0))*10^-3*10^2*各项系数!$J$4</f>
        <v>0.535861349900886</v>
      </c>
      <c r="HQ61" s="389">
        <v>1</v>
      </c>
      <c r="HR61" s="390">
        <f t="shared" si="281"/>
        <v>0.535861349900886</v>
      </c>
      <c r="HS61" s="390">
        <f>HR61*(VLOOKUP(AN61,各项系数!$D$1:$F$143,2,0))</f>
        <v>5.35861349900886</v>
      </c>
      <c r="HT61" s="406">
        <f>各项系数!$F$76/4*($MW61^2-$MT61^2)*10^-2*(VLOOKUP(AN61,各项系数!$D$1:$F$143,3,0))*10^-3*10^2*各项系数!$J$4</f>
        <v>0.537699370098796</v>
      </c>
      <c r="HU61" s="389">
        <v>1</v>
      </c>
      <c r="HV61" s="390">
        <f t="shared" si="282"/>
        <v>0.537699370098796</v>
      </c>
      <c r="HW61" s="390">
        <f>HV61*(VLOOKUP(AN61,各项系数!$D$1:$F$143,2,0))</f>
        <v>5.37699370098796</v>
      </c>
      <c r="HX61" s="406">
        <f>各项系数!$F$76/4*($MV61^2-$MS61^2)*10^-2*(VLOOKUP($HX$9,各项系数!$D$1:$F$143,3,0))*10^-3*10^2*各项系数!$J$4</f>
        <v>0.535861349900886</v>
      </c>
      <c r="HY61" s="420">
        <v>1</v>
      </c>
      <c r="HZ61" s="390">
        <f t="shared" si="283"/>
        <v>0.535861349900886</v>
      </c>
      <c r="IA61" s="390">
        <f>HZ61*(VLOOKUP($HX$9,各项系数!$D$1:$F$143,2,0))</f>
        <v>5.89447484890975</v>
      </c>
      <c r="IB61" s="406">
        <f>各项系数!$F$76/4*($MW61^2-$MT61^2)*10^-2*(VLOOKUP($IB$9,各项系数!$D$1:$F$143,3,0))*10^-3*10^2*各项系数!$J$4</f>
        <v>0.537699370098796</v>
      </c>
      <c r="IC61" s="420">
        <v>1</v>
      </c>
      <c r="ID61" s="390">
        <f t="shared" si="284"/>
        <v>0.537699370098796</v>
      </c>
      <c r="IE61" s="390">
        <f>ID61*(VLOOKUP($IB$9,各项系数!$D$1:$F$143,2,0))</f>
        <v>5.91469307108675</v>
      </c>
      <c r="IF61" s="429"/>
      <c r="IG61" s="406">
        <f t="shared" si="148"/>
        <v>0.0736670019282505</v>
      </c>
      <c r="IH61" s="389">
        <v>1</v>
      </c>
      <c r="II61" s="390">
        <f t="shared" si="285"/>
        <v>0.0736670019282505</v>
      </c>
      <c r="IJ61" s="390">
        <f>II61*(VLOOKUP($IG$8,各项系数!$D$1:$F$143,2,0))</f>
        <v>1.84167504820626</v>
      </c>
      <c r="IK61" s="406">
        <f>(各项系数!$F$76/4*($MX61^2-$MK61^2)*$EG61)*10^-2*(VLOOKUP($IG$8,各项系数!$D$1:$F$143,3,0))*10^-3*10^2*各项系数!$J$4</f>
        <v>0.0736670019282505</v>
      </c>
      <c r="IL61" s="389">
        <f>IK61*(VLOOKUP($IG$8,各项系数!$D$1:$F$143,2,0))</f>
        <v>1.84167504820626</v>
      </c>
      <c r="IM61" s="390">
        <f>(各项系数!$F$76/4*(($MM61+3*$X61)^2-MM61^2)*$EO61)*10^-2*(VLOOKUP($IG$8,各项系数!$D$1:$F$143,3,0))*10^-3*10^2*各项系数!$J$4</f>
        <v>0</v>
      </c>
      <c r="IN61" s="389">
        <f>IM61*(VLOOKUP($IG$8,各项系数!$D$1:$F$143,2,0))</f>
        <v>0</v>
      </c>
      <c r="IO61" s="406">
        <f>各项系数!$F$76/4*($MZ61^2-$MX61^2)*10^-2*(VLOOKUP(L61,各项系数!$D$1:$F$143,3,0))*10^-3*10^2*$ES61*各项系数!$J$4</f>
        <v>0.319478704977133</v>
      </c>
      <c r="IP61" s="389">
        <v>1</v>
      </c>
      <c r="IQ61" s="390">
        <f t="shared" si="286"/>
        <v>0.319478704977133</v>
      </c>
      <c r="IR61" s="367">
        <f>IQ61*(VLOOKUP(L61,各项系数!$D$1:$F$143,2,0))</f>
        <v>3.25868279076675</v>
      </c>
      <c r="IS61" s="406">
        <f>IF($L61&lt;&gt;$IS$9,0,各项系数!$F$76/4*($MZ61^2-$MX61^2)*10^-2*各项系数!$F$12*10^-3*10^2)*$ES61*各项系数!$J$4</f>
        <v>0</v>
      </c>
      <c r="IT61" s="389">
        <v>1</v>
      </c>
      <c r="IU61" s="390">
        <f t="shared" si="287"/>
        <v>0</v>
      </c>
      <c r="IV61" s="367">
        <f>IU61*各项系数!$E$12</f>
        <v>0</v>
      </c>
      <c r="IW61" s="388">
        <f t="shared" si="288"/>
        <v>0.319478704977133</v>
      </c>
      <c r="IX61" s="388">
        <f t="shared" si="289"/>
        <v>3.25868279076675</v>
      </c>
      <c r="IY61" s="447">
        <f>各项系数!$F$76/4*($NB61^2-$MZ61^2*$EG61-$NA61^2*$EO61)*10^-2</f>
        <v>5.74530724496202</v>
      </c>
      <c r="IZ61" s="366">
        <f t="shared" si="231"/>
        <v>1</v>
      </c>
      <c r="JA61" s="367">
        <f t="shared" si="64"/>
        <v>5.74530724496202</v>
      </c>
      <c r="JB61" s="364">
        <f>IF($DE61&lt;&gt;$JB$9,0,$JA61*各项系数!$F$32*10^-3*10^2)*各项系数!$J$4</f>
        <v>0</v>
      </c>
      <c r="JC61" s="123">
        <v>1</v>
      </c>
      <c r="JD61" s="251">
        <f t="shared" si="290"/>
        <v>0</v>
      </c>
      <c r="JE61" s="339">
        <f>JD61*各项系数!$E$32</f>
        <v>0</v>
      </c>
      <c r="JF61" s="364">
        <f>IF($DE61&lt;&gt;$JF$9,0,$JA61*VLOOKUP($JF$9,各项系数!$D$4:$F$540,2,0)*10^-3*10^2)*各项系数!$J$4</f>
        <v>2.8582903543686</v>
      </c>
      <c r="JG61" s="123">
        <v>1</v>
      </c>
      <c r="JH61" s="251">
        <f t="shared" si="66"/>
        <v>2.8582903543686</v>
      </c>
      <c r="JI61" s="339">
        <f>JH61*VLOOKUP($JF$9,各项系数!$D$4:$F$540,3,0)</f>
        <v>3.42994842524232</v>
      </c>
      <c r="JJ61" s="364">
        <f t="shared" si="291"/>
        <v>2.8582903543686</v>
      </c>
      <c r="JK61" s="251">
        <f t="shared" si="292"/>
        <v>3.42994842524232</v>
      </c>
      <c r="JL61" s="364">
        <f>IF($DF61&lt;&gt;$JL$9,0,各项系数!$F$76/4*($NE61^2-$NC61^2)*10^-2*各项系数!$F$39*10^-3*10^2)*各项系数!$J$4</f>
        <v>0.00510746391029247</v>
      </c>
      <c r="JM61" s="123">
        <v>1</v>
      </c>
      <c r="JN61" s="251">
        <f t="shared" si="293"/>
        <v>0.00510746391029247</v>
      </c>
      <c r="JO61" s="339">
        <f>JN61*各项系数!$E$39</f>
        <v>0.102149278205849</v>
      </c>
      <c r="JP61" s="364">
        <f>IF($DF61&lt;&gt;$JP$9,0,各项系数!$F$76/4*($NE61^2-$NC61^2)*10^-2*各项系数!$F$36*10^-3*10^2)*各项系数!$J$4</f>
        <v>0</v>
      </c>
      <c r="JQ61" s="123">
        <v>1</v>
      </c>
      <c r="JR61" s="251">
        <f t="shared" si="294"/>
        <v>0</v>
      </c>
      <c r="JS61" s="339">
        <f>JR61*各项系数!$E$36</f>
        <v>0</v>
      </c>
      <c r="JT61" s="364">
        <f>IF($DF61&lt;&gt;$JT$9,0,各项系数!$F$76/4*($NE61^2-$NC61^2)*10^-2*各项系数!$F$40*10^-3*10^2)*各项系数!$J$4</f>
        <v>0</v>
      </c>
      <c r="JU61" s="123">
        <v>1</v>
      </c>
      <c r="JV61" s="251">
        <f t="shared" si="295"/>
        <v>0</v>
      </c>
      <c r="JW61" s="339">
        <f>JV61*各项系数!$E$40</f>
        <v>0</v>
      </c>
      <c r="JX61" s="364">
        <f>IF($DF61&lt;&gt;$JX$9,0,各项系数!$F$76/4*($NE61^2-$NC61^2)*10^-2*各项系数!$F$38*10^-3*10^2)*各项系数!$J$4</f>
        <v>0</v>
      </c>
      <c r="JY61" s="123">
        <v>1</v>
      </c>
      <c r="JZ61" s="251">
        <f t="shared" si="296"/>
        <v>0</v>
      </c>
      <c r="KA61" s="339">
        <f>JZ61*各项系数!$E$38</f>
        <v>0</v>
      </c>
      <c r="KB61" s="364">
        <f>IF($DF61&lt;&gt;$KB$9,0,各项系数!$F$76/4*($NE61^2-$NC61^2)*10^-2*各项系数!$F$41*10^-3*10^2)*各项系数!$J$4</f>
        <v>0</v>
      </c>
      <c r="KC61" s="123">
        <v>1</v>
      </c>
      <c r="KD61" s="251">
        <f t="shared" si="297"/>
        <v>0</v>
      </c>
      <c r="KE61" s="339">
        <f>KD61*各项系数!$E$41</f>
        <v>0</v>
      </c>
      <c r="KF61" s="251">
        <f t="shared" si="298"/>
        <v>0.00510746391029247</v>
      </c>
      <c r="KG61" s="251">
        <f t="shared" si="299"/>
        <v>0.102149278205849</v>
      </c>
      <c r="KH61" s="302">
        <f>各项系数!$F$76/4*($NG61^2-$NE61^2)*10^-2*各项系数!$F$44*10^-3*10^2*各项系数!$J$4*0.75*$U61</f>
        <v>1.27206146746761</v>
      </c>
      <c r="KI61" s="123">
        <v>1</v>
      </c>
      <c r="KJ61" s="251">
        <f t="shared" si="300"/>
        <v>1.27206146746761</v>
      </c>
      <c r="KK61" s="251">
        <f>ROUND(KJ61*各项系数!$E$43,GT61)</f>
        <v>7</v>
      </c>
      <c r="KL61" s="302">
        <f>各项系数!$F$76/4*($NF61^2-$NE61^2)*10^-2*各项系数!$F$46*10^-3*10^2*各项系数!$J$4*PI()/4*R61</f>
        <v>0.0636772009070492</v>
      </c>
      <c r="KM61" s="123">
        <v>1</v>
      </c>
      <c r="KN61" s="251">
        <f t="shared" si="301"/>
        <v>0.0636772009070492</v>
      </c>
      <c r="KO61" s="251">
        <f>KN61*各项系数!$E$46</f>
        <v>4.29821106122582</v>
      </c>
      <c r="KP61" s="302">
        <f>各项系数!$F$76/4*($NH61^2-$NE61^2)*10^-2*(VLOOKUP($KP$9,各项系数!$D$1:$F$143,3,0))*10^-3*10^2*各项系数!$J$4</f>
        <v>0.543981330813277</v>
      </c>
      <c r="KQ61" s="123">
        <v>1</v>
      </c>
      <c r="KR61" s="251">
        <f t="shared" si="150"/>
        <v>0.543981330813277</v>
      </c>
      <c r="KS61" s="251">
        <f>KR61*(VLOOKUP($KP$9,各项系数!$D$1:$F$143,2,0))</f>
        <v>9.2476826238257</v>
      </c>
      <c r="KT61" s="302">
        <f>各项系数!$F$76/4*($NI61^2-$NF61^2)*10^-2*(VLOOKUP($KT$9,各项系数!$D$1:$F$143,3,0))*10^-3*10^2*各项系数!$J$4</f>
        <v>0.545794343933663</v>
      </c>
      <c r="KU61" s="123">
        <v>1</v>
      </c>
      <c r="KV61" s="251">
        <f t="shared" si="151"/>
        <v>0.545794343933663</v>
      </c>
      <c r="KW61" s="251">
        <f>KV61*(VLOOKUP($KT$9,各项系数!$D$1:$F$143,2,0))</f>
        <v>9.27850384687227</v>
      </c>
      <c r="KX61" s="251">
        <f>各项系数!$F$76/4*($NH61^2-$NE61^2)*10^-2*(VLOOKUP($KX$9,各项系数!$D$1:$F$143,3,0))*10^-3*10^2*各项系数!$J$4</f>
        <v>0.543981330813277</v>
      </c>
      <c r="KY61" s="479">
        <v>1</v>
      </c>
      <c r="KZ61" s="251">
        <f t="shared" si="152"/>
        <v>0.543981330813277</v>
      </c>
      <c r="LA61" s="251">
        <f>KZ61*(VLOOKUP($KX$9,各项系数!$D$1:$F$143,2,0))</f>
        <v>9.2476826238257</v>
      </c>
      <c r="LB61" s="251">
        <f>各项系数!$F$76/4*($NI61^2-$NF61^2)*10^-2*(VLOOKUP($LB$9,各项系数!$D$1:$F$143,3,0))*10^-3*10^2*各项系数!$J$4</f>
        <v>0.545794343933663</v>
      </c>
      <c r="LC61" s="479">
        <v>1</v>
      </c>
      <c r="LD61" s="251">
        <f t="shared" si="153"/>
        <v>0.545794343933663</v>
      </c>
      <c r="LE61" s="251">
        <f>LD61*(VLOOKUP($LB$9,各项系数!$D$1:$F$143,2,0))</f>
        <v>9.27850384687227</v>
      </c>
      <c r="LF61" s="302">
        <f>各项系数!$F$76/4*($NH61^2-$NE61^2)*10^-2*(VLOOKUP(AN61,各项系数!$D$1:$F$143,3,0))*10^-3*10^2*各项系数!$J$4</f>
        <v>0.551484521583115</v>
      </c>
      <c r="LG61" s="123">
        <v>1</v>
      </c>
      <c r="LH61" s="251">
        <f t="shared" si="302"/>
        <v>0.551484521583115</v>
      </c>
      <c r="LI61" s="251">
        <f>LH61*(VLOOKUP(AN61,各项系数!$D$1:$F$143,2,0))</f>
        <v>5.51484521583115</v>
      </c>
      <c r="LJ61" s="302">
        <f>各项系数!$F$76/4*($NI61^2-$NF61^2)*10^-2*(VLOOKUP(AN61,各项系数!$D$1:$F$143,3,0))*10^-3*10^2*各项系数!$J$4</f>
        <v>0.553322541781024</v>
      </c>
      <c r="LK61" s="123">
        <v>1</v>
      </c>
      <c r="LL61" s="251">
        <f t="shared" si="303"/>
        <v>0.553322541781024</v>
      </c>
      <c r="LM61" s="251">
        <f>LL61*(VLOOKUP(AN61,各项系数!$D$1:$F$143,2,0))</f>
        <v>5.53322541781024</v>
      </c>
      <c r="LN61" s="251">
        <f>各项系数!$F$76/4*($NH61^2-$NE61^2)*10^-2*(VLOOKUP($LN$9,各项系数!$D$1:$F$143,3,0))*10^-3*10^2*各项系数!$J$4</f>
        <v>0.551484521583115</v>
      </c>
      <c r="LO61" s="479">
        <v>1</v>
      </c>
      <c r="LP61" s="251">
        <f t="shared" si="304"/>
        <v>0.551484521583115</v>
      </c>
      <c r="LQ61" s="251">
        <f>LP61*(VLOOKUP($LN$9,各项系数!$D$1:$F$143,2,0))</f>
        <v>6.06632973741426</v>
      </c>
      <c r="LR61" s="251">
        <f>各项系数!$F$76/4*($NI61^2-$NF61^2)*10^-2*(VLOOKUP($LR$9,各项系数!$D$1:$F$143,3,0))*10^-3*10^2*各项系数!$J$4</f>
        <v>0.553322541781024</v>
      </c>
      <c r="LS61" s="479">
        <v>1</v>
      </c>
      <c r="LT61" s="251">
        <f t="shared" si="305"/>
        <v>0.553322541781024</v>
      </c>
      <c r="LU61" s="251">
        <f>LT61*(VLOOKUP($LR$9,各项系数!$D$1:$F$143,2,0))</f>
        <v>6.08654795959127</v>
      </c>
      <c r="LV61" s="499">
        <f t="shared" si="154"/>
        <v>693.56480241</v>
      </c>
      <c r="LW61" s="499">
        <f t="shared" si="155"/>
        <v>523.71219774</v>
      </c>
      <c r="LX61" s="499">
        <f t="shared" si="156"/>
        <v>25.8226853797727</v>
      </c>
      <c r="LY61" s="515">
        <f t="shared" si="157"/>
        <v>169.85260467</v>
      </c>
      <c r="LZ61" s="516">
        <f t="shared" si="86"/>
        <v>1</v>
      </c>
      <c r="MA61" s="517">
        <f t="shared" si="87"/>
        <v>693.56480241</v>
      </c>
      <c r="MB61" s="517">
        <f t="shared" si="158"/>
        <v>17.15686581</v>
      </c>
      <c r="MC61" s="499">
        <f t="shared" si="159"/>
        <v>0</v>
      </c>
      <c r="MD61" s="499">
        <f t="shared" si="160"/>
        <v>0</v>
      </c>
      <c r="ME61" s="499">
        <f t="shared" si="161"/>
        <v>0</v>
      </c>
      <c r="MF61" s="499">
        <f t="shared" si="162"/>
        <v>0</v>
      </c>
      <c r="MG61" s="516">
        <f t="shared" si="163"/>
        <v>1</v>
      </c>
      <c r="MH61" s="517">
        <f t="shared" si="88"/>
        <v>0</v>
      </c>
      <c r="MI61" s="517">
        <f t="shared" si="164"/>
        <v>0</v>
      </c>
      <c r="MJ61" s="251">
        <f t="shared" si="89"/>
        <v>17.15686581</v>
      </c>
      <c r="MK61" s="251">
        <f t="shared" si="165"/>
        <v>17.15686581</v>
      </c>
      <c r="ML61" s="251">
        <f t="shared" si="306"/>
        <v>0</v>
      </c>
      <c r="MM61" s="251">
        <f t="shared" si="91"/>
        <v>0</v>
      </c>
      <c r="MN61" s="251">
        <f t="shared" si="92"/>
        <v>20.35686581</v>
      </c>
      <c r="MO61" s="251">
        <f t="shared" si="166"/>
        <v>0</v>
      </c>
      <c r="MP61" s="251">
        <f t="shared" si="167"/>
        <v>43.97083015</v>
      </c>
      <c r="MQ61" s="251">
        <f t="shared" si="307"/>
        <v>43.97083015</v>
      </c>
      <c r="MR61" s="314">
        <f t="shared" si="168"/>
        <v>43.97083015</v>
      </c>
      <c r="MS61" s="530">
        <f t="shared" si="94"/>
        <v>44.14683015</v>
      </c>
      <c r="MT61" s="530">
        <f t="shared" si="95"/>
        <v>44.30683015</v>
      </c>
      <c r="MU61" s="530">
        <f t="shared" si="232"/>
        <v>45.64683015</v>
      </c>
      <c r="MV61" s="530">
        <f t="shared" si="97"/>
        <v>49.14683015</v>
      </c>
      <c r="MW61" s="530">
        <f t="shared" si="98"/>
        <v>49.30683015</v>
      </c>
      <c r="MX61" s="326">
        <f t="shared" si="233"/>
        <v>17.75686581</v>
      </c>
      <c r="MY61" s="326">
        <f t="shared" si="100"/>
        <v>0</v>
      </c>
      <c r="MZ61" s="251">
        <f t="shared" si="101"/>
        <v>20.95686581</v>
      </c>
      <c r="NA61" s="251">
        <f t="shared" si="102"/>
        <v>0</v>
      </c>
      <c r="NB61" s="251">
        <f t="shared" si="169"/>
        <v>45.26683015</v>
      </c>
      <c r="NC61" s="326">
        <f t="shared" si="308"/>
        <v>45.26683015</v>
      </c>
      <c r="ND61" s="314">
        <f t="shared" si="234"/>
        <v>45.26683015</v>
      </c>
      <c r="NE61" s="537">
        <f t="shared" si="235"/>
        <v>45.50683015</v>
      </c>
      <c r="NF61" s="530">
        <f t="shared" si="106"/>
        <v>45.66683015</v>
      </c>
      <c r="NG61" s="538">
        <f t="shared" si="236"/>
        <v>47.00683015</v>
      </c>
      <c r="NH61" s="326">
        <f t="shared" si="108"/>
        <v>50.50683015</v>
      </c>
      <c r="NI61" s="530">
        <f t="shared" si="109"/>
        <v>50.66683015</v>
      </c>
      <c r="NK61" s="539">
        <f t="shared" si="110"/>
        <v>6.20671780907666</v>
      </c>
      <c r="NL61" s="539">
        <f t="shared" si="111"/>
        <v>318.594554444573</v>
      </c>
      <c r="NM61" s="539">
        <f t="shared" si="112"/>
        <v>6.20671780907666</v>
      </c>
      <c r="NN61" s="539">
        <f t="shared" si="113"/>
        <v>319.130415794474</v>
      </c>
      <c r="NO61" s="539">
        <f t="shared" si="114"/>
        <v>8.5100382994039</v>
      </c>
      <c r="NP61" s="539">
        <f t="shared" si="115"/>
        <v>322.128972305943</v>
      </c>
      <c r="NQ61" s="539">
        <f t="shared" si="116"/>
        <v>8.5100382994039</v>
      </c>
      <c r="NR61" s="539">
        <f t="shared" si="117"/>
        <v>322.680456827526</v>
      </c>
      <c r="NS61" s="539">
        <f t="shared" si="118"/>
        <v>6.2684953167401</v>
      </c>
      <c r="NT61" s="539">
        <f t="shared" si="119"/>
        <v>6.2684953167401</v>
      </c>
      <c r="NU61" s="539">
        <f t="shared" si="120"/>
        <v>8.57371550031095</v>
      </c>
      <c r="NV61" s="539">
        <f t="shared" si="121"/>
        <v>8.57371550031095</v>
      </c>
      <c r="NW61">
        <f t="shared" si="122"/>
        <v>7.02982548074452</v>
      </c>
      <c r="NX61">
        <f>各项系数!$M$9*NK61</f>
        <v>1.862015342723</v>
      </c>
      <c r="NY61">
        <f t="shared" si="123"/>
        <v>6.2684953167401</v>
      </c>
    </row>
    <row r="62" customHeight="1" spans="1:389">
      <c r="A62" s="81"/>
      <c r="B62" s="98"/>
      <c r="C62" s="83"/>
      <c r="D62" s="69" t="s">
        <v>251</v>
      </c>
      <c r="E62" s="70">
        <f t="shared" ref="E62:E67" si="313">MV62</f>
        <v>56.34928417</v>
      </c>
      <c r="F62" s="84">
        <f>$F$30</f>
        <v>246.701228113631</v>
      </c>
      <c r="G62" s="74"/>
      <c r="H62" s="23"/>
      <c r="I62" s="78"/>
      <c r="J62" s="23"/>
      <c r="K62" s="23"/>
      <c r="L62" s="118" t="s">
        <v>467</v>
      </c>
      <c r="M62" s="124">
        <f t="shared" si="2"/>
        <v>1.7</v>
      </c>
      <c r="N62" s="124">
        <f t="shared" si="252"/>
        <v>0</v>
      </c>
      <c r="O62" s="69">
        <f t="shared" si="312"/>
        <v>0.08</v>
      </c>
      <c r="P62" s="120">
        <v>0.1</v>
      </c>
      <c r="Q62" s="162">
        <f t="shared" si="309"/>
        <v>0.1</v>
      </c>
      <c r="R62" s="86">
        <v>0.8</v>
      </c>
      <c r="S62" s="171" t="str">
        <f>各项系数!$D$43</f>
        <v>钢带</v>
      </c>
      <c r="T62" s="123">
        <v>0.5</v>
      </c>
      <c r="U62" s="123">
        <v>2</v>
      </c>
      <c r="V62" s="169"/>
      <c r="W62" s="170">
        <v>2.7</v>
      </c>
      <c r="X62" s="164">
        <f t="shared" si="310"/>
        <v>0.2</v>
      </c>
      <c r="Y62" s="219"/>
      <c r="Z62" s="220"/>
      <c r="AA62" s="217">
        <f>$AA$30</f>
        <v>1.015</v>
      </c>
      <c r="AB62" s="186">
        <f>PI()*EJ62*EJ62/4*EH62*(1-H62)*AA62*各项系数!$F$5*各项系数!$J$4*10^-7</f>
        <v>2.05998769246807</v>
      </c>
      <c r="AC62" s="186">
        <f t="shared" ref="AC62:AC67" si="314">EJ62</f>
        <v>246.701228113631</v>
      </c>
      <c r="AD62" s="186">
        <f t="shared" si="5"/>
        <v>232.884070800354</v>
      </c>
      <c r="AE62" s="186">
        <f>POWER(4*EU62/PI()/EG62/10^-7/EH62/(1-H62)/各项系数!$F$5/各项系数!$J$4,0.5)</f>
        <v>248.544600408187</v>
      </c>
      <c r="AF62" s="218">
        <v>1</v>
      </c>
      <c r="AG62" s="85">
        <f>IF(EM62=0,0,PI()*ER62*ER62/4*EP62*(1-K62)*(1+AF62)*各项系数!$F$5*各项系数!$J$4*10^-7)</f>
        <v>0</v>
      </c>
      <c r="AH62" s="85">
        <f t="shared" ref="AH62:AH67" si="315">ER62</f>
        <v>0</v>
      </c>
      <c r="AI62" s="85">
        <f t="shared" si="128"/>
        <v>0</v>
      </c>
      <c r="AJ62" s="85">
        <f>IF(OR(EP62="",EP62=0),0,POWER(4*EW62/PI()/EO62/10^-7/EP62/(1-K62)/各项系数!$F$5/各项系数!$J$4,0.5))</f>
        <v>0</v>
      </c>
      <c r="AK62" s="85" t="str">
        <f t="shared" si="8"/>
        <v>√</v>
      </c>
      <c r="AL62" s="85">
        <f t="shared" ref="AL62:AL67" si="316">AO62*(1+0.02)</f>
        <v>431.214100437903</v>
      </c>
      <c r="AM62" s="250">
        <f t="shared" ref="AM62:AM67" si="317">EE62*1</f>
        <v>240</v>
      </c>
      <c r="AN62" s="118" t="s">
        <v>486</v>
      </c>
      <c r="AO62" s="259">
        <f>AP62+各项系数!$M$9*$NK62</f>
        <v>422.758921997944</v>
      </c>
      <c r="AP62" s="259">
        <f>AQ62*(1+$BI62+(VLOOKUP($AM62,$A$12:$B$323,2,0))+各项系数!$J$6+各项系数!$M$5)*(1+$E$2)</f>
        <v>420.327466252963</v>
      </c>
      <c r="AQ62" s="260">
        <f>AR62+各项系数!$L$9*$NK62</f>
        <v>428.905577809146</v>
      </c>
      <c r="AR62" s="260">
        <f>AS62*(1+$BJ62+各项系数!$J$5+各项系数!$L$5)</f>
        <v>426.474122064164</v>
      </c>
      <c r="AS62" s="260">
        <f t="shared" si="129"/>
        <v>418.111884376631</v>
      </c>
      <c r="AT62" s="259">
        <f>AU62+各项系数!$M$9*$NM62</f>
        <v>427.262420031529</v>
      </c>
      <c r="AU62" s="259">
        <f>AV62*(1+$BI62+(VLOOKUP($AM62,$A$12:$B$323,2,0))+各项系数!$J$6+各项系数!$M$5)*(1+$E$2)</f>
        <v>424.830964286547</v>
      </c>
      <c r="AV62" s="260">
        <f>AW62+各项系数!$L$9*$NM62</f>
        <v>433.500983965865</v>
      </c>
      <c r="AW62" s="260">
        <f>AX62*(1+$BJ62+各项系数!$J$5+各项系数!$L$5)</f>
        <v>431.069528220883</v>
      </c>
      <c r="AX62" s="260">
        <f t="shared" si="130"/>
        <v>422.617184530277</v>
      </c>
      <c r="AY62" s="259">
        <f>AZ62+各项系数!$M$9*$NS62</f>
        <v>427.630539713953</v>
      </c>
      <c r="AZ62" s="259">
        <f>BA62*(1+$BI62+(VLOOKUP($AM62,$A$12:$B$214,2,0))+各项系数!$J$6+各项系数!$M$5)*(1+$E$2)</f>
        <v>425.17770014845</v>
      </c>
      <c r="BA62" s="260">
        <f>BB62+各项系数!$L$9*$NS62</f>
        <v>433.854796069847</v>
      </c>
      <c r="BB62" s="260">
        <f>BC62*(1+$BJ62+各项系数!$J$5+各项系数!$L$5)</f>
        <v>431.401956504344</v>
      </c>
      <c r="BC62" s="262">
        <f t="shared" si="131"/>
        <v>422.943094612102</v>
      </c>
      <c r="BD62" s="259">
        <f>BE62+各项系数!$M$9*$NS62</f>
        <v>432.147468675769</v>
      </c>
      <c r="BE62" s="259">
        <f>BF62*(1+$BI62+(VLOOKUP($AM62,$A$12:$B$214,2,0))+各项系数!$J$6+各项系数!$M$5)*(1+$E$2)</f>
        <v>429.694629110266</v>
      </c>
      <c r="BF62" s="260">
        <f>BG62+各项系数!$L$9*$NS62</f>
        <v>438.463907255374</v>
      </c>
      <c r="BG62" s="260">
        <f>BH62*(1+$BJ62+各项系数!$J$5+各项系数!$L$5)</f>
        <v>436.011067689871</v>
      </c>
      <c r="BH62" s="262">
        <f t="shared" si="132"/>
        <v>427.461831068501</v>
      </c>
      <c r="BI62" s="277"/>
      <c r="BJ62" s="272"/>
      <c r="BK62" s="69" t="s">
        <v>514</v>
      </c>
      <c r="BL62" s="259">
        <f>BM62+各项系数!$M$9*$NM62</f>
        <v>427.528282330502</v>
      </c>
      <c r="BM62" s="259">
        <f>BN62*(1+$CF62+(VLOOKUP($AM62,$A$12:$B$323,2,0))+各项系数!$J$6+各项系数!$M$5)*(1+$E$2)</f>
        <v>425.09682658552</v>
      </c>
      <c r="BN62" s="260">
        <f>BO62+各项系数!$L$9*$NM62</f>
        <v>433.772272026041</v>
      </c>
      <c r="BO62" s="260">
        <f>BP62*(1+$CG62+各项系数!$J$5+各项系数!$L$5)</f>
        <v>431.34081628106</v>
      </c>
      <c r="BP62" s="260">
        <f t="shared" si="133"/>
        <v>418.777491535009</v>
      </c>
      <c r="BQ62" s="259">
        <f>BR62+各项系数!$M$9*$NM62</f>
        <v>431.404068439925</v>
      </c>
      <c r="BR62" s="259">
        <f>BS62*(1+$CF62+(VLOOKUP($AM62,$A$12:$B$323,2,0))+各项系数!$J$6+各项系数!$M$5)*(1+$E$2)</f>
        <v>428.972612694944</v>
      </c>
      <c r="BS62" s="260">
        <f>BT62+各项系数!$L$9*$NM62</f>
        <v>437.727155811167</v>
      </c>
      <c r="BT62" s="260">
        <f>BU62*(1+$CG62+各项系数!$J$5+各项系数!$L$5)</f>
        <v>435.295700066186</v>
      </c>
      <c r="BU62" s="260">
        <f t="shared" si="134"/>
        <v>422.617184530277</v>
      </c>
      <c r="BV62" s="259">
        <f>BW62+各项系数!$M$9*$NT62</f>
        <v>430.053564989112</v>
      </c>
      <c r="BW62" s="259">
        <f>BX62*(1+$CF62+(VLOOKUP($AM62,$A$12:$B$214,2,0))+各项系数!$J$6+各项系数!$M$5)*(1+$E$2)</f>
        <v>427.600725423609</v>
      </c>
      <c r="BX62" s="260">
        <f>BY62+各项系数!$L$9*$NT$12</f>
        <v>436.327270840417</v>
      </c>
      <c r="BY62" s="260">
        <f>BZ62*(1+$CG62+各项系数!$J$5+各项系数!$L$5)</f>
        <v>436.319007437262</v>
      </c>
      <c r="BZ62" s="262">
        <f t="shared" si="11"/>
        <v>423.610686832293</v>
      </c>
      <c r="CA62" s="259">
        <f>CB62+各项系数!$M$9*$NT62</f>
        <v>433.94090998114</v>
      </c>
      <c r="CB62" s="259">
        <f>CC62*(1+$CF62+(VLOOKUP($AM62,$A$12:$B$214,2,0))+各项系数!$J$6+各项系数!$M$5)*(1+$E$2)</f>
        <v>431.488070415637</v>
      </c>
      <c r="CC62" s="260">
        <f>CD62+各项系数!$L$9*$NT$12</f>
        <v>440.293949403711</v>
      </c>
      <c r="CD62" s="260">
        <f>CE62*(1+$CG62+各项系数!$J$5+各项系数!$L$5)</f>
        <v>440.285686000556</v>
      </c>
      <c r="CE62" s="262">
        <f t="shared" si="135"/>
        <v>427.461831068501</v>
      </c>
      <c r="CF62" s="277">
        <f t="shared" si="136"/>
        <v>0</v>
      </c>
      <c r="CG62" s="277">
        <f t="shared" si="12"/>
        <v>0.01</v>
      </c>
      <c r="CH62" s="123"/>
      <c r="CI62" s="259">
        <f>CJ62+各项系数!$M$9*$NO62</f>
        <v>431.301964451997</v>
      </c>
      <c r="CJ62" s="259">
        <f>CK62*(1+$DC62+(VLOOKUP($AM62,$A$12:$B$323,2,0))+各项系数!$J$6+各项系数!$M$5)*(1+$E$2)+各项系数!$M$9*$NK62</f>
        <v>427.963191734112</v>
      </c>
      <c r="CK62" s="260">
        <f>CL62+各项系数!$L$9*$NO62</f>
        <v>434.216057131765</v>
      </c>
      <c r="CL62" s="260">
        <f>CM62*(1+$DD62+各项系数!$J$5+各项系数!$L$5)</f>
        <v>430.87728441388</v>
      </c>
      <c r="CM62" s="260">
        <f t="shared" si="13"/>
        <v>422.428710209687</v>
      </c>
      <c r="CN62" s="259">
        <f>CO62+各项系数!$M$9*$NO62</f>
        <v>435.636799723515</v>
      </c>
      <c r="CO62" s="259">
        <f>CP62*(1+$DC62+(VLOOKUP($AM62,$A$12:$B$323,2,0))+各项系数!$J$6+各项系数!$M$5)*(1+$E$2)+各项系数!$M$9*$NK62</f>
        <v>432.29802700563</v>
      </c>
      <c r="CP62" s="260">
        <f>CQ62+各项系数!$L$9*$NO62</f>
        <v>438.639358429233</v>
      </c>
      <c r="CQ62" s="260">
        <f>CR62*(1+$DD62+各项系数!$J$5+各项系数!$L$5)</f>
        <v>435.300585711348</v>
      </c>
      <c r="CR62" s="260">
        <f t="shared" si="14"/>
        <v>426.765280109165</v>
      </c>
      <c r="CS62" s="259">
        <f>CT62+各项系数!$M$9*$NU62</f>
        <v>433.871432843037</v>
      </c>
      <c r="CT62" s="259">
        <f t="shared" si="15"/>
        <v>430.510706396657</v>
      </c>
      <c r="CU62" s="260">
        <f>CV62+各项系数!$L$9*$NU62</f>
        <v>439.296639180263</v>
      </c>
      <c r="CV62" s="260">
        <f>CW62*(1+$DD62+各项系数!$J$5+各项系数!$L$5)</f>
        <v>435.935912733883</v>
      </c>
      <c r="CW62" s="262">
        <f t="shared" si="16"/>
        <v>427.388149739101</v>
      </c>
      <c r="CX62" s="259">
        <f>CY62+各项系数!$M$9*$NU62</f>
        <v>438.502524694823</v>
      </c>
      <c r="CY62" s="259">
        <f t="shared" si="17"/>
        <v>435.141798248444</v>
      </c>
      <c r="CZ62" s="260">
        <f>DA62+各项系数!$L$9*$NU62</f>
        <v>444.022243110657</v>
      </c>
      <c r="DA62" s="260">
        <f>DB62*(1+$DD62+各项系数!$J$5+各项系数!$L$5)</f>
        <v>440.661516664277</v>
      </c>
      <c r="DB62" s="262">
        <f t="shared" si="18"/>
        <v>432.021094768899</v>
      </c>
      <c r="DC62" s="277">
        <f t="shared" si="137"/>
        <v>0</v>
      </c>
      <c r="DD62" s="277">
        <f t="shared" si="19"/>
        <v>0</v>
      </c>
      <c r="DE62" s="69" t="s">
        <v>498</v>
      </c>
      <c r="DF62" s="69" t="s">
        <v>513</v>
      </c>
      <c r="DG62" s="259">
        <f>DH62+各项系数!$M$9*$NQ62</f>
        <v>436.130661309574</v>
      </c>
      <c r="DH62" s="259">
        <f>DI62*(1+$EA62+(VLOOKUP($AM62,$A$12:$B$323,2,0))+各项系数!$J$6+各项系数!$M$5)*(1+$E$2)+各项系数!$M$9*$NK62</f>
        <v>432.791888591689</v>
      </c>
      <c r="DI62" s="260">
        <f>DJ62+各项系数!$L$9*$NQ62</f>
        <v>439.143298823171</v>
      </c>
      <c r="DJ62" s="260">
        <f>DK62*(1+$EB62+各项系数!$J$5+各项系数!$L$5)</f>
        <v>435.804526105286</v>
      </c>
      <c r="DK62" s="260">
        <f t="shared" si="20"/>
        <v>423.111190393481</v>
      </c>
      <c r="DL62" s="259">
        <f>DM62+各项系数!$M$9*$NQ62</f>
        <v>440.104697921131</v>
      </c>
      <c r="DM62" s="259">
        <f>DN62*(1+$EA62+(VLOOKUP($AM62,$A$12:$B$323,2,0))+各项系数!$J$6+各项系数!$M$5)*(1+$E$2)+各项系数!$M$9*$NK62</f>
        <v>436.765925203246</v>
      </c>
      <c r="DN62" s="260">
        <f>DO62+各项系数!$L$9*$NQ62</f>
        <v>443.198438222719</v>
      </c>
      <c r="DO62" s="260">
        <f>DP62*(1+$EB62+各项系数!$J$5+各项系数!$L$5)</f>
        <v>439.859665504834</v>
      </c>
      <c r="DP62" s="260">
        <f t="shared" si="21"/>
        <v>427.048218936732</v>
      </c>
      <c r="DQ62" s="259">
        <f>DR62+各项系数!$M$9*$NV62</f>
        <v>438.750735929397</v>
      </c>
      <c r="DR62" s="259">
        <f t="shared" si="22"/>
        <v>435.390009483018</v>
      </c>
      <c r="DS62" s="260">
        <f>DT62+各项系数!$L$9*$NV62</f>
        <v>444.27551988063</v>
      </c>
      <c r="DT62" s="260">
        <f>DU62*(1+$EB62+各项系数!$J$5+各项系数!$L$5)</f>
        <v>440.914793434251</v>
      </c>
      <c r="DU62" s="262">
        <f t="shared" si="23"/>
        <v>428.072614984709</v>
      </c>
      <c r="DV62" s="259">
        <f>DW62+各项系数!$M$9*$NV62</f>
        <v>438.6908843147</v>
      </c>
      <c r="DW62" s="259">
        <f t="shared" si="24"/>
        <v>435.33015786832</v>
      </c>
      <c r="DX62" s="260">
        <f>DY62+各项系数!$L$9*$NV62</f>
        <v>444.214446804408</v>
      </c>
      <c r="DY62" s="260">
        <f>DZ62*(1+$EB62+各项系数!$J$5+各项系数!$L$5)</f>
        <v>440.853720358029</v>
      </c>
      <c r="DZ62" s="262">
        <f t="shared" si="25"/>
        <v>428.01332073595</v>
      </c>
      <c r="EA62" s="277">
        <f t="shared" si="311"/>
        <v>0</v>
      </c>
      <c r="EB62" s="277">
        <f t="shared" si="27"/>
        <v>0.01</v>
      </c>
      <c r="EC62" s="302">
        <f t="shared" si="138"/>
        <v>3</v>
      </c>
      <c r="ED62" s="302" t="str">
        <f t="shared" si="266"/>
        <v>3*240</v>
      </c>
      <c r="EE62" s="251">
        <f t="shared" si="239"/>
        <v>240</v>
      </c>
      <c r="EF62" s="251" t="str">
        <f>LOOKUP(EH62,{1,7,10,14,19,24,30,37,48,61},{1,"1+6","2+8","4+10","1+6+12","2+8+14","4+10+16","1+6+12+18","3+9+15+21","1+6+12+18+24"})</f>
        <v>3+9+15+21</v>
      </c>
      <c r="EG62" s="250">
        <f t="shared" si="29"/>
        <v>3</v>
      </c>
      <c r="EH62" s="260">
        <f>VLOOKUP(EE62,各项系数!$B$87:$C$124,2,0)</f>
        <v>48</v>
      </c>
      <c r="EI62" s="250">
        <f>IF(EH62=0,0,VLOOKUP(EH62,各项系数!$D$142:$E$195,2,0))*1</f>
        <v>8.15</v>
      </c>
      <c r="EJ62" s="305">
        <f t="shared" si="141"/>
        <v>246.701228113631</v>
      </c>
      <c r="EK62" s="251">
        <f t="shared" ref="EK62:EK67" si="318">IF(COUNTIF($D62,"*+*")&gt;0,MID($D62,FIND("+",$D62)+1,LEN($D62)),0)</f>
        <v>0</v>
      </c>
      <c r="EL62" s="251">
        <f t="shared" si="31"/>
        <v>0</v>
      </c>
      <c r="EM62" s="251">
        <f t="shared" si="267"/>
        <v>0</v>
      </c>
      <c r="EN62" s="251">
        <f>IF(EP62=0,0,LOOKUP(EP62,{1,7,10,14,19,24,30,37,48,61},{1,"1+6","2+8","4+10","1+6+12","2+8+14","4+10+16","1+6+12+18","3+9+15+21","1+6+12+18+24"}))</f>
        <v>0</v>
      </c>
      <c r="EO62" s="251">
        <f t="shared" ref="EO62:EO67" si="319">IF(EK62=0,0,MID(EK62,1,1))</f>
        <v>0</v>
      </c>
      <c r="EP62" s="251">
        <f>IF(EM62=0,0,IF(EM62&lt;10,1,IF(AND(EM62&gt;=10,EM62&lt;=35),7,LOOKUP(EM62,{50,70,95,120,150,185,240,300},{10,14,19,24,30,37,48,61})*1)))</f>
        <v>0</v>
      </c>
      <c r="EQ62" s="251">
        <f>IF(EP62=0,0,VLOOKUP(EP62,各项系数!$D$142:$E$195,2,0))*1</f>
        <v>0</v>
      </c>
      <c r="ER62" s="251">
        <f t="shared" ref="ER62:ER67" si="320">$I62-$J62</f>
        <v>0</v>
      </c>
      <c r="ES62" s="302">
        <f t="shared" ref="ES62:ES67" si="321">EO62+EG62</f>
        <v>3</v>
      </c>
      <c r="ET62" s="251">
        <f>VLOOKUP(ES62,各项系数!$D$142:$E$195,2,0)*1</f>
        <v>2.16</v>
      </c>
      <c r="EU62" s="311">
        <f>((各项系数!$F$76/4*$EJ62^2*$EG62*$EH62*1*10^-7)*(1-$H62)*AA62)*(VLOOKUP($EY$9,各项系数!$D$4:$F$143,3,0))*各项系数!$J$4</f>
        <v>6.1799630774042</v>
      </c>
      <c r="EV62" s="312">
        <f>EU62*(VLOOKUP($EY$9,各项系数!$D$4:$F$143,2,0))</f>
        <v>404.787581569975</v>
      </c>
      <c r="EW62" s="324">
        <f>(IF($EO62=0,0,(各项系数!$F$76/4*$ER62^2*$EO62*$EP62*1*10^-7))*(1-$K62)*$AF62)*(VLOOKUP($EY$9,各项系数!$D$4:$F$143,3,0))*各项系数!$J$4</f>
        <v>0</v>
      </c>
      <c r="EX62" s="325">
        <f>EW62*(VLOOKUP($EY$9,各项系数!$D$4:$F$143,2,0))</f>
        <v>0</v>
      </c>
      <c r="EY62" s="251">
        <f>((各项系数!$F$76/4*$EJ62^2*$EG62*$EH62*1*10^-7)*(1-$H62)*AA62+IF($EO62=0,0,(各项系数!$F$76/4*$ER62^2*$EO62*$EP62*1*10^-7))*(1-$K62)*$AF62)*(VLOOKUP($EY$9,各项系数!$D$4:$F$143,3,0))*各项系数!$J$4</f>
        <v>6.1799630774042</v>
      </c>
      <c r="EZ62" s="123">
        <v>1</v>
      </c>
      <c r="FA62" s="251">
        <f t="shared" si="268"/>
        <v>6.1799630774042</v>
      </c>
      <c r="FB62" s="326">
        <f>FA62*(VLOOKUP($EY$9,各项系数!$D$4:$F$143,2,0))</f>
        <v>404.787581569975</v>
      </c>
      <c r="FC62" s="327"/>
      <c r="FD62" s="302">
        <f>各项系数!$F$76/4*($MN62^2-MK62^2)*10^-2*(VLOOKUP(L62,各项系数!$D$1:$F$143,3,0))*10^-3*10^2*$EG62*各项系数!$J$4</f>
        <v>0.382397294970521</v>
      </c>
      <c r="FE62" s="339">
        <f>FD62*VLOOKUP(L62,各项系数!$D$1:$F$143,2,0)</f>
        <v>3.90045240869931</v>
      </c>
      <c r="FF62" s="250">
        <f>各项系数!$F$76/4*($MO62^2-ML62^2)*10^-2*(VLOOKUP(L62,各项系数!$D$1:$F$143,3,0))*10^-3*10^2*$EO62*各项系数!$J$4</f>
        <v>0</v>
      </c>
      <c r="FG62" s="339">
        <f>FF62*VLOOKUP(L62,各项系数!$D$1:$F$143,2,0)</f>
        <v>0</v>
      </c>
      <c r="FH62" s="302">
        <f t="shared" si="142"/>
        <v>0.382397294970521</v>
      </c>
      <c r="FI62" s="123">
        <v>1</v>
      </c>
      <c r="FJ62" s="251">
        <f t="shared" si="269"/>
        <v>0.382397294970521</v>
      </c>
      <c r="FK62" s="339">
        <f>FJ62*VLOOKUP(L62,各项系数!$D$1:$F$143,2,0)</f>
        <v>3.90045240869931</v>
      </c>
      <c r="FL62" s="302"/>
      <c r="FM62" s="123"/>
      <c r="FN62" s="251"/>
      <c r="FO62" s="339"/>
      <c r="FP62" s="364">
        <f t="shared" si="270"/>
        <v>0.382397294970521</v>
      </c>
      <c r="FQ62" s="364">
        <f t="shared" si="271"/>
        <v>3.90045240869931</v>
      </c>
      <c r="FR62" s="365">
        <f>各项系数!$F$76/4*($MQ62^2-$MN62^2*$EG62-$MO62^2*$EO62)*10^-2</f>
        <v>7.22809085268041</v>
      </c>
      <c r="FS62" s="366">
        <f t="shared" si="143"/>
        <v>1</v>
      </c>
      <c r="FT62" s="367">
        <f t="shared" si="40"/>
        <v>7.22809085268041</v>
      </c>
      <c r="FU62" s="388">
        <f>$FT62*(VLOOKUP($FT$9,各项系数!$D$1:$F$143,3,0))*10^-3*10^2*各项系数!$J$55</f>
        <v>0.863034047810041</v>
      </c>
      <c r="FV62" s="389">
        <v>1</v>
      </c>
      <c r="FW62" s="390">
        <f t="shared" si="272"/>
        <v>0.863034047810041</v>
      </c>
      <c r="FX62" s="367">
        <f>FW62*(VLOOKUP($FT$9,各项系数!$D$1:$F$143,2,0))</f>
        <v>2.58910214343012</v>
      </c>
      <c r="FY62" s="388">
        <f>IF($BK62&lt;&gt;$FY$9,0,各项系数!$F$76/4*($MS62^2-$MQ62^2)*10^-2*(VLOOKUP($FY$9,各项系数!$D$1:$F$143,3,0))*10^-3*10^2)*各项系数!$J$4</f>
        <v>0</v>
      </c>
      <c r="FZ62" s="389">
        <v>1</v>
      </c>
      <c r="GA62" s="390">
        <f t="shared" si="273"/>
        <v>0</v>
      </c>
      <c r="GB62" s="367">
        <f>GA62*(VLOOKUP($FY$9,各项系数!$D$1:$F$143,2,0))</f>
        <v>0</v>
      </c>
      <c r="GC62" s="388">
        <f>IF($BK62&lt;&gt;$GC$9,0,各项系数!$F$76/4*($MS62^2-$MQ62^2)*10^-2*(VLOOKUP($GC$9,各项系数!$D$1:$F$143,3,0))*10^-3*10^2)*各项系数!$J$4</f>
        <v>0.013850904709131</v>
      </c>
      <c r="GD62" s="389">
        <v>1</v>
      </c>
      <c r="GE62" s="390">
        <f t="shared" si="274"/>
        <v>0.013850904709131</v>
      </c>
      <c r="GF62" s="367">
        <f>GE62*(VLOOKUP($GC$9,各项系数!$D$1:$F$143,2,0))</f>
        <v>0.17867667074779</v>
      </c>
      <c r="GG62" s="388">
        <f>IF($BK62&lt;&gt;$GG$9,0,各项系数!$F$76/4*($MS62^2-$MQ62^2)*10^-2*(VLOOKUP($GG$9,各项系数!$D$1:$F$143,3,0))*10^-3*10^2)*各项系数!$J$4</f>
        <v>0</v>
      </c>
      <c r="GH62" s="389">
        <v>1</v>
      </c>
      <c r="GI62" s="390">
        <f t="shared" si="275"/>
        <v>0</v>
      </c>
      <c r="GJ62" s="367">
        <f>GI62*(VLOOKUP($GG$9,各项系数!$D$1:$F$143,2,0))</f>
        <v>0</v>
      </c>
      <c r="GK62" s="388">
        <f>IF($BK62&lt;&gt;$GK$9,0,各项系数!$F$76/4*($MS62^2-$MQ62^2)*10^-2*(VLOOKUP($GK$9,各项系数!$D$1:$F$143,3,0))*10^-3*10^2)*各项系数!$J$4</f>
        <v>0</v>
      </c>
      <c r="GL62" s="389">
        <v>1</v>
      </c>
      <c r="GM62" s="390">
        <f t="shared" si="276"/>
        <v>0</v>
      </c>
      <c r="GN62" s="367">
        <f>GM62*(VLOOKUP($GK$9,各项系数!$D$1:$F$143,2,0))</f>
        <v>0</v>
      </c>
      <c r="GO62" s="390">
        <f t="shared" si="277"/>
        <v>0.013850904709131</v>
      </c>
      <c r="GP62" s="390">
        <f t="shared" si="278"/>
        <v>0.17867667074779</v>
      </c>
      <c r="GQ62" s="406">
        <f>各项系数!$F$76/4*($MU62^2-$MS62^2)*10^-2*(VLOOKUP($S62,各项系数!$D$1:$F$143,3,0))*10^-3*10^2*各项系数!$J$4</f>
        <v>0.947819195205782</v>
      </c>
      <c r="GR62" s="389">
        <v>1</v>
      </c>
      <c r="GS62" s="390">
        <f t="shared" si="279"/>
        <v>0.947819195205782</v>
      </c>
      <c r="GT62" s="390">
        <f t="shared" si="200"/>
        <v>0</v>
      </c>
      <c r="GU62" s="390">
        <f>ROUND($GS62*(VLOOKUP($S62,各项系数!$D$1:$F$143,2,0))+$E$3*GS62,GT62)</f>
        <v>5</v>
      </c>
      <c r="GV62" s="406">
        <f>各项系数!$F$76/4*($MT62^2-$MS62^2)*10^-2*(VLOOKUP($GV$9,各项系数!$D$1:$F$143,3,0))*10^-3*10^2*各项系数!$J$4*PI()/4*R62</f>
        <v>0.0712794017382677</v>
      </c>
      <c r="GW62" s="389">
        <v>1</v>
      </c>
      <c r="GX62" s="390">
        <f t="shared" si="280"/>
        <v>0.0712794017382677</v>
      </c>
      <c r="GY62" s="390">
        <f>$GX62*(VLOOKUP($GV$9,各项系数!$D$1:$F$143,2,0))</f>
        <v>4.81135961733307</v>
      </c>
      <c r="GZ62" s="406">
        <f>各项系数!$F$76/4*($MV62^2-$MS62^2)*10^-2*(VLOOKUP($GZ$9,各项系数!$D$1:$F$143,3,0))*10^-3*10^2*各项系数!$J$4</f>
        <v>0.656551278672049</v>
      </c>
      <c r="HA62" s="389">
        <v>1</v>
      </c>
      <c r="HB62" s="390">
        <f t="shared" si="144"/>
        <v>0.656551278672049</v>
      </c>
      <c r="HC62" s="390">
        <f>HB62*(VLOOKUP($GZ$9,各项系数!$D$1:$F$143,2,0))</f>
        <v>11.1613717374248</v>
      </c>
      <c r="HD62" s="406">
        <f>各项系数!$F$76/4*($MW62^2-$MT62^2)*10^-2*(VLOOKUP($HD$9,各项系数!$D$1:$F$143,3,0))*10^-3*10^2*各项系数!$J$4</f>
        <v>0.658509332842066</v>
      </c>
      <c r="HE62" s="389">
        <v>1</v>
      </c>
      <c r="HF62" s="390">
        <f t="shared" si="145"/>
        <v>0.658509332842066</v>
      </c>
      <c r="HG62" s="390">
        <f>HF62*(VLOOKUP($HD$9,各项系数!$D$1:$F$143,2,0))</f>
        <v>11.1946586583151</v>
      </c>
      <c r="HH62" s="406">
        <f>各项系数!$F$76/4*($MV62^2-$MS62^2)*10^-2*(VLOOKUP($HH$9,各项系数!$D$1:$F$143,3,0))*10^-3*10^2*各项系数!$J$4</f>
        <v>0.656551278672049</v>
      </c>
      <c r="HI62" s="420">
        <v>1</v>
      </c>
      <c r="HJ62" s="390">
        <f t="shared" si="146"/>
        <v>0.656551278672049</v>
      </c>
      <c r="HK62" s="390">
        <f>HJ62*(VLOOKUP($HH$9,各项系数!$D$1:$F$143,2,0))</f>
        <v>11.1613717374248</v>
      </c>
      <c r="HL62" s="406">
        <f>各项系数!$F$76/4*($MW62^2-$MT62^2)*10^-2*(VLOOKUP($HL$9,各项系数!$D$1:$F$143,3,0))*10^-3*10^2*各项系数!$J$4</f>
        <v>0.658509332842066</v>
      </c>
      <c r="HM62" s="420">
        <v>1</v>
      </c>
      <c r="HN62" s="390">
        <f t="shared" si="147"/>
        <v>0.658509332842066</v>
      </c>
      <c r="HO62" s="390">
        <f>HN62*(VLOOKUP($HL$9,各项系数!$D$1:$F$143,2,0))</f>
        <v>11.1946586583151</v>
      </c>
      <c r="HP62" s="406">
        <f>各项系数!$F$76/4*($MV62^2-$MS62^2)*10^-2*(VLOOKUP(AN62,各项系数!$D$1:$F$143,3,0))*10^-3*10^2*各项系数!$J$4</f>
        <v>0.66560715837787</v>
      </c>
      <c r="HQ62" s="389">
        <v>1</v>
      </c>
      <c r="HR62" s="390">
        <f t="shared" si="281"/>
        <v>0.66560715837787</v>
      </c>
      <c r="HS62" s="390">
        <f>HR62*(VLOOKUP(AN62,各项系数!$D$1:$F$143,2,0))</f>
        <v>6.6560715837787</v>
      </c>
      <c r="HT62" s="406">
        <f>各项系数!$F$76/4*($MW62^2-$MT62^2)*10^-2*(VLOOKUP(AN62,各项系数!$D$1:$F$143,3,0))*10^-3*10^2*各项系数!$J$4</f>
        <v>0.667592220191612</v>
      </c>
      <c r="HU62" s="389">
        <v>1</v>
      </c>
      <c r="HV62" s="390">
        <f t="shared" si="282"/>
        <v>0.667592220191612</v>
      </c>
      <c r="HW62" s="390">
        <f>HV62*(VLOOKUP(AN62,各项系数!$D$1:$F$143,2,0))</f>
        <v>6.67592220191612</v>
      </c>
      <c r="HX62" s="406">
        <f>各项系数!$F$76/4*($MV62^2-$MS62^2)*10^-2*(VLOOKUP($HX$9,各项系数!$D$1:$F$143,3,0))*10^-3*10^2*各项系数!$J$4</f>
        <v>0.66560715837787</v>
      </c>
      <c r="HY62" s="420">
        <v>1</v>
      </c>
      <c r="HZ62" s="390">
        <f t="shared" si="283"/>
        <v>0.66560715837787</v>
      </c>
      <c r="IA62" s="390">
        <f>HZ62*(VLOOKUP($HX$9,各项系数!$D$1:$F$143,2,0))</f>
        <v>7.32167874215657</v>
      </c>
      <c r="IB62" s="406">
        <f>各项系数!$F$76/4*($MW62^2-$MT62^2)*10^-2*(VLOOKUP($IB$9,各项系数!$D$1:$F$143,3,0))*10^-3*10^2*各项系数!$J$4</f>
        <v>0.667592220191612</v>
      </c>
      <c r="IC62" s="420">
        <v>1</v>
      </c>
      <c r="ID62" s="390">
        <f t="shared" si="284"/>
        <v>0.667592220191612</v>
      </c>
      <c r="IE62" s="390">
        <f>ID62*(VLOOKUP($IB$9,各项系数!$D$1:$F$143,2,0))</f>
        <v>7.34351442210773</v>
      </c>
      <c r="IF62" s="429"/>
      <c r="IG62" s="406">
        <f t="shared" si="148"/>
        <v>0.0861128173667008</v>
      </c>
      <c r="IH62" s="389">
        <v>1</v>
      </c>
      <c r="II62" s="390">
        <f t="shared" si="285"/>
        <v>0.0861128173667008</v>
      </c>
      <c r="IJ62" s="390">
        <f>II62*(VLOOKUP($IG$8,各项系数!$D$1:$F$143,2,0))</f>
        <v>2.15282043416752</v>
      </c>
      <c r="IK62" s="406">
        <f>(各项系数!$F$76/4*($MX62^2-$MK62^2)*$EG62)*10^-2*(VLOOKUP($IG$8,各项系数!$D$1:$F$143,3,0))*10^-3*10^2*各项系数!$J$4</f>
        <v>0.0861128173667008</v>
      </c>
      <c r="IL62" s="389">
        <f>IK62*(VLOOKUP($IG$8,各项系数!$D$1:$F$143,2,0))</f>
        <v>2.15282043416752</v>
      </c>
      <c r="IM62" s="390">
        <f>(各项系数!$F$76/4*(($MM62+3*$X62)^2-MM62^2)*$EO62)*10^-2*(VLOOKUP($IG$8,各项系数!$D$1:$F$143,3,0))*10^-3*10^2*各项系数!$J$4</f>
        <v>0</v>
      </c>
      <c r="IN62" s="389">
        <f>IM62*(VLOOKUP($IG$8,各项系数!$D$1:$F$143,2,0))</f>
        <v>0</v>
      </c>
      <c r="IO62" s="406">
        <f>各项系数!$F$76/4*($MZ62^2-$MX62^2)*10^-2*(VLOOKUP(L62,各项系数!$D$1:$F$143,3,0))*10^-3*10^2*$ES62*各项系数!$J$4</f>
        <v>0.392919022838144</v>
      </c>
      <c r="IP62" s="389">
        <v>1</v>
      </c>
      <c r="IQ62" s="390">
        <f t="shared" si="286"/>
        <v>0.392919022838144</v>
      </c>
      <c r="IR62" s="367">
        <f>IQ62*(VLOOKUP(L62,各项系数!$D$1:$F$143,2,0))</f>
        <v>4.00777403294907</v>
      </c>
      <c r="IS62" s="406">
        <f>IF($L62&lt;&gt;$IS$9,0,各项系数!$F$76/4*($MZ62^2-$MX62^2)*10^-2*各项系数!$F$12*10^-3*10^2)*$ES62*各项系数!$J$4</f>
        <v>0</v>
      </c>
      <c r="IT62" s="389">
        <v>1</v>
      </c>
      <c r="IU62" s="390">
        <f t="shared" si="287"/>
        <v>0</v>
      </c>
      <c r="IV62" s="367">
        <f>IU62*各项系数!$E$12</f>
        <v>0</v>
      </c>
      <c r="IW62" s="388">
        <f t="shared" si="288"/>
        <v>0.392919022838144</v>
      </c>
      <c r="IX62" s="388">
        <f t="shared" si="289"/>
        <v>4.00777403294907</v>
      </c>
      <c r="IY62" s="447">
        <f>各项系数!$F$76/4*($NB62^2-$MZ62^2*$EG62-$NA62^2*$EO62)*10^-2</f>
        <v>7.60179765810748</v>
      </c>
      <c r="IZ62" s="366">
        <f t="shared" si="231"/>
        <v>1</v>
      </c>
      <c r="JA62" s="367">
        <f t="shared" si="64"/>
        <v>7.60179765810748</v>
      </c>
      <c r="JB62" s="364">
        <f>IF($DE62&lt;&gt;$JB$9,0,$JA62*各项系数!$F$32*10^-3*10^2)*各项系数!$J$4</f>
        <v>0</v>
      </c>
      <c r="JC62" s="123">
        <v>1</v>
      </c>
      <c r="JD62" s="251">
        <f t="shared" si="290"/>
        <v>0</v>
      </c>
      <c r="JE62" s="339">
        <f>JD62*各项系数!$E$32</f>
        <v>0</v>
      </c>
      <c r="JF62" s="364">
        <f>IF($DE62&lt;&gt;$JF$9,0,$JA62*VLOOKUP($JF$9,各项系数!$D$4:$F$540,2,0)*10^-3*10^2)*各项系数!$J$4</f>
        <v>3.78189433490847</v>
      </c>
      <c r="JG62" s="123">
        <v>1</v>
      </c>
      <c r="JH62" s="251">
        <f t="shared" si="66"/>
        <v>3.78189433490847</v>
      </c>
      <c r="JI62" s="339">
        <f>JH62*VLOOKUP($JF$9,各项系数!$D$4:$F$540,3,0)</f>
        <v>4.53827320189017</v>
      </c>
      <c r="JJ62" s="364">
        <f t="shared" si="291"/>
        <v>3.78189433490847</v>
      </c>
      <c r="JK62" s="251">
        <f t="shared" si="292"/>
        <v>4.53827320189017</v>
      </c>
      <c r="JL62" s="364">
        <f>IF($DF62&lt;&gt;$JL$9,0,各项系数!$F$76/4*($NE62^2-$NC62^2)*10^-2*各项系数!$F$39*10^-3*10^2)*各项系数!$J$4</f>
        <v>0.00587295663789102</v>
      </c>
      <c r="JM62" s="123">
        <v>1</v>
      </c>
      <c r="JN62" s="251">
        <f t="shared" si="293"/>
        <v>0.00587295663789102</v>
      </c>
      <c r="JO62" s="339">
        <f>JN62*各项系数!$E$39</f>
        <v>0.11745913275782</v>
      </c>
      <c r="JP62" s="364">
        <f>IF($DF62&lt;&gt;$JP$9,0,各项系数!$F$76/4*($NE62^2-$NC62^2)*10^-2*各项系数!$F$36*10^-3*10^2)*各项系数!$J$4</f>
        <v>0</v>
      </c>
      <c r="JQ62" s="123">
        <v>1</v>
      </c>
      <c r="JR62" s="251">
        <f t="shared" si="294"/>
        <v>0</v>
      </c>
      <c r="JS62" s="339">
        <f>JR62*各项系数!$E$36</f>
        <v>0</v>
      </c>
      <c r="JT62" s="364">
        <f>IF($DF62&lt;&gt;$JT$9,0,各项系数!$F$76/4*($NE62^2-$NC62^2)*10^-2*各项系数!$F$40*10^-3*10^2)*各项系数!$J$4</f>
        <v>0</v>
      </c>
      <c r="JU62" s="123">
        <v>1</v>
      </c>
      <c r="JV62" s="251">
        <f t="shared" si="295"/>
        <v>0</v>
      </c>
      <c r="JW62" s="339">
        <f>JV62*各项系数!$E$40</f>
        <v>0</v>
      </c>
      <c r="JX62" s="364">
        <f>IF($DF62&lt;&gt;$JX$9,0,各项系数!$F$76/4*($NE62^2-$NC62^2)*10^-2*各项系数!$F$38*10^-3*10^2)*各项系数!$J$4</f>
        <v>0</v>
      </c>
      <c r="JY62" s="123">
        <v>1</v>
      </c>
      <c r="JZ62" s="251">
        <f t="shared" si="296"/>
        <v>0</v>
      </c>
      <c r="KA62" s="339">
        <f>JZ62*各项系数!$E$38</f>
        <v>0</v>
      </c>
      <c r="KB62" s="364">
        <f>IF($DF62&lt;&gt;$KB$9,0,各项系数!$F$76/4*($NE62^2-$NC62^2)*10^-2*各项系数!$F$41*10^-3*10^2)*各项系数!$J$4</f>
        <v>0</v>
      </c>
      <c r="KC62" s="123">
        <v>1</v>
      </c>
      <c r="KD62" s="251">
        <f t="shared" si="297"/>
        <v>0</v>
      </c>
      <c r="KE62" s="339">
        <f>KD62*各项系数!$E$41</f>
        <v>0</v>
      </c>
      <c r="KF62" s="251">
        <f t="shared" si="298"/>
        <v>0.00587295663789102</v>
      </c>
      <c r="KG62" s="251">
        <f t="shared" si="299"/>
        <v>0.11745913275782</v>
      </c>
      <c r="KH62" s="302">
        <f>各项系数!$F$76/4*($NG62^2-$NE62^2)*10^-2*各项系数!$F$44*10^-3*10^2*各项系数!$J$4*0.75*$U62</f>
        <v>1.4591287527745</v>
      </c>
      <c r="KI62" s="123">
        <v>1</v>
      </c>
      <c r="KJ62" s="251">
        <f t="shared" si="300"/>
        <v>1.4591287527745</v>
      </c>
      <c r="KK62" s="251">
        <f>ROUND(KJ62*各项系数!$E$43,GT62)</f>
        <v>8</v>
      </c>
      <c r="KL62" s="302">
        <f>各项系数!$F$76/4*($NF62^2-$NE62^2)*10^-2*各项系数!$F$46*10^-3*10^2*各项系数!$J$4*PI()/4*R62</f>
        <v>0.0731790949818781</v>
      </c>
      <c r="KM62" s="123">
        <v>1</v>
      </c>
      <c r="KN62" s="251">
        <f t="shared" si="301"/>
        <v>0.0731790949818781</v>
      </c>
      <c r="KO62" s="251">
        <f>KN62*各项系数!$E$46</f>
        <v>4.93958891127677</v>
      </c>
      <c r="KP62" s="302">
        <f>各项系数!$F$76/4*($NH62^2-$NE62^2)*10^-2*(VLOOKUP($KP$9,各项系数!$D$1:$F$143,3,0))*10^-3*10^2*各项系数!$J$4</f>
        <v>0.673194739117198</v>
      </c>
      <c r="KQ62" s="123">
        <v>1</v>
      </c>
      <c r="KR62" s="251">
        <f t="shared" si="150"/>
        <v>0.673194739117198</v>
      </c>
      <c r="KS62" s="251">
        <f>KR62*(VLOOKUP($KP$9,各项系数!$D$1:$F$143,2,0))</f>
        <v>11.4443105649924</v>
      </c>
      <c r="KT62" s="302">
        <f>各项系数!$F$76/4*($NI62^2-$NF62^2)*10^-2*(VLOOKUP($KT$9,各项系数!$D$1:$F$143,3,0))*10^-3*10^2*各项系数!$J$4</f>
        <v>0.675152793287215</v>
      </c>
      <c r="KU62" s="123">
        <v>1</v>
      </c>
      <c r="KV62" s="251">
        <f t="shared" si="151"/>
        <v>0.675152793287215</v>
      </c>
      <c r="KW62" s="251">
        <f>KV62*(VLOOKUP($KT$9,各项系数!$D$1:$F$143,2,0))</f>
        <v>11.4775974858827</v>
      </c>
      <c r="KX62" s="251">
        <f>各项系数!$F$76/4*($NH62^2-$NE62^2)*10^-2*(VLOOKUP($KX$9,各项系数!$D$1:$F$143,3,0))*10^-3*10^2*各项系数!$J$4</f>
        <v>0.673194739117198</v>
      </c>
      <c r="KY62" s="479">
        <v>1</v>
      </c>
      <c r="KZ62" s="251">
        <f t="shared" si="152"/>
        <v>0.673194739117198</v>
      </c>
      <c r="LA62" s="251">
        <f>KZ62*(VLOOKUP($KX$9,各项系数!$D$1:$F$143,2,0))</f>
        <v>11.4443105649924</v>
      </c>
      <c r="LB62" s="251">
        <f>各项系数!$F$76/4*($NI62^2-$NF62^2)*10^-2*(VLOOKUP($LB$9,各项系数!$D$1:$F$143,3,0))*10^-3*10^2*各项系数!$J$4</f>
        <v>0.675152793287215</v>
      </c>
      <c r="LC62" s="479">
        <v>1</v>
      </c>
      <c r="LD62" s="251">
        <f t="shared" si="153"/>
        <v>0.675152793287215</v>
      </c>
      <c r="LE62" s="251">
        <f>LD62*(VLOOKUP($LB$9,各项系数!$D$1:$F$143,2,0))</f>
        <v>11.4775974858827</v>
      </c>
      <c r="LF62" s="302">
        <f>各项系数!$F$76/4*($NH62^2-$NE62^2)*10^-2*(VLOOKUP(AN62,各项系数!$D$1:$F$143,3,0))*10^-3*10^2*各项系数!$J$4</f>
        <v>0.682480183794676</v>
      </c>
      <c r="LG62" s="123">
        <v>1</v>
      </c>
      <c r="LH62" s="251">
        <f t="shared" si="302"/>
        <v>0.682480183794676</v>
      </c>
      <c r="LI62" s="251">
        <f>LH62*(VLOOKUP(AN62,各项系数!$D$1:$F$143,2,0))</f>
        <v>6.82480183794676</v>
      </c>
      <c r="LJ62" s="302">
        <f>各项系数!$F$76/4*($NI62^2-$NF62^2)*10^-2*(VLOOKUP(AN62,各项系数!$D$1:$F$143,3,0))*10^-3*10^2*各项系数!$J$4</f>
        <v>0.684465245608418</v>
      </c>
      <c r="LK62" s="123">
        <v>1</v>
      </c>
      <c r="LL62" s="251">
        <f t="shared" si="303"/>
        <v>0.684465245608418</v>
      </c>
      <c r="LM62" s="251">
        <f>LL62*(VLOOKUP(AN62,各项系数!$D$1:$F$143,2,0))</f>
        <v>6.84465245608418</v>
      </c>
      <c r="LN62" s="251">
        <f>各项系数!$F$76/4*($NH62^2-$NE62^2)*10^-2*(VLOOKUP($LN$9,各项系数!$D$1:$F$143,3,0))*10^-3*10^2*各项系数!$J$4</f>
        <v>0.682480183794676</v>
      </c>
      <c r="LO62" s="479">
        <v>1</v>
      </c>
      <c r="LP62" s="251">
        <f t="shared" si="304"/>
        <v>0.682480183794676</v>
      </c>
      <c r="LQ62" s="251">
        <f>LP62*(VLOOKUP($LN$9,各项系数!$D$1:$F$143,2,0))</f>
        <v>7.50728202174144</v>
      </c>
      <c r="LR62" s="251">
        <f>各项系数!$F$76/4*($NI62^2-$NF62^2)*10^-2*(VLOOKUP($LR$9,各项系数!$D$1:$F$143,3,0))*10^-3*10^2*各项系数!$J$4</f>
        <v>0.684465245608418</v>
      </c>
      <c r="LS62" s="479">
        <v>1</v>
      </c>
      <c r="LT62" s="251">
        <f t="shared" si="305"/>
        <v>0.684465245608418</v>
      </c>
      <c r="LU62" s="251">
        <f>LT62*(VLOOKUP($LR$9,各项系数!$D$1:$F$143,2,0))</f>
        <v>7.5291177016926</v>
      </c>
      <c r="LV62" s="499">
        <f t="shared" si="154"/>
        <v>952.50875464</v>
      </c>
      <c r="LW62" s="499">
        <f t="shared" si="155"/>
        <v>688.32730222</v>
      </c>
      <c r="LX62" s="499">
        <f t="shared" si="156"/>
        <v>29.6041473599118</v>
      </c>
      <c r="LY62" s="515">
        <f t="shared" si="157"/>
        <v>264.18145242</v>
      </c>
      <c r="LZ62" s="516">
        <f t="shared" si="86"/>
        <v>1</v>
      </c>
      <c r="MA62" s="517">
        <f t="shared" si="87"/>
        <v>952.50875464</v>
      </c>
      <c r="MB62" s="517">
        <f t="shared" si="158"/>
        <v>20.10615008</v>
      </c>
      <c r="MC62" s="499">
        <f t="shared" si="159"/>
        <v>0</v>
      </c>
      <c r="MD62" s="499">
        <f t="shared" si="160"/>
        <v>0</v>
      </c>
      <c r="ME62" s="499">
        <f t="shared" si="161"/>
        <v>0</v>
      </c>
      <c r="MF62" s="499">
        <f t="shared" si="162"/>
        <v>0</v>
      </c>
      <c r="MG62" s="516">
        <f t="shared" si="163"/>
        <v>1</v>
      </c>
      <c r="MH62" s="517">
        <f t="shared" si="88"/>
        <v>0</v>
      </c>
      <c r="MI62" s="517">
        <f t="shared" si="164"/>
        <v>0</v>
      </c>
      <c r="MJ62" s="251">
        <f t="shared" si="89"/>
        <v>20.10615008</v>
      </c>
      <c r="MK62" s="251">
        <f t="shared" si="165"/>
        <v>20.10615008</v>
      </c>
      <c r="ML62" s="251">
        <f t="shared" si="306"/>
        <v>0</v>
      </c>
      <c r="MM62" s="251">
        <f t="shared" si="91"/>
        <v>0</v>
      </c>
      <c r="MN62" s="251">
        <f t="shared" si="92"/>
        <v>23.50615008</v>
      </c>
      <c r="MO62" s="251">
        <f t="shared" si="166"/>
        <v>0</v>
      </c>
      <c r="MP62" s="251">
        <f t="shared" si="167"/>
        <v>50.77328417</v>
      </c>
      <c r="MQ62" s="251">
        <f t="shared" si="307"/>
        <v>50.77328417</v>
      </c>
      <c r="MR62" s="314">
        <f t="shared" si="168"/>
        <v>50.77328417</v>
      </c>
      <c r="MS62" s="530">
        <f t="shared" si="94"/>
        <v>50.94928417</v>
      </c>
      <c r="MT62" s="530">
        <f t="shared" si="95"/>
        <v>51.10928417</v>
      </c>
      <c r="MU62" s="530">
        <f t="shared" si="232"/>
        <v>52.44928417</v>
      </c>
      <c r="MV62" s="530">
        <f t="shared" si="97"/>
        <v>56.34928417</v>
      </c>
      <c r="MW62" s="530">
        <f t="shared" si="98"/>
        <v>56.50928417</v>
      </c>
      <c r="MX62" s="326">
        <f t="shared" si="233"/>
        <v>20.70615008</v>
      </c>
      <c r="MY62" s="326">
        <f t="shared" si="100"/>
        <v>0</v>
      </c>
      <c r="MZ62" s="251">
        <f t="shared" si="101"/>
        <v>24.10615008</v>
      </c>
      <c r="NA62" s="251">
        <f t="shared" si="102"/>
        <v>0</v>
      </c>
      <c r="NB62" s="251">
        <f t="shared" si="169"/>
        <v>52.06928417</v>
      </c>
      <c r="NC62" s="326">
        <f t="shared" si="308"/>
        <v>52.06928417</v>
      </c>
      <c r="ND62" s="314">
        <f t="shared" si="234"/>
        <v>52.06928417</v>
      </c>
      <c r="NE62" s="537">
        <f t="shared" si="235"/>
        <v>52.30928417</v>
      </c>
      <c r="NF62" s="530">
        <f t="shared" si="106"/>
        <v>52.46928417</v>
      </c>
      <c r="NG62" s="538">
        <f t="shared" si="236"/>
        <v>53.80928417</v>
      </c>
      <c r="NH62" s="326">
        <f t="shared" si="108"/>
        <v>57.70928417</v>
      </c>
      <c r="NI62" s="530">
        <f t="shared" si="109"/>
        <v>57.86928417</v>
      </c>
      <c r="NK62" s="539">
        <f t="shared" si="110"/>
        <v>8.10485248327177</v>
      </c>
      <c r="NL62" s="539">
        <f t="shared" si="111"/>
        <v>418.111884376631</v>
      </c>
      <c r="NM62" s="539">
        <f t="shared" si="112"/>
        <v>8.10485248327177</v>
      </c>
      <c r="NN62" s="539">
        <f t="shared" si="113"/>
        <v>418.777491535009</v>
      </c>
      <c r="NO62" s="539">
        <f t="shared" si="114"/>
        <v>11.1292423929501</v>
      </c>
      <c r="NP62" s="539">
        <f t="shared" si="115"/>
        <v>422.428710209687</v>
      </c>
      <c r="NQ62" s="539">
        <f t="shared" si="116"/>
        <v>11.1292423929501</v>
      </c>
      <c r="NR62" s="539">
        <f t="shared" si="117"/>
        <v>423.111190393481</v>
      </c>
      <c r="NS62" s="539">
        <f t="shared" si="118"/>
        <v>8.17613188501003</v>
      </c>
      <c r="NT62" s="539">
        <f t="shared" si="119"/>
        <v>8.17613188501003</v>
      </c>
      <c r="NU62" s="539">
        <f t="shared" si="120"/>
        <v>11.202421487932</v>
      </c>
      <c r="NV62" s="539">
        <f t="shared" si="121"/>
        <v>11.202421487932</v>
      </c>
      <c r="NW62">
        <f t="shared" si="122"/>
        <v>9.05267167847755</v>
      </c>
      <c r="NX62">
        <f>各项系数!$M$9*NK62</f>
        <v>2.43145574498153</v>
      </c>
      <c r="NY62">
        <f t="shared" si="123"/>
        <v>8.17613188501003</v>
      </c>
    </row>
    <row r="63" customHeight="1" spans="1:389">
      <c r="A63" s="81"/>
      <c r="B63" s="98"/>
      <c r="C63" s="83"/>
      <c r="D63" s="69" t="s">
        <v>260</v>
      </c>
      <c r="E63" s="70">
        <f t="shared" si="313"/>
        <v>61.40296603</v>
      </c>
      <c r="F63" s="84">
        <f>$F$31</f>
        <v>245.118138379664</v>
      </c>
      <c r="G63" s="74"/>
      <c r="H63" s="23"/>
      <c r="I63" s="78"/>
      <c r="J63" s="23"/>
      <c r="K63" s="23"/>
      <c r="L63" s="118" t="s">
        <v>467</v>
      </c>
      <c r="M63" s="124">
        <f t="shared" si="2"/>
        <v>1.8</v>
      </c>
      <c r="N63" s="124">
        <f t="shared" si="252"/>
        <v>0</v>
      </c>
      <c r="O63" s="69">
        <f t="shared" si="312"/>
        <v>0.08</v>
      </c>
      <c r="P63" s="120">
        <v>0.1</v>
      </c>
      <c r="Q63" s="162">
        <f t="shared" si="309"/>
        <v>0.1</v>
      </c>
      <c r="R63" s="86">
        <v>0.8</v>
      </c>
      <c r="S63" s="171" t="str">
        <f>各项系数!$D$43</f>
        <v>钢带</v>
      </c>
      <c r="T63" s="123">
        <v>0.5</v>
      </c>
      <c r="U63" s="123">
        <v>2</v>
      </c>
      <c r="V63" s="169"/>
      <c r="W63" s="170">
        <v>2.9</v>
      </c>
      <c r="X63" s="164">
        <f t="shared" si="310"/>
        <v>0.2</v>
      </c>
      <c r="Y63" s="219"/>
      <c r="Z63" s="220"/>
      <c r="AA63" s="217">
        <f>$AA$31</f>
        <v>1.02</v>
      </c>
      <c r="AB63" s="186">
        <f>PI()*EJ63*EJ63/4*EH63*(1-H63)*AA63*各项系数!$F$5*各项系数!$J$4*10^-7</f>
        <v>2.59714160229395</v>
      </c>
      <c r="AC63" s="186">
        <f t="shared" si="314"/>
        <v>245.118138379664</v>
      </c>
      <c r="AD63" s="186">
        <f t="shared" si="5"/>
        <v>293.609962330657</v>
      </c>
      <c r="AE63" s="186">
        <f>POWER(4*EU63/PI()/EG63/10^-7/EH63/(1-H63)/各项系数!$F$5/各项系数!$J$4,0.5)</f>
        <v>247.557184904754</v>
      </c>
      <c r="AF63" s="218">
        <v>1</v>
      </c>
      <c r="AG63" s="85">
        <f>IF(EM63=0,0,PI()*ER63*ER63/4*EP63*(1-K63)*(1+AF63)*各项系数!$F$5*各项系数!$J$4*10^-7)</f>
        <v>0</v>
      </c>
      <c r="AH63" s="85">
        <f t="shared" si="315"/>
        <v>0</v>
      </c>
      <c r="AI63" s="85">
        <f t="shared" si="128"/>
        <v>0</v>
      </c>
      <c r="AJ63" s="85">
        <f>IF(OR(EP63="",EP63=0),0,POWER(4*EW63/PI()/EO63/10^-7/EP63/(1-K63)/各项系数!$F$5/各项系数!$J$4,0.5))</f>
        <v>0</v>
      </c>
      <c r="AK63" s="85" t="str">
        <f t="shared" si="8"/>
        <v>√</v>
      </c>
      <c r="AL63" s="85">
        <f t="shared" si="316"/>
        <v>542.331535072163</v>
      </c>
      <c r="AM63" s="250">
        <f t="shared" si="317"/>
        <v>300</v>
      </c>
      <c r="AN63" s="118" t="s">
        <v>486</v>
      </c>
      <c r="AO63" s="259">
        <f>AP63+各项系数!$M$9*$NK63</f>
        <v>531.697583404081</v>
      </c>
      <c r="AP63" s="259">
        <f>AQ63*(1+$BI63+(VLOOKUP($AM63,$A$12:$B$323,2,0))+各项系数!$J$6+各项系数!$M$5)*(1+$E$2)</f>
        <v>528.680285341679</v>
      </c>
      <c r="AQ63" s="260">
        <f>AR63+各项系数!$L$9*$NK63</f>
        <v>539.46967892008</v>
      </c>
      <c r="AR63" s="260">
        <f>AS63*(1+$BJ63+各项系数!$J$5+各项系数!$L$5)</f>
        <v>536.452380857678</v>
      </c>
      <c r="AS63" s="260">
        <f t="shared" si="129"/>
        <v>525.933706723213</v>
      </c>
      <c r="AT63" s="259">
        <f>AU63+各项系数!$M$9*$NM63</f>
        <v>536.972288266294</v>
      </c>
      <c r="AU63" s="259">
        <f>AV63*(1+$BI63+(VLOOKUP($AM63,$A$12:$B$323,2,0))+各项系数!$J$6+各项系数!$M$5)*(1+$E$2)</f>
        <v>533.954990203891</v>
      </c>
      <c r="AV63" s="260">
        <f>AW63+各项系数!$L$9*$NM63</f>
        <v>544.852030820297</v>
      </c>
      <c r="AW63" s="260">
        <f>AX63*(1+$BJ63+各项系数!$J$5+各项系数!$L$5)</f>
        <v>541.834732757894</v>
      </c>
      <c r="AX63" s="260">
        <f t="shared" si="130"/>
        <v>531.210522311661</v>
      </c>
      <c r="AY63" s="259">
        <f>AZ63+各项系数!$M$9*$NS63</f>
        <v>537.013134875432</v>
      </c>
      <c r="AZ63" s="259">
        <f>BA63*(1+$BI63+(VLOOKUP($AM63,$A$12:$B$214,2,0))+各项系数!$J$6+各项系数!$M$5)*(1+$E$2)</f>
        <v>533.972502867216</v>
      </c>
      <c r="BA63" s="260">
        <f>BB63+各项系数!$L$9*$NS63</f>
        <v>544.869900884914</v>
      </c>
      <c r="BB63" s="260">
        <f>BC63*(1+$BJ63+各项系数!$J$5+各项系数!$L$5)</f>
        <v>541.829268876699</v>
      </c>
      <c r="BC63" s="262">
        <f t="shared" si="131"/>
        <v>531.205165565391</v>
      </c>
      <c r="BD63" s="259">
        <f>BE63+各项系数!$M$9*$NS63</f>
        <v>542.302265549448</v>
      </c>
      <c r="BE63" s="259">
        <f>BF63*(1+$BI63+(VLOOKUP($AM63,$A$12:$B$214,2,0))+各项系数!$J$6+各项系数!$M$5)*(1+$E$2)</f>
        <v>539.261633541233</v>
      </c>
      <c r="BF63" s="260">
        <f>BG63+各项系数!$L$9*$NS63</f>
        <v>550.266973001258</v>
      </c>
      <c r="BG63" s="260">
        <f>BH63*(1+$BJ63+各项系数!$J$5+各项系数!$L$5)</f>
        <v>547.226340993043</v>
      </c>
      <c r="BH63" s="262">
        <f t="shared" si="132"/>
        <v>536.496412738277</v>
      </c>
      <c r="BI63" s="277"/>
      <c r="BJ63" s="272"/>
      <c r="BK63" s="69" t="s">
        <v>514</v>
      </c>
      <c r="BL63" s="259">
        <f>BM63+各项系数!$M$9*$NM63</f>
        <v>537.638651715177</v>
      </c>
      <c r="BM63" s="259">
        <f>BN63*(1+$CF63+(VLOOKUP($AM63,$A$12:$B$323,2,0))+各项系数!$J$6+各项系数!$M$5)*(1+$E$2)</f>
        <v>534.621353652774</v>
      </c>
      <c r="BN63" s="260">
        <f>BO63+各项系数!$L$9*$NM63</f>
        <v>545.531993523239</v>
      </c>
      <c r="BO63" s="260">
        <f>BP63*(1+$CG63+各项系数!$J$5+各项系数!$L$5)</f>
        <v>542.514695460836</v>
      </c>
      <c r="BP63" s="260">
        <f t="shared" si="133"/>
        <v>526.713296563919</v>
      </c>
      <c r="BQ63" s="259">
        <f>BR63+各项系数!$M$9*$NM63</f>
        <v>542.178151384948</v>
      </c>
      <c r="BR63" s="259">
        <f>BS63*(1+$CF63+(VLOOKUP($AM63,$A$12:$B$323,2,0))+各项系数!$J$6+各项系数!$M$5)*(1+$E$2)</f>
        <v>539.160853322545</v>
      </c>
      <c r="BS63" s="260">
        <f>BT63+各项系数!$L$9*$NM63</f>
        <v>550.164136043414</v>
      </c>
      <c r="BT63" s="260">
        <f>BU63*(1+$CG63+各项系数!$J$5+各项系数!$L$5)</f>
        <v>547.146837981011</v>
      </c>
      <c r="BU63" s="260">
        <f t="shared" si="134"/>
        <v>531.210522311661</v>
      </c>
      <c r="BV63" s="259">
        <f>BW63+各项系数!$M$9*$NT63</f>
        <v>540.036294395423</v>
      </c>
      <c r="BW63" s="259">
        <f>BX63*(1+$CF63+(VLOOKUP($AM63,$A$12:$B$214,2,0))+各项系数!$J$6+各项系数!$M$5)*(1+$E$2)</f>
        <v>536.995662387207</v>
      </c>
      <c r="BX63" s="260">
        <f>BY63+各项系数!$L$9*$NT$12</f>
        <v>547.954757537967</v>
      </c>
      <c r="BY63" s="260">
        <f>BZ63*(1+$CG63+各项系数!$J$5+各项系数!$L$5)</f>
        <v>547.946494134812</v>
      </c>
      <c r="BZ63" s="262">
        <f t="shared" si="11"/>
        <v>531.986887509526</v>
      </c>
      <c r="CA63" s="259">
        <f>CB63+各项系数!$M$9*$NT63</f>
        <v>544.588209161324</v>
      </c>
      <c r="CB63" s="259">
        <f>CC63*(1+$CF63+(VLOOKUP($AM63,$A$12:$B$214,2,0))+各项系数!$J$6+各项系数!$M$5)*(1+$E$2)</f>
        <v>541.547577153109</v>
      </c>
      <c r="CC63" s="260">
        <f>CD63+各项系数!$L$9*$NT$12</f>
        <v>552.59956852358</v>
      </c>
      <c r="CD63" s="260">
        <f>CE63*(1+$CG63+各项系数!$J$5+各项系数!$L$5)</f>
        <v>552.591305120425</v>
      </c>
      <c r="CE63" s="262">
        <f t="shared" si="135"/>
        <v>536.496412738277</v>
      </c>
      <c r="CF63" s="277">
        <f t="shared" si="136"/>
        <v>0</v>
      </c>
      <c r="CG63" s="277">
        <f t="shared" si="12"/>
        <v>0.01</v>
      </c>
      <c r="CH63" s="123"/>
      <c r="CI63" s="259">
        <f>CJ63+各项系数!$M$9*$NO63</f>
        <v>541.723255753914</v>
      </c>
      <c r="CJ63" s="259">
        <f>CK63*(1+$DC63+(VLOOKUP($AM63,$A$12:$B$323,2,0))+各项系数!$J$6+各项系数!$M$5)*(1+$E$2)+各项系数!$M$9*$NK63</f>
        <v>537.633598908202</v>
      </c>
      <c r="CK63" s="260">
        <f>CL63+各项系数!$L$9*$NO63</f>
        <v>545.526837597754</v>
      </c>
      <c r="CL63" s="260">
        <f>CM63*(1+$DD63+各项系数!$J$5+各项系数!$L$5)</f>
        <v>541.437180752042</v>
      </c>
      <c r="CM63" s="260">
        <f t="shared" si="13"/>
        <v>530.820765443179</v>
      </c>
      <c r="CN63" s="259">
        <f>CO63+各项系数!$M$9*$NO63</f>
        <v>546.816804316129</v>
      </c>
      <c r="CO63" s="259">
        <f>CP63*(1+$DC63+(VLOOKUP($AM63,$A$12:$B$323,2,0))+各项系数!$J$6+各项系数!$M$5)*(1+$E$2)+各项系数!$M$9*$NK63</f>
        <v>542.727147470417</v>
      </c>
      <c r="CP63" s="260">
        <f>CQ63+各项系数!$L$9*$NO63</f>
        <v>550.724336130627</v>
      </c>
      <c r="CQ63" s="260">
        <f>CR63*(1+$DD63+各项系数!$J$5+各项系数!$L$5)</f>
        <v>546.634679284915</v>
      </c>
      <c r="CR63" s="260">
        <f t="shared" si="14"/>
        <v>535.916352240113</v>
      </c>
      <c r="CS63" s="259">
        <f>CT63+各项系数!$M$9*$NU63</f>
        <v>544.150815582874</v>
      </c>
      <c r="CT63" s="259">
        <f t="shared" si="15"/>
        <v>540.037254883376</v>
      </c>
      <c r="CU63" s="260">
        <f>CV63+各项系数!$L$9*$NU63</f>
        <v>551.058423350384</v>
      </c>
      <c r="CV63" s="260">
        <f>CW63*(1+$DD63+各项系数!$J$5+各项系数!$L$5)</f>
        <v>546.944862650886</v>
      </c>
      <c r="CW63" s="262">
        <f t="shared" si="16"/>
        <v>536.2204535793</v>
      </c>
      <c r="CX63" s="259">
        <f>CY63+各项系数!$M$9*$NU63</f>
        <v>549.562565657229</v>
      </c>
      <c r="CY63" s="259">
        <f t="shared" si="17"/>
        <v>545.449004957731</v>
      </c>
      <c r="CZ63" s="260">
        <f>DA63+各项系数!$L$9*$NU63</f>
        <v>556.580617303807</v>
      </c>
      <c r="DA63" s="260">
        <f>DB63*(1+$DD63+各项系数!$J$5+各项系数!$L$5)</f>
        <v>552.46705660431</v>
      </c>
      <c r="DB63" s="262">
        <f t="shared" si="18"/>
        <v>541.634369219911</v>
      </c>
      <c r="DC63" s="277">
        <f t="shared" si="137"/>
        <v>0</v>
      </c>
      <c r="DD63" s="277">
        <f t="shared" si="19"/>
        <v>0</v>
      </c>
      <c r="DE63" s="69" t="s">
        <v>498</v>
      </c>
      <c r="DF63" s="69" t="s">
        <v>513</v>
      </c>
      <c r="DG63" s="259">
        <f>DH63+各项系数!$M$9*$NQ63</f>
        <v>547.73051047468</v>
      </c>
      <c r="DH63" s="259">
        <f>DI63*(1+$EA63+(VLOOKUP($AM63,$A$12:$B$323,2,0))+各项系数!$J$6+各项系数!$M$5)*(1+$E$2)+各项系数!$M$9*$NK63</f>
        <v>543.640853628968</v>
      </c>
      <c r="DI63" s="260">
        <f>DJ63+各项系数!$L$9*$NQ63</f>
        <v>551.656689353638</v>
      </c>
      <c r="DJ63" s="260">
        <f>DK63*(1+$EB63+各项系数!$J$5+各项系数!$L$5)</f>
        <v>547.567032507926</v>
      </c>
      <c r="DK63" s="260">
        <f t="shared" si="20"/>
        <v>531.618478163035</v>
      </c>
      <c r="DL63" s="259">
        <f>DM63+各项系数!$M$9*$NQ63</f>
        <v>552.375538461558</v>
      </c>
      <c r="DM63" s="259">
        <f>DN63*(1+$EA63+(VLOOKUP($AM63,$A$12:$B$323,2,0))+各项系数!$J$6+各项系数!$M$5)*(1+$E$2)+各项系数!$M$9*$NK63</f>
        <v>548.285881615846</v>
      </c>
      <c r="DN63" s="260">
        <f>DO63+各项系数!$L$9*$NQ63</f>
        <v>556.396513830044</v>
      </c>
      <c r="DO63" s="260">
        <f>DP63*(1+$EB63+各项系数!$J$5+各项系数!$L$5)</f>
        <v>552.306856984332</v>
      </c>
      <c r="DP63" s="260">
        <f t="shared" si="21"/>
        <v>536.220249499352</v>
      </c>
      <c r="DQ63" s="259">
        <f>DR63+各项系数!$M$9*$NV63</f>
        <v>550.213139392576</v>
      </c>
      <c r="DR63" s="259">
        <f t="shared" si="22"/>
        <v>546.099578693078</v>
      </c>
      <c r="DS63" s="260">
        <f>DT63+各项系数!$L$9*$NV63</f>
        <v>557.244468054162</v>
      </c>
      <c r="DT63" s="260">
        <f>DU63*(1+$EB63+各项系数!$J$5+各项系数!$L$5)</f>
        <v>553.130907354664</v>
      </c>
      <c r="DU63" s="262">
        <f t="shared" si="23"/>
        <v>537.020298402586</v>
      </c>
      <c r="DV63" s="259">
        <f>DW63+各项系数!$M$9*$NV63</f>
        <v>550.194409669776</v>
      </c>
      <c r="DW63" s="259">
        <f t="shared" si="24"/>
        <v>546.080848970278</v>
      </c>
      <c r="DX63" s="260">
        <f>DY63+各项系数!$L$9*$NV63</f>
        <v>557.225356092121</v>
      </c>
      <c r="DY63" s="260">
        <f>DZ63*(1+$EB63+各项系数!$J$5+各项系数!$L$5)</f>
        <v>553.111795392623</v>
      </c>
      <c r="DZ63" s="262">
        <f t="shared" si="25"/>
        <v>537.001743099634</v>
      </c>
      <c r="EA63" s="277">
        <f t="shared" si="311"/>
        <v>0</v>
      </c>
      <c r="EB63" s="277">
        <f t="shared" si="27"/>
        <v>0.01</v>
      </c>
      <c r="EC63" s="302">
        <f t="shared" si="138"/>
        <v>3</v>
      </c>
      <c r="ED63" s="302" t="str">
        <f t="shared" si="266"/>
        <v>3*300</v>
      </c>
      <c r="EE63" s="251">
        <f t="shared" si="239"/>
        <v>300</v>
      </c>
      <c r="EF63" s="251" t="str">
        <f>LOOKUP(EH63,{1,7,10,14,19,24,30,37,48,61},{1,"1+6","2+8","4+10","1+6+12","2+8+14","4+10+16","1+6+12+18","3+9+15+21","1+6+12+18+24"})</f>
        <v>1+6+12+18+24</v>
      </c>
      <c r="EG63" s="250">
        <f t="shared" si="29"/>
        <v>3</v>
      </c>
      <c r="EH63" s="260">
        <f>VLOOKUP(EE63,各项系数!$B$87:$C$124,2,0)</f>
        <v>61</v>
      </c>
      <c r="EI63" s="250">
        <f>IF(EH63=0,0,VLOOKUP(EH63,各项系数!$D$142:$E$195,2,0))*1</f>
        <v>9</v>
      </c>
      <c r="EJ63" s="305">
        <f t="shared" si="141"/>
        <v>245.118138379664</v>
      </c>
      <c r="EK63" s="251">
        <f t="shared" si="318"/>
        <v>0</v>
      </c>
      <c r="EL63" s="251">
        <f t="shared" si="31"/>
        <v>0</v>
      </c>
      <c r="EM63" s="251">
        <f t="shared" si="267"/>
        <v>0</v>
      </c>
      <c r="EN63" s="251">
        <f>IF(EP63=0,0,LOOKUP(EP63,{1,7,10,14,19,24,30,37,48,61},{1,"1+6","2+8","4+10","1+6+12","2+8+14","4+10+16","1+6+12+18","3+9+15+21","1+6+12+18+24"}))</f>
        <v>0</v>
      </c>
      <c r="EO63" s="251">
        <f t="shared" si="319"/>
        <v>0</v>
      </c>
      <c r="EP63" s="251">
        <f>IF(EM63=0,0,IF(EM63&lt;10,1,IF(AND(EM63&gt;=10,EM63&lt;=35),7,LOOKUP(EM63,{50,70,95,120,150,185,240,300},{10,14,19,24,30,37,48,61})*1)))</f>
        <v>0</v>
      </c>
      <c r="EQ63" s="251">
        <f>IF(EP63=0,0,VLOOKUP(EP63,各项系数!$D$142:$E$195,2,0))*1</f>
        <v>0</v>
      </c>
      <c r="ER63" s="251">
        <f t="shared" si="320"/>
        <v>0</v>
      </c>
      <c r="ES63" s="302">
        <f t="shared" si="321"/>
        <v>3</v>
      </c>
      <c r="ET63" s="251">
        <f>VLOOKUP(ES63,各项系数!$D$142:$E$195,2,0)*1</f>
        <v>2.16</v>
      </c>
      <c r="EU63" s="311">
        <f>((各项系数!$F$76/4*$EJ63^2*$EG63*$EH63*1*10^-7)*(1-$H63)*AA63)*(VLOOKUP($EY$9,各项系数!$D$4:$F$143,3,0))*各项系数!$J$4</f>
        <v>7.79142480688184</v>
      </c>
      <c r="EV63" s="312">
        <f>EU63*(VLOOKUP($EY$9,各项系数!$D$4:$F$143,2,0))</f>
        <v>510.338324850761</v>
      </c>
      <c r="EW63" s="324">
        <f>(IF($EO63=0,0,(各项系数!$F$76/4*$ER63^2*$EO63*$EP63*1*10^-7))*(1-$K63)*$AF63)*(VLOOKUP($EY$9,各项系数!$D$4:$F$143,3,0))*各项系数!$J$4</f>
        <v>0</v>
      </c>
      <c r="EX63" s="325">
        <f>EW63*(VLOOKUP($EY$9,各项系数!$D$4:$F$143,2,0))</f>
        <v>0</v>
      </c>
      <c r="EY63" s="251">
        <f>((各项系数!$F$76/4*$EJ63^2*$EG63*$EH63*1*10^-7)*(1-$H63)*AA63+IF($EO63=0,0,(各项系数!$F$76/4*$ER63^2*$EO63*$EP63*1*10^-7))*(1-$K63)*$AF63)*(VLOOKUP($EY$9,各项系数!$D$4:$F$143,3,0))*各项系数!$J$4</f>
        <v>7.79142480688184</v>
      </c>
      <c r="EZ63" s="123">
        <v>1</v>
      </c>
      <c r="FA63" s="251">
        <f t="shared" si="268"/>
        <v>7.79142480688184</v>
      </c>
      <c r="FB63" s="326">
        <f>FA63*(VLOOKUP($EY$9,各项系数!$D$4:$F$143,2,0))</f>
        <v>510.338324850761</v>
      </c>
      <c r="FC63" s="327"/>
      <c r="FD63" s="302">
        <f>各项系数!$F$76/4*($MN63^2-MK63^2)*10^-2*(VLOOKUP(L63,各项系数!$D$1:$F$143,3,0))*10^-3*10^2*$EG63*各项系数!$J$4</f>
        <v>0.443038378363465</v>
      </c>
      <c r="FE63" s="339">
        <f>FD63*VLOOKUP(L63,各项系数!$D$1:$F$143,2,0)</f>
        <v>4.51899145930734</v>
      </c>
      <c r="FF63" s="250">
        <f>各项系数!$F$76/4*($MO63^2-ML63^2)*10^-2*(VLOOKUP(L63,各项系数!$D$1:$F$143,3,0))*10^-3*10^2*$EO63*各项系数!$J$4</f>
        <v>0</v>
      </c>
      <c r="FG63" s="339">
        <f>FF63*VLOOKUP(L63,各项系数!$D$1:$F$143,2,0)</f>
        <v>0</v>
      </c>
      <c r="FH63" s="302">
        <f t="shared" si="142"/>
        <v>0.443038378363465</v>
      </c>
      <c r="FI63" s="123">
        <v>1</v>
      </c>
      <c r="FJ63" s="251">
        <f t="shared" si="269"/>
        <v>0.443038378363465</v>
      </c>
      <c r="FK63" s="339">
        <f>FJ63*VLOOKUP(L63,各项系数!$D$1:$F$143,2,0)</f>
        <v>4.51899145930734</v>
      </c>
      <c r="FL63" s="302"/>
      <c r="FM63" s="123"/>
      <c r="FN63" s="251"/>
      <c r="FO63" s="339"/>
      <c r="FP63" s="364">
        <f t="shared" si="270"/>
        <v>0.443038378363465</v>
      </c>
      <c r="FQ63" s="364">
        <f t="shared" si="271"/>
        <v>4.51899145930734</v>
      </c>
      <c r="FR63" s="365">
        <f>各项系数!$F$76/4*($MQ63^2-$MN63^2*$EG63-$MO63^2*$EO63)*10^-2</f>
        <v>8.6138103331988</v>
      </c>
      <c r="FS63" s="366">
        <f t="shared" si="143"/>
        <v>1</v>
      </c>
      <c r="FT63" s="367">
        <f t="shared" si="40"/>
        <v>8.6138103331988</v>
      </c>
      <c r="FU63" s="388">
        <f>$FT63*(VLOOKUP($FT$9,各项系数!$D$1:$F$143,3,0))*10^-3*10^2*各项系数!$J$55</f>
        <v>1.02848895378394</v>
      </c>
      <c r="FV63" s="389">
        <v>1</v>
      </c>
      <c r="FW63" s="390">
        <f t="shared" si="272"/>
        <v>1.02848895378394</v>
      </c>
      <c r="FX63" s="367">
        <f>FW63*(VLOOKUP($FT$9,各项系数!$D$1:$F$143,2,0))</f>
        <v>3.08546686135181</v>
      </c>
      <c r="FY63" s="388">
        <f>IF($BK63&lt;&gt;$FY$9,0,各项系数!$F$76/4*($MS63^2-$MQ63^2)*10^-2*(VLOOKUP($FY$9,各项系数!$D$1:$F$143,3,0))*10^-3*10^2)*各项系数!$J$4</f>
        <v>0</v>
      </c>
      <c r="FZ63" s="389">
        <v>1</v>
      </c>
      <c r="GA63" s="390">
        <f t="shared" si="273"/>
        <v>0</v>
      </c>
      <c r="GB63" s="367">
        <f>GA63*(VLOOKUP($FY$9,各项系数!$D$1:$F$143,2,0))</f>
        <v>0</v>
      </c>
      <c r="GC63" s="388">
        <f>IF($BK63&lt;&gt;$GC$9,0,各项系数!$F$76/4*($MS63^2-$MQ63^2)*10^-2*(VLOOKUP($GC$9,各项系数!$D$1:$F$143,3,0))*10^-3*10^2)*各项系数!$J$4</f>
        <v>0.0151182282744193</v>
      </c>
      <c r="GD63" s="389">
        <v>1</v>
      </c>
      <c r="GE63" s="390">
        <f t="shared" si="274"/>
        <v>0.0151182282744193</v>
      </c>
      <c r="GF63" s="367">
        <f>GE63*(VLOOKUP($GC$9,各项系数!$D$1:$F$143,2,0))</f>
        <v>0.195025144740009</v>
      </c>
      <c r="GG63" s="388">
        <f>IF($BK63&lt;&gt;$GG$9,0,各项系数!$F$76/4*($MS63^2-$MQ63^2)*10^-2*(VLOOKUP($GG$9,各项系数!$D$1:$F$143,3,0))*10^-3*10^2)*各项系数!$J$4</f>
        <v>0</v>
      </c>
      <c r="GH63" s="389">
        <v>1</v>
      </c>
      <c r="GI63" s="390">
        <f t="shared" si="275"/>
        <v>0</v>
      </c>
      <c r="GJ63" s="367">
        <f>GI63*(VLOOKUP($GG$9,各项系数!$D$1:$F$143,2,0))</f>
        <v>0</v>
      </c>
      <c r="GK63" s="388">
        <f>IF($BK63&lt;&gt;$GK$9,0,各项系数!$F$76/4*($MS63^2-$MQ63^2)*10^-2*(VLOOKUP($GK$9,各项系数!$D$1:$F$143,3,0))*10^-3*10^2)*各项系数!$J$4</f>
        <v>0</v>
      </c>
      <c r="GL63" s="389">
        <v>1</v>
      </c>
      <c r="GM63" s="390">
        <f t="shared" si="276"/>
        <v>0</v>
      </c>
      <c r="GN63" s="367">
        <f>GM63*(VLOOKUP($GK$9,各项系数!$D$1:$F$143,2,0))</f>
        <v>0</v>
      </c>
      <c r="GO63" s="390">
        <f t="shared" si="277"/>
        <v>0.0151182282744193</v>
      </c>
      <c r="GP63" s="390">
        <f t="shared" si="278"/>
        <v>0.195025144740009</v>
      </c>
      <c r="GQ63" s="406">
        <f>各项系数!$F$76/4*($MU63^2-$MS63^2)*10^-2*(VLOOKUP($S63,各项系数!$D$1:$F$143,3,0))*10^-3*10^2*各项系数!$J$4</f>
        <v>1.03313660464582</v>
      </c>
      <c r="GR63" s="389">
        <v>1</v>
      </c>
      <c r="GS63" s="390">
        <f t="shared" si="279"/>
        <v>1.03313660464582</v>
      </c>
      <c r="GT63" s="390">
        <f t="shared" si="200"/>
        <v>0</v>
      </c>
      <c r="GU63" s="390">
        <f>ROUND($GS63*(VLOOKUP($S63,各项系数!$D$1:$F$143,2,0))+$E$3*GS63,GT63)</f>
        <v>6</v>
      </c>
      <c r="GV63" s="406">
        <f>各项系数!$F$76/4*($MT63^2-$MS63^2)*10^-2*(VLOOKUP($GV$9,各项系数!$D$1:$F$143,3,0))*10^-3*10^2*各项系数!$J$4*PI()/4*R63</f>
        <v>0.0777798193760281</v>
      </c>
      <c r="GW63" s="389">
        <v>1</v>
      </c>
      <c r="GX63" s="390">
        <f t="shared" si="280"/>
        <v>0.0777798193760281</v>
      </c>
      <c r="GY63" s="390">
        <f>$GX63*(VLOOKUP($GV$9,各项系数!$D$1:$F$143,2,0))</f>
        <v>5.2501378078819</v>
      </c>
      <c r="GZ63" s="406">
        <f>各项系数!$F$76/4*($MV63^2-$MS63^2)*10^-2*(VLOOKUP($GZ$9,各项系数!$D$1:$F$143,3,0))*10^-3*10^2*各项系数!$J$4</f>
        <v>0.76898317620596</v>
      </c>
      <c r="HA63" s="389">
        <v>1</v>
      </c>
      <c r="HB63" s="390">
        <f t="shared" si="144"/>
        <v>0.76898317620596</v>
      </c>
      <c r="HC63" s="390">
        <f>HB63*(VLOOKUP($GZ$9,各项系数!$D$1:$F$143,2,0))</f>
        <v>13.0727139955013</v>
      </c>
      <c r="HD63" s="406">
        <f>各项系数!$F$76/4*($MW63^2-$MT63^2)*10^-2*(VLOOKUP($HD$9,各项系数!$D$1:$F$143,3,0))*10^-3*10^2*各项系数!$J$4</f>
        <v>0.771086271425609</v>
      </c>
      <c r="HE63" s="389">
        <v>1</v>
      </c>
      <c r="HF63" s="390">
        <f t="shared" si="145"/>
        <v>0.771086271425609</v>
      </c>
      <c r="HG63" s="390">
        <f>HF63*(VLOOKUP($HD$9,各项系数!$D$1:$F$143,2,0))</f>
        <v>13.1084666142353</v>
      </c>
      <c r="HH63" s="406">
        <f>各项系数!$F$76/4*($MV63^2-$MS63^2)*10^-2*(VLOOKUP($HH$9,各项系数!$D$1:$F$143,3,0))*10^-3*10^2*各项系数!$J$4</f>
        <v>0.76898317620596</v>
      </c>
      <c r="HI63" s="420">
        <v>1</v>
      </c>
      <c r="HJ63" s="390">
        <f t="shared" si="146"/>
        <v>0.76898317620596</v>
      </c>
      <c r="HK63" s="390">
        <f>HJ63*(VLOOKUP($HH$9,各项系数!$D$1:$F$143,2,0))</f>
        <v>13.0727139955013</v>
      </c>
      <c r="HL63" s="406">
        <f>各项系数!$F$76/4*($MW63^2-$MT63^2)*10^-2*(VLOOKUP($HL$9,各项系数!$D$1:$F$143,3,0))*10^-3*10^2*各项系数!$J$4</f>
        <v>0.771086271425609</v>
      </c>
      <c r="HM63" s="420">
        <v>1</v>
      </c>
      <c r="HN63" s="390">
        <f t="shared" si="147"/>
        <v>0.771086271425609</v>
      </c>
      <c r="HO63" s="390">
        <f>HN63*(VLOOKUP($HL$9,各项系数!$D$1:$F$143,2,0))</f>
        <v>13.1084666142353</v>
      </c>
      <c r="HP63" s="406">
        <f>各项系数!$F$76/4*($MV63^2-$MS63^2)*10^-2*(VLOOKUP(AN63,各项系数!$D$1:$F$143,3,0))*10^-3*10^2*各项系数!$J$4</f>
        <v>0.779589840705352</v>
      </c>
      <c r="HQ63" s="389">
        <v>1</v>
      </c>
      <c r="HR63" s="390">
        <f t="shared" si="281"/>
        <v>0.779589840705352</v>
      </c>
      <c r="HS63" s="390">
        <f>HR63*(VLOOKUP(AN63,各项系数!$D$1:$F$143,2,0))</f>
        <v>7.79589840705352</v>
      </c>
      <c r="HT63" s="406">
        <f>各项系数!$F$76/4*($MW63^2-$MT63^2)*10^-2*(VLOOKUP(AN63,各项系数!$D$1:$F$143,3,0))*10^-3*10^2*各项系数!$J$4</f>
        <v>0.781721944134927</v>
      </c>
      <c r="HU63" s="389">
        <v>1</v>
      </c>
      <c r="HV63" s="390">
        <f t="shared" si="282"/>
        <v>0.781721944134927</v>
      </c>
      <c r="HW63" s="390">
        <f>HV63*(VLOOKUP(AN63,各项系数!$D$1:$F$143,2,0))</f>
        <v>7.81721944134927</v>
      </c>
      <c r="HX63" s="406">
        <f>各项系数!$F$76/4*($MV63^2-$MS63^2)*10^-2*(VLOOKUP($HX$9,各项系数!$D$1:$F$143,3,0))*10^-3*10^2*各项系数!$J$4</f>
        <v>0.779589840705352</v>
      </c>
      <c r="HY63" s="420">
        <v>1</v>
      </c>
      <c r="HZ63" s="390">
        <f t="shared" si="283"/>
        <v>0.779589840705352</v>
      </c>
      <c r="IA63" s="390">
        <f>HZ63*(VLOOKUP($HX$9,各项系数!$D$1:$F$143,2,0))</f>
        <v>8.57548824775888</v>
      </c>
      <c r="IB63" s="406">
        <f>各项系数!$F$76/4*($MW63^2-$MT63^2)*10^-2*(VLOOKUP($IB$9,各项系数!$D$1:$F$143,3,0))*10^-3*10^2*各项系数!$J$4</f>
        <v>0.781721944134927</v>
      </c>
      <c r="IC63" s="420">
        <v>1</v>
      </c>
      <c r="ID63" s="390">
        <f t="shared" si="284"/>
        <v>0.781721944134927</v>
      </c>
      <c r="IE63" s="390">
        <f>ID63*(VLOOKUP($IB$9,各项系数!$D$1:$F$143,2,0))</f>
        <v>8.5989413854842</v>
      </c>
      <c r="IF63" s="429"/>
      <c r="IG63" s="406">
        <f t="shared" si="148"/>
        <v>0.0943606240392495</v>
      </c>
      <c r="IH63" s="389">
        <v>1</v>
      </c>
      <c r="II63" s="390">
        <f t="shared" si="285"/>
        <v>0.0943606240392495</v>
      </c>
      <c r="IJ63" s="390">
        <f>II63*(VLOOKUP($IG$8,各项系数!$D$1:$F$143,2,0))</f>
        <v>2.35901560098124</v>
      </c>
      <c r="IK63" s="406">
        <f>(各项系数!$F$76/4*($MX63^2-$MK63^2)*$EG63)*10^-2*(VLOOKUP($IG$8,各项系数!$D$1:$F$143,3,0))*10^-3*10^2*各项系数!$J$4</f>
        <v>0.0943606240392495</v>
      </c>
      <c r="IL63" s="389">
        <f>IK63*(VLOOKUP($IG$8,各项系数!$D$1:$F$143,2,0))</f>
        <v>2.35901560098124</v>
      </c>
      <c r="IM63" s="390">
        <f>(各项系数!$F$76/4*(($MM63+3*$X63)^2-MM63^2)*$EO63)*10^-2*(VLOOKUP($IG$8,各项系数!$D$1:$F$143,3,0))*10^-3*10^2*各项系数!$J$4</f>
        <v>0</v>
      </c>
      <c r="IN63" s="389">
        <f>IM63*(VLOOKUP($IG$8,各项系数!$D$1:$F$143,2,0))</f>
        <v>0</v>
      </c>
      <c r="IO63" s="406">
        <f>各项系数!$F$76/4*($MZ63^2-$MX63^2)*10^-2*(VLOOKUP(L63,各项系数!$D$1:$F$143,3,0))*10^-3*10^2*$ES63*各项系数!$J$4</f>
        <v>0.454179031399773</v>
      </c>
      <c r="IP63" s="389">
        <v>1</v>
      </c>
      <c r="IQ63" s="390">
        <f t="shared" si="286"/>
        <v>0.454179031399773</v>
      </c>
      <c r="IR63" s="367">
        <f>IQ63*(VLOOKUP(L63,各项系数!$D$1:$F$143,2,0))</f>
        <v>4.63262612027768</v>
      </c>
      <c r="IS63" s="406">
        <f>IF($L63&lt;&gt;$IS$9,0,各项系数!$F$76/4*($MZ63^2-$MX63^2)*10^-2*各项系数!$F$12*10^-3*10^2)*$ES63*各项系数!$J$4</f>
        <v>0</v>
      </c>
      <c r="IT63" s="389">
        <v>1</v>
      </c>
      <c r="IU63" s="390">
        <f t="shared" si="287"/>
        <v>0</v>
      </c>
      <c r="IV63" s="367">
        <f>IU63*各项系数!$E$12</f>
        <v>0</v>
      </c>
      <c r="IW63" s="388">
        <f t="shared" si="288"/>
        <v>0.454179031399773</v>
      </c>
      <c r="IX63" s="388">
        <f t="shared" si="289"/>
        <v>4.63262612027768</v>
      </c>
      <c r="IY63" s="447">
        <f>各项系数!$F$76/4*($NB63^2-$MZ63^2*$EG63-$NA63^2*$EO63)*10^-2</f>
        <v>9.02133800897918</v>
      </c>
      <c r="IZ63" s="366">
        <f t="shared" si="231"/>
        <v>1</v>
      </c>
      <c r="JA63" s="367">
        <f t="shared" si="64"/>
        <v>9.02133800897918</v>
      </c>
      <c r="JB63" s="364">
        <f>IF($DE63&lt;&gt;$JB$9,0,$JA63*各项系数!$F$32*10^-3*10^2)*各项系数!$J$4</f>
        <v>0</v>
      </c>
      <c r="JC63" s="123">
        <v>1</v>
      </c>
      <c r="JD63" s="251">
        <f t="shared" si="290"/>
        <v>0</v>
      </c>
      <c r="JE63" s="339">
        <f>JD63*各项系数!$E$32</f>
        <v>0</v>
      </c>
      <c r="JF63" s="364">
        <f>IF($DE63&lt;&gt;$JF$9,0,$JA63*VLOOKUP($JF$9,各项系数!$D$4:$F$540,2,0)*10^-3*10^2)*各项系数!$J$4</f>
        <v>4.48811565946714</v>
      </c>
      <c r="JG63" s="123">
        <v>1</v>
      </c>
      <c r="JH63" s="251">
        <f t="shared" si="66"/>
        <v>4.48811565946714</v>
      </c>
      <c r="JI63" s="339">
        <f>JH63*VLOOKUP($JF$9,各项系数!$D$4:$F$540,3,0)</f>
        <v>5.38573879136057</v>
      </c>
      <c r="JJ63" s="364">
        <f t="shared" si="291"/>
        <v>4.48811565946714</v>
      </c>
      <c r="JK63" s="251">
        <f t="shared" si="292"/>
        <v>5.38573879136057</v>
      </c>
      <c r="JL63" s="364">
        <f>IF($DF63&lt;&gt;$JL$9,0,各项系数!$F$76/4*($NE63^2-$NC63^2)*10^-2*各项系数!$F$39*10^-3*10^2)*各项系数!$J$4</f>
        <v>0.00639664406156384</v>
      </c>
      <c r="JM63" s="123">
        <v>1</v>
      </c>
      <c r="JN63" s="251">
        <f t="shared" si="293"/>
        <v>0.00639664406156384</v>
      </c>
      <c r="JO63" s="339">
        <f>JN63*各项系数!$E$39</f>
        <v>0.127932881231277</v>
      </c>
      <c r="JP63" s="364">
        <f>IF($DF63&lt;&gt;$JP$9,0,各项系数!$F$76/4*($NE63^2-$NC63^2)*10^-2*各项系数!$F$36*10^-3*10^2)*各项系数!$J$4</f>
        <v>0</v>
      </c>
      <c r="JQ63" s="123">
        <v>1</v>
      </c>
      <c r="JR63" s="251">
        <f t="shared" si="294"/>
        <v>0</v>
      </c>
      <c r="JS63" s="339">
        <f>JR63*各项系数!$E$36</f>
        <v>0</v>
      </c>
      <c r="JT63" s="364">
        <f>IF($DF63&lt;&gt;$JT$9,0,各项系数!$F$76/4*($NE63^2-$NC63^2)*10^-2*各项系数!$F$40*10^-3*10^2)*各项系数!$J$4</f>
        <v>0</v>
      </c>
      <c r="JU63" s="123">
        <v>1</v>
      </c>
      <c r="JV63" s="251">
        <f t="shared" si="295"/>
        <v>0</v>
      </c>
      <c r="JW63" s="339">
        <f>JV63*各项系数!$E$40</f>
        <v>0</v>
      </c>
      <c r="JX63" s="364">
        <f>IF($DF63&lt;&gt;$JX$9,0,各项系数!$F$76/4*($NE63^2-$NC63^2)*10^-2*各项系数!$F$38*10^-3*10^2)*各项系数!$J$4</f>
        <v>0</v>
      </c>
      <c r="JY63" s="123">
        <v>1</v>
      </c>
      <c r="JZ63" s="251">
        <f t="shared" si="296"/>
        <v>0</v>
      </c>
      <c r="KA63" s="339">
        <f>JZ63*各项系数!$E$38</f>
        <v>0</v>
      </c>
      <c r="KB63" s="364">
        <f>IF($DF63&lt;&gt;$KB$9,0,各项系数!$F$76/4*($NE63^2-$NC63^2)*10^-2*各项系数!$F$41*10^-3*10^2)*各项系数!$J$4</f>
        <v>0</v>
      </c>
      <c r="KC63" s="123">
        <v>1</v>
      </c>
      <c r="KD63" s="251">
        <f t="shared" si="297"/>
        <v>0</v>
      </c>
      <c r="KE63" s="339">
        <f>KD63*各项系数!$E$41</f>
        <v>0</v>
      </c>
      <c r="KF63" s="251">
        <f t="shared" si="298"/>
        <v>0.00639664406156384</v>
      </c>
      <c r="KG63" s="251">
        <f t="shared" si="299"/>
        <v>0.127932881231277</v>
      </c>
      <c r="KH63" s="302">
        <f>各项系数!$F$76/4*($NG63^2-$NE63^2)*10^-2*各项系数!$F$44*10^-3*10^2*各项系数!$J$4*0.75*$U63</f>
        <v>1.58710486693456</v>
      </c>
      <c r="KI63" s="123">
        <v>1</v>
      </c>
      <c r="KJ63" s="251">
        <f t="shared" si="300"/>
        <v>1.58710486693456</v>
      </c>
      <c r="KK63" s="251">
        <f>ROUND(KJ63*各项系数!$E$43,GT63)</f>
        <v>9</v>
      </c>
      <c r="KL63" s="302">
        <f>各项系数!$F$76/4*($NF63^2-$NE63^2)*10^-2*各项系数!$F$46*10^-3*10^2*各项系数!$J$4*PI()/4*R63</f>
        <v>0.0796795126196385</v>
      </c>
      <c r="KM63" s="123">
        <v>1</v>
      </c>
      <c r="KN63" s="251">
        <f t="shared" si="301"/>
        <v>0.0796795126196385</v>
      </c>
      <c r="KO63" s="251">
        <f>KN63*各项系数!$E$46</f>
        <v>5.3783671018256</v>
      </c>
      <c r="KP63" s="302">
        <f>各项系数!$F$76/4*($NH63^2-$NE63^2)*10^-2*(VLOOKUP($KP$9,各项系数!$D$1:$F$143,3,0))*10^-3*10^2*各项系数!$J$4</f>
        <v>0.786859485572972</v>
      </c>
      <c r="KQ63" s="123">
        <v>1</v>
      </c>
      <c r="KR63" s="251">
        <f t="shared" si="150"/>
        <v>0.786859485572972</v>
      </c>
      <c r="KS63" s="251">
        <f>KR63*(VLOOKUP($KP$9,各项系数!$D$1:$F$143,2,0))</f>
        <v>13.3766112547405</v>
      </c>
      <c r="KT63" s="302">
        <f>各项系数!$F$76/4*($NI63^2-$NF63^2)*10^-2*(VLOOKUP($KT$9,各项系数!$D$1:$F$143,3,0))*10^-3*10^2*各项系数!$J$4</f>
        <v>0.788962580792621</v>
      </c>
      <c r="KU63" s="123">
        <v>1</v>
      </c>
      <c r="KV63" s="251">
        <f t="shared" si="151"/>
        <v>0.788962580792621</v>
      </c>
      <c r="KW63" s="251">
        <f>KV63*(VLOOKUP($KT$9,各项系数!$D$1:$F$143,2,0))</f>
        <v>13.4123638734746</v>
      </c>
      <c r="KX63" s="251">
        <f>各项系数!$F$76/4*($NH63^2-$NE63^2)*10^-2*(VLOOKUP($KX$9,各项系数!$D$1:$F$143,3,0))*10^-3*10^2*各项系数!$J$4</f>
        <v>0.786859485572972</v>
      </c>
      <c r="KY63" s="479">
        <v>1</v>
      </c>
      <c r="KZ63" s="251">
        <f t="shared" si="152"/>
        <v>0.786859485572972</v>
      </c>
      <c r="LA63" s="251">
        <f>KZ63*(VLOOKUP($KX$9,各项系数!$D$1:$F$143,2,0))</f>
        <v>13.3766112547405</v>
      </c>
      <c r="LB63" s="251">
        <f>各项系数!$F$76/4*($NI63^2-$NF63^2)*10^-2*(VLOOKUP($LB$9,各项系数!$D$1:$F$143,3,0))*10^-3*10^2*各项系数!$J$4</f>
        <v>0.788962580792621</v>
      </c>
      <c r="LC63" s="479">
        <v>1</v>
      </c>
      <c r="LD63" s="251">
        <f t="shared" si="153"/>
        <v>0.788962580792621</v>
      </c>
      <c r="LE63" s="251">
        <f>LD63*(VLOOKUP($LB$9,各项系数!$D$1:$F$143,2,0))</f>
        <v>13.4123638734746</v>
      </c>
      <c r="LF63" s="302">
        <f>各项系数!$F$76/4*($NH63^2-$NE63^2)*10^-2*(VLOOKUP(AN63,各项系数!$D$1:$F$143,3,0))*10^-3*10^2*各项系数!$J$4</f>
        <v>0.797712719856737</v>
      </c>
      <c r="LG63" s="123">
        <v>1</v>
      </c>
      <c r="LH63" s="251">
        <f t="shared" si="302"/>
        <v>0.797712719856737</v>
      </c>
      <c r="LI63" s="251">
        <f>LH63*(VLOOKUP(AN63,各项系数!$D$1:$F$143,2,0))</f>
        <v>7.97712719856737</v>
      </c>
      <c r="LJ63" s="302">
        <f>各项系数!$F$76/4*($NI63^2-$NF63^2)*10^-2*(VLOOKUP(AN63,各项系数!$D$1:$F$143,3,0))*10^-3*10^2*各项系数!$J$4</f>
        <v>0.799844823286312</v>
      </c>
      <c r="LK63" s="123">
        <v>1</v>
      </c>
      <c r="LL63" s="251">
        <f t="shared" si="303"/>
        <v>0.799844823286312</v>
      </c>
      <c r="LM63" s="251">
        <f>LL63*(VLOOKUP(AN63,各项系数!$D$1:$F$143,2,0))</f>
        <v>7.99844823286312</v>
      </c>
      <c r="LN63" s="251">
        <f>各项系数!$F$76/4*($NH63^2-$NE63^2)*10^-2*(VLOOKUP($LN$9,各项系数!$D$1:$F$143,3,0))*10^-3*10^2*各项系数!$J$4</f>
        <v>0.797712719856737</v>
      </c>
      <c r="LO63" s="479">
        <v>1</v>
      </c>
      <c r="LP63" s="251">
        <f t="shared" si="304"/>
        <v>0.797712719856737</v>
      </c>
      <c r="LQ63" s="251">
        <f>LP63*(VLOOKUP($LN$9,各项系数!$D$1:$F$143,2,0))</f>
        <v>8.77483991842411</v>
      </c>
      <c r="LR63" s="251">
        <f>各项系数!$F$76/4*($NI63^2-$NF63^2)*10^-2*(VLOOKUP($LR$9,各项系数!$D$1:$F$143,3,0))*10^-3*10^2*各项系数!$J$4</f>
        <v>0.799844823286312</v>
      </c>
      <c r="LS63" s="479">
        <v>1</v>
      </c>
      <c r="LT63" s="251">
        <f t="shared" si="305"/>
        <v>0.799844823286312</v>
      </c>
      <c r="LU63" s="251">
        <f>LT63*(VLOOKUP($LR$9,各项系数!$D$1:$F$143,2,0))</f>
        <v>8.79829305614943</v>
      </c>
      <c r="LV63" s="499">
        <f t="shared" si="154"/>
        <v>1146.69271336</v>
      </c>
      <c r="LW63" s="499">
        <f t="shared" si="155"/>
        <v>863.55871006</v>
      </c>
      <c r="LX63" s="499">
        <f t="shared" si="156"/>
        <v>33.1589670956271</v>
      </c>
      <c r="LY63" s="515">
        <f t="shared" si="157"/>
        <v>283.1340033</v>
      </c>
      <c r="LZ63" s="516">
        <f t="shared" si="86"/>
        <v>1</v>
      </c>
      <c r="MA63" s="517">
        <f t="shared" si="87"/>
        <v>1146.69271336</v>
      </c>
      <c r="MB63" s="517">
        <f t="shared" si="158"/>
        <v>22.06063242</v>
      </c>
      <c r="MC63" s="499">
        <f t="shared" si="159"/>
        <v>0</v>
      </c>
      <c r="MD63" s="499">
        <f t="shared" si="160"/>
        <v>0</v>
      </c>
      <c r="ME63" s="499">
        <f t="shared" si="161"/>
        <v>0</v>
      </c>
      <c r="MF63" s="499">
        <f t="shared" si="162"/>
        <v>0</v>
      </c>
      <c r="MG63" s="516">
        <f t="shared" si="163"/>
        <v>1</v>
      </c>
      <c r="MH63" s="517">
        <f t="shared" si="88"/>
        <v>0</v>
      </c>
      <c r="MI63" s="517">
        <f t="shared" si="164"/>
        <v>0</v>
      </c>
      <c r="MJ63" s="251">
        <f t="shared" si="89"/>
        <v>22.06063242</v>
      </c>
      <c r="MK63" s="251">
        <f t="shared" si="165"/>
        <v>22.06063242</v>
      </c>
      <c r="ML63" s="251">
        <f t="shared" si="306"/>
        <v>0</v>
      </c>
      <c r="MM63" s="251">
        <f t="shared" si="91"/>
        <v>0</v>
      </c>
      <c r="MN63" s="251">
        <f t="shared" si="92"/>
        <v>25.66063242</v>
      </c>
      <c r="MO63" s="251">
        <f t="shared" si="166"/>
        <v>0</v>
      </c>
      <c r="MP63" s="251">
        <f t="shared" si="167"/>
        <v>55.42696603</v>
      </c>
      <c r="MQ63" s="251">
        <f t="shared" si="307"/>
        <v>55.42696603</v>
      </c>
      <c r="MR63" s="314">
        <f t="shared" si="168"/>
        <v>55.42696603</v>
      </c>
      <c r="MS63" s="530">
        <f t="shared" si="94"/>
        <v>55.60296603</v>
      </c>
      <c r="MT63" s="530">
        <f t="shared" si="95"/>
        <v>55.76296603</v>
      </c>
      <c r="MU63" s="530">
        <f t="shared" si="232"/>
        <v>57.10296603</v>
      </c>
      <c r="MV63" s="530">
        <f t="shared" si="97"/>
        <v>61.40296603</v>
      </c>
      <c r="MW63" s="530">
        <f t="shared" si="98"/>
        <v>61.56296603</v>
      </c>
      <c r="MX63" s="326">
        <f t="shared" si="233"/>
        <v>22.66063242</v>
      </c>
      <c r="MY63" s="326">
        <f t="shared" si="100"/>
        <v>0</v>
      </c>
      <c r="MZ63" s="251">
        <f t="shared" si="101"/>
        <v>26.26063242</v>
      </c>
      <c r="NA63" s="251">
        <f t="shared" si="102"/>
        <v>0</v>
      </c>
      <c r="NB63" s="251">
        <f t="shared" si="169"/>
        <v>56.72296603</v>
      </c>
      <c r="NC63" s="326">
        <f t="shared" si="308"/>
        <v>56.72296603</v>
      </c>
      <c r="ND63" s="314">
        <f t="shared" si="234"/>
        <v>56.72296603</v>
      </c>
      <c r="NE63" s="537">
        <f t="shared" si="235"/>
        <v>56.96296603</v>
      </c>
      <c r="NF63" s="530">
        <f t="shared" si="106"/>
        <v>57.12296603</v>
      </c>
      <c r="NG63" s="538">
        <f t="shared" si="236"/>
        <v>58.46296603</v>
      </c>
      <c r="NH63" s="326">
        <f t="shared" si="108"/>
        <v>62.76296603</v>
      </c>
      <c r="NI63" s="530">
        <f t="shared" si="109"/>
        <v>62.92296603</v>
      </c>
      <c r="NK63" s="539">
        <f t="shared" si="110"/>
        <v>10.057660208009</v>
      </c>
      <c r="NL63" s="539">
        <f t="shared" si="111"/>
        <v>525.933706723213</v>
      </c>
      <c r="NM63" s="539">
        <f t="shared" si="112"/>
        <v>10.057660208009</v>
      </c>
      <c r="NN63" s="539">
        <f t="shared" si="113"/>
        <v>526.713296563919</v>
      </c>
      <c r="NO63" s="539">
        <f t="shared" si="114"/>
        <v>13.6321894857063</v>
      </c>
      <c r="NP63" s="539">
        <f t="shared" si="115"/>
        <v>530.820765443179</v>
      </c>
      <c r="NQ63" s="539">
        <f t="shared" si="116"/>
        <v>13.6321894857063</v>
      </c>
      <c r="NR63" s="539">
        <f t="shared" si="117"/>
        <v>531.618478163035</v>
      </c>
      <c r="NS63" s="539">
        <f t="shared" si="118"/>
        <v>10.135440027385</v>
      </c>
      <c r="NT63" s="539">
        <f t="shared" si="119"/>
        <v>10.135440027385</v>
      </c>
      <c r="NU63" s="539">
        <f t="shared" si="120"/>
        <v>13.7118689983259</v>
      </c>
      <c r="NV63" s="539">
        <f t="shared" si="121"/>
        <v>13.7118689983259</v>
      </c>
      <c r="NW63">
        <f t="shared" si="122"/>
        <v>11.0907968126548</v>
      </c>
      <c r="NX63">
        <f>各项系数!$M$9*NK63</f>
        <v>3.0172980624027</v>
      </c>
      <c r="NY63">
        <f t="shared" si="123"/>
        <v>10.135440027385</v>
      </c>
    </row>
    <row r="64" customHeight="1" spans="1:389">
      <c r="A64" s="81"/>
      <c r="B64" s="98"/>
      <c r="C64" s="83"/>
      <c r="D64" s="69" t="s">
        <v>269</v>
      </c>
      <c r="E64" s="70">
        <f t="shared" si="313"/>
        <v>69.30002353</v>
      </c>
      <c r="F64" s="84">
        <f>$F$32</f>
        <v>277.181191063812</v>
      </c>
      <c r="G64" s="74"/>
      <c r="H64" s="23"/>
      <c r="I64" s="78"/>
      <c r="J64" s="23"/>
      <c r="K64" s="23"/>
      <c r="L64" s="118" t="s">
        <v>467</v>
      </c>
      <c r="M64" s="119">
        <f t="shared" si="2"/>
        <v>2</v>
      </c>
      <c r="N64" s="119">
        <f t="shared" si="252"/>
        <v>0</v>
      </c>
      <c r="O64" s="74">
        <f t="shared" si="312"/>
        <v>0.08</v>
      </c>
      <c r="P64" s="120">
        <v>0.1</v>
      </c>
      <c r="Q64" s="165">
        <f t="shared" ref="Q64:Q73" si="322">$Q$12</f>
        <v>0.1</v>
      </c>
      <c r="R64" s="182">
        <v>0.8</v>
      </c>
      <c r="S64" s="173" t="str">
        <f>各项系数!$D$43</f>
        <v>钢带</v>
      </c>
      <c r="T64" s="78">
        <v>0.5</v>
      </c>
      <c r="U64" s="78">
        <v>2</v>
      </c>
      <c r="V64" s="172"/>
      <c r="W64" s="174">
        <v>3.3</v>
      </c>
      <c r="X64" s="168">
        <f t="shared" ref="X64:X73" si="323">$X$12</f>
        <v>0.2</v>
      </c>
      <c r="Y64" s="221"/>
      <c r="Z64" s="222"/>
      <c r="AA64" s="223">
        <f>$AA$32</f>
        <v>1.02</v>
      </c>
      <c r="AB64" s="186">
        <f>PI()*EJ64*EJ64/4*EH64*(1-H64)*AA64*各项系数!$F$5*各项系数!$J$4*10^-7</f>
        <v>3.32102575101844</v>
      </c>
      <c r="AC64" s="224">
        <f t="shared" si="314"/>
        <v>277.181191063812</v>
      </c>
      <c r="AD64" s="186">
        <f t="shared" si="5"/>
        <v>375.445930554735</v>
      </c>
      <c r="AE64" s="186">
        <f>POWER(4*EU64/PI()/EG64/10^-7/EH64/(1-H64)/各项系数!$F$5/各项系数!$J$4,0.5)</f>
        <v>279.939280797005</v>
      </c>
      <c r="AF64" s="225">
        <v>1</v>
      </c>
      <c r="AG64" s="23">
        <f>IF(EM64=0,0,PI()*ER64*ER64/4*EP64*(1-K64)*(1+AF64)*各项系数!$F$5*各项系数!$J$4*10^-7)</f>
        <v>0</v>
      </c>
      <c r="AH64" s="23">
        <f t="shared" si="315"/>
        <v>0</v>
      </c>
      <c r="AI64" s="85">
        <f t="shared" si="128"/>
        <v>0</v>
      </c>
      <c r="AJ64" s="85">
        <f>IF(OR(EP64="",EP64=0),0,POWER(4*EW64/PI()/EO64/10^-7/EP64/(1-K64)/各项系数!$F$5/各项系数!$J$4,0.5))</f>
        <v>0</v>
      </c>
      <c r="AK64" s="23" t="str">
        <f t="shared" si="8"/>
        <v>√</v>
      </c>
      <c r="AL64" s="23">
        <f t="shared" si="316"/>
        <v>693.362843214958</v>
      </c>
      <c r="AM64" s="250">
        <f t="shared" si="317"/>
        <v>400</v>
      </c>
      <c r="AN64" s="118" t="s">
        <v>486</v>
      </c>
      <c r="AO64" s="259">
        <f>AP64+各项系数!$M$9*$NK64</f>
        <v>679.767493347998</v>
      </c>
      <c r="AP64" s="259">
        <f>AQ64*(1+$BI64+(VLOOKUP($AM64,$A$12:$B$323,2,0))+各项系数!$J$6+各项系数!$M$5)*(1+$E$2)</f>
        <v>675.913816622616</v>
      </c>
      <c r="AQ64" s="260">
        <f>AR64+各项系数!$L$9*$NK64</f>
        <v>689.707976145527</v>
      </c>
      <c r="AR64" s="260">
        <f>AS64*(1+$BJ64+各项系数!$J$5+各项系数!$L$5)</f>
        <v>685.854299420145</v>
      </c>
      <c r="AS64" s="260">
        <f t="shared" si="129"/>
        <v>672.406175902103</v>
      </c>
      <c r="AT64" s="259">
        <f>AU64+各项系数!$M$9*$NM64</f>
        <v>686.538922078969</v>
      </c>
      <c r="AU64" s="259">
        <f>AV64*(1+$BI64+(VLOOKUP($AM64,$A$12:$B$323,2,0))+各项系数!$J$6+各项系数!$M$5)*(1+$E$2)</f>
        <v>682.685245353587</v>
      </c>
      <c r="AV64" s="260">
        <f>AW64+各项系数!$L$9*$NM64</f>
        <v>696.617597299579</v>
      </c>
      <c r="AW64" s="260">
        <f>AX64*(1+$BJ64+各项系数!$J$5+各项系数!$L$5)</f>
        <v>692.763920574197</v>
      </c>
      <c r="AX64" s="260">
        <f t="shared" si="130"/>
        <v>679.180314288428</v>
      </c>
      <c r="AY64" s="259">
        <f>AZ64+各项系数!$M$9*$NS64</f>
        <v>685.760760282649</v>
      </c>
      <c r="AZ64" s="259">
        <f>BA64*(1+$BI64+(VLOOKUP($AM64,$A$12:$B$214,2,0))+各项系数!$J$6+各项系数!$M$5)*(1+$E$2)</f>
        <v>681.880775589649</v>
      </c>
      <c r="BA64" s="260">
        <f>BB64+各项系数!$L$9*$NS64</f>
        <v>695.796709785356</v>
      </c>
      <c r="BB64" s="260">
        <f>BC64*(1+$BJ64+各项系数!$J$5+各项系数!$L$5)</f>
        <v>691.916725092356</v>
      </c>
      <c r="BC64" s="262">
        <f t="shared" si="131"/>
        <v>678.349730482702</v>
      </c>
      <c r="BD64" s="259">
        <f>BE64+各项系数!$M$9*$NS64</f>
        <v>692.54860459257</v>
      </c>
      <c r="BE64" s="259">
        <f>BF64*(1+$BI64+(VLOOKUP($AM64,$A$12:$B$214,2,0))+各项系数!$J$6+各项系数!$M$5)*(1+$E$2)</f>
        <v>688.66861989957</v>
      </c>
      <c r="BF64" s="260">
        <f>BG64+各项系数!$L$9*$NS64</f>
        <v>702.723081530173</v>
      </c>
      <c r="BG64" s="260">
        <f>BH64*(1+$BJ64+各项系数!$J$5+各项系数!$L$5)</f>
        <v>698.843096837173</v>
      </c>
      <c r="BH64" s="262">
        <f t="shared" si="132"/>
        <v>685.140291016837</v>
      </c>
      <c r="BI64" s="277"/>
      <c r="BJ64" s="272"/>
      <c r="BK64" s="69" t="s">
        <v>514</v>
      </c>
      <c r="BL64" s="259">
        <f>BM64+各项系数!$M$9*$NM64</f>
        <v>687.367283768535</v>
      </c>
      <c r="BM64" s="259">
        <f>BN64*(1+$CF64+(VLOOKUP($AM64,$A$12:$B$323,2,0))+各项系数!$J$6+各项系数!$M$5)*(1+$E$2)</f>
        <v>683.513607043152</v>
      </c>
      <c r="BN64" s="260">
        <f>BO64+各项系数!$L$9*$NM64</f>
        <v>697.462864329747</v>
      </c>
      <c r="BO64" s="260">
        <f>BP64*(1+$CG64+各项系数!$J$5+各项系数!$L$5)</f>
        <v>693.609187604365</v>
      </c>
      <c r="BP64" s="260">
        <f t="shared" si="133"/>
        <v>673.406978256665</v>
      </c>
      <c r="BQ64" s="259">
        <f>BR64+各项系数!$M$9*$NM64</f>
        <v>693.194889158996</v>
      </c>
      <c r="BR64" s="259">
        <f>BS64*(1+$CF64+(VLOOKUP($AM64,$A$12:$B$323,2,0))+各项系数!$J$6+各项系数!$M$5)*(1+$E$2)</f>
        <v>689.341212433614</v>
      </c>
      <c r="BS64" s="260">
        <f>BT64+各项系数!$L$9*$NM64</f>
        <v>703.409400442463</v>
      </c>
      <c r="BT64" s="260">
        <f>BU64*(1+$CG64+各项系数!$J$5+各项系数!$L$5)</f>
        <v>699.555723717081</v>
      </c>
      <c r="BU64" s="260">
        <f t="shared" si="134"/>
        <v>679.180314288428</v>
      </c>
      <c r="BV64" s="259">
        <f>BW64+各项系数!$M$9*$NT64</f>
        <v>689.626959666843</v>
      </c>
      <c r="BW64" s="259">
        <f>BX64*(1+$CF64+(VLOOKUP($AM64,$A$12:$B$214,2,0))+各项系数!$J$6+各项系数!$M$5)*(1+$E$2)</f>
        <v>685.746974973843</v>
      </c>
      <c r="BX64" s="260">
        <f>BY64+各项系数!$L$9*$NT$12</f>
        <v>699.741811197799</v>
      </c>
      <c r="BY64" s="260">
        <f>BZ64*(1+$CG64+各项系数!$J$5+各项系数!$L$5)</f>
        <v>699.733547794644</v>
      </c>
      <c r="BZ64" s="262">
        <f t="shared" si="11"/>
        <v>679.352959023926</v>
      </c>
      <c r="CA64" s="259">
        <f>CB64+各项系数!$M$9*$NT64</f>
        <v>695.468692580487</v>
      </c>
      <c r="CB64" s="259">
        <f>CC64*(1+$CF64+(VLOOKUP($AM64,$A$12:$B$214,2,0))+各项系数!$J$6+各项系数!$M$5)*(1+$E$2)</f>
        <v>691.588707887487</v>
      </c>
      <c r="CC64" s="260">
        <f>CD64+各项系数!$L$9*$NT$12</f>
        <v>705.702763150497</v>
      </c>
      <c r="CD64" s="260">
        <f>CE64*(1+$CG64+各项系数!$J$5+各项系数!$L$5)</f>
        <v>705.694499747342</v>
      </c>
      <c r="CE64" s="262">
        <f t="shared" si="135"/>
        <v>685.140291016837</v>
      </c>
      <c r="CF64" s="277">
        <f t="shared" si="136"/>
        <v>0</v>
      </c>
      <c r="CG64" s="277">
        <f t="shared" si="12"/>
        <v>0.01</v>
      </c>
      <c r="CH64" s="123"/>
      <c r="CI64" s="259">
        <f>CJ64+各项系数!$M$9*$NO64</f>
        <v>692.104716893491</v>
      </c>
      <c r="CJ64" s="259">
        <f>CK64*(1+$DC64+(VLOOKUP($AM64,$A$12:$B$323,2,0))+各项系数!$J$6+各项系数!$M$5)*(1+$E$2)+各项系数!$M$9*$NK64</f>
        <v>686.900316656303</v>
      </c>
      <c r="CK64" s="260">
        <f>CL64+各项系数!$L$9*$NO64</f>
        <v>696.98636727645</v>
      </c>
      <c r="CL64" s="260">
        <f>CM64*(1+$DD64+各项系数!$J$5+各项系数!$L$5)</f>
        <v>691.781967039262</v>
      </c>
      <c r="CM64" s="260">
        <f t="shared" si="13"/>
        <v>678.217614744374</v>
      </c>
      <c r="CN64" s="259">
        <f>CO64+各项系数!$M$9*$NO64</f>
        <v>698.670002248604</v>
      </c>
      <c r="CO64" s="259">
        <f>CP64*(1+$DC64+(VLOOKUP($AM64,$A$12:$B$323,2,0))+各项系数!$J$6+各项系数!$M$5)*(1+$E$2)+各项系数!$M$9*$NK64</f>
        <v>693.465602011415</v>
      </c>
      <c r="CP64" s="260">
        <f>CQ64+各项系数!$L$9*$NO64</f>
        <v>703.685638046972</v>
      </c>
      <c r="CQ64" s="260">
        <f>CR64*(1+$DD64+各项系数!$J$5+各项系数!$L$5)</f>
        <v>698.481237809784</v>
      </c>
      <c r="CR64" s="260">
        <f t="shared" si="14"/>
        <v>684.785527264494</v>
      </c>
      <c r="CS64" s="259">
        <f>CT64+各项系数!$M$9*$NU64</f>
        <v>694.373613522773</v>
      </c>
      <c r="CT64" s="259">
        <f t="shared" si="15"/>
        <v>689.142335409993</v>
      </c>
      <c r="CU64" s="260">
        <f>CV64+各项系数!$L$9*$NU64</f>
        <v>703.206464704075</v>
      </c>
      <c r="CV64" s="260">
        <f>CW64*(1+$DD64+各项系数!$J$5+各项系数!$L$5)</f>
        <v>697.975186591296</v>
      </c>
      <c r="CW64" s="262">
        <f t="shared" si="16"/>
        <v>684.289398618918</v>
      </c>
      <c r="CX64" s="259">
        <f>CY64+各项系数!$M$9*$NU64</f>
        <v>701.300990253768</v>
      </c>
      <c r="CY64" s="259">
        <f t="shared" si="17"/>
        <v>696.069712140989</v>
      </c>
      <c r="CZ64" s="260">
        <f>DA64+各项系数!$L$9*$NU64</f>
        <v>710.275216470397</v>
      </c>
      <c r="DA64" s="260">
        <f>DB64*(1+$DD64+各项系数!$J$5+各项系数!$L$5)</f>
        <v>705.043938357618</v>
      </c>
      <c r="DB64" s="262">
        <f t="shared" si="18"/>
        <v>691.219547409429</v>
      </c>
      <c r="DC64" s="277">
        <f t="shared" si="137"/>
        <v>0</v>
      </c>
      <c r="DD64" s="277">
        <f t="shared" si="19"/>
        <v>0</v>
      </c>
      <c r="DE64" s="69" t="s">
        <v>498</v>
      </c>
      <c r="DF64" s="69" t="s">
        <v>513</v>
      </c>
      <c r="DG64" s="259">
        <f>DH64+各项系数!$M$9*$NQ64</f>
        <v>699.782275853617</v>
      </c>
      <c r="DH64" s="259">
        <f>DI64*(1+$EA64+(VLOOKUP($AM64,$A$12:$B$323,2,0))+各项系数!$J$6+各项系数!$M$5)*(1+$E$2)+各项系数!$M$9*$NK64</f>
        <v>694.577875616428</v>
      </c>
      <c r="DI64" s="260">
        <f>DJ64+各项系数!$L$9*$NQ64</f>
        <v>704.820611113312</v>
      </c>
      <c r="DJ64" s="260">
        <f>DK64*(1+$EB64+各项系数!$J$5+各项系数!$L$5)</f>
        <v>699.616210876124</v>
      </c>
      <c r="DK64" s="260">
        <f t="shared" si="20"/>
        <v>679.239039685557</v>
      </c>
      <c r="DL64" s="259">
        <f>DM64+各项系数!$M$9*$NQ64</f>
        <v>705.72996519113</v>
      </c>
      <c r="DM64" s="259">
        <f>DN64*(1+$EA64+(VLOOKUP($AM64,$A$12:$B$323,2,0))+各项系数!$J$6+各项系数!$M$5)*(1+$E$2)+各项系数!$M$9*$NK64</f>
        <v>700.525564953942</v>
      </c>
      <c r="DN64" s="260">
        <f>DO64+各项系数!$L$9*$NQ64</f>
        <v>710.889681865877</v>
      </c>
      <c r="DO64" s="260">
        <f>DP64*(1+$EB64+各项系数!$J$5+各项系数!$L$5)</f>
        <v>705.685281628689</v>
      </c>
      <c r="DP64" s="260">
        <f t="shared" si="21"/>
        <v>685.131341387077</v>
      </c>
      <c r="DQ64" s="259">
        <f>DR64+各项系数!$M$9*$NV64</f>
        <v>702.113124957684</v>
      </c>
      <c r="DR64" s="259">
        <f t="shared" si="22"/>
        <v>696.881846844905</v>
      </c>
      <c r="DS64" s="260">
        <f>DT64+各项系数!$L$9*$NV64</f>
        <v>711.103925351944</v>
      </c>
      <c r="DT64" s="260">
        <f>DU64*(1+$EB64+各项系数!$J$5+各项系数!$L$5)</f>
        <v>705.872647239165</v>
      </c>
      <c r="DU64" s="262">
        <f t="shared" si="23"/>
        <v>685.313249746762</v>
      </c>
      <c r="DV64" s="259">
        <f>DW64+各项系数!$M$9*$NV64</f>
        <v>702.223757925532</v>
      </c>
      <c r="DW64" s="259">
        <f t="shared" si="24"/>
        <v>696.992479812753</v>
      </c>
      <c r="DX64" s="260">
        <f>DY64+各项系数!$L$9*$NV64</f>
        <v>711.216816135462</v>
      </c>
      <c r="DY64" s="260">
        <f>DZ64*(1+$EB64+各项系数!$J$5+各项系数!$L$5)</f>
        <v>705.985538022683</v>
      </c>
      <c r="DZ64" s="262">
        <f t="shared" si="25"/>
        <v>685.422852449207</v>
      </c>
      <c r="EA64" s="277">
        <f t="shared" si="311"/>
        <v>0</v>
      </c>
      <c r="EB64" s="277">
        <f t="shared" si="27"/>
        <v>0.01</v>
      </c>
      <c r="EC64" s="302">
        <f t="shared" si="138"/>
        <v>3</v>
      </c>
      <c r="ED64" s="302" t="str">
        <f t="shared" si="266"/>
        <v>3*400</v>
      </c>
      <c r="EE64" s="251">
        <f t="shared" si="239"/>
        <v>400</v>
      </c>
      <c r="EF64" s="251" t="str">
        <f>LOOKUP(EH64,{1,7,10,14,19,24,30,37,48,61},{1,"1+6","2+8","4+10","1+6+12","2+8+14","4+10+16","1+6+12+18","3+9+15+21","1+6+12+18+24"})</f>
        <v>1+6+12+18+24</v>
      </c>
      <c r="EG64" s="250">
        <f t="shared" si="29"/>
        <v>3</v>
      </c>
      <c r="EH64" s="260">
        <f>VLOOKUP(EE64,各项系数!$B$87:$C$124,2,0)</f>
        <v>61</v>
      </c>
      <c r="EI64" s="250">
        <f>IF(EH64=0,0,VLOOKUP(EH64,各项系数!$D$142:$E$195,2,0))*1</f>
        <v>9</v>
      </c>
      <c r="EJ64" s="305">
        <f t="shared" si="141"/>
        <v>277.181191063812</v>
      </c>
      <c r="EK64" s="251">
        <f t="shared" si="318"/>
        <v>0</v>
      </c>
      <c r="EL64" s="251">
        <f t="shared" si="31"/>
        <v>0</v>
      </c>
      <c r="EM64" s="251">
        <f t="shared" si="267"/>
        <v>0</v>
      </c>
      <c r="EN64" s="251">
        <f>IF(EP64=0,0,LOOKUP(EP64,{1,7,10,14,19,24,30,37,48,61},{1,"1+6","2+8","4+10","1+6+12","2+8+14","4+10+16","1+6+12+18","3+9+15+21","1+6+12+18+24"}))</f>
        <v>0</v>
      </c>
      <c r="EO64" s="251">
        <f t="shared" si="319"/>
        <v>0</v>
      </c>
      <c r="EP64" s="251">
        <f>IF(EM64=0,0,IF(EM64&lt;10,1,IF(AND(EM64&gt;=10,EM64&lt;=35),7,LOOKUP(EM64,{50,70,95,120,150,185,240,300},{10,14,19,24,30,37,48,61})*1)))</f>
        <v>0</v>
      </c>
      <c r="EQ64" s="251">
        <f>IF(EP64=0,0,VLOOKUP(EP64,各项系数!$D$142:$E$195,2,0))*1</f>
        <v>0</v>
      </c>
      <c r="ER64" s="251">
        <f t="shared" si="320"/>
        <v>0</v>
      </c>
      <c r="ES64" s="302">
        <f t="shared" si="321"/>
        <v>3</v>
      </c>
      <c r="ET64" s="251">
        <f>VLOOKUP(ES64,各项系数!$D$142:$E$195,2,0)*1</f>
        <v>2.16</v>
      </c>
      <c r="EU64" s="311">
        <f>((各项系数!$F$76/4*$EJ64^2*$EG64*$EH64*1*10^-7)*(1-$H64)*AA64)*(VLOOKUP($EY$9,各项系数!$D$4:$F$143,3,0))*各项系数!$J$4</f>
        <v>9.96307725305532</v>
      </c>
      <c r="EV64" s="312">
        <f>EU64*(VLOOKUP($EY$9,各项系数!$D$4:$F$143,2,0))</f>
        <v>652.581560075124</v>
      </c>
      <c r="EW64" s="324">
        <f>(IF($EO64=0,0,(各项系数!$F$76/4*$ER64^2*$EO64*$EP64*1*10^-7))*(1-$K64)*$AF64)*(VLOOKUP($EY$9,各项系数!$D$4:$F$143,3,0))*各项系数!$J$4</f>
        <v>0</v>
      </c>
      <c r="EX64" s="325">
        <f>EW64*(VLOOKUP($EY$9,各项系数!$D$4:$F$143,2,0))</f>
        <v>0</v>
      </c>
      <c r="EY64" s="251">
        <f>((各项系数!$F$76/4*$EJ64^2*$EG64*$EH64*1*10^-7)*(1-$H64)*AA64+IF($EO64=0,0,(各项系数!$F$76/4*$ER64^2*$EO64*$EP64*1*10^-7))*(1-$K64)*$AF64)*(VLOOKUP($EY$9,各项系数!$D$4:$F$143,3,0))*各项系数!$J$4</f>
        <v>9.96307725305532</v>
      </c>
      <c r="EZ64" s="123">
        <v>1</v>
      </c>
      <c r="FA64" s="251">
        <f t="shared" si="268"/>
        <v>9.96307725305532</v>
      </c>
      <c r="FB64" s="326">
        <f>FA64*(VLOOKUP($EY$9,各项系数!$D$4:$F$143,2,0))</f>
        <v>652.581560075124</v>
      </c>
      <c r="FC64" s="327"/>
      <c r="FD64" s="302">
        <f>各项系数!$F$76/4*($MN64^2-MK64^2)*10^-2*(VLOOKUP(L64,各项系数!$D$1:$F$143,3,0))*10^-3*10^2*$EG64*各项系数!$J$4</f>
        <v>0.55592492409914</v>
      </c>
      <c r="FE64" s="339">
        <f>FD64*VLOOKUP(L64,各项系数!$D$1:$F$143,2,0)</f>
        <v>5.67043422581123</v>
      </c>
      <c r="FF64" s="250">
        <f>各项系数!$F$76/4*($MO64^2-ML64^2)*10^-2*(VLOOKUP(L64,各项系数!$D$1:$F$143,3,0))*10^-3*10^2*$EO64*各项系数!$J$4</f>
        <v>0</v>
      </c>
      <c r="FG64" s="339">
        <f>FF64*VLOOKUP(L64,各项系数!$D$1:$F$143,2,0)</f>
        <v>0</v>
      </c>
      <c r="FH64" s="302">
        <f t="shared" si="142"/>
        <v>0.55592492409914</v>
      </c>
      <c r="FI64" s="123">
        <v>1</v>
      </c>
      <c r="FJ64" s="251">
        <f t="shared" si="269"/>
        <v>0.55592492409914</v>
      </c>
      <c r="FK64" s="339">
        <f>FJ64*VLOOKUP(L64,各项系数!$D$1:$F$143,2,0)</f>
        <v>5.67043422581123</v>
      </c>
      <c r="FL64" s="302"/>
      <c r="FM64" s="123"/>
      <c r="FN64" s="251"/>
      <c r="FO64" s="339"/>
      <c r="FP64" s="364">
        <f t="shared" si="270"/>
        <v>0.55592492409914</v>
      </c>
      <c r="FQ64" s="364">
        <f t="shared" si="271"/>
        <v>5.67043422581123</v>
      </c>
      <c r="FR64" s="365">
        <f>各项系数!$F$76/4*($MQ64^2-$MN64^2*$EG64-$MO64^2*$EO64)*10^-2</f>
        <v>10.9609179540268</v>
      </c>
      <c r="FS64" s="366">
        <f t="shared" si="143"/>
        <v>1</v>
      </c>
      <c r="FT64" s="367">
        <f t="shared" si="40"/>
        <v>10.9609179540268</v>
      </c>
      <c r="FU64" s="388">
        <f>$FT64*(VLOOKUP($FT$9,各项系数!$D$1:$F$143,3,0))*10^-3*10^2*各项系数!$J$55</f>
        <v>1.3087336037108</v>
      </c>
      <c r="FV64" s="389">
        <v>1</v>
      </c>
      <c r="FW64" s="390">
        <f t="shared" si="272"/>
        <v>1.3087336037108</v>
      </c>
      <c r="FX64" s="367">
        <f>FW64*(VLOOKUP($FT$9,各项系数!$D$1:$F$143,2,0))</f>
        <v>3.9262008111324</v>
      </c>
      <c r="FY64" s="388">
        <f>IF($BK64&lt;&gt;$FY$9,0,各项系数!$F$76/4*($MS64^2-$MQ64^2)*10^-2*(VLOOKUP($FY$9,各项系数!$D$1:$F$143,3,0))*10^-3*10^2)*各项系数!$J$4</f>
        <v>0</v>
      </c>
      <c r="FZ64" s="389">
        <v>1</v>
      </c>
      <c r="GA64" s="390">
        <f t="shared" si="273"/>
        <v>0</v>
      </c>
      <c r="GB64" s="367">
        <f>GA64*(VLOOKUP($FY$9,各项系数!$D$1:$F$143,2,0))</f>
        <v>0</v>
      </c>
      <c r="GC64" s="388">
        <f>IF($BK64&lt;&gt;$GC$9,0,各项系数!$F$76/4*($MS64^2-$MQ64^2)*10^-2*(VLOOKUP($GC$9,各项系数!$D$1:$F$143,3,0))*10^-3*10^2)*各项系数!$J$4</f>
        <v>0.0170509491789716</v>
      </c>
      <c r="GD64" s="389">
        <v>1</v>
      </c>
      <c r="GE64" s="390">
        <f t="shared" si="274"/>
        <v>0.0170509491789716</v>
      </c>
      <c r="GF64" s="367">
        <f>GE64*(VLOOKUP($GC$9,各项系数!$D$1:$F$143,2,0))</f>
        <v>0.219957244408734</v>
      </c>
      <c r="GG64" s="388">
        <f>IF($BK64&lt;&gt;$GG$9,0,各项系数!$F$76/4*($MS64^2-$MQ64^2)*10^-2*(VLOOKUP($GG$9,各项系数!$D$1:$F$143,3,0))*10^-3*10^2)*各项系数!$J$4</f>
        <v>0</v>
      </c>
      <c r="GH64" s="389">
        <v>1</v>
      </c>
      <c r="GI64" s="390">
        <f t="shared" si="275"/>
        <v>0</v>
      </c>
      <c r="GJ64" s="367">
        <f>GI64*(VLOOKUP($GG$9,各项系数!$D$1:$F$143,2,0))</f>
        <v>0</v>
      </c>
      <c r="GK64" s="388">
        <f>IF($BK64&lt;&gt;$GK$9,0,各项系数!$F$76/4*($MS64^2-$MQ64^2)*10^-2*(VLOOKUP($GK$9,各项系数!$D$1:$F$143,3,0))*10^-3*10^2)*各项系数!$J$4</f>
        <v>0</v>
      </c>
      <c r="GL64" s="389">
        <v>1</v>
      </c>
      <c r="GM64" s="390">
        <f t="shared" si="276"/>
        <v>0</v>
      </c>
      <c r="GN64" s="367">
        <f>GM64*(VLOOKUP($GK$9,各项系数!$D$1:$F$143,2,0))</f>
        <v>0</v>
      </c>
      <c r="GO64" s="390">
        <f t="shared" si="277"/>
        <v>0.0170509491789716</v>
      </c>
      <c r="GP64" s="390">
        <f t="shared" si="278"/>
        <v>0.219957244408734</v>
      </c>
      <c r="GQ64" s="406">
        <f>各项系数!$F$76/4*($MU64^2-$MS64^2)*10^-2*(VLOOKUP($S64,各项系数!$D$1:$F$143,3,0))*10^-3*10^2*各项系数!$J$4</f>
        <v>1.16324918620228</v>
      </c>
      <c r="GR64" s="389">
        <v>1</v>
      </c>
      <c r="GS64" s="390">
        <f t="shared" si="279"/>
        <v>1.16324918620228</v>
      </c>
      <c r="GT64" s="390">
        <f t="shared" si="200"/>
        <v>0</v>
      </c>
      <c r="GU64" s="390">
        <f>ROUND($GS64*(VLOOKUP($S64,各项系数!$D$1:$F$143,2,0))+$E$3*GS64,GT64)</f>
        <v>7</v>
      </c>
      <c r="GV64" s="406">
        <f>各项系数!$F$76/4*($MT64^2-$MS64^2)*10^-2*(VLOOKUP($GV$9,各项系数!$D$1:$F$143,3,0))*10^-3*10^2*各项系数!$J$4*PI()/4*R64</f>
        <v>0.0876932253924018</v>
      </c>
      <c r="GW64" s="389">
        <v>1</v>
      </c>
      <c r="GX64" s="390">
        <f t="shared" si="280"/>
        <v>0.0876932253924018</v>
      </c>
      <c r="GY64" s="390">
        <f>$GX64*(VLOOKUP($GV$9,各项系数!$D$1:$F$143,2,0))</f>
        <v>5.91929271398712</v>
      </c>
      <c r="GZ64" s="406">
        <f>各项系数!$F$76/4*($MV64^2-$MS64^2)*10^-2*(VLOOKUP($GZ$9,各项系数!$D$1:$F$143,3,0))*10^-3*10^2*各项系数!$J$4</f>
        <v>0.98718599599718</v>
      </c>
      <c r="HA64" s="389">
        <v>1</v>
      </c>
      <c r="HB64" s="390">
        <f t="shared" si="144"/>
        <v>0.98718599599718</v>
      </c>
      <c r="HC64" s="390">
        <f>HB64*(VLOOKUP($GZ$9,各项系数!$D$1:$F$143,2,0))</f>
        <v>16.7821619319521</v>
      </c>
      <c r="HD64" s="406">
        <f>各项系数!$F$76/4*($MW64^2-$MT64^2)*10^-2*(VLOOKUP($HD$9,各项系数!$D$1:$F$143,3,0))*10^-3*10^2*各项系数!$J$4</f>
        <v>0.989579173316091</v>
      </c>
      <c r="HE64" s="389">
        <v>1</v>
      </c>
      <c r="HF64" s="390">
        <f t="shared" si="145"/>
        <v>0.989579173316091</v>
      </c>
      <c r="HG64" s="390">
        <f>HF64*(VLOOKUP($HD$9,各项系数!$D$1:$F$143,2,0))</f>
        <v>16.8228459463735</v>
      </c>
      <c r="HH64" s="406">
        <f>各项系数!$F$76/4*($MV64^2-$MS64^2)*10^-2*(VLOOKUP($HH$9,各项系数!$D$1:$F$143,3,0))*10^-3*10^2*各项系数!$J$4</f>
        <v>0.98718599599718</v>
      </c>
      <c r="HI64" s="420">
        <v>1</v>
      </c>
      <c r="HJ64" s="390">
        <f t="shared" si="146"/>
        <v>0.98718599599718</v>
      </c>
      <c r="HK64" s="390">
        <f>HJ64*(VLOOKUP($HH$9,各项系数!$D$1:$F$143,2,0))</f>
        <v>16.7821619319521</v>
      </c>
      <c r="HL64" s="406">
        <f>各项系数!$F$76/4*($MW64^2-$MT64^2)*10^-2*(VLOOKUP($HL$9,各项系数!$D$1:$F$143,3,0))*10^-3*10^2*各项系数!$J$4</f>
        <v>0.989579173316091</v>
      </c>
      <c r="HM64" s="420">
        <v>1</v>
      </c>
      <c r="HN64" s="390">
        <f t="shared" si="147"/>
        <v>0.989579173316091</v>
      </c>
      <c r="HO64" s="390">
        <f>HN64*(VLOOKUP($HL$9,各项系数!$D$1:$F$143,2,0))</f>
        <v>16.8228459463735</v>
      </c>
      <c r="HP64" s="406">
        <f>各项系数!$F$76/4*($MV64^2-$MS64^2)*10^-2*(VLOOKUP(AN64,各项系数!$D$1:$F$143,3,0))*10^-3*10^2*各项系数!$J$4</f>
        <v>1.00080235456266</v>
      </c>
      <c r="HQ64" s="389">
        <v>1</v>
      </c>
      <c r="HR64" s="390">
        <f t="shared" si="281"/>
        <v>1.00080235456266</v>
      </c>
      <c r="HS64" s="390">
        <f>HR64*(VLOOKUP(AN64,各项系数!$D$1:$F$143,2,0))</f>
        <v>10.0080235456266</v>
      </c>
      <c r="HT64" s="406">
        <f>各项系数!$F$76/4*($MW64^2-$MT64^2)*10^-2*(VLOOKUP(AN64,各项系数!$D$1:$F$143,3,0))*10^-3*10^2*各项系数!$J$4</f>
        <v>1.0032285412239</v>
      </c>
      <c r="HU64" s="389">
        <v>1</v>
      </c>
      <c r="HV64" s="390">
        <f t="shared" si="282"/>
        <v>1.0032285412239</v>
      </c>
      <c r="HW64" s="390">
        <f>HV64*(VLOOKUP(AN64,各项系数!$D$1:$F$143,2,0))</f>
        <v>10.032285412239</v>
      </c>
      <c r="HX64" s="406">
        <f>各项系数!$F$76/4*($MV64^2-$MS64^2)*10^-2*(VLOOKUP($HX$9,各项系数!$D$1:$F$143,3,0))*10^-3*10^2*各项系数!$J$4</f>
        <v>1.00080235456266</v>
      </c>
      <c r="HY64" s="420">
        <v>1</v>
      </c>
      <c r="HZ64" s="390">
        <f t="shared" si="283"/>
        <v>1.00080235456266</v>
      </c>
      <c r="IA64" s="390">
        <f>HZ64*(VLOOKUP($HX$9,各项系数!$D$1:$F$143,2,0))</f>
        <v>11.0088259001892</v>
      </c>
      <c r="IB64" s="406">
        <f>各项系数!$F$76/4*($MW64^2-$MT64^2)*10^-2*(VLOOKUP($IB$9,各项系数!$D$1:$F$143,3,0))*10^-3*10^2*各项系数!$J$4</f>
        <v>1.0032285412239</v>
      </c>
      <c r="IC64" s="420">
        <v>1</v>
      </c>
      <c r="ID64" s="390">
        <f t="shared" si="284"/>
        <v>1.0032285412239</v>
      </c>
      <c r="IE64" s="390">
        <f>ID64*(VLOOKUP($IB$9,各项系数!$D$1:$F$143,2,0))</f>
        <v>11.0355139534629</v>
      </c>
      <c r="IF64" s="429"/>
      <c r="IG64" s="406">
        <f t="shared" si="148"/>
        <v>0.106538010928718</v>
      </c>
      <c r="IH64" s="389">
        <v>1</v>
      </c>
      <c r="II64" s="390">
        <f t="shared" si="285"/>
        <v>0.106538010928718</v>
      </c>
      <c r="IJ64" s="390">
        <f>II64*(VLOOKUP($IG$8,各项系数!$D$1:$F$143,2,0))</f>
        <v>2.66345027321794</v>
      </c>
      <c r="IK64" s="406">
        <f>(各项系数!$F$76/4*($MX64^2-$MK64^2)*$EG64)*10^-2*(VLOOKUP($IG$8,各项系数!$D$1:$F$143,3,0))*10^-3*10^2*各项系数!$J$4</f>
        <v>0.106538010928718</v>
      </c>
      <c r="IL64" s="389">
        <f>IK64*(VLOOKUP($IG$8,各项系数!$D$1:$F$143,2,0))</f>
        <v>2.66345027321794</v>
      </c>
      <c r="IM64" s="390">
        <f>(各项系数!$F$76/4*(($MM64+3*$X64)^2-MM64^2)*$EO64)*10^-2*(VLOOKUP($IG$8,各项系数!$D$1:$F$143,3,0))*10^-3*10^2*各项系数!$J$4</f>
        <v>0</v>
      </c>
      <c r="IN64" s="389">
        <f>IM64*(VLOOKUP($IG$8,各项系数!$D$1:$F$143,2,0))</f>
        <v>0</v>
      </c>
      <c r="IO64" s="406">
        <f>各项系数!$F$76/4*($MZ64^2-$MX64^2)*10^-2*(VLOOKUP(L64,各项系数!$D$1:$F$143,3,0))*10^-3*10^2*$ES64*各项系数!$J$4</f>
        <v>0.568303427472815</v>
      </c>
      <c r="IP64" s="389">
        <v>1</v>
      </c>
      <c r="IQ64" s="390">
        <f t="shared" si="286"/>
        <v>0.568303427472815</v>
      </c>
      <c r="IR64" s="367">
        <f>IQ64*(VLOOKUP(L64,各项系数!$D$1:$F$143,2,0))</f>
        <v>5.79669496022271</v>
      </c>
      <c r="IS64" s="406">
        <f>IF($L64&lt;&gt;$IS$9,0,各项系数!$F$76/4*($MZ64^2-$MX64^2)*10^-2*各项系数!$F$12*10^-3*10^2)*$ES64*各项系数!$J$4</f>
        <v>0</v>
      </c>
      <c r="IT64" s="389">
        <v>1</v>
      </c>
      <c r="IU64" s="390">
        <f t="shared" si="287"/>
        <v>0</v>
      </c>
      <c r="IV64" s="367">
        <f>IU64*各项系数!$E$12</f>
        <v>0</v>
      </c>
      <c r="IW64" s="388">
        <f t="shared" si="288"/>
        <v>0.568303427472815</v>
      </c>
      <c r="IX64" s="388">
        <f t="shared" si="289"/>
        <v>5.79669496022271</v>
      </c>
      <c r="IY64" s="447">
        <f>各项系数!$F$76/4*($NB64^2-$MZ64^2*$EG64-$NA64^2*$EO64)*10^-2</f>
        <v>11.4200238571341</v>
      </c>
      <c r="IZ64" s="366">
        <f t="shared" si="231"/>
        <v>1</v>
      </c>
      <c r="JA64" s="367">
        <f t="shared" si="64"/>
        <v>11.4200238571341</v>
      </c>
      <c r="JB64" s="364">
        <f>IF($DE64&lt;&gt;$JB$9,0,$JA64*各项系数!$F$32*10^-3*10^2)*各项系数!$J$4</f>
        <v>0</v>
      </c>
      <c r="JC64" s="123">
        <v>1</v>
      </c>
      <c r="JD64" s="251">
        <f t="shared" si="290"/>
        <v>0</v>
      </c>
      <c r="JE64" s="339">
        <f>JD64*各项系数!$E$32</f>
        <v>0</v>
      </c>
      <c r="JF64" s="364">
        <f>IF($DE64&lt;&gt;$JF$9,0,$JA64*VLOOKUP($JF$9,各项系数!$D$4:$F$540,2,0)*10^-3*10^2)*各项系数!$J$4</f>
        <v>5.68146186892423</v>
      </c>
      <c r="JG64" s="123">
        <v>1</v>
      </c>
      <c r="JH64" s="251">
        <f t="shared" si="66"/>
        <v>5.68146186892423</v>
      </c>
      <c r="JI64" s="339">
        <f>JH64*VLOOKUP($JF$9,各项系数!$D$4:$F$540,3,0)</f>
        <v>6.81775424270907</v>
      </c>
      <c r="JJ64" s="364">
        <f t="shared" si="291"/>
        <v>5.68146186892423</v>
      </c>
      <c r="JK64" s="251">
        <f t="shared" si="292"/>
        <v>6.81775424270907</v>
      </c>
      <c r="JL64" s="364">
        <f>IF($DF64&lt;&gt;$JL$9,0,各项系数!$F$76/4*($NE64^2-$NC64^2)*10^-2*各项系数!$F$39*10^-3*10^2)*各项系数!$J$4</f>
        <v>0.00719528906344474</v>
      </c>
      <c r="JM64" s="123">
        <v>1</v>
      </c>
      <c r="JN64" s="251">
        <f t="shared" si="293"/>
        <v>0.00719528906344474</v>
      </c>
      <c r="JO64" s="339">
        <f>JN64*各项系数!$E$39</f>
        <v>0.143905781268895</v>
      </c>
      <c r="JP64" s="364">
        <f>IF($DF64&lt;&gt;$JP$9,0,各项系数!$F$76/4*($NE64^2-$NC64^2)*10^-2*各项系数!$F$36*10^-3*10^2)*各项系数!$J$4</f>
        <v>0</v>
      </c>
      <c r="JQ64" s="123">
        <v>1</v>
      </c>
      <c r="JR64" s="251">
        <f t="shared" si="294"/>
        <v>0</v>
      </c>
      <c r="JS64" s="339">
        <f>JR64*各项系数!$E$36</f>
        <v>0</v>
      </c>
      <c r="JT64" s="364">
        <f>IF($DF64&lt;&gt;$JT$9,0,各项系数!$F$76/4*($NE64^2-$NC64^2)*10^-2*各项系数!$F$40*10^-3*10^2)*各项系数!$J$4</f>
        <v>0</v>
      </c>
      <c r="JU64" s="123">
        <v>1</v>
      </c>
      <c r="JV64" s="251">
        <f t="shared" si="295"/>
        <v>0</v>
      </c>
      <c r="JW64" s="339">
        <f>JV64*各项系数!$E$40</f>
        <v>0</v>
      </c>
      <c r="JX64" s="364">
        <f>IF($DF64&lt;&gt;$JX$9,0,各项系数!$F$76/4*($NE64^2-$NC64^2)*10^-2*各项系数!$F$38*10^-3*10^2)*各项系数!$J$4</f>
        <v>0</v>
      </c>
      <c r="JY64" s="123">
        <v>1</v>
      </c>
      <c r="JZ64" s="251">
        <f t="shared" si="296"/>
        <v>0</v>
      </c>
      <c r="KA64" s="339">
        <f>JZ64*各项系数!$E$38</f>
        <v>0</v>
      </c>
      <c r="KB64" s="364">
        <f>IF($DF64&lt;&gt;$KB$9,0,各项系数!$F$76/4*($NE64^2-$NC64^2)*10^-2*各项系数!$F$41*10^-3*10^2)*各项系数!$J$4</f>
        <v>0</v>
      </c>
      <c r="KC64" s="123">
        <v>1</v>
      </c>
      <c r="KD64" s="251">
        <f t="shared" si="297"/>
        <v>0</v>
      </c>
      <c r="KE64" s="339">
        <f>KD64*各项系数!$E$41</f>
        <v>0</v>
      </c>
      <c r="KF64" s="251">
        <f t="shared" si="298"/>
        <v>0.00719528906344474</v>
      </c>
      <c r="KG64" s="251">
        <f t="shared" si="299"/>
        <v>0.143905781268895</v>
      </c>
      <c r="KH64" s="302">
        <f>各项系数!$F$76/4*($NG64^2-$NE64^2)*10^-2*各项系数!$F$44*10^-3*10^2*各项系数!$J$4*0.75*$U64</f>
        <v>1.78227373926923</v>
      </c>
      <c r="KI64" s="123">
        <v>1</v>
      </c>
      <c r="KJ64" s="251">
        <f t="shared" si="300"/>
        <v>1.78227373926923</v>
      </c>
      <c r="KK64" s="251">
        <f>ROUND(KJ64*各项系数!$E$43,GT64)</f>
        <v>10</v>
      </c>
      <c r="KL64" s="302">
        <f>各项系数!$F$76/4*($NF64^2-$NE64^2)*10^-2*各项系数!$F$46*10^-3*10^2*各项系数!$J$4*PI()/4*R64</f>
        <v>0.0895929186360122</v>
      </c>
      <c r="KM64" s="123">
        <v>1</v>
      </c>
      <c r="KN64" s="251">
        <f t="shared" si="301"/>
        <v>0.0895929186360122</v>
      </c>
      <c r="KO64" s="251">
        <f>KN64*各项系数!$E$46</f>
        <v>6.04752200793082</v>
      </c>
      <c r="KP64" s="302">
        <f>各项系数!$F$76/4*($NH64^2-$NE64^2)*10^-2*(VLOOKUP($KP$9,各项系数!$D$1:$F$143,3,0))*10^-3*10^2*各项系数!$J$4</f>
        <v>1.00752800320792</v>
      </c>
      <c r="KQ64" s="123">
        <v>1</v>
      </c>
      <c r="KR64" s="251">
        <f t="shared" si="150"/>
        <v>1.00752800320792</v>
      </c>
      <c r="KS64" s="251">
        <f>KR64*(VLOOKUP($KP$9,各项系数!$D$1:$F$143,2,0))</f>
        <v>17.1279760545346</v>
      </c>
      <c r="KT64" s="302">
        <f>各项系数!$F$76/4*($NI64^2-$NF64^2)*10^-2*(VLOOKUP($KT$9,各项系数!$D$1:$F$143,3,0))*10^-3*10^2*各项系数!$J$4</f>
        <v>1.00992118052683</v>
      </c>
      <c r="KU64" s="123">
        <v>1</v>
      </c>
      <c r="KV64" s="251">
        <f t="shared" si="151"/>
        <v>1.00992118052683</v>
      </c>
      <c r="KW64" s="251">
        <f>KV64*(VLOOKUP($KT$9,各项系数!$D$1:$F$143,2,0))</f>
        <v>17.1686600689561</v>
      </c>
      <c r="KX64" s="251">
        <f>各项系数!$F$76/4*($NH64^2-$NE64^2)*10^-2*(VLOOKUP($KX$9,各项系数!$D$1:$F$143,3,0))*10^-3*10^2*各项系数!$J$4</f>
        <v>1.00752800320792</v>
      </c>
      <c r="KY64" s="479">
        <v>1</v>
      </c>
      <c r="KZ64" s="251">
        <f t="shared" si="152"/>
        <v>1.00752800320792</v>
      </c>
      <c r="LA64" s="251">
        <f>KZ64*(VLOOKUP($KX$9,各项系数!$D$1:$F$143,2,0))</f>
        <v>17.1279760545346</v>
      </c>
      <c r="LB64" s="251">
        <f>各项系数!$F$76/4*($NI64^2-$NF64^2)*10^-2*(VLOOKUP($LB$9,各项系数!$D$1:$F$143,3,0))*10^-3*10^2*各项系数!$J$4</f>
        <v>1.00992118052683</v>
      </c>
      <c r="LC64" s="479">
        <v>1</v>
      </c>
      <c r="LD64" s="251">
        <f t="shared" si="153"/>
        <v>1.00992118052683</v>
      </c>
      <c r="LE64" s="251">
        <f>LD64*(VLOOKUP($LB$9,各项系数!$D$1:$F$143,2,0))</f>
        <v>17.1686600689561</v>
      </c>
      <c r="LF64" s="302">
        <f>各项系数!$F$76/4*($NH64^2-$NE64^2)*10^-2*(VLOOKUP(AN64,各项系数!$D$1:$F$143,3,0))*10^-3*10^2*各项系数!$J$4</f>
        <v>1.0214249411832</v>
      </c>
      <c r="LG64" s="123">
        <v>1</v>
      </c>
      <c r="LH64" s="251">
        <f t="shared" si="302"/>
        <v>1.0214249411832</v>
      </c>
      <c r="LI64" s="251">
        <f>LH64*(VLOOKUP(AN64,各项系数!$D$1:$F$143,2,0))</f>
        <v>10.214249411832</v>
      </c>
      <c r="LJ64" s="302">
        <f>各项系数!$F$76/4*($NI64^2-$NF64^2)*10^-2*(VLOOKUP(AN64,各项系数!$D$1:$F$143,3,0))*10^-3*10^2*各项系数!$J$4</f>
        <v>1.02385112784444</v>
      </c>
      <c r="LK64" s="123">
        <v>1</v>
      </c>
      <c r="LL64" s="251">
        <f t="shared" si="303"/>
        <v>1.02385112784444</v>
      </c>
      <c r="LM64" s="251">
        <f>LL64*(VLOOKUP(AN64,各项系数!$D$1:$F$143,2,0))</f>
        <v>10.2385112784444</v>
      </c>
      <c r="LN64" s="251">
        <f>各项系数!$F$76/4*($NH64^2-$NE64^2)*10^-2*(VLOOKUP($LN$9,各项系数!$D$1:$F$143,3,0))*10^-3*10^2*各项系数!$J$4</f>
        <v>1.0214249411832</v>
      </c>
      <c r="LO64" s="479">
        <v>1</v>
      </c>
      <c r="LP64" s="251">
        <f t="shared" si="304"/>
        <v>1.0214249411832</v>
      </c>
      <c r="LQ64" s="251">
        <f>LP64*(VLOOKUP($LN$9,各项系数!$D$1:$F$143,2,0))</f>
        <v>11.2356743530152</v>
      </c>
      <c r="LR64" s="251">
        <f>各项系数!$F$76/4*($NI64^2-$NF64^2)*10^-2*(VLOOKUP($LR$9,各项系数!$D$1:$F$143,3,0))*10^-3*10^2*各项系数!$J$4</f>
        <v>1.02385112784444</v>
      </c>
      <c r="LS64" s="479">
        <v>1</v>
      </c>
      <c r="LT64" s="251">
        <f t="shared" si="305"/>
        <v>1.02385112784444</v>
      </c>
      <c r="LU64" s="251">
        <f>LT64*(VLOOKUP($LR$9,各项系数!$D$1:$F$143,2,0))</f>
        <v>11.2623624062888</v>
      </c>
      <c r="LV64" s="499">
        <f t="shared" si="154"/>
        <v>1466.30281393</v>
      </c>
      <c r="LW64" s="499">
        <f t="shared" si="155"/>
        <v>1104.25273642</v>
      </c>
      <c r="LX64" s="499">
        <f t="shared" si="156"/>
        <v>37.4963765101637</v>
      </c>
      <c r="LY64" s="515">
        <f t="shared" si="157"/>
        <v>362.05007751</v>
      </c>
      <c r="LZ64" s="516">
        <f t="shared" si="86"/>
        <v>1</v>
      </c>
      <c r="MA64" s="517">
        <f t="shared" si="87"/>
        <v>1466.30281393</v>
      </c>
      <c r="MB64" s="517">
        <f t="shared" si="158"/>
        <v>24.94630719</v>
      </c>
      <c r="MC64" s="499">
        <f t="shared" si="159"/>
        <v>0</v>
      </c>
      <c r="MD64" s="499">
        <f t="shared" si="160"/>
        <v>0</v>
      </c>
      <c r="ME64" s="499">
        <f t="shared" si="161"/>
        <v>0</v>
      </c>
      <c r="MF64" s="499">
        <f t="shared" si="162"/>
        <v>0</v>
      </c>
      <c r="MG64" s="516">
        <f t="shared" si="163"/>
        <v>1</v>
      </c>
      <c r="MH64" s="517">
        <f t="shared" si="88"/>
        <v>0</v>
      </c>
      <c r="MI64" s="517">
        <f t="shared" si="164"/>
        <v>0</v>
      </c>
      <c r="MJ64" s="251">
        <f t="shared" si="89"/>
        <v>24.94630719</v>
      </c>
      <c r="MK64" s="251">
        <f t="shared" si="165"/>
        <v>24.94630719</v>
      </c>
      <c r="ML64" s="251">
        <f t="shared" si="306"/>
        <v>0</v>
      </c>
      <c r="MM64" s="251">
        <f t="shared" si="91"/>
        <v>0</v>
      </c>
      <c r="MN64" s="251">
        <f t="shared" si="92"/>
        <v>28.94630719</v>
      </c>
      <c r="MO64" s="251">
        <f t="shared" si="166"/>
        <v>0</v>
      </c>
      <c r="MP64" s="251">
        <f t="shared" si="167"/>
        <v>62.52402353</v>
      </c>
      <c r="MQ64" s="251">
        <f t="shared" si="307"/>
        <v>62.52402353</v>
      </c>
      <c r="MR64" s="314">
        <f t="shared" si="168"/>
        <v>62.52402353</v>
      </c>
      <c r="MS64" s="530">
        <f t="shared" si="94"/>
        <v>62.70002353</v>
      </c>
      <c r="MT64" s="530">
        <f t="shared" si="95"/>
        <v>62.86002353</v>
      </c>
      <c r="MU64" s="530">
        <f t="shared" si="232"/>
        <v>64.20002353</v>
      </c>
      <c r="MV64" s="530">
        <f t="shared" si="97"/>
        <v>69.30002353</v>
      </c>
      <c r="MW64" s="530">
        <f t="shared" si="98"/>
        <v>69.46002353</v>
      </c>
      <c r="MX64" s="326">
        <f t="shared" si="233"/>
        <v>25.54630719</v>
      </c>
      <c r="MY64" s="326">
        <f t="shared" si="100"/>
        <v>0</v>
      </c>
      <c r="MZ64" s="251">
        <f t="shared" si="101"/>
        <v>29.54630719</v>
      </c>
      <c r="NA64" s="251">
        <f t="shared" si="102"/>
        <v>0</v>
      </c>
      <c r="NB64" s="251">
        <f t="shared" si="169"/>
        <v>63.82002353</v>
      </c>
      <c r="NC64" s="326">
        <f t="shared" si="308"/>
        <v>63.82002353</v>
      </c>
      <c r="ND64" s="314">
        <f t="shared" si="234"/>
        <v>63.82002353</v>
      </c>
      <c r="NE64" s="537">
        <f t="shared" si="235"/>
        <v>64.06002353</v>
      </c>
      <c r="NF64" s="530">
        <f t="shared" si="106"/>
        <v>64.22002353</v>
      </c>
      <c r="NG64" s="538">
        <f t="shared" si="236"/>
        <v>65.56002353</v>
      </c>
      <c r="NH64" s="326">
        <f t="shared" si="108"/>
        <v>70.66002353</v>
      </c>
      <c r="NI64" s="530">
        <f t="shared" si="109"/>
        <v>70.82002353</v>
      </c>
      <c r="NK64" s="539">
        <f t="shared" si="110"/>
        <v>12.8455890846069</v>
      </c>
      <c r="NL64" s="539">
        <f t="shared" si="111"/>
        <v>672.406175902103</v>
      </c>
      <c r="NM64" s="539">
        <f t="shared" si="112"/>
        <v>12.8455890846069</v>
      </c>
      <c r="NN64" s="539">
        <f t="shared" si="113"/>
        <v>673.406978256665</v>
      </c>
      <c r="NO64" s="539">
        <f t="shared" si="114"/>
        <v>17.3480007906277</v>
      </c>
      <c r="NP64" s="539">
        <f t="shared" si="115"/>
        <v>678.217614744374</v>
      </c>
      <c r="NQ64" s="539">
        <f t="shared" si="116"/>
        <v>17.3480007906277</v>
      </c>
      <c r="NR64" s="539">
        <f t="shared" si="117"/>
        <v>679.239039685557</v>
      </c>
      <c r="NS64" s="539">
        <f t="shared" si="118"/>
        <v>12.9332823099993</v>
      </c>
      <c r="NT64" s="539">
        <f t="shared" si="119"/>
        <v>12.9332823099993</v>
      </c>
      <c r="NU64" s="539">
        <f t="shared" si="120"/>
        <v>17.4375937092637</v>
      </c>
      <c r="NV64" s="539">
        <f t="shared" si="121"/>
        <v>17.4375937092637</v>
      </c>
      <c r="NW64">
        <f t="shared" si="122"/>
        <v>14.0088382708092</v>
      </c>
      <c r="NX64">
        <f>各项系数!$M$9*NK64</f>
        <v>3.85367672538207</v>
      </c>
      <c r="NY64">
        <f t="shared" si="123"/>
        <v>12.9332823099993</v>
      </c>
    </row>
    <row r="65" customHeight="1" spans="1:389">
      <c r="A65" s="81"/>
      <c r="B65" s="98"/>
      <c r="C65" s="83"/>
      <c r="D65" s="74" t="s">
        <v>277</v>
      </c>
      <c r="E65" s="70">
        <f t="shared" si="313"/>
        <v>77.74163136</v>
      </c>
      <c r="F65" s="84">
        <f>$F$33</f>
        <v>314.103042329295</v>
      </c>
      <c r="G65" s="74"/>
      <c r="H65" s="23"/>
      <c r="I65" s="78"/>
      <c r="J65" s="23"/>
      <c r="K65" s="23"/>
      <c r="L65" s="118" t="s">
        <v>467</v>
      </c>
      <c r="M65" s="119">
        <f t="shared" si="2"/>
        <v>2.2</v>
      </c>
      <c r="N65" s="119">
        <f t="shared" si="252"/>
        <v>0</v>
      </c>
      <c r="O65" s="74">
        <f t="shared" si="312"/>
        <v>0.08</v>
      </c>
      <c r="P65" s="120">
        <v>0.1</v>
      </c>
      <c r="Q65" s="165">
        <f t="shared" si="322"/>
        <v>0.1</v>
      </c>
      <c r="R65" s="182">
        <v>0.8</v>
      </c>
      <c r="S65" s="173" t="str">
        <f>各项系数!$D$43</f>
        <v>钢带</v>
      </c>
      <c r="T65" s="78">
        <v>0.5</v>
      </c>
      <c r="U65" s="78">
        <v>2</v>
      </c>
      <c r="V65" s="172"/>
      <c r="W65" s="174">
        <v>3.5</v>
      </c>
      <c r="X65" s="168">
        <f t="shared" si="323"/>
        <v>0.2</v>
      </c>
      <c r="Y65" s="221"/>
      <c r="Z65" s="222"/>
      <c r="AA65" s="223">
        <f>$AA$33</f>
        <v>1.02</v>
      </c>
      <c r="AB65" s="186">
        <f>PI()*EJ65*EJ65/4*EH65*(1-H65)*AA65*各项系数!$F$5*各项系数!$J$4*10^-7</f>
        <v>4.26470519939525</v>
      </c>
      <c r="AC65" s="224">
        <f t="shared" si="314"/>
        <v>314.103042329295</v>
      </c>
      <c r="AD65" s="186">
        <f t="shared" si="5"/>
        <v>482.13002011127</v>
      </c>
      <c r="AE65" s="186">
        <f>POWER(4*EU65/PI()/EG65/10^-7/EH65/(1-H65)/各项系数!$F$5/各项系数!$J$4,0.5)</f>
        <v>317.228522715927</v>
      </c>
      <c r="AF65" s="225">
        <v>1</v>
      </c>
      <c r="AG65" s="23">
        <f>IF(EM65=0,0,PI()*ER65*ER65/4*EP65*(1-K65)*(1+AF65)*各项系数!$F$5*各项系数!$J$4*10^-7)</f>
        <v>0</v>
      </c>
      <c r="AH65" s="23">
        <f t="shared" si="315"/>
        <v>0</v>
      </c>
      <c r="AI65" s="85">
        <f t="shared" si="128"/>
        <v>0</v>
      </c>
      <c r="AJ65" s="85">
        <f>IF(OR(EP65="",EP65=0),0,POWER(4*EW65/PI()/EO65/10^-7/EP65/(1-K65)/各项系数!$F$5/各项系数!$J$4,0.5))</f>
        <v>0</v>
      </c>
      <c r="AK65" s="23" t="str">
        <f t="shared" si="8"/>
        <v>√</v>
      </c>
      <c r="AL65" s="23">
        <f t="shared" si="316"/>
        <v>889.065967119437</v>
      </c>
      <c r="AM65" s="127">
        <f t="shared" si="317"/>
        <v>500</v>
      </c>
      <c r="AN65" s="118" t="s">
        <v>486</v>
      </c>
      <c r="AO65" s="259">
        <f>AP65+各项系数!$M$9*$NK65</f>
        <v>871.633301097487</v>
      </c>
      <c r="AP65" s="259">
        <f>AQ65*(1+$BI65+(VLOOKUP($AM65,$A$12:$B$323,2,0))+各项系数!$J$6+各项系数!$M$5)*(1+$E$2)</f>
        <v>866.723543161174</v>
      </c>
      <c r="AQ65" s="260">
        <f>AR65+各项系数!$L$9*$NK65</f>
        <v>884.411778735892</v>
      </c>
      <c r="AR65" s="260">
        <f>AS65*(1+$BJ65+各项系数!$J$5+各项系数!$L$5)</f>
        <v>879.502020799579</v>
      </c>
      <c r="AS65" s="260">
        <f t="shared" si="129"/>
        <v>862.256883136843</v>
      </c>
      <c r="AT65" s="259">
        <f>AU65+各项系数!$M$9*$NM65</f>
        <v>879.711933225084</v>
      </c>
      <c r="AU65" s="259">
        <f>AV65*(1+$BI65+(VLOOKUP($AM65,$A$12:$B$323,2,0))+各项系数!$J$6+各项系数!$M$5)*(1+$E$2)</f>
        <v>874.802175288772</v>
      </c>
      <c r="AV65" s="260">
        <f>AW65+各项系数!$L$9*$NM65</f>
        <v>892.65528090691</v>
      </c>
      <c r="AW65" s="260">
        <f>AX65*(1+$BJ65+各项系数!$J$5+各项系数!$L$5)</f>
        <v>887.745522970597</v>
      </c>
      <c r="AX65" s="260">
        <f t="shared" si="130"/>
        <v>870.338748010389</v>
      </c>
      <c r="AY65" s="259">
        <f>AZ65+各项系数!$M$9*$NS65</f>
        <v>878.392619859868</v>
      </c>
      <c r="AZ65" s="259">
        <f>BA65*(1+$BI65+(VLOOKUP($AM65,$A$12:$B$214,2,0))+各项系数!$J$6+各项系数!$M$5)*(1+$E$2)</f>
        <v>873.453184120335</v>
      </c>
      <c r="BA65" s="260">
        <f>BB65+各项系数!$L$9*$NS65</f>
        <v>891.278759306465</v>
      </c>
      <c r="BB65" s="260">
        <f>BC65*(1+$BJ65+各项系数!$J$5+各项系数!$L$5)</f>
        <v>886.339323566932</v>
      </c>
      <c r="BC65" s="262">
        <f t="shared" si="131"/>
        <v>868.960121144051</v>
      </c>
      <c r="BD65" s="259">
        <f>BE65+各项系数!$M$9*$NS65</f>
        <v>886.488662449988</v>
      </c>
      <c r="BE65" s="259">
        <f>BF65*(1+$BI65+(VLOOKUP($AM65,$A$12:$B$214,2,0))+各项系数!$J$6+各项系数!$M$5)*(1+$E$2)</f>
        <v>881.549226710456</v>
      </c>
      <c r="BF65" s="260">
        <f>BG65+各项系数!$L$9*$NS65</f>
        <v>899.540027255567</v>
      </c>
      <c r="BG65" s="260">
        <f>BH65*(1+$BJ65+各项系数!$J$5+各项系数!$L$5)</f>
        <v>894.600591516035</v>
      </c>
      <c r="BH65" s="262">
        <f t="shared" si="132"/>
        <v>877.059403447093</v>
      </c>
      <c r="BI65" s="277"/>
      <c r="BJ65" s="272"/>
      <c r="BK65" s="69" t="s">
        <v>514</v>
      </c>
      <c r="BL65" s="259">
        <f>BM65+各项系数!$M$9*$NM65</f>
        <v>881.288646348503</v>
      </c>
      <c r="BM65" s="259">
        <f>BN65*(1+$CF65+(VLOOKUP($AM65,$A$12:$B$323,2,0))+各项系数!$J$6+各项系数!$M$5)*(1+$E$2)</f>
        <v>876.37888841219</v>
      </c>
      <c r="BN65" s="260">
        <f>BO65+各项系数!$L$9*$NM65</f>
        <v>894.264171849174</v>
      </c>
      <c r="BO65" s="260">
        <f>BP65*(1+$CG65+各项系数!$J$5+各项系数!$L$5)</f>
        <v>889.354413912861</v>
      </c>
      <c r="BP65" s="260">
        <f t="shared" si="133"/>
        <v>863.45088729404</v>
      </c>
      <c r="BQ65" s="259">
        <f>BR65+各项系数!$M$9*$NM65</f>
        <v>888.241252955586</v>
      </c>
      <c r="BR65" s="259">
        <f>BS65*(1+$CF65+(VLOOKUP($AM65,$A$12:$B$323,2,0))+各项系数!$J$6+各项系数!$M$5)*(1+$E$2)</f>
        <v>883.331495019273</v>
      </c>
      <c r="BS65" s="260">
        <f>BT65+各项系数!$L$9*$NM65</f>
        <v>901.358668387014</v>
      </c>
      <c r="BT65" s="260">
        <f>BU65*(1+$CG65+各项系数!$J$5+各项系数!$L$5)</f>
        <v>896.448910450701</v>
      </c>
      <c r="BU65" s="260">
        <f t="shared" si="134"/>
        <v>870.338748010389</v>
      </c>
      <c r="BV65" s="259">
        <f>BW65+各项系数!$M$9*$NT65</f>
        <v>883.283705370328</v>
      </c>
      <c r="BW65" s="259">
        <f>BX65*(1+$CF65+(VLOOKUP($AM65,$A$12:$B$214,2,0))+各项系数!$J$6+各项系数!$M$5)*(1+$E$2)</f>
        <v>878.344269630795</v>
      </c>
      <c r="BX65" s="260">
        <f>BY65+各项系数!$L$9*$NT$12</f>
        <v>896.269662888567</v>
      </c>
      <c r="BY65" s="260">
        <f>BZ65*(1+$CG65+各项系数!$J$5+各项系数!$L$5)</f>
        <v>896.261399485412</v>
      </c>
      <c r="BZ65" s="262">
        <f t="shared" si="11"/>
        <v>870.156698529526</v>
      </c>
      <c r="CA65" s="259">
        <f>CB65+各项系数!$M$9*$NT65</f>
        <v>890.25129571412</v>
      </c>
      <c r="CB65" s="259">
        <f>CC65*(1+$CF65+(VLOOKUP($AM65,$A$12:$B$214,2,0))+各项系数!$J$6+各项系数!$M$5)*(1+$E$2)</f>
        <v>885.311859974587</v>
      </c>
      <c r="CC65" s="260">
        <f>CD65+各项系数!$L$9*$NT$12</f>
        <v>903.37944895366</v>
      </c>
      <c r="CD65" s="260">
        <f>CE65*(1+$CG65+各项系数!$J$5+各项系数!$L$5)</f>
        <v>903.371185550506</v>
      </c>
      <c r="CE65" s="262">
        <f t="shared" si="135"/>
        <v>877.059403447093</v>
      </c>
      <c r="CF65" s="277">
        <f t="shared" si="136"/>
        <v>0</v>
      </c>
      <c r="CG65" s="277">
        <f t="shared" si="12"/>
        <v>0.01</v>
      </c>
      <c r="CH65" s="127"/>
      <c r="CI65" s="259">
        <f>CJ65+各项系数!$M$9*$NO65</f>
        <v>886.843460645802</v>
      </c>
      <c r="CJ65" s="259">
        <f>CK65*(1+$DC65+(VLOOKUP($AM65,$A$12:$B$323,2,0))+各项系数!$J$6+各项系数!$M$5)*(1+$E$2)+各项系数!$M$9*$NK65</f>
        <v>880.229305708036</v>
      </c>
      <c r="CK65" s="260">
        <f>CL65+各项系数!$L$9*$NO65</f>
        <v>893.183212011963</v>
      </c>
      <c r="CL65" s="260">
        <f>CM65*(1+$DD65+各项系数!$J$5+各项系数!$L$5)</f>
        <v>886.569057074198</v>
      </c>
      <c r="CM65" s="260">
        <f t="shared" si="13"/>
        <v>869.185350072743</v>
      </c>
      <c r="CN65" s="259">
        <f>CO65+各项系数!$M$9*$NO65</f>
        <v>894.703455859609</v>
      </c>
      <c r="CO65" s="259">
        <f>CP65*(1+$DC65+(VLOOKUP($AM65,$A$12:$B$323,2,0))+各项系数!$J$6+各项系数!$M$5)*(1+$E$2)+各项系数!$M$9*$NK65</f>
        <v>888.089300921844</v>
      </c>
      <c r="CP65" s="260">
        <f>CQ65+各项系数!$L$9*$NO65</f>
        <v>901.203615291358</v>
      </c>
      <c r="CQ65" s="260">
        <f>CR65*(1+$DD65+各项系数!$J$5+各项系数!$L$5)</f>
        <v>894.589460353593</v>
      </c>
      <c r="CR65" s="260">
        <f t="shared" si="14"/>
        <v>877.048490542738</v>
      </c>
      <c r="CS65" s="259">
        <f>CT65+各项系数!$M$9*$NU65</f>
        <v>888.822327891883</v>
      </c>
      <c r="CT65" s="259">
        <f t="shared" si="15"/>
        <v>882.177925242925</v>
      </c>
      <c r="CU65" s="260">
        <f>CV65+各项系数!$L$9*$NU65</f>
        <v>900.181556370331</v>
      </c>
      <c r="CV65" s="260">
        <f>CW65*(1+$DD65+各项系数!$J$5+各项系数!$L$5)</f>
        <v>893.537153721373</v>
      </c>
      <c r="CW65" s="262">
        <f t="shared" si="16"/>
        <v>876.016817373895</v>
      </c>
      <c r="CX65" s="259">
        <f>CY65+各项系数!$M$9*$NU65</f>
        <v>897.066359413446</v>
      </c>
      <c r="CY65" s="259">
        <f t="shared" si="17"/>
        <v>890.421956764488</v>
      </c>
      <c r="CZ65" s="260">
        <f>DA65+各项系数!$L$9*$NU65</f>
        <v>908.593833433151</v>
      </c>
      <c r="DA65" s="260">
        <f>DB65*(1+$DD65+各项系数!$J$5+各项系数!$L$5)</f>
        <v>901.949430784192</v>
      </c>
      <c r="DB65" s="262">
        <f t="shared" si="18"/>
        <v>884.26414782764</v>
      </c>
      <c r="DC65" s="277">
        <f t="shared" si="137"/>
        <v>0</v>
      </c>
      <c r="DD65" s="277">
        <f t="shared" si="19"/>
        <v>0</v>
      </c>
      <c r="DE65" s="69" t="s">
        <v>498</v>
      </c>
      <c r="DF65" s="69" t="s">
        <v>513</v>
      </c>
      <c r="DG65" s="259">
        <f>DH65+各项系数!$M$9*$NQ65</f>
        <v>896.588782914084</v>
      </c>
      <c r="DH65" s="259">
        <f>DI65*(1+$EA65+(VLOOKUP($AM65,$A$12:$B$323,2,0))+各项系数!$J$6+各项系数!$M$5)*(1+$E$2)+各项系数!$M$9*$NK65</f>
        <v>889.974627976319</v>
      </c>
      <c r="DI65" s="260">
        <f>DJ65+各项系数!$L$9*$NQ65</f>
        <v>903.127418408169</v>
      </c>
      <c r="DJ65" s="260">
        <f>DK65*(1+$EB65+各项系数!$J$5+各项系数!$L$5)</f>
        <v>896.513263470404</v>
      </c>
      <c r="DK65" s="260">
        <f t="shared" si="20"/>
        <v>870.401226670295</v>
      </c>
      <c r="DL65" s="259">
        <f>DM65+各项系数!$M$9*$NQ65</f>
        <v>903.668751283192</v>
      </c>
      <c r="DM65" s="259">
        <f>DN65*(1+$EA65+(VLOOKUP($AM65,$A$12:$B$323,2,0))+各项系数!$J$6+各项系数!$M$5)*(1+$E$2)+各项系数!$M$9*$NK65</f>
        <v>897.054596345427</v>
      </c>
      <c r="DN65" s="260">
        <f>DO65+各项系数!$L$9*$NQ65</f>
        <v>910.351875927668</v>
      </c>
      <c r="DO65" s="260">
        <f>DP65*(1+$EB65+各项系数!$J$5+各项系数!$L$5)</f>
        <v>903.737720989902</v>
      </c>
      <c r="DP65" s="260">
        <f t="shared" si="21"/>
        <v>877.415263096992</v>
      </c>
      <c r="DQ65" s="259">
        <f>DR65+各项系数!$M$9*$NV65</f>
        <v>898.637195956339</v>
      </c>
      <c r="DR65" s="259">
        <f t="shared" si="22"/>
        <v>891.992793307381</v>
      </c>
      <c r="DS65" s="260">
        <f>DT65+各项系数!$L$9*$NV65</f>
        <v>910.196727864675</v>
      </c>
      <c r="DT65" s="260">
        <f>DU65*(1+$EB65+各项系数!$J$5+各项系数!$L$5)</f>
        <v>903.552325215717</v>
      </c>
      <c r="DU65" s="262">
        <f t="shared" si="23"/>
        <v>877.235267199725</v>
      </c>
      <c r="DV65" s="259">
        <f>DW65+各项系数!$M$9*$NV65</f>
        <v>898.472690874115</v>
      </c>
      <c r="DW65" s="259">
        <f t="shared" si="24"/>
        <v>891.828288225157</v>
      </c>
      <c r="DX65" s="260">
        <f>DY65+各项系数!$L$9*$NV65</f>
        <v>910.028865535874</v>
      </c>
      <c r="DY65" s="260">
        <f>DZ65*(1+$EB65+各项系数!$J$5+各项系数!$L$5)</f>
        <v>903.384462886916</v>
      </c>
      <c r="DZ65" s="262">
        <f t="shared" si="25"/>
        <v>877.072294064967</v>
      </c>
      <c r="EA65" s="277">
        <f t="shared" si="311"/>
        <v>0</v>
      </c>
      <c r="EB65" s="277">
        <f t="shared" si="27"/>
        <v>0.01</v>
      </c>
      <c r="EC65" s="302">
        <f t="shared" si="138"/>
        <v>3</v>
      </c>
      <c r="ED65" s="304" t="str">
        <f t="shared" si="266"/>
        <v>3*500</v>
      </c>
      <c r="EE65" s="251">
        <f t="shared" si="239"/>
        <v>500</v>
      </c>
      <c r="EF65" s="95" t="str">
        <f>LOOKUP(EH65,{1,7,10,14,19,24,30,37,48,61},{1,"1+6","2+8","4+10","1+6+12","2+8+14","4+10+16","1+6+12+18","3+9+15+21","1+6+12+18+24"})</f>
        <v>1+6+12+18+24</v>
      </c>
      <c r="EG65" s="250">
        <f t="shared" si="29"/>
        <v>3</v>
      </c>
      <c r="EH65" s="260">
        <f>VLOOKUP(EE65,各项系数!$B$87:$C$124,2,0)</f>
        <v>61</v>
      </c>
      <c r="EI65" s="250">
        <f>IF(EH65=0,0,VLOOKUP(EH65,各项系数!$D$142:$E$195,2,0))*1</f>
        <v>9</v>
      </c>
      <c r="EJ65" s="305">
        <f t="shared" si="141"/>
        <v>314.103042329295</v>
      </c>
      <c r="EK65" s="95">
        <f t="shared" si="318"/>
        <v>0</v>
      </c>
      <c r="EL65" s="251">
        <f t="shared" si="31"/>
        <v>0</v>
      </c>
      <c r="EM65" s="95">
        <f t="shared" si="267"/>
        <v>0</v>
      </c>
      <c r="EN65" s="95">
        <f>IF(EP65=0,0,LOOKUP(EP65,{1,7,10,14,19,24,30,37,48,61},{1,"1+6","2+8","4+10","1+6+12","2+8+14","4+10+16","1+6+12+18","3+9+15+21","1+6+12+18+24"}))</f>
        <v>0</v>
      </c>
      <c r="EO65" s="95">
        <f t="shared" si="319"/>
        <v>0</v>
      </c>
      <c r="EP65" s="95">
        <f>IF(EM65=0,0,IF(EM65&lt;10,1,IF(AND(EM65&gt;=10,EM65&lt;=35),7,LOOKUP(EM65,{50,70,95,120,150,185,240,300},{10,14,19,24,30,37,48,61})*1)))</f>
        <v>0</v>
      </c>
      <c r="EQ65" s="251">
        <f>IF(EP65=0,0,VLOOKUP(EP65,各项系数!$D$142:$E$195,2,0))*1</f>
        <v>0</v>
      </c>
      <c r="ER65" s="95">
        <f t="shared" si="320"/>
        <v>0</v>
      </c>
      <c r="ES65" s="304">
        <f t="shared" si="321"/>
        <v>3</v>
      </c>
      <c r="ET65" s="251">
        <f>VLOOKUP(ES65,各项系数!$D$142:$E$195,2,0)*1</f>
        <v>2.16</v>
      </c>
      <c r="EU65" s="311">
        <f>((各项系数!$F$76/4*$EJ65^2*$EG65*$EH65*1*10^-7)*(1-$H65)*AA65)*(VLOOKUP($EY$9,各项系数!$D$4:$F$143,3,0))*各项系数!$J$4</f>
        <v>12.7941155981857</v>
      </c>
      <c r="EV65" s="312">
        <f>EU65*(VLOOKUP($EY$9,各项系数!$D$4:$F$143,2,0))</f>
        <v>838.014571681165</v>
      </c>
      <c r="EW65" s="324">
        <f>(IF($EO65=0,0,(各项系数!$F$76/4*$ER65^2*$EO65*$EP65*1*10^-7))*(1-$K65)*$AF65)*(VLOOKUP($EY$9,各项系数!$D$4:$F$143,3,0))*各项系数!$J$4</f>
        <v>0</v>
      </c>
      <c r="EX65" s="325">
        <f>EW65*(VLOOKUP($EY$9,各项系数!$D$4:$F$143,2,0))</f>
        <v>0</v>
      </c>
      <c r="EY65" s="251">
        <f>((各项系数!$F$76/4*$EJ65^2*$EG65*$EH65*1*10^-7)*(1-$H65)*AA65+IF($EO65=0,0,(各项系数!$F$76/4*$ER65^2*$EO65*$EP65*1*10^-7))*(1-$K65)*$AF65)*(VLOOKUP($EY$9,各项系数!$D$4:$F$143,3,0))*各项系数!$J$4</f>
        <v>12.7941155981857</v>
      </c>
      <c r="EZ65" s="123">
        <v>1</v>
      </c>
      <c r="FA65" s="251">
        <f t="shared" si="268"/>
        <v>12.7941155981857</v>
      </c>
      <c r="FB65" s="326">
        <f>FA65*(VLOOKUP($EY$9,各项系数!$D$4:$F$143,2,0))</f>
        <v>838.014571681165</v>
      </c>
      <c r="FC65" s="329"/>
      <c r="FD65" s="302">
        <f>各项系数!$F$76/4*($MN65^2-MK65^2)*10^-2*(VLOOKUP(L65,各项系数!$D$1:$F$143,3,0))*10^-3*10^2*$EG65*各项系数!$J$4</f>
        <v>0.691467348511759</v>
      </c>
      <c r="FE65" s="339">
        <f>FD65*VLOOKUP(L65,各项系数!$D$1:$F$143,2,0)</f>
        <v>7.05296695481994</v>
      </c>
      <c r="FF65" s="250">
        <f>各项系数!$F$76/4*($MO65^2-ML65^2)*10^-2*(VLOOKUP(L65,各项系数!$D$1:$F$143,3,0))*10^-3*10^2*$EO65*各项系数!$J$4</f>
        <v>0</v>
      </c>
      <c r="FG65" s="339">
        <f>FF65*VLOOKUP(L65,各项系数!$D$1:$F$143,2,0)</f>
        <v>0</v>
      </c>
      <c r="FH65" s="302">
        <f t="shared" si="142"/>
        <v>0.691467348511759</v>
      </c>
      <c r="FI65" s="123">
        <v>1</v>
      </c>
      <c r="FJ65" s="251">
        <f t="shared" si="269"/>
        <v>0.691467348511759</v>
      </c>
      <c r="FK65" s="339">
        <f>FJ65*VLOOKUP(L65,各项系数!$D$1:$F$143,2,0)</f>
        <v>7.05296695481994</v>
      </c>
      <c r="FL65" s="304"/>
      <c r="FM65" s="127"/>
      <c r="FN65" s="251"/>
      <c r="FO65" s="339"/>
      <c r="FP65" s="364">
        <f t="shared" si="270"/>
        <v>0.691467348511759</v>
      </c>
      <c r="FQ65" s="364">
        <f t="shared" si="271"/>
        <v>7.05296695481994</v>
      </c>
      <c r="FR65" s="365">
        <f>各项系数!$F$76/4*($MQ65^2-$MN65^2*$EG65-$MO65^2*$EO65)*10^-2</f>
        <v>13.9617402604895</v>
      </c>
      <c r="FS65" s="366">
        <f t="shared" si="143"/>
        <v>1</v>
      </c>
      <c r="FT65" s="367">
        <f t="shared" si="40"/>
        <v>13.9617402604895</v>
      </c>
      <c r="FU65" s="388">
        <f>$FT65*(VLOOKUP($FT$9,各项系数!$D$1:$F$143,3,0))*10^-3*10^2*各项系数!$J$55</f>
        <v>1.66703178710245</v>
      </c>
      <c r="FV65" s="389">
        <v>1</v>
      </c>
      <c r="FW65" s="390">
        <f t="shared" si="272"/>
        <v>1.66703178710245</v>
      </c>
      <c r="FX65" s="367">
        <f>FW65*(VLOOKUP($FT$9,各项系数!$D$1:$F$143,2,0))</f>
        <v>5.00109536130734</v>
      </c>
      <c r="FY65" s="388">
        <f>IF($BK65&lt;&gt;$FY$9,0,各项系数!$F$76/4*($MS65^2-$MQ65^2)*10^-2*(VLOOKUP($FY$9,各项系数!$D$1:$F$143,3,0))*10^-3*10^2)*各项系数!$J$4</f>
        <v>0</v>
      </c>
      <c r="FZ65" s="389">
        <v>1</v>
      </c>
      <c r="GA65" s="390">
        <f t="shared" si="273"/>
        <v>0</v>
      </c>
      <c r="GB65" s="367">
        <f>GA65*(VLOOKUP($FY$9,各项系数!$D$1:$F$143,2,0))</f>
        <v>0</v>
      </c>
      <c r="GC65" s="388">
        <f>IF($BK65&lt;&gt;$GC$9,0,各项系数!$F$76/4*($MS65^2-$MQ65^2)*10^-2*(VLOOKUP($GC$9,各项系数!$D$1:$F$143,3,0))*10^-3*10^2)*各项系数!$J$4</f>
        <v>0.0192408967113468</v>
      </c>
      <c r="GD65" s="389">
        <v>1</v>
      </c>
      <c r="GE65" s="390">
        <f t="shared" si="274"/>
        <v>0.0192408967113468</v>
      </c>
      <c r="GF65" s="367">
        <f>GE65*(VLOOKUP($GC$9,各项系数!$D$1:$F$143,2,0))</f>
        <v>0.248207567576374</v>
      </c>
      <c r="GG65" s="388">
        <f>IF($BK65&lt;&gt;$GG$9,0,各项系数!$F$76/4*($MS65^2-$MQ65^2)*10^-2*(VLOOKUP($GG$9,各项系数!$D$1:$F$143,3,0))*10^-3*10^2)*各项系数!$J$4</f>
        <v>0</v>
      </c>
      <c r="GH65" s="389">
        <v>1</v>
      </c>
      <c r="GI65" s="390">
        <f t="shared" si="275"/>
        <v>0</v>
      </c>
      <c r="GJ65" s="367">
        <f>GI65*(VLOOKUP($GG$9,各项系数!$D$1:$F$143,2,0))</f>
        <v>0</v>
      </c>
      <c r="GK65" s="388">
        <f>IF($BK65&lt;&gt;$GK$9,0,各项系数!$F$76/4*($MS65^2-$MQ65^2)*10^-2*(VLOOKUP($GK$9,各项系数!$D$1:$F$143,3,0))*10^-3*10^2)*各项系数!$J$4</f>
        <v>0</v>
      </c>
      <c r="GL65" s="389">
        <v>1</v>
      </c>
      <c r="GM65" s="390">
        <f t="shared" si="276"/>
        <v>0</v>
      </c>
      <c r="GN65" s="367">
        <f>GM65*(VLOOKUP($GK$9,各项系数!$D$1:$F$143,2,0))</f>
        <v>0</v>
      </c>
      <c r="GO65" s="390">
        <f t="shared" si="277"/>
        <v>0.0192408967113468</v>
      </c>
      <c r="GP65" s="390">
        <f t="shared" si="278"/>
        <v>0.248207567576374</v>
      </c>
      <c r="GQ65" s="406">
        <f>各项系数!$F$76/4*($MU65^2-$MS65^2)*10^-2*(VLOOKUP($S65,各项系数!$D$1:$F$143,3,0))*10^-3*10^2*各项系数!$J$4</f>
        <v>1.3106785052723</v>
      </c>
      <c r="GR65" s="389">
        <v>1</v>
      </c>
      <c r="GS65" s="390">
        <f t="shared" si="279"/>
        <v>1.3106785052723</v>
      </c>
      <c r="GT65" s="390">
        <f t="shared" si="200"/>
        <v>0</v>
      </c>
      <c r="GU65" s="390">
        <f>ROUND($GS65*(VLOOKUP($S65,各项系数!$D$1:$F$143,2,0))+$E$3*GS65,GT65)</f>
        <v>8</v>
      </c>
      <c r="GV65" s="406">
        <f>各项系数!$F$76/4*($MT65^2-$MS65^2)*10^-2*(VLOOKUP($GV$9,各项系数!$D$1:$F$143,3,0))*10^-3*10^2*各项系数!$J$4*PI()/4*R65</f>
        <v>0.0989260107324162</v>
      </c>
      <c r="GW65" s="389">
        <v>1</v>
      </c>
      <c r="GX65" s="390">
        <f t="shared" si="280"/>
        <v>0.0989260107324162</v>
      </c>
      <c r="GY65" s="390">
        <f>$GX65*(VLOOKUP($GV$9,各项系数!$D$1:$F$143,2,0))</f>
        <v>6.6775057244381</v>
      </c>
      <c r="GZ65" s="406">
        <f>各项系数!$F$76/4*($MV65^2-$MS65^2)*10^-2*(VLOOKUP($GZ$9,各项系数!$D$1:$F$143,3,0))*10^-3*10^2*各项系数!$J$4</f>
        <v>1.17775920267767</v>
      </c>
      <c r="HA65" s="389">
        <v>1</v>
      </c>
      <c r="HB65" s="390">
        <f t="shared" si="144"/>
        <v>1.17775920267767</v>
      </c>
      <c r="HC65" s="390">
        <f>HB65*(VLOOKUP($GZ$9,各项系数!$D$1:$F$143,2,0))</f>
        <v>20.0219064455203</v>
      </c>
      <c r="HD65" s="406">
        <f>各项系数!$F$76/4*($MW65^2-$MT65^2)*10^-2*(VLOOKUP($HD$9,各项系数!$D$1:$F$143,3,0))*10^-3*10^2*各项系数!$J$4</f>
        <v>1.18029742104621</v>
      </c>
      <c r="HE65" s="389">
        <v>1</v>
      </c>
      <c r="HF65" s="390">
        <f t="shared" si="145"/>
        <v>1.18029742104621</v>
      </c>
      <c r="HG65" s="390">
        <f>HF65*(VLOOKUP($HD$9,各项系数!$D$1:$F$143,2,0))</f>
        <v>20.0650561577855</v>
      </c>
      <c r="HH65" s="406">
        <f>各项系数!$F$76/4*($MV65^2-$MS65^2)*10^-2*(VLOOKUP($HH$9,各项系数!$D$1:$F$143,3,0))*10^-3*10^2*各项系数!$J$4</f>
        <v>1.17775920267767</v>
      </c>
      <c r="HI65" s="420">
        <v>1</v>
      </c>
      <c r="HJ65" s="390">
        <f t="shared" si="146"/>
        <v>1.17775920267767</v>
      </c>
      <c r="HK65" s="390">
        <f>HJ65*(VLOOKUP($HH$9,各项系数!$D$1:$F$143,2,0))</f>
        <v>20.0219064455203</v>
      </c>
      <c r="HL65" s="406">
        <f>各项系数!$F$76/4*($MW65^2-$MT65^2)*10^-2*(VLOOKUP($HL$9,各项系数!$D$1:$F$143,3,0))*10^-3*10^2*各项系数!$J$4</f>
        <v>1.18029742104621</v>
      </c>
      <c r="HM65" s="420">
        <v>1</v>
      </c>
      <c r="HN65" s="390">
        <f t="shared" si="147"/>
        <v>1.18029742104621</v>
      </c>
      <c r="HO65" s="390">
        <f>HN65*(VLOOKUP($HL$9,各项系数!$D$1:$F$143,2,0))</f>
        <v>20.0650561577855</v>
      </c>
      <c r="HP65" s="406">
        <f>各项系数!$F$76/4*($MV65^2-$MS65^2)*10^-2*(VLOOKUP(AN65,各项系数!$D$1:$F$143,3,0))*10^-3*10^2*各项系数!$J$4</f>
        <v>1.19400415719736</v>
      </c>
      <c r="HQ65" s="389">
        <v>1</v>
      </c>
      <c r="HR65" s="390">
        <f t="shared" si="281"/>
        <v>1.19400415719736</v>
      </c>
      <c r="HS65" s="390">
        <f>HR65*(VLOOKUP(AN65,各项系数!$D$1:$F$143,2,0))</f>
        <v>11.9400415719736</v>
      </c>
      <c r="HT65" s="406">
        <f>各项系数!$F$76/4*($MW65^2-$MT65^2)*10^-2*(VLOOKUP(AN65,各项系数!$D$1:$F$143,3,0))*10^-3*10^2*各项系数!$J$4</f>
        <v>1.19657738547443</v>
      </c>
      <c r="HU65" s="389">
        <v>1</v>
      </c>
      <c r="HV65" s="390">
        <f t="shared" si="282"/>
        <v>1.19657738547443</v>
      </c>
      <c r="HW65" s="390">
        <f>HV65*(VLOOKUP(AN65,各项系数!$D$1:$F$143,2,0))</f>
        <v>11.9657738547443</v>
      </c>
      <c r="HX65" s="406">
        <f>各项系数!$F$76/4*($MV65^2-$MS65^2)*10^-2*(VLOOKUP($HX$9,各项系数!$D$1:$F$143,3,0))*10^-3*10^2*各项系数!$J$4</f>
        <v>1.19400415719736</v>
      </c>
      <c r="HY65" s="420">
        <v>1</v>
      </c>
      <c r="HZ65" s="390">
        <f t="shared" si="283"/>
        <v>1.19400415719736</v>
      </c>
      <c r="IA65" s="390">
        <f>HZ65*(VLOOKUP($HX$9,各项系数!$D$1:$F$143,2,0))</f>
        <v>13.1340457291709</v>
      </c>
      <c r="IB65" s="406">
        <f>各项系数!$F$76/4*($MW65^2-$MT65^2)*10^-2*(VLOOKUP($IB$9,各项系数!$D$1:$F$143,3,0))*10^-3*10^2*各项系数!$J$4</f>
        <v>1.19657738547443</v>
      </c>
      <c r="IC65" s="420">
        <v>1</v>
      </c>
      <c r="ID65" s="390">
        <f t="shared" si="284"/>
        <v>1.19657738547443</v>
      </c>
      <c r="IE65" s="390">
        <f>ID65*(VLOOKUP($IB$9,各项系数!$D$1:$F$143,2,0))</f>
        <v>13.1623512402187</v>
      </c>
      <c r="IF65" s="395"/>
      <c r="IG65" s="406">
        <f t="shared" si="148"/>
        <v>0.120560744955396</v>
      </c>
      <c r="IH65" s="389">
        <v>1</v>
      </c>
      <c r="II65" s="390">
        <f t="shared" si="285"/>
        <v>0.120560744955396</v>
      </c>
      <c r="IJ65" s="390">
        <f>II65*(VLOOKUP($IG$8,各项系数!$D$1:$F$143,2,0))</f>
        <v>3.01401862388489</v>
      </c>
      <c r="IK65" s="406">
        <f>(各项系数!$F$76/4*($MX65^2-$MK65^2)*$EG65)*10^-2*(VLOOKUP($IG$8,各项系数!$D$1:$F$143,3,0))*10^-3*10^2*各项系数!$J$4</f>
        <v>0.120560744955396</v>
      </c>
      <c r="IL65" s="389">
        <f>IK65*(VLOOKUP($IG$8,各项系数!$D$1:$F$143,2,0))</f>
        <v>3.01401862388489</v>
      </c>
      <c r="IM65" s="390">
        <f>(各项系数!$F$76/4*(($MM65+3*$X65)^2-MM65^2)*$EO65)*10^-2*(VLOOKUP($IG$8,各项系数!$D$1:$F$143,3,0))*10^-3*10^2*各项系数!$J$4</f>
        <v>0</v>
      </c>
      <c r="IN65" s="389">
        <f>IM65*(VLOOKUP($IG$8,各项系数!$D$1:$F$143,2,0))</f>
        <v>0</v>
      </c>
      <c r="IO65" s="406">
        <f>各项系数!$F$76/4*($MZ65^2-$MX65^2)*10^-2*(VLOOKUP(L65,各项系数!$D$1:$F$143,3,0))*10^-3*10^2*$ES65*各项系数!$J$4</f>
        <v>0.705083702222802</v>
      </c>
      <c r="IP65" s="389">
        <v>1</v>
      </c>
      <c r="IQ65" s="390">
        <f t="shared" si="286"/>
        <v>0.705083702222802</v>
      </c>
      <c r="IR65" s="367">
        <f>IQ65*(VLOOKUP(L65,各项系数!$D$1:$F$143,2,0))</f>
        <v>7.19185376267258</v>
      </c>
      <c r="IS65" s="406">
        <f>IF($L65&lt;&gt;$IS$9,0,各项系数!$F$76/4*($MZ65^2-$MX65^2)*10^-2*各项系数!$F$12*10^-3*10^2)*$ES65*各项系数!$J$4</f>
        <v>0</v>
      </c>
      <c r="IT65" s="396">
        <v>1</v>
      </c>
      <c r="IU65" s="390">
        <f t="shared" si="287"/>
        <v>0</v>
      </c>
      <c r="IV65" s="367">
        <f>IU65*各项系数!$E$12</f>
        <v>0</v>
      </c>
      <c r="IW65" s="388">
        <f t="shared" si="288"/>
        <v>0.705083702222802</v>
      </c>
      <c r="IX65" s="388">
        <f t="shared" si="289"/>
        <v>7.19185376267258</v>
      </c>
      <c r="IY65" s="447">
        <f>各项系数!$F$76/4*($NB65^2-$MZ65^2*$EG65-$NA65^2*$EO65)*10^-2</f>
        <v>14.4792889586084</v>
      </c>
      <c r="IZ65" s="366">
        <f t="shared" si="231"/>
        <v>1</v>
      </c>
      <c r="JA65" s="367">
        <f t="shared" si="64"/>
        <v>14.4792889586084</v>
      </c>
      <c r="JB65" s="364">
        <f>IF($DE65&lt;&gt;$JB$9,0,$JA65*各项系数!$F$32*10^-3*10^2)*各项系数!$J$4</f>
        <v>0</v>
      </c>
      <c r="JC65" s="123">
        <v>1</v>
      </c>
      <c r="JD65" s="251">
        <f t="shared" si="290"/>
        <v>0</v>
      </c>
      <c r="JE65" s="339">
        <f>JD65*各项系数!$E$32</f>
        <v>0</v>
      </c>
      <c r="JF65" s="364">
        <f>IF($DE65&lt;&gt;$JF$9,0,$JA65*VLOOKUP($JF$9,各项系数!$D$4:$F$540,2,0)*10^-3*10^2)*各项系数!$J$4</f>
        <v>7.2034462569077</v>
      </c>
      <c r="JG65" s="123">
        <v>1</v>
      </c>
      <c r="JH65" s="251">
        <f t="shared" si="66"/>
        <v>7.2034462569077</v>
      </c>
      <c r="JI65" s="339">
        <f>JH65*VLOOKUP($JF$9,各项系数!$D$4:$F$540,3,0)</f>
        <v>8.64413550828924</v>
      </c>
      <c r="JJ65" s="364">
        <f t="shared" si="291"/>
        <v>7.2034462569077</v>
      </c>
      <c r="JK65" s="251">
        <f t="shared" si="292"/>
        <v>8.64413550828924</v>
      </c>
      <c r="JL65" s="364">
        <f>IF($DF65&lt;&gt;$JL$9,0,各项系数!$F$76/4*($NE65^2-$NC65^2)*10^-2*各项系数!$F$39*10^-3*10^2)*各项系数!$J$4</f>
        <v>0.00810022606029398</v>
      </c>
      <c r="JM65" s="123">
        <v>1</v>
      </c>
      <c r="JN65" s="251">
        <f t="shared" si="293"/>
        <v>0.00810022606029398</v>
      </c>
      <c r="JO65" s="339">
        <f>JN65*各项系数!$E$39</f>
        <v>0.16200452120588</v>
      </c>
      <c r="JP65" s="364">
        <f>IF($DF65&lt;&gt;$JP$9,0,各项系数!$F$76/4*($NE65^2-$NC65^2)*10^-2*各项系数!$F$36*10^-3*10^2)*各项系数!$J$4</f>
        <v>0</v>
      </c>
      <c r="JQ65" s="123">
        <v>1</v>
      </c>
      <c r="JR65" s="251">
        <f t="shared" si="294"/>
        <v>0</v>
      </c>
      <c r="JS65" s="339">
        <f>JR65*各项系数!$E$36</f>
        <v>0</v>
      </c>
      <c r="JT65" s="364">
        <f>IF($DF65&lt;&gt;$JT$9,0,各项系数!$F$76/4*($NE65^2-$NC65^2)*10^-2*各项系数!$F$40*10^-3*10^2)*各项系数!$J$4</f>
        <v>0</v>
      </c>
      <c r="JU65" s="123">
        <v>1</v>
      </c>
      <c r="JV65" s="251">
        <f t="shared" si="295"/>
        <v>0</v>
      </c>
      <c r="JW65" s="339">
        <f>JV65*各项系数!$E$40</f>
        <v>0</v>
      </c>
      <c r="JX65" s="364">
        <f>IF($DF65&lt;&gt;$JX$9,0,各项系数!$F$76/4*($NE65^2-$NC65^2)*10^-2*各项系数!$F$38*10^-3*10^2)*各项系数!$J$4</f>
        <v>0</v>
      </c>
      <c r="JY65" s="123">
        <v>1</v>
      </c>
      <c r="JZ65" s="251">
        <f t="shared" si="296"/>
        <v>0</v>
      </c>
      <c r="KA65" s="339">
        <f>JZ65*各项系数!$E$38</f>
        <v>0</v>
      </c>
      <c r="KB65" s="364">
        <f>IF($DF65&lt;&gt;$KB$9,0,各项系数!$F$76/4*($NE65^2-$NC65^2)*10^-2*各项系数!$F$41*10^-3*10^2)*各项系数!$J$4</f>
        <v>0</v>
      </c>
      <c r="KC65" s="123">
        <v>1</v>
      </c>
      <c r="KD65" s="251">
        <f t="shared" si="297"/>
        <v>0</v>
      </c>
      <c r="KE65" s="339">
        <f>KD65*各项系数!$E$41</f>
        <v>0</v>
      </c>
      <c r="KF65" s="251">
        <f t="shared" si="298"/>
        <v>0.00810022606029398</v>
      </c>
      <c r="KG65" s="251">
        <f t="shared" si="299"/>
        <v>0.16200452120588</v>
      </c>
      <c r="KH65" s="302">
        <f>各项系数!$F$76/4*($NG65^2-$NE65^2)*10^-2*各项系数!$F$44*10^-3*10^2*各项系数!$J$4*0.75*$U65</f>
        <v>2.00341771787428</v>
      </c>
      <c r="KI65" s="123">
        <v>1</v>
      </c>
      <c r="KJ65" s="251">
        <f t="shared" si="300"/>
        <v>2.00341771787428</v>
      </c>
      <c r="KK65" s="251">
        <f>ROUND(KJ65*各项系数!$E$43,GT65)</f>
        <v>12</v>
      </c>
      <c r="KL65" s="302">
        <f>各项系数!$F$76/4*($NF65^2-$NE65^2)*10^-2*各项系数!$F$46*10^-3*10^2*各项系数!$J$4*PI()/4*R65</f>
        <v>0.100825703976027</v>
      </c>
      <c r="KM65" s="123">
        <v>1</v>
      </c>
      <c r="KN65" s="251">
        <f t="shared" si="301"/>
        <v>0.100825703976027</v>
      </c>
      <c r="KO65" s="251">
        <f>KN65*各项系数!$E$46</f>
        <v>6.8057350183818</v>
      </c>
      <c r="KP65" s="302">
        <f>各项系数!$F$76/4*($NH65^2-$NE65^2)*10^-2*(VLOOKUP($KP$9,各项系数!$D$1:$F$143,3,0))*10^-3*10^2*各项系数!$J$4</f>
        <v>1.19933405881027</v>
      </c>
      <c r="KQ65" s="123">
        <v>1</v>
      </c>
      <c r="KR65" s="251">
        <f t="shared" si="150"/>
        <v>1.19933405881027</v>
      </c>
      <c r="KS65" s="251">
        <f>KR65*(VLOOKUP($KP$9,各项系数!$D$1:$F$143,2,0))</f>
        <v>20.3886789997745</v>
      </c>
      <c r="KT65" s="302">
        <f>各项系数!$F$76/4*($NI65^2-$NF65^2)*10^-2*(VLOOKUP($KT$9,各项系数!$D$1:$F$143,3,0))*10^-3*10^2*各项系数!$J$4</f>
        <v>1.20187227717881</v>
      </c>
      <c r="KU65" s="123">
        <v>1</v>
      </c>
      <c r="KV65" s="251">
        <f t="shared" si="151"/>
        <v>1.20187227717881</v>
      </c>
      <c r="KW65" s="251">
        <f>KV65*(VLOOKUP($KT$9,各项系数!$D$1:$F$143,2,0))</f>
        <v>20.4318287120397</v>
      </c>
      <c r="KX65" s="251">
        <f>各项系数!$F$76/4*($NH65^2-$NE65^2)*10^-2*(VLOOKUP($KX$9,各项系数!$D$1:$F$143,3,0))*10^-3*10^2*各项系数!$J$4</f>
        <v>1.19933405881027</v>
      </c>
      <c r="KY65" s="479">
        <v>1</v>
      </c>
      <c r="KZ65" s="251">
        <f t="shared" si="152"/>
        <v>1.19933405881027</v>
      </c>
      <c r="LA65" s="251">
        <f>KZ65*(VLOOKUP($KX$9,各项系数!$D$1:$F$143,2,0))</f>
        <v>20.3886789997745</v>
      </c>
      <c r="LB65" s="251">
        <f>各项系数!$F$76/4*($NI65^2-$NF65^2)*10^-2*(VLOOKUP($LB$9,各项系数!$D$1:$F$143,3,0))*10^-3*10^2*各项系数!$J$4</f>
        <v>1.20187227717881</v>
      </c>
      <c r="LC65" s="479">
        <v>1</v>
      </c>
      <c r="LD65" s="251">
        <f t="shared" si="153"/>
        <v>1.20187227717881</v>
      </c>
      <c r="LE65" s="251">
        <f>LD65*(VLOOKUP($LB$9,各项系数!$D$1:$F$143,2,0))</f>
        <v>20.4318287120397</v>
      </c>
      <c r="LF65" s="302">
        <f>各项系数!$F$76/4*($NH65^2-$NE65^2)*10^-2*(VLOOKUP(AN65,各项系数!$D$1:$F$143,3,0))*10^-3*10^2*各项系数!$J$4</f>
        <v>1.21587659755248</v>
      </c>
      <c r="LG65" s="123">
        <v>1</v>
      </c>
      <c r="LH65" s="251">
        <f t="shared" si="302"/>
        <v>1.21587659755248</v>
      </c>
      <c r="LI65" s="251">
        <f>LH65*(VLOOKUP(AN65,各项系数!$D$1:$F$143,2,0))</f>
        <v>12.1587659755248</v>
      </c>
      <c r="LJ65" s="302">
        <f>各项系数!$F$76/4*($NI65^2-$NF65^2)*10^-2*(VLOOKUP(AN65,各项系数!$D$1:$F$143,3,0))*10^-3*10^2*各项系数!$J$4</f>
        <v>1.21844982582955</v>
      </c>
      <c r="LK65" s="123">
        <v>1</v>
      </c>
      <c r="LL65" s="251">
        <f t="shared" si="303"/>
        <v>1.21844982582955</v>
      </c>
      <c r="LM65" s="251">
        <f>LL65*(VLOOKUP(AN65,各项系数!$D$1:$F$143,2,0))</f>
        <v>12.1844982582955</v>
      </c>
      <c r="LN65" s="251">
        <f>各项系数!$F$76/4*($NH65^2-$NE65^2)*10^-2*(VLOOKUP($LN$9,各项系数!$D$1:$F$143,3,0))*10^-3*10^2*各项系数!$J$4</f>
        <v>1.21587659755248</v>
      </c>
      <c r="LO65" s="479">
        <v>1</v>
      </c>
      <c r="LP65" s="251">
        <f t="shared" si="304"/>
        <v>1.21587659755248</v>
      </c>
      <c r="LQ65" s="251">
        <f>LP65*(VLOOKUP($LN$9,各项系数!$D$1:$F$143,2,0))</f>
        <v>13.3746425730772</v>
      </c>
      <c r="LR65" s="251">
        <f>各项系数!$F$76/4*($NI65^2-$NF65^2)*10^-2*(VLOOKUP($LR$9,各项系数!$D$1:$F$143,3,0))*10^-3*10^2*各项系数!$J$4</f>
        <v>1.21844982582955</v>
      </c>
      <c r="LS65" s="479">
        <v>1</v>
      </c>
      <c r="LT65" s="251">
        <f t="shared" si="305"/>
        <v>1.21844982582955</v>
      </c>
      <c r="LU65" s="251">
        <f>LT65*(VLOOKUP($LR$9,各项系数!$D$1:$F$143,2,0))</f>
        <v>13.402948084125</v>
      </c>
      <c r="LV65" s="499">
        <f t="shared" si="154"/>
        <v>1882.95716235</v>
      </c>
      <c r="LW65" s="499">
        <f t="shared" si="155"/>
        <v>1418.02946794</v>
      </c>
      <c r="LX65" s="499">
        <f t="shared" si="156"/>
        <v>42.4910719349485</v>
      </c>
      <c r="LY65" s="515">
        <f t="shared" si="157"/>
        <v>464.92769441</v>
      </c>
      <c r="LZ65" s="516">
        <f t="shared" si="86"/>
        <v>1</v>
      </c>
      <c r="MA65" s="517">
        <f t="shared" si="87"/>
        <v>1882.95716235</v>
      </c>
      <c r="MB65" s="517">
        <f t="shared" si="158"/>
        <v>28.26927378</v>
      </c>
      <c r="MC65" s="499">
        <f t="shared" si="159"/>
        <v>0</v>
      </c>
      <c r="MD65" s="499">
        <f t="shared" si="160"/>
        <v>0</v>
      </c>
      <c r="ME65" s="499">
        <f t="shared" si="161"/>
        <v>0</v>
      </c>
      <c r="MF65" s="499">
        <f t="shared" si="162"/>
        <v>0</v>
      </c>
      <c r="MG65" s="516">
        <f t="shared" si="163"/>
        <v>1</v>
      </c>
      <c r="MH65" s="517">
        <f t="shared" si="88"/>
        <v>0</v>
      </c>
      <c r="MI65" s="517">
        <f t="shared" si="164"/>
        <v>0</v>
      </c>
      <c r="MJ65" s="251">
        <f t="shared" si="89"/>
        <v>28.26927378</v>
      </c>
      <c r="MK65" s="251">
        <f t="shared" si="165"/>
        <v>28.26927378</v>
      </c>
      <c r="ML65" s="251">
        <f t="shared" si="306"/>
        <v>0</v>
      </c>
      <c r="MM65" s="251">
        <f t="shared" si="91"/>
        <v>0</v>
      </c>
      <c r="MN65" s="251">
        <f t="shared" si="92"/>
        <v>32.66927378</v>
      </c>
      <c r="MO65" s="251">
        <f t="shared" si="166"/>
        <v>0</v>
      </c>
      <c r="MP65" s="251">
        <f t="shared" si="167"/>
        <v>70.56563136</v>
      </c>
      <c r="MQ65" s="251">
        <f t="shared" si="307"/>
        <v>70.56563136</v>
      </c>
      <c r="MR65" s="314">
        <f t="shared" si="168"/>
        <v>70.56563136</v>
      </c>
      <c r="MS65" s="530">
        <f t="shared" si="94"/>
        <v>70.74163136</v>
      </c>
      <c r="MT65" s="530">
        <f t="shared" si="95"/>
        <v>70.90163136</v>
      </c>
      <c r="MU65" s="530">
        <f t="shared" si="232"/>
        <v>72.24163136</v>
      </c>
      <c r="MV65" s="530">
        <f t="shared" si="97"/>
        <v>77.74163136</v>
      </c>
      <c r="MW65" s="530">
        <f t="shared" si="98"/>
        <v>77.90163136</v>
      </c>
      <c r="MX65" s="326">
        <f t="shared" si="233"/>
        <v>28.86927378</v>
      </c>
      <c r="MY65" s="326">
        <f t="shared" si="100"/>
        <v>0</v>
      </c>
      <c r="MZ65" s="251">
        <f t="shared" si="101"/>
        <v>33.26927378</v>
      </c>
      <c r="NA65" s="251">
        <f t="shared" si="102"/>
        <v>0</v>
      </c>
      <c r="NB65" s="251">
        <f t="shared" si="169"/>
        <v>71.86163136</v>
      </c>
      <c r="NC65" s="326">
        <f t="shared" si="308"/>
        <v>71.86163136</v>
      </c>
      <c r="ND65" s="314">
        <f t="shared" si="234"/>
        <v>71.86163136</v>
      </c>
      <c r="NE65" s="537">
        <f t="shared" si="235"/>
        <v>72.10163136</v>
      </c>
      <c r="NF65" s="530">
        <f t="shared" si="106"/>
        <v>72.26163136</v>
      </c>
      <c r="NG65" s="538">
        <f t="shared" si="236"/>
        <v>73.60163136</v>
      </c>
      <c r="NH65" s="326">
        <f t="shared" si="108"/>
        <v>79.10163136</v>
      </c>
      <c r="NI65" s="530">
        <f t="shared" si="109"/>
        <v>79.26163136</v>
      </c>
      <c r="NK65" s="539">
        <f t="shared" si="110"/>
        <v>16.3658597877086</v>
      </c>
      <c r="NL65" s="539">
        <f t="shared" si="111"/>
        <v>862.256883136843</v>
      </c>
      <c r="NM65" s="539">
        <f t="shared" si="112"/>
        <v>16.3658597877086</v>
      </c>
      <c r="NN65" s="539">
        <f t="shared" si="113"/>
        <v>863.45088729404</v>
      </c>
      <c r="NO65" s="539">
        <f t="shared" si="114"/>
        <v>22.0471831258844</v>
      </c>
      <c r="NP65" s="539">
        <f t="shared" si="115"/>
        <v>869.185350072743</v>
      </c>
      <c r="NQ65" s="539">
        <f t="shared" si="116"/>
        <v>22.0471831258844</v>
      </c>
      <c r="NR65" s="539">
        <f t="shared" si="117"/>
        <v>870.401226670295</v>
      </c>
      <c r="NS65" s="539">
        <f t="shared" si="118"/>
        <v>16.4647857984411</v>
      </c>
      <c r="NT65" s="539">
        <f t="shared" si="119"/>
        <v>16.4647857984411</v>
      </c>
      <c r="NU65" s="539">
        <f t="shared" si="120"/>
        <v>22.1480088298604</v>
      </c>
      <c r="NV65" s="539">
        <f t="shared" si="121"/>
        <v>22.1480088298604</v>
      </c>
      <c r="NW65">
        <f t="shared" si="122"/>
        <v>17.6765382929809</v>
      </c>
      <c r="NX65">
        <f>各项系数!$M$9*NK65</f>
        <v>4.90975793631259</v>
      </c>
      <c r="NY65">
        <f t="shared" si="123"/>
        <v>16.4647857984411</v>
      </c>
    </row>
    <row r="66" customHeight="1" spans="1:389">
      <c r="A66" s="81"/>
      <c r="B66" s="98"/>
      <c r="C66" s="83"/>
      <c r="D66" s="74" t="s">
        <v>288</v>
      </c>
      <c r="E66" s="70">
        <f t="shared" si="313"/>
        <v>87.38496187</v>
      </c>
      <c r="F66" s="84">
        <f>$F$34</f>
        <v>357.206594414564</v>
      </c>
      <c r="G66" s="74"/>
      <c r="H66" s="23"/>
      <c r="I66" s="78"/>
      <c r="J66" s="23"/>
      <c r="K66" s="23"/>
      <c r="L66" s="118" t="s">
        <v>467</v>
      </c>
      <c r="M66" s="119">
        <f t="shared" si="2"/>
        <v>2.4</v>
      </c>
      <c r="N66" s="119">
        <f t="shared" si="252"/>
        <v>0</v>
      </c>
      <c r="O66" s="74">
        <f t="shared" si="312"/>
        <v>0.08</v>
      </c>
      <c r="P66" s="120">
        <v>0.1</v>
      </c>
      <c r="Q66" s="165">
        <f t="shared" si="322"/>
        <v>0.1</v>
      </c>
      <c r="R66" s="182">
        <v>0.8</v>
      </c>
      <c r="S66" s="173" t="str">
        <f>各项系数!$D$43</f>
        <v>钢带</v>
      </c>
      <c r="T66" s="78">
        <v>0.5</v>
      </c>
      <c r="U66" s="78">
        <v>2</v>
      </c>
      <c r="V66" s="172"/>
      <c r="W66" s="174">
        <v>3.7</v>
      </c>
      <c r="X66" s="168">
        <f t="shared" si="323"/>
        <v>0.2</v>
      </c>
      <c r="Y66" s="221"/>
      <c r="Z66" s="222"/>
      <c r="AA66" s="223">
        <f>$AA$34</f>
        <v>1.03</v>
      </c>
      <c r="AB66" s="186">
        <f>PI()*EJ66*EJ66/4*EH66*(1-H66)*AA66*各项系数!$F$5*各项系数!$J$4*10^-7</f>
        <v>5.56955783990862</v>
      </c>
      <c r="AC66" s="224">
        <f t="shared" si="314"/>
        <v>357.206594414564</v>
      </c>
      <c r="AD66" s="186">
        <f t="shared" si="5"/>
        <v>629.645170725237</v>
      </c>
      <c r="AE66" s="186">
        <f>POWER(4*EU66/PI()/EG66/10^-7/EH66/(1-H66)/各项系数!$F$5/各项系数!$J$4,0.5)</f>
        <v>362.525099304928</v>
      </c>
      <c r="AF66" s="225">
        <v>1</v>
      </c>
      <c r="AG66" s="23">
        <f>IF(EM66=0,0,PI()*ER66*ER66/4*EP66*(1-K66)*(1+AF66)*各项系数!$F$5*各项系数!$J$4*10^-7)</f>
        <v>0</v>
      </c>
      <c r="AH66" s="23">
        <f t="shared" si="315"/>
        <v>0</v>
      </c>
      <c r="AI66" s="85">
        <f t="shared" si="128"/>
        <v>0</v>
      </c>
      <c r="AJ66" s="85">
        <f>IF(OR(EP66="",EP66=0),0,POWER(4*EW66/PI()/EO66/10^-7/EP66/(1-K66)/各项系数!$F$5/各项系数!$J$4,0.5))</f>
        <v>0</v>
      </c>
      <c r="AK66" s="23" t="str">
        <f t="shared" si="8"/>
        <v>√</v>
      </c>
      <c r="AL66" s="23">
        <f t="shared" si="316"/>
        <v>1158.87919053831</v>
      </c>
      <c r="AM66" s="127">
        <f t="shared" si="317"/>
        <v>630</v>
      </c>
      <c r="AN66" s="118" t="s">
        <v>486</v>
      </c>
      <c r="AO66" s="259">
        <f>AP66+各项系数!$M$9*$NK66</f>
        <v>1136.1560691552</v>
      </c>
      <c r="AP66" s="259">
        <f>AQ66*(1+$BI66+(VLOOKUP($AM66,$A$12:$B$323,2,0))+各项系数!$J$6+各项系数!$M$5)*(1+$E$2)</f>
        <v>1129.81379976947</v>
      </c>
      <c r="AQ66" s="260">
        <f>AR66+各项系数!$L$9*$NK66</f>
        <v>1152.87122425456</v>
      </c>
      <c r="AR66" s="260">
        <f>AS66*(1+$BJ66+各项系数!$J$5+各项系数!$L$5)</f>
        <v>1146.52895486882</v>
      </c>
      <c r="AS66" s="260">
        <f t="shared" si="129"/>
        <v>1124.04799496943</v>
      </c>
      <c r="AT66" s="259">
        <f>AU66+各项系数!$M$9*$NM66</f>
        <v>1145.78263594394</v>
      </c>
      <c r="AU66" s="259">
        <f>AV66*(1+$BI66+(VLOOKUP($AM66,$A$12:$B$323,2,0))+各项系数!$J$6+各项系数!$M$5)*(1+$E$2)</f>
        <v>1139.4403665582</v>
      </c>
      <c r="AV66" s="260">
        <f>AW66+各项系数!$L$9*$NM66</f>
        <v>1162.69425159</v>
      </c>
      <c r="AW66" s="260">
        <f>AX66*(1+$BJ66+各项系数!$J$5+各项系数!$L$5)</f>
        <v>1156.35198220426</v>
      </c>
      <c r="AX66" s="260">
        <f t="shared" si="130"/>
        <v>1133.67841392575</v>
      </c>
      <c r="AY66" s="259">
        <f>AZ66+各项系数!$M$9*$NS66</f>
        <v>1143.79569743473</v>
      </c>
      <c r="AZ66" s="259">
        <f>BA66*(1+$BI66+(VLOOKUP($AM66,$A$12:$B$214,2,0))+各项系数!$J$6+各项系数!$M$5)*(1+$E$2)</f>
        <v>1137.4198768283</v>
      </c>
      <c r="BA66" s="260">
        <f>BB66+各项系数!$L$9*$NS66</f>
        <v>1160.63252737582</v>
      </c>
      <c r="BB66" s="260">
        <f>BC66*(1+$BJ66+各项系数!$J$5+各项系数!$L$5)</f>
        <v>1154.25670676939</v>
      </c>
      <c r="BC66" s="262">
        <f t="shared" si="131"/>
        <v>1131.62422232294</v>
      </c>
      <c r="BD66" s="259">
        <f>BE66+各项系数!$M$9*$NS66</f>
        <v>1153.44066956956</v>
      </c>
      <c r="BE66" s="259">
        <f>BF66*(1+$BI66+(VLOOKUP($AM66,$A$12:$B$214,2,0))+各项系数!$J$6+各项系数!$M$5)*(1+$E$2)</f>
        <v>1147.06484896313</v>
      </c>
      <c r="BF66" s="260">
        <f>BG66+各项系数!$L$9*$NS66</f>
        <v>1170.47433567667</v>
      </c>
      <c r="BG66" s="260">
        <f>BH66*(1+$BJ66+各项系数!$J$5+各项系数!$L$5)</f>
        <v>1164.09851507024</v>
      </c>
      <c r="BH66" s="262">
        <f t="shared" si="132"/>
        <v>1141.27305399043</v>
      </c>
      <c r="BI66" s="277"/>
      <c r="BJ66" s="272"/>
      <c r="BK66" s="69" t="s">
        <v>514</v>
      </c>
      <c r="BL66" s="259">
        <f>BM66+各项系数!$M$9*$NM66</f>
        <v>1148.60789920389</v>
      </c>
      <c r="BM66" s="259">
        <f>BN66*(1+$CF66+(VLOOKUP($AM66,$A$12:$B$323,2,0))+各项系数!$J$6+各项系数!$M$5)*(1+$E$2)</f>
        <v>1142.26562981815</v>
      </c>
      <c r="BN66" s="260">
        <f>BO66+各项系数!$L$9*$NM66</f>
        <v>1165.57717328383</v>
      </c>
      <c r="BO66" s="260">
        <f>BP66*(1+$CG66+各项系数!$J$5+各项系数!$L$5)</f>
        <v>1159.23490389809</v>
      </c>
      <c r="BP66" s="260">
        <f t="shared" si="133"/>
        <v>1125.47078048358</v>
      </c>
      <c r="BQ66" s="259">
        <f>BR66+各项系数!$M$9*$NM66</f>
        <v>1156.89268440041</v>
      </c>
      <c r="BR66" s="259">
        <f>BS66*(1+$CF66+(VLOOKUP($AM66,$A$12:$B$323,2,0))+各项系数!$J$6+各项系数!$M$5)*(1+$E$2)</f>
        <v>1150.55041501467</v>
      </c>
      <c r="BS66" s="260">
        <f>BT66+各项系数!$L$9*$NM66</f>
        <v>1174.03103572926</v>
      </c>
      <c r="BT66" s="260">
        <f>BU66*(1+$CG66+各项系数!$J$5+各项系数!$L$5)</f>
        <v>1167.68876634352</v>
      </c>
      <c r="BU66" s="260">
        <f t="shared" si="134"/>
        <v>1133.67841392575</v>
      </c>
      <c r="BV66" s="259">
        <f>BW66+各项系数!$M$9*$NT66</f>
        <v>1150.0843142927</v>
      </c>
      <c r="BW66" s="259">
        <f>BX66*(1+$CF66+(VLOOKUP($AM66,$A$12:$B$214,2,0))+各项系数!$J$6+各项系数!$M$5)*(1+$E$2)</f>
        <v>1143.70849368628</v>
      </c>
      <c r="BX66" s="260">
        <f>BY66+各项系数!$L$9*$NT$12</f>
        <v>1167.04948335334</v>
      </c>
      <c r="BY66" s="260">
        <f>BZ66*(1+$CG66+各项系数!$J$5+各项系数!$L$5)</f>
        <v>1167.04121995019</v>
      </c>
      <c r="BZ66" s="262">
        <f t="shared" si="11"/>
        <v>1133.04972810698</v>
      </c>
      <c r="CA66" s="259">
        <f>CB66+各项系数!$M$9*$NT66</f>
        <v>1158.38493943946</v>
      </c>
      <c r="CB66" s="259">
        <f>CC66*(1+$CF66+(VLOOKUP($AM66,$A$12:$B$214,2,0))+各项系数!$J$6+各项系数!$M$5)*(1+$E$2)</f>
        <v>1152.00911883304</v>
      </c>
      <c r="CC66" s="260">
        <f>CD66+各项系数!$L$9*$NT$12</f>
        <v>1175.5195090133</v>
      </c>
      <c r="CD66" s="260">
        <f>CE66*(1+$CG66+各项系数!$J$5+各项系数!$L$5)</f>
        <v>1175.51124561015</v>
      </c>
      <c r="CE66" s="262">
        <f t="shared" si="135"/>
        <v>1141.27305399043</v>
      </c>
      <c r="CF66" s="277">
        <f t="shared" si="136"/>
        <v>0</v>
      </c>
      <c r="CG66" s="277">
        <f t="shared" si="12"/>
        <v>0.01</v>
      </c>
      <c r="CH66" s="127"/>
      <c r="CI66" s="259">
        <f>CJ66+各项系数!$M$9*$NO66</f>
        <v>1155.09712479859</v>
      </c>
      <c r="CJ66" s="259">
        <f>CK66*(1+$DC66+(VLOOKUP($AM66,$A$12:$B$323,2,0))+各项系数!$J$6+各项系数!$M$5)*(1+$E$2)+各项系数!$M$9*$NK66</f>
        <v>1146.59315518316</v>
      </c>
      <c r="CK66" s="260">
        <f>CL66+各项系数!$L$9*$NO66</f>
        <v>1163.52131203819</v>
      </c>
      <c r="CL66" s="260">
        <f>CM66*(1+$DD66+各项系数!$J$5+各项系数!$L$5)</f>
        <v>1155.01734242276</v>
      </c>
      <c r="CM66" s="260">
        <f t="shared" si="13"/>
        <v>1132.36994355173</v>
      </c>
      <c r="CN66" s="259">
        <f>CO66+各项系数!$M$9*$NO66</f>
        <v>1164.49256113561</v>
      </c>
      <c r="CO66" s="259">
        <f>CP66*(1+$DC66+(VLOOKUP($AM66,$A$12:$B$323,2,0))+各项系数!$J$6+各项系数!$M$5)*(1+$E$2)+各项系数!$M$9*$NK66</f>
        <v>1155.98859152018</v>
      </c>
      <c r="CP66" s="260">
        <f>CQ66+各项系数!$L$9*$NO66</f>
        <v>1173.10849197392</v>
      </c>
      <c r="CQ66" s="260">
        <f>CR66*(1+$DD66+各项系数!$J$5+各项系数!$L$5)</f>
        <v>1164.60452235849</v>
      </c>
      <c r="CR66" s="260">
        <f t="shared" si="14"/>
        <v>1141.76913956715</v>
      </c>
      <c r="CS66" s="259">
        <f>CT66+各项系数!$M$9*$NU66</f>
        <v>1156.52379011239</v>
      </c>
      <c r="CT66" s="259">
        <f t="shared" si="15"/>
        <v>1147.9856993683</v>
      </c>
      <c r="CU66" s="260">
        <f>CV66+各项系数!$L$9*$NU66</f>
        <v>1171.41397894725</v>
      </c>
      <c r="CV66" s="260">
        <f>CW66*(1+$DD66+各项系数!$J$5+各项系数!$L$5)</f>
        <v>1162.87588820316</v>
      </c>
      <c r="CW66" s="262">
        <f t="shared" si="16"/>
        <v>1140.07440019917</v>
      </c>
      <c r="CX66" s="259">
        <f>CY66+各项系数!$M$9*$NU66</f>
        <v>1166.32520768903</v>
      </c>
      <c r="CY66" s="259">
        <f t="shared" si="17"/>
        <v>1157.78711694494</v>
      </c>
      <c r="CZ66" s="260">
        <f>DA66+各项系数!$L$9*$NU66</f>
        <v>1181.41542545402</v>
      </c>
      <c r="DA66" s="260">
        <f>DB66*(1+$DD66+各项系数!$J$5+各项系数!$L$5)</f>
        <v>1172.87733470993</v>
      </c>
      <c r="DB66" s="262">
        <f t="shared" si="18"/>
        <v>1149.8797399117</v>
      </c>
      <c r="DC66" s="277">
        <f t="shared" si="137"/>
        <v>0</v>
      </c>
      <c r="DD66" s="277">
        <f t="shared" si="19"/>
        <v>0</v>
      </c>
      <c r="DE66" s="69" t="s">
        <v>498</v>
      </c>
      <c r="DF66" s="69" t="s">
        <v>513</v>
      </c>
      <c r="DG66" s="259">
        <f>DH66+各项系数!$M$9*$NQ66</f>
        <v>1167.65384958703</v>
      </c>
      <c r="DH66" s="259">
        <f>DI66*(1+$EA66+(VLOOKUP($AM66,$A$12:$B$323,2,0))+各项系数!$J$6+各项系数!$M$5)*(1+$E$2)+各项系数!$M$9*$NK66</f>
        <v>1159.14987997161</v>
      </c>
      <c r="DI66" s="260">
        <f>DJ66+各项系数!$L$9*$NQ66</f>
        <v>1176.33429651619</v>
      </c>
      <c r="DJ66" s="260">
        <f>DK66*(1+$EB66+各项系数!$J$5+各项系数!$L$5)</f>
        <v>1167.83032690076</v>
      </c>
      <c r="DK66" s="260">
        <f t="shared" si="20"/>
        <v>1133.81585135997</v>
      </c>
      <c r="DL66" s="259">
        <f>DM66+各项系数!$M$9*$NQ66</f>
        <v>1176.07327436056</v>
      </c>
      <c r="DM66" s="259">
        <f>DN66*(1+$EA66+(VLOOKUP($AM66,$A$12:$B$323,2,0))+各项系数!$J$6+各项系数!$M$5)*(1+$E$2)+各项系数!$M$9*$NK66</f>
        <v>1167.56930474513</v>
      </c>
      <c r="DN66" s="260">
        <f>DO66+各项系数!$L$9*$NQ66</f>
        <v>1184.92554628509</v>
      </c>
      <c r="DO66" s="260">
        <f>DP66*(1+$EB66+各项系数!$J$5+各项系数!$L$5)</f>
        <v>1176.42157666967</v>
      </c>
      <c r="DP66" s="260">
        <f t="shared" si="21"/>
        <v>1142.15687055307</v>
      </c>
      <c r="DQ66" s="259">
        <f>DR66+各项系数!$M$9*$NV66</f>
        <v>1169.15876441641</v>
      </c>
      <c r="DR66" s="259">
        <f t="shared" si="22"/>
        <v>1160.62067367232</v>
      </c>
      <c r="DS66" s="260">
        <f>DT66+各项系数!$L$9*$NV66</f>
        <v>1184.30680986971</v>
      </c>
      <c r="DT66" s="260">
        <f>DU66*(1+$EB66+各项系数!$J$5+各项系数!$L$5)</f>
        <v>1175.76871912562</v>
      </c>
      <c r="DU66" s="262">
        <f t="shared" si="23"/>
        <v>1141.52302827731</v>
      </c>
      <c r="DV66" s="259">
        <f>DW66+各项系数!$M$9*$NV66</f>
        <v>1168.63482241278</v>
      </c>
      <c r="DW66" s="259">
        <f t="shared" si="24"/>
        <v>1160.09673166869</v>
      </c>
      <c r="DX66" s="260">
        <f>DY66+各项系数!$L$9*$NV66</f>
        <v>1183.77217517213</v>
      </c>
      <c r="DY66" s="260">
        <f>DZ66*(1+$EB66+各项系数!$J$5+各项系数!$L$5)</f>
        <v>1175.23408442804</v>
      </c>
      <c r="DZ66" s="262">
        <f t="shared" si="25"/>
        <v>1141.00396546412</v>
      </c>
      <c r="EA66" s="277">
        <f t="shared" si="311"/>
        <v>0</v>
      </c>
      <c r="EB66" s="277">
        <f t="shared" si="27"/>
        <v>0.01</v>
      </c>
      <c r="EC66" s="302">
        <f t="shared" si="138"/>
        <v>3</v>
      </c>
      <c r="ED66" s="304" t="str">
        <f t="shared" si="266"/>
        <v>3*630</v>
      </c>
      <c r="EE66" s="251">
        <f t="shared" si="239"/>
        <v>630</v>
      </c>
      <c r="EF66" s="95" t="str">
        <f>LOOKUP(EH66,{1,7,10,14,19,24,30,37,48,61},{1,"1+6","2+8","4+10","1+6+12","2+8+14","4+10+16","1+6+12+18","3+9+15+21","1+6+12+18+24"})</f>
        <v>1+6+12+18+24</v>
      </c>
      <c r="EG66" s="250">
        <f t="shared" si="29"/>
        <v>3</v>
      </c>
      <c r="EH66" s="260">
        <f>VLOOKUP(EE66,各项系数!$B$87:$C$124,2,0)</f>
        <v>61</v>
      </c>
      <c r="EI66" s="250">
        <f>IF(EH66=0,0,VLOOKUP(EH66,各项系数!$D$142:$E$195,2,0))*1</f>
        <v>9</v>
      </c>
      <c r="EJ66" s="305">
        <f t="shared" si="141"/>
        <v>357.206594414564</v>
      </c>
      <c r="EK66" s="95">
        <f t="shared" si="318"/>
        <v>0</v>
      </c>
      <c r="EL66" s="251">
        <f t="shared" si="31"/>
        <v>0</v>
      </c>
      <c r="EM66" s="95">
        <f t="shared" si="267"/>
        <v>0</v>
      </c>
      <c r="EN66" s="95">
        <f>IF(EP66=0,0,LOOKUP(EP66,{1,7,10,14,19,24,30,37,48,61},{1,"1+6","2+8","4+10","1+6+12","2+8+14","4+10+16","1+6+12+18","3+9+15+21","1+6+12+18+24"}))</f>
        <v>0</v>
      </c>
      <c r="EO66" s="95">
        <f t="shared" si="319"/>
        <v>0</v>
      </c>
      <c r="EP66" s="95">
        <f>IF(EM66=0,0,IF(EM66&lt;10,1,IF(AND(EM66&gt;=10,EM66&lt;=35),7,LOOKUP(EM66,{50,70,95,120,150,185,240,300},{10,14,19,24,30,37,48,61})*1)))</f>
        <v>0</v>
      </c>
      <c r="EQ66" s="251">
        <f>IF(EP66=0,0,VLOOKUP(EP66,各项系数!$D$142:$E$195,2,0))*1</f>
        <v>0</v>
      </c>
      <c r="ER66" s="95">
        <f t="shared" si="320"/>
        <v>0</v>
      </c>
      <c r="ES66" s="304">
        <f t="shared" si="321"/>
        <v>3</v>
      </c>
      <c r="ET66" s="251">
        <f>VLOOKUP(ES66,各项系数!$D$142:$E$195,2,0)*1</f>
        <v>2.16</v>
      </c>
      <c r="EU66" s="311">
        <f>((各项系数!$F$76/4*$EJ66^2*$EG66*$EH66*1*10^-7)*(1-$H66)*AA66)*(VLOOKUP($EY$9,各项系数!$D$4:$F$143,3,0))*各项系数!$J$4</f>
        <v>16.7086735197258</v>
      </c>
      <c r="EV66" s="312">
        <f>EU66*(VLOOKUP($EY$9,各项系数!$D$4:$F$143,2,0))</f>
        <v>1094.41811554204</v>
      </c>
      <c r="EW66" s="324">
        <f>(IF($EO66=0,0,(各项系数!$F$76/4*$ER66^2*$EO66*$EP66*1*10^-7))*(1-$K66)*$AF66)*(VLOOKUP($EY$9,各项系数!$D$4:$F$143,3,0))*各项系数!$J$4</f>
        <v>0</v>
      </c>
      <c r="EX66" s="325">
        <f>EW66*(VLOOKUP($EY$9,各项系数!$D$4:$F$143,2,0))</f>
        <v>0</v>
      </c>
      <c r="EY66" s="251">
        <f>((各项系数!$F$76/4*$EJ66^2*$EG66*$EH66*1*10^-7)*(1-$H66)*AA66+IF($EO66=0,0,(各项系数!$F$76/4*$ER66^2*$EO66*$EP66*1*10^-7))*(1-$K66)*$AF66)*(VLOOKUP($EY$9,各项系数!$D$4:$F$143,3,0))*各项系数!$J$4</f>
        <v>16.7086735197258</v>
      </c>
      <c r="EZ66" s="123">
        <v>1</v>
      </c>
      <c r="FA66" s="251">
        <f t="shared" si="268"/>
        <v>16.7086735197258</v>
      </c>
      <c r="FB66" s="326">
        <f>FA66*(VLOOKUP($EY$9,各项系数!$D$4:$F$143,2,0))</f>
        <v>1094.41811554204</v>
      </c>
      <c r="FC66" s="329"/>
      <c r="FD66" s="302">
        <f>各项系数!$F$76/4*($MN66^2-MK66^2)*10^-2*(VLOOKUP(L66,各项系数!$D$1:$F$143,3,0))*10^-3*10^2*$EG66*各项系数!$J$4</f>
        <v>0.855319761400637</v>
      </c>
      <c r="FE66" s="339">
        <f>FD66*VLOOKUP(L66,各项系数!$D$1:$F$143,2,0)</f>
        <v>8.7242615662865</v>
      </c>
      <c r="FF66" s="250">
        <f>各项系数!$F$76/4*($MO66^2-ML66^2)*10^-2*(VLOOKUP(L66,各项系数!$D$1:$F$143,3,0))*10^-3*10^2*$EO66*各项系数!$J$4</f>
        <v>0</v>
      </c>
      <c r="FG66" s="339">
        <f>FF66*VLOOKUP(L66,各项系数!$D$1:$F$143,2,0)</f>
        <v>0</v>
      </c>
      <c r="FH66" s="302">
        <f t="shared" si="142"/>
        <v>0.855319761400637</v>
      </c>
      <c r="FI66" s="123">
        <v>1</v>
      </c>
      <c r="FJ66" s="251">
        <f t="shared" si="269"/>
        <v>0.855319761400637</v>
      </c>
      <c r="FK66" s="339">
        <f>FJ66*VLOOKUP(L66,各项系数!$D$1:$F$143,2,0)</f>
        <v>8.7242615662865</v>
      </c>
      <c r="FL66" s="304"/>
      <c r="FM66" s="127"/>
      <c r="FN66" s="251"/>
      <c r="FO66" s="339"/>
      <c r="FP66" s="364">
        <f t="shared" si="270"/>
        <v>0.855319761400637</v>
      </c>
      <c r="FQ66" s="364">
        <f t="shared" si="271"/>
        <v>8.7242615662865</v>
      </c>
      <c r="FR66" s="365">
        <f>各项系数!$F$76/4*($MQ66^2-$MN66^2*$EG66-$MO66^2*$EO66)*10^-2</f>
        <v>17.8589702790218</v>
      </c>
      <c r="FS66" s="366">
        <f t="shared" si="143"/>
        <v>1</v>
      </c>
      <c r="FT66" s="367">
        <f t="shared" si="40"/>
        <v>17.8589702790218</v>
      </c>
      <c r="FU66" s="388">
        <f>$FT66*(VLOOKUP($FT$9,各项系数!$D$1:$F$143,3,0))*10^-3*10^2*各项系数!$J$55</f>
        <v>2.1323610513152</v>
      </c>
      <c r="FV66" s="389">
        <v>1</v>
      </c>
      <c r="FW66" s="390">
        <f t="shared" si="272"/>
        <v>2.1323610513152</v>
      </c>
      <c r="FX66" s="367">
        <f>FW66*(VLOOKUP($FT$9,各项系数!$D$1:$F$143,2,0))</f>
        <v>6.39708315394561</v>
      </c>
      <c r="FY66" s="388">
        <f>IF($BK66&lt;&gt;$FY$9,0,各项系数!$F$76/4*($MS66^2-$MQ66^2)*10^-2*(VLOOKUP($FY$9,各项系数!$D$1:$F$143,3,0))*10^-3*10^2)*各项系数!$J$4</f>
        <v>0</v>
      </c>
      <c r="FZ66" s="389">
        <v>1</v>
      </c>
      <c r="GA66" s="390">
        <f t="shared" si="273"/>
        <v>0</v>
      </c>
      <c r="GB66" s="367">
        <f>GA66*(VLOOKUP($FY$9,各项系数!$D$1:$F$143,2,0))</f>
        <v>0</v>
      </c>
      <c r="GC66" s="388">
        <f>IF($BK66&lt;&gt;$GC$9,0,各项系数!$F$76/4*($MS66^2-$MQ66^2)*10^-2*(VLOOKUP($GC$9,各项系数!$D$1:$F$143,3,0))*10^-3*10^2)*各项系数!$J$4</f>
        <v>0.0217581058651908</v>
      </c>
      <c r="GD66" s="389">
        <v>1</v>
      </c>
      <c r="GE66" s="390">
        <f t="shared" si="274"/>
        <v>0.0217581058651908</v>
      </c>
      <c r="GF66" s="367">
        <f>GE66*(VLOOKUP($GC$9,各项系数!$D$1:$F$143,2,0))</f>
        <v>0.280679565660961</v>
      </c>
      <c r="GG66" s="388">
        <f>IF($BK66&lt;&gt;$GG$9,0,各项系数!$F$76/4*($MS66^2-$MQ66^2)*10^-2*(VLOOKUP($GG$9,各项系数!$D$1:$F$143,3,0))*10^-3*10^2)*各项系数!$J$4</f>
        <v>0</v>
      </c>
      <c r="GH66" s="389">
        <v>1</v>
      </c>
      <c r="GI66" s="390">
        <f t="shared" si="275"/>
        <v>0</v>
      </c>
      <c r="GJ66" s="367">
        <f>GI66*(VLOOKUP($GG$9,各项系数!$D$1:$F$143,2,0))</f>
        <v>0</v>
      </c>
      <c r="GK66" s="388">
        <f>IF($BK66&lt;&gt;$GK$9,0,各项系数!$F$76/4*($MS66^2-$MQ66^2)*10^-2*(VLOOKUP($GK$9,各项系数!$D$1:$F$143,3,0))*10^-3*10^2)*各项系数!$J$4</f>
        <v>0</v>
      </c>
      <c r="GL66" s="389">
        <v>1</v>
      </c>
      <c r="GM66" s="390">
        <f t="shared" si="276"/>
        <v>0</v>
      </c>
      <c r="GN66" s="367">
        <f>GM66*(VLOOKUP($GK$9,各项系数!$D$1:$F$143,2,0))</f>
        <v>0</v>
      </c>
      <c r="GO66" s="390">
        <f t="shared" si="277"/>
        <v>0.0217581058651908</v>
      </c>
      <c r="GP66" s="390">
        <f t="shared" si="278"/>
        <v>0.280679565660961</v>
      </c>
      <c r="GQ66" s="406">
        <f>各项系数!$F$76/4*($MU66^2-$MS66^2)*10^-2*(VLOOKUP($S66,各项系数!$D$1:$F$143,3,0))*10^-3*10^2*各项系数!$J$4</f>
        <v>1.48013938322568</v>
      </c>
      <c r="GR66" s="389">
        <v>1</v>
      </c>
      <c r="GS66" s="390">
        <f t="shared" si="279"/>
        <v>1.48013938322568</v>
      </c>
      <c r="GT66" s="390">
        <f t="shared" si="200"/>
        <v>0</v>
      </c>
      <c r="GU66" s="390">
        <f>ROUND($GS66*(VLOOKUP($S66,各项系数!$D$1:$F$143,2,0))+$E$3*GS66,GT66)</f>
        <v>9</v>
      </c>
      <c r="GV66" s="406">
        <f>各项系数!$F$76/4*($MT66^2-$MS66^2)*10^-2*(VLOOKUP($GV$9,各项系数!$D$1:$F$143,3,0))*10^-3*10^2*各项系数!$J$4*PI()/4*R66</f>
        <v>0.111837402289996</v>
      </c>
      <c r="GW66" s="389">
        <v>1</v>
      </c>
      <c r="GX66" s="390">
        <f t="shared" si="280"/>
        <v>0.111837402289996</v>
      </c>
      <c r="GY66" s="390">
        <f>$GX66*(VLOOKUP($GV$9,各项系数!$D$1:$F$143,2,0))</f>
        <v>7.54902465457476</v>
      </c>
      <c r="GZ66" s="406">
        <f>各项系数!$F$76/4*($MV66^2-$MS66^2)*10^-2*(VLOOKUP($GZ$9,各项系数!$D$1:$F$143,3,0))*10^-3*10^2*各项系数!$J$4</f>
        <v>1.40342788810666</v>
      </c>
      <c r="HA66" s="389">
        <v>1</v>
      </c>
      <c r="HB66" s="390">
        <f t="shared" si="144"/>
        <v>1.40342788810666</v>
      </c>
      <c r="HC66" s="390">
        <f>HB66*(VLOOKUP($GZ$9,各项系数!$D$1:$F$143,2,0))</f>
        <v>23.8582740978131</v>
      </c>
      <c r="HD66" s="406">
        <f>各项系数!$F$76/4*($MW66^2-$MT66^2)*10^-2*(VLOOKUP($HD$9,各项系数!$D$1:$F$143,3,0))*10^-3*10^2*各项系数!$J$4</f>
        <v>1.40611114752483</v>
      </c>
      <c r="HE66" s="389">
        <v>1</v>
      </c>
      <c r="HF66" s="390">
        <f t="shared" si="145"/>
        <v>1.40611114752483</v>
      </c>
      <c r="HG66" s="390">
        <f>HF66*(VLOOKUP($HD$9,各项系数!$D$1:$F$143,2,0))</f>
        <v>23.9038895079221</v>
      </c>
      <c r="HH66" s="406">
        <f>各项系数!$F$76/4*($MV66^2-$MS66^2)*10^-2*(VLOOKUP($HH$9,各项系数!$D$1:$F$143,3,0))*10^-3*10^2*各项系数!$J$4</f>
        <v>1.40342788810666</v>
      </c>
      <c r="HI66" s="420">
        <v>1</v>
      </c>
      <c r="HJ66" s="390">
        <f t="shared" si="146"/>
        <v>1.40342788810666</v>
      </c>
      <c r="HK66" s="390">
        <f>HJ66*(VLOOKUP($HH$9,各项系数!$D$1:$F$143,2,0))</f>
        <v>23.8582740978131</v>
      </c>
      <c r="HL66" s="406">
        <f>各项系数!$F$76/4*($MW66^2-$MT66^2)*10^-2*(VLOOKUP($HL$9,各项系数!$D$1:$F$143,3,0))*10^-3*10^2*各项系数!$J$4</f>
        <v>1.40611114752483</v>
      </c>
      <c r="HM66" s="420">
        <v>1</v>
      </c>
      <c r="HN66" s="390">
        <f t="shared" si="147"/>
        <v>1.40611114752483</v>
      </c>
      <c r="HO66" s="390">
        <f>HN66*(VLOOKUP($HL$9,各项系数!$D$1:$F$143,2,0))</f>
        <v>23.9038895079221</v>
      </c>
      <c r="HP66" s="406">
        <f>各项系数!$F$76/4*($MV66^2-$MS66^2)*10^-2*(VLOOKUP(AN66,各项系数!$D$1:$F$143,3,0))*10^-3*10^2*各项系数!$J$4</f>
        <v>1.42278551414951</v>
      </c>
      <c r="HQ66" s="389">
        <v>1</v>
      </c>
      <c r="HR66" s="390">
        <f t="shared" si="281"/>
        <v>1.42278551414951</v>
      </c>
      <c r="HS66" s="390">
        <f>HR66*(VLOOKUP(AN66,各项系数!$D$1:$F$143,2,0))</f>
        <v>14.2278551414951</v>
      </c>
      <c r="HT66" s="406">
        <f>各项系数!$F$76/4*($MW66^2-$MT66^2)*10^-2*(VLOOKUP(AN66,各项系数!$D$1:$F$143,3,0))*10^-3*10^2*各项系数!$J$4</f>
        <v>1.42550578404241</v>
      </c>
      <c r="HU66" s="389">
        <v>1</v>
      </c>
      <c r="HV66" s="390">
        <f t="shared" si="282"/>
        <v>1.42550578404241</v>
      </c>
      <c r="HW66" s="390">
        <f>HV66*(VLOOKUP(AN66,各项系数!$D$1:$F$143,2,0))</f>
        <v>14.2550578404241</v>
      </c>
      <c r="HX66" s="406">
        <f>各项系数!$F$76/4*($MV66^2-$MS66^2)*10^-2*(VLOOKUP($HX$9,各项系数!$D$1:$F$143,3,0))*10^-3*10^2*各项系数!$J$4</f>
        <v>1.42278551414951</v>
      </c>
      <c r="HY66" s="420">
        <v>1</v>
      </c>
      <c r="HZ66" s="390">
        <f t="shared" si="283"/>
        <v>1.42278551414951</v>
      </c>
      <c r="IA66" s="390">
        <f>HZ66*(VLOOKUP($HX$9,各项系数!$D$1:$F$143,2,0))</f>
        <v>15.6506406556446</v>
      </c>
      <c r="IB66" s="406">
        <f>各项系数!$F$76/4*($MW66^2-$MT66^2)*10^-2*(VLOOKUP($IB$9,各项系数!$D$1:$F$143,3,0))*10^-3*10^2*各项系数!$J$4</f>
        <v>1.42550578404241</v>
      </c>
      <c r="IC66" s="420">
        <v>1</v>
      </c>
      <c r="ID66" s="390">
        <f t="shared" si="284"/>
        <v>1.42550578404241</v>
      </c>
      <c r="IE66" s="390">
        <f>ID66*(VLOOKUP($IB$9,各项系数!$D$1:$F$143,2,0))</f>
        <v>15.6805636244665</v>
      </c>
      <c r="IF66" s="395"/>
      <c r="IG66" s="406">
        <f t="shared" si="148"/>
        <v>0.136931258050774</v>
      </c>
      <c r="IH66" s="389">
        <v>1</v>
      </c>
      <c r="II66" s="390">
        <f t="shared" si="285"/>
        <v>0.136931258050774</v>
      </c>
      <c r="IJ66" s="390">
        <f>II66*(VLOOKUP($IG$8,各项系数!$D$1:$F$143,2,0))</f>
        <v>3.42328145126935</v>
      </c>
      <c r="IK66" s="406">
        <f>(各项系数!$F$76/4*($MX66^2-$MK66^2)*$EG66)*10^-2*(VLOOKUP($IG$8,各项系数!$D$1:$F$143,3,0))*10^-3*10^2*各项系数!$J$4</f>
        <v>0.136931258050774</v>
      </c>
      <c r="IL66" s="389">
        <f>IK66*(VLOOKUP($IG$8,各项系数!$D$1:$F$143,2,0))</f>
        <v>3.42328145126935</v>
      </c>
      <c r="IM66" s="390">
        <f>(各项系数!$F$76/4*(($MM66+3*$X66)^2-MM66^2)*$EO66)*10^-2*(VLOOKUP($IG$8,各项系数!$D$1:$F$143,3,0))*10^-3*10^2*各项系数!$J$4</f>
        <v>0</v>
      </c>
      <c r="IN66" s="389">
        <f>IM66*(VLOOKUP($IG$8,各项系数!$D$1:$F$143,2,0))</f>
        <v>0</v>
      </c>
      <c r="IO66" s="406">
        <f>各项系数!$F$76/4*($MZ66^2-$MX66^2)*10^-2*(VLOOKUP(L66,各项系数!$D$1:$F$143,3,0))*10^-3*10^2*$ES66*各项系数!$J$4</f>
        <v>0.870173965449046</v>
      </c>
      <c r="IP66" s="389">
        <v>1</v>
      </c>
      <c r="IQ66" s="390">
        <f t="shared" si="286"/>
        <v>0.870173965449046</v>
      </c>
      <c r="IR66" s="367">
        <f>IQ66*(VLOOKUP(L66,各项系数!$D$1:$F$143,2,0))</f>
        <v>8.87577444758027</v>
      </c>
      <c r="IS66" s="406">
        <f>IF($L66&lt;&gt;$IS$9,0,各项系数!$F$76/4*($MZ66^2-$MX66^2)*10^-2*各项系数!$F$12*10^-3*10^2)*$ES66*各项系数!$J$4</f>
        <v>0</v>
      </c>
      <c r="IT66" s="396">
        <v>1</v>
      </c>
      <c r="IU66" s="390">
        <f t="shared" si="287"/>
        <v>0</v>
      </c>
      <c r="IV66" s="367">
        <f>IU66*各项系数!$E$12</f>
        <v>0</v>
      </c>
      <c r="IW66" s="388">
        <f t="shared" si="288"/>
        <v>0.870173965449046</v>
      </c>
      <c r="IX66" s="388">
        <f t="shared" si="289"/>
        <v>8.87577444758027</v>
      </c>
      <c r="IY66" s="447">
        <f>各项系数!$F$76/4*($NB66^2-$MZ66^2*$EG66-$NA66^2*$EO66)*10^-2</f>
        <v>18.4436953530967</v>
      </c>
      <c r="IZ66" s="366">
        <f t="shared" si="231"/>
        <v>1</v>
      </c>
      <c r="JA66" s="367">
        <f t="shared" si="64"/>
        <v>18.4436953530967</v>
      </c>
      <c r="JB66" s="364">
        <f>IF($DE66&lt;&gt;$JB$9,0,$JA66*各项系数!$F$32*10^-3*10^2)*各项系数!$J$4</f>
        <v>0</v>
      </c>
      <c r="JC66" s="123">
        <v>1</v>
      </c>
      <c r="JD66" s="251">
        <f t="shared" si="290"/>
        <v>0</v>
      </c>
      <c r="JE66" s="339">
        <f>JD66*各项系数!$E$32</f>
        <v>0</v>
      </c>
      <c r="JF66" s="364">
        <f>IF($DE66&lt;&gt;$JF$9,0,$JA66*VLOOKUP($JF$9,各项系数!$D$4:$F$540,2,0)*10^-3*10^2)*各项系数!$J$4</f>
        <v>9.17573843816561</v>
      </c>
      <c r="JG66" s="123">
        <v>1</v>
      </c>
      <c r="JH66" s="251">
        <f t="shared" si="66"/>
        <v>9.17573843816561</v>
      </c>
      <c r="JI66" s="339">
        <f>JH66*VLOOKUP($JF$9,各项系数!$D$4:$F$540,3,0)</f>
        <v>11.0108861257987</v>
      </c>
      <c r="JJ66" s="364">
        <f t="shared" si="291"/>
        <v>9.17573843816561</v>
      </c>
      <c r="JK66" s="251">
        <f t="shared" si="292"/>
        <v>11.0108861257987</v>
      </c>
      <c r="JL66" s="364">
        <f>IF($DF66&lt;&gt;$JL$9,0,各项系数!$F$76/4*($NE66^2-$NC66^2)*10^-2*各项系数!$F$39*10^-3*10^2)*各项系数!$J$4</f>
        <v>0.00914039513213047</v>
      </c>
      <c r="JM66" s="123">
        <v>1</v>
      </c>
      <c r="JN66" s="251">
        <f t="shared" si="293"/>
        <v>0.00914039513213047</v>
      </c>
      <c r="JO66" s="339">
        <f>JN66*各项系数!$E$39</f>
        <v>0.182807902642609</v>
      </c>
      <c r="JP66" s="364">
        <f>IF($DF66&lt;&gt;$JP$9,0,各项系数!$F$76/4*($NE66^2-$NC66^2)*10^-2*各项系数!$F$36*10^-3*10^2)*各项系数!$J$4</f>
        <v>0</v>
      </c>
      <c r="JQ66" s="123">
        <v>1</v>
      </c>
      <c r="JR66" s="251">
        <f t="shared" si="294"/>
        <v>0</v>
      </c>
      <c r="JS66" s="339">
        <f>JR66*各项系数!$E$36</f>
        <v>0</v>
      </c>
      <c r="JT66" s="364">
        <f>IF($DF66&lt;&gt;$JT$9,0,各项系数!$F$76/4*($NE66^2-$NC66^2)*10^-2*各项系数!$F$40*10^-3*10^2)*各项系数!$J$4</f>
        <v>0</v>
      </c>
      <c r="JU66" s="123">
        <v>1</v>
      </c>
      <c r="JV66" s="251">
        <f t="shared" si="295"/>
        <v>0</v>
      </c>
      <c r="JW66" s="339">
        <f>JV66*各项系数!$E$40</f>
        <v>0</v>
      </c>
      <c r="JX66" s="364">
        <f>IF($DF66&lt;&gt;$JX$9,0,各项系数!$F$76/4*($NE66^2-$NC66^2)*10^-2*各项系数!$F$38*10^-3*10^2)*各项系数!$J$4</f>
        <v>0</v>
      </c>
      <c r="JY66" s="123">
        <v>1</v>
      </c>
      <c r="JZ66" s="251">
        <f t="shared" si="296"/>
        <v>0</v>
      </c>
      <c r="KA66" s="339">
        <f>JZ66*各项系数!$E$38</f>
        <v>0</v>
      </c>
      <c r="KB66" s="364">
        <f>IF($DF66&lt;&gt;$KB$9,0,各项系数!$F$76/4*($NE66^2-$NC66^2)*10^-2*各项系数!$F$41*10^-3*10^2)*各项系数!$J$4</f>
        <v>0</v>
      </c>
      <c r="KC66" s="123">
        <v>1</v>
      </c>
      <c r="KD66" s="251">
        <f t="shared" si="297"/>
        <v>0</v>
      </c>
      <c r="KE66" s="339">
        <f>KD66*各项系数!$E$41</f>
        <v>0</v>
      </c>
      <c r="KF66" s="251">
        <f t="shared" si="298"/>
        <v>0.00914039513213047</v>
      </c>
      <c r="KG66" s="251">
        <f t="shared" si="299"/>
        <v>0.182807902642609</v>
      </c>
      <c r="KH66" s="302">
        <f>各项系数!$F$76/4*($NG66^2-$NE66^2)*10^-2*各项系数!$F$44*10^-3*10^2*各项系数!$J$4*0.75*$U66</f>
        <v>2.25760903480434</v>
      </c>
      <c r="KI66" s="123">
        <v>1</v>
      </c>
      <c r="KJ66" s="251">
        <f t="shared" si="300"/>
        <v>2.25760903480434</v>
      </c>
      <c r="KK66" s="251">
        <f>ROUND(KJ66*各项系数!$E$43,GT66)</f>
        <v>13</v>
      </c>
      <c r="KL66" s="302">
        <f>各项系数!$F$76/4*($NF66^2-$NE66^2)*10^-2*各项系数!$F$46*10^-3*10^2*各项系数!$J$4*PI()/4*R66</f>
        <v>0.113737095533607</v>
      </c>
      <c r="KM66" s="123">
        <v>1</v>
      </c>
      <c r="KN66" s="251">
        <f t="shared" si="301"/>
        <v>0.113737095533607</v>
      </c>
      <c r="KO66" s="251">
        <f>KN66*各项系数!$E$46</f>
        <v>7.67725394851846</v>
      </c>
      <c r="KP66" s="302">
        <f>各项系数!$F$76/4*($NH66^2-$NE66^2)*10^-2*(VLOOKUP($KP$9,各项系数!$D$1:$F$143,3,0))*10^-3*10^2*各项系数!$J$4</f>
        <v>1.42623559316112</v>
      </c>
      <c r="KQ66" s="123">
        <v>1</v>
      </c>
      <c r="KR66" s="251">
        <f t="shared" si="150"/>
        <v>1.42623559316112</v>
      </c>
      <c r="KS66" s="251">
        <f>KR66*(VLOOKUP($KP$9,各项系数!$D$1:$F$143,2,0))</f>
        <v>24.246005083739</v>
      </c>
      <c r="KT66" s="302">
        <f>各项系数!$F$76/4*($NI66^2-$NF66^2)*10^-2*(VLOOKUP($KT$9,各项系数!$D$1:$F$143,3,0))*10^-3*10^2*各项系数!$J$4</f>
        <v>1.42891885257929</v>
      </c>
      <c r="KU66" s="123">
        <v>1</v>
      </c>
      <c r="KV66" s="251">
        <f t="shared" si="151"/>
        <v>1.42891885257929</v>
      </c>
      <c r="KW66" s="251">
        <f>KV66*(VLOOKUP($KT$9,各项系数!$D$1:$F$143,2,0))</f>
        <v>24.2916204938479</v>
      </c>
      <c r="KX66" s="251">
        <f>各项系数!$F$76/4*($NH66^2-$NE66^2)*10^-2*(VLOOKUP($KX$9,各项系数!$D$1:$F$143,3,0))*10^-3*10^2*各项系数!$J$4</f>
        <v>1.42623559316112</v>
      </c>
      <c r="KY66" s="479">
        <v>1</v>
      </c>
      <c r="KZ66" s="251">
        <f t="shared" si="152"/>
        <v>1.42623559316112</v>
      </c>
      <c r="LA66" s="251">
        <f>KZ66*(VLOOKUP($KX$9,各项系数!$D$1:$F$143,2,0))</f>
        <v>24.246005083739</v>
      </c>
      <c r="LB66" s="251">
        <f>各项系数!$F$76/4*($NI66^2-$NF66^2)*10^-2*(VLOOKUP($LB$9,各项系数!$D$1:$F$143,3,0))*10^-3*10^2*各项系数!$J$4</f>
        <v>1.42891885257929</v>
      </c>
      <c r="LC66" s="479">
        <v>1</v>
      </c>
      <c r="LD66" s="251">
        <f t="shared" si="153"/>
        <v>1.42891885257929</v>
      </c>
      <c r="LE66" s="251">
        <f>LD66*(VLOOKUP($LB$9,各项系数!$D$1:$F$143,2,0))</f>
        <v>24.2916204938479</v>
      </c>
      <c r="LF66" s="302">
        <f>各项系数!$F$76/4*($NH66^2-$NE66^2)*10^-2*(VLOOKUP(AN66,各项系数!$D$1:$F$143,3,0))*10^-3*10^2*各项系数!$J$4</f>
        <v>1.4459078082392</v>
      </c>
      <c r="LG66" s="123">
        <v>1</v>
      </c>
      <c r="LH66" s="251">
        <f t="shared" si="302"/>
        <v>1.4459078082392</v>
      </c>
      <c r="LI66" s="251">
        <f>LH66*(VLOOKUP(AN66,各项系数!$D$1:$F$143,2,0))</f>
        <v>14.459078082392</v>
      </c>
      <c r="LJ66" s="302">
        <f>各项系数!$F$76/4*($NI66^2-$NF66^2)*10^-2*(VLOOKUP(AN66,各项系数!$D$1:$F$143,3,0))*10^-3*10^2*各项系数!$J$4</f>
        <v>1.44862807813211</v>
      </c>
      <c r="LK66" s="123">
        <v>1</v>
      </c>
      <c r="LL66" s="251">
        <f t="shared" si="303"/>
        <v>1.44862807813211</v>
      </c>
      <c r="LM66" s="251">
        <f>LL66*(VLOOKUP(AN66,各项系数!$D$1:$F$143,2,0))</f>
        <v>14.4862807813211</v>
      </c>
      <c r="LN66" s="251">
        <f>各项系数!$F$76/4*($NH66^2-$NE66^2)*10^-2*(VLOOKUP($LN$9,各项系数!$D$1:$F$143,3,0))*10^-3*10^2*各项系数!$J$4</f>
        <v>1.4459078082392</v>
      </c>
      <c r="LO66" s="479">
        <v>1</v>
      </c>
      <c r="LP66" s="251">
        <f t="shared" si="304"/>
        <v>1.4459078082392</v>
      </c>
      <c r="LQ66" s="251">
        <f>LP66*(VLOOKUP($LN$9,各项系数!$D$1:$F$143,2,0))</f>
        <v>15.9049858906312</v>
      </c>
      <c r="LR66" s="251">
        <f>各项系数!$F$76/4*($NI66^2-$NF66^2)*10^-2*(VLOOKUP($LR$9,各项系数!$D$1:$F$143,3,0))*10^-3*10^2*各项系数!$J$4</f>
        <v>1.44862807813211</v>
      </c>
      <c r="LS66" s="479">
        <v>1</v>
      </c>
      <c r="LT66" s="251">
        <f t="shared" si="305"/>
        <v>1.44862807813211</v>
      </c>
      <c r="LU66" s="251">
        <f>LT66*(VLOOKUP($LR$9,各项系数!$D$1:$F$143,2,0))</f>
        <v>15.9349088594532</v>
      </c>
      <c r="LV66" s="499">
        <f t="shared" si="154"/>
        <v>2435.20254864</v>
      </c>
      <c r="LW66" s="499">
        <f t="shared" si="155"/>
        <v>1833.91796873</v>
      </c>
      <c r="LX66" s="499">
        <f t="shared" si="156"/>
        <v>48.3220123710449</v>
      </c>
      <c r="LY66" s="515">
        <f t="shared" si="157"/>
        <v>601.28457991</v>
      </c>
      <c r="LZ66" s="516">
        <f t="shared" si="86"/>
        <v>1</v>
      </c>
      <c r="MA66" s="517">
        <f t="shared" si="87"/>
        <v>2435.20254864</v>
      </c>
      <c r="MB66" s="517">
        <f t="shared" si="158"/>
        <v>32.14859346</v>
      </c>
      <c r="MC66" s="499">
        <f t="shared" si="159"/>
        <v>0</v>
      </c>
      <c r="MD66" s="499">
        <f t="shared" si="160"/>
        <v>0</v>
      </c>
      <c r="ME66" s="499">
        <f t="shared" si="161"/>
        <v>0</v>
      </c>
      <c r="MF66" s="499">
        <f t="shared" si="162"/>
        <v>0</v>
      </c>
      <c r="MG66" s="516">
        <f t="shared" si="163"/>
        <v>1</v>
      </c>
      <c r="MH66" s="517">
        <f t="shared" si="88"/>
        <v>0</v>
      </c>
      <c r="MI66" s="517">
        <f t="shared" si="164"/>
        <v>0</v>
      </c>
      <c r="MJ66" s="251">
        <f t="shared" si="89"/>
        <v>32.14859346</v>
      </c>
      <c r="MK66" s="251">
        <f t="shared" si="165"/>
        <v>32.14859346</v>
      </c>
      <c r="ML66" s="251">
        <f t="shared" si="306"/>
        <v>0</v>
      </c>
      <c r="MM66" s="251">
        <f t="shared" si="91"/>
        <v>0</v>
      </c>
      <c r="MN66" s="251">
        <f t="shared" si="92"/>
        <v>36.94859346</v>
      </c>
      <c r="MO66" s="251">
        <f t="shared" si="166"/>
        <v>0</v>
      </c>
      <c r="MP66" s="251">
        <f t="shared" si="167"/>
        <v>79.80896187</v>
      </c>
      <c r="MQ66" s="251">
        <f t="shared" si="307"/>
        <v>79.80896187</v>
      </c>
      <c r="MR66" s="314">
        <f t="shared" si="168"/>
        <v>79.80896187</v>
      </c>
      <c r="MS66" s="530">
        <f t="shared" si="94"/>
        <v>79.98496187</v>
      </c>
      <c r="MT66" s="530">
        <f t="shared" si="95"/>
        <v>80.14496187</v>
      </c>
      <c r="MU66" s="530">
        <f t="shared" si="232"/>
        <v>81.48496187</v>
      </c>
      <c r="MV66" s="530">
        <f t="shared" si="97"/>
        <v>87.38496187</v>
      </c>
      <c r="MW66" s="530">
        <f t="shared" si="98"/>
        <v>87.54496187</v>
      </c>
      <c r="MX66" s="326">
        <f t="shared" si="233"/>
        <v>32.74859346</v>
      </c>
      <c r="MY66" s="326">
        <f t="shared" si="100"/>
        <v>0</v>
      </c>
      <c r="MZ66" s="251">
        <f t="shared" si="101"/>
        <v>37.54859346</v>
      </c>
      <c r="NA66" s="251">
        <f t="shared" si="102"/>
        <v>0</v>
      </c>
      <c r="NB66" s="251">
        <f t="shared" si="169"/>
        <v>81.10496187</v>
      </c>
      <c r="NC66" s="326">
        <f t="shared" si="308"/>
        <v>81.10496187</v>
      </c>
      <c r="ND66" s="314">
        <f t="shared" si="234"/>
        <v>81.10496187</v>
      </c>
      <c r="NE66" s="537">
        <f t="shared" si="235"/>
        <v>81.34496187</v>
      </c>
      <c r="NF66" s="530">
        <f t="shared" si="106"/>
        <v>81.50496187</v>
      </c>
      <c r="NG66" s="538">
        <f t="shared" si="236"/>
        <v>82.84496187</v>
      </c>
      <c r="NH66" s="326">
        <f t="shared" si="108"/>
        <v>88.74496187</v>
      </c>
      <c r="NI66" s="530">
        <f t="shared" si="109"/>
        <v>88.90496187</v>
      </c>
      <c r="NK66" s="539">
        <f t="shared" si="110"/>
        <v>21.1408979524564</v>
      </c>
      <c r="NL66" s="539">
        <f t="shared" si="111"/>
        <v>1124.04799496943</v>
      </c>
      <c r="NM66" s="539">
        <f t="shared" si="112"/>
        <v>21.1408979524564</v>
      </c>
      <c r="NN66" s="539">
        <f t="shared" si="113"/>
        <v>1125.47078048358</v>
      </c>
      <c r="NO66" s="539">
        <f t="shared" si="114"/>
        <v>28.3465653847626</v>
      </c>
      <c r="NP66" s="539">
        <f t="shared" si="115"/>
        <v>1132.36994355173</v>
      </c>
      <c r="NQ66" s="539">
        <f t="shared" si="116"/>
        <v>28.3465653847626</v>
      </c>
      <c r="NR66" s="539">
        <f t="shared" si="117"/>
        <v>1133.81585135997</v>
      </c>
      <c r="NS66" s="539">
        <f t="shared" si="118"/>
        <v>21.2527353547464</v>
      </c>
      <c r="NT66" s="539">
        <f t="shared" si="119"/>
        <v>21.2527353547464</v>
      </c>
      <c r="NU66" s="539">
        <f t="shared" si="120"/>
        <v>28.4603024802962</v>
      </c>
      <c r="NV66" s="539">
        <f t="shared" si="121"/>
        <v>28.4603024802962</v>
      </c>
      <c r="NW66">
        <f t="shared" si="122"/>
        <v>22.6210373356821</v>
      </c>
      <c r="NX66">
        <f>各项系数!$M$9*NK66</f>
        <v>6.34226938573692</v>
      </c>
      <c r="NY66">
        <f t="shared" si="123"/>
        <v>21.2527353547464</v>
      </c>
    </row>
    <row r="67" customHeight="1" spans="1:389">
      <c r="A67" s="81"/>
      <c r="B67" s="98"/>
      <c r="C67" s="83"/>
      <c r="D67" s="74" t="s">
        <v>920</v>
      </c>
      <c r="E67" s="70">
        <f t="shared" si="313"/>
        <v>97.78814211</v>
      </c>
      <c r="F67" s="84">
        <f>$F$35</f>
        <v>404.218837505781</v>
      </c>
      <c r="G67" s="74"/>
      <c r="H67" s="23"/>
      <c r="I67" s="78"/>
      <c r="J67" s="23"/>
      <c r="K67" s="23"/>
      <c r="L67" s="118" t="s">
        <v>467</v>
      </c>
      <c r="M67" s="119">
        <f t="shared" si="2"/>
        <v>2.6</v>
      </c>
      <c r="N67" s="119">
        <f t="shared" si="252"/>
        <v>0</v>
      </c>
      <c r="O67" s="74">
        <f t="shared" si="312"/>
        <v>0.08</v>
      </c>
      <c r="P67" s="120">
        <v>0.1</v>
      </c>
      <c r="Q67" s="165">
        <f t="shared" si="322"/>
        <v>0.1</v>
      </c>
      <c r="R67" s="182">
        <v>0.8</v>
      </c>
      <c r="S67" s="173" t="str">
        <f>各项系数!$D$43</f>
        <v>钢带</v>
      </c>
      <c r="T67" s="78">
        <v>0.5</v>
      </c>
      <c r="U67" s="78">
        <v>2</v>
      </c>
      <c r="V67" s="172"/>
      <c r="W67" s="174">
        <v>3.9</v>
      </c>
      <c r="X67" s="168">
        <f t="shared" si="323"/>
        <v>0.2</v>
      </c>
      <c r="Y67" s="221"/>
      <c r="Z67" s="222"/>
      <c r="AA67" s="223">
        <f>$AA$35</f>
        <v>1.03</v>
      </c>
      <c r="AB67" s="186">
        <f>PI()*EJ67*EJ67/4*EH67*(1-H67)*AA67*各项系数!$F$5*各项系数!$J$4*10^-7</f>
        <v>7.13205822938526</v>
      </c>
      <c r="AC67" s="224">
        <f t="shared" si="314"/>
        <v>404.218837505781</v>
      </c>
      <c r="AD67" s="186">
        <f t="shared" si="5"/>
        <v>806.287707308788</v>
      </c>
      <c r="AE67" s="186">
        <f>POWER(4*EU67/PI()/EG67/10^-7/EH67/(1-H67)/各项系数!$F$5/各项系数!$J$4,0.5)</f>
        <v>410.23731504138</v>
      </c>
      <c r="AF67" s="225">
        <v>1</v>
      </c>
      <c r="AG67" s="23">
        <f>IF(EM67=0,0,PI()*ER67*ER67/4*EP67*(1-K67)*(1+AF67)*各项系数!$F$5*各项系数!$J$4*10^-7)</f>
        <v>0</v>
      </c>
      <c r="AH67" s="23">
        <f t="shared" si="315"/>
        <v>0</v>
      </c>
      <c r="AI67" s="85">
        <f t="shared" si="128"/>
        <v>0</v>
      </c>
      <c r="AJ67" s="85">
        <f>IF(OR(EP67="",EP67=0),0,POWER(4*EW67/PI()/EO67/10^-7/EP67/(1-K67)/各项系数!$F$5/各项系数!$J$4,0.5))</f>
        <v>0</v>
      </c>
      <c r="AK67" s="23" t="str">
        <f t="shared" si="8"/>
        <v>√</v>
      </c>
      <c r="AL67" s="23">
        <f t="shared" si="316"/>
        <v>1481.78329727139</v>
      </c>
      <c r="AM67" s="127">
        <f t="shared" si="317"/>
        <v>800</v>
      </c>
      <c r="AN67" s="118" t="s">
        <v>486</v>
      </c>
      <c r="AO67" s="259">
        <f>AP67+各项系数!$M$9*$NK67</f>
        <v>1452.72872281509</v>
      </c>
      <c r="AP67" s="259">
        <f>AQ67*(1+$BI67+(VLOOKUP($AM67,$A$12:$B$323,2,0))+各项系数!$J$6+各项系数!$M$5)*(1+$E$2)</f>
        <v>1444.67401283057</v>
      </c>
      <c r="AQ67" s="260">
        <f>AR67+各项系数!$L$9*$NK67</f>
        <v>1474.15715594956</v>
      </c>
      <c r="AR67" s="260">
        <f>AS67*(1+$BJ67+各项系数!$J$5+各项系数!$L$5)</f>
        <v>1466.10244596503</v>
      </c>
      <c r="AS67" s="260">
        <f t="shared" si="129"/>
        <v>1437.3553391814</v>
      </c>
      <c r="AT67" s="259">
        <f>AU67+各项系数!$M$9*$NM67</f>
        <v>1464.11279481539</v>
      </c>
      <c r="AU67" s="259">
        <f>AV67*(1+$BI67+(VLOOKUP($AM67,$A$12:$B$323,2,0))+各项系数!$J$6+各项系数!$M$5)*(1+$E$2)</f>
        <v>1456.05808483086</v>
      </c>
      <c r="AV67" s="260">
        <f>AW67+各项系数!$L$9*$NM67</f>
        <v>1485.77355594986</v>
      </c>
      <c r="AW67" s="260">
        <f>AX67*(1+$BJ67+各项系数!$J$5+各项系数!$L$5)</f>
        <v>1477.71884596533</v>
      </c>
      <c r="AX67" s="260">
        <f t="shared" si="130"/>
        <v>1448.74396663268</v>
      </c>
      <c r="AY67" s="259">
        <f>AZ67+各项系数!$M$9*$NS67</f>
        <v>1461.32090579435</v>
      </c>
      <c r="AZ67" s="259">
        <f>BA67*(1+$BI67+(VLOOKUP($AM67,$A$12:$B$214,2,0))+各项系数!$J$6+各项系数!$M$5)*(1+$E$2)</f>
        <v>1453.22845275666</v>
      </c>
      <c r="BA67" s="260">
        <f>BB67+各项系数!$L$9*$NS67</f>
        <v>1482.88617628231</v>
      </c>
      <c r="BB67" s="260">
        <f>BC67*(1+$BJ67+各项系数!$J$5+各项系数!$L$5)</f>
        <v>1474.79372324461</v>
      </c>
      <c r="BC67" s="262">
        <f t="shared" si="131"/>
        <v>1445.87619925942</v>
      </c>
      <c r="BD67" s="259">
        <f>BE67+各项系数!$M$9*$NS67</f>
        <v>1472.72437802432</v>
      </c>
      <c r="BE67" s="259">
        <f>BF67*(1+$BI67+(VLOOKUP($AM67,$A$12:$B$214,2,0))+各项系数!$J$6+各项系数!$M$5)*(1+$E$2)</f>
        <v>1464.63192498662</v>
      </c>
      <c r="BF67" s="260">
        <f>BG67+各项系数!$L$9*$NS67</f>
        <v>1494.52237243533</v>
      </c>
      <c r="BG67" s="260">
        <f>BH67*(1+$BJ67+各项系数!$J$5+各项系数!$L$5)</f>
        <v>1486.42991939764</v>
      </c>
      <c r="BH67" s="262">
        <f t="shared" si="132"/>
        <v>1457.28423470356</v>
      </c>
      <c r="BI67" s="277"/>
      <c r="BJ67" s="272"/>
      <c r="BK67" s="69" t="s">
        <v>514</v>
      </c>
      <c r="BL67" s="259">
        <f>BM67+各项系数!$M$9*$NM67</f>
        <v>1468.51316196394</v>
      </c>
      <c r="BM67" s="259">
        <f>BN67*(1+$CF67+(VLOOKUP($AM67,$A$12:$B$323,2,0))+各项系数!$J$6+各项系数!$M$5)*(1+$E$2)</f>
        <v>1460.45845197942</v>
      </c>
      <c r="BN67" s="260">
        <f>BO67+各项系数!$L$9*$NM67</f>
        <v>1490.26372650961</v>
      </c>
      <c r="BO67" s="260">
        <f>BP67*(1+$CG67+各项系数!$J$5+各项系数!$L$5)</f>
        <v>1482.20901652508</v>
      </c>
      <c r="BP67" s="260">
        <f t="shared" si="133"/>
        <v>1439.03788012144</v>
      </c>
      <c r="BQ67" s="259">
        <f>BR67+各项系数!$M$9*$NM67</f>
        <v>1478.31048568839</v>
      </c>
      <c r="BR67" s="259">
        <f>BS67*(1+$CF67+(VLOOKUP($AM67,$A$12:$B$323,2,0))+各项系数!$J$6+各项系数!$M$5)*(1+$E$2)</f>
        <v>1470.25577570386</v>
      </c>
      <c r="BS67" s="260">
        <f>BT67+各项系数!$L$9*$NM67</f>
        <v>1500.26099561619</v>
      </c>
      <c r="BT67" s="260">
        <f>BU67*(1+$CG67+各项系数!$J$5+各项系数!$L$5)</f>
        <v>1492.20628563166</v>
      </c>
      <c r="BU67" s="260">
        <f t="shared" si="134"/>
        <v>1448.74396663268</v>
      </c>
      <c r="BV67" s="259">
        <f>BW67+各项系数!$M$9*$NT67</f>
        <v>1469.26923779436</v>
      </c>
      <c r="BW67" s="259">
        <f>BX67*(1+$CF67+(VLOOKUP($AM67,$A$12:$B$214,2,0))+各项系数!$J$6+各项系数!$M$5)*(1+$E$2)</f>
        <v>1461.17678475666</v>
      </c>
      <c r="BX67" s="260">
        <f>BY67+各项系数!$L$9*$NT$12</f>
        <v>1490.99671913945</v>
      </c>
      <c r="BY67" s="260">
        <f>BZ67*(1+$CG67+各项系数!$J$5+各项系数!$L$5)</f>
        <v>1490.9884557363</v>
      </c>
      <c r="BZ67" s="262">
        <f t="shared" si="11"/>
        <v>1447.56160751097</v>
      </c>
      <c r="CA67" s="259">
        <f>CB67+各项系数!$M$9*$NT67</f>
        <v>1479.08325768257</v>
      </c>
      <c r="CB67" s="259">
        <f>CC67*(1+$CF67+(VLOOKUP($AM67,$A$12:$B$214,2,0))+各项系数!$J$6+各项系数!$M$5)*(1+$E$2)</f>
        <v>1470.99080464487</v>
      </c>
      <c r="CC67" s="260">
        <f>CD67+各项系数!$L$9*$NT$12</f>
        <v>1501.01102514783</v>
      </c>
      <c r="CD67" s="260">
        <f>CE67*(1+$CG67+各项系数!$J$5+各项系数!$L$5)</f>
        <v>1501.00276174467</v>
      </c>
      <c r="CE67" s="262">
        <f t="shared" si="135"/>
        <v>1457.28423470356</v>
      </c>
      <c r="CF67" s="277">
        <f t="shared" si="136"/>
        <v>0</v>
      </c>
      <c r="CG67" s="277">
        <f t="shared" si="12"/>
        <v>0.01</v>
      </c>
      <c r="CH67" s="127"/>
      <c r="CI67" s="259">
        <f>CJ67+各项系数!$M$9*$NO67</f>
        <v>1476.12099993069</v>
      </c>
      <c r="CJ67" s="259">
        <f>CK67*(1+$DC67+(VLOOKUP($AM67,$A$12:$B$323,2,0))+各项系数!$J$6+各项系数!$M$5)*(1+$E$2)+各项系数!$M$9*$NK67</f>
        <v>1465.34848254411</v>
      </c>
      <c r="CK67" s="260">
        <f>CL67+各项系数!$L$9*$NO67</f>
        <v>1487.03446179549</v>
      </c>
      <c r="CL67" s="260">
        <f>CM67*(1+$DD67+各项系数!$J$5+各项系数!$L$5)</f>
        <v>1476.26194440891</v>
      </c>
      <c r="CM67" s="260">
        <f t="shared" si="13"/>
        <v>1447.31563177345</v>
      </c>
      <c r="CN67" s="259">
        <f>CO67+各项系数!$M$9*$NO67</f>
        <v>1487.26144794134</v>
      </c>
      <c r="CO67" s="259">
        <f>CP67*(1+$DC67+(VLOOKUP($AM67,$A$12:$B$323,2,0))+各项系数!$J$6+各项系数!$M$5)*(1+$E$2)+各项系数!$M$9*$NK67</f>
        <v>1476.48893055476</v>
      </c>
      <c r="CP67" s="260">
        <f>CQ67+各项系数!$L$9*$NO67</f>
        <v>1498.40226588799</v>
      </c>
      <c r="CQ67" s="260">
        <f>CR67*(1+$DD67+各项系数!$J$5+各项系数!$L$5)</f>
        <v>1487.62974850141</v>
      </c>
      <c r="CR67" s="260">
        <f t="shared" si="14"/>
        <v>1458.46053774648</v>
      </c>
      <c r="CS67" s="259">
        <f>CT67+各项系数!$M$9*$NU67</f>
        <v>1476.78777934544</v>
      </c>
      <c r="CT67" s="259">
        <f t="shared" si="15"/>
        <v>1465.97694899772</v>
      </c>
      <c r="CU67" s="260">
        <f>CV67+各项系数!$L$9*$NU67</f>
        <v>1495.89484591604</v>
      </c>
      <c r="CV67" s="260">
        <f>CW67*(1+$DD67+各项系数!$J$5+各项系数!$L$5)</f>
        <v>1485.08401556832</v>
      </c>
      <c r="CW67" s="262">
        <f t="shared" si="16"/>
        <v>1455.96472114541</v>
      </c>
      <c r="CX67" s="259">
        <f>CY67+各项系数!$M$9*$NU67</f>
        <v>1488.35615352758</v>
      </c>
      <c r="CY67" s="259">
        <f t="shared" si="17"/>
        <v>1477.54532317986</v>
      </c>
      <c r="CZ67" s="260">
        <f>DA67+各项系数!$L$9*$NU67</f>
        <v>1507.69930936721</v>
      </c>
      <c r="DA67" s="260">
        <f>DB67*(1+$DD67+各项系数!$J$5+各项系数!$L$5)</f>
        <v>1496.88847901948</v>
      </c>
      <c r="DB67" s="262">
        <f t="shared" si="18"/>
        <v>1467.53772452891</v>
      </c>
      <c r="DC67" s="277">
        <f t="shared" si="137"/>
        <v>0</v>
      </c>
      <c r="DD67" s="277">
        <f t="shared" si="19"/>
        <v>0</v>
      </c>
      <c r="DE67" s="69" t="s">
        <v>498</v>
      </c>
      <c r="DF67" s="69" t="s">
        <v>513</v>
      </c>
      <c r="DG67" s="259">
        <f>DH67+各项系数!$M$9*$NQ67</f>
        <v>1492.02765119296</v>
      </c>
      <c r="DH67" s="259">
        <f>DI67*(1+$EA67+(VLOOKUP($AM67,$A$12:$B$323,2,0))+各项系数!$J$6+各项系数!$M$5)*(1+$E$2)+各项系数!$M$9*$NK67</f>
        <v>1481.25513380638</v>
      </c>
      <c r="DI67" s="260">
        <f>DJ67+各项系数!$L$9*$NQ67</f>
        <v>1503.26573859373</v>
      </c>
      <c r="DJ67" s="260">
        <f>DK67*(1+$EB67+各项系数!$J$5+各项系数!$L$5)</f>
        <v>1492.49322120715</v>
      </c>
      <c r="DK67" s="260">
        <f t="shared" si="20"/>
        <v>1449.02254486131</v>
      </c>
      <c r="DL67" s="259">
        <f>DM67+各项系数!$M$9*$NQ67</f>
        <v>1501.96689230937</v>
      </c>
      <c r="DM67" s="259">
        <f>DN67*(1+$EA67+(VLOOKUP($AM67,$A$12:$B$323,2,0))+各项系数!$J$6+各项系数!$M$5)*(1+$E$2)+各项系数!$M$9*$NK67</f>
        <v>1491.19437492279</v>
      </c>
      <c r="DN67" s="260">
        <f>DO67+各项系数!$L$9*$NQ67</f>
        <v>1513.40782136558</v>
      </c>
      <c r="DO67" s="260">
        <f>DP67*(1+$EB67+各项系数!$J$5+各项系数!$L$5)</f>
        <v>1502.635303979</v>
      </c>
      <c r="DP67" s="260">
        <f t="shared" si="21"/>
        <v>1458.86922716408</v>
      </c>
      <c r="DQ67" s="259">
        <f>DR67+各项系数!$M$9*$NV67</f>
        <v>1492.78208594779</v>
      </c>
      <c r="DR67" s="259">
        <f t="shared" si="22"/>
        <v>1481.97125560007</v>
      </c>
      <c r="DS67" s="260">
        <f>DT67+各项系数!$L$9*$NV67</f>
        <v>1512.21556693885</v>
      </c>
      <c r="DT67" s="260">
        <f>DU67*(1+$EB67+各项系数!$J$5+各项系数!$L$5)</f>
        <v>1501.40473659112</v>
      </c>
      <c r="DU67" s="262">
        <f t="shared" si="23"/>
        <v>1457.67450154478</v>
      </c>
      <c r="DV67" s="259">
        <f>DW67+各项系数!$M$9*$NV67</f>
        <v>1491.80862724228</v>
      </c>
      <c r="DW67" s="259">
        <f t="shared" si="24"/>
        <v>1480.99779689455</v>
      </c>
      <c r="DX67" s="260">
        <f>DY67+各项系数!$L$9*$NV67</f>
        <v>1511.22224172914</v>
      </c>
      <c r="DY67" s="260">
        <f>DZ67*(1+$EB67+各项系数!$J$5+各项系数!$L$5)</f>
        <v>1500.41141138142</v>
      </c>
      <c r="DZ67" s="262">
        <f t="shared" si="25"/>
        <v>1456.7101081373</v>
      </c>
      <c r="EA67" s="277">
        <f t="shared" ref="EA67:EA80" si="324">BI67+$EA$2</f>
        <v>0</v>
      </c>
      <c r="EB67" s="277">
        <f t="shared" si="27"/>
        <v>0.01</v>
      </c>
      <c r="EC67" s="302">
        <f t="shared" si="138"/>
        <v>3</v>
      </c>
      <c r="ED67" s="304" t="str">
        <f t="shared" si="266"/>
        <v>3*800</v>
      </c>
      <c r="EE67" s="251">
        <f t="shared" si="239"/>
        <v>800</v>
      </c>
      <c r="EF67" s="95" t="str">
        <f>LOOKUP(EH67,{1,7,10,14,19,24,30,37,48,61},{1,"1+6","2+8","4+10","1+6+12","2+8+14","4+10+16","1+6+12+18","3+9+15+21","1+6+12+18+24"})</f>
        <v>1+6+12+18+24</v>
      </c>
      <c r="EG67" s="250">
        <f t="shared" si="29"/>
        <v>3</v>
      </c>
      <c r="EH67" s="260">
        <f>VLOOKUP(EE67,各项系数!$B$87:$C$124,2,0)</f>
        <v>61</v>
      </c>
      <c r="EI67" s="250">
        <f>IF(EH67=0,0,VLOOKUP(EH67,各项系数!$D$142:$E$195,2,0))*1</f>
        <v>9</v>
      </c>
      <c r="EJ67" s="305">
        <f t="shared" si="141"/>
        <v>404.218837505781</v>
      </c>
      <c r="EK67" s="95">
        <f t="shared" si="318"/>
        <v>0</v>
      </c>
      <c r="EL67" s="251">
        <f t="shared" si="31"/>
        <v>0</v>
      </c>
      <c r="EM67" s="95">
        <f t="shared" si="267"/>
        <v>0</v>
      </c>
      <c r="EN67" s="95">
        <f>IF(EP67=0,0,LOOKUP(EP67,{1,7,10,14,19,24,30,37,48,61},{1,"1+6","2+8","4+10","1+6+12","2+8+14","4+10+16","1+6+12+18","3+9+15+21","1+6+12+18+24"}))</f>
        <v>0</v>
      </c>
      <c r="EO67" s="95">
        <f t="shared" si="319"/>
        <v>0</v>
      </c>
      <c r="EP67" s="95">
        <f>IF(EM67=0,0,IF(EM67&lt;10,1,IF(AND(EM67&gt;=10,EM67&lt;=35),7,LOOKUP(EM67,{50,70,95,120,150,185,240,300},{10,14,19,24,30,37,48,61})*1)))</f>
        <v>0</v>
      </c>
      <c r="EQ67" s="251">
        <f>IF(EP67=0,0,VLOOKUP(EP67,各项系数!$D$142:$E$195,2,0))*1</f>
        <v>0</v>
      </c>
      <c r="ER67" s="95">
        <f t="shared" si="320"/>
        <v>0</v>
      </c>
      <c r="ES67" s="304">
        <f t="shared" si="321"/>
        <v>3</v>
      </c>
      <c r="ET67" s="251">
        <f>VLOOKUP(ES67,各项系数!$D$142:$E$195,2,0)*1</f>
        <v>2.16</v>
      </c>
      <c r="EU67" s="311">
        <f>((各项系数!$F$76/4*$EJ67^2*$EG67*$EH67*1*10^-7)*(1-$H67)*AA67)*(VLOOKUP($EY$9,各项系数!$D$4:$F$143,3,0))*各项系数!$J$4</f>
        <v>21.3961746881558</v>
      </c>
      <c r="EV67" s="312">
        <f>EU67*(VLOOKUP($EY$9,各项系数!$D$4:$F$143,2,0))</f>
        <v>1401.4494420742</v>
      </c>
      <c r="EW67" s="324">
        <f>(IF($EO67=0,0,(各项系数!$F$76/4*$ER67^2*$EO67*$EP67*1*10^-7))*(1-$K67)*$AF67)*(VLOOKUP($EY$9,各项系数!$D$4:$F$143,3,0))*各项系数!$J$4</f>
        <v>0</v>
      </c>
      <c r="EX67" s="325">
        <f>EW67*(VLOOKUP($EY$9,各项系数!$D$4:$F$143,2,0))</f>
        <v>0</v>
      </c>
      <c r="EY67" s="251">
        <f>((各项系数!$F$76/4*$EJ67^2*$EG67*$EH67*1*10^-7)*(1-$H67)*AA67+IF($EO67=0,0,(各项系数!$F$76/4*$ER67^2*$EO67*$EP67*1*10^-7))*(1-$K67)*$AF67)*(VLOOKUP($EY$9,各项系数!$D$4:$F$143,3,0))*各项系数!$J$4</f>
        <v>21.3961746881558</v>
      </c>
      <c r="EZ67" s="123">
        <v>1</v>
      </c>
      <c r="FA67" s="251">
        <f t="shared" si="268"/>
        <v>21.3961746881558</v>
      </c>
      <c r="FB67" s="326">
        <f>FA67*(VLOOKUP($EY$9,各项系数!$D$4:$F$143,2,0))</f>
        <v>1401.4494420742</v>
      </c>
      <c r="FC67" s="329"/>
      <c r="FD67" s="302">
        <f>各项系数!$F$76/4*($MN67^2-MK67^2)*10^-2*(VLOOKUP(L67,各项系数!$D$1:$F$143,3,0))*10^-3*10^2*$EG67*各项系数!$J$4</f>
        <v>1.04543896439943</v>
      </c>
      <c r="FE67" s="339">
        <f>FD67*VLOOKUP(L67,各项系数!$D$1:$F$143,2,0)</f>
        <v>10.6634774368742</v>
      </c>
      <c r="FF67" s="250">
        <f>各项系数!$F$76/4*($MO67^2-ML67^2)*10^-2*(VLOOKUP(L67,各项系数!$D$1:$F$143,3,0))*10^-3*10^2*$EO67*各项系数!$J$4</f>
        <v>0</v>
      </c>
      <c r="FG67" s="339">
        <f>FF67*VLOOKUP(L67,各项系数!$D$1:$F$143,2,0)</f>
        <v>0</v>
      </c>
      <c r="FH67" s="302">
        <f t="shared" si="142"/>
        <v>1.04543896439943</v>
      </c>
      <c r="FI67" s="123">
        <v>1</v>
      </c>
      <c r="FJ67" s="251">
        <f t="shared" si="269"/>
        <v>1.04543896439943</v>
      </c>
      <c r="FK67" s="339">
        <f>FJ67*VLOOKUP(L67,各项系数!$D$1:$F$143,2,0)</f>
        <v>10.6634774368742</v>
      </c>
      <c r="FL67" s="304"/>
      <c r="FM67" s="127"/>
      <c r="FN67" s="251"/>
      <c r="FO67" s="339"/>
      <c r="FP67" s="364">
        <f t="shared" si="270"/>
        <v>1.04543896439943</v>
      </c>
      <c r="FQ67" s="364">
        <f t="shared" si="271"/>
        <v>10.6634774368742</v>
      </c>
      <c r="FR67" s="365">
        <f>各项系数!$F$76/4*($MQ67^2-$MN67^2*$EG67-$MO67^2*$EO67)*10^-2</f>
        <v>22.6163856489856</v>
      </c>
      <c r="FS67" s="366">
        <f t="shared" si="143"/>
        <v>1</v>
      </c>
      <c r="FT67" s="367">
        <f t="shared" si="40"/>
        <v>22.6163856489856</v>
      </c>
      <c r="FU67" s="388">
        <f>$FT67*(VLOOKUP($FT$9,各项系数!$D$1:$F$143,3,0))*10^-3*10^2*各项系数!$J$55</f>
        <v>2.70039644648888</v>
      </c>
      <c r="FV67" s="389">
        <v>1</v>
      </c>
      <c r="FW67" s="390">
        <f t="shared" si="272"/>
        <v>2.70039644648888</v>
      </c>
      <c r="FX67" s="367">
        <f>FW67*(VLOOKUP($FT$9,各项系数!$D$1:$F$143,2,0))</f>
        <v>8.10118933946664</v>
      </c>
      <c r="FY67" s="388">
        <f>IF($BK67&lt;&gt;$FY$9,0,各项系数!$F$76/4*($MS67^2-$MQ67^2)*10^-2*(VLOOKUP($FY$9,各项系数!$D$1:$F$143,3,0))*10^-3*10^2)*各项系数!$J$4</f>
        <v>0</v>
      </c>
      <c r="FZ67" s="389">
        <v>1</v>
      </c>
      <c r="GA67" s="390">
        <f t="shared" si="273"/>
        <v>0</v>
      </c>
      <c r="GB67" s="367">
        <f>GA67*(VLOOKUP($FY$9,各项系数!$D$1:$F$143,2,0))</f>
        <v>0</v>
      </c>
      <c r="GC67" s="388">
        <f>IF($BK67&lt;&gt;$GC$9,0,各项系数!$F$76/4*($MS67^2-$MQ67^2)*10^-2*(VLOOKUP($GC$9,各项系数!$D$1:$F$143,3,0))*10^-3*10^2)*各项系数!$J$4</f>
        <v>0.0244822426728545</v>
      </c>
      <c r="GD67" s="389">
        <v>1</v>
      </c>
      <c r="GE67" s="390">
        <f t="shared" si="274"/>
        <v>0.0244822426728545</v>
      </c>
      <c r="GF67" s="367">
        <f>GE67*(VLOOKUP($GC$9,各项系数!$D$1:$F$143,2,0))</f>
        <v>0.315820930479822</v>
      </c>
      <c r="GG67" s="388">
        <f>IF($BK67&lt;&gt;$GG$9,0,各项系数!$F$76/4*($MS67^2-$MQ67^2)*10^-2*(VLOOKUP($GG$9,各项系数!$D$1:$F$143,3,0))*10^-3*10^2)*各项系数!$J$4</f>
        <v>0</v>
      </c>
      <c r="GH67" s="389">
        <v>1</v>
      </c>
      <c r="GI67" s="390">
        <f t="shared" si="275"/>
        <v>0</v>
      </c>
      <c r="GJ67" s="367">
        <f>GI67*(VLOOKUP($GG$9,各项系数!$D$1:$F$143,2,0))</f>
        <v>0</v>
      </c>
      <c r="GK67" s="388">
        <f>IF($BK67&lt;&gt;$GK$9,0,各项系数!$F$76/4*($MS67^2-$MQ67^2)*10^-2*(VLOOKUP($GK$9,各项系数!$D$1:$F$143,3,0))*10^-3*10^2)*各项系数!$J$4</f>
        <v>0</v>
      </c>
      <c r="GL67" s="389">
        <v>1</v>
      </c>
      <c r="GM67" s="390">
        <f t="shared" si="276"/>
        <v>0</v>
      </c>
      <c r="GN67" s="367">
        <f>GM67*(VLOOKUP($GK$9,各项系数!$D$1:$F$143,2,0))</f>
        <v>0</v>
      </c>
      <c r="GO67" s="390">
        <f t="shared" si="277"/>
        <v>0.0244822426728545</v>
      </c>
      <c r="GP67" s="390">
        <f t="shared" si="278"/>
        <v>0.315820930479822</v>
      </c>
      <c r="GQ67" s="406">
        <f>各项系数!$F$76/4*($MU67^2-$MS67^2)*10^-2*(VLOOKUP($S67,各项系数!$D$1:$F$143,3,0))*10^-3*10^2*各项系数!$J$4</f>
        <v>1.66353082465064</v>
      </c>
      <c r="GR67" s="389">
        <v>1</v>
      </c>
      <c r="GS67" s="390">
        <f t="shared" si="279"/>
        <v>1.66353082465064</v>
      </c>
      <c r="GT67" s="390">
        <f t="shared" si="200"/>
        <v>0</v>
      </c>
      <c r="GU67" s="390">
        <f>ROUND($GS67*(VLOOKUP($S67,各项系数!$D$1:$F$143,2,0))+$E$3*GS67,GT67)</f>
        <v>10</v>
      </c>
      <c r="GV67" s="406">
        <f>各项系数!$F$76/4*($MT67^2-$MS67^2)*10^-2*(VLOOKUP($GV$9,各项系数!$D$1:$F$143,3,0))*10^-3*10^2*各项系数!$J$4*PI()/4*R67</f>
        <v>0.125810177228631</v>
      </c>
      <c r="GW67" s="389">
        <v>1</v>
      </c>
      <c r="GX67" s="390">
        <f t="shared" si="280"/>
        <v>0.125810177228631</v>
      </c>
      <c r="GY67" s="390">
        <f>$GX67*(VLOOKUP($GV$9,各项系数!$D$1:$F$143,2,0))</f>
        <v>8.4921869629326</v>
      </c>
      <c r="GZ67" s="406">
        <f>各项系数!$F$76/4*($MV67^2-$MS67^2)*10^-2*(VLOOKUP($GZ$9,各项系数!$D$1:$F$143,3,0))*10^-3*10^2*各项系数!$J$4</f>
        <v>1.65964922656804</v>
      </c>
      <c r="HA67" s="389">
        <v>1</v>
      </c>
      <c r="HB67" s="390">
        <f t="shared" si="144"/>
        <v>1.65964922656804</v>
      </c>
      <c r="HC67" s="390">
        <f>HB67*(VLOOKUP($GZ$9,各项系数!$D$1:$F$143,2,0))</f>
        <v>28.2140368516567</v>
      </c>
      <c r="HD67" s="406">
        <f>各项系数!$F$76/4*($MW67^2-$MT67^2)*10^-2*(VLOOKUP($HD$9,各项系数!$D$1:$F$143,3,0))*10^-3*10^2*各项系数!$J$4</f>
        <v>1.66247752703584</v>
      </c>
      <c r="HE67" s="389">
        <v>1</v>
      </c>
      <c r="HF67" s="390">
        <f t="shared" si="145"/>
        <v>1.66247752703584</v>
      </c>
      <c r="HG67" s="390">
        <f>HF67*(VLOOKUP($HD$9,各项系数!$D$1:$F$143,2,0))</f>
        <v>28.2621179596093</v>
      </c>
      <c r="HH67" s="406">
        <f>各项系数!$F$76/4*($MV67^2-$MS67^2)*10^-2*(VLOOKUP($HH$9,各项系数!$D$1:$F$143,3,0))*10^-3*10^2*各项系数!$J$4</f>
        <v>1.65964922656804</v>
      </c>
      <c r="HI67" s="420">
        <v>1</v>
      </c>
      <c r="HJ67" s="390">
        <f t="shared" si="146"/>
        <v>1.65964922656804</v>
      </c>
      <c r="HK67" s="390">
        <f>HJ67*(VLOOKUP($HH$9,各项系数!$D$1:$F$143,2,0))</f>
        <v>28.2140368516567</v>
      </c>
      <c r="HL67" s="406">
        <f>各项系数!$F$76/4*($MW67^2-$MT67^2)*10^-2*(VLOOKUP($HL$9,各项系数!$D$1:$F$143,3,0))*10^-3*10^2*各项系数!$J$4</f>
        <v>1.66247752703584</v>
      </c>
      <c r="HM67" s="420">
        <v>1</v>
      </c>
      <c r="HN67" s="390">
        <f t="shared" si="147"/>
        <v>1.66247752703584</v>
      </c>
      <c r="HO67" s="390">
        <f>HN67*(VLOOKUP($HL$9,各项系数!$D$1:$F$143,2,0))</f>
        <v>28.2621179596093</v>
      </c>
      <c r="HP67" s="406">
        <f>各项系数!$F$76/4*($MV67^2-$MS67^2)*10^-2*(VLOOKUP(AN67,各项系数!$D$1:$F$143,3,0))*10^-3*10^2*各项系数!$J$4</f>
        <v>1.68254094003794</v>
      </c>
      <c r="HQ67" s="389">
        <v>1</v>
      </c>
      <c r="HR67" s="390">
        <f t="shared" si="281"/>
        <v>1.68254094003794</v>
      </c>
      <c r="HS67" s="390">
        <f>HR67*(VLOOKUP(AN67,各项系数!$D$1:$F$143,2,0))</f>
        <v>16.8254094003794</v>
      </c>
      <c r="HT67" s="406">
        <f>各项系数!$F$76/4*($MW67^2-$MT67^2)*10^-2*(VLOOKUP(AN67,各项系数!$D$1:$F$143,3,0))*10^-3*10^2*各项系数!$J$4</f>
        <v>1.68540825154668</v>
      </c>
      <c r="HU67" s="389">
        <v>1</v>
      </c>
      <c r="HV67" s="390">
        <f t="shared" si="282"/>
        <v>1.68540825154668</v>
      </c>
      <c r="HW67" s="390">
        <f>HV67*(VLOOKUP(AN67,各项系数!$D$1:$F$143,2,0))</f>
        <v>16.8540825154668</v>
      </c>
      <c r="HX67" s="406">
        <f>各项系数!$F$76/4*($MV67^2-$MS67^2)*10^-2*(VLOOKUP($HX$9,各项系数!$D$1:$F$143,3,0))*10^-3*10^2*各项系数!$J$4</f>
        <v>1.68254094003794</v>
      </c>
      <c r="HY67" s="420">
        <v>1</v>
      </c>
      <c r="HZ67" s="390">
        <f t="shared" si="283"/>
        <v>1.68254094003794</v>
      </c>
      <c r="IA67" s="390">
        <f>HZ67*(VLOOKUP($HX$9,各项系数!$D$1:$F$143,2,0))</f>
        <v>18.5079503404174</v>
      </c>
      <c r="IB67" s="406">
        <f>各项系数!$F$76/4*($MW67^2-$MT67^2)*10^-2*(VLOOKUP($IB$9,各项系数!$D$1:$F$143,3,0))*10^-3*10^2*各项系数!$J$4</f>
        <v>1.68540825154668</v>
      </c>
      <c r="IC67" s="420">
        <v>1</v>
      </c>
      <c r="ID67" s="390">
        <f t="shared" si="284"/>
        <v>1.68540825154668</v>
      </c>
      <c r="IE67" s="390">
        <f>ID67*(VLOOKUP($IB$9,各项系数!$D$1:$F$143,2,0))</f>
        <v>18.5394907670135</v>
      </c>
      <c r="IF67" s="395"/>
      <c r="IG67" s="406">
        <f t="shared" si="148"/>
        <v>0.154786272784713</v>
      </c>
      <c r="IH67" s="389">
        <v>1</v>
      </c>
      <c r="II67" s="390">
        <f t="shared" si="285"/>
        <v>0.154786272784713</v>
      </c>
      <c r="IJ67" s="390">
        <f>II67*(VLOOKUP($IG$8,各项系数!$D$1:$F$143,2,0))</f>
        <v>3.86965681961783</v>
      </c>
      <c r="IK67" s="406">
        <f>(各项系数!$F$76/4*($MX67^2-$MK67^2)*$EG67)*10^-2*(VLOOKUP($IG$8,各项系数!$D$1:$F$143,3,0))*10^-3*10^2*各项系数!$J$4</f>
        <v>0.154786272784713</v>
      </c>
      <c r="IL67" s="389">
        <f>IK67*(VLOOKUP($IG$8,各项系数!$D$1:$F$143,2,0))</f>
        <v>3.86965681961783</v>
      </c>
      <c r="IM67" s="390">
        <f>(各项系数!$F$76/4*(($MM67+3*$X67)^2-MM67^2)*$EO67)*10^-2*(VLOOKUP($IG$8,各项系数!$D$1:$F$143,3,0))*10^-3*10^2*各项系数!$J$4</f>
        <v>0</v>
      </c>
      <c r="IN67" s="389">
        <f>IM67*(VLOOKUP($IG$8,各项系数!$D$1:$F$143,2,0))</f>
        <v>0</v>
      </c>
      <c r="IO67" s="406">
        <f>各项系数!$F$76/4*($MZ67^2-$MX67^2)*10^-2*(VLOOKUP(L67,各项系数!$D$1:$F$143,3,0))*10^-3*10^2*$ES67*各项系数!$J$4</f>
        <v>1.0615310187852</v>
      </c>
      <c r="IP67" s="389">
        <v>1</v>
      </c>
      <c r="IQ67" s="390">
        <f t="shared" si="286"/>
        <v>1.0615310187852</v>
      </c>
      <c r="IR67" s="367">
        <f>IQ67*(VLOOKUP(L67,各项系数!$D$1:$F$143,2,0))</f>
        <v>10.8276163916091</v>
      </c>
      <c r="IS67" s="406">
        <f>IF($L67&lt;&gt;$IS$9,0,各项系数!$F$76/4*($MZ67^2-$MX67^2)*10^-2*各项系数!$F$12*10^-3*10^2)*$ES67*各项系数!$J$4</f>
        <v>0</v>
      </c>
      <c r="IT67" s="396">
        <v>1</v>
      </c>
      <c r="IU67" s="390">
        <f t="shared" si="287"/>
        <v>0</v>
      </c>
      <c r="IV67" s="367">
        <f>IU67*各项系数!$E$12</f>
        <v>0</v>
      </c>
      <c r="IW67" s="388">
        <f t="shared" si="288"/>
        <v>1.0615310187852</v>
      </c>
      <c r="IX67" s="388">
        <f t="shared" si="289"/>
        <v>10.8276163916091</v>
      </c>
      <c r="IY67" s="447">
        <f>各项系数!$F$76/4*($NB67^2-$MZ67^2*$EG67-$NA67^2*$EO67)*10^-2</f>
        <v>23.2738093457537</v>
      </c>
      <c r="IZ67" s="366">
        <f t="shared" si="231"/>
        <v>1</v>
      </c>
      <c r="JA67" s="367">
        <f t="shared" si="64"/>
        <v>23.2738093457537</v>
      </c>
      <c r="JB67" s="364">
        <f>IF($DE67&lt;&gt;$JB$9,0,$JA67*各项系数!$F$32*10^-3*10^2)*各项系数!$J$4</f>
        <v>0</v>
      </c>
      <c r="JC67" s="123">
        <v>1</v>
      </c>
      <c r="JD67" s="251">
        <f t="shared" si="290"/>
        <v>0</v>
      </c>
      <c r="JE67" s="339">
        <f>JD67*各项系数!$E$32</f>
        <v>0</v>
      </c>
      <c r="JF67" s="364">
        <f>IF($DE67&lt;&gt;$JF$9,0,$JA67*VLOOKUP($JF$9,各项系数!$D$4:$F$540,2,0)*10^-3*10^2)*各项系数!$J$4</f>
        <v>11.5787201495125</v>
      </c>
      <c r="JG67" s="123">
        <v>1</v>
      </c>
      <c r="JH67" s="251">
        <f t="shared" si="66"/>
        <v>11.5787201495125</v>
      </c>
      <c r="JI67" s="339">
        <f>JH67*VLOOKUP($JF$9,各项系数!$D$4:$F$540,3,0)</f>
        <v>13.894464179415</v>
      </c>
      <c r="JJ67" s="364">
        <f t="shared" si="291"/>
        <v>11.5787201495125</v>
      </c>
      <c r="JK67" s="251">
        <f t="shared" si="292"/>
        <v>13.894464179415</v>
      </c>
      <c r="JL67" s="364">
        <f>IF($DF67&lt;&gt;$JL$9,0,各项系数!$F$76/4*($NE67^2-$NC67^2)*10^-2*各项系数!$F$39*10^-3*10^2)*各项系数!$J$4</f>
        <v>0.0102660714989335</v>
      </c>
      <c r="JM67" s="123">
        <v>1</v>
      </c>
      <c r="JN67" s="251">
        <f t="shared" si="293"/>
        <v>0.0102660714989335</v>
      </c>
      <c r="JO67" s="339">
        <f>JN67*各项系数!$E$39</f>
        <v>0.20532142997867</v>
      </c>
      <c r="JP67" s="364">
        <f>IF($DF67&lt;&gt;$JP$9,0,各项系数!$F$76/4*($NE67^2-$NC67^2)*10^-2*各项系数!$F$36*10^-3*10^2)*各项系数!$J$4</f>
        <v>0</v>
      </c>
      <c r="JQ67" s="123">
        <v>1</v>
      </c>
      <c r="JR67" s="251">
        <f t="shared" si="294"/>
        <v>0</v>
      </c>
      <c r="JS67" s="339">
        <f>JR67*各项系数!$E$36</f>
        <v>0</v>
      </c>
      <c r="JT67" s="364">
        <f>IF($DF67&lt;&gt;$JT$9,0,各项系数!$F$76/4*($NE67^2-$NC67^2)*10^-2*各项系数!$F$40*10^-3*10^2)*各项系数!$J$4</f>
        <v>0</v>
      </c>
      <c r="JU67" s="123">
        <v>1</v>
      </c>
      <c r="JV67" s="251">
        <f t="shared" si="295"/>
        <v>0</v>
      </c>
      <c r="JW67" s="339">
        <f>JV67*各项系数!$E$40</f>
        <v>0</v>
      </c>
      <c r="JX67" s="364">
        <f>IF($DF67&lt;&gt;$JX$9,0,各项系数!$F$76/4*($NE67^2-$NC67^2)*10^-2*各项系数!$F$38*10^-3*10^2)*各项系数!$J$4</f>
        <v>0</v>
      </c>
      <c r="JY67" s="123">
        <v>1</v>
      </c>
      <c r="JZ67" s="251">
        <f t="shared" si="296"/>
        <v>0</v>
      </c>
      <c r="KA67" s="339">
        <f>JZ67*各项系数!$E$38</f>
        <v>0</v>
      </c>
      <c r="KB67" s="364">
        <f>IF($DF67&lt;&gt;$KB$9,0,各项系数!$F$76/4*($NE67^2-$NC67^2)*10^-2*各项系数!$F$41*10^-3*10^2)*各项系数!$J$4</f>
        <v>0</v>
      </c>
      <c r="KC67" s="123">
        <v>1</v>
      </c>
      <c r="KD67" s="251">
        <f t="shared" si="297"/>
        <v>0</v>
      </c>
      <c r="KE67" s="339">
        <f>KD67*各项系数!$E$41</f>
        <v>0</v>
      </c>
      <c r="KF67" s="251">
        <f t="shared" si="298"/>
        <v>0.0102660714989335</v>
      </c>
      <c r="KG67" s="251">
        <f t="shared" si="299"/>
        <v>0.20532142997867</v>
      </c>
      <c r="KH67" s="302">
        <f>各项系数!$F$76/4*($NG67^2-$NE67^2)*10^-2*各项系数!$F$44*10^-3*10^2*各项系数!$J$4*0.75*$U67</f>
        <v>2.53269619694179</v>
      </c>
      <c r="KI67" s="123">
        <v>1</v>
      </c>
      <c r="KJ67" s="251">
        <f t="shared" si="300"/>
        <v>2.53269619694179</v>
      </c>
      <c r="KK67" s="251">
        <f>ROUND(KJ67*各项系数!$E$43,GT67)</f>
        <v>15</v>
      </c>
      <c r="KL67" s="302">
        <f>各项系数!$F$76/4*($NF67^2-$NE67^2)*10^-2*各项系数!$F$46*10^-3*10^2*各项系数!$J$4*PI()/4*R67</f>
        <v>0.127709870472246</v>
      </c>
      <c r="KM67" s="123">
        <v>1</v>
      </c>
      <c r="KN67" s="251">
        <f t="shared" si="301"/>
        <v>0.127709870472246</v>
      </c>
      <c r="KO67" s="251">
        <f>KN67*各项系数!$E$46</f>
        <v>8.62041625687657</v>
      </c>
      <c r="KP67" s="302">
        <f>各项系数!$F$76/4*($NH67^2-$NE67^2)*10^-2*(VLOOKUP($KP$9,各项系数!$D$1:$F$143,3,0))*10^-3*10^2*各项系数!$J$4</f>
        <v>1.68368978054437</v>
      </c>
      <c r="KQ67" s="123">
        <v>1</v>
      </c>
      <c r="KR67" s="251">
        <f t="shared" si="150"/>
        <v>1.68368978054437</v>
      </c>
      <c r="KS67" s="251">
        <f>KR67*(VLOOKUP($KP$9,各项系数!$D$1:$F$143,2,0))</f>
        <v>28.6227262692543</v>
      </c>
      <c r="KT67" s="302">
        <f>各项系数!$F$76/4*($NI67^2-$NF67^2)*10^-2*(VLOOKUP($KT$9,各项系数!$D$1:$F$143,3,0))*10^-3*10^2*各项系数!$J$4</f>
        <v>1.68651808101217</v>
      </c>
      <c r="KU67" s="123">
        <v>1</v>
      </c>
      <c r="KV67" s="251">
        <f t="shared" si="151"/>
        <v>1.68651808101217</v>
      </c>
      <c r="KW67" s="251">
        <f>KV67*(VLOOKUP($KT$9,各项系数!$D$1:$F$143,2,0))</f>
        <v>28.6708073772069</v>
      </c>
      <c r="KX67" s="251">
        <f>各项系数!$F$76/4*($NH67^2-$NE67^2)*10^-2*(VLOOKUP($KX$9,各项系数!$D$1:$F$143,3,0))*10^-3*10^2*各项系数!$J$4</f>
        <v>1.68368978054437</v>
      </c>
      <c r="KY67" s="479">
        <v>1</v>
      </c>
      <c r="KZ67" s="251">
        <f t="shared" si="152"/>
        <v>1.68368978054437</v>
      </c>
      <c r="LA67" s="251">
        <f>KZ67*(VLOOKUP($KX$9,各项系数!$D$1:$F$143,2,0))</f>
        <v>28.6227262692543</v>
      </c>
      <c r="LB67" s="251">
        <f>各项系数!$F$76/4*($NI67^2-$NF67^2)*10^-2*(VLOOKUP($LB$9,各项系数!$D$1:$F$143,3,0))*10^-3*10^2*各项系数!$J$4</f>
        <v>1.68651808101217</v>
      </c>
      <c r="LC67" s="479">
        <v>1</v>
      </c>
      <c r="LD67" s="251">
        <f t="shared" si="153"/>
        <v>1.68651808101217</v>
      </c>
      <c r="LE67" s="251">
        <f>LD67*(VLOOKUP($LB$9,各项系数!$D$1:$F$143,2,0))</f>
        <v>28.6708073772069</v>
      </c>
      <c r="LF67" s="302">
        <f>各项系数!$F$76/4*($NH67^2-$NE67^2)*10^-2*(VLOOKUP(AN67,各项系数!$D$1:$F$143,3,0))*10^-3*10^2*各项系数!$J$4</f>
        <v>1.70691308786222</v>
      </c>
      <c r="LG67" s="123">
        <v>1</v>
      </c>
      <c r="LH67" s="251">
        <f t="shared" si="302"/>
        <v>1.70691308786222</v>
      </c>
      <c r="LI67" s="251">
        <f>LH67*(VLOOKUP(AN67,各项系数!$D$1:$F$143,2,0))</f>
        <v>17.0691308786222</v>
      </c>
      <c r="LJ67" s="302">
        <f>各项系数!$F$76/4*($NI67^2-$NF67^2)*10^-2*(VLOOKUP(AN67,各项系数!$D$1:$F$143,3,0))*10^-3*10^2*各项系数!$J$4</f>
        <v>1.70978039937096</v>
      </c>
      <c r="LK67" s="123">
        <v>1</v>
      </c>
      <c r="LL67" s="251">
        <f t="shared" si="303"/>
        <v>1.70978039937096</v>
      </c>
      <c r="LM67" s="251">
        <f>LL67*(VLOOKUP(AN67,各项系数!$D$1:$F$143,2,0))</f>
        <v>17.0978039937096</v>
      </c>
      <c r="LN67" s="251">
        <f>各项系数!$F$76/4*($NH67^2-$NE67^2)*10^-2*(VLOOKUP($LN$9,各项系数!$D$1:$F$143,3,0))*10^-3*10^2*各项系数!$J$4</f>
        <v>1.70691308786222</v>
      </c>
      <c r="LO67" s="479">
        <v>1</v>
      </c>
      <c r="LP67" s="251">
        <f t="shared" si="304"/>
        <v>1.70691308786222</v>
      </c>
      <c r="LQ67" s="251">
        <f>LP67*(VLOOKUP($LN$9,各项系数!$D$1:$F$143,2,0))</f>
        <v>18.7760439664844</v>
      </c>
      <c r="LR67" s="251">
        <f>各项系数!$F$76/4*($NI67^2-$NF67^2)*10^-2*(VLOOKUP($LR$9,各项系数!$D$1:$F$143,3,0))*10^-3*10^2*各项系数!$J$4</f>
        <v>1.70978039937096</v>
      </c>
      <c r="LS67" s="479">
        <v>1</v>
      </c>
      <c r="LT67" s="251">
        <f t="shared" si="305"/>
        <v>1.70978039937096</v>
      </c>
      <c r="LU67" s="251">
        <f>LT67*(VLOOKUP($LR$9,各项系数!$D$1:$F$143,2,0))</f>
        <v>18.8075843930805</v>
      </c>
      <c r="LV67" s="499">
        <f t="shared" si="154"/>
        <v>3118.38155905</v>
      </c>
      <c r="LW67" s="499">
        <f t="shared" si="155"/>
        <v>2348.41080373</v>
      </c>
      <c r="LX67" s="499">
        <f t="shared" si="156"/>
        <v>54.6817108601434</v>
      </c>
      <c r="LY67" s="515">
        <f t="shared" si="157"/>
        <v>769.97075532</v>
      </c>
      <c r="LZ67" s="516">
        <f t="shared" si="86"/>
        <v>1</v>
      </c>
      <c r="MA67" s="517">
        <f t="shared" si="87"/>
        <v>3118.38155905</v>
      </c>
      <c r="MB67" s="517">
        <f t="shared" si="158"/>
        <v>36.37969542</v>
      </c>
      <c r="MC67" s="499">
        <f t="shared" si="159"/>
        <v>0</v>
      </c>
      <c r="MD67" s="499">
        <f t="shared" si="160"/>
        <v>0</v>
      </c>
      <c r="ME67" s="499">
        <f t="shared" si="161"/>
        <v>0</v>
      </c>
      <c r="MF67" s="499">
        <f t="shared" si="162"/>
        <v>0</v>
      </c>
      <c r="MG67" s="516">
        <f t="shared" si="163"/>
        <v>1</v>
      </c>
      <c r="MH67" s="517">
        <f t="shared" si="88"/>
        <v>0</v>
      </c>
      <c r="MI67" s="517">
        <f t="shared" si="164"/>
        <v>0</v>
      </c>
      <c r="MJ67" s="251">
        <f t="shared" si="89"/>
        <v>36.37969542</v>
      </c>
      <c r="MK67" s="251">
        <f t="shared" si="165"/>
        <v>36.37969542</v>
      </c>
      <c r="ML67" s="251">
        <f t="shared" si="306"/>
        <v>0</v>
      </c>
      <c r="MM67" s="251">
        <f t="shared" si="91"/>
        <v>0</v>
      </c>
      <c r="MN67" s="251">
        <f t="shared" si="92"/>
        <v>41.57969542</v>
      </c>
      <c r="MO67" s="251">
        <f t="shared" si="166"/>
        <v>0</v>
      </c>
      <c r="MP67" s="251">
        <f t="shared" si="167"/>
        <v>89.81214211</v>
      </c>
      <c r="MQ67" s="251">
        <f t="shared" si="307"/>
        <v>89.81214211</v>
      </c>
      <c r="MR67" s="314">
        <f t="shared" si="168"/>
        <v>89.81214211</v>
      </c>
      <c r="MS67" s="530">
        <f t="shared" si="94"/>
        <v>89.98814211</v>
      </c>
      <c r="MT67" s="530">
        <f t="shared" si="95"/>
        <v>90.14814211</v>
      </c>
      <c r="MU67" s="530">
        <f t="shared" si="232"/>
        <v>91.48814211</v>
      </c>
      <c r="MV67" s="530">
        <f t="shared" si="97"/>
        <v>97.78814211</v>
      </c>
      <c r="MW67" s="530">
        <f t="shared" si="98"/>
        <v>97.94814211</v>
      </c>
      <c r="MX67" s="326">
        <f t="shared" si="233"/>
        <v>36.97969542</v>
      </c>
      <c r="MY67" s="326">
        <f t="shared" si="100"/>
        <v>0</v>
      </c>
      <c r="MZ67" s="251">
        <f t="shared" si="101"/>
        <v>42.17969542</v>
      </c>
      <c r="NA67" s="251">
        <f t="shared" si="102"/>
        <v>0</v>
      </c>
      <c r="NB67" s="251">
        <f t="shared" si="169"/>
        <v>91.10814211</v>
      </c>
      <c r="NC67" s="326">
        <f t="shared" si="308"/>
        <v>91.10814211</v>
      </c>
      <c r="ND67" s="314">
        <f t="shared" si="234"/>
        <v>91.10814211</v>
      </c>
      <c r="NE67" s="537">
        <f t="shared" si="235"/>
        <v>91.34814211</v>
      </c>
      <c r="NF67" s="530">
        <f t="shared" si="106"/>
        <v>91.50814211</v>
      </c>
      <c r="NG67" s="538">
        <f t="shared" si="236"/>
        <v>92.84814211</v>
      </c>
      <c r="NH67" s="326">
        <f t="shared" si="108"/>
        <v>99.14814211</v>
      </c>
      <c r="NI67" s="530">
        <f t="shared" si="109"/>
        <v>99.30814211</v>
      </c>
      <c r="NK67" s="539">
        <f t="shared" si="110"/>
        <v>26.8490332817549</v>
      </c>
      <c r="NL67" s="539">
        <f t="shared" si="111"/>
        <v>1437.3553391814</v>
      </c>
      <c r="NM67" s="539">
        <f t="shared" si="112"/>
        <v>26.8490332817549</v>
      </c>
      <c r="NN67" s="539">
        <f t="shared" si="113"/>
        <v>1439.03788012144</v>
      </c>
      <c r="NO67" s="539">
        <f t="shared" si="114"/>
        <v>35.9083912885993</v>
      </c>
      <c r="NP67" s="539">
        <f t="shared" si="115"/>
        <v>1447.31563177344</v>
      </c>
      <c r="NQ67" s="539">
        <f t="shared" si="116"/>
        <v>35.9083912885993</v>
      </c>
      <c r="NR67" s="539">
        <f t="shared" si="117"/>
        <v>1449.02254486131</v>
      </c>
      <c r="NS67" s="539">
        <f t="shared" si="118"/>
        <v>26.9748434589835</v>
      </c>
      <c r="NT67" s="539">
        <f t="shared" si="119"/>
        <v>26.9748434589835</v>
      </c>
      <c r="NU67" s="539">
        <f t="shared" si="120"/>
        <v>36.0361011590716</v>
      </c>
      <c r="NV67" s="539">
        <f t="shared" si="121"/>
        <v>36.0361011590716</v>
      </c>
      <c r="NW67">
        <f t="shared" si="122"/>
        <v>28.5125641064055</v>
      </c>
      <c r="NX67">
        <f>各项系数!$M$9*NK67</f>
        <v>8.05470998452646</v>
      </c>
      <c r="NY67">
        <f t="shared" si="123"/>
        <v>26.9748434589835</v>
      </c>
    </row>
    <row r="68" s="11" customFormat="1" customHeight="1" spans="1:389">
      <c r="A68" s="81"/>
      <c r="B68" s="98"/>
      <c r="C68" s="83"/>
      <c r="D68" s="74" t="s">
        <v>196</v>
      </c>
      <c r="E68" s="550">
        <f t="shared" ref="E68:E109" si="325">MV68</f>
        <v>16.68405942</v>
      </c>
      <c r="F68" s="84">
        <f>$F$20</f>
        <v>131.130294998433</v>
      </c>
      <c r="G68" s="74"/>
      <c r="H68" s="23"/>
      <c r="I68" s="78"/>
      <c r="J68" s="78"/>
      <c r="K68" s="23"/>
      <c r="L68" s="128" t="s">
        <v>467</v>
      </c>
      <c r="M68" s="119">
        <f t="shared" si="2"/>
        <v>0.7</v>
      </c>
      <c r="N68" s="119">
        <f t="shared" si="252"/>
        <v>0</v>
      </c>
      <c r="O68" s="74">
        <f t="shared" ref="O68:O77" si="326">$O$36</f>
        <v>0.08</v>
      </c>
      <c r="P68" s="120">
        <v>0.1</v>
      </c>
      <c r="Q68" s="165">
        <f t="shared" si="322"/>
        <v>0.1</v>
      </c>
      <c r="R68" s="182">
        <v>0.8</v>
      </c>
      <c r="S68" s="173" t="str">
        <f>各项系数!$D$43</f>
        <v>钢带</v>
      </c>
      <c r="T68" s="78">
        <v>0.2</v>
      </c>
      <c r="U68" s="78">
        <v>2</v>
      </c>
      <c r="V68" s="172"/>
      <c r="W68" s="174">
        <v>1.8</v>
      </c>
      <c r="X68" s="168">
        <f t="shared" si="323"/>
        <v>0.2</v>
      </c>
      <c r="Y68" s="221"/>
      <c r="Z68" s="222"/>
      <c r="AA68" s="223">
        <f>$AA$20</f>
        <v>1.011</v>
      </c>
      <c r="AB68" s="186">
        <f>PI()*EJ68*EJ68/4*EH68*(1-H68)*AA68*各项系数!$F$5*各项系数!$J$4*10^-7</f>
        <v>0.0845415089527171</v>
      </c>
      <c r="AC68" s="224">
        <f t="shared" ref="AC68:AC109" si="327">EJ68</f>
        <v>131.130294998433</v>
      </c>
      <c r="AD68" s="186">
        <f t="shared" si="5"/>
        <v>9.55751863397041</v>
      </c>
      <c r="AE68" s="186">
        <f>POWER(4*EU68/PI()/EG68/10^-7/EH68/(1-H68)/各项系数!$F$5/各项系数!$J$4,0.5)</f>
        <v>131.849539109191</v>
      </c>
      <c r="AF68" s="225">
        <v>1</v>
      </c>
      <c r="AG68" s="23">
        <f>IF(EM68=0,0,PI()*ER68*ER68/4*EP68*(1-K68)*(1+AF68)*各项系数!$F$5*各项系数!$J$4*10^-7)</f>
        <v>0</v>
      </c>
      <c r="AH68" s="23">
        <f t="shared" ref="AH68:AH109" si="328">ER68</f>
        <v>0</v>
      </c>
      <c r="AI68" s="85">
        <f t="shared" si="128"/>
        <v>0</v>
      </c>
      <c r="AJ68" s="85">
        <f>IF(OR(EP68="",EP68=0),0,POWER(4*EW68/PI()/EO68/10^-7/EP68/(1-K68)/各项系数!$F$5/各项系数!$J$4,0.5))</f>
        <v>0</v>
      </c>
      <c r="AK68" s="23" t="str">
        <f t="shared" si="8"/>
        <v>√</v>
      </c>
      <c r="AL68" s="23">
        <f t="shared" ref="AL68:AL109" si="329">AO68*(1+0.02)</f>
        <v>24.839714318809</v>
      </c>
      <c r="AM68" s="127">
        <f t="shared" ref="AM68:AM109" si="330">EE68*1</f>
        <v>10</v>
      </c>
      <c r="AN68" s="128" t="s">
        <v>486</v>
      </c>
      <c r="AO68" s="176">
        <f>AP68+各项系数!$M$9*$NK68</f>
        <v>24.3526610968715</v>
      </c>
      <c r="AP68" s="176">
        <f>AQ68*(1+$BI68+(VLOOKUP($AM68,$A$12:$B$323,2,0))+各项系数!$J$6+各项系数!$M$5)*(1+$E$2)</f>
        <v>24.1849744995229</v>
      </c>
      <c r="AQ68" s="262">
        <f>AR68+各项系数!$L$9*$NK68</f>
        <v>24.6785454076765</v>
      </c>
      <c r="AR68" s="262">
        <f>AS68*(1+$BJ68+各项系数!$J$5+各项系数!$L$5)</f>
        <v>24.5108588103278</v>
      </c>
      <c r="AS68" s="262">
        <f t="shared" si="129"/>
        <v>24.0302537356155</v>
      </c>
      <c r="AT68" s="176">
        <f>AU68+各项系数!$M$9*$NM68</f>
        <v>25.1856058213196</v>
      </c>
      <c r="AU68" s="176">
        <f>AV68*(1+$BI68+(VLOOKUP($AM68,$A$12:$B$323,2,0))+各项系数!$J$6+各项系数!$M$5)*(1+$E$2)</f>
        <v>25.017919223971</v>
      </c>
      <c r="AV68" s="262">
        <f>AW68+各项系数!$L$9*$NM68</f>
        <v>25.5284890040521</v>
      </c>
      <c r="AW68" s="262">
        <f>AX68*(1+$BJ68+各项系数!$J$5+各项系数!$L$5)</f>
        <v>25.3608024067034</v>
      </c>
      <c r="AX68" s="262">
        <f t="shared" si="130"/>
        <v>24.8635317712779</v>
      </c>
      <c r="AY68" s="176">
        <f>AZ68+各项系数!$M$9*$NS68</f>
        <v>25.6175052814724</v>
      </c>
      <c r="AZ68" s="176">
        <f>BA68*(1+$BI68+(VLOOKUP($AM68,$A$12:$B$214,2,0))+各项系数!$J$6+各项系数!$M$5)*(1+$E$2)</f>
        <v>25.4443022852844</v>
      </c>
      <c r="BA68" s="262">
        <f>BB68+各项系数!$L$9*$NS68</f>
        <v>25.9635737604942</v>
      </c>
      <c r="BB68" s="262">
        <f>BC68*(1+$BJ68+各项系数!$J$5+各项系数!$L$5)</f>
        <v>25.7903707643062</v>
      </c>
      <c r="BC68" s="262">
        <f t="shared" si="131"/>
        <v>25.2846772199081</v>
      </c>
      <c r="BD68" s="176">
        <f>BE68+各项系数!$M$9*$NS68</f>
        <v>26.459403958075</v>
      </c>
      <c r="BE68" s="176">
        <f>BF68*(1+$BI68+(VLOOKUP($AM68,$A$12:$B$214,2,0))+各项系数!$J$6+各项系数!$M$5)*(1+$E$2)</f>
        <v>26.286200961887</v>
      </c>
      <c r="BF68" s="262">
        <f>BG68+各项系数!$L$9*$NS68</f>
        <v>26.8226540427418</v>
      </c>
      <c r="BG68" s="262">
        <f>BH68*(1+$BJ68+各项系数!$J$5+各项系数!$L$5)</f>
        <v>26.6494510465538</v>
      </c>
      <c r="BH68" s="262">
        <f t="shared" si="132"/>
        <v>26.126912790739</v>
      </c>
      <c r="BI68" s="278"/>
      <c r="BJ68" s="279"/>
      <c r="BK68" s="95" t="s">
        <v>514</v>
      </c>
      <c r="BL68" s="176">
        <f>BM68+各项系数!$M$9*$NM68</f>
        <v>24.7124222014022</v>
      </c>
      <c r="BM68" s="176">
        <f>BN68*(1+$CF68+(VLOOKUP($AM68,$A$12:$B$323,2,0))+各项系数!$J$6+各项系数!$M$5)*(1+$E$2)</f>
        <v>24.5447356040536</v>
      </c>
      <c r="BN68" s="262">
        <f>BO68+各项系数!$L$9*$NM68</f>
        <v>25.0456485755649</v>
      </c>
      <c r="BO68" s="262">
        <f>BP68*(1+$CG68+各项系数!$J$5+各项系数!$L$5)</f>
        <v>24.8779619782163</v>
      </c>
      <c r="BP68" s="262">
        <f t="shared" si="133"/>
        <v>24.1533611438993</v>
      </c>
      <c r="BQ68" s="176">
        <f>BR68+各项系数!$M$9*$NM68</f>
        <v>25.4292684326782</v>
      </c>
      <c r="BR68" s="176">
        <f>BS68*(1+$CF68+(VLOOKUP($AM68,$A$12:$B$323,2,0))+各项系数!$J$6+各项系数!$M$5)*(1+$E$2)</f>
        <v>25.2615818353295</v>
      </c>
      <c r="BS68" s="262">
        <f>BT68+各项系数!$L$9*$NM68</f>
        <v>25.7771243217648</v>
      </c>
      <c r="BT68" s="262">
        <f>BU68*(1+$CG68+各项系数!$J$5+各项系数!$L$5)</f>
        <v>25.6094377244162</v>
      </c>
      <c r="BU68" s="262">
        <f t="shared" si="134"/>
        <v>24.8635317712779</v>
      </c>
      <c r="BV68" s="176">
        <f>BW68+各项系数!$M$9*$NT68</f>
        <v>25.8292547492399</v>
      </c>
      <c r="BW68" s="176">
        <f>BX68*(1+$CF68+(VLOOKUP($AM68,$A$12:$B$214,2,0))+各项系数!$J$6+各项系数!$M$5)*(1+$E$2)</f>
        <v>25.6560517530519</v>
      </c>
      <c r="BX68" s="262">
        <f>BY68+各项系数!$L$9*$NT$12</f>
        <v>26.1796446459713</v>
      </c>
      <c r="BY68" s="262">
        <f>BZ68*(1+$CG68+各项系数!$J$5+各项系数!$L$5)</f>
        <v>26.1713812428164</v>
      </c>
      <c r="BZ68" s="262">
        <f t="shared" si="11"/>
        <v>25.4091080027343</v>
      </c>
      <c r="CA68" s="176">
        <f>CB68+各项系数!$M$9*$NT68</f>
        <v>26.5538069022518</v>
      </c>
      <c r="CB68" s="176">
        <f>CC68*(1+$CF68+(VLOOKUP($AM68,$A$12:$B$214,2,0))+各项系数!$J$6+各项系数!$M$5)*(1+$E$2)</f>
        <v>26.3806039060638</v>
      </c>
      <c r="CC68" s="262">
        <f>CD68+各项系数!$L$9*$NT$12</f>
        <v>26.9189835776161</v>
      </c>
      <c r="CD68" s="262">
        <f>CE68*(1+$CG68+各项系数!$J$5+各项系数!$L$5)</f>
        <v>26.9107201744612</v>
      </c>
      <c r="CE68" s="262">
        <f t="shared" si="135"/>
        <v>26.126912790739</v>
      </c>
      <c r="CF68" s="278">
        <f t="shared" si="136"/>
        <v>0</v>
      </c>
      <c r="CG68" s="278">
        <f t="shared" si="12"/>
        <v>0.01</v>
      </c>
      <c r="CH68" s="127"/>
      <c r="CI68" s="176">
        <f>CJ68+各项系数!$M$9*$NO68</f>
        <v>25.5908784841621</v>
      </c>
      <c r="CJ68" s="176">
        <f>CK68*(1+$DC68+(VLOOKUP($AM68,$A$12:$B$323,2,0))+各项系数!$J$6+各项系数!$M$5)*(1+$E$2)+各项系数!$M$9*$NK68</f>
        <v>25.3493592716166</v>
      </c>
      <c r="CK68" s="262">
        <f>CL68+各项系数!$L$9*$NO68</f>
        <v>25.695584361498</v>
      </c>
      <c r="CL68" s="262">
        <f>CM68*(1+$DD68+各项系数!$J$5+各项系数!$L$5)</f>
        <v>25.4540651489525</v>
      </c>
      <c r="CM68" s="262">
        <f t="shared" si="13"/>
        <v>24.9549658323064</v>
      </c>
      <c r="CN68" s="176">
        <f>CO68+各项系数!$M$9*$NO68</f>
        <v>26.298483626604</v>
      </c>
      <c r="CO68" s="176">
        <f>CP68*(1+$DC68+(VLOOKUP($AM68,$A$12:$B$323,2,0))+各项系数!$J$6+各项系数!$M$5)*(1+$E$2)+各项系数!$M$9*$NK68</f>
        <v>26.0569644140585</v>
      </c>
      <c r="CP68" s="262">
        <f>CQ68+各项系数!$L$9*$NO68</f>
        <v>26.4176304252142</v>
      </c>
      <c r="CQ68" s="262">
        <f>CR68*(1+$DD68+各项系数!$J$5+各项系数!$L$5)</f>
        <v>26.1761112126687</v>
      </c>
      <c r="CR68" s="262">
        <f t="shared" si="14"/>
        <v>25.6628541300674</v>
      </c>
      <c r="CS68" s="176">
        <f>CT68+各项系数!$M$9*$NU68</f>
        <v>26.8321746984287</v>
      </c>
      <c r="CT68" s="176">
        <f t="shared" si="15"/>
        <v>26.5845038072738</v>
      </c>
      <c r="CU68" s="262">
        <f>CV68+各项系数!$L$9*$NU68</f>
        <v>27.1270447012998</v>
      </c>
      <c r="CV68" s="262">
        <f>CW68*(1+$DD68+各项系数!$J$5+各项系数!$L$5)</f>
        <v>26.8793738101449</v>
      </c>
      <c r="CW68" s="262">
        <f t="shared" si="16"/>
        <v>26.3523272648479</v>
      </c>
      <c r="CX68" s="176">
        <f>CY68+各项系数!$M$9*$NU68</f>
        <v>27.7589120716953</v>
      </c>
      <c r="CY68" s="176">
        <f t="shared" si="17"/>
        <v>27.5112411805405</v>
      </c>
      <c r="CZ68" s="262">
        <f>DA68+各项系数!$L$9*$NU68</f>
        <v>28.0726950821841</v>
      </c>
      <c r="DA68" s="262">
        <f>DB68*(1+$DD68+各项系数!$J$5+各项系数!$L$5)</f>
        <v>27.8250241910293</v>
      </c>
      <c r="DB68" s="262">
        <f t="shared" si="18"/>
        <v>27.2794354814012</v>
      </c>
      <c r="DC68" s="278">
        <f t="shared" si="137"/>
        <v>0</v>
      </c>
      <c r="DD68" s="278">
        <f t="shared" si="19"/>
        <v>0</v>
      </c>
      <c r="DE68" s="95" t="s">
        <v>498</v>
      </c>
      <c r="DF68" s="95" t="s">
        <v>513</v>
      </c>
      <c r="DG68" s="176">
        <f>DH68+各项系数!$M$9*$NQ68</f>
        <v>25.9723586073841</v>
      </c>
      <c r="DH68" s="176">
        <f>DI68*(1+$EA68+(VLOOKUP($AM68,$A$12:$B$323,2,0))+各项系数!$J$6+各项系数!$M$5)*(1+$E$2)+各项系数!$M$9*$NK68</f>
        <v>25.7308393948386</v>
      </c>
      <c r="DI68" s="262">
        <f>DJ68+各项系数!$L$9*$NQ68</f>
        <v>26.0848497933572</v>
      </c>
      <c r="DJ68" s="262">
        <f>DK68*(1+$EB68+各项系数!$J$5+各项系数!$L$5)</f>
        <v>25.8433305808117</v>
      </c>
      <c r="DK68" s="262">
        <f t="shared" si="20"/>
        <v>25.0906122143803</v>
      </c>
      <c r="DL68" s="176">
        <f>DM68+各项系数!$M$9*$NQ68</f>
        <v>26.7622184471084</v>
      </c>
      <c r="DM68" s="176">
        <f>DN68*(1+$EA68+(VLOOKUP($AM68,$A$12:$B$323,2,0))+各项系数!$J$6+各项系数!$M$5)*(1+$E$2)+各项系数!$M$9*$NK68</f>
        <v>26.520699234563</v>
      </c>
      <c r="DN68" s="262">
        <f>DO68+各项系数!$L$9*$NQ68</f>
        <v>26.8908292216473</v>
      </c>
      <c r="DO68" s="262">
        <f>DP68*(1+$EB68+各项系数!$J$5+各项系数!$L$5)</f>
        <v>26.6493100091018</v>
      </c>
      <c r="DP68" s="262">
        <f t="shared" si="21"/>
        <v>25.8731165136911</v>
      </c>
      <c r="DQ68" s="176">
        <f>DR68+各项系数!$M$9*$NV68</f>
        <v>27.2286847779528</v>
      </c>
      <c r="DR68" s="176">
        <f t="shared" si="22"/>
        <v>26.9810138867979</v>
      </c>
      <c r="DS68" s="262">
        <f>DT68+各项系数!$L$9*$NV68</f>
        <v>27.5316468232632</v>
      </c>
      <c r="DT68" s="262">
        <f>DU68*(1+$EB68+各项系数!$J$5+各项系数!$L$5)</f>
        <v>27.2839759321083</v>
      </c>
      <c r="DU68" s="262">
        <f t="shared" si="23"/>
        <v>26.4892970214644</v>
      </c>
      <c r="DV68" s="176">
        <f>DW68+各项系数!$M$9*$NV68</f>
        <v>27.5074346157645</v>
      </c>
      <c r="DW68" s="176">
        <f t="shared" si="24"/>
        <v>27.2597637246096</v>
      </c>
      <c r="DX68" s="262">
        <f>DY68+各项系数!$L$9*$NV68</f>
        <v>27.8160854332751</v>
      </c>
      <c r="DY68" s="262">
        <f>DZ68*(1+$EB68+各项系数!$J$5+各项系数!$L$5)</f>
        <v>27.5684145421202</v>
      </c>
      <c r="DZ68" s="262">
        <f t="shared" si="25"/>
        <v>26.7654510117672</v>
      </c>
      <c r="EA68" s="278">
        <f t="shared" si="324"/>
        <v>0</v>
      </c>
      <c r="EB68" s="278">
        <f t="shared" si="27"/>
        <v>0.01</v>
      </c>
      <c r="EC68" s="302">
        <f t="shared" si="138"/>
        <v>4</v>
      </c>
      <c r="ED68" s="304" t="str">
        <f t="shared" ref="ED68:ED83" si="331">IF(COUNTIF($D68,"*+*")&gt;0,MID($D68,1,FIND("+",$D68)-1),MID($D68,1,LEN($D68)))</f>
        <v>4*10</v>
      </c>
      <c r="EE68" s="95">
        <f t="shared" si="239"/>
        <v>10</v>
      </c>
      <c r="EF68" s="95" t="str">
        <f>LOOKUP(EH68,{1,7,10,14,19,24,30,37,48,61},{1,"1+6","2+8","4+10","1+6+12","2+8+14","4+10+16","1+6+12+18","3+9+15+21","1+6+12+18+24"})</f>
        <v>1+6</v>
      </c>
      <c r="EG68" s="127">
        <f t="shared" si="29"/>
        <v>4</v>
      </c>
      <c r="EH68" s="262">
        <f>VLOOKUP(EE68,各项系数!$B$87:$C$124,2,0)</f>
        <v>7</v>
      </c>
      <c r="EI68" s="127">
        <f>IF(EH68=0,0,VLOOKUP(EH68,各项系数!$D$142:$E$195,2,0))*1</f>
        <v>3</v>
      </c>
      <c r="EJ68" s="307">
        <f t="shared" si="141"/>
        <v>131.130294998433</v>
      </c>
      <c r="EK68" s="95">
        <f t="shared" ref="EK68:EK109" si="332">IF(COUNTIF($D68,"*+*")&gt;0,MID($D68,FIND("+",$D68)+1,LEN($D68)),0)</f>
        <v>0</v>
      </c>
      <c r="EL68" s="95">
        <f t="shared" si="31"/>
        <v>0</v>
      </c>
      <c r="EM68" s="95">
        <f t="shared" ref="EM68:EM83" si="333">EL68/1</f>
        <v>0</v>
      </c>
      <c r="EN68" s="95">
        <f>IF(EP68=0,0,LOOKUP(EP68,{1,7,10,14,19,24,30,37,48,61},{1,"1+6","2+8","4+10","1+6+12","2+8+14","4+10+16","1+6+12+18","3+9+15+21","1+6+12+18+24"}))</f>
        <v>0</v>
      </c>
      <c r="EO68" s="95">
        <f t="shared" ref="EO68:EO109" si="334">IF(EK68=0,0,MID(EK68,1,1))</f>
        <v>0</v>
      </c>
      <c r="EP68" s="95">
        <f>IF(EM68=0,0,IF(EM68&lt;10,1,IF(AND(EM68&gt;=10,EM68&lt;=35),7,LOOKUP(EM68,{50,70,95,120,150,185,240,300},{10,14,19,24,30,37,48,61})*1)))</f>
        <v>0</v>
      </c>
      <c r="EQ68" s="95">
        <f>IF(EP68=0,0,VLOOKUP(EP68,各项系数!$D$142:$E$195,2,0))*1</f>
        <v>0</v>
      </c>
      <c r="ER68" s="95">
        <f t="shared" ref="ER68:ER109" si="335">$I68-$J68</f>
        <v>0</v>
      </c>
      <c r="ES68" s="304">
        <f t="shared" ref="ES68:ES83" si="336">EO68+EG68</f>
        <v>4</v>
      </c>
      <c r="ET68" s="95">
        <f>VLOOKUP(ES68,各项系数!$D$142:$E$195,2,0)*1</f>
        <v>2.42</v>
      </c>
      <c r="EU68" s="311">
        <f>((各项系数!$F$76/4*$EJ68^2*$EG68*$EH68*1*10^-7)*(1-$H68)*AA68)*(VLOOKUP($EY$9,各项系数!$D$4:$F$143,3,0))*各项系数!$J$4</f>
        <v>0.338166035810868</v>
      </c>
      <c r="EV68" s="312">
        <f>EU68*(VLOOKUP($EY$9,各项系数!$D$4:$F$143,2,0))</f>
        <v>22.1498753456119</v>
      </c>
      <c r="EW68" s="324">
        <f>(IF($EO68=0,0,(各项系数!$F$76/4*$ER68^2*$EO68*$EP68*1*10^-7))*(1-$K68)*$AF68)*(VLOOKUP($EY$9,各项系数!$D$4:$F$143,3,0))*各项系数!$J$4</f>
        <v>0</v>
      </c>
      <c r="EX68" s="325">
        <f>EW68*(VLOOKUP($EY$9,各项系数!$D$4:$F$143,2,0))</f>
        <v>0</v>
      </c>
      <c r="EY68" s="251">
        <f>((各项系数!$F$76/4*$EJ68^2*$EG68*$EH68*1*10^-7)*(1-$H68)*AA68+IF($EO68=0,0,(各项系数!$F$76/4*$ER68^2*$EO68*$EP68*1*10^-7))*(1-$K68)*$AF68)*(VLOOKUP($EY$9,各项系数!$D$4:$F$143,3,0))*各项系数!$J$4</f>
        <v>0.338166035810868</v>
      </c>
      <c r="EZ68" s="127">
        <v>1</v>
      </c>
      <c r="FA68" s="95">
        <f t="shared" si="268"/>
        <v>0.338166035810868</v>
      </c>
      <c r="FB68" s="314">
        <f>FA68*(VLOOKUP($EY$9,各项系数!$D$4:$F$143,2,0))</f>
        <v>22.1498753456119</v>
      </c>
      <c r="FC68" s="329"/>
      <c r="FD68" s="304">
        <f>各项系数!$F$76/4*($MN68^2-MK68^2)*10^-2*(VLOOKUP(L68,各项系数!$D$1:$F$143,3,0))*10^-3*10^2*$EG68*各项系数!$J$4</f>
        <v>0.0446139993701306</v>
      </c>
      <c r="FE68" s="341">
        <f>FD68*VLOOKUP(L68,各项系数!$D$1:$F$143,2,0)</f>
        <v>0.455062793575332</v>
      </c>
      <c r="FF68" s="127">
        <f>各项系数!$F$76/4*($MO68^2-ML68^2)*10^-2*(VLOOKUP(L68,各项系数!$D$1:$F$143,3,0))*10^-3*10^2*$EO68*各项系数!$J$4</f>
        <v>0</v>
      </c>
      <c r="FG68" s="341">
        <f>FF68*VLOOKUP(L68,各项系数!$D$1:$F$143,2,0)</f>
        <v>0</v>
      </c>
      <c r="FH68" s="304">
        <f t="shared" si="142"/>
        <v>0.0446139993701306</v>
      </c>
      <c r="FI68" s="127">
        <v>1</v>
      </c>
      <c r="FJ68" s="95">
        <f t="shared" si="269"/>
        <v>0.0446139993701306</v>
      </c>
      <c r="FK68" s="341">
        <f>FJ68*VLOOKUP(L68,各项系数!$D$1:$F$143,2,0)</f>
        <v>0.455062793575332</v>
      </c>
      <c r="FL68" s="304"/>
      <c r="FM68" s="127"/>
      <c r="FN68" s="95"/>
      <c r="FO68" s="341"/>
      <c r="FP68" s="371">
        <f t="shared" si="270"/>
        <v>0.0446139993701306</v>
      </c>
      <c r="FQ68" s="371">
        <f t="shared" si="271"/>
        <v>0.455062793575332</v>
      </c>
      <c r="FR68" s="365">
        <f>各项系数!$F$76/4*($MQ68^2-$MN68^2*$EG68-$MO68^2*$EO68)*10^-2</f>
        <v>0.414813251192283</v>
      </c>
      <c r="FS68" s="366">
        <f t="shared" si="143"/>
        <v>1</v>
      </c>
      <c r="FT68" s="367">
        <f t="shared" si="40"/>
        <v>0.414813251192283</v>
      </c>
      <c r="FU68" s="395">
        <f>$FT68*(VLOOKUP($FT$9,各项系数!$D$1:$F$143,3,0))*10^-3*10^2*各项系数!$J$55</f>
        <v>0.0495287021923586</v>
      </c>
      <c r="FV68" s="396">
        <v>1</v>
      </c>
      <c r="FW68" s="397">
        <f t="shared" si="272"/>
        <v>0.0495287021923586</v>
      </c>
      <c r="FX68" s="372">
        <f>FW68*(VLOOKUP($FT$9,各项系数!$D$1:$F$143,2,0))</f>
        <v>0.148586106577076</v>
      </c>
      <c r="FY68" s="395">
        <f>IF($BK68&lt;&gt;$FY$9,0,各项系数!$F$76/4*($MS68^2-$MQ68^2)*10^-2*(VLOOKUP($FY$9,各项系数!$D$1:$F$143,3,0))*10^-3*10^2)*各项系数!$J$4</f>
        <v>0</v>
      </c>
      <c r="FZ68" s="396">
        <v>1</v>
      </c>
      <c r="GA68" s="397">
        <f t="shared" si="273"/>
        <v>0</v>
      </c>
      <c r="GB68" s="372">
        <f>GA68*(VLOOKUP($FY$9,各项系数!$D$1:$F$143,2,0))</f>
        <v>0</v>
      </c>
      <c r="GC68" s="395">
        <f>IF($BK68&lt;&gt;$GC$9,0,各项系数!$F$76/4*($MS68^2-$MQ68^2)*10^-2*(VLOOKUP($GC$9,各项系数!$D$1:$F$143,3,0))*10^-3*10^2)*各项系数!$J$4</f>
        <v>0.00353917883824877</v>
      </c>
      <c r="GD68" s="396">
        <v>1</v>
      </c>
      <c r="GE68" s="397">
        <f t="shared" si="274"/>
        <v>0.00353917883824877</v>
      </c>
      <c r="GF68" s="372">
        <f>GE68*(VLOOKUP($GC$9,各项系数!$D$1:$F$143,2,0))</f>
        <v>0.0456554070134091</v>
      </c>
      <c r="GG68" s="395">
        <f>IF($BK68&lt;&gt;$GG$9,0,各项系数!$F$76/4*($MS68^2-$MQ68^2)*10^-2*(VLOOKUP($GG$9,各项系数!$D$1:$F$143,3,0))*10^-3*10^2)*各项系数!$J$4</f>
        <v>0</v>
      </c>
      <c r="GH68" s="396">
        <v>1</v>
      </c>
      <c r="GI68" s="397">
        <f t="shared" si="275"/>
        <v>0</v>
      </c>
      <c r="GJ68" s="372">
        <f>GI68*(VLOOKUP($GG$9,各项系数!$D$1:$F$143,2,0))</f>
        <v>0</v>
      </c>
      <c r="GK68" s="395">
        <f>IF($BK68&lt;&gt;$GK$9,0,各项系数!$F$76/4*($MS68^2-$MQ68^2)*10^-2*(VLOOKUP($GK$9,各项系数!$D$1:$F$143,3,0))*10^-3*10^2)*各项系数!$J$4</f>
        <v>0</v>
      </c>
      <c r="GL68" s="396">
        <v>1</v>
      </c>
      <c r="GM68" s="397">
        <f t="shared" si="276"/>
        <v>0</v>
      </c>
      <c r="GN68" s="372">
        <f>GM68*(VLOOKUP($GK$9,各项系数!$D$1:$F$143,2,0))</f>
        <v>0</v>
      </c>
      <c r="GO68" s="397">
        <f t="shared" si="277"/>
        <v>0.00353917883824877</v>
      </c>
      <c r="GP68" s="397">
        <f t="shared" si="278"/>
        <v>0.0456554070134091</v>
      </c>
      <c r="GQ68" s="408">
        <f>各项系数!$F$76/4*($MU68^2-$MS68^2)*10^-2*(VLOOKUP($S68,各项系数!$D$1:$F$143,3,0))*10^-3*10^2*各项系数!$J$4</f>
        <v>0.0981496640172978</v>
      </c>
      <c r="GR68" s="396">
        <v>1</v>
      </c>
      <c r="GS68" s="397">
        <f t="shared" si="279"/>
        <v>0.0981496640172978</v>
      </c>
      <c r="GT68" s="397">
        <f t="shared" si="200"/>
        <v>0</v>
      </c>
      <c r="GU68" s="397">
        <f>ROUND($GS68*(VLOOKUP($S68,各项系数!$D$1:$F$143,2,0))+$E$3*GS68,GT68)</f>
        <v>1</v>
      </c>
      <c r="GV68" s="406">
        <f>各项系数!$F$76/4*($MT68^2-$MS68^2)*10^-2*(VLOOKUP($GV$9,各项系数!$D$1:$F$143,3,0))*10^-3*10^2*各项系数!$J$4*PI()/4*R68</f>
        <v>0.0183879961313716</v>
      </c>
      <c r="GW68" s="396">
        <v>1</v>
      </c>
      <c r="GX68" s="397">
        <f t="shared" si="280"/>
        <v>0.0183879961313716</v>
      </c>
      <c r="GY68" s="397">
        <f>$GX68*(VLOOKUP($GV$9,各项系数!$D$1:$F$143,2,0))</f>
        <v>1.24118973886758</v>
      </c>
      <c r="GZ68" s="408">
        <f>各项系数!$F$76/4*($MV68^2-$MS68^2)*10^-2*(VLOOKUP($GZ$9,各项系数!$D$1:$F$143,3,0))*10^-3*10^2*各项系数!$J$4</f>
        <v>0.121432477558836</v>
      </c>
      <c r="HA68" s="396">
        <v>1</v>
      </c>
      <c r="HB68" s="397">
        <f t="shared" si="144"/>
        <v>0.121432477558836</v>
      </c>
      <c r="HC68" s="397">
        <f>HB68*(VLOOKUP($GZ$9,各项系数!$D$1:$F$143,2,0))</f>
        <v>2.06435211850022</v>
      </c>
      <c r="HD68" s="408">
        <f>各项系数!$F$76/4*($MW68^2-$MT68^2)*10^-2*(VLOOKUP($HD$9,各项系数!$D$1:$F$143,3,0))*10^-3*10^2*各项系数!$J$4</f>
        <v>0.122737847005515</v>
      </c>
      <c r="HE68" s="396">
        <v>1</v>
      </c>
      <c r="HF68" s="397">
        <f t="shared" si="145"/>
        <v>0.122737847005515</v>
      </c>
      <c r="HG68" s="397">
        <f>HF68*(VLOOKUP($HD$9,各项系数!$D$1:$F$143,2,0))</f>
        <v>2.08654339909375</v>
      </c>
      <c r="HH68" s="408">
        <f>各项系数!$F$76/4*($MV68^2-$MS68^2)*10^-2*(VLOOKUP($HH$9,各项系数!$D$1:$F$143,3,0))*10^-3*10^2*各项系数!$J$4</f>
        <v>0.121432477558836</v>
      </c>
      <c r="HI68" s="397">
        <v>1</v>
      </c>
      <c r="HJ68" s="397">
        <f t="shared" si="146"/>
        <v>0.121432477558836</v>
      </c>
      <c r="HK68" s="397">
        <f>HJ68*(VLOOKUP($HH$9,各项系数!$D$1:$F$143,2,0))</f>
        <v>2.06435211850022</v>
      </c>
      <c r="HL68" s="408">
        <f>各项系数!$F$76/4*($MW68^2-$MT68^2)*10^-2*(VLOOKUP($HL$9,各项系数!$D$1:$F$143,3,0))*10^-3*10^2*各项系数!$J$4</f>
        <v>0.122737847005515</v>
      </c>
      <c r="HM68" s="397">
        <v>1</v>
      </c>
      <c r="HN68" s="397">
        <f t="shared" si="147"/>
        <v>0.122737847005515</v>
      </c>
      <c r="HO68" s="397">
        <f>HN68*(VLOOKUP($HL$9,各项系数!$D$1:$F$143,2,0))</f>
        <v>2.08654339909375</v>
      </c>
      <c r="HP68" s="408">
        <f>各项系数!$F$76/4*($MV68^2-$MS68^2)*10^-2*(VLOOKUP(AN68,各项系数!$D$1:$F$143,3,0))*10^-3*10^2*各项系数!$J$4</f>
        <v>0.123107408283786</v>
      </c>
      <c r="HQ68" s="396">
        <v>1</v>
      </c>
      <c r="HR68" s="397">
        <f t="shared" si="281"/>
        <v>0.123107408283786</v>
      </c>
      <c r="HS68" s="397">
        <f>HR68*(VLOOKUP(AN68,各项系数!$D$1:$F$143,2,0))</f>
        <v>1.23107408283786</v>
      </c>
      <c r="HT68" s="408">
        <f>各项系数!$F$76/4*($MW68^2-$MT68^2)*10^-2*(VLOOKUP(AN68,各项系数!$D$1:$F$143,3,0))*10^-3*10^2*各项系数!$J$4</f>
        <v>0.124430782826281</v>
      </c>
      <c r="HU68" s="396">
        <v>1</v>
      </c>
      <c r="HV68" s="397">
        <f t="shared" si="282"/>
        <v>0.124430782826281</v>
      </c>
      <c r="HW68" s="397">
        <f>HV68*(VLOOKUP(AN68,各项系数!$D$1:$F$143,2,0))</f>
        <v>1.24430782826281</v>
      </c>
      <c r="HX68" s="408">
        <f>各项系数!$F$76/4*($MV68^2-$MS68^2)*10^-2*(VLOOKUP($HX$9,各项系数!$D$1:$F$143,3,0))*10^-3*10^2*各项系数!$J$4</f>
        <v>0.123107408283786</v>
      </c>
      <c r="HY68" s="397">
        <v>1</v>
      </c>
      <c r="HZ68" s="397">
        <f t="shared" si="283"/>
        <v>0.123107408283786</v>
      </c>
      <c r="IA68" s="397">
        <f>HZ68*(VLOOKUP($HX$9,各项系数!$D$1:$F$143,2,0))</f>
        <v>1.35418149112165</v>
      </c>
      <c r="IB68" s="408">
        <f>各项系数!$F$76/4*($MW68^2-$MT68^2)*10^-2*(VLOOKUP($IB$9,各项系数!$D$1:$F$143,3,0))*10^-3*10^2*各项系数!$J$4</f>
        <v>0.124430782826281</v>
      </c>
      <c r="IC68" s="397">
        <v>1</v>
      </c>
      <c r="ID68" s="397">
        <f t="shared" si="284"/>
        <v>0.124430782826281</v>
      </c>
      <c r="IE68" s="397">
        <f>ID68*(VLOOKUP($IB$9,各项系数!$D$1:$F$143,2,0))</f>
        <v>1.36873861108909</v>
      </c>
      <c r="IF68" s="395"/>
      <c r="IG68" s="408">
        <f t="shared" si="148"/>
        <v>0.0238224795379797</v>
      </c>
      <c r="IH68" s="396">
        <v>1</v>
      </c>
      <c r="II68" s="397">
        <f t="shared" si="285"/>
        <v>0.0238224795379797</v>
      </c>
      <c r="IJ68" s="397">
        <f>II68*(VLOOKUP($IG$8,各项系数!$D$1:$F$143,2,0))</f>
        <v>0.595561988449491</v>
      </c>
      <c r="IK68" s="408">
        <f>(各项系数!$F$76/4*($MX68^2-$MK68^2)*$EG68)*10^-2*(VLOOKUP($IG$8,各项系数!$D$1:$F$143,3,0))*10^-3*10^2*各项系数!$J$4</f>
        <v>0.0238224795379797</v>
      </c>
      <c r="IL68" s="396">
        <f>IK68*(VLOOKUP($IG$8,各项系数!$D$1:$F$143,2,0))</f>
        <v>0.595561988449491</v>
      </c>
      <c r="IM68" s="397">
        <f>(各项系数!$F$76/4*(($MM68+3*$X68)^2-MM68^2)*$EO68)*10^-2*(VLOOKUP($IG$8,各项系数!$D$1:$F$143,3,0))*10^-3*10^2*各项系数!$J$4</f>
        <v>0</v>
      </c>
      <c r="IN68" s="396">
        <f>IM68*(VLOOKUP($IG$8,各项系数!$D$1:$F$143,2,0))</f>
        <v>0</v>
      </c>
      <c r="IO68" s="408">
        <f>各项系数!$F$76/4*($MZ68^2-$MX68^2)*10^-2*(VLOOKUP(L68,各项系数!$D$1:$F$143,3,0))*10^-3*10^2*$ES68*各项系数!$J$4</f>
        <v>0.0503906342778454</v>
      </c>
      <c r="IP68" s="396">
        <v>1</v>
      </c>
      <c r="IQ68" s="397">
        <f t="shared" si="286"/>
        <v>0.0503906342778454</v>
      </c>
      <c r="IR68" s="372">
        <f>IQ68*(VLOOKUP(L68,各项系数!$D$1:$F$143,2,0))</f>
        <v>0.513984469634023</v>
      </c>
      <c r="IS68" s="408">
        <f>IF($L68&lt;&gt;$IS$9,0,各项系数!$F$76/4*($MZ68^2-$MX68^2)*10^-2*各项系数!$F$12*10^-3*10^2)*$ES68*各项系数!$J$4</f>
        <v>0</v>
      </c>
      <c r="IT68" s="396">
        <v>1</v>
      </c>
      <c r="IU68" s="397">
        <f t="shared" si="287"/>
        <v>0</v>
      </c>
      <c r="IV68" s="372">
        <f>IU68*各项系数!$E$12</f>
        <v>0</v>
      </c>
      <c r="IW68" s="395">
        <f t="shared" si="288"/>
        <v>0.0503906342778454</v>
      </c>
      <c r="IX68" s="395">
        <f t="shared" si="289"/>
        <v>0.513984469634023</v>
      </c>
      <c r="IY68" s="447">
        <f>各项系数!$F$76/4*($NB68^2-$MZ68^2*$EG68-$NA68^2*$EO68)*10^-2</f>
        <v>0.513385009567023</v>
      </c>
      <c r="IZ68" s="366">
        <f t="shared" si="231"/>
        <v>1</v>
      </c>
      <c r="JA68" s="367">
        <f t="shared" si="64"/>
        <v>0.513385009567023</v>
      </c>
      <c r="JB68" s="371">
        <f>IF($DE68&lt;&gt;$JB$9,0,$JA68*各项系数!$F$32*10^-3*10^2)*各项系数!$J$4</f>
        <v>0</v>
      </c>
      <c r="JC68" s="127">
        <v>1</v>
      </c>
      <c r="JD68" s="95">
        <f t="shared" si="290"/>
        <v>0</v>
      </c>
      <c r="JE68" s="341">
        <f>JD68*各项系数!$E$32</f>
        <v>0</v>
      </c>
      <c r="JF68" s="364">
        <f>IF($DE68&lt;&gt;$JF$9,0,$JA68*VLOOKUP($JF$9,各项系数!$D$4:$F$540,2,0)*10^-3*10^2)*各项系数!$J$4</f>
        <v>0.255409042259594</v>
      </c>
      <c r="JG68" s="123">
        <v>1</v>
      </c>
      <c r="JH68" s="251">
        <f t="shared" si="66"/>
        <v>0.255409042259594</v>
      </c>
      <c r="JI68" s="339">
        <f>JH68*VLOOKUP($JF$9,各项系数!$D$4:$F$540,3,0)</f>
        <v>0.306490850711513</v>
      </c>
      <c r="JJ68" s="371">
        <f t="shared" si="291"/>
        <v>0.255409042259594</v>
      </c>
      <c r="JK68" s="95">
        <f t="shared" si="292"/>
        <v>0.306490850711513</v>
      </c>
      <c r="JL68" s="371">
        <f>IF($DF68&lt;&gt;$JL$9,0,各项系数!$F$76/4*($NE68^2-$NC68^2)*10^-2*各项系数!$F$39*10^-3*10^2)*各项系数!$J$4</f>
        <v>0.00162946785801343</v>
      </c>
      <c r="JM68" s="127">
        <v>1</v>
      </c>
      <c r="JN68" s="95">
        <f t="shared" si="293"/>
        <v>0.00162946785801343</v>
      </c>
      <c r="JO68" s="341">
        <f>JN68*各项系数!$E$39</f>
        <v>0.0325893571602686</v>
      </c>
      <c r="JP68" s="371">
        <f>IF($DF68&lt;&gt;$JP$9,0,各项系数!$F$76/4*($NE68^2-$NC68^2)*10^-2*各项系数!$F$36*10^-3*10^2)*各项系数!$J$4</f>
        <v>0</v>
      </c>
      <c r="JQ68" s="127">
        <v>1</v>
      </c>
      <c r="JR68" s="95">
        <f t="shared" si="294"/>
        <v>0</v>
      </c>
      <c r="JS68" s="341">
        <f>JR68*各项系数!$E$36</f>
        <v>0</v>
      </c>
      <c r="JT68" s="371">
        <f>IF($DF68&lt;&gt;$JT$9,0,各项系数!$F$76/4*($NE68^2-$NC68^2)*10^-2*各项系数!$F$40*10^-3*10^2)*各项系数!$J$4</f>
        <v>0</v>
      </c>
      <c r="JU68" s="127">
        <v>1</v>
      </c>
      <c r="JV68" s="95">
        <f t="shared" si="295"/>
        <v>0</v>
      </c>
      <c r="JW68" s="341">
        <f>JV68*各项系数!$E$40</f>
        <v>0</v>
      </c>
      <c r="JX68" s="371">
        <f>IF($DF68&lt;&gt;$JX$9,0,各项系数!$F$76/4*($NE68^2-$NC68^2)*10^-2*各项系数!$F$38*10^-3*10^2)*各项系数!$J$4</f>
        <v>0</v>
      </c>
      <c r="JY68" s="127">
        <v>1</v>
      </c>
      <c r="JZ68" s="95">
        <f t="shared" si="296"/>
        <v>0</v>
      </c>
      <c r="KA68" s="341">
        <f>JZ68*各项系数!$E$38</f>
        <v>0</v>
      </c>
      <c r="KB68" s="371">
        <f>IF($DF68&lt;&gt;$KB$9,0,各项系数!$F$76/4*($NE68^2-$NC68^2)*10^-2*各项系数!$F$41*10^-3*10^2)*各项系数!$J$4</f>
        <v>0</v>
      </c>
      <c r="KC68" s="127">
        <v>1</v>
      </c>
      <c r="KD68" s="95">
        <f t="shared" si="297"/>
        <v>0</v>
      </c>
      <c r="KE68" s="341">
        <f>KD68*各项系数!$E$41</f>
        <v>0</v>
      </c>
      <c r="KF68" s="95">
        <f t="shared" si="298"/>
        <v>0.00162946785801343</v>
      </c>
      <c r="KG68" s="95">
        <f t="shared" si="299"/>
        <v>0.0325893571602686</v>
      </c>
      <c r="KH68" s="304">
        <f>各项系数!$F$76/4*($NG68^2-$NE68^2)*10^-2*各项系数!$F$44*10^-3*10^2*各项系数!$J$4*0.75*$U68</f>
        <v>0.163900478175414</v>
      </c>
      <c r="KI68" s="127">
        <v>1</v>
      </c>
      <c r="KJ68" s="95">
        <f t="shared" si="300"/>
        <v>0.163900478175414</v>
      </c>
      <c r="KK68" s="95">
        <f>ROUND(KJ68*各项系数!$E$43,GT68)</f>
        <v>1</v>
      </c>
      <c r="KL68" s="302">
        <f>各项系数!$F$76/4*($NF68^2-$NE68^2)*10^-2*各项系数!$F$46*10^-3*10^2*各项系数!$J$4*PI()/4*R68</f>
        <v>0.0205055953646907</v>
      </c>
      <c r="KM68" s="127">
        <v>1</v>
      </c>
      <c r="KN68" s="95">
        <f t="shared" si="301"/>
        <v>0.0205055953646907</v>
      </c>
      <c r="KO68" s="95">
        <f>KN68*各项系数!$E$46</f>
        <v>1.38412768711662</v>
      </c>
      <c r="KP68" s="304">
        <f>各项系数!$F$76/4*($NH68^2-$NE68^2)*10^-2*(VLOOKUP($KP$9,各项系数!$D$1:$F$143,3,0))*10^-3*10^2*各项系数!$J$4</f>
        <v>0.133800853066114</v>
      </c>
      <c r="KQ68" s="127">
        <v>1</v>
      </c>
      <c r="KR68" s="95">
        <f t="shared" si="150"/>
        <v>0.133800853066114</v>
      </c>
      <c r="KS68" s="95">
        <f>KR68*(VLOOKUP($KP$9,各项系数!$D$1:$F$143,2,0))</f>
        <v>2.27461450212395</v>
      </c>
      <c r="KT68" s="304">
        <f>各项系数!$F$76/4*($NI68^2-$NF68^2)*10^-2*(VLOOKUP($KT$9,各项系数!$D$1:$F$143,3,0))*10^-3*10^2*各项系数!$J$4</f>
        <v>0.135106222512793</v>
      </c>
      <c r="KU68" s="127">
        <v>1</v>
      </c>
      <c r="KV68" s="95">
        <f t="shared" si="151"/>
        <v>0.135106222512793</v>
      </c>
      <c r="KW68" s="95">
        <f>KV68*(VLOOKUP($KT$9,各项系数!$D$1:$F$143,2,0))</f>
        <v>2.29680578271748</v>
      </c>
      <c r="KX68" s="95">
        <f>各项系数!$F$76/4*($NH68^2-$NE68^2)*10^-2*(VLOOKUP($KX$9,各项系数!$D$1:$F$143,3,0))*10^-3*10^2*各项系数!$J$4</f>
        <v>0.133800853066114</v>
      </c>
      <c r="KY68" s="481">
        <v>1</v>
      </c>
      <c r="KZ68" s="95">
        <f t="shared" si="152"/>
        <v>0.133800853066114</v>
      </c>
      <c r="LA68" s="95">
        <f>KZ68*(VLOOKUP($KX$9,各项系数!$D$1:$F$143,2,0))</f>
        <v>2.27461450212395</v>
      </c>
      <c r="LB68" s="95">
        <f>各项系数!$F$76/4*($NI68^2-$NF68^2)*10^-2*(VLOOKUP($LB$9,各项系数!$D$1:$F$143,3,0))*10^-3*10^2*各项系数!$J$4</f>
        <v>0.135106222512793</v>
      </c>
      <c r="LC68" s="481">
        <v>1</v>
      </c>
      <c r="LD68" s="95">
        <f t="shared" si="153"/>
        <v>0.135106222512793</v>
      </c>
      <c r="LE68" s="95">
        <f>LD68*(VLOOKUP($LB$9,各项系数!$D$1:$F$143,2,0))</f>
        <v>2.29680578271748</v>
      </c>
      <c r="LF68" s="304">
        <f>各项系数!$F$76/4*($NH68^2-$NE68^2)*10^-2*(VLOOKUP(AN68,各项系数!$D$1:$F$143,3,0))*10^-3*10^2*各项系数!$J$4</f>
        <v>0.135646382073923</v>
      </c>
      <c r="LG68" s="127">
        <v>1</v>
      </c>
      <c r="LH68" s="95">
        <f t="shared" si="302"/>
        <v>0.135646382073923</v>
      </c>
      <c r="LI68" s="95">
        <f>LH68*(VLOOKUP(AN68,各项系数!$D$1:$F$143,2,0))</f>
        <v>1.35646382073923</v>
      </c>
      <c r="LJ68" s="304">
        <f>各项系数!$F$76/4*($NI68^2-$NF68^2)*10^-2*(VLOOKUP(AN68,各项系数!$D$1:$F$143,3,0))*10^-3*10^2*各项系数!$J$4</f>
        <v>0.136969756616418</v>
      </c>
      <c r="LK68" s="127">
        <v>1</v>
      </c>
      <c r="LL68" s="95">
        <f t="shared" si="303"/>
        <v>0.136969756616418</v>
      </c>
      <c r="LM68" s="95">
        <f>LL68*(VLOOKUP(AN68,各项系数!$D$1:$F$143,2,0))</f>
        <v>1.36969756616418</v>
      </c>
      <c r="LN68" s="95">
        <f>各项系数!$F$76/4*($NH68^2-$NE68^2)*10^-2*(VLOOKUP($LN$9,各项系数!$D$1:$F$143,3,0))*10^-3*10^2*各项系数!$J$4</f>
        <v>0.135646382073923</v>
      </c>
      <c r="LO68" s="481">
        <v>1</v>
      </c>
      <c r="LP68" s="95">
        <f t="shared" si="304"/>
        <v>0.135646382073923</v>
      </c>
      <c r="LQ68" s="95">
        <f>LP68*(VLOOKUP($LN$9,各项系数!$D$1:$F$143,2,0))</f>
        <v>1.49211020281315</v>
      </c>
      <c r="LR68" s="95">
        <f>各项系数!$F$76/4*($NI68^2-$NF68^2)*10^-2*(VLOOKUP($LR$9,各项系数!$D$1:$F$143,3,0))*10^-3*10^2*各项系数!$J$4</f>
        <v>0.136969756616418</v>
      </c>
      <c r="LS68" s="481">
        <v>1</v>
      </c>
      <c r="LT68" s="95">
        <f t="shared" si="305"/>
        <v>0.136969756616418</v>
      </c>
      <c r="LU68" s="95">
        <f>LT68*(VLOOKUP($LR$9,各项系数!$D$1:$F$143,2,0))</f>
        <v>1.50666732278059</v>
      </c>
      <c r="LV68" s="501">
        <f t="shared" si="154"/>
        <v>48.61815329</v>
      </c>
      <c r="LW68" s="501">
        <f t="shared" si="155"/>
        <v>37.81411923</v>
      </c>
      <c r="LX68" s="501">
        <f t="shared" si="156"/>
        <v>6.9387629987604</v>
      </c>
      <c r="LY68" s="519">
        <f t="shared" si="157"/>
        <v>10.80403406</v>
      </c>
      <c r="LZ68" s="516">
        <f t="shared" si="86"/>
        <v>1</v>
      </c>
      <c r="MA68" s="517">
        <f t="shared" si="87"/>
        <v>48.61815329</v>
      </c>
      <c r="MB68" s="501">
        <f t="shared" si="158"/>
        <v>3.93390885</v>
      </c>
      <c r="MC68" s="501">
        <f t="shared" si="159"/>
        <v>0</v>
      </c>
      <c r="MD68" s="501">
        <f t="shared" si="160"/>
        <v>0</v>
      </c>
      <c r="ME68" s="501">
        <f t="shared" si="161"/>
        <v>0</v>
      </c>
      <c r="MF68" s="501">
        <f t="shared" si="162"/>
        <v>0</v>
      </c>
      <c r="MG68" s="527">
        <f t="shared" si="163"/>
        <v>1</v>
      </c>
      <c r="MH68" s="517">
        <f t="shared" si="88"/>
        <v>0</v>
      </c>
      <c r="MI68" s="501">
        <f t="shared" si="164"/>
        <v>0</v>
      </c>
      <c r="MJ68" s="95">
        <f t="shared" si="89"/>
        <v>3.93390885</v>
      </c>
      <c r="MK68" s="95">
        <f t="shared" si="165"/>
        <v>3.93390885</v>
      </c>
      <c r="ML68" s="95">
        <f t="shared" si="306"/>
        <v>0</v>
      </c>
      <c r="MM68" s="95">
        <f t="shared" si="91"/>
        <v>0</v>
      </c>
      <c r="MN68" s="95">
        <f t="shared" si="92"/>
        <v>5.33390885</v>
      </c>
      <c r="MO68" s="251">
        <f t="shared" si="166"/>
        <v>0</v>
      </c>
      <c r="MP68" s="95">
        <f t="shared" si="167"/>
        <v>12.90805942</v>
      </c>
      <c r="MQ68" s="95">
        <f t="shared" si="307"/>
        <v>12.90805942</v>
      </c>
      <c r="MR68" s="314">
        <f t="shared" si="168"/>
        <v>12.90805942</v>
      </c>
      <c r="MS68" s="530">
        <f t="shared" si="94"/>
        <v>13.08405942</v>
      </c>
      <c r="MT68" s="532">
        <f t="shared" si="95"/>
        <v>13.24405942</v>
      </c>
      <c r="MU68" s="532">
        <f t="shared" si="232"/>
        <v>13.68405942</v>
      </c>
      <c r="MV68" s="532">
        <f t="shared" si="97"/>
        <v>16.68405942</v>
      </c>
      <c r="MW68" s="532">
        <f t="shared" si="98"/>
        <v>16.84405942</v>
      </c>
      <c r="MX68" s="314">
        <f t="shared" si="233"/>
        <v>4.53390885</v>
      </c>
      <c r="MY68" s="314">
        <f t="shared" si="100"/>
        <v>0</v>
      </c>
      <c r="MZ68" s="95">
        <f t="shared" si="101"/>
        <v>5.93390885</v>
      </c>
      <c r="NA68" s="95">
        <f t="shared" si="102"/>
        <v>0</v>
      </c>
      <c r="NB68" s="95">
        <f t="shared" si="169"/>
        <v>14.36005942</v>
      </c>
      <c r="NC68" s="314">
        <f t="shared" si="308"/>
        <v>14.36005942</v>
      </c>
      <c r="ND68" s="314">
        <f t="shared" si="234"/>
        <v>14.36005942</v>
      </c>
      <c r="NE68" s="537">
        <f t="shared" si="235"/>
        <v>14.60005942</v>
      </c>
      <c r="NF68" s="532">
        <f t="shared" si="106"/>
        <v>14.76005942</v>
      </c>
      <c r="NG68" s="180">
        <f t="shared" si="236"/>
        <v>15.20005942</v>
      </c>
      <c r="NH68" s="314">
        <f t="shared" si="108"/>
        <v>18.20005942</v>
      </c>
      <c r="NI68" s="532">
        <f t="shared" si="109"/>
        <v>18.36005942</v>
      </c>
      <c r="NK68" s="541">
        <f t="shared" si="110"/>
        <v>0.558955324495392</v>
      </c>
      <c r="NL68" s="541">
        <f t="shared" si="111"/>
        <v>24.0302537356155</v>
      </c>
      <c r="NM68" s="541">
        <f t="shared" si="112"/>
        <v>0.558955324495392</v>
      </c>
      <c r="NN68" s="541">
        <f t="shared" si="113"/>
        <v>24.1533611438993</v>
      </c>
      <c r="NO68" s="541">
        <f t="shared" si="114"/>
        <v>0.805064041818224</v>
      </c>
      <c r="NP68" s="541">
        <f t="shared" si="115"/>
        <v>24.9549658323064</v>
      </c>
      <c r="NQ68" s="541">
        <f t="shared" si="116"/>
        <v>0.805064041818224</v>
      </c>
      <c r="NR68" s="541">
        <f t="shared" si="117"/>
        <v>25.0906122143803</v>
      </c>
      <c r="NS68" s="541">
        <f t="shared" si="118"/>
        <v>0.577343320626764</v>
      </c>
      <c r="NT68" s="541">
        <f t="shared" si="119"/>
        <v>0.577343320626764</v>
      </c>
      <c r="NU68" s="541">
        <f t="shared" si="120"/>
        <v>0.825569637182914</v>
      </c>
      <c r="NV68" s="541">
        <f t="shared" si="121"/>
        <v>0.825569637182914</v>
      </c>
      <c r="NW68" s="11">
        <f t="shared" si="122"/>
        <v>0.65710498851269</v>
      </c>
      <c r="NX68" s="11">
        <f>各项系数!$M$9*NK68</f>
        <v>0.167686597348618</v>
      </c>
      <c r="NY68" s="11">
        <f t="shared" si="123"/>
        <v>0.577343320626764</v>
      </c>
    </row>
    <row r="69" s="11" customFormat="1" customHeight="1" spans="1:389">
      <c r="A69" s="81"/>
      <c r="B69" s="98"/>
      <c r="C69" s="83"/>
      <c r="D69" s="74" t="s">
        <v>206</v>
      </c>
      <c r="E69" s="550">
        <f t="shared" si="325"/>
        <v>19.17326099</v>
      </c>
      <c r="F69" s="84">
        <f>$F$21</f>
        <v>165.416818206689</v>
      </c>
      <c r="G69" s="74"/>
      <c r="H69" s="23"/>
      <c r="I69" s="78"/>
      <c r="J69" s="78"/>
      <c r="K69" s="23"/>
      <c r="L69" s="128" t="s">
        <v>467</v>
      </c>
      <c r="M69" s="119">
        <f t="shared" si="2"/>
        <v>0.7</v>
      </c>
      <c r="N69" s="119">
        <f t="shared" si="252"/>
        <v>0</v>
      </c>
      <c r="O69" s="74">
        <f t="shared" si="326"/>
        <v>0.08</v>
      </c>
      <c r="P69" s="120">
        <v>0.1</v>
      </c>
      <c r="Q69" s="165">
        <f t="shared" si="322"/>
        <v>0.1</v>
      </c>
      <c r="R69" s="182">
        <v>0.8</v>
      </c>
      <c r="S69" s="173" t="str">
        <f>各项系数!$D$43</f>
        <v>钢带</v>
      </c>
      <c r="T69" s="78">
        <v>0.2</v>
      </c>
      <c r="U69" s="78">
        <v>2</v>
      </c>
      <c r="V69" s="172"/>
      <c r="W69" s="174">
        <v>1.8</v>
      </c>
      <c r="X69" s="168">
        <f t="shared" si="323"/>
        <v>0.2</v>
      </c>
      <c r="Y69" s="221"/>
      <c r="Z69" s="222"/>
      <c r="AA69" s="223">
        <f>$AA$21</f>
        <v>1.011</v>
      </c>
      <c r="AB69" s="186">
        <f>PI()*EJ69*EJ69/4*EH69*(1-H69)*AA69*各项系数!$F$5*各项系数!$J$4*10^-7</f>
        <v>0.134531270768238</v>
      </c>
      <c r="AC69" s="224">
        <f t="shared" si="327"/>
        <v>165.416818206689</v>
      </c>
      <c r="AD69" s="186">
        <f t="shared" si="5"/>
        <v>15.2089209566661</v>
      </c>
      <c r="AE69" s="186">
        <f>POWER(4*EU69/PI()/EG69/10^-7/EH69/(1-H69)/各项系数!$F$5/各项系数!$J$4,0.5)</f>
        <v>166.32412244418</v>
      </c>
      <c r="AF69" s="225">
        <v>1</v>
      </c>
      <c r="AG69" s="23">
        <f>IF(EM69=0,0,PI()*ER69*ER69/4*EP69*(1-K69)*(1+AF69)*各项系数!$F$5*各项系数!$J$4*10^-7)</f>
        <v>0</v>
      </c>
      <c r="AH69" s="23">
        <f t="shared" si="328"/>
        <v>0</v>
      </c>
      <c r="AI69" s="85">
        <f t="shared" si="128"/>
        <v>0</v>
      </c>
      <c r="AJ69" s="85">
        <f>IF(OR(EP69="",EP69=0),0,POWER(4*EW69/PI()/EO69/10^-7/EP69/(1-K69)/各项系数!$F$5/各项系数!$J$4,0.5))</f>
        <v>0</v>
      </c>
      <c r="AK69" s="23" t="str">
        <f t="shared" si="8"/>
        <v>√</v>
      </c>
      <c r="AL69" s="23">
        <f t="shared" si="329"/>
        <v>38.7322475223997</v>
      </c>
      <c r="AM69" s="127">
        <f t="shared" si="330"/>
        <v>16</v>
      </c>
      <c r="AN69" s="128" t="s">
        <v>486</v>
      </c>
      <c r="AO69" s="176">
        <f>AP69+各项系数!$M$9*$NK69</f>
        <v>37.9727916886272</v>
      </c>
      <c r="AP69" s="176">
        <f>AQ69*(1+$BI69+(VLOOKUP($AM69,$A$12:$B$323,2,0))+各项系数!$J$6+各项系数!$M$5)*(1+$E$2)</f>
        <v>37.729483328052</v>
      </c>
      <c r="AQ69" s="262">
        <f>AR69+各项系数!$L$9*$NK69</f>
        <v>38.4994727837265</v>
      </c>
      <c r="AR69" s="262">
        <f>AS69*(1+$BJ69+各项系数!$J$5+各项系数!$L$5)</f>
        <v>38.2561644231513</v>
      </c>
      <c r="AS69" s="262">
        <f t="shared" si="129"/>
        <v>37.5060435521092</v>
      </c>
      <c r="AT69" s="176">
        <f>AU69+各项系数!$M$9*$NM69</f>
        <v>38.9450376115799</v>
      </c>
      <c r="AU69" s="176">
        <f>AV69*(1+$BI69+(VLOOKUP($AM69,$A$12:$B$323,2,0))+各项系数!$J$6+各项系数!$M$5)*(1+$E$2)</f>
        <v>38.7017292510047</v>
      </c>
      <c r="AV69" s="262">
        <f>AW69+各项系数!$L$9*$NM69</f>
        <v>39.4915604602089</v>
      </c>
      <c r="AW69" s="262">
        <f>AX69*(1+$BJ69+各项系数!$J$5+各项系数!$L$5)</f>
        <v>39.2482520996337</v>
      </c>
      <c r="AX69" s="262">
        <f t="shared" si="130"/>
        <v>38.4786785290526</v>
      </c>
      <c r="AY69" s="176">
        <f>AZ69+各项系数!$M$9*$NS69</f>
        <v>39.4743048024244</v>
      </c>
      <c r="AZ69" s="176">
        <f>BA69*(1+$BI69+(VLOOKUP($AM69,$A$12:$B$214,2,0))+各项系数!$J$6+各项系数!$M$5)*(1+$E$2)</f>
        <v>39.2244369431412</v>
      </c>
      <c r="BA69" s="262">
        <f>BB69+各项系数!$L$9*$NS69</f>
        <v>40.0249356562665</v>
      </c>
      <c r="BB69" s="262">
        <f>BC69*(1+$BJ69+各项系数!$J$5+各项系数!$L$5)</f>
        <v>39.7750677969833</v>
      </c>
      <c r="BC69" s="262">
        <f t="shared" si="131"/>
        <v>38.9951645068463</v>
      </c>
      <c r="BD69" s="176">
        <f>BE69+各项系数!$M$9*$NS69</f>
        <v>40.4555046775316</v>
      </c>
      <c r="BE69" s="176">
        <f>BF69*(1+$BI69+(VLOOKUP($AM69,$A$12:$B$214,2,0))+各项系数!$J$6+各项系数!$M$5)*(1+$E$2)</f>
        <v>40.2056368182484</v>
      </c>
      <c r="BF69" s="262">
        <f>BG69+各项系数!$L$9*$NS69</f>
        <v>41.0261600186208</v>
      </c>
      <c r="BG69" s="262">
        <f>BH69*(1+$BJ69+各项系数!$J$5+各项系数!$L$5)</f>
        <v>40.7762921593376</v>
      </c>
      <c r="BH69" s="262">
        <f t="shared" si="132"/>
        <v>39.9767570189584</v>
      </c>
      <c r="BI69" s="278"/>
      <c r="BJ69" s="279"/>
      <c r="BK69" s="95" t="s">
        <v>514</v>
      </c>
      <c r="BL69" s="176">
        <f>BM69+各项系数!$M$9*$NM69</f>
        <v>38.4853974768668</v>
      </c>
      <c r="BM69" s="176">
        <f>BN69*(1+$CF69+(VLOOKUP($AM69,$A$12:$B$323,2,0))+各项系数!$J$6+各项系数!$M$5)*(1+$E$2)</f>
        <v>38.2420891162916</v>
      </c>
      <c r="BN69" s="262">
        <f>BO69+各项系数!$L$9*$NM69</f>
        <v>39.0225399145833</v>
      </c>
      <c r="BO69" s="262">
        <f>BP69*(1+$CG69+各项系数!$J$5+各项系数!$L$5)</f>
        <v>38.7792315540081</v>
      </c>
      <c r="BP69" s="262">
        <f t="shared" si="133"/>
        <v>37.6497393728234</v>
      </c>
      <c r="BQ69" s="176">
        <f>BR69+各项系数!$M$9*$NM69</f>
        <v>39.3221286611646</v>
      </c>
      <c r="BR69" s="176">
        <f>BS69*(1+$CF69+(VLOOKUP($AM69,$A$12:$B$323,2,0))+各项系数!$J$6+各项系数!$M$5)*(1+$E$2)</f>
        <v>39.0788203005894</v>
      </c>
      <c r="BS69" s="262">
        <f>BT69+各项系数!$L$9*$NM69</f>
        <v>39.8763472454994</v>
      </c>
      <c r="BT69" s="262">
        <f>BU69*(1+$CG69+各项系数!$J$5+各项系数!$L$5)</f>
        <v>39.6330388849242</v>
      </c>
      <c r="BU69" s="262">
        <f t="shared" si="134"/>
        <v>38.4786785290526</v>
      </c>
      <c r="BV69" s="176">
        <f>BW69+各项系数!$M$9*$NT69</f>
        <v>39.766067423278</v>
      </c>
      <c r="BW69" s="176">
        <f>BX69*(1+$CF69+(VLOOKUP($AM69,$A$12:$B$214,2,0))+各项系数!$J$6+各项系数!$M$5)*(1+$E$2)</f>
        <v>39.5161995639947</v>
      </c>
      <c r="BX69" s="262">
        <f>BY69+各项系数!$L$9*$NT$12</f>
        <v>40.3226526163212</v>
      </c>
      <c r="BY69" s="262">
        <f>BZ69*(1+$CG69+各项系数!$J$5+各项系数!$L$5)</f>
        <v>40.3143892131662</v>
      </c>
      <c r="BZ69" s="262">
        <f t="shared" si="11"/>
        <v>39.1401837021031</v>
      </c>
      <c r="CA69" s="176">
        <f>CB69+各项系数!$M$9*$NT69</f>
        <v>40.6105045293117</v>
      </c>
      <c r="CB69" s="176">
        <f>CC69*(1+$CF69+(VLOOKUP($AM69,$A$12:$B$214,2,0))+各项系数!$J$6+各项系数!$M$5)*(1+$E$2)</f>
        <v>40.3606366700285</v>
      </c>
      <c r="CC69" s="262">
        <f>CD69+各项系数!$L$9*$NT$12</f>
        <v>41.1843231326821</v>
      </c>
      <c r="CD69" s="262">
        <f>CE69*(1+$CG69+各项系数!$J$5+各项系数!$L$5)</f>
        <v>41.1760597295271</v>
      </c>
      <c r="CE69" s="262">
        <f t="shared" si="135"/>
        <v>39.9767570189584</v>
      </c>
      <c r="CF69" s="278">
        <f t="shared" si="136"/>
        <v>0</v>
      </c>
      <c r="CG69" s="278">
        <f t="shared" si="12"/>
        <v>0.01</v>
      </c>
      <c r="CH69" s="127"/>
      <c r="CI69" s="176">
        <f>CJ69+各项系数!$M$9*$NO69</f>
        <v>39.5286460099405</v>
      </c>
      <c r="CJ69" s="176">
        <f>CK69*(1+$DC69+(VLOOKUP($AM69,$A$12:$B$323,2,0))+各项系数!$J$6+各项系数!$M$5)*(1+$E$2)+各项系数!$M$9*$NK69</f>
        <v>39.1873051802052</v>
      </c>
      <c r="CK69" s="262">
        <f>CL69+各项系数!$L$9*$NO69</f>
        <v>39.7387722649286</v>
      </c>
      <c r="CL69" s="262">
        <f>CM69*(1+$DD69+各项系数!$J$5+各项系数!$L$5)</f>
        <v>39.3974314351932</v>
      </c>
      <c r="CM69" s="262">
        <f t="shared" si="13"/>
        <v>38.6249327796012</v>
      </c>
      <c r="CN69" s="176">
        <f>CO69+各项系数!$M$9*$NO69</f>
        <v>40.375552350887</v>
      </c>
      <c r="CO69" s="176">
        <f>CP69*(1+$DC69+(VLOOKUP($AM69,$A$12:$B$323,2,0))+各项系数!$J$6+各项系数!$M$5)*(1+$E$2)+各项系数!$M$9*$NK69</f>
        <v>40.0342115211516</v>
      </c>
      <c r="CP69" s="262">
        <f>CQ69+各项系数!$L$9*$NO69</f>
        <v>40.6029624087515</v>
      </c>
      <c r="CQ69" s="262">
        <f>CR69*(1+$DD69+各项系数!$J$5+各项系数!$L$5)</f>
        <v>40.2616215790162</v>
      </c>
      <c r="CR69" s="262">
        <f t="shared" si="14"/>
        <v>39.4721780186433</v>
      </c>
      <c r="CS69" s="176">
        <f>CT69+各项系数!$M$9*$NU69</f>
        <v>40.9309893901769</v>
      </c>
      <c r="CT69" s="176">
        <f t="shared" si="15"/>
        <v>40.5824537819635</v>
      </c>
      <c r="CU69" s="262">
        <f>CV69+各项系数!$L$9*$NU69</f>
        <v>41.4106671244526</v>
      </c>
      <c r="CV69" s="262">
        <f>CW69*(1+$DD69+各项系数!$J$5+各项系数!$L$5)</f>
        <v>41.0621315162392</v>
      </c>
      <c r="CW69" s="262">
        <f t="shared" si="16"/>
        <v>40.2569916825874</v>
      </c>
      <c r="CX69" s="176">
        <f>CY69+各项系数!$M$9*$NU69</f>
        <v>41.9970279619481</v>
      </c>
      <c r="CY69" s="176">
        <f t="shared" si="17"/>
        <v>41.6484923537348</v>
      </c>
      <c r="CZ69" s="262">
        <f>DA69+各项系数!$L$9*$NU69</f>
        <v>42.4984615854436</v>
      </c>
      <c r="DA69" s="262">
        <f>DB69*(1+$DD69+各项系数!$J$5+各项系数!$L$5)</f>
        <v>42.1499259772303</v>
      </c>
      <c r="DB69" s="262">
        <f t="shared" si="18"/>
        <v>41.3234568404218</v>
      </c>
      <c r="DC69" s="278">
        <f t="shared" si="137"/>
        <v>0</v>
      </c>
      <c r="DD69" s="278">
        <f t="shared" si="19"/>
        <v>0</v>
      </c>
      <c r="DE69" s="95" t="s">
        <v>498</v>
      </c>
      <c r="DF69" s="95" t="s">
        <v>513</v>
      </c>
      <c r="DG69" s="176">
        <f>DH69+各项系数!$M$9*$NQ69</f>
        <v>40.0648737527533</v>
      </c>
      <c r="DH69" s="176">
        <f>DI69*(1+$EA69+(VLOOKUP($AM69,$A$12:$B$323,2,0))+各项系数!$J$6+各项系数!$M$5)*(1+$E$2)+各项系数!$M$9*$NK69</f>
        <v>39.723532923018</v>
      </c>
      <c r="DI69" s="262">
        <f>DJ69+各项系数!$L$9*$NQ69</f>
        <v>40.2859434310641</v>
      </c>
      <c r="DJ69" s="262">
        <f>DK69*(1+$EB69+各项系数!$J$5+各项系数!$L$5)</f>
        <v>39.9446026013288</v>
      </c>
      <c r="DK69" s="262">
        <f t="shared" si="20"/>
        <v>38.7811675741056</v>
      </c>
      <c r="DL69" s="176">
        <f>DM69+各项系数!$M$9*$NQ69</f>
        <v>40.9746185454995</v>
      </c>
      <c r="DM69" s="176">
        <f>DN69*(1+$EA69+(VLOOKUP($AM69,$A$12:$B$323,2,0))+各项系数!$J$6+各项系数!$M$5)*(1+$E$2)+各项系数!$M$9*$NK69</f>
        <v>40.6332777157641</v>
      </c>
      <c r="DN69" s="262">
        <f>DO69+各项系数!$L$9*$NQ69</f>
        <v>41.2142544440704</v>
      </c>
      <c r="DO69" s="262">
        <f>DP69*(1+$EB69+各项系数!$J$5+各项系数!$L$5)</f>
        <v>40.872913614335</v>
      </c>
      <c r="DP69" s="262">
        <f t="shared" si="21"/>
        <v>39.682440402267</v>
      </c>
      <c r="DQ69" s="176">
        <f>DR69+各项系数!$M$9*$NV69</f>
        <v>41.4845471245022</v>
      </c>
      <c r="DR69" s="176">
        <f t="shared" si="22"/>
        <v>41.1360115162888</v>
      </c>
      <c r="DS69" s="262">
        <f>DT69+各项系数!$L$9*$NV69</f>
        <v>41.9755219553967</v>
      </c>
      <c r="DT69" s="262">
        <f>DU69*(1+$EB69+各项系数!$J$5+各项系数!$L$5)</f>
        <v>41.6269863471834</v>
      </c>
      <c r="DU69" s="262">
        <f t="shared" si="23"/>
        <v>40.4145498516343</v>
      </c>
      <c r="DV69" s="176">
        <f>DW69+各项系数!$M$9*$NV69</f>
        <v>41.7812214421478</v>
      </c>
      <c r="DW69" s="176">
        <f t="shared" si="24"/>
        <v>41.4326858339344</v>
      </c>
      <c r="DX69" s="262">
        <f>DY69+各项系数!$L$9*$NV69</f>
        <v>42.2782508509535</v>
      </c>
      <c r="DY69" s="262">
        <f>DZ69*(1+$EB69+各项系数!$J$5+各项系数!$L$5)</f>
        <v>41.9297152427401</v>
      </c>
      <c r="DZ69" s="262">
        <f t="shared" si="25"/>
        <v>40.7084614007186</v>
      </c>
      <c r="EA69" s="278">
        <f t="shared" si="324"/>
        <v>0</v>
      </c>
      <c r="EB69" s="278">
        <f t="shared" si="27"/>
        <v>0.01</v>
      </c>
      <c r="EC69" s="302">
        <f t="shared" si="138"/>
        <v>4</v>
      </c>
      <c r="ED69" s="304" t="str">
        <f t="shared" si="331"/>
        <v>4*16</v>
      </c>
      <c r="EE69" s="95">
        <f t="shared" si="239"/>
        <v>16</v>
      </c>
      <c r="EF69" s="95" t="str">
        <f>LOOKUP(EH69,{1,7,10,14,19,24,30,37,48,61},{1,"1+6","2+8","4+10","1+6+12","2+8+14","4+10+16","1+6+12+18","3+9+15+21","1+6+12+18+24"})</f>
        <v>1+6</v>
      </c>
      <c r="EG69" s="127">
        <f t="shared" si="29"/>
        <v>4</v>
      </c>
      <c r="EH69" s="262">
        <f>VLOOKUP(EE69,各项系数!$B$87:$C$124,2,0)</f>
        <v>7</v>
      </c>
      <c r="EI69" s="127">
        <f>IF(EH69=0,0,VLOOKUP(EH69,各项系数!$D$142:$E$195,2,0))*1</f>
        <v>3</v>
      </c>
      <c r="EJ69" s="307">
        <f t="shared" si="141"/>
        <v>165.416818206689</v>
      </c>
      <c r="EK69" s="95">
        <f t="shared" si="332"/>
        <v>0</v>
      </c>
      <c r="EL69" s="95">
        <f t="shared" si="31"/>
        <v>0</v>
      </c>
      <c r="EM69" s="95">
        <f t="shared" si="333"/>
        <v>0</v>
      </c>
      <c r="EN69" s="95">
        <f>IF(EP69=0,0,LOOKUP(EP69,{1,7,10,14,19,24,30,37,48,61},{1,"1+6","2+8","4+10","1+6+12","2+8+14","4+10+16","1+6+12+18","3+9+15+21","1+6+12+18+24"}))</f>
        <v>0</v>
      </c>
      <c r="EO69" s="95">
        <f t="shared" si="334"/>
        <v>0</v>
      </c>
      <c r="EP69" s="95">
        <f>IF(EM69=0,0,IF(EM69&lt;10,1,IF(AND(EM69&gt;=10,EM69&lt;=35),7,LOOKUP(EM69,{50,70,95,120,150,185,240,300},{10,14,19,24,30,37,48,61})*1)))</f>
        <v>0</v>
      </c>
      <c r="EQ69" s="95">
        <f>IF(EP69=0,0,VLOOKUP(EP69,各项系数!$D$142:$E$195,2,0))*1</f>
        <v>0</v>
      </c>
      <c r="ER69" s="95">
        <f t="shared" si="335"/>
        <v>0</v>
      </c>
      <c r="ES69" s="304">
        <f t="shared" si="336"/>
        <v>4</v>
      </c>
      <c r="ET69" s="95">
        <f>VLOOKUP(ES69,各项系数!$D$142:$E$195,2,0)*1</f>
        <v>2.42</v>
      </c>
      <c r="EU69" s="311">
        <f>((各项系数!$F$76/4*$EJ69^2*$EG69*$EH69*1*10^-7)*(1-$H69)*AA69)*(VLOOKUP($EY$9,各项系数!$D$4:$F$143,3,0))*各项系数!$J$4</f>
        <v>0.538125083072952</v>
      </c>
      <c r="EV69" s="312">
        <f>EU69*(VLOOKUP($EY$9,各项系数!$D$4:$F$143,2,0))</f>
        <v>35.2471929412783</v>
      </c>
      <c r="EW69" s="324">
        <f>(IF($EO69=0,0,(各项系数!$F$76/4*$ER69^2*$EO69*$EP69*1*10^-7))*(1-$K69)*$AF69)*(VLOOKUP($EY$9,各项系数!$D$4:$F$143,3,0))*各项系数!$J$4</f>
        <v>0</v>
      </c>
      <c r="EX69" s="325">
        <f>EW69*(VLOOKUP($EY$9,各项系数!$D$4:$F$143,2,0))</f>
        <v>0</v>
      </c>
      <c r="EY69" s="251">
        <f>((各项系数!$F$76/4*$EJ69^2*$EG69*$EH69*1*10^-7)*(1-$H69)*AA69+IF($EO69=0,0,(各项系数!$F$76/4*$ER69^2*$EO69*$EP69*1*10^-7))*(1-$K69)*$AF69)*(VLOOKUP($EY$9,各项系数!$D$4:$F$143,3,0))*各项系数!$J$4</f>
        <v>0.538125083072952</v>
      </c>
      <c r="EZ69" s="127">
        <v>1</v>
      </c>
      <c r="FA69" s="95">
        <f t="shared" si="268"/>
        <v>0.538125083072952</v>
      </c>
      <c r="FB69" s="314">
        <f>FA69*(VLOOKUP($EY$9,各项系数!$D$4:$F$143,2,0))</f>
        <v>35.2471929412783</v>
      </c>
      <c r="FC69" s="329"/>
      <c r="FD69" s="304">
        <f>各项系数!$F$76/4*($MN69^2-MK69^2)*10^-2*(VLOOKUP(L69,各项系数!$D$1:$F$143,3,0))*10^-3*10^2*$EG69*各项系数!$J$4</f>
        <v>0.0545170356514288</v>
      </c>
      <c r="FE69" s="341">
        <f>FD69*VLOOKUP(L69,各项系数!$D$1:$F$143,2,0)</f>
        <v>0.556073763644574</v>
      </c>
      <c r="FF69" s="127">
        <f>各项系数!$F$76/4*($MO69^2-ML69^2)*10^-2*(VLOOKUP(L69,各项系数!$D$1:$F$143,3,0))*10^-3*10^2*$EO69*各项系数!$J$4</f>
        <v>0</v>
      </c>
      <c r="FG69" s="341">
        <f>FF69*VLOOKUP(L69,各项系数!$D$1:$F$143,2,0)</f>
        <v>0</v>
      </c>
      <c r="FH69" s="304">
        <f t="shared" si="142"/>
        <v>0.0545170356514288</v>
      </c>
      <c r="FI69" s="127">
        <v>1</v>
      </c>
      <c r="FJ69" s="95">
        <f t="shared" si="269"/>
        <v>0.0545170356514288</v>
      </c>
      <c r="FK69" s="341">
        <f>FJ69*VLOOKUP(L69,各项系数!$D$1:$F$143,2,0)</f>
        <v>0.556073763644574</v>
      </c>
      <c r="FL69" s="304"/>
      <c r="FM69" s="127"/>
      <c r="FN69" s="95"/>
      <c r="FO69" s="341"/>
      <c r="FP69" s="371">
        <f t="shared" si="270"/>
        <v>0.0545170356514288</v>
      </c>
      <c r="FQ69" s="371">
        <f t="shared" si="271"/>
        <v>0.556073763644574</v>
      </c>
      <c r="FR69" s="365">
        <f>各项系数!$F$76/4*($MQ69^2-$MN69^2*$EG69-$MO69^2*$EO69)*10^-2</f>
        <v>0.590225069735206</v>
      </c>
      <c r="FS69" s="366">
        <f t="shared" si="143"/>
        <v>1</v>
      </c>
      <c r="FT69" s="367">
        <f t="shared" si="40"/>
        <v>0.590225069735206</v>
      </c>
      <c r="FU69" s="395">
        <f>$FT69*(VLOOKUP($FT$9,各项系数!$D$1:$F$143,3,0))*10^-3*10^2*各项系数!$J$55</f>
        <v>0.0704728733263836</v>
      </c>
      <c r="FV69" s="396">
        <v>1</v>
      </c>
      <c r="FW69" s="397">
        <f t="shared" si="272"/>
        <v>0.0704728733263836</v>
      </c>
      <c r="FX69" s="372">
        <f>FW69*(VLOOKUP($FT$9,各项系数!$D$1:$F$143,2,0))</f>
        <v>0.211418619979151</v>
      </c>
      <c r="FY69" s="395">
        <f>IF($BK69&lt;&gt;$FY$9,0,各项系数!$F$76/4*($MS69^2-$MQ69^2)*10^-2*(VLOOKUP($FY$9,各项系数!$D$1:$F$143,3,0))*10^-3*10^2)*各项系数!$J$4</f>
        <v>0</v>
      </c>
      <c r="FZ69" s="396">
        <v>1</v>
      </c>
      <c r="GA69" s="397">
        <f t="shared" si="273"/>
        <v>0</v>
      </c>
      <c r="GB69" s="372">
        <f>GA69*(VLOOKUP($FY$9,各项系数!$D$1:$F$143,2,0))</f>
        <v>0</v>
      </c>
      <c r="GC69" s="395">
        <f>IF($BK69&lt;&gt;$GC$9,0,各项系数!$F$76/4*($MS69^2-$MQ69^2)*10^-2*(VLOOKUP($GC$9,各项系数!$D$1:$F$143,3,0))*10^-3*10^2)*各项系数!$J$4</f>
        <v>0.00421705581895279</v>
      </c>
      <c r="GD69" s="396">
        <v>1</v>
      </c>
      <c r="GE69" s="397">
        <f t="shared" si="274"/>
        <v>0.00421705581895279</v>
      </c>
      <c r="GF69" s="372">
        <f>GE69*(VLOOKUP($GC$9,各项系数!$D$1:$F$143,2,0))</f>
        <v>0.054400020064491</v>
      </c>
      <c r="GG69" s="395">
        <f>IF($BK69&lt;&gt;$GG$9,0,各项系数!$F$76/4*($MS69^2-$MQ69^2)*10^-2*(VLOOKUP($GG$9,各项系数!$D$1:$F$143,3,0))*10^-3*10^2)*各项系数!$J$4</f>
        <v>0</v>
      </c>
      <c r="GH69" s="396">
        <v>1</v>
      </c>
      <c r="GI69" s="397">
        <f t="shared" si="275"/>
        <v>0</v>
      </c>
      <c r="GJ69" s="372">
        <f>GI69*(VLOOKUP($GG$9,各项系数!$D$1:$F$143,2,0))</f>
        <v>0</v>
      </c>
      <c r="GK69" s="395">
        <f>IF($BK69&lt;&gt;$GK$9,0,各项系数!$F$76/4*($MS69^2-$MQ69^2)*10^-2*(VLOOKUP($GK$9,各项系数!$D$1:$F$143,3,0))*10^-3*10^2)*各项系数!$J$4</f>
        <v>0</v>
      </c>
      <c r="GL69" s="396">
        <v>1</v>
      </c>
      <c r="GM69" s="397">
        <f t="shared" si="276"/>
        <v>0</v>
      </c>
      <c r="GN69" s="372">
        <f>GM69*(VLOOKUP($GK$9,各项系数!$D$1:$F$143,2,0))</f>
        <v>0</v>
      </c>
      <c r="GO69" s="397">
        <f t="shared" si="277"/>
        <v>0.00421705581895279</v>
      </c>
      <c r="GP69" s="397">
        <f t="shared" si="278"/>
        <v>0.054400020064491</v>
      </c>
      <c r="GQ69" s="408">
        <f>各项系数!$F$76/4*($MU69^2-$MS69^2)*10^-2*(VLOOKUP($S69,各项系数!$D$1:$F$143,3,0))*10^-3*10^2*各项系数!$J$4</f>
        <v>0.116403789324135</v>
      </c>
      <c r="GR69" s="396">
        <v>1</v>
      </c>
      <c r="GS69" s="397">
        <f t="shared" si="279"/>
        <v>0.116403789324135</v>
      </c>
      <c r="GT69" s="397">
        <f t="shared" si="200"/>
        <v>0</v>
      </c>
      <c r="GU69" s="397">
        <f>ROUND($GS69*(VLOOKUP($S69,各项系数!$D$1:$F$143,2,0))+$E$3*GS69,GT69)</f>
        <v>1</v>
      </c>
      <c r="GV69" s="406">
        <f>各项系数!$F$76/4*($MT69^2-$MS69^2)*10^-2*(VLOOKUP($GV$9,各项系数!$D$1:$F$143,3,0))*10^-3*10^2*各项系数!$J$4*PI()/4*R69</f>
        <v>0.0218649956935145</v>
      </c>
      <c r="GW69" s="396">
        <v>1</v>
      </c>
      <c r="GX69" s="397">
        <f t="shared" si="280"/>
        <v>0.0218649956935145</v>
      </c>
      <c r="GY69" s="397">
        <f>$GX69*(VLOOKUP($GV$9,各项系数!$D$1:$F$143,2,0))</f>
        <v>1.47588720931223</v>
      </c>
      <c r="GZ69" s="408">
        <f>各项系数!$F$76/4*($MV69^2-$MS69^2)*10^-2*(VLOOKUP($GZ$9,各项系数!$D$1:$F$143,3,0))*10^-3*10^2*各项系数!$J$4</f>
        <v>0.141740775534473</v>
      </c>
      <c r="HA69" s="396">
        <v>1</v>
      </c>
      <c r="HB69" s="397">
        <f t="shared" si="144"/>
        <v>0.141740775534473</v>
      </c>
      <c r="HC69" s="397">
        <f>HB69*(VLOOKUP($GZ$9,各项系数!$D$1:$F$143,2,0))</f>
        <v>2.40959318408605</v>
      </c>
      <c r="HD69" s="408">
        <f>各项系数!$F$76/4*($MW69^2-$MT69^2)*10^-2*(VLOOKUP($HD$9,各项系数!$D$1:$F$143,3,0))*10^-3*10^2*各项系数!$J$4</f>
        <v>0.143046144981152</v>
      </c>
      <c r="HE69" s="396">
        <v>1</v>
      </c>
      <c r="HF69" s="397">
        <f t="shared" si="145"/>
        <v>0.143046144981152</v>
      </c>
      <c r="HG69" s="397">
        <f>HF69*(VLOOKUP($HD$9,各项系数!$D$1:$F$143,2,0))</f>
        <v>2.43178446467958</v>
      </c>
      <c r="HH69" s="408">
        <f>各项系数!$F$76/4*($MV69^2-$MS69^2)*10^-2*(VLOOKUP($HH$9,各项系数!$D$1:$F$143,3,0))*10^-3*10^2*各项系数!$J$4</f>
        <v>0.141740775534473</v>
      </c>
      <c r="HI69" s="397">
        <v>1</v>
      </c>
      <c r="HJ69" s="397">
        <f t="shared" si="146"/>
        <v>0.141740775534473</v>
      </c>
      <c r="HK69" s="397">
        <f>HJ69*(VLOOKUP($HH$9,各项系数!$D$1:$F$143,2,0))</f>
        <v>2.40959318408605</v>
      </c>
      <c r="HL69" s="408">
        <f>各项系数!$F$76/4*($MW69^2-$MT69^2)*10^-2*(VLOOKUP($HL$9,各项系数!$D$1:$F$143,3,0))*10^-3*10^2*各项系数!$J$4</f>
        <v>0.143046144981152</v>
      </c>
      <c r="HM69" s="397">
        <v>1</v>
      </c>
      <c r="HN69" s="397">
        <f t="shared" si="147"/>
        <v>0.143046144981152</v>
      </c>
      <c r="HO69" s="397">
        <f>HN69*(VLOOKUP($HL$9,各项系数!$D$1:$F$143,2,0))</f>
        <v>2.43178446467958</v>
      </c>
      <c r="HP69" s="408">
        <f>各项系数!$F$76/4*($MV69^2-$MS69^2)*10^-2*(VLOOKUP(AN69,各项系数!$D$1:$F$143,3,0))*10^-3*10^2*各项系数!$J$4</f>
        <v>0.143695820714259</v>
      </c>
      <c r="HQ69" s="396">
        <v>1</v>
      </c>
      <c r="HR69" s="397">
        <f t="shared" si="281"/>
        <v>0.143695820714259</v>
      </c>
      <c r="HS69" s="397">
        <f>HR69*(VLOOKUP(AN69,各项系数!$D$1:$F$143,2,0))</f>
        <v>1.43695820714259</v>
      </c>
      <c r="HT69" s="408">
        <f>各项系数!$F$76/4*($MW69^2-$MT69^2)*10^-2*(VLOOKUP(AN69,各项系数!$D$1:$F$143,3,0))*10^-3*10^2*各项系数!$J$4</f>
        <v>0.145019195256754</v>
      </c>
      <c r="HU69" s="396">
        <v>1</v>
      </c>
      <c r="HV69" s="397">
        <f t="shared" si="282"/>
        <v>0.145019195256754</v>
      </c>
      <c r="HW69" s="397">
        <f>HV69*(VLOOKUP(AN69,各项系数!$D$1:$F$143,2,0))</f>
        <v>1.45019195256754</v>
      </c>
      <c r="HX69" s="408">
        <f>各项系数!$F$76/4*($MV69^2-$MS69^2)*10^-2*(VLOOKUP($HX$9,各项系数!$D$1:$F$143,3,0))*10^-3*10^2*各项系数!$J$4</f>
        <v>0.143695820714259</v>
      </c>
      <c r="HY69" s="397">
        <v>1</v>
      </c>
      <c r="HZ69" s="397">
        <f t="shared" si="283"/>
        <v>0.143695820714259</v>
      </c>
      <c r="IA69" s="397">
        <f>HZ69*(VLOOKUP($HX$9,各项系数!$D$1:$F$143,2,0))</f>
        <v>1.58065402785685</v>
      </c>
      <c r="IB69" s="408">
        <f>各项系数!$F$76/4*($MW69^2-$MT69^2)*10^-2*(VLOOKUP($IB$9,各项系数!$D$1:$F$143,3,0))*10^-3*10^2*各项系数!$J$4</f>
        <v>0.145019195256754</v>
      </c>
      <c r="IC69" s="397">
        <v>1</v>
      </c>
      <c r="ID69" s="397">
        <f t="shared" si="284"/>
        <v>0.145019195256754</v>
      </c>
      <c r="IE69" s="397">
        <f>ID69*(VLOOKUP($IB$9,各项系数!$D$1:$F$143,2,0))</f>
        <v>1.59521114782429</v>
      </c>
      <c r="IF69" s="395"/>
      <c r="IG69" s="408">
        <f t="shared" si="148"/>
        <v>0.0296099682738033</v>
      </c>
      <c r="IH69" s="396">
        <v>1</v>
      </c>
      <c r="II69" s="397">
        <f t="shared" si="285"/>
        <v>0.0296099682738033</v>
      </c>
      <c r="IJ69" s="397">
        <f>II69*(VLOOKUP($IG$8,各项系数!$D$1:$F$143,2,0))</f>
        <v>0.740249206845084</v>
      </c>
      <c r="IK69" s="408">
        <f>(各项系数!$F$76/4*($MX69^2-$MK69^2)*$EG69)*10^-2*(VLOOKUP($IG$8,各项系数!$D$1:$F$143,3,0))*10^-3*10^2*各项系数!$J$4</f>
        <v>0.0296099682738033</v>
      </c>
      <c r="IL69" s="396">
        <f>IK69*(VLOOKUP($IG$8,各项系数!$D$1:$F$143,2,0))</f>
        <v>0.740249206845084</v>
      </c>
      <c r="IM69" s="397">
        <f>(各项系数!$F$76/4*(($MM69+3*$X69)^2-MM69^2)*$EO69)*10^-2*(VLOOKUP($IG$8,各项系数!$D$1:$F$143,3,0))*10^-3*10^2*各项系数!$J$4</f>
        <v>0</v>
      </c>
      <c r="IN69" s="396">
        <f>IM69*(VLOOKUP($IG$8,各项系数!$D$1:$F$143,2,0))</f>
        <v>0</v>
      </c>
      <c r="IO69" s="408">
        <f>各项系数!$F$76/4*($MZ69^2-$MX69^2)*10^-2*(VLOOKUP(L69,各项系数!$D$1:$F$143,3,0))*10^-3*10^2*$ES69*各项系数!$J$4</f>
        <v>0.0602936705591437</v>
      </c>
      <c r="IP69" s="396">
        <v>1</v>
      </c>
      <c r="IQ69" s="397">
        <f t="shared" si="286"/>
        <v>0.0602936705591437</v>
      </c>
      <c r="IR69" s="372">
        <f>IQ69*(VLOOKUP(L69,各项系数!$D$1:$F$143,2,0))</f>
        <v>0.614995439703266</v>
      </c>
      <c r="IS69" s="408">
        <f>IF($L69&lt;&gt;$IS$9,0,各项系数!$F$76/4*($MZ69^2-$MX69^2)*10^-2*各项系数!$F$12*10^-3*10^2)*$ES69*各项系数!$J$4</f>
        <v>0</v>
      </c>
      <c r="IT69" s="396">
        <v>1</v>
      </c>
      <c r="IU69" s="397">
        <f t="shared" si="287"/>
        <v>0</v>
      </c>
      <c r="IV69" s="372">
        <f>IU69*各项系数!$E$12</f>
        <v>0</v>
      </c>
      <c r="IW69" s="395">
        <f t="shared" si="288"/>
        <v>0.0602936705591437</v>
      </c>
      <c r="IX69" s="395">
        <f t="shared" si="289"/>
        <v>0.614995439703266</v>
      </c>
      <c r="IY69" s="447">
        <f>各项系数!$F$76/4*($NB69^2-$MZ69^2*$EG69-$NA69^2*$EO69)*10^-2</f>
        <v>0.706793300625702</v>
      </c>
      <c r="IZ69" s="366">
        <f t="shared" si="231"/>
        <v>1</v>
      </c>
      <c r="JA69" s="367">
        <f t="shared" si="64"/>
        <v>0.706793300625702</v>
      </c>
      <c r="JB69" s="371">
        <f>IF($DE69&lt;&gt;$JB$9,0,$JA69*各项系数!$F$32*10^-3*10^2)*各项系数!$J$4</f>
        <v>0</v>
      </c>
      <c r="JC69" s="127">
        <v>1</v>
      </c>
      <c r="JD69" s="95">
        <f t="shared" si="290"/>
        <v>0</v>
      </c>
      <c r="JE69" s="341">
        <f>JD69*各项系数!$E$32</f>
        <v>0</v>
      </c>
      <c r="JF69" s="364">
        <f>IF($DE69&lt;&gt;$JF$9,0,$JA69*VLOOKUP($JF$9,各项系数!$D$4:$F$540,2,0)*10^-3*10^2)*各项系数!$J$4</f>
        <v>0.351629667061287</v>
      </c>
      <c r="JG69" s="123">
        <v>1</v>
      </c>
      <c r="JH69" s="251">
        <f t="shared" si="66"/>
        <v>0.351629667061287</v>
      </c>
      <c r="JI69" s="339">
        <f>JH69*VLOOKUP($JF$9,各项系数!$D$4:$F$540,3,0)</f>
        <v>0.421955600473544</v>
      </c>
      <c r="JJ69" s="371">
        <f t="shared" si="291"/>
        <v>0.351629667061287</v>
      </c>
      <c r="JK69" s="95">
        <f t="shared" si="292"/>
        <v>0.421955600473544</v>
      </c>
      <c r="JL69" s="371">
        <f>IF($DF69&lt;&gt;$JL$9,0,各项系数!$F$76/4*($NE69^2-$NC69^2)*10^-2*各项系数!$F$39*10^-3*10^2)*各项系数!$J$4</f>
        <v>0.00190958231284979</v>
      </c>
      <c r="JM69" s="127">
        <v>1</v>
      </c>
      <c r="JN69" s="95">
        <f t="shared" si="293"/>
        <v>0.00190958231284979</v>
      </c>
      <c r="JO69" s="341">
        <f>JN69*各项系数!$E$39</f>
        <v>0.0381916462569958</v>
      </c>
      <c r="JP69" s="371">
        <f>IF($DF69&lt;&gt;$JP$9,0,各项系数!$F$76/4*($NE69^2-$NC69^2)*10^-2*各项系数!$F$36*10^-3*10^2)*各项系数!$J$4</f>
        <v>0</v>
      </c>
      <c r="JQ69" s="127">
        <v>1</v>
      </c>
      <c r="JR69" s="95">
        <f t="shared" si="294"/>
        <v>0</v>
      </c>
      <c r="JS69" s="341">
        <f>JR69*各项系数!$E$36</f>
        <v>0</v>
      </c>
      <c r="JT69" s="371">
        <f>IF($DF69&lt;&gt;$JT$9,0,各项系数!$F$76/4*($NE69^2-$NC69^2)*10^-2*各项系数!$F$40*10^-3*10^2)*各项系数!$J$4</f>
        <v>0</v>
      </c>
      <c r="JU69" s="127">
        <v>1</v>
      </c>
      <c r="JV69" s="95">
        <f t="shared" si="295"/>
        <v>0</v>
      </c>
      <c r="JW69" s="341">
        <f>JV69*各项系数!$E$40</f>
        <v>0</v>
      </c>
      <c r="JX69" s="371">
        <f>IF($DF69&lt;&gt;$JX$9,0,各项系数!$F$76/4*($NE69^2-$NC69^2)*10^-2*各项系数!$F$38*10^-3*10^2)*各项系数!$J$4</f>
        <v>0</v>
      </c>
      <c r="JY69" s="127">
        <v>1</v>
      </c>
      <c r="JZ69" s="95">
        <f t="shared" si="296"/>
        <v>0</v>
      </c>
      <c r="KA69" s="341">
        <f>JZ69*各项系数!$E$38</f>
        <v>0</v>
      </c>
      <c r="KB69" s="371">
        <f>IF($DF69&lt;&gt;$KB$9,0,各项系数!$F$76/4*($NE69^2-$NC69^2)*10^-2*各项系数!$F$41*10^-3*10^2)*各项系数!$J$4</f>
        <v>0</v>
      </c>
      <c r="KC69" s="127">
        <v>1</v>
      </c>
      <c r="KD69" s="95">
        <f t="shared" si="297"/>
        <v>0</v>
      </c>
      <c r="KE69" s="341">
        <f>KD69*各项系数!$E$41</f>
        <v>0</v>
      </c>
      <c r="KF69" s="95">
        <f t="shared" si="298"/>
        <v>0.00190958231284979</v>
      </c>
      <c r="KG69" s="95">
        <f t="shared" si="299"/>
        <v>0.0381916462569958</v>
      </c>
      <c r="KH69" s="304">
        <f>各项系数!$F$76/4*($NG69^2-$NE69^2)*10^-2*各项系数!$F$44*10^-3*10^2*各项系数!$J$4*0.75*$U69</f>
        <v>0.19128166613567</v>
      </c>
      <c r="KI69" s="127">
        <v>1</v>
      </c>
      <c r="KJ69" s="95">
        <f t="shared" si="300"/>
        <v>0.19128166613567</v>
      </c>
      <c r="KK69" s="95">
        <f>ROUND(KJ69*各项系数!$E$43,GT69)</f>
        <v>1</v>
      </c>
      <c r="KL69" s="302">
        <f>各项系数!$F$76/4*($NF69^2-$NE69^2)*10^-2*各项系数!$F$46*10^-3*10^2*各项系数!$J$4*PI()/4*R69</f>
        <v>0.0239825949268338</v>
      </c>
      <c r="KM69" s="127">
        <v>1</v>
      </c>
      <c r="KN69" s="95">
        <f t="shared" si="301"/>
        <v>0.0239825949268338</v>
      </c>
      <c r="KO69" s="95">
        <f>KN69*各项系数!$E$46</f>
        <v>1.61882515756128</v>
      </c>
      <c r="KP69" s="304">
        <f>各项系数!$F$76/4*($NH69^2-$NE69^2)*10^-2*(VLOOKUP($KP$9,各项系数!$D$1:$F$143,3,0))*10^-3*10^2*各项系数!$J$4</f>
        <v>0.154109151041751</v>
      </c>
      <c r="KQ69" s="127">
        <v>1</v>
      </c>
      <c r="KR69" s="95">
        <f t="shared" si="150"/>
        <v>0.154109151041751</v>
      </c>
      <c r="KS69" s="95">
        <f>KR69*(VLOOKUP($KP$9,各项系数!$D$1:$F$143,2,0))</f>
        <v>2.61985556770977</v>
      </c>
      <c r="KT69" s="304">
        <f>各项系数!$F$76/4*($NI69^2-$NF69^2)*10^-2*(VLOOKUP($KT$9,各项系数!$D$1:$F$143,3,0))*10^-3*10^2*各项系数!$J$4</f>
        <v>0.15541452048843</v>
      </c>
      <c r="KU69" s="127">
        <v>1</v>
      </c>
      <c r="KV69" s="95">
        <f t="shared" si="151"/>
        <v>0.15541452048843</v>
      </c>
      <c r="KW69" s="95">
        <f>KV69*(VLOOKUP($KT$9,各项系数!$D$1:$F$143,2,0))</f>
        <v>2.6420468483033</v>
      </c>
      <c r="KX69" s="95">
        <f>各项系数!$F$76/4*($NH69^2-$NE69^2)*10^-2*(VLOOKUP($KX$9,各项系数!$D$1:$F$143,3,0))*10^-3*10^2*各项系数!$J$4</f>
        <v>0.154109151041751</v>
      </c>
      <c r="KY69" s="481">
        <v>1</v>
      </c>
      <c r="KZ69" s="95">
        <f t="shared" si="152"/>
        <v>0.154109151041751</v>
      </c>
      <c r="LA69" s="95">
        <f>KZ69*(VLOOKUP($KX$9,各项系数!$D$1:$F$143,2,0))</f>
        <v>2.61985556770977</v>
      </c>
      <c r="LB69" s="95">
        <f>各项系数!$F$76/4*($NI69^2-$NF69^2)*10^-2*(VLOOKUP($LB$9,各项系数!$D$1:$F$143,3,0))*10^-3*10^2*各项系数!$J$4</f>
        <v>0.15541452048843</v>
      </c>
      <c r="LC69" s="481">
        <v>1</v>
      </c>
      <c r="LD69" s="95">
        <f t="shared" si="153"/>
        <v>0.15541452048843</v>
      </c>
      <c r="LE69" s="95">
        <f>LD69*(VLOOKUP($LB$9,各项系数!$D$1:$F$143,2,0))</f>
        <v>2.6420468483033</v>
      </c>
      <c r="LF69" s="304">
        <f>各项系数!$F$76/4*($NH69^2-$NE69^2)*10^-2*(VLOOKUP(AN69,各项系数!$D$1:$F$143,3,0))*10^-3*10^2*各项系数!$J$4</f>
        <v>0.156234794504396</v>
      </c>
      <c r="LG69" s="127">
        <v>1</v>
      </c>
      <c r="LH69" s="95">
        <f t="shared" si="302"/>
        <v>0.156234794504396</v>
      </c>
      <c r="LI69" s="95">
        <f>LH69*(VLOOKUP(AN69,各项系数!$D$1:$F$143,2,0))</f>
        <v>1.56234794504396</v>
      </c>
      <c r="LJ69" s="304">
        <f>各项系数!$F$76/4*($NI69^2-$NF69^2)*10^-2*(VLOOKUP(AN69,各项系数!$D$1:$F$143,3,0))*10^-3*10^2*各项系数!$J$4</f>
        <v>0.157558169046891</v>
      </c>
      <c r="LK69" s="127">
        <v>1</v>
      </c>
      <c r="LL69" s="95">
        <f t="shared" si="303"/>
        <v>0.157558169046891</v>
      </c>
      <c r="LM69" s="95">
        <f>LL69*(VLOOKUP(AN69,各项系数!$D$1:$F$143,2,0))</f>
        <v>1.57558169046891</v>
      </c>
      <c r="LN69" s="95">
        <f>各项系数!$F$76/4*($NH69^2-$NE69^2)*10^-2*(VLOOKUP($LN$9,各项系数!$D$1:$F$143,3,0))*10^-3*10^2*各项系数!$J$4</f>
        <v>0.156234794504396</v>
      </c>
      <c r="LO69" s="481">
        <v>1</v>
      </c>
      <c r="LP69" s="95">
        <f t="shared" si="304"/>
        <v>0.156234794504396</v>
      </c>
      <c r="LQ69" s="95">
        <f>LP69*(VLOOKUP($LN$9,各项系数!$D$1:$F$143,2,0))</f>
        <v>1.71858273954836</v>
      </c>
      <c r="LR69" s="95">
        <f>各项系数!$F$76/4*($NI69^2-$NF69^2)*10^-2*(VLOOKUP($LR$9,各项系数!$D$1:$F$143,3,0))*10^-3*10^2*各项系数!$J$4</f>
        <v>0.157558169046891</v>
      </c>
      <c r="LS69" s="481">
        <v>1</v>
      </c>
      <c r="LT69" s="95">
        <f t="shared" si="305"/>
        <v>0.157558169046891</v>
      </c>
      <c r="LU69" s="95">
        <f>LT69*(VLOOKUP($LR$9,各项系数!$D$1:$F$143,2,0))</f>
        <v>1.7331398595158</v>
      </c>
      <c r="LV69" s="501">
        <f t="shared" si="154"/>
        <v>77.36627852</v>
      </c>
      <c r="LW69" s="501">
        <f t="shared" si="155"/>
        <v>60.17377218</v>
      </c>
      <c r="LX69" s="501">
        <f t="shared" si="156"/>
        <v>8.75303526186549</v>
      </c>
      <c r="LY69" s="519">
        <f t="shared" si="157"/>
        <v>17.19250634</v>
      </c>
      <c r="LZ69" s="516">
        <f t="shared" si="86"/>
        <v>1</v>
      </c>
      <c r="MA69" s="517">
        <f t="shared" si="87"/>
        <v>77.36627852</v>
      </c>
      <c r="MB69" s="501">
        <f t="shared" si="158"/>
        <v>4.96250454</v>
      </c>
      <c r="MC69" s="501">
        <f t="shared" si="159"/>
        <v>0</v>
      </c>
      <c r="MD69" s="501">
        <f t="shared" si="160"/>
        <v>0</v>
      </c>
      <c r="ME69" s="501">
        <f t="shared" si="161"/>
        <v>0</v>
      </c>
      <c r="MF69" s="501">
        <f t="shared" si="162"/>
        <v>0</v>
      </c>
      <c r="MG69" s="527">
        <f t="shared" si="163"/>
        <v>1</v>
      </c>
      <c r="MH69" s="517">
        <f t="shared" si="88"/>
        <v>0</v>
      </c>
      <c r="MI69" s="501">
        <f t="shared" si="164"/>
        <v>0</v>
      </c>
      <c r="MJ69" s="95">
        <f t="shared" si="89"/>
        <v>4.96250454</v>
      </c>
      <c r="MK69" s="95">
        <f t="shared" si="165"/>
        <v>4.96250454</v>
      </c>
      <c r="ML69" s="95">
        <f t="shared" si="306"/>
        <v>0</v>
      </c>
      <c r="MM69" s="95">
        <f t="shared" si="91"/>
        <v>0</v>
      </c>
      <c r="MN69" s="95">
        <f t="shared" si="92"/>
        <v>6.36250454</v>
      </c>
      <c r="MO69" s="251">
        <f t="shared" si="166"/>
        <v>0</v>
      </c>
      <c r="MP69" s="95">
        <f t="shared" si="167"/>
        <v>15.39726099</v>
      </c>
      <c r="MQ69" s="95">
        <f t="shared" si="307"/>
        <v>15.39726099</v>
      </c>
      <c r="MR69" s="314">
        <f t="shared" si="168"/>
        <v>15.39726099</v>
      </c>
      <c r="MS69" s="530">
        <f t="shared" si="94"/>
        <v>15.57326099</v>
      </c>
      <c r="MT69" s="532">
        <f t="shared" si="95"/>
        <v>15.73326099</v>
      </c>
      <c r="MU69" s="532">
        <f t="shared" si="232"/>
        <v>16.17326099</v>
      </c>
      <c r="MV69" s="532">
        <f t="shared" si="97"/>
        <v>19.17326099</v>
      </c>
      <c r="MW69" s="532">
        <f t="shared" si="98"/>
        <v>19.33326099</v>
      </c>
      <c r="MX69" s="314">
        <f t="shared" si="233"/>
        <v>5.56250454</v>
      </c>
      <c r="MY69" s="314">
        <f t="shared" si="100"/>
        <v>0</v>
      </c>
      <c r="MZ69" s="95">
        <f t="shared" si="101"/>
        <v>6.96250454</v>
      </c>
      <c r="NA69" s="95">
        <f t="shared" si="102"/>
        <v>0</v>
      </c>
      <c r="NB69" s="95">
        <f t="shared" si="169"/>
        <v>16.84926099</v>
      </c>
      <c r="NC69" s="314">
        <f t="shared" si="308"/>
        <v>16.84926099</v>
      </c>
      <c r="ND69" s="314">
        <f t="shared" si="234"/>
        <v>16.84926099</v>
      </c>
      <c r="NE69" s="537">
        <f t="shared" si="235"/>
        <v>17.08926099</v>
      </c>
      <c r="NF69" s="532">
        <f t="shared" si="106"/>
        <v>17.24926099</v>
      </c>
      <c r="NG69" s="180">
        <f t="shared" si="236"/>
        <v>17.68926099</v>
      </c>
      <c r="NH69" s="314">
        <f t="shared" si="108"/>
        <v>20.68926099</v>
      </c>
      <c r="NI69" s="532">
        <f t="shared" si="109"/>
        <v>20.84926099</v>
      </c>
      <c r="NK69" s="541">
        <f t="shared" si="110"/>
        <v>0.811027868583976</v>
      </c>
      <c r="NL69" s="541">
        <f t="shared" si="111"/>
        <v>37.5060435521092</v>
      </c>
      <c r="NM69" s="541">
        <f t="shared" si="112"/>
        <v>0.811027868583976</v>
      </c>
      <c r="NN69" s="541">
        <f t="shared" si="113"/>
        <v>37.6497393728234</v>
      </c>
      <c r="NO69" s="541">
        <f t="shared" si="114"/>
        <v>1.13780276578443</v>
      </c>
      <c r="NP69" s="541">
        <f t="shared" si="115"/>
        <v>38.6249327796012</v>
      </c>
      <c r="NQ69" s="541">
        <f t="shared" si="116"/>
        <v>1.13780276578443</v>
      </c>
      <c r="NR69" s="541">
        <f t="shared" si="117"/>
        <v>38.7811675741056</v>
      </c>
      <c r="NS69" s="541">
        <f t="shared" si="118"/>
        <v>0.832892864277491</v>
      </c>
      <c r="NT69" s="541">
        <f t="shared" si="119"/>
        <v>0.832892864277491</v>
      </c>
      <c r="NU69" s="541">
        <f t="shared" si="120"/>
        <v>1.16178536071127</v>
      </c>
      <c r="NV69" s="541">
        <f t="shared" si="121"/>
        <v>1.16178536071127</v>
      </c>
      <c r="NW69" s="11">
        <f t="shared" si="122"/>
        <v>0.927431657908111</v>
      </c>
      <c r="NX69" s="11">
        <f>各项系数!$M$9*NK69</f>
        <v>0.243308360575193</v>
      </c>
      <c r="NY69" s="11">
        <f t="shared" si="123"/>
        <v>0.832892864277491</v>
      </c>
    </row>
    <row r="70" s="11" customFormat="1" customHeight="1" spans="1:389">
      <c r="A70" s="81"/>
      <c r="B70" s="98"/>
      <c r="C70" s="83"/>
      <c r="D70" s="74" t="s">
        <v>219</v>
      </c>
      <c r="E70" s="550">
        <f t="shared" si="325"/>
        <v>23.23620944</v>
      </c>
      <c r="F70" s="84">
        <f>$F$22</f>
        <v>208.046961644752</v>
      </c>
      <c r="G70" s="74"/>
      <c r="H70" s="23"/>
      <c r="I70" s="78"/>
      <c r="J70" s="78"/>
      <c r="K70" s="23"/>
      <c r="L70" s="128" t="s">
        <v>467</v>
      </c>
      <c r="M70" s="119">
        <f t="shared" si="2"/>
        <v>0.9</v>
      </c>
      <c r="N70" s="119">
        <f t="shared" si="252"/>
        <v>0</v>
      </c>
      <c r="O70" s="74">
        <f t="shared" si="326"/>
        <v>0.08</v>
      </c>
      <c r="P70" s="120">
        <v>0.1</v>
      </c>
      <c r="Q70" s="165">
        <f t="shared" si="322"/>
        <v>0.1</v>
      </c>
      <c r="R70" s="182">
        <v>0.8</v>
      </c>
      <c r="S70" s="173" t="str">
        <f>各项系数!$D$43</f>
        <v>钢带</v>
      </c>
      <c r="T70" s="78">
        <v>0.2</v>
      </c>
      <c r="U70" s="78">
        <v>2</v>
      </c>
      <c r="V70" s="172"/>
      <c r="W70" s="174">
        <v>1.8</v>
      </c>
      <c r="X70" s="168">
        <f t="shared" si="323"/>
        <v>0.2</v>
      </c>
      <c r="Y70" s="221"/>
      <c r="Z70" s="222"/>
      <c r="AA70" s="223">
        <f>$AA$22</f>
        <v>1.011</v>
      </c>
      <c r="AB70" s="186">
        <f>PI()*EJ70*EJ70/4*EH70*(1-H70)*AA70*各项系数!$F$5*各项系数!$J$4*10^-7</f>
        <v>0.212807374667777</v>
      </c>
      <c r="AC70" s="224">
        <f t="shared" si="327"/>
        <v>208.046961644752</v>
      </c>
      <c r="AD70" s="186">
        <f t="shared" si="5"/>
        <v>24.0581280607511</v>
      </c>
      <c r="AE70" s="186">
        <f>POWER(4*EU70/PI()/EG70/10^-7/EH70/(1-H70)/各项系数!$F$5/各项系数!$J$4,0.5)</f>
        <v>209.188090412333</v>
      </c>
      <c r="AF70" s="225">
        <v>1</v>
      </c>
      <c r="AG70" s="23">
        <f>IF(EM70=0,0,PI()*ER70*ER70/4*EP70*(1-K70)*(1+AF70)*各项系数!$F$5*各项系数!$J$4*10^-7)</f>
        <v>0</v>
      </c>
      <c r="AH70" s="23">
        <f t="shared" si="328"/>
        <v>0</v>
      </c>
      <c r="AI70" s="85">
        <f t="shared" si="128"/>
        <v>0</v>
      </c>
      <c r="AJ70" s="85">
        <f>IF(OR(EP70="",EP70=0),0,POWER(4*EW70/PI()/EO70/10^-7/EP70/(1-K70)/各项系数!$F$5/各项系数!$J$4,0.5))</f>
        <v>0</v>
      </c>
      <c r="AK70" s="23" t="str">
        <f t="shared" si="8"/>
        <v>√</v>
      </c>
      <c r="AL70" s="23">
        <f t="shared" si="329"/>
        <v>60.737492085416</v>
      </c>
      <c r="AM70" s="127">
        <f t="shared" si="330"/>
        <v>25</v>
      </c>
      <c r="AN70" s="128" t="s">
        <v>486</v>
      </c>
      <c r="AO70" s="176">
        <f>AP70+各项系数!$M$9*$NK70</f>
        <v>59.5465608680549</v>
      </c>
      <c r="AP70" s="176">
        <f>AQ70*(1+$BI70+(VLOOKUP($AM70,$A$12:$B$323,2,0))+各项系数!$J$6+各项系数!$M$5)*(1+$E$2)</f>
        <v>59.1761131547184</v>
      </c>
      <c r="AQ70" s="262">
        <f>AR70+各项系数!$L$9*$NK70</f>
        <v>60.3837889333862</v>
      </c>
      <c r="AR70" s="262">
        <f>AS70*(1+$BJ70+各项系数!$J$5+各项系数!$L$5)</f>
        <v>60.0133412200497</v>
      </c>
      <c r="AS70" s="262">
        <f t="shared" si="129"/>
        <v>58.8366090392644</v>
      </c>
      <c r="AT70" s="176">
        <f>AU70+各项系数!$M$9*$NM70</f>
        <v>60.7461783286799</v>
      </c>
      <c r="AU70" s="176">
        <f>AV70*(1+$BI70+(VLOOKUP($AM70,$A$12:$B$323,2,0))+各项系数!$J$6+各项系数!$M$5)*(1+$E$2)</f>
        <v>60.3757306153435</v>
      </c>
      <c r="AV70" s="262">
        <f>AW70+各项系数!$L$9*$NM70</f>
        <v>61.6078883830036</v>
      </c>
      <c r="AW70" s="262">
        <f>AX70*(1+$BJ70+各项系数!$J$5+各项系数!$L$5)</f>
        <v>61.2374406696671</v>
      </c>
      <c r="AX70" s="262">
        <f t="shared" si="130"/>
        <v>60.0367065388893</v>
      </c>
      <c r="AY70" s="176">
        <f>AZ70+各项系数!$M$9*$NS70</f>
        <v>61.4343720103568</v>
      </c>
      <c r="AZ70" s="176">
        <f>BA70*(1+$BI70+(VLOOKUP($AM70,$A$12:$B$214,2,0))+各项系数!$J$6+各项系数!$M$5)*(1+$E$2)</f>
        <v>61.0556622198447</v>
      </c>
      <c r="BA70" s="262">
        <f>BB70+各项系数!$L$9*$NS70</f>
        <v>62.3016961426987</v>
      </c>
      <c r="BB70" s="262">
        <f>BC70*(1+$BJ70+各项系数!$J$5+各项系数!$L$5)</f>
        <v>61.9229863521866</v>
      </c>
      <c r="BC70" s="262">
        <f t="shared" si="131"/>
        <v>60.7088101492025</v>
      </c>
      <c r="BD70" s="176">
        <f>BE70+各项系数!$M$9*$NS70</f>
        <v>62.6429434231363</v>
      </c>
      <c r="BE70" s="176">
        <f>BF70*(1+$BI70+(VLOOKUP($AM70,$A$12:$B$214,2,0))+各项系数!$J$6+各项系数!$M$5)*(1+$E$2)</f>
        <v>62.2642336326242</v>
      </c>
      <c r="BF70" s="262">
        <f>BG70+各项系数!$L$9*$NS70</f>
        <v>63.534932278188</v>
      </c>
      <c r="BG70" s="262">
        <f>BH70*(1+$BJ70+各项系数!$J$5+各项系数!$L$5)</f>
        <v>63.1562224876759</v>
      </c>
      <c r="BH70" s="262">
        <f t="shared" si="132"/>
        <v>61.917865183996</v>
      </c>
      <c r="BI70" s="278"/>
      <c r="BJ70" s="279"/>
      <c r="BK70" s="95" t="s">
        <v>514</v>
      </c>
      <c r="BL70" s="176">
        <f>BM70+各项系数!$M$9*$NM70</f>
        <v>60.302127101132</v>
      </c>
      <c r="BM70" s="176">
        <f>BN70*(1+$CF70+(VLOOKUP($AM70,$A$12:$B$323,2,0))+各项系数!$J$6+各项系数!$M$5)*(1+$E$2)</f>
        <v>59.9316793877955</v>
      </c>
      <c r="BN70" s="262">
        <f>BO70+各项系数!$L$9*$NM70</f>
        <v>61.1547748855057</v>
      </c>
      <c r="BO70" s="262">
        <f>BP70*(1+$CG70+各项系数!$J$5+各项系数!$L$5)</f>
        <v>60.7843271721692</v>
      </c>
      <c r="BP70" s="262">
        <f t="shared" si="133"/>
        <v>59.0139098758924</v>
      </c>
      <c r="BQ70" s="176">
        <f>BR70+各项系数!$M$9*$NM70</f>
        <v>61.3345380527611</v>
      </c>
      <c r="BR70" s="176">
        <f>BS70*(1+$CF70+(VLOOKUP($AM70,$A$12:$B$323,2,0))+各项系数!$J$6+各项系数!$M$5)*(1+$E$2)</f>
        <v>60.9640903394246</v>
      </c>
      <c r="BS70" s="262">
        <f>BT70+各项系数!$L$9*$NM70</f>
        <v>62.2082554483924</v>
      </c>
      <c r="BT70" s="262">
        <f>BU70*(1+$CG70+各项系数!$J$5+各项系数!$L$5)</f>
        <v>61.837807735056</v>
      </c>
      <c r="BU70" s="262">
        <f t="shared" si="134"/>
        <v>60.0367065388893</v>
      </c>
      <c r="BV70" s="176">
        <f>BW70+各项系数!$M$9*$NT70</f>
        <v>61.8465841689645</v>
      </c>
      <c r="BW70" s="176">
        <f>BX70*(1+$CF70+(VLOOKUP($AM70,$A$12:$B$214,2,0))+各项系数!$J$6+各项系数!$M$5)*(1+$E$2)</f>
        <v>61.4678743784524</v>
      </c>
      <c r="BX70" s="262">
        <f>BY70+各项系数!$L$9*$NT$12</f>
        <v>62.7223207943392</v>
      </c>
      <c r="BY70" s="262">
        <f>BZ70*(1+$CG70+各项系数!$J$5+各项系数!$L$5)</f>
        <v>62.7140573911842</v>
      </c>
      <c r="BZ70" s="262">
        <f t="shared" si="11"/>
        <v>60.887434360373</v>
      </c>
      <c r="CA70" s="176">
        <f>CB70+各项系数!$M$9*$NT70</f>
        <v>62.8867010423295</v>
      </c>
      <c r="CB70" s="176">
        <f>CC70*(1+$CF70+(VLOOKUP($AM70,$A$12:$B$214,2,0))+各项系数!$J$6+各项系数!$M$5)*(1+$E$2)</f>
        <v>62.5079912518174</v>
      </c>
      <c r="CC70" s="262">
        <f>CD70+各项系数!$L$9*$NT$12</f>
        <v>63.7836645426708</v>
      </c>
      <c r="CD70" s="262">
        <f>CE70*(1+$CG70+各项系数!$J$5+各项系数!$L$5)</f>
        <v>63.7754011395159</v>
      </c>
      <c r="CE70" s="262">
        <f t="shared" si="135"/>
        <v>61.917865183996</v>
      </c>
      <c r="CF70" s="278">
        <f t="shared" si="136"/>
        <v>0</v>
      </c>
      <c r="CG70" s="278">
        <f t="shared" si="12"/>
        <v>0.01</v>
      </c>
      <c r="CH70" s="127"/>
      <c r="CI70" s="176">
        <f>CJ70+各项系数!$M$9*$NO70</f>
        <v>61.6155123428081</v>
      </c>
      <c r="CJ70" s="176">
        <f>CK70*(1+$DC70+(VLOOKUP($AM70,$A$12:$B$323,2,0))+各项系数!$J$6+各项系数!$M$5)*(1+$E$2)+各项系数!$M$9*$NK70</f>
        <v>61.1001948146092</v>
      </c>
      <c r="CK70" s="262">
        <f>CL70+各项系数!$L$9*$NO70</f>
        <v>61.9691296951763</v>
      </c>
      <c r="CL70" s="262">
        <f>CM70*(1+$DD70+各项系数!$J$5+各项系数!$L$5)</f>
        <v>61.4538121669773</v>
      </c>
      <c r="CM70" s="262">
        <f t="shared" si="13"/>
        <v>60.2488354578209</v>
      </c>
      <c r="CN70" s="176">
        <f>CO70+各项系数!$M$9*$NO70</f>
        <v>62.689790221427</v>
      </c>
      <c r="CO70" s="176">
        <f>CP70*(1+$DC70+(VLOOKUP($AM70,$A$12:$B$323,2,0))+各项系数!$J$6+各项系数!$M$5)*(1+$E$2)+各项系数!$M$9*$NK70</f>
        <v>62.174472693228</v>
      </c>
      <c r="CP70" s="262">
        <f>CQ70+各项系数!$L$9*$NO70</f>
        <v>63.0653316121342</v>
      </c>
      <c r="CQ70" s="262">
        <f>CR70*(1+$DD70+各项系数!$J$5+各项系数!$L$5)</f>
        <v>62.5500140839353</v>
      </c>
      <c r="CR70" s="262">
        <f t="shared" si="14"/>
        <v>61.3235432195444</v>
      </c>
      <c r="CS70" s="176">
        <f>CT70+各项系数!$M$9*$NU70</f>
        <v>63.2770143987879</v>
      </c>
      <c r="CT70" s="176">
        <f t="shared" si="15"/>
        <v>62.7527995136433</v>
      </c>
      <c r="CU70" s="262">
        <f>CV70+各项系数!$L$9*$NU70</f>
        <v>64.0334688914728</v>
      </c>
      <c r="CV70" s="262">
        <f>CW70*(1+$DD70+各项系数!$J$5+各项系数!$L$5)</f>
        <v>63.5092540063282</v>
      </c>
      <c r="CW70" s="262">
        <f t="shared" si="16"/>
        <v>62.2639745160081</v>
      </c>
      <c r="CX70" s="176">
        <f>CY70+各项系数!$M$9*$NU70</f>
        <v>64.5704245082315</v>
      </c>
      <c r="CY70" s="176">
        <f t="shared" si="17"/>
        <v>64.0462096230869</v>
      </c>
      <c r="CZ70" s="262">
        <f>DA70+各项系数!$L$9*$NU70</f>
        <v>65.3532751255989</v>
      </c>
      <c r="DA70" s="262">
        <f>DB70*(1+$DD70+各项系数!$J$5+各项系数!$L$5)</f>
        <v>64.8290602404544</v>
      </c>
      <c r="DB70" s="262">
        <f t="shared" si="18"/>
        <v>63.5579021965239</v>
      </c>
      <c r="DC70" s="278">
        <f t="shared" si="137"/>
        <v>0</v>
      </c>
      <c r="DD70" s="278">
        <f t="shared" si="19"/>
        <v>0</v>
      </c>
      <c r="DE70" s="95" t="s">
        <v>498</v>
      </c>
      <c r="DF70" s="95" t="s">
        <v>513</v>
      </c>
      <c r="DG70" s="176">
        <f>DH70+各项系数!$M$9*$NQ70</f>
        <v>62.3975752349308</v>
      </c>
      <c r="DH70" s="176">
        <f>DI70*(1+$EA70+(VLOOKUP($AM70,$A$12:$B$323,2,0))+各项系数!$J$6+各项系数!$M$5)*(1+$E$2)+各项系数!$M$9*$NK70</f>
        <v>61.8822577067319</v>
      </c>
      <c r="DI70" s="262">
        <f>DJ70+各项系数!$L$9*$NQ70</f>
        <v>62.7671530544851</v>
      </c>
      <c r="DJ70" s="262">
        <f>DK70*(1+$EB70+各项系数!$J$5+各项系数!$L$5)</f>
        <v>62.2518355262862</v>
      </c>
      <c r="DK70" s="262">
        <f t="shared" si="20"/>
        <v>60.438675268239</v>
      </c>
      <c r="DL70" s="176">
        <f>DM70+各项系数!$M$9*$NQ70</f>
        <v>63.5029997950083</v>
      </c>
      <c r="DM70" s="176">
        <f>DN70*(1+$EA70+(VLOOKUP($AM70,$A$12:$B$323,2,0))+各项系数!$J$6+各项系数!$M$5)*(1+$E$2)+各项系数!$M$9*$NK70</f>
        <v>62.9876822668093</v>
      </c>
      <c r="DN70" s="262">
        <f>DO70+各项系数!$L$9*$NQ70</f>
        <v>63.8951372994621</v>
      </c>
      <c r="DO70" s="262">
        <f>DP70*(1+$EB70+各项系数!$J$5+各项系数!$L$5)</f>
        <v>63.3798197712632</v>
      </c>
      <c r="DP70" s="262">
        <f t="shared" si="21"/>
        <v>61.5338056031681</v>
      </c>
      <c r="DQ70" s="176">
        <f>DR70+各项系数!$M$9*$NV70</f>
        <v>64.080161467944</v>
      </c>
      <c r="DR70" s="176">
        <f t="shared" si="22"/>
        <v>63.5559465827994</v>
      </c>
      <c r="DS70" s="262">
        <f>DT70+各项系数!$L$9*$NV70</f>
        <v>64.8530067171423</v>
      </c>
      <c r="DT70" s="262">
        <f>DU70*(1+$EB70+各项系数!$J$5+各项系数!$L$5)</f>
        <v>64.3287918319977</v>
      </c>
      <c r="DU70" s="262">
        <f t="shared" si="23"/>
        <v>62.4551377009687</v>
      </c>
      <c r="DV70" s="176">
        <f>DW70+各项系数!$M$9*$NV70</f>
        <v>64.2066680836147</v>
      </c>
      <c r="DW70" s="176">
        <f t="shared" si="24"/>
        <v>63.6824531984701</v>
      </c>
      <c r="DX70" s="262">
        <f>DY70+各项系数!$L$9*$NV70</f>
        <v>64.9820951004797</v>
      </c>
      <c r="DY70" s="262">
        <f>DZ70*(1+$EB70+各项系数!$J$5+各项系数!$L$5)</f>
        <v>64.4578802153352</v>
      </c>
      <c r="DZ70" s="262">
        <f t="shared" si="25"/>
        <v>62.5804662284807</v>
      </c>
      <c r="EA70" s="278">
        <f t="shared" si="324"/>
        <v>0</v>
      </c>
      <c r="EB70" s="278">
        <f t="shared" si="27"/>
        <v>0.01</v>
      </c>
      <c r="EC70" s="302">
        <f t="shared" si="138"/>
        <v>4</v>
      </c>
      <c r="ED70" s="304" t="str">
        <f t="shared" si="331"/>
        <v>4*25</v>
      </c>
      <c r="EE70" s="95">
        <f t="shared" si="239"/>
        <v>25</v>
      </c>
      <c r="EF70" s="95" t="str">
        <f>LOOKUP(EH70,{1,7,10,14,19,24,30,37,48,61},{1,"1+6","2+8","4+10","1+6+12","2+8+14","4+10+16","1+6+12+18","3+9+15+21","1+6+12+18+24"})</f>
        <v>1+6</v>
      </c>
      <c r="EG70" s="127">
        <f t="shared" si="29"/>
        <v>4</v>
      </c>
      <c r="EH70" s="262">
        <f>VLOOKUP(EE70,各项系数!$B$87:$C$124,2,0)</f>
        <v>7</v>
      </c>
      <c r="EI70" s="127">
        <f>IF(EH70=0,0,VLOOKUP(EH70,各项系数!$D$142:$E$195,2,0))*1</f>
        <v>3</v>
      </c>
      <c r="EJ70" s="307">
        <f t="shared" si="141"/>
        <v>208.046961644752</v>
      </c>
      <c r="EK70" s="95">
        <f t="shared" si="332"/>
        <v>0</v>
      </c>
      <c r="EL70" s="95">
        <f t="shared" si="31"/>
        <v>0</v>
      </c>
      <c r="EM70" s="95">
        <f t="shared" si="333"/>
        <v>0</v>
      </c>
      <c r="EN70" s="95">
        <f>IF(EP70=0,0,LOOKUP(EP70,{1,7,10,14,19,24,30,37,48,61},{1,"1+6","2+8","4+10","1+6+12","2+8+14","4+10+16","1+6+12+18","3+9+15+21","1+6+12+18+24"}))</f>
        <v>0</v>
      </c>
      <c r="EO70" s="95">
        <f t="shared" si="334"/>
        <v>0</v>
      </c>
      <c r="EP70" s="95">
        <f>IF(EM70=0,0,IF(EM70&lt;10,1,IF(AND(EM70&gt;=10,EM70&lt;=35),7,LOOKUP(EM70,{50,70,95,120,150,185,240,300},{10,14,19,24,30,37,48,61})*1)))</f>
        <v>0</v>
      </c>
      <c r="EQ70" s="95">
        <f>IF(EP70=0,0,VLOOKUP(EP70,各项系数!$D$142:$E$195,2,0))*1</f>
        <v>0</v>
      </c>
      <c r="ER70" s="95">
        <f t="shared" si="335"/>
        <v>0</v>
      </c>
      <c r="ES70" s="304">
        <f t="shared" si="336"/>
        <v>4</v>
      </c>
      <c r="ET70" s="95">
        <f>VLOOKUP(ES70,各项系数!$D$142:$E$195,2,0)*1</f>
        <v>2.42</v>
      </c>
      <c r="EU70" s="311">
        <f>((各项系数!$F$76/4*$EJ70^2*$EG70*$EH70*1*10^-7)*(1-$H70)*AA70)*(VLOOKUP($EY$9,各项系数!$D$4:$F$143,3,0))*各项系数!$J$4</f>
        <v>0.851229498671109</v>
      </c>
      <c r="EV70" s="312">
        <f>EU70*(VLOOKUP($EY$9,各项系数!$D$4:$F$143,2,0))</f>
        <v>55.7555321629576</v>
      </c>
      <c r="EW70" s="324">
        <f>(IF($EO70=0,0,(各项系数!$F$76/4*$ER70^2*$EO70*$EP70*1*10^-7))*(1-$K70)*$AF70)*(VLOOKUP($EY$9,各项系数!$D$4:$F$143,3,0))*各项系数!$J$4</f>
        <v>0</v>
      </c>
      <c r="EX70" s="325">
        <f>EW70*(VLOOKUP($EY$9,各项系数!$D$4:$F$143,2,0))</f>
        <v>0</v>
      </c>
      <c r="EY70" s="251">
        <f>((各项系数!$F$76/4*$EJ70^2*$EG70*$EH70*1*10^-7)*(1-$H70)*AA70+IF($EO70=0,0,(各项系数!$F$76/4*$ER70^2*$EO70*$EP70*1*10^-7))*(1-$K70)*$AF70)*(VLOOKUP($EY$9,各项系数!$D$4:$F$143,3,0))*各项系数!$J$4</f>
        <v>0.851229498671109</v>
      </c>
      <c r="EZ70" s="127">
        <v>1</v>
      </c>
      <c r="FA70" s="95">
        <f t="shared" si="268"/>
        <v>0.851229498671109</v>
      </c>
      <c r="FB70" s="314">
        <f>FA70*(VLOOKUP($EY$9,各项系数!$D$4:$F$143,2,0))</f>
        <v>55.7555321629576</v>
      </c>
      <c r="FC70" s="329"/>
      <c r="FD70" s="304">
        <f>各项系数!$F$76/4*($MN70^2-MK70^2)*10^-2*(VLOOKUP(L70,各项系数!$D$1:$F$143,3,0))*10^-3*10^2*$EG70*各项系数!$J$4</f>
        <v>0.0883999536662989</v>
      </c>
      <c r="FE70" s="341">
        <f>FD70*VLOOKUP(L70,各项系数!$D$1:$F$143,2,0)</f>
        <v>0.901679527396249</v>
      </c>
      <c r="FF70" s="127">
        <f>各项系数!$F$76/4*($MO70^2-ML70^2)*10^-2*(VLOOKUP(L70,各项系数!$D$1:$F$143,3,0))*10^-3*10^2*$EO70*各项系数!$J$4</f>
        <v>0</v>
      </c>
      <c r="FG70" s="341">
        <f>FF70*VLOOKUP(L70,各项系数!$D$1:$F$143,2,0)</f>
        <v>0</v>
      </c>
      <c r="FH70" s="304">
        <f t="shared" si="142"/>
        <v>0.0883999536662989</v>
      </c>
      <c r="FI70" s="127">
        <v>1</v>
      </c>
      <c r="FJ70" s="95">
        <f t="shared" si="269"/>
        <v>0.0883999536662989</v>
      </c>
      <c r="FK70" s="341">
        <f>FJ70*VLOOKUP(L70,各项系数!$D$1:$F$143,2,0)</f>
        <v>0.901679527396249</v>
      </c>
      <c r="FL70" s="304"/>
      <c r="FM70" s="127"/>
      <c r="FN70" s="95"/>
      <c r="FO70" s="341"/>
      <c r="FP70" s="371">
        <f t="shared" si="270"/>
        <v>0.0883999536662989</v>
      </c>
      <c r="FQ70" s="371">
        <f t="shared" si="271"/>
        <v>0.901679527396249</v>
      </c>
      <c r="FR70" s="365">
        <f>各项系数!$F$76/4*($MQ70^2-$MN70^2*$EG70-$MO70^2*$EO70)*10^-2</f>
        <v>0.942813362421038</v>
      </c>
      <c r="FS70" s="366">
        <f t="shared" si="143"/>
        <v>1</v>
      </c>
      <c r="FT70" s="367">
        <f t="shared" si="40"/>
        <v>0.942813362421038</v>
      </c>
      <c r="FU70" s="395">
        <f>$FT70*(VLOOKUP($FT$9,各项系数!$D$1:$F$143,3,0))*10^-3*10^2*各项系数!$J$55</f>
        <v>0.112571915473072</v>
      </c>
      <c r="FV70" s="396">
        <v>1</v>
      </c>
      <c r="FW70" s="397">
        <f t="shared" si="272"/>
        <v>0.112571915473072</v>
      </c>
      <c r="FX70" s="372">
        <f>FW70*(VLOOKUP($FT$9,各项系数!$D$1:$F$143,2,0))</f>
        <v>0.337715746419216</v>
      </c>
      <c r="FY70" s="395">
        <f>IF($BK70&lt;&gt;$FY$9,0,各项系数!$F$76/4*($MS70^2-$MQ70^2)*10^-2*(VLOOKUP($FY$9,各项系数!$D$1:$F$143,3,0))*10^-3*10^2)*各项系数!$J$4</f>
        <v>0</v>
      </c>
      <c r="FZ70" s="396">
        <v>1</v>
      </c>
      <c r="GA70" s="397">
        <f t="shared" si="273"/>
        <v>0</v>
      </c>
      <c r="GB70" s="372">
        <f>GA70*(VLOOKUP($FY$9,各项系数!$D$1:$F$143,2,0))</f>
        <v>0</v>
      </c>
      <c r="GC70" s="395">
        <f>IF($BK70&lt;&gt;$GC$9,0,各项系数!$F$76/4*($MS70^2-$MQ70^2)*10^-2*(VLOOKUP($GC$9,各项系数!$D$1:$F$143,3,0))*10^-3*10^2)*各项系数!$J$4</f>
        <v>0.00532350668305136</v>
      </c>
      <c r="GD70" s="396">
        <v>1</v>
      </c>
      <c r="GE70" s="397">
        <f t="shared" si="274"/>
        <v>0.00532350668305136</v>
      </c>
      <c r="GF70" s="372">
        <f>GE70*(VLOOKUP($GC$9,各项系数!$D$1:$F$143,2,0))</f>
        <v>0.0686732362113625</v>
      </c>
      <c r="GG70" s="395">
        <f>IF($BK70&lt;&gt;$GG$9,0,各项系数!$F$76/4*($MS70^2-$MQ70^2)*10^-2*(VLOOKUP($GG$9,各项系数!$D$1:$F$143,3,0))*10^-3*10^2)*各项系数!$J$4</f>
        <v>0</v>
      </c>
      <c r="GH70" s="396">
        <v>1</v>
      </c>
      <c r="GI70" s="397">
        <f t="shared" si="275"/>
        <v>0</v>
      </c>
      <c r="GJ70" s="372">
        <f>GI70*(VLOOKUP($GG$9,各项系数!$D$1:$F$143,2,0))</f>
        <v>0</v>
      </c>
      <c r="GK70" s="395">
        <f>IF($BK70&lt;&gt;$GK$9,0,各项系数!$F$76/4*($MS70^2-$MQ70^2)*10^-2*(VLOOKUP($GK$9,各项系数!$D$1:$F$143,3,0))*10^-3*10^2)*各项系数!$J$4</f>
        <v>0</v>
      </c>
      <c r="GL70" s="396">
        <v>1</v>
      </c>
      <c r="GM70" s="397">
        <f t="shared" si="276"/>
        <v>0</v>
      </c>
      <c r="GN70" s="372">
        <f>GM70*(VLOOKUP($GK$9,各项系数!$D$1:$F$143,2,0))</f>
        <v>0</v>
      </c>
      <c r="GO70" s="397">
        <f t="shared" si="277"/>
        <v>0.00532350668305136</v>
      </c>
      <c r="GP70" s="397">
        <f t="shared" si="278"/>
        <v>0.0686732362113625</v>
      </c>
      <c r="GQ70" s="408">
        <f>各项系数!$F$76/4*($MU70^2-$MS70^2)*10^-2*(VLOOKUP($S70,各项系数!$D$1:$F$143,3,0))*10^-3*10^2*各项系数!$J$4</f>
        <v>0.146198712730647</v>
      </c>
      <c r="GR70" s="396">
        <v>1</v>
      </c>
      <c r="GS70" s="397">
        <f t="shared" si="279"/>
        <v>0.146198712730647</v>
      </c>
      <c r="GT70" s="397">
        <f t="shared" si="200"/>
        <v>0</v>
      </c>
      <c r="GU70" s="397">
        <f>ROUND($GS70*(VLOOKUP($S70,各项系数!$D$1:$F$143,2,0))+$E$3*GS70,GT70)</f>
        <v>1</v>
      </c>
      <c r="GV70" s="406">
        <f>各项系数!$F$76/4*($MT70^2-$MS70^2)*10^-2*(VLOOKUP($GV$9,各项系数!$D$1:$F$143,3,0))*10^-3*10^2*各项系数!$J$4*PI()/4*R70</f>
        <v>0.0275402572520468</v>
      </c>
      <c r="GW70" s="396">
        <v>1</v>
      </c>
      <c r="GX70" s="397">
        <f t="shared" si="280"/>
        <v>0.0275402572520468</v>
      </c>
      <c r="GY70" s="397">
        <f>$GX70*(VLOOKUP($GV$9,各项系数!$D$1:$F$143,2,0))</f>
        <v>1.85896736451316</v>
      </c>
      <c r="GZ70" s="408">
        <f>各项系数!$F$76/4*($MV70^2-$MS70^2)*10^-2*(VLOOKUP($GZ$9,各项系数!$D$1:$F$143,3,0))*10^-3*10^2*各项系数!$J$4</f>
        <v>0.174888580347345</v>
      </c>
      <c r="HA70" s="396">
        <v>1</v>
      </c>
      <c r="HB70" s="397">
        <f t="shared" si="144"/>
        <v>0.174888580347345</v>
      </c>
      <c r="HC70" s="397">
        <f>HB70*(VLOOKUP($GZ$9,各项系数!$D$1:$F$143,2,0))</f>
        <v>2.97310586590486</v>
      </c>
      <c r="HD70" s="408">
        <f>各项系数!$F$76/4*($MW70^2-$MT70^2)*10^-2*(VLOOKUP($HD$9,各项系数!$D$1:$F$143,3,0))*10^-3*10^2*各项系数!$J$4</f>
        <v>0.176193949794023</v>
      </c>
      <c r="HE70" s="396">
        <v>1</v>
      </c>
      <c r="HF70" s="397">
        <f t="shared" si="145"/>
        <v>0.176193949794023</v>
      </c>
      <c r="HG70" s="397">
        <f>HF70*(VLOOKUP($HD$9,各项系数!$D$1:$F$143,2,0))</f>
        <v>2.99529714649839</v>
      </c>
      <c r="HH70" s="408">
        <f>各项系数!$F$76/4*($MV70^2-$MS70^2)*10^-2*(VLOOKUP($HH$9,各项系数!$D$1:$F$143,3,0))*10^-3*10^2*各项系数!$J$4</f>
        <v>0.174888580347345</v>
      </c>
      <c r="HI70" s="397">
        <v>1</v>
      </c>
      <c r="HJ70" s="397">
        <f t="shared" si="146"/>
        <v>0.174888580347345</v>
      </c>
      <c r="HK70" s="397">
        <f>HJ70*(VLOOKUP($HH$9,各项系数!$D$1:$F$143,2,0))</f>
        <v>2.97310586590486</v>
      </c>
      <c r="HL70" s="408">
        <f>各项系数!$F$76/4*($MW70^2-$MT70^2)*10^-2*(VLOOKUP($HL$9,各项系数!$D$1:$F$143,3,0))*10^-3*10^2*各项系数!$J$4</f>
        <v>0.176193949794023</v>
      </c>
      <c r="HM70" s="397">
        <v>1</v>
      </c>
      <c r="HN70" s="397">
        <f t="shared" si="147"/>
        <v>0.176193949794023</v>
      </c>
      <c r="HO70" s="397">
        <f>HN70*(VLOOKUP($HL$9,各项系数!$D$1:$F$143,2,0))</f>
        <v>2.99529714649839</v>
      </c>
      <c r="HP70" s="408">
        <f>各项系数!$F$76/4*($MV70^2-$MS70^2)*10^-2*(VLOOKUP(AN70,各项系数!$D$1:$F$143,3,0))*10^-3*10^2*各项系数!$J$4</f>
        <v>0.177300836627998</v>
      </c>
      <c r="HQ70" s="396">
        <v>1</v>
      </c>
      <c r="HR70" s="397">
        <f t="shared" si="281"/>
        <v>0.177300836627998</v>
      </c>
      <c r="HS70" s="397">
        <f>HR70*(VLOOKUP(AN70,各项系数!$D$1:$F$143,2,0))</f>
        <v>1.77300836627998</v>
      </c>
      <c r="HT70" s="408">
        <f>各项系数!$F$76/4*($MW70^2-$MT70^2)*10^-2*(VLOOKUP(AN70,各项系数!$D$1:$F$143,3,0))*10^-3*10^2*各项系数!$J$4</f>
        <v>0.178624211170492</v>
      </c>
      <c r="HU70" s="396">
        <v>1</v>
      </c>
      <c r="HV70" s="397">
        <f t="shared" si="282"/>
        <v>0.178624211170492</v>
      </c>
      <c r="HW70" s="397">
        <f>HV70*(VLOOKUP(AN70,各项系数!$D$1:$F$143,2,0))</f>
        <v>1.78624211170492</v>
      </c>
      <c r="HX70" s="408">
        <f>各项系数!$F$76/4*($MV70^2-$MS70^2)*10^-2*(VLOOKUP($HX$9,各项系数!$D$1:$F$143,3,0))*10^-3*10^2*各项系数!$J$4</f>
        <v>0.177300836627998</v>
      </c>
      <c r="HY70" s="397">
        <v>1</v>
      </c>
      <c r="HZ70" s="397">
        <f t="shared" si="283"/>
        <v>0.177300836627998</v>
      </c>
      <c r="IA70" s="397">
        <f>HZ70*(VLOOKUP($HX$9,各项系数!$D$1:$F$143,2,0))</f>
        <v>1.95030920290797</v>
      </c>
      <c r="IB70" s="408">
        <f>各项系数!$F$76/4*($MW70^2-$MT70^2)*10^-2*(VLOOKUP($IB$9,各项系数!$D$1:$F$143,3,0))*10^-3*10^2*各项系数!$J$4</f>
        <v>0.178624211170492</v>
      </c>
      <c r="IC70" s="397">
        <v>1</v>
      </c>
      <c r="ID70" s="397">
        <f t="shared" si="284"/>
        <v>0.178624211170492</v>
      </c>
      <c r="IE70" s="397">
        <f>ID70*(VLOOKUP($IB$9,各项系数!$D$1:$F$143,2,0))</f>
        <v>1.96486632287541</v>
      </c>
      <c r="IF70" s="395"/>
      <c r="IG70" s="408">
        <f t="shared" si="148"/>
        <v>0.0368058416554973</v>
      </c>
      <c r="IH70" s="396">
        <v>1</v>
      </c>
      <c r="II70" s="397">
        <f t="shared" si="285"/>
        <v>0.0368058416554973</v>
      </c>
      <c r="IJ70" s="397">
        <f>II70*(VLOOKUP($IG$8,各项系数!$D$1:$F$143,2,0))</f>
        <v>0.920146041387433</v>
      </c>
      <c r="IK70" s="408">
        <f>(各项系数!$F$76/4*($MX70^2-$MK70^2)*$EG70)*10^-2*(VLOOKUP($IG$8,各项系数!$D$1:$F$143,3,0))*10^-3*10^2*各项系数!$J$4</f>
        <v>0.0368058416554973</v>
      </c>
      <c r="IL70" s="396">
        <f>IK70*(VLOOKUP($IG$8,各项系数!$D$1:$F$143,2,0))</f>
        <v>0.920146041387433</v>
      </c>
      <c r="IM70" s="397">
        <f>(各项系数!$F$76/4*(($MM70+3*$X70)^2-MM70^2)*$EO70)*10^-2*(VLOOKUP($IG$8,各项系数!$D$1:$F$143,3,0))*10^-3*10^2*各项系数!$J$4</f>
        <v>0</v>
      </c>
      <c r="IN70" s="396">
        <f>IM70*(VLOOKUP($IG$8,各项系数!$D$1:$F$143,2,0))</f>
        <v>0</v>
      </c>
      <c r="IO70" s="408">
        <f>各项系数!$F$76/4*($MZ70^2-$MX70^2)*10^-2*(VLOOKUP(L70,各项系数!$D$1:$F$143,3,0))*10^-3*10^2*$ES70*各项系数!$J$4</f>
        <v>0.0958270556905036</v>
      </c>
      <c r="IP70" s="396">
        <v>1</v>
      </c>
      <c r="IQ70" s="397">
        <f t="shared" si="286"/>
        <v>0.0958270556905036</v>
      </c>
      <c r="IR70" s="372">
        <f>IQ70*(VLOOKUP(L70,各项系数!$D$1:$F$143,2,0))</f>
        <v>0.977435968043137</v>
      </c>
      <c r="IS70" s="408">
        <f>IF($L70&lt;&gt;$IS$9,0,各项系数!$F$76/4*($MZ70^2-$MX70^2)*10^-2*各项系数!$F$12*10^-3*10^2)*$ES70*各项系数!$J$4</f>
        <v>0</v>
      </c>
      <c r="IT70" s="396">
        <v>1</v>
      </c>
      <c r="IU70" s="397">
        <f t="shared" si="287"/>
        <v>0</v>
      </c>
      <c r="IV70" s="372">
        <f>IU70*各项系数!$E$12</f>
        <v>0</v>
      </c>
      <c r="IW70" s="395">
        <f t="shared" si="288"/>
        <v>0.0958270556905036</v>
      </c>
      <c r="IX70" s="395">
        <f t="shared" si="289"/>
        <v>0.977435968043137</v>
      </c>
      <c r="IY70" s="447">
        <f>各项系数!$F$76/4*($NB70^2-$MZ70^2*$EG70-$NA70^2*$EO70)*10^-2</f>
        <v>1.0887559681357</v>
      </c>
      <c r="IZ70" s="366">
        <f t="shared" si="231"/>
        <v>1</v>
      </c>
      <c r="JA70" s="367">
        <f t="shared" si="64"/>
        <v>1.0887559681357</v>
      </c>
      <c r="JB70" s="371">
        <f>IF($DE70&lt;&gt;$JB$9,0,$JA70*各项系数!$F$32*10^-3*10^2)*各项系数!$J$4</f>
        <v>0</v>
      </c>
      <c r="JC70" s="127">
        <v>1</v>
      </c>
      <c r="JD70" s="95">
        <f t="shared" si="290"/>
        <v>0</v>
      </c>
      <c r="JE70" s="341">
        <f>JD70*各项系数!$E$32</f>
        <v>0</v>
      </c>
      <c r="JF70" s="364">
        <f>IF($DE70&lt;&gt;$JF$9,0,$JA70*VLOOKUP($JF$9,各项系数!$D$4:$F$540,2,0)*10^-3*10^2)*各项系数!$J$4</f>
        <v>0.541656094147511</v>
      </c>
      <c r="JG70" s="123">
        <v>1</v>
      </c>
      <c r="JH70" s="251">
        <f t="shared" si="66"/>
        <v>0.541656094147511</v>
      </c>
      <c r="JI70" s="339">
        <f>JH70*VLOOKUP($JF$9,各项系数!$D$4:$F$540,3,0)</f>
        <v>0.649987312977013</v>
      </c>
      <c r="JJ70" s="371">
        <f t="shared" si="291"/>
        <v>0.541656094147511</v>
      </c>
      <c r="JK70" s="95">
        <f t="shared" si="292"/>
        <v>0.649987312977013</v>
      </c>
      <c r="JL70" s="371">
        <f>IF($DF70&lt;&gt;$JL$9,0,各项系数!$F$76/4*($NE70^2-$NC70^2)*10^-2*各项系数!$F$39*10^-3*10^2)*各项系数!$J$4</f>
        <v>0.00236679341371697</v>
      </c>
      <c r="JM70" s="127">
        <v>1</v>
      </c>
      <c r="JN70" s="95">
        <f t="shared" si="293"/>
        <v>0.00236679341371697</v>
      </c>
      <c r="JO70" s="341">
        <f>JN70*各项系数!$E$39</f>
        <v>0.0473358682743394</v>
      </c>
      <c r="JP70" s="371">
        <f>IF($DF70&lt;&gt;$JP$9,0,各项系数!$F$76/4*($NE70^2-$NC70^2)*10^-2*各项系数!$F$36*10^-3*10^2)*各项系数!$J$4</f>
        <v>0</v>
      </c>
      <c r="JQ70" s="127">
        <v>1</v>
      </c>
      <c r="JR70" s="95">
        <f t="shared" si="294"/>
        <v>0</v>
      </c>
      <c r="JS70" s="341">
        <f>JR70*各项系数!$E$36</f>
        <v>0</v>
      </c>
      <c r="JT70" s="371">
        <f>IF($DF70&lt;&gt;$JT$9,0,各项系数!$F$76/4*($NE70^2-$NC70^2)*10^-2*各项系数!$F$40*10^-3*10^2)*各项系数!$J$4</f>
        <v>0</v>
      </c>
      <c r="JU70" s="127">
        <v>1</v>
      </c>
      <c r="JV70" s="95">
        <f t="shared" si="295"/>
        <v>0</v>
      </c>
      <c r="JW70" s="341">
        <f>JV70*各项系数!$E$40</f>
        <v>0</v>
      </c>
      <c r="JX70" s="371">
        <f>IF($DF70&lt;&gt;$JX$9,0,各项系数!$F$76/4*($NE70^2-$NC70^2)*10^-2*各项系数!$F$38*10^-3*10^2)*各项系数!$J$4</f>
        <v>0</v>
      </c>
      <c r="JY70" s="127">
        <v>1</v>
      </c>
      <c r="JZ70" s="95">
        <f t="shared" si="296"/>
        <v>0</v>
      </c>
      <c r="KA70" s="341">
        <f>JZ70*各项系数!$E$38</f>
        <v>0</v>
      </c>
      <c r="KB70" s="371">
        <f>IF($DF70&lt;&gt;$KB$9,0,各项系数!$F$76/4*($NE70^2-$NC70^2)*10^-2*各项系数!$F$41*10^-3*10^2)*各项系数!$J$4</f>
        <v>0</v>
      </c>
      <c r="KC70" s="127">
        <v>1</v>
      </c>
      <c r="KD70" s="95">
        <f t="shared" si="297"/>
        <v>0</v>
      </c>
      <c r="KE70" s="341">
        <f>KD70*各项系数!$E$41</f>
        <v>0</v>
      </c>
      <c r="KF70" s="95">
        <f t="shared" si="298"/>
        <v>0.00236679341371697</v>
      </c>
      <c r="KG70" s="95">
        <f t="shared" si="299"/>
        <v>0.0473358682743394</v>
      </c>
      <c r="KH70" s="304">
        <f>各项系数!$F$76/4*($NG70^2-$NE70^2)*10^-2*各项系数!$F$44*10^-3*10^2*各项系数!$J$4*0.75*$U70</f>
        <v>0.235974051245438</v>
      </c>
      <c r="KI70" s="127">
        <v>1</v>
      </c>
      <c r="KJ70" s="95">
        <f t="shared" si="300"/>
        <v>0.235974051245438</v>
      </c>
      <c r="KK70" s="95">
        <f>ROUND(KJ70*各项系数!$E$43,GT70)</f>
        <v>1</v>
      </c>
      <c r="KL70" s="302">
        <f>各项系数!$F$76/4*($NF70^2-$NE70^2)*10^-2*各项系数!$F$46*10^-3*10^2*各项系数!$J$4*PI()/4*R70</f>
        <v>0.0296578564853662</v>
      </c>
      <c r="KM70" s="127">
        <v>1</v>
      </c>
      <c r="KN70" s="95">
        <f t="shared" si="301"/>
        <v>0.0296578564853662</v>
      </c>
      <c r="KO70" s="95">
        <f>KN70*各项系数!$E$46</f>
        <v>2.00190531276222</v>
      </c>
      <c r="KP70" s="304">
        <f>各项系数!$F$76/4*($NH70^2-$NE70^2)*10^-2*(VLOOKUP($KP$9,各项系数!$D$1:$F$143,3,0))*10^-3*10^2*各项系数!$J$4</f>
        <v>0.187256955854622</v>
      </c>
      <c r="KQ70" s="127">
        <v>1</v>
      </c>
      <c r="KR70" s="95">
        <f t="shared" si="150"/>
        <v>0.187256955854622</v>
      </c>
      <c r="KS70" s="95">
        <f>KR70*(VLOOKUP($KP$9,各项系数!$D$1:$F$143,2,0))</f>
        <v>3.18336824952858</v>
      </c>
      <c r="KT70" s="304">
        <f>各项系数!$F$76/4*($NI70^2-$NF70^2)*10^-2*(VLOOKUP($KT$9,各项系数!$D$1:$F$143,3,0))*10^-3*10^2*各项系数!$J$4</f>
        <v>0.188562325301301</v>
      </c>
      <c r="KU70" s="127">
        <v>1</v>
      </c>
      <c r="KV70" s="95">
        <f t="shared" si="151"/>
        <v>0.188562325301301</v>
      </c>
      <c r="KW70" s="95">
        <f>KV70*(VLOOKUP($KT$9,各项系数!$D$1:$F$143,2,0))</f>
        <v>3.20555953012211</v>
      </c>
      <c r="KX70" s="95">
        <f>各项系数!$F$76/4*($NH70^2-$NE70^2)*10^-2*(VLOOKUP($KX$9,各项系数!$D$1:$F$143,3,0))*10^-3*10^2*各项系数!$J$4</f>
        <v>0.187256955854622</v>
      </c>
      <c r="KY70" s="481">
        <v>1</v>
      </c>
      <c r="KZ70" s="95">
        <f t="shared" si="152"/>
        <v>0.187256955854622</v>
      </c>
      <c r="LA70" s="95">
        <f>KZ70*(VLOOKUP($KX$9,各项系数!$D$1:$F$143,2,0))</f>
        <v>3.18336824952858</v>
      </c>
      <c r="LB70" s="95">
        <f>各项系数!$F$76/4*($NI70^2-$NF70^2)*10^-2*(VLOOKUP($LB$9,各项系数!$D$1:$F$143,3,0))*10^-3*10^2*各项系数!$J$4</f>
        <v>0.188562325301301</v>
      </c>
      <c r="LC70" s="481">
        <v>1</v>
      </c>
      <c r="LD70" s="95">
        <f t="shared" si="153"/>
        <v>0.188562325301301</v>
      </c>
      <c r="LE70" s="95">
        <f>LD70*(VLOOKUP($LB$9,各项系数!$D$1:$F$143,2,0))</f>
        <v>3.20555953012211</v>
      </c>
      <c r="LF70" s="304">
        <f>各项系数!$F$76/4*($NH70^2-$NE70^2)*10^-2*(VLOOKUP(AN70,各项系数!$D$1:$F$143,3,0))*10^-3*10^2*各项系数!$J$4</f>
        <v>0.189839810418134</v>
      </c>
      <c r="LG70" s="127">
        <v>1</v>
      </c>
      <c r="LH70" s="95">
        <f t="shared" si="302"/>
        <v>0.189839810418134</v>
      </c>
      <c r="LI70" s="95">
        <f>LH70*(VLOOKUP(AN70,各项系数!$D$1:$F$143,2,0))</f>
        <v>1.89839810418134</v>
      </c>
      <c r="LJ70" s="304">
        <f>各项系数!$F$76/4*($NI70^2-$NF70^2)*10^-2*(VLOOKUP(AN70,各项系数!$D$1:$F$143,3,0))*10^-3*10^2*各项系数!$J$4</f>
        <v>0.191163184960629</v>
      </c>
      <c r="LK70" s="127">
        <v>1</v>
      </c>
      <c r="LL70" s="95">
        <f t="shared" si="303"/>
        <v>0.191163184960629</v>
      </c>
      <c r="LM70" s="95">
        <f>LL70*(VLOOKUP(AN70,各项系数!$D$1:$F$143,2,0))</f>
        <v>1.91163184960629</v>
      </c>
      <c r="LN70" s="95">
        <f>各项系数!$F$76/4*($NH70^2-$NE70^2)*10^-2*(VLOOKUP($LN$9,各项系数!$D$1:$F$143,3,0))*10^-3*10^2*各项系数!$J$4</f>
        <v>0.189839810418134</v>
      </c>
      <c r="LO70" s="481">
        <v>1</v>
      </c>
      <c r="LP70" s="95">
        <f t="shared" si="304"/>
        <v>0.189839810418134</v>
      </c>
      <c r="LQ70" s="95">
        <f>LP70*(VLOOKUP($LN$9,各项系数!$D$1:$F$143,2,0))</f>
        <v>2.08823791459948</v>
      </c>
      <c r="LR70" s="95">
        <f>各项系数!$F$76/4*($NI70^2-$NF70^2)*10^-2*(VLOOKUP($LR$9,各项系数!$D$1:$F$143,3,0))*10^-3*10^2*各项系数!$J$4</f>
        <v>0.191163184960629</v>
      </c>
      <c r="LS70" s="481">
        <v>1</v>
      </c>
      <c r="LT70" s="95">
        <f t="shared" si="305"/>
        <v>0.191163184960629</v>
      </c>
      <c r="LU70" s="95">
        <f>LT70*(VLOOKUP($LR$9,各项系数!$D$1:$F$143,2,0))</f>
        <v>2.10279503456692</v>
      </c>
      <c r="LV70" s="501">
        <f t="shared" si="154"/>
        <v>122.38132163</v>
      </c>
      <c r="LW70" s="501">
        <f t="shared" si="155"/>
        <v>95.18547238</v>
      </c>
      <c r="LX70" s="501">
        <f t="shared" si="156"/>
        <v>11.0088104497494</v>
      </c>
      <c r="LY70" s="519">
        <f t="shared" si="157"/>
        <v>27.19584925</v>
      </c>
      <c r="LZ70" s="516">
        <f t="shared" si="86"/>
        <v>1</v>
      </c>
      <c r="MA70" s="517">
        <f t="shared" si="87"/>
        <v>122.38132163</v>
      </c>
      <c r="MB70" s="501">
        <f t="shared" si="158"/>
        <v>6.24140886</v>
      </c>
      <c r="MC70" s="501">
        <f t="shared" si="159"/>
        <v>0</v>
      </c>
      <c r="MD70" s="501">
        <f t="shared" si="160"/>
        <v>0</v>
      </c>
      <c r="ME70" s="501">
        <f t="shared" si="161"/>
        <v>0</v>
      </c>
      <c r="MF70" s="501">
        <f t="shared" si="162"/>
        <v>0</v>
      </c>
      <c r="MG70" s="527">
        <f t="shared" si="163"/>
        <v>1</v>
      </c>
      <c r="MH70" s="517">
        <f t="shared" si="88"/>
        <v>0</v>
      </c>
      <c r="MI70" s="501">
        <f t="shared" si="164"/>
        <v>0</v>
      </c>
      <c r="MJ70" s="95">
        <f t="shared" si="89"/>
        <v>6.24140886</v>
      </c>
      <c r="MK70" s="95">
        <f t="shared" si="165"/>
        <v>6.24140886</v>
      </c>
      <c r="ML70" s="95">
        <f t="shared" si="306"/>
        <v>0</v>
      </c>
      <c r="MM70" s="95">
        <f t="shared" si="91"/>
        <v>0</v>
      </c>
      <c r="MN70" s="95">
        <f t="shared" si="92"/>
        <v>8.04140886</v>
      </c>
      <c r="MO70" s="251">
        <f t="shared" si="166"/>
        <v>0</v>
      </c>
      <c r="MP70" s="95">
        <f t="shared" si="167"/>
        <v>19.46020944</v>
      </c>
      <c r="MQ70" s="95">
        <f t="shared" si="307"/>
        <v>19.46020944</v>
      </c>
      <c r="MR70" s="314">
        <f t="shared" si="168"/>
        <v>19.46020944</v>
      </c>
      <c r="MS70" s="530">
        <f t="shared" si="94"/>
        <v>19.63620944</v>
      </c>
      <c r="MT70" s="532">
        <f t="shared" si="95"/>
        <v>19.79620944</v>
      </c>
      <c r="MU70" s="532">
        <f t="shared" si="232"/>
        <v>20.23620944</v>
      </c>
      <c r="MV70" s="532">
        <f t="shared" si="97"/>
        <v>23.23620944</v>
      </c>
      <c r="MW70" s="532">
        <f t="shared" si="98"/>
        <v>23.39620944</v>
      </c>
      <c r="MX70" s="314">
        <f t="shared" si="233"/>
        <v>6.84140886</v>
      </c>
      <c r="MY70" s="314">
        <f t="shared" si="100"/>
        <v>0</v>
      </c>
      <c r="MZ70" s="95">
        <f t="shared" si="101"/>
        <v>8.64140886</v>
      </c>
      <c r="NA70" s="95">
        <f t="shared" si="102"/>
        <v>0</v>
      </c>
      <c r="NB70" s="95">
        <f t="shared" si="169"/>
        <v>20.91220944</v>
      </c>
      <c r="NC70" s="314">
        <f t="shared" si="308"/>
        <v>20.91220944</v>
      </c>
      <c r="ND70" s="314">
        <f t="shared" si="234"/>
        <v>20.91220944</v>
      </c>
      <c r="NE70" s="537">
        <f t="shared" si="235"/>
        <v>21.15220944</v>
      </c>
      <c r="NF70" s="532">
        <f t="shared" si="106"/>
        <v>21.31220944</v>
      </c>
      <c r="NG70" s="180">
        <f t="shared" si="236"/>
        <v>21.75220944</v>
      </c>
      <c r="NH70" s="314">
        <f t="shared" si="108"/>
        <v>24.75220944</v>
      </c>
      <c r="NI70" s="532">
        <f t="shared" si="109"/>
        <v>24.91220944</v>
      </c>
      <c r="NK70" s="541">
        <f t="shared" si="110"/>
        <v>1.23482571112153</v>
      </c>
      <c r="NL70" s="541">
        <f t="shared" si="111"/>
        <v>58.8366090392644</v>
      </c>
      <c r="NM70" s="541">
        <f t="shared" si="112"/>
        <v>1.23482571112153</v>
      </c>
      <c r="NN70" s="541">
        <f t="shared" si="113"/>
        <v>59.0139098758924</v>
      </c>
      <c r="NO70" s="541">
        <f t="shared" si="114"/>
        <v>1.71772509399647</v>
      </c>
      <c r="NP70" s="541">
        <f t="shared" si="115"/>
        <v>60.2488354578209</v>
      </c>
      <c r="NQ70" s="541">
        <f t="shared" si="116"/>
        <v>1.71772509399647</v>
      </c>
      <c r="NR70" s="541">
        <f t="shared" si="117"/>
        <v>60.438675268239</v>
      </c>
      <c r="NS70" s="541">
        <f t="shared" si="118"/>
        <v>1.26236596837358</v>
      </c>
      <c r="NT70" s="541">
        <f t="shared" si="119"/>
        <v>1.26236596837358</v>
      </c>
      <c r="NU70" s="541">
        <f t="shared" si="120"/>
        <v>1.74738295048184</v>
      </c>
      <c r="NV70" s="541">
        <f t="shared" si="121"/>
        <v>1.74738295048184</v>
      </c>
      <c r="NW70" s="11">
        <f t="shared" si="122"/>
        <v>1.38102442385218</v>
      </c>
      <c r="NX70" s="11">
        <f>各项系数!$M$9*NK70</f>
        <v>0.370447713336459</v>
      </c>
      <c r="NY70" s="11">
        <f t="shared" si="123"/>
        <v>1.26236596837358</v>
      </c>
    </row>
    <row r="71" s="11" customFormat="1" customHeight="1" spans="1:389">
      <c r="A71" s="81"/>
      <c r="B71" s="82"/>
      <c r="C71" s="83"/>
      <c r="D71" s="74" t="s">
        <v>229</v>
      </c>
      <c r="E71" s="550">
        <f t="shared" si="325"/>
        <v>25.92296723</v>
      </c>
      <c r="F71" s="84">
        <f>$F$23</f>
        <v>245.05464536043</v>
      </c>
      <c r="G71" s="74"/>
      <c r="H71" s="23"/>
      <c r="I71" s="78"/>
      <c r="J71" s="78"/>
      <c r="K71" s="23"/>
      <c r="L71" s="128" t="s">
        <v>467</v>
      </c>
      <c r="M71" s="119">
        <f t="shared" si="2"/>
        <v>0.9</v>
      </c>
      <c r="N71" s="119">
        <f t="shared" si="252"/>
        <v>0</v>
      </c>
      <c r="O71" s="74">
        <f t="shared" si="326"/>
        <v>0.08</v>
      </c>
      <c r="P71" s="120">
        <v>0.1</v>
      </c>
      <c r="Q71" s="165">
        <f t="shared" si="322"/>
        <v>0.1</v>
      </c>
      <c r="R71" s="182">
        <v>0.8</v>
      </c>
      <c r="S71" s="173" t="str">
        <f>各项系数!$D$43</f>
        <v>钢带</v>
      </c>
      <c r="T71" s="78">
        <v>0.2</v>
      </c>
      <c r="U71" s="78">
        <v>2</v>
      </c>
      <c r="V71" s="172"/>
      <c r="W71" s="174">
        <v>1.8</v>
      </c>
      <c r="X71" s="168">
        <f t="shared" si="323"/>
        <v>0.2</v>
      </c>
      <c r="Y71" s="221"/>
      <c r="Z71" s="222"/>
      <c r="AA71" s="223">
        <f>$AA$23</f>
        <v>1.011</v>
      </c>
      <c r="AB71" s="186">
        <f>PI()*EJ71*EJ71/4*EH71*(1-H71)*AA71*各项系数!$F$5*各项系数!$J$4*10^-7</f>
        <v>0.295249926304339</v>
      </c>
      <c r="AC71" s="224">
        <f t="shared" si="327"/>
        <v>245.05464536043</v>
      </c>
      <c r="AD71" s="186">
        <f t="shared" si="5"/>
        <v>33.3783570613855</v>
      </c>
      <c r="AE71" s="186">
        <f>POWER(4*EU71/PI()/EG71/10^-7/EH71/(1-H71)/各项系数!$F$5/各项系数!$J$4,0.5)</f>
        <v>246.398759704805</v>
      </c>
      <c r="AF71" s="225">
        <v>1</v>
      </c>
      <c r="AG71" s="23">
        <f>IF(EM71=0,0,PI()*ER71*ER71/4*EP71*(1-K71)*(1+AF71)*各项系数!$F$5*各项系数!$J$4*10^-7)</f>
        <v>0</v>
      </c>
      <c r="AH71" s="23">
        <f t="shared" si="328"/>
        <v>0</v>
      </c>
      <c r="AI71" s="85">
        <f t="shared" si="128"/>
        <v>0</v>
      </c>
      <c r="AJ71" s="85">
        <f>IF(OR(EP71="",EP71=0),0,POWER(4*EW71/PI()/EO71/10^-7/EP71/(1-K71)/各项系数!$F$5/各项系数!$J$4,0.5))</f>
        <v>0</v>
      </c>
      <c r="AK71" s="23" t="str">
        <f t="shared" si="8"/>
        <v>√</v>
      </c>
      <c r="AL71" s="23">
        <f t="shared" si="329"/>
        <v>83.4835653805983</v>
      </c>
      <c r="AM71" s="127">
        <f t="shared" si="330"/>
        <v>35</v>
      </c>
      <c r="AN71" s="128" t="s">
        <v>486</v>
      </c>
      <c r="AO71" s="176">
        <f>AP71+各项系数!$M$9*$NK71</f>
        <v>81.8466327260768</v>
      </c>
      <c r="AP71" s="176">
        <f>AQ71*(1+$BI71+(VLOOKUP($AM71,$A$12:$B$323,2,0))+各项系数!$J$6+各项系数!$M$5)*(1+$E$2)</f>
        <v>81.3562757912749</v>
      </c>
      <c r="AQ71" s="262">
        <f>AR71+各项系数!$L$9*$NK71</f>
        <v>83.0166079502805</v>
      </c>
      <c r="AR71" s="262">
        <f>AS71*(1+$BJ71+各项系数!$J$5+各项系数!$L$5)</f>
        <v>82.5262510154786</v>
      </c>
      <c r="AS71" s="262">
        <f t="shared" si="129"/>
        <v>80.9080892308613</v>
      </c>
      <c r="AT71" s="176">
        <f>AU71+各项系数!$M$9*$NM71</f>
        <v>83.196607066092</v>
      </c>
      <c r="AU71" s="176">
        <f>AV71*(1+$BI71+(VLOOKUP($AM71,$A$12:$B$323,2,0))+各项系数!$J$6+各项系数!$M$5)*(1+$E$2)</f>
        <v>82.7062501312901</v>
      </c>
      <c r="AV71" s="262">
        <f>AW71+各项系数!$L$9*$NM71</f>
        <v>84.3941327870308</v>
      </c>
      <c r="AW71" s="262">
        <f>AX71*(1+$BJ71+各项系数!$J$5+各项系数!$L$5)</f>
        <v>83.9037758522289</v>
      </c>
      <c r="AX71" s="262">
        <f t="shared" si="130"/>
        <v>82.258603776695</v>
      </c>
      <c r="AY71" s="176">
        <f>AZ71+各项系数!$M$9*$NS71</f>
        <v>83.9898960972511</v>
      </c>
      <c r="AZ71" s="176">
        <f>BA71*(1+$BI71+(VLOOKUP($AM71,$A$12:$B$214,2,0))+各项系数!$J$6+各项系数!$M$5)*(1+$E$2)</f>
        <v>83.4901511994749</v>
      </c>
      <c r="BA71" s="262">
        <f>BB71+各项系数!$L$9*$NS71</f>
        <v>85.1940318361988</v>
      </c>
      <c r="BB71" s="262">
        <f>BC71*(1+$BJ71+各项系数!$J$5+各项系数!$L$5)</f>
        <v>84.6942869384226</v>
      </c>
      <c r="BC71" s="262">
        <f t="shared" si="131"/>
        <v>83.0336146455123</v>
      </c>
      <c r="BD71" s="176">
        <f>BE71+各项系数!$M$9*$NS71</f>
        <v>85.3488243894209</v>
      </c>
      <c r="BE71" s="176">
        <f>BF71*(1+$BI71+(VLOOKUP($AM71,$A$12:$B$214,2,0))+各项系数!$J$6+各项系数!$M$5)*(1+$E$2)</f>
        <v>84.8490794916447</v>
      </c>
      <c r="BF71" s="262">
        <f>BG71+各项系数!$L$9*$NS71</f>
        <v>86.5806933588211</v>
      </c>
      <c r="BG71" s="262">
        <f>BH71*(1+$BJ71+各项系数!$J$5+各项系数!$L$5)</f>
        <v>86.0809484610448</v>
      </c>
      <c r="BH71" s="262">
        <f t="shared" si="132"/>
        <v>84.3930867265146</v>
      </c>
      <c r="BI71" s="278"/>
      <c r="BJ71" s="279"/>
      <c r="BK71" s="95" t="s">
        <v>514</v>
      </c>
      <c r="BL71" s="176">
        <f>BM71+各项系数!$M$9*$NM71</f>
        <v>82.8409307736417</v>
      </c>
      <c r="BM71" s="176">
        <f>BN71*(1+$CF71+(VLOOKUP($AM71,$A$12:$B$323,2,0))+各项系数!$J$6+各项系数!$M$5)*(1+$E$2)</f>
        <v>82.3505738388398</v>
      </c>
      <c r="BN71" s="262">
        <f>BO71+各项系数!$L$9*$NM71</f>
        <v>84.0311977947345</v>
      </c>
      <c r="BO71" s="262">
        <f>BP71*(1+$CG71+各项系数!$J$5+各项系数!$L$5)</f>
        <v>83.5408408599326</v>
      </c>
      <c r="BP71" s="262">
        <f t="shared" si="133"/>
        <v>81.1076124853714</v>
      </c>
      <c r="BQ71" s="176">
        <f>BR71+各项系数!$M$9*$NM71</f>
        <v>84.0027413831037</v>
      </c>
      <c r="BR71" s="176">
        <f>BS71*(1+$CF71+(VLOOKUP($AM71,$A$12:$B$323,2,0))+各项系数!$J$6+各项系数!$M$5)*(1+$E$2)</f>
        <v>83.5123844483018</v>
      </c>
      <c r="BS71" s="262">
        <f>BT71+各项系数!$L$9*$NM71</f>
        <v>85.2167188247977</v>
      </c>
      <c r="BT71" s="262">
        <f>BU71*(1+$CG71+各项系数!$J$5+各项系数!$L$5)</f>
        <v>84.7263618899958</v>
      </c>
      <c r="BU71" s="262">
        <f t="shared" si="134"/>
        <v>82.258603776695</v>
      </c>
      <c r="BV71" s="176">
        <f>BW71+各项系数!$M$9*$NT71</f>
        <v>84.524708243414</v>
      </c>
      <c r="BW71" s="176">
        <f>BX71*(1+$CF71+(VLOOKUP($AM71,$A$12:$B$214,2,0))+各项系数!$J$6+各项系数!$M$5)*(1+$E$2)</f>
        <v>84.0249633456377</v>
      </c>
      <c r="BX71" s="262">
        <f>BY71+各项系数!$L$9*$NT$12</f>
        <v>85.7397585159569</v>
      </c>
      <c r="BY71" s="262">
        <f>BZ71*(1+$CG71+各项系数!$J$5+各项系数!$L$5)</f>
        <v>85.7314951128019</v>
      </c>
      <c r="BZ71" s="262">
        <f t="shared" si="11"/>
        <v>83.2344612745649</v>
      </c>
      <c r="CA71" s="176">
        <f>CB71+各项系数!$M$9*$NT71</f>
        <v>85.6942247746119</v>
      </c>
      <c r="CB71" s="176">
        <f>CC71*(1+$CF71+(VLOOKUP($AM71,$A$12:$B$214,2,0))+各项系数!$J$6+各项系数!$M$5)*(1+$E$2)</f>
        <v>85.1944798768357</v>
      </c>
      <c r="CC71" s="262">
        <f>CD71+各项系数!$L$9*$NT$12</f>
        <v>86.933142731465</v>
      </c>
      <c r="CD71" s="262">
        <f>CE71*(1+$CG71+各项系数!$J$5+各项系数!$L$5)</f>
        <v>86.92487932831</v>
      </c>
      <c r="CE71" s="262">
        <f t="shared" si="135"/>
        <v>84.3930867265146</v>
      </c>
      <c r="CF71" s="278">
        <f t="shared" si="136"/>
        <v>0</v>
      </c>
      <c r="CG71" s="278">
        <f t="shared" si="12"/>
        <v>0.01</v>
      </c>
      <c r="CH71" s="127"/>
      <c r="CI71" s="176">
        <f>CJ71+各项系数!$M$9*$NO71</f>
        <v>84.337938280235</v>
      </c>
      <c r="CJ71" s="176">
        <f>CK71*(1+$DC71+(VLOOKUP($AM71,$A$12:$B$323,2,0))+各项系数!$J$6+各项系数!$M$5)*(1+$E$2)+各项系数!$M$9*$NK71</f>
        <v>83.6664985328114</v>
      </c>
      <c r="CK71" s="262">
        <f>CL71+各项系数!$L$9*$NO71</f>
        <v>84.8736138755199</v>
      </c>
      <c r="CL71" s="262">
        <f>CM71*(1+$DD71+各项系数!$J$5+各项系数!$L$5)</f>
        <v>84.2021741280963</v>
      </c>
      <c r="CM71" s="262">
        <f t="shared" si="13"/>
        <v>82.5511511059768</v>
      </c>
      <c r="CN71" s="176">
        <f>CO71+各项系数!$M$9*$NO71</f>
        <v>85.5625730382441</v>
      </c>
      <c r="CO71" s="176">
        <f>CP71*(1+$DC71+(VLOOKUP($AM71,$A$12:$B$323,2,0))+各项系数!$J$6+各项系数!$M$5)*(1+$E$2)+各项系数!$M$9*$NK71</f>
        <v>84.8911332908205</v>
      </c>
      <c r="CP71" s="262">
        <f>CQ71+各项系数!$L$9*$NO71</f>
        <v>86.1232411796108</v>
      </c>
      <c r="CQ71" s="262">
        <f>CR71*(1+$DD71+各项系数!$J$5+各项系数!$L$5)</f>
        <v>85.4518014321872</v>
      </c>
      <c r="CR71" s="262">
        <f t="shared" si="14"/>
        <v>83.7762759139091</v>
      </c>
      <c r="CS71" s="176">
        <f>CT71+各项系数!$M$9*$NU71</f>
        <v>86.1349833436218</v>
      </c>
      <c r="CT71" s="176">
        <f t="shared" si="15"/>
        <v>85.4535203534539</v>
      </c>
      <c r="CU71" s="262">
        <f>CV71+各项系数!$L$9*$NU71</f>
        <v>87.1974697484223</v>
      </c>
      <c r="CV71" s="262">
        <f>CW71*(1+$DD71+各项系数!$J$5+各项系数!$L$5)</f>
        <v>86.5160067582544</v>
      </c>
      <c r="CW71" s="262">
        <f t="shared" si="16"/>
        <v>84.8196144688768</v>
      </c>
      <c r="CX71" s="176">
        <f>CY71+各项系数!$M$9*$NU71</f>
        <v>87.5787503324556</v>
      </c>
      <c r="CY71" s="176">
        <f t="shared" si="17"/>
        <v>86.8972873422877</v>
      </c>
      <c r="CZ71" s="262">
        <f>DA71+各项系数!$L$9*$NU71</f>
        <v>88.6707013696814</v>
      </c>
      <c r="DA71" s="262">
        <f>DB71*(1+$DD71+各项系数!$J$5+各项系数!$L$5)</f>
        <v>87.9892383795134</v>
      </c>
      <c r="DB71" s="262">
        <f t="shared" si="18"/>
        <v>86.2639591956014</v>
      </c>
      <c r="DC71" s="278">
        <f t="shared" si="137"/>
        <v>0</v>
      </c>
      <c r="DD71" s="278">
        <f t="shared" si="19"/>
        <v>0</v>
      </c>
      <c r="DE71" s="95" t="s">
        <v>498</v>
      </c>
      <c r="DF71" s="95" t="s">
        <v>513</v>
      </c>
      <c r="DG71" s="176">
        <f>DH71+各项系数!$M$9*$NQ71</f>
        <v>85.3609951743198</v>
      </c>
      <c r="DH71" s="176">
        <f>DI71*(1+$EA71+(VLOOKUP($AM71,$A$12:$B$323,2,0))+各项系数!$J$6+各项系数!$M$5)*(1+$E$2)+各项系数!$M$9*$NK71</f>
        <v>84.6895554268962</v>
      </c>
      <c r="DI71" s="262">
        <f>DJ71+各项系数!$L$9*$NQ71</f>
        <v>85.9175494817289</v>
      </c>
      <c r="DJ71" s="262">
        <f>DK71*(1+$EB71+各项系数!$J$5+各项系数!$L$5)</f>
        <v>85.2461097343053</v>
      </c>
      <c r="DK71" s="262">
        <f t="shared" si="20"/>
        <v>82.763213334277</v>
      </c>
      <c r="DL71" s="176">
        <f>DM71+各项系数!$M$9*$NQ71</f>
        <v>86.5958193922302</v>
      </c>
      <c r="DM71" s="176">
        <f>DN71*(1+$EA71+(VLOOKUP($AM71,$A$12:$B$323,2,0))+各项系数!$J$6+各项系数!$M$5)*(1+$E$2)+各项系数!$M$9*$NK71</f>
        <v>85.9243796448066</v>
      </c>
      <c r="DN71" s="262">
        <f>DO71+各项系数!$L$9*$NQ71</f>
        <v>87.1775741938823</v>
      </c>
      <c r="DO71" s="262">
        <f>DP71*(1+$EB71+各项系数!$J$5+各项系数!$L$5)</f>
        <v>86.5061344464588</v>
      </c>
      <c r="DP71" s="262">
        <f t="shared" si="21"/>
        <v>83.9865382975328</v>
      </c>
      <c r="DQ71" s="176">
        <f>DR71+各项系数!$M$9*$NV71</f>
        <v>87.1816069929262</v>
      </c>
      <c r="DR71" s="176">
        <f t="shared" si="22"/>
        <v>86.5001440027583</v>
      </c>
      <c r="DS71" s="262">
        <f>DT71+各项系数!$L$9*$NV71</f>
        <v>88.2654530640391</v>
      </c>
      <c r="DT71" s="262">
        <f>DU71*(1+$EB71+各项系数!$J$5+各项系数!$L$5)</f>
        <v>87.5839900738712</v>
      </c>
      <c r="DU71" s="262">
        <f t="shared" si="23"/>
        <v>85.0330000717196</v>
      </c>
      <c r="DV71" s="176">
        <f>DW71+各项系数!$M$9*$NV71</f>
        <v>87.2960170713363</v>
      </c>
      <c r="DW71" s="176">
        <f t="shared" si="24"/>
        <v>86.6145540811683</v>
      </c>
      <c r="DX71" s="262">
        <f>DY71+各项系数!$L$9*$NV71</f>
        <v>88.3821980420085</v>
      </c>
      <c r="DY71" s="262">
        <f>DZ71*(1+$EB71+各项系数!$J$5+各项系数!$L$5)</f>
        <v>87.7007350518406</v>
      </c>
      <c r="DZ71" s="262">
        <f t="shared" si="25"/>
        <v>85.1463447105248</v>
      </c>
      <c r="EA71" s="278">
        <f t="shared" si="324"/>
        <v>0</v>
      </c>
      <c r="EB71" s="278">
        <f t="shared" si="27"/>
        <v>0.01</v>
      </c>
      <c r="EC71" s="302">
        <f t="shared" si="138"/>
        <v>4</v>
      </c>
      <c r="ED71" s="304" t="str">
        <f t="shared" si="331"/>
        <v>4*35</v>
      </c>
      <c r="EE71" s="95">
        <f t="shared" si="239"/>
        <v>35</v>
      </c>
      <c r="EF71" s="95" t="str">
        <f>LOOKUP(EH71,{1,7,10,14,19,24,30,37,48,61},{1,"1+6","2+8","4+10","1+6+12","2+8+14","4+10+16","1+6+12+18","3+9+15+21","1+6+12+18+24"})</f>
        <v>1+6</v>
      </c>
      <c r="EG71" s="127">
        <f t="shared" si="29"/>
        <v>4</v>
      </c>
      <c r="EH71" s="262">
        <f>VLOOKUP(EE71,各项系数!$B$87:$C$124,2,0)</f>
        <v>7</v>
      </c>
      <c r="EI71" s="127">
        <f>IF(EH71=0,0,VLOOKUP(EH71,各项系数!$D$142:$E$195,2,0))*1</f>
        <v>3</v>
      </c>
      <c r="EJ71" s="307">
        <f t="shared" si="141"/>
        <v>245.05464536043</v>
      </c>
      <c r="EK71" s="95">
        <f t="shared" si="332"/>
        <v>0</v>
      </c>
      <c r="EL71" s="95">
        <f t="shared" si="31"/>
        <v>0</v>
      </c>
      <c r="EM71" s="95">
        <f t="shared" si="333"/>
        <v>0</v>
      </c>
      <c r="EN71" s="95">
        <f>IF(EP71=0,0,LOOKUP(EP71,{1,7,10,14,19,24,30,37,48,61},{1,"1+6","2+8","4+10","1+6+12","2+8+14","4+10+16","1+6+12+18","3+9+15+21","1+6+12+18+24"}))</f>
        <v>0</v>
      </c>
      <c r="EO71" s="95">
        <f t="shared" si="334"/>
        <v>0</v>
      </c>
      <c r="EP71" s="95">
        <f>IF(EM71=0,0,IF(EM71&lt;10,1,IF(AND(EM71&gt;=10,EM71&lt;=35),7,LOOKUP(EM71,{50,70,95,120,150,185,240,300},{10,14,19,24,30,37,48,61})*1)))</f>
        <v>0</v>
      </c>
      <c r="EQ71" s="95">
        <f>IF(EP71=0,0,VLOOKUP(EP71,各项系数!$D$142:$E$195,2,0))*1</f>
        <v>0</v>
      </c>
      <c r="ER71" s="95">
        <f t="shared" si="335"/>
        <v>0</v>
      </c>
      <c r="ES71" s="304">
        <f t="shared" si="336"/>
        <v>4</v>
      </c>
      <c r="ET71" s="95">
        <f>VLOOKUP(ES71,各项系数!$D$142:$E$195,2,0)*1</f>
        <v>2.42</v>
      </c>
      <c r="EU71" s="311">
        <f>((各项系数!$F$76/4*$EJ71^2*$EG71*$EH71*1*10^-7)*(1-$H71)*AA71)*(VLOOKUP($EY$9,各项系数!$D$4:$F$143,3,0))*各项系数!$J$4</f>
        <v>1.18099970521736</v>
      </c>
      <c r="EV71" s="312">
        <f>EU71*(VLOOKUP($EY$9,各项系数!$D$4:$F$143,2,0))</f>
        <v>77.3554806917368</v>
      </c>
      <c r="EW71" s="324">
        <f>(IF($EO71=0,0,(各项系数!$F$76/4*$ER71^2*$EO71*$EP71*1*10^-7))*(1-$K71)*$AF71)*(VLOOKUP($EY$9,各项系数!$D$4:$F$143,3,0))*各项系数!$J$4</f>
        <v>0</v>
      </c>
      <c r="EX71" s="325">
        <f>EW71*(VLOOKUP($EY$9,各项系数!$D$4:$F$143,2,0))</f>
        <v>0</v>
      </c>
      <c r="EY71" s="251">
        <f>((各项系数!$F$76/4*$EJ71^2*$EG71*$EH71*1*10^-7)*(1-$H71)*AA71+IF($EO71=0,0,(各项系数!$F$76/4*$ER71^2*$EO71*$EP71*1*10^-7))*(1-$K71)*$AF71)*(VLOOKUP($EY$9,各项系数!$D$4:$F$143,3,0))*各项系数!$J$4</f>
        <v>1.18099970521736</v>
      </c>
      <c r="EZ71" s="127">
        <v>1</v>
      </c>
      <c r="FA71" s="95">
        <f t="shared" si="268"/>
        <v>1.18099970521736</v>
      </c>
      <c r="FB71" s="314">
        <f>FA71*(VLOOKUP($EY$9,各项系数!$D$4:$F$143,2,0))</f>
        <v>77.3554806917368</v>
      </c>
      <c r="FC71" s="329"/>
      <c r="FD71" s="304">
        <f>各项系数!$F$76/4*($MN71^2-MK71^2)*10^-2*(VLOOKUP(L71,各项系数!$D$1:$F$143,3,0))*10^-3*10^2*$EG71*各项系数!$J$4</f>
        <v>0.10214294553232</v>
      </c>
      <c r="FE71" s="341">
        <f>FD71*VLOOKUP(L71,各项系数!$D$1:$F$143,2,0)</f>
        <v>1.04185804442967</v>
      </c>
      <c r="FF71" s="127">
        <f>各项系数!$F$76/4*($MO71^2-ML71^2)*10^-2*(VLOOKUP(L71,各项系数!$D$1:$F$143,3,0))*10^-3*10^2*$EO71*各项系数!$J$4</f>
        <v>0</v>
      </c>
      <c r="FG71" s="341">
        <f>FF71*VLOOKUP(L71,各项系数!$D$1:$F$143,2,0)</f>
        <v>0</v>
      </c>
      <c r="FH71" s="304">
        <f t="shared" si="142"/>
        <v>0.10214294553232</v>
      </c>
      <c r="FI71" s="127">
        <v>1</v>
      </c>
      <c r="FJ71" s="95">
        <f t="shared" si="269"/>
        <v>0.10214294553232</v>
      </c>
      <c r="FK71" s="341">
        <f>FJ71*VLOOKUP(L71,各项系数!$D$1:$F$143,2,0)</f>
        <v>1.04185804442967</v>
      </c>
      <c r="FL71" s="304"/>
      <c r="FM71" s="127"/>
      <c r="FN71" s="95"/>
      <c r="FO71" s="341"/>
      <c r="FP71" s="371">
        <f t="shared" si="270"/>
        <v>0.10214294553232</v>
      </c>
      <c r="FQ71" s="371">
        <f t="shared" si="271"/>
        <v>1.04185804442967</v>
      </c>
      <c r="FR71" s="365">
        <f>各项系数!$F$76/4*($MQ71^2-$MN71^2*$EG71-$MO71^2*$EO71)*10^-2</f>
        <v>1.2211225056567</v>
      </c>
      <c r="FS71" s="366">
        <f t="shared" si="143"/>
        <v>1</v>
      </c>
      <c r="FT71" s="367">
        <f t="shared" si="40"/>
        <v>1.2211225056567</v>
      </c>
      <c r="FU71" s="395">
        <f>$FT71*(VLOOKUP($FT$9,各项系数!$D$1:$F$143,3,0))*10^-3*10^2*各项系数!$J$55</f>
        <v>0.14580202717541</v>
      </c>
      <c r="FV71" s="396">
        <v>1</v>
      </c>
      <c r="FW71" s="397">
        <f t="shared" si="272"/>
        <v>0.14580202717541</v>
      </c>
      <c r="FX71" s="372">
        <f>FW71*(VLOOKUP($FT$9,各项系数!$D$1:$F$143,2,0))</f>
        <v>0.43740608152623</v>
      </c>
      <c r="FY71" s="395">
        <f>IF($BK71&lt;&gt;$FY$9,0,各项系数!$F$76/4*($MS71^2-$MQ71^2)*10^-2*(VLOOKUP($FY$9,各项系数!$D$1:$F$143,3,0))*10^-3*10^2)*各项系数!$J$4</f>
        <v>0</v>
      </c>
      <c r="FZ71" s="396">
        <v>1</v>
      </c>
      <c r="GA71" s="397">
        <f t="shared" si="273"/>
        <v>0</v>
      </c>
      <c r="GB71" s="372">
        <f>GA71*(VLOOKUP($FY$9,各项系数!$D$1:$F$143,2,0))</f>
        <v>0</v>
      </c>
      <c r="GC71" s="395">
        <f>IF($BK71&lt;&gt;$GC$9,0,各项系数!$F$76/4*($MS71^2-$MQ71^2)*10^-2*(VLOOKUP($GC$9,各项系数!$D$1:$F$143,3,0))*10^-3*10^2)*各项系数!$J$4</f>
        <v>0.00605518357114209</v>
      </c>
      <c r="GD71" s="396">
        <v>1</v>
      </c>
      <c r="GE71" s="397">
        <f t="shared" si="274"/>
        <v>0.00605518357114209</v>
      </c>
      <c r="GF71" s="372">
        <f>GE71*(VLOOKUP($GC$9,各项系数!$D$1:$F$143,2,0))</f>
        <v>0.078111868067733</v>
      </c>
      <c r="GG71" s="395">
        <f>IF($BK71&lt;&gt;$GG$9,0,各项系数!$F$76/4*($MS71^2-$MQ71^2)*10^-2*(VLOOKUP($GG$9,各项系数!$D$1:$F$143,3,0))*10^-3*10^2)*各项系数!$J$4</f>
        <v>0</v>
      </c>
      <c r="GH71" s="396">
        <v>1</v>
      </c>
      <c r="GI71" s="397">
        <f t="shared" si="275"/>
        <v>0</v>
      </c>
      <c r="GJ71" s="372">
        <f>GI71*(VLOOKUP($GG$9,各项系数!$D$1:$F$143,2,0))</f>
        <v>0</v>
      </c>
      <c r="GK71" s="395">
        <f>IF($BK71&lt;&gt;$GK$9,0,各项系数!$F$76/4*($MS71^2-$MQ71^2)*10^-2*(VLOOKUP($GK$9,各项系数!$D$1:$F$143,3,0))*10^-3*10^2)*各项系数!$J$4</f>
        <v>0</v>
      </c>
      <c r="GL71" s="396">
        <v>1</v>
      </c>
      <c r="GM71" s="397">
        <f t="shared" si="276"/>
        <v>0</v>
      </c>
      <c r="GN71" s="372">
        <f>GM71*(VLOOKUP($GK$9,各项系数!$D$1:$F$143,2,0))</f>
        <v>0</v>
      </c>
      <c r="GO71" s="397">
        <f t="shared" si="277"/>
        <v>0.00605518357114209</v>
      </c>
      <c r="GP71" s="397">
        <f t="shared" si="278"/>
        <v>0.078111868067733</v>
      </c>
      <c r="GQ71" s="408">
        <f>各项系数!$F$76/4*($MU71^2-$MS71^2)*10^-2*(VLOOKUP($S71,各项系数!$D$1:$F$143,3,0))*10^-3*10^2*各项系数!$J$4</f>
        <v>0.165901582100033</v>
      </c>
      <c r="GR71" s="396">
        <v>1</v>
      </c>
      <c r="GS71" s="397">
        <f t="shared" si="279"/>
        <v>0.165901582100033</v>
      </c>
      <c r="GT71" s="397">
        <f t="shared" si="200"/>
        <v>0</v>
      </c>
      <c r="GU71" s="397">
        <f>ROUND($GS71*(VLOOKUP($S71,各项系数!$D$1:$F$143,2,0))+$E$3*GS71,GT71)</f>
        <v>1</v>
      </c>
      <c r="GV71" s="406">
        <f>各项系数!$F$76/4*($MT71^2-$MS71^2)*10^-2*(VLOOKUP($GV$9,各项系数!$D$1:$F$143,3,0))*10^-3*10^2*各项系数!$J$4*PI()/4*R71</f>
        <v>0.03129320991446</v>
      </c>
      <c r="GW71" s="396">
        <v>1</v>
      </c>
      <c r="GX71" s="397">
        <f t="shared" si="280"/>
        <v>0.03129320991446</v>
      </c>
      <c r="GY71" s="397">
        <f>$GX71*(VLOOKUP($GV$9,各项系数!$D$1:$F$143,2,0))</f>
        <v>2.11229166922605</v>
      </c>
      <c r="GZ71" s="408">
        <f>各项系数!$F$76/4*($MV71^2-$MS71^2)*10^-2*(VLOOKUP($GZ$9,各项系数!$D$1:$F$143,3,0))*10^-3*10^2*各项系数!$J$4</f>
        <v>0.196808652407914</v>
      </c>
      <c r="HA71" s="396">
        <v>1</v>
      </c>
      <c r="HB71" s="397">
        <f t="shared" si="144"/>
        <v>0.196808652407914</v>
      </c>
      <c r="HC71" s="397">
        <f>HB71*(VLOOKUP($GZ$9,各项系数!$D$1:$F$143,2,0))</f>
        <v>3.34574709093455</v>
      </c>
      <c r="HD71" s="408">
        <f>各项系数!$F$76/4*($MW71^2-$MT71^2)*10^-2*(VLOOKUP($HD$9,各项系数!$D$1:$F$143,3,0))*10^-3*10^2*各项系数!$J$4</f>
        <v>0.198114021854593</v>
      </c>
      <c r="HE71" s="396">
        <v>1</v>
      </c>
      <c r="HF71" s="397">
        <f t="shared" si="145"/>
        <v>0.198114021854593</v>
      </c>
      <c r="HG71" s="397">
        <f>HF71*(VLOOKUP($HD$9,各项系数!$D$1:$F$143,2,0))</f>
        <v>3.36793837152808</v>
      </c>
      <c r="HH71" s="408">
        <f>各项系数!$F$76/4*($MV71^2-$MS71^2)*10^-2*(VLOOKUP($HH$9,各项系数!$D$1:$F$143,3,0))*10^-3*10^2*各项系数!$J$4</f>
        <v>0.196808652407914</v>
      </c>
      <c r="HI71" s="397">
        <v>1</v>
      </c>
      <c r="HJ71" s="397">
        <f t="shared" si="146"/>
        <v>0.196808652407914</v>
      </c>
      <c r="HK71" s="397">
        <f>HJ71*(VLOOKUP($HH$9,各项系数!$D$1:$F$143,2,0))</f>
        <v>3.34574709093455</v>
      </c>
      <c r="HL71" s="408">
        <f>各项系数!$F$76/4*($MW71^2-$MT71^2)*10^-2*(VLOOKUP($HL$9,各项系数!$D$1:$F$143,3,0))*10^-3*10^2*各项系数!$J$4</f>
        <v>0.198114021854593</v>
      </c>
      <c r="HM71" s="397">
        <v>1</v>
      </c>
      <c r="HN71" s="397">
        <f t="shared" si="147"/>
        <v>0.198114021854593</v>
      </c>
      <c r="HO71" s="397">
        <f>HN71*(VLOOKUP($HL$9,各项系数!$D$1:$F$143,2,0))</f>
        <v>3.36793837152808</v>
      </c>
      <c r="HP71" s="408">
        <f>各项系数!$F$76/4*($MV71^2-$MS71^2)*10^-2*(VLOOKUP(AN71,各项系数!$D$1:$F$143,3,0))*10^-3*10^2*各项系数!$J$4</f>
        <v>0.199523254510093</v>
      </c>
      <c r="HQ71" s="396">
        <v>1</v>
      </c>
      <c r="HR71" s="397">
        <f t="shared" si="281"/>
        <v>0.199523254510093</v>
      </c>
      <c r="HS71" s="397">
        <f>HR71*(VLOOKUP(AN71,各项系数!$D$1:$F$143,2,0))</f>
        <v>1.99523254510093</v>
      </c>
      <c r="HT71" s="408">
        <f>各项系数!$F$76/4*($MW71^2-$MT71^2)*10^-2*(VLOOKUP(AN71,各项系数!$D$1:$F$143,3,0))*10^-3*10^2*各项系数!$J$4</f>
        <v>0.200846629052587</v>
      </c>
      <c r="HU71" s="396">
        <v>1</v>
      </c>
      <c r="HV71" s="397">
        <f t="shared" si="282"/>
        <v>0.200846629052587</v>
      </c>
      <c r="HW71" s="397">
        <f>HV71*(VLOOKUP(AN71,各项系数!$D$1:$F$143,2,0))</f>
        <v>2.00846629052587</v>
      </c>
      <c r="HX71" s="408">
        <f>各项系数!$F$76/4*($MV71^2-$MS71^2)*10^-2*(VLOOKUP($HX$9,各项系数!$D$1:$F$143,3,0))*10^-3*10^2*各项系数!$J$4</f>
        <v>0.199523254510093</v>
      </c>
      <c r="HY71" s="397">
        <v>1</v>
      </c>
      <c r="HZ71" s="397">
        <f t="shared" si="283"/>
        <v>0.199523254510093</v>
      </c>
      <c r="IA71" s="397">
        <f>HZ71*(VLOOKUP($HX$9,各项系数!$D$1:$F$143,2,0))</f>
        <v>2.19475579961102</v>
      </c>
      <c r="IB71" s="408">
        <f>各项系数!$F$76/4*($MW71^2-$MT71^2)*10^-2*(VLOOKUP($IB$9,各项系数!$D$1:$F$143,3,0))*10^-3*10^2*各项系数!$J$4</f>
        <v>0.200846629052587</v>
      </c>
      <c r="IC71" s="397">
        <v>1</v>
      </c>
      <c r="ID71" s="397">
        <f t="shared" si="284"/>
        <v>0.200846629052587</v>
      </c>
      <c r="IE71" s="397">
        <f>ID71*(VLOOKUP($IB$9,各项系数!$D$1:$F$143,2,0))</f>
        <v>2.20931291957846</v>
      </c>
      <c r="IF71" s="395"/>
      <c r="IG71" s="408">
        <f t="shared" si="148"/>
        <v>0.0430526561400525</v>
      </c>
      <c r="IH71" s="396">
        <v>1</v>
      </c>
      <c r="II71" s="397">
        <f t="shared" si="285"/>
        <v>0.0430526561400525</v>
      </c>
      <c r="IJ71" s="397">
        <f>II71*(VLOOKUP($IG$8,各项系数!$D$1:$F$143,2,0))</f>
        <v>1.07631640350131</v>
      </c>
      <c r="IK71" s="408">
        <f>(各项系数!$F$76/4*($MX71^2-$MK71^2)*$EG71)*10^-2*(VLOOKUP($IG$8,各项系数!$D$1:$F$143,3,0))*10^-3*10^2*各项系数!$J$4</f>
        <v>0.0430526561400525</v>
      </c>
      <c r="IL71" s="396">
        <f>IK71*(VLOOKUP($IG$8,各项系数!$D$1:$F$143,2,0))</f>
        <v>1.07631640350131</v>
      </c>
      <c r="IM71" s="397">
        <f>(各项系数!$F$76/4*(($MM71+3*$X71)^2-MM71^2)*$EO71)*10^-2*(VLOOKUP($IG$8,各项系数!$D$1:$F$143,3,0))*10^-3*10^2*各项系数!$J$4</f>
        <v>0</v>
      </c>
      <c r="IN71" s="396">
        <f>IM71*(VLOOKUP($IG$8,各项系数!$D$1:$F$143,2,0))</f>
        <v>0</v>
      </c>
      <c r="IO71" s="408">
        <f>各项系数!$F$76/4*($MZ71^2-$MX71^2)*10^-2*(VLOOKUP(L71,各项系数!$D$1:$F$143,3,0))*10^-3*10^2*$ES71*各项系数!$J$4</f>
        <v>0.109570047556525</v>
      </c>
      <c r="IP71" s="396">
        <v>1</v>
      </c>
      <c r="IQ71" s="397">
        <f t="shared" si="286"/>
        <v>0.109570047556525</v>
      </c>
      <c r="IR71" s="372">
        <f>IQ71*(VLOOKUP(L71,各项系数!$D$1:$F$143,2,0))</f>
        <v>1.11761448507655</v>
      </c>
      <c r="IS71" s="408">
        <f>IF($L71&lt;&gt;$IS$9,0,各项系数!$F$76/4*($MZ71^2-$MX71^2)*10^-2*各项系数!$F$12*10^-3*10^2)*$ES71*各项系数!$J$4</f>
        <v>0</v>
      </c>
      <c r="IT71" s="396">
        <v>1</v>
      </c>
      <c r="IU71" s="397">
        <f t="shared" si="287"/>
        <v>0</v>
      </c>
      <c r="IV71" s="372">
        <f>IU71*各项系数!$E$12</f>
        <v>0</v>
      </c>
      <c r="IW71" s="395">
        <f t="shared" si="288"/>
        <v>0.109570047556525</v>
      </c>
      <c r="IX71" s="395">
        <f t="shared" si="289"/>
        <v>1.11761448507655</v>
      </c>
      <c r="IY71" s="447">
        <f>各项系数!$F$76/4*($NB71^2-$MZ71^2*$EG71-$NA71^2*$EO71)*10^-2</f>
        <v>1.38648987932164</v>
      </c>
      <c r="IZ71" s="366">
        <f t="shared" si="231"/>
        <v>1</v>
      </c>
      <c r="JA71" s="367">
        <f t="shared" si="64"/>
        <v>1.38648987932164</v>
      </c>
      <c r="JB71" s="371">
        <f>IF($DE71&lt;&gt;$JB$9,0,$JA71*各项系数!$F$32*10^-3*10^2)*各项系数!$J$4</f>
        <v>0</v>
      </c>
      <c r="JC71" s="127">
        <v>1</v>
      </c>
      <c r="JD71" s="95">
        <f t="shared" si="290"/>
        <v>0</v>
      </c>
      <c r="JE71" s="341">
        <f>JD71*各项系数!$E$32</f>
        <v>0</v>
      </c>
      <c r="JF71" s="364">
        <f>IF($DE71&lt;&gt;$JF$9,0,$JA71*VLOOKUP($JF$9,各项系数!$D$4:$F$540,2,0)*10^-3*10^2)*各项系数!$J$4</f>
        <v>0.689778714962517</v>
      </c>
      <c r="JG71" s="123">
        <v>1</v>
      </c>
      <c r="JH71" s="251">
        <f t="shared" si="66"/>
        <v>0.689778714962517</v>
      </c>
      <c r="JI71" s="339">
        <f>JH71*VLOOKUP($JF$9,各项系数!$D$4:$F$540,3,0)</f>
        <v>0.827734457955021</v>
      </c>
      <c r="JJ71" s="371">
        <f t="shared" si="291"/>
        <v>0.689778714962517</v>
      </c>
      <c r="JK71" s="95">
        <f t="shared" si="292"/>
        <v>0.827734457955021</v>
      </c>
      <c r="JL71" s="371">
        <f>IF($DF71&lt;&gt;$JL$9,0,各项系数!$F$76/4*($NE71^2-$NC71^2)*10^-2*各项系数!$F$39*10^-3*10^2)*各项系数!$J$4</f>
        <v>0.00266913923524206</v>
      </c>
      <c r="JM71" s="127">
        <v>1</v>
      </c>
      <c r="JN71" s="95">
        <f t="shared" si="293"/>
        <v>0.00266913923524206</v>
      </c>
      <c r="JO71" s="341">
        <f>JN71*各项系数!$E$39</f>
        <v>0.0533827847048413</v>
      </c>
      <c r="JP71" s="371">
        <f>IF($DF71&lt;&gt;$JP$9,0,各项系数!$F$76/4*($NE71^2-$NC71^2)*10^-2*各项系数!$F$36*10^-3*10^2)*各项系数!$J$4</f>
        <v>0</v>
      </c>
      <c r="JQ71" s="127">
        <v>1</v>
      </c>
      <c r="JR71" s="95">
        <f t="shared" si="294"/>
        <v>0</v>
      </c>
      <c r="JS71" s="341">
        <f>JR71*各项系数!$E$36</f>
        <v>0</v>
      </c>
      <c r="JT71" s="371">
        <f>IF($DF71&lt;&gt;$JT$9,0,各项系数!$F$76/4*($NE71^2-$NC71^2)*10^-2*各项系数!$F$40*10^-3*10^2)*各项系数!$J$4</f>
        <v>0</v>
      </c>
      <c r="JU71" s="127">
        <v>1</v>
      </c>
      <c r="JV71" s="95">
        <f t="shared" si="295"/>
        <v>0</v>
      </c>
      <c r="JW71" s="341">
        <f>JV71*各项系数!$E$40</f>
        <v>0</v>
      </c>
      <c r="JX71" s="371">
        <f>IF($DF71&lt;&gt;$JX$9,0,各项系数!$F$76/4*($NE71^2-$NC71^2)*10^-2*各项系数!$F$38*10^-3*10^2)*各项系数!$J$4</f>
        <v>0</v>
      </c>
      <c r="JY71" s="127">
        <v>1</v>
      </c>
      <c r="JZ71" s="95">
        <f t="shared" si="296"/>
        <v>0</v>
      </c>
      <c r="KA71" s="341">
        <f>JZ71*各项系数!$E$38</f>
        <v>0</v>
      </c>
      <c r="KB71" s="371">
        <f>IF($DF71&lt;&gt;$KB$9,0,各项系数!$F$76/4*($NE71^2-$NC71^2)*10^-2*各项系数!$F$41*10^-3*10^2)*各项系数!$J$4</f>
        <v>0</v>
      </c>
      <c r="KC71" s="127">
        <v>1</v>
      </c>
      <c r="KD71" s="95">
        <f t="shared" si="297"/>
        <v>0</v>
      </c>
      <c r="KE71" s="341">
        <f>KD71*各项系数!$E$41</f>
        <v>0</v>
      </c>
      <c r="KF71" s="95">
        <f t="shared" si="298"/>
        <v>0.00266913923524206</v>
      </c>
      <c r="KG71" s="95">
        <f t="shared" si="299"/>
        <v>0.0533827847048413</v>
      </c>
      <c r="KH71" s="304">
        <f>各项系数!$F$76/4*($NG71^2-$NE71^2)*10^-2*各项系数!$F$44*10^-3*10^2*各项系数!$J$4*0.75*$U71</f>
        <v>0.265528355299516</v>
      </c>
      <c r="KI71" s="127">
        <v>1</v>
      </c>
      <c r="KJ71" s="95">
        <f t="shared" si="300"/>
        <v>0.265528355299516</v>
      </c>
      <c r="KK71" s="95">
        <f>ROUND(KJ71*各项系数!$E$43,GT71)</f>
        <v>2</v>
      </c>
      <c r="KL71" s="302">
        <f>各项系数!$F$76/4*($NF71^2-$NE71^2)*10^-2*各项系数!$F$46*10^-3*10^2*各项系数!$J$4*PI()/4*R71</f>
        <v>0.0334108091477791</v>
      </c>
      <c r="KM71" s="127">
        <v>1</v>
      </c>
      <c r="KN71" s="95">
        <f t="shared" si="301"/>
        <v>0.0334108091477791</v>
      </c>
      <c r="KO71" s="95">
        <f>KN71*各项系数!$E$46</f>
        <v>2.25522961747509</v>
      </c>
      <c r="KP71" s="304">
        <f>各项系数!$F$76/4*($NH71^2-$NE71^2)*10^-2*(VLOOKUP($KP$9,各项系数!$D$1:$F$143,3,0))*10^-3*10^2*各项系数!$J$4</f>
        <v>0.209177027915192</v>
      </c>
      <c r="KQ71" s="127">
        <v>1</v>
      </c>
      <c r="KR71" s="95">
        <f t="shared" si="150"/>
        <v>0.209177027915192</v>
      </c>
      <c r="KS71" s="95">
        <f>KR71*(VLOOKUP($KP$9,各项系数!$D$1:$F$143,2,0))</f>
        <v>3.55600947455827</v>
      </c>
      <c r="KT71" s="304">
        <f>各项系数!$F$76/4*($NI71^2-$NF71^2)*10^-2*(VLOOKUP($KT$9,各项系数!$D$1:$F$143,3,0))*10^-3*10^2*各项系数!$J$4</f>
        <v>0.210482397361871</v>
      </c>
      <c r="KU71" s="127">
        <v>1</v>
      </c>
      <c r="KV71" s="95">
        <f t="shared" si="151"/>
        <v>0.210482397361871</v>
      </c>
      <c r="KW71" s="95">
        <f>KV71*(VLOOKUP($KT$9,各项系数!$D$1:$F$143,2,0))</f>
        <v>3.5782007551518</v>
      </c>
      <c r="KX71" s="95">
        <f>各项系数!$F$76/4*($NH71^2-$NE71^2)*10^-2*(VLOOKUP($KX$9,各项系数!$D$1:$F$143,3,0))*10^-3*10^2*各项系数!$J$4</f>
        <v>0.209177027915192</v>
      </c>
      <c r="KY71" s="481">
        <v>1</v>
      </c>
      <c r="KZ71" s="95">
        <f t="shared" si="152"/>
        <v>0.209177027915192</v>
      </c>
      <c r="LA71" s="95">
        <f>KZ71*(VLOOKUP($KX$9,各项系数!$D$1:$F$143,2,0))</f>
        <v>3.55600947455827</v>
      </c>
      <c r="LB71" s="95">
        <f>各项系数!$F$76/4*($NI71^2-$NF71^2)*10^-2*(VLOOKUP($LB$9,各项系数!$D$1:$F$143,3,0))*10^-3*10^2*各项系数!$J$4</f>
        <v>0.210482397361871</v>
      </c>
      <c r="LC71" s="481">
        <v>1</v>
      </c>
      <c r="LD71" s="95">
        <f t="shared" si="153"/>
        <v>0.210482397361871</v>
      </c>
      <c r="LE71" s="95">
        <f>LD71*(VLOOKUP($LB$9,各项系数!$D$1:$F$143,2,0))</f>
        <v>3.5782007551518</v>
      </c>
      <c r="LF71" s="304">
        <f>各项系数!$F$76/4*($NH71^2-$NE71^2)*10^-2*(VLOOKUP(AN71,各项系数!$D$1:$F$143,3,0))*10^-3*10^2*各项系数!$J$4</f>
        <v>0.212062228300229</v>
      </c>
      <c r="LG71" s="127">
        <v>1</v>
      </c>
      <c r="LH71" s="95">
        <f t="shared" si="302"/>
        <v>0.212062228300229</v>
      </c>
      <c r="LI71" s="95">
        <f>LH71*(VLOOKUP(AN71,各项系数!$D$1:$F$143,2,0))</f>
        <v>2.12062228300229</v>
      </c>
      <c r="LJ71" s="304">
        <f>各项系数!$F$76/4*($NI71^2-$NF71^2)*10^-2*(VLOOKUP(AN71,各项系数!$D$1:$F$143,3,0))*10^-3*10^2*各项系数!$J$4</f>
        <v>0.213385602842724</v>
      </c>
      <c r="LK71" s="127">
        <v>1</v>
      </c>
      <c r="LL71" s="95">
        <f t="shared" si="303"/>
        <v>0.213385602842724</v>
      </c>
      <c r="LM71" s="95">
        <f>LL71*(VLOOKUP(AN71,各项系数!$D$1:$F$143,2,0))</f>
        <v>2.13385602842724</v>
      </c>
      <c r="LN71" s="95">
        <f>各项系数!$F$76/4*($NH71^2-$NE71^2)*10^-2*(VLOOKUP($LN$9,各项系数!$D$1:$F$143,3,0))*10^-3*10^2*各项系数!$J$4</f>
        <v>0.212062228300229</v>
      </c>
      <c r="LO71" s="481">
        <v>1</v>
      </c>
      <c r="LP71" s="95">
        <f t="shared" si="304"/>
        <v>0.212062228300229</v>
      </c>
      <c r="LQ71" s="95">
        <f>LP71*(VLOOKUP($LN$9,各项系数!$D$1:$F$143,2,0))</f>
        <v>2.33268451130252</v>
      </c>
      <c r="LR71" s="95">
        <f>各项系数!$F$76/4*($NI71^2-$NF71^2)*10^-2*(VLOOKUP($LR$9,各项系数!$D$1:$F$143,3,0))*10^-3*10^2*各项系数!$J$4</f>
        <v>0.213385602842724</v>
      </c>
      <c r="LS71" s="481">
        <v>1</v>
      </c>
      <c r="LT71" s="95">
        <f t="shared" si="305"/>
        <v>0.213385602842724</v>
      </c>
      <c r="LU71" s="95">
        <f>LT71*(VLOOKUP($LR$9,各项系数!$D$1:$F$143,2,0))</f>
        <v>2.34724163126996</v>
      </c>
      <c r="LV71" s="501">
        <f t="shared" si="154"/>
        <v>169.79240507</v>
      </c>
      <c r="LW71" s="501">
        <f t="shared" si="155"/>
        <v>132.0607595</v>
      </c>
      <c r="LX71" s="501">
        <f t="shared" si="156"/>
        <v>12.9670729659071</v>
      </c>
      <c r="LY71" s="519">
        <f t="shared" si="157"/>
        <v>37.73164557</v>
      </c>
      <c r="LZ71" s="516">
        <f t="shared" si="86"/>
        <v>1</v>
      </c>
      <c r="MA71" s="517">
        <f t="shared" si="87"/>
        <v>169.79240507</v>
      </c>
      <c r="MB71" s="501">
        <f t="shared" si="158"/>
        <v>7.35163935</v>
      </c>
      <c r="MC71" s="501">
        <f t="shared" si="159"/>
        <v>0</v>
      </c>
      <c r="MD71" s="501">
        <f t="shared" si="160"/>
        <v>0</v>
      </c>
      <c r="ME71" s="501">
        <f t="shared" si="161"/>
        <v>0</v>
      </c>
      <c r="MF71" s="501">
        <f t="shared" si="162"/>
        <v>0</v>
      </c>
      <c r="MG71" s="527">
        <f t="shared" si="163"/>
        <v>1</v>
      </c>
      <c r="MH71" s="517">
        <f t="shared" si="88"/>
        <v>0</v>
      </c>
      <c r="MI71" s="501">
        <f t="shared" si="164"/>
        <v>0</v>
      </c>
      <c r="MJ71" s="95">
        <f t="shared" si="89"/>
        <v>7.35163935</v>
      </c>
      <c r="MK71" s="95">
        <f t="shared" si="165"/>
        <v>7.35163935</v>
      </c>
      <c r="ML71" s="95">
        <f t="shared" si="306"/>
        <v>0</v>
      </c>
      <c r="MM71" s="95">
        <f t="shared" si="91"/>
        <v>0</v>
      </c>
      <c r="MN71" s="95">
        <f t="shared" si="92"/>
        <v>9.15163935</v>
      </c>
      <c r="MO71" s="251">
        <f t="shared" si="166"/>
        <v>0</v>
      </c>
      <c r="MP71" s="95">
        <f t="shared" si="167"/>
        <v>22.14696723</v>
      </c>
      <c r="MQ71" s="95">
        <f t="shared" si="307"/>
        <v>22.14696723</v>
      </c>
      <c r="MR71" s="314">
        <f t="shared" si="168"/>
        <v>22.14696723</v>
      </c>
      <c r="MS71" s="530">
        <f t="shared" si="94"/>
        <v>22.32296723</v>
      </c>
      <c r="MT71" s="532">
        <f t="shared" si="95"/>
        <v>22.48296723</v>
      </c>
      <c r="MU71" s="532">
        <f t="shared" si="232"/>
        <v>22.92296723</v>
      </c>
      <c r="MV71" s="532">
        <f t="shared" si="97"/>
        <v>25.92296723</v>
      </c>
      <c r="MW71" s="532">
        <f t="shared" si="98"/>
        <v>26.08296723</v>
      </c>
      <c r="MX71" s="314">
        <f t="shared" si="233"/>
        <v>7.95163935</v>
      </c>
      <c r="MY71" s="314">
        <f t="shared" si="100"/>
        <v>0</v>
      </c>
      <c r="MZ71" s="95">
        <f t="shared" si="101"/>
        <v>9.75163935</v>
      </c>
      <c r="NA71" s="95">
        <f t="shared" si="102"/>
        <v>0</v>
      </c>
      <c r="NB71" s="95">
        <f t="shared" si="169"/>
        <v>23.59896723</v>
      </c>
      <c r="NC71" s="314">
        <f t="shared" si="308"/>
        <v>23.59896723</v>
      </c>
      <c r="ND71" s="314">
        <f t="shared" si="234"/>
        <v>23.59896723</v>
      </c>
      <c r="NE71" s="537">
        <f t="shared" si="235"/>
        <v>23.83896723</v>
      </c>
      <c r="NF71" s="532">
        <f t="shared" si="106"/>
        <v>23.99896723</v>
      </c>
      <c r="NG71" s="180">
        <f t="shared" si="236"/>
        <v>24.43896723</v>
      </c>
      <c r="NH71" s="314">
        <f t="shared" si="108"/>
        <v>27.43896723</v>
      </c>
      <c r="NI71" s="532">
        <f t="shared" si="109"/>
        <v>27.59896723</v>
      </c>
      <c r="NK71" s="541">
        <f t="shared" si="110"/>
        <v>1.63452311600632</v>
      </c>
      <c r="NL71" s="541">
        <f t="shared" si="111"/>
        <v>80.9080892308613</v>
      </c>
      <c r="NM71" s="541">
        <f t="shared" si="112"/>
        <v>1.63452311600632</v>
      </c>
      <c r="NN71" s="541">
        <f t="shared" si="113"/>
        <v>81.1076124853714</v>
      </c>
      <c r="NO71" s="541">
        <f t="shared" si="114"/>
        <v>2.23813249141192</v>
      </c>
      <c r="NP71" s="541">
        <f t="shared" si="115"/>
        <v>82.5511511059768</v>
      </c>
      <c r="NQ71" s="541">
        <f t="shared" si="116"/>
        <v>2.23813249141192</v>
      </c>
      <c r="NR71" s="541">
        <f t="shared" si="117"/>
        <v>82.763213334277</v>
      </c>
      <c r="NS71" s="541">
        <f t="shared" si="118"/>
        <v>1.66581632592078</v>
      </c>
      <c r="NT71" s="541">
        <f t="shared" si="119"/>
        <v>1.66581632592078</v>
      </c>
      <c r="NU71" s="541">
        <f t="shared" si="120"/>
        <v>2.2715433005597</v>
      </c>
      <c r="NV71" s="541">
        <f t="shared" si="121"/>
        <v>2.2715433005597</v>
      </c>
      <c r="NW71" s="11">
        <f t="shared" si="122"/>
        <v>1.80042469810635</v>
      </c>
      <c r="NX71" s="11">
        <f>各项系数!$M$9*NK71</f>
        <v>0.490356934801896</v>
      </c>
      <c r="NY71" s="11">
        <f t="shared" si="123"/>
        <v>1.66581632592078</v>
      </c>
    </row>
    <row r="72" s="11" customFormat="1" customHeight="1" spans="1:389">
      <c r="A72" s="81"/>
      <c r="B72" s="82"/>
      <c r="C72" s="83"/>
      <c r="D72" s="74" t="s">
        <v>237</v>
      </c>
      <c r="E72" s="550">
        <f t="shared" si="325"/>
        <v>31.90991044</v>
      </c>
      <c r="F72" s="84">
        <f>$F$24</f>
        <v>238.573455311777</v>
      </c>
      <c r="G72" s="74"/>
      <c r="H72" s="23"/>
      <c r="I72" s="78"/>
      <c r="J72" s="78"/>
      <c r="K72" s="23"/>
      <c r="L72" s="128" t="s">
        <v>467</v>
      </c>
      <c r="M72" s="119">
        <f t="shared" si="2"/>
        <v>1</v>
      </c>
      <c r="N72" s="119">
        <f t="shared" si="252"/>
        <v>0</v>
      </c>
      <c r="O72" s="74">
        <f t="shared" si="326"/>
        <v>0.08</v>
      </c>
      <c r="P72" s="120">
        <v>0.1</v>
      </c>
      <c r="Q72" s="165">
        <f t="shared" si="322"/>
        <v>0.1</v>
      </c>
      <c r="R72" s="182">
        <v>0.8</v>
      </c>
      <c r="S72" s="173" t="str">
        <f>各项系数!$D$43</f>
        <v>钢带</v>
      </c>
      <c r="T72" s="78">
        <v>0.2</v>
      </c>
      <c r="U72" s="78">
        <v>2</v>
      </c>
      <c r="V72" s="172"/>
      <c r="W72" s="174">
        <v>1.9</v>
      </c>
      <c r="X72" s="168">
        <f t="shared" si="323"/>
        <v>0.2</v>
      </c>
      <c r="Y72" s="221"/>
      <c r="Z72" s="222"/>
      <c r="AA72" s="223">
        <f>$AA$24</f>
        <v>1.011</v>
      </c>
      <c r="AB72" s="186">
        <f>PI()*EJ72*EJ72/4*EH72*(1-H72)*AA72*各项系数!$F$5*各项系数!$J$4*10^-7</f>
        <v>0.399769926055488</v>
      </c>
      <c r="AC72" s="224">
        <f t="shared" si="327"/>
        <v>238.573455311777</v>
      </c>
      <c r="AD72" s="186">
        <f t="shared" si="5"/>
        <v>45.1944679590854</v>
      </c>
      <c r="AE72" s="186">
        <f>POWER(4*EU72/PI()/EG72/10^-7/EH72/(1-H72)/各项系数!$F$5/各项系数!$J$4,0.5)</f>
        <v>239.882020603408</v>
      </c>
      <c r="AF72" s="225">
        <v>1</v>
      </c>
      <c r="AG72" s="23">
        <f>IF(EM72=0,0,PI()*ER72*ER72/4*EP72*(1-K72)*(1+AF72)*各项系数!$F$5*各项系数!$J$4*10^-7)</f>
        <v>0</v>
      </c>
      <c r="AH72" s="23">
        <f t="shared" si="328"/>
        <v>0</v>
      </c>
      <c r="AI72" s="85">
        <f t="shared" si="128"/>
        <v>0</v>
      </c>
      <c r="AJ72" s="85">
        <f>IF(OR(EP72="",EP72=0),0,POWER(4*EW72/PI()/EO72/10^-7/EP72/(1-K72)/各项系数!$F$5/各项系数!$J$4,0.5))</f>
        <v>0</v>
      </c>
      <c r="AK72" s="23" t="str">
        <f t="shared" si="8"/>
        <v>√</v>
      </c>
      <c r="AL72" s="23">
        <f t="shared" si="329"/>
        <v>113.141669611085</v>
      </c>
      <c r="AM72" s="127">
        <f t="shared" si="330"/>
        <v>50</v>
      </c>
      <c r="AN72" s="128" t="s">
        <v>486</v>
      </c>
      <c r="AO72" s="176">
        <f>AP72+各项系数!$M$9*$NK72</f>
        <v>110.923205501064</v>
      </c>
      <c r="AP72" s="176">
        <f>AQ72*(1+$BI72+(VLOOKUP($AM72,$A$12:$B$323,2,0))+各项系数!$J$6+各项系数!$M$5)*(1+$E$2)</f>
        <v>110.249503337636</v>
      </c>
      <c r="AQ72" s="262">
        <f>AR72+各项系数!$L$9*$NK72</f>
        <v>112.49949320167</v>
      </c>
      <c r="AR72" s="262">
        <f>AS72*(1+$BJ72+各项系数!$J$5+各项系数!$L$5)</f>
        <v>111.825791038242</v>
      </c>
      <c r="AS72" s="262">
        <f t="shared" si="129"/>
        <v>109.633128468865</v>
      </c>
      <c r="AT72" s="176">
        <f>AU72+各项系数!$M$9*$NM72</f>
        <v>112.695927286683</v>
      </c>
      <c r="AU72" s="176">
        <f>AV72*(1+$BI72+(VLOOKUP($AM72,$A$12:$B$323,2,0))+各项系数!$J$6+各项系数!$M$5)*(1+$E$2)</f>
        <v>112.022225123255</v>
      </c>
      <c r="AV72" s="262">
        <f>AW72+各项系数!$L$9*$NM72</f>
        <v>114.308392982913</v>
      </c>
      <c r="AW72" s="262">
        <f>AX72*(1+$BJ72+各项系数!$J$5+各项系数!$L$5)</f>
        <v>113.634690819485</v>
      </c>
      <c r="AX72" s="262">
        <f t="shared" si="130"/>
        <v>111.406559626947</v>
      </c>
      <c r="AY72" s="176">
        <f>AZ72+各项系数!$M$9*$NS72</f>
        <v>113.617416219545</v>
      </c>
      <c r="AZ72" s="176">
        <f>BA72*(1+$BI72+(VLOOKUP($AM72,$A$12:$B$214,2,0))+各项系数!$J$6+各项系数!$M$5)*(1+$E$2)</f>
        <v>112.931901074705</v>
      </c>
      <c r="BA72" s="262">
        <f>BB72+各项系数!$L$9*$NS72</f>
        <v>115.236633749699</v>
      </c>
      <c r="BB72" s="262">
        <f>BC72*(1+$BJ72+各项系数!$J$5+各项系数!$L$5)</f>
        <v>114.55111860486</v>
      </c>
      <c r="BC72" s="262">
        <f t="shared" si="131"/>
        <v>112.305018240059</v>
      </c>
      <c r="BD72" s="176">
        <f>BE72+各项系数!$M$9*$NS72</f>
        <v>115.399589399105</v>
      </c>
      <c r="BE72" s="176">
        <f>BF72*(1+$BI72+(VLOOKUP($AM72,$A$12:$B$214,2,0))+各项系数!$J$6+各项系数!$M$5)*(1+$E$2)</f>
        <v>114.714074254265</v>
      </c>
      <c r="BF72" s="262">
        <f>BG72+各项系数!$L$9*$NS72</f>
        <v>117.055177810474</v>
      </c>
      <c r="BG72" s="262">
        <f>BH72*(1+$BJ72+各项系数!$J$5+各项系数!$L$5)</f>
        <v>116.369662665635</v>
      </c>
      <c r="BH72" s="262">
        <f t="shared" si="132"/>
        <v>114.087904574152</v>
      </c>
      <c r="BI72" s="278"/>
      <c r="BJ72" s="279"/>
      <c r="BK72" s="95" t="s">
        <v>514</v>
      </c>
      <c r="BL72" s="176">
        <f>BM72+各项系数!$M$9*$NM72</f>
        <v>112.262077403689</v>
      </c>
      <c r="BM72" s="176">
        <f>BN72*(1+$CF72+(VLOOKUP($AM72,$A$12:$B$323,2,0))+各项系数!$J$6+各项系数!$M$5)*(1+$E$2)</f>
        <v>111.588375240261</v>
      </c>
      <c r="BN72" s="262">
        <f>BO72+各项系数!$L$9*$NM72</f>
        <v>113.865689020675</v>
      </c>
      <c r="BO72" s="262">
        <f>BP72*(1+$CG72+各项系数!$J$5+各项系数!$L$5)</f>
        <v>113.191986857247</v>
      </c>
      <c r="BP72" s="262">
        <f t="shared" si="133"/>
        <v>109.895132871114</v>
      </c>
      <c r="BQ72" s="176">
        <f>BR72+各项系数!$M$9*$NM72</f>
        <v>113.787711571027</v>
      </c>
      <c r="BR72" s="176">
        <f>BS72*(1+$CF72+(VLOOKUP($AM72,$A$12:$B$323,2,0))+各项系数!$J$6+各项系数!$M$5)*(1+$E$2)</f>
        <v>113.114009407599</v>
      </c>
      <c r="BS72" s="262">
        <f>BT72+各项系数!$L$9*$NM72</f>
        <v>115.422458579183</v>
      </c>
      <c r="BT72" s="262">
        <f>BU72*(1+$CG72+各项系数!$J$5+各项系数!$L$5)</f>
        <v>114.748756415755</v>
      </c>
      <c r="BU72" s="262">
        <f t="shared" si="134"/>
        <v>111.406559626947</v>
      </c>
      <c r="BV72" s="176">
        <f>BW72+各项系数!$M$9*$NT72</f>
        <v>114.320175961244</v>
      </c>
      <c r="BW72" s="176">
        <f>BX72*(1+$CF72+(VLOOKUP($AM72,$A$12:$B$214,2,0))+各项系数!$J$6+各项系数!$M$5)*(1+$E$2)</f>
        <v>113.634660816404</v>
      </c>
      <c r="BX72" s="262">
        <f>BY72+各项系数!$L$9*$NT$12</f>
        <v>115.953735526943</v>
      </c>
      <c r="BY72" s="262">
        <f>BZ72*(1+$CG72+各项系数!$J$5+各项系数!$L$5)</f>
        <v>115.945472123788</v>
      </c>
      <c r="BZ72" s="262">
        <f t="shared" si="11"/>
        <v>112.568419537658</v>
      </c>
      <c r="CA72" s="176">
        <f>CB72+各项系数!$M$9*$NT72</f>
        <v>115.85394415708</v>
      </c>
      <c r="CB72" s="176">
        <f>CC72*(1+$CF72+(VLOOKUP($AM72,$A$12:$B$214,2,0))+各项系数!$J$6+各项系数!$M$5)*(1+$E$2)</f>
        <v>115.168429012241</v>
      </c>
      <c r="CC72" s="262">
        <f>CD72+各项系数!$L$9*$NT$12</f>
        <v>117.518805114531</v>
      </c>
      <c r="CD72" s="262">
        <f>CE72*(1+$CG72+各项系数!$J$5+各项系数!$L$5)</f>
        <v>117.510541711376</v>
      </c>
      <c r="CE72" s="262">
        <f t="shared" si="135"/>
        <v>114.087904574152</v>
      </c>
      <c r="CF72" s="278">
        <f t="shared" si="136"/>
        <v>0</v>
      </c>
      <c r="CG72" s="278">
        <f t="shared" si="12"/>
        <v>0.01</v>
      </c>
      <c r="CH72" s="127"/>
      <c r="CI72" s="176">
        <f>CJ72+各项系数!$M$9*$NO72</f>
        <v>114.293336439443</v>
      </c>
      <c r="CJ72" s="176">
        <f>CK72*(1+$DC72+(VLOOKUP($AM72,$A$12:$B$323,2,0))+各项系数!$J$6+各项系数!$M$5)*(1+$E$2)+各项系数!$M$9*$NK72</f>
        <v>113.346586391655</v>
      </c>
      <c r="CK72" s="262">
        <f>CL72+各项系数!$L$9*$NO72</f>
        <v>114.97233084513</v>
      </c>
      <c r="CL72" s="262">
        <f>CM72*(1+$DD72+各项系数!$J$5+各项系数!$L$5)</f>
        <v>114.025580797343</v>
      </c>
      <c r="CM72" s="262">
        <f t="shared" si="13"/>
        <v>111.789785095434</v>
      </c>
      <c r="CN72" s="176">
        <f>CO72+各项系数!$M$9*$NO72</f>
        <v>115.933755332944</v>
      </c>
      <c r="CO72" s="176">
        <f>CP72*(1+$DC72+(VLOOKUP($AM72,$A$12:$B$323,2,0))+各项系数!$J$6+各项系数!$M$5)*(1+$E$2)+各项系数!$M$9*$NK72</f>
        <v>114.987005285156</v>
      </c>
      <c r="CP72" s="262">
        <f>CQ72+各项系数!$L$9*$NO72</f>
        <v>116.646227675233</v>
      </c>
      <c r="CQ72" s="262">
        <f>CR72*(1+$DD72+各项系数!$J$5+各项系数!$L$5)</f>
        <v>115.699477627446</v>
      </c>
      <c r="CR72" s="262">
        <f t="shared" si="14"/>
        <v>113.430860419065</v>
      </c>
      <c r="CS72" s="176">
        <f>CT72+各项系数!$M$9*$NU72</f>
        <v>116.457983621511</v>
      </c>
      <c r="CT72" s="176">
        <f t="shared" si="15"/>
        <v>115.498785312541</v>
      </c>
      <c r="CU72" s="262">
        <f>CV72+各项系数!$L$9*$NU72</f>
        <v>117.855903380144</v>
      </c>
      <c r="CV72" s="262">
        <f>CW72*(1+$DD72+各项系数!$J$5+各项系数!$L$5)</f>
        <v>116.896705071175</v>
      </c>
      <c r="CW72" s="262">
        <f t="shared" si="16"/>
        <v>114.604612814877</v>
      </c>
      <c r="CX72" s="176">
        <f>CY72+各项系数!$M$9*$NU72</f>
        <v>118.32970875866</v>
      </c>
      <c r="CY72" s="176">
        <f t="shared" si="17"/>
        <v>117.370510449691</v>
      </c>
      <c r="CZ72" s="262">
        <f>DA72+各项系数!$L$9*$NU72</f>
        <v>119.76582698948</v>
      </c>
      <c r="DA72" s="262">
        <f>DB72*(1+$DD72+各项系数!$J$5+各项系数!$L$5)</f>
        <v>118.806628680511</v>
      </c>
      <c r="DB72" s="262">
        <f t="shared" si="18"/>
        <v>116.477086941677</v>
      </c>
      <c r="DC72" s="278">
        <f t="shared" si="137"/>
        <v>0</v>
      </c>
      <c r="DD72" s="278">
        <f t="shared" si="19"/>
        <v>0</v>
      </c>
      <c r="DE72" s="95" t="s">
        <v>498</v>
      </c>
      <c r="DF72" s="95" t="s">
        <v>513</v>
      </c>
      <c r="DG72" s="176">
        <f>DH72+各项系数!$M$9*$NQ72</f>
        <v>115.666703574938</v>
      </c>
      <c r="DH72" s="176">
        <f>DI72*(1+$EA72+(VLOOKUP($AM72,$A$12:$B$323,2,0))+各项系数!$J$6+各项系数!$M$5)*(1+$E$2)+各项系数!$M$9*$NK72</f>
        <v>114.719953527151</v>
      </c>
      <c r="DI72" s="262">
        <f>DJ72+各项系数!$L$9*$NQ72</f>
        <v>116.37372588135</v>
      </c>
      <c r="DJ72" s="262">
        <f>DK72*(1+$EB72+各项系数!$J$5+各项系数!$L$5)</f>
        <v>115.426975833562</v>
      </c>
      <c r="DK72" s="262">
        <f t="shared" si="20"/>
        <v>112.065025081129</v>
      </c>
      <c r="DL72" s="176">
        <f>DM72+各项系数!$M$9*$NQ72</f>
        <v>117.269407662304</v>
      </c>
      <c r="DM72" s="176">
        <f>DN72*(1+$EA72+(VLOOKUP($AM72,$A$12:$B$323,2,0))+各项系数!$J$6+各项系数!$M$5)*(1+$E$2)+各项系数!$M$9*$NK72</f>
        <v>116.322657614517</v>
      </c>
      <c r="DN72" s="262">
        <f>DO72+各项系数!$L$9*$NQ72</f>
        <v>118.009138215397</v>
      </c>
      <c r="DO72" s="262">
        <f>DP72*(1+$EB72+各项系数!$J$5+各项系数!$L$5)</f>
        <v>117.06238816761</v>
      </c>
      <c r="DP72" s="262">
        <f t="shared" si="21"/>
        <v>113.652804046223</v>
      </c>
      <c r="DQ72" s="176">
        <f>DR72+各项系数!$M$9*$NV72</f>
        <v>117.860346094823</v>
      </c>
      <c r="DR72" s="176">
        <f t="shared" si="22"/>
        <v>116.901147785854</v>
      </c>
      <c r="DS72" s="262">
        <f>DT72+各项系数!$L$9*$NV72</f>
        <v>119.286885495769</v>
      </c>
      <c r="DT72" s="262">
        <f>DU72*(1+$EB72+各项系数!$J$5+各项系数!$L$5)</f>
        <v>118.3276871868</v>
      </c>
      <c r="DU72" s="262">
        <f t="shared" si="23"/>
        <v>114.881249695922</v>
      </c>
      <c r="DV72" s="176">
        <f>DW72+各项系数!$M$9*$NV72</f>
        <v>117.893250247462</v>
      </c>
      <c r="DW72" s="176">
        <f t="shared" si="24"/>
        <v>116.934051938493</v>
      </c>
      <c r="DX72" s="262">
        <f>DY72+各项系数!$L$9*$NV72</f>
        <v>119.320461161727</v>
      </c>
      <c r="DY72" s="262">
        <f>DZ72*(1+$EB72+各项系数!$J$5+各项系数!$L$5)</f>
        <v>118.361262852758</v>
      </c>
      <c r="DZ72" s="262">
        <f t="shared" si="25"/>
        <v>114.913847429862</v>
      </c>
      <c r="EA72" s="278">
        <f t="shared" si="324"/>
        <v>0</v>
      </c>
      <c r="EB72" s="278">
        <f t="shared" si="27"/>
        <v>0.01</v>
      </c>
      <c r="EC72" s="302">
        <f t="shared" si="138"/>
        <v>4</v>
      </c>
      <c r="ED72" s="304" t="str">
        <f t="shared" si="331"/>
        <v>4*50</v>
      </c>
      <c r="EE72" s="95">
        <f t="shared" si="239"/>
        <v>50</v>
      </c>
      <c r="EF72" s="95" t="str">
        <f>LOOKUP(EH72,{1,7,10,14,19,24,30,37,48,61},{1,"1+6","2+8","4+10","1+6+12","2+8+14","4+10+16","1+6+12+18","3+9+15+21","1+6+12+18+24"})</f>
        <v>2+8</v>
      </c>
      <c r="EG72" s="127">
        <f t="shared" si="29"/>
        <v>4</v>
      </c>
      <c r="EH72" s="262">
        <f>VLOOKUP(EE72,各项系数!$B$87:$C$124,2,0)</f>
        <v>10</v>
      </c>
      <c r="EI72" s="127">
        <f>IF(EH72=0,0,VLOOKUP(EH72,各项系数!$D$142:$E$195,2,0))*1</f>
        <v>4</v>
      </c>
      <c r="EJ72" s="307">
        <f t="shared" si="141"/>
        <v>238.573455311777</v>
      </c>
      <c r="EK72" s="95">
        <f t="shared" si="332"/>
        <v>0</v>
      </c>
      <c r="EL72" s="95">
        <f t="shared" si="31"/>
        <v>0</v>
      </c>
      <c r="EM72" s="95">
        <f t="shared" si="333"/>
        <v>0</v>
      </c>
      <c r="EN72" s="95">
        <f>IF(EP72=0,0,LOOKUP(EP72,{1,7,10,14,19,24,30,37,48,61},{1,"1+6","2+8","4+10","1+6+12","2+8+14","4+10+16","1+6+12+18","3+9+15+21","1+6+12+18+24"}))</f>
        <v>0</v>
      </c>
      <c r="EO72" s="95">
        <f t="shared" si="334"/>
        <v>0</v>
      </c>
      <c r="EP72" s="95">
        <f>IF(EM72=0,0,IF(EM72&lt;10,1,IF(AND(EM72&gt;=10,EM72&lt;=35),7,LOOKUP(EM72,{50,70,95,120,150,185,240,300},{10,14,19,24,30,37,48,61})*1)))</f>
        <v>0</v>
      </c>
      <c r="EQ72" s="95">
        <f>IF(EP72=0,0,VLOOKUP(EP72,各项系数!$D$142:$E$195,2,0))*1</f>
        <v>0</v>
      </c>
      <c r="ER72" s="95">
        <f t="shared" si="335"/>
        <v>0</v>
      </c>
      <c r="ES72" s="304">
        <f t="shared" si="336"/>
        <v>4</v>
      </c>
      <c r="ET72" s="95">
        <f>VLOOKUP(ES72,各项系数!$D$142:$E$195,2,0)*1</f>
        <v>2.42</v>
      </c>
      <c r="EU72" s="311">
        <f>((各项系数!$F$76/4*$EJ72^2*$EG72*$EH72*1*10^-7)*(1-$H72)*AA72)*(VLOOKUP($EY$9,各项系数!$D$4:$F$143,3,0))*各项系数!$J$4</f>
        <v>1.59907970422195</v>
      </c>
      <c r="EV72" s="312">
        <f>EU72*(VLOOKUP($EY$9,各项系数!$D$4:$F$143,2,0))</f>
        <v>104.739720626538</v>
      </c>
      <c r="EW72" s="324">
        <f>(IF($EO72=0,0,(各项系数!$F$76/4*$ER72^2*$EO72*$EP72*1*10^-7))*(1-$K72)*$AF72)*(VLOOKUP($EY$9,各项系数!$D$4:$F$143,3,0))*各项系数!$J$4</f>
        <v>0</v>
      </c>
      <c r="EX72" s="325">
        <f>EW72*(VLOOKUP($EY$9,各项系数!$D$4:$F$143,2,0))</f>
        <v>0</v>
      </c>
      <c r="EY72" s="251">
        <f>((各项系数!$F$76/4*$EJ72^2*$EG72*$EH72*1*10^-7)*(1-$H72)*AA72+IF($EO72=0,0,(各项系数!$F$76/4*$ER72^2*$EO72*$EP72*1*10^-7))*(1-$K72)*$AF72)*(VLOOKUP($EY$9,各项系数!$D$4:$F$143,3,0))*各项系数!$J$4</f>
        <v>1.59907970422195</v>
      </c>
      <c r="EZ72" s="127">
        <v>1</v>
      </c>
      <c r="FA72" s="95">
        <f t="shared" si="268"/>
        <v>1.59907970422195</v>
      </c>
      <c r="FB72" s="314">
        <f>FA72*(VLOOKUP($EY$9,各项系数!$D$4:$F$143,2,0))</f>
        <v>104.739720626538</v>
      </c>
      <c r="FC72" s="329"/>
      <c r="FD72" s="304">
        <f>各项系数!$F$76/4*($MN72^2-MK72^2)*10^-2*(VLOOKUP(L72,各项系数!$D$1:$F$143,3,0))*10^-3*10^2*$EG72*各项系数!$J$4</f>
        <v>0.145006440085713</v>
      </c>
      <c r="FE72" s="341">
        <f>FD72*VLOOKUP(L72,各项系数!$D$1:$F$143,2,0)</f>
        <v>1.47906568887427</v>
      </c>
      <c r="FF72" s="127">
        <f>各项系数!$F$76/4*($MO72^2-ML72^2)*10^-2*(VLOOKUP(L72,各项系数!$D$1:$F$143,3,0))*10^-3*10^2*$EO72*各项系数!$J$4</f>
        <v>0</v>
      </c>
      <c r="FG72" s="341">
        <f>FF72*VLOOKUP(L72,各项系数!$D$1:$F$143,2,0)</f>
        <v>0</v>
      </c>
      <c r="FH72" s="304">
        <f t="shared" si="142"/>
        <v>0.145006440085713</v>
      </c>
      <c r="FI72" s="127">
        <v>1</v>
      </c>
      <c r="FJ72" s="95">
        <f t="shared" si="269"/>
        <v>0.145006440085713</v>
      </c>
      <c r="FK72" s="341">
        <f>FJ72*VLOOKUP(L72,各项系数!$D$1:$F$143,2,0)</f>
        <v>1.47906568887427</v>
      </c>
      <c r="FL72" s="304"/>
      <c r="FM72" s="127"/>
      <c r="FN72" s="95"/>
      <c r="FO72" s="341"/>
      <c r="FP72" s="371">
        <f t="shared" si="270"/>
        <v>0.145006440085713</v>
      </c>
      <c r="FQ72" s="371">
        <f t="shared" si="271"/>
        <v>1.47906568887427</v>
      </c>
      <c r="FR72" s="365">
        <f>各项系数!$F$76/4*($MQ72^2-$MN72^2*$EG72-$MO72^2*$EO72)*10^-2</f>
        <v>1.94264829691032</v>
      </c>
      <c r="FS72" s="366">
        <f t="shared" si="143"/>
        <v>1</v>
      </c>
      <c r="FT72" s="367">
        <f t="shared" si="40"/>
        <v>1.94264829691032</v>
      </c>
      <c r="FU72" s="395">
        <f>$FT72*(VLOOKUP($FT$9,各项系数!$D$1:$F$143,3,0))*10^-3*10^2*各项系数!$J$55</f>
        <v>0.231952206651092</v>
      </c>
      <c r="FV72" s="396">
        <v>1</v>
      </c>
      <c r="FW72" s="397">
        <f t="shared" si="272"/>
        <v>0.231952206651092</v>
      </c>
      <c r="FX72" s="372">
        <f>FW72*(VLOOKUP($FT$9,各项系数!$D$1:$F$143,2,0))</f>
        <v>0.695856619953277</v>
      </c>
      <c r="FY72" s="395">
        <f>IF($BK72&lt;&gt;$FY$9,0,各项系数!$F$76/4*($MS72^2-$MQ72^2)*10^-2*(VLOOKUP($FY$9,各项系数!$D$1:$F$143,3,0))*10^-3*10^2)*各项系数!$J$4</f>
        <v>0</v>
      </c>
      <c r="FZ72" s="396">
        <v>1</v>
      </c>
      <c r="GA72" s="397">
        <f t="shared" si="273"/>
        <v>0</v>
      </c>
      <c r="GB72" s="372">
        <f>GA72*(VLOOKUP($FY$9,各项系数!$D$1:$F$143,2,0))</f>
        <v>0</v>
      </c>
      <c r="GC72" s="395">
        <f>IF($BK72&lt;&gt;$GC$9,0,各项系数!$F$76/4*($MS72^2-$MQ72^2)*10^-2*(VLOOKUP($GC$9,各项系数!$D$1:$F$143,3,0))*10^-3*10^2)*各项系数!$J$4</f>
        <v>0.00763112488420349</v>
      </c>
      <c r="GD72" s="396">
        <v>1</v>
      </c>
      <c r="GE72" s="397">
        <f t="shared" si="274"/>
        <v>0.00763112488420349</v>
      </c>
      <c r="GF72" s="372">
        <f>GE72*(VLOOKUP($GC$9,各项系数!$D$1:$F$143,2,0))</f>
        <v>0.0984415110062251</v>
      </c>
      <c r="GG72" s="395">
        <f>IF($BK72&lt;&gt;$GG$9,0,各项系数!$F$76/4*($MS72^2-$MQ72^2)*10^-2*(VLOOKUP($GG$9,各项系数!$D$1:$F$143,3,0))*10^-3*10^2)*各项系数!$J$4</f>
        <v>0</v>
      </c>
      <c r="GH72" s="396">
        <v>1</v>
      </c>
      <c r="GI72" s="397">
        <f t="shared" si="275"/>
        <v>0</v>
      </c>
      <c r="GJ72" s="372">
        <f>GI72*(VLOOKUP($GG$9,各项系数!$D$1:$F$143,2,0))</f>
        <v>0</v>
      </c>
      <c r="GK72" s="395">
        <f>IF($BK72&lt;&gt;$GK$9,0,各项系数!$F$76/4*($MS72^2-$MQ72^2)*10^-2*(VLOOKUP($GK$9,各项系数!$D$1:$F$143,3,0))*10^-3*10^2)*各项系数!$J$4</f>
        <v>0</v>
      </c>
      <c r="GL72" s="396">
        <v>1</v>
      </c>
      <c r="GM72" s="397">
        <f t="shared" si="276"/>
        <v>0</v>
      </c>
      <c r="GN72" s="372">
        <f>GM72*(VLOOKUP($GK$9,各项系数!$D$1:$F$143,2,0))</f>
        <v>0</v>
      </c>
      <c r="GO72" s="397">
        <f t="shared" si="277"/>
        <v>0.00763112488420349</v>
      </c>
      <c r="GP72" s="397">
        <f t="shared" si="278"/>
        <v>0.0984415110062251</v>
      </c>
      <c r="GQ72" s="408">
        <f>各项系数!$F$76/4*($MU72^2-$MS72^2)*10^-2*(VLOOKUP($S72,各项系数!$D$1:$F$143,3,0))*10^-3*10^2*各项系数!$J$4</f>
        <v>0.208339120213464</v>
      </c>
      <c r="GR72" s="396">
        <v>1</v>
      </c>
      <c r="GS72" s="397">
        <f t="shared" si="279"/>
        <v>0.208339120213464</v>
      </c>
      <c r="GT72" s="397">
        <f t="shared" si="200"/>
        <v>0</v>
      </c>
      <c r="GU72" s="397">
        <f>ROUND($GS72*(VLOOKUP($S72,各项系数!$D$1:$F$143,2,0))+$E$3*GS72,GT72)</f>
        <v>1</v>
      </c>
      <c r="GV72" s="406">
        <f>各项系数!$F$76/4*($MT72^2-$MS72^2)*10^-2*(VLOOKUP($GV$9,各项系数!$D$1:$F$143,3,0))*10^-3*10^2*各项系数!$J$4*PI()/4*R72</f>
        <v>0.0393766047065163</v>
      </c>
      <c r="GW72" s="396">
        <v>1</v>
      </c>
      <c r="GX72" s="397">
        <f t="shared" si="280"/>
        <v>0.0393766047065163</v>
      </c>
      <c r="GY72" s="397">
        <f>$GX72*(VLOOKUP($GV$9,各项系数!$D$1:$F$143,2,0))</f>
        <v>2.65792081768985</v>
      </c>
      <c r="GZ72" s="408">
        <f>各项系数!$F$76/4*($MV72^2-$MS72^2)*10^-2*(VLOOKUP($GZ$9,各项系数!$D$1:$F$143,3,0))*10^-3*10^2*各项系数!$J$4</f>
        <v>0.258439716504407</v>
      </c>
      <c r="HA72" s="396">
        <v>1</v>
      </c>
      <c r="HB72" s="397">
        <f t="shared" si="144"/>
        <v>0.258439716504407</v>
      </c>
      <c r="HC72" s="397">
        <f>HB72*(VLOOKUP($GZ$9,各项系数!$D$1:$F$143,2,0))</f>
        <v>4.39347518057492</v>
      </c>
      <c r="HD72" s="408">
        <f>各项系数!$F$76/4*($MW72^2-$MT72^2)*10^-2*(VLOOKUP($HD$9,各项系数!$D$1:$F$143,3,0))*10^-3*10^2*各项系数!$J$4</f>
        <v>0.259817606475901</v>
      </c>
      <c r="HE72" s="396">
        <v>1</v>
      </c>
      <c r="HF72" s="397">
        <f t="shared" si="145"/>
        <v>0.259817606475901</v>
      </c>
      <c r="HG72" s="397">
        <f>HF72*(VLOOKUP($HD$9,各项系数!$D$1:$F$143,2,0))</f>
        <v>4.41689931009031</v>
      </c>
      <c r="HH72" s="408">
        <f>各项系数!$F$76/4*($MV72^2-$MS72^2)*10^-2*(VLOOKUP($HH$9,各项系数!$D$1:$F$143,3,0))*10^-3*10^2*各项系数!$J$4</f>
        <v>0.258439716504407</v>
      </c>
      <c r="HI72" s="397">
        <v>1</v>
      </c>
      <c r="HJ72" s="397">
        <f t="shared" si="146"/>
        <v>0.258439716504407</v>
      </c>
      <c r="HK72" s="397">
        <f>HJ72*(VLOOKUP($HH$9,各项系数!$D$1:$F$143,2,0))</f>
        <v>4.39347518057492</v>
      </c>
      <c r="HL72" s="408">
        <f>各项系数!$F$76/4*($MW72^2-$MT72^2)*10^-2*(VLOOKUP($HL$9,各项系数!$D$1:$F$143,3,0))*10^-3*10^2*各项系数!$J$4</f>
        <v>0.259817606475901</v>
      </c>
      <c r="HM72" s="397">
        <v>1</v>
      </c>
      <c r="HN72" s="397">
        <f t="shared" si="147"/>
        <v>0.259817606475901</v>
      </c>
      <c r="HO72" s="397">
        <f>HN72*(VLOOKUP($HL$9,各项系数!$D$1:$F$143,2,0))</f>
        <v>4.41689931009031</v>
      </c>
      <c r="HP72" s="408">
        <f>各项系数!$F$76/4*($MV72^2-$MS72^2)*10^-2*(VLOOKUP(AN72,各项系数!$D$1:$F$143,3,0))*10^-3*10^2*各项系数!$J$4</f>
        <v>0.262004402249295</v>
      </c>
      <c r="HQ72" s="396">
        <v>1</v>
      </c>
      <c r="HR72" s="397">
        <f t="shared" si="281"/>
        <v>0.262004402249295</v>
      </c>
      <c r="HS72" s="397">
        <f>HR72*(VLOOKUP(AN72,各项系数!$D$1:$F$143,2,0))</f>
        <v>2.62004402249295</v>
      </c>
      <c r="HT72" s="408">
        <f>各项系数!$F$76/4*($MW72^2-$MT72^2)*10^-2*(VLOOKUP(AN72,各项系数!$D$1:$F$143,3,0))*10^-3*10^2*各项系数!$J$4</f>
        <v>0.263401297599706</v>
      </c>
      <c r="HU72" s="396">
        <v>1</v>
      </c>
      <c r="HV72" s="397">
        <f t="shared" si="282"/>
        <v>0.263401297599706</v>
      </c>
      <c r="HW72" s="397">
        <f>HV72*(VLOOKUP(AN72,各项系数!$D$1:$F$143,2,0))</f>
        <v>2.63401297599706</v>
      </c>
      <c r="HX72" s="408">
        <f>各项系数!$F$76/4*($MV72^2-$MS72^2)*10^-2*(VLOOKUP($HX$9,各项系数!$D$1:$F$143,3,0))*10^-3*10^2*各项系数!$J$4</f>
        <v>0.262004402249295</v>
      </c>
      <c r="HY72" s="397">
        <v>1</v>
      </c>
      <c r="HZ72" s="397">
        <f t="shared" si="283"/>
        <v>0.262004402249295</v>
      </c>
      <c r="IA72" s="397">
        <f>HZ72*(VLOOKUP($HX$9,各项系数!$D$1:$F$143,2,0))</f>
        <v>2.88204842474225</v>
      </c>
      <c r="IB72" s="408">
        <f>各项系数!$F$76/4*($MW72^2-$MT72^2)*10^-2*(VLOOKUP($IB$9,各项系数!$D$1:$F$143,3,0))*10^-3*10^2*各项系数!$J$4</f>
        <v>0.263401297599706</v>
      </c>
      <c r="IC72" s="397">
        <v>1</v>
      </c>
      <c r="ID72" s="397">
        <f t="shared" si="284"/>
        <v>0.263401297599706</v>
      </c>
      <c r="IE72" s="397">
        <f>ID72*(VLOOKUP($IB$9,各项系数!$D$1:$F$143,2,0))</f>
        <v>2.89741427359677</v>
      </c>
      <c r="IF72" s="395"/>
      <c r="IG72" s="408">
        <f t="shared" si="148"/>
        <v>0.0553822016888953</v>
      </c>
      <c r="IH72" s="396">
        <v>1</v>
      </c>
      <c r="II72" s="397">
        <f t="shared" si="285"/>
        <v>0.0553822016888953</v>
      </c>
      <c r="IJ72" s="397">
        <f>II72*(VLOOKUP($IG$8,各项系数!$D$1:$F$143,2,0))</f>
        <v>1.38455504222238</v>
      </c>
      <c r="IK72" s="408">
        <f>(各项系数!$F$76/4*($MX72^2-$MK72^2)*$EG72)*10^-2*(VLOOKUP($IG$8,各项系数!$D$1:$F$143,3,0))*10^-3*10^2*各项系数!$J$4</f>
        <v>0.0553822016888953</v>
      </c>
      <c r="IL72" s="396">
        <f>IK72*(VLOOKUP($IG$8,各项系数!$D$1:$F$143,2,0))</f>
        <v>1.38455504222238</v>
      </c>
      <c r="IM72" s="397">
        <f>(各项系数!$F$76/4*(($MM72+3*$X72)^2-MM72^2)*$EO72)*10^-2*(VLOOKUP($IG$8,各项系数!$D$1:$F$143,3,0))*10^-3*10^2*各项系数!$J$4</f>
        <v>0</v>
      </c>
      <c r="IN72" s="396">
        <f>IM72*(VLOOKUP($IG$8,各项系数!$D$1:$F$143,2,0))</f>
        <v>0</v>
      </c>
      <c r="IO72" s="408">
        <f>各项系数!$F$76/4*($MZ72^2-$MX72^2)*10^-2*(VLOOKUP(L72,各项系数!$D$1:$F$143,3,0))*10^-3*10^2*$ES72*各项系数!$J$4</f>
        <v>0.153258775668163</v>
      </c>
      <c r="IP72" s="396">
        <v>1</v>
      </c>
      <c r="IQ72" s="397">
        <f t="shared" si="286"/>
        <v>0.153258775668163</v>
      </c>
      <c r="IR72" s="372">
        <f>IQ72*(VLOOKUP(L72,各项系数!$D$1:$F$143,2,0))</f>
        <v>1.56323951181526</v>
      </c>
      <c r="IS72" s="408">
        <f>IF($L72&lt;&gt;$IS$9,0,各项系数!$F$76/4*($MZ72^2-$MX72^2)*10^-2*各项系数!$F$12*10^-3*10^2)*$ES72*各项系数!$J$4</f>
        <v>0</v>
      </c>
      <c r="IT72" s="396">
        <v>1</v>
      </c>
      <c r="IU72" s="397">
        <f t="shared" si="287"/>
        <v>0</v>
      </c>
      <c r="IV72" s="372">
        <f>IU72*各项系数!$E$12</f>
        <v>0</v>
      </c>
      <c r="IW72" s="395">
        <f t="shared" si="288"/>
        <v>0.153258775668163</v>
      </c>
      <c r="IX72" s="395">
        <f t="shared" si="289"/>
        <v>1.56323951181526</v>
      </c>
      <c r="IY72" s="447">
        <f>各项系数!$F$76/4*($NB72^2-$MZ72^2*$EG72-$NA72^2*$EO72)*10^-2</f>
        <v>2.14985421245741</v>
      </c>
      <c r="IZ72" s="366">
        <f t="shared" si="231"/>
        <v>1</v>
      </c>
      <c r="JA72" s="367">
        <f t="shared" si="64"/>
        <v>2.14985421245741</v>
      </c>
      <c r="JB72" s="371">
        <f>IF($DE72&lt;&gt;$JB$9,0,$JA72*各项系数!$F$32*10^-3*10^2)*各项系数!$J$4</f>
        <v>0</v>
      </c>
      <c r="JC72" s="127">
        <v>1</v>
      </c>
      <c r="JD72" s="95">
        <f t="shared" si="290"/>
        <v>0</v>
      </c>
      <c r="JE72" s="341">
        <f>JD72*各项系数!$E$32</f>
        <v>0</v>
      </c>
      <c r="JF72" s="364">
        <f>IF($DE72&lt;&gt;$JF$9,0,$JA72*VLOOKUP($JF$9,各项系数!$D$4:$F$540,2,0)*10^-3*10^2)*各项系数!$J$4</f>
        <v>1.06955247069756</v>
      </c>
      <c r="JG72" s="123">
        <v>1</v>
      </c>
      <c r="JH72" s="251">
        <f t="shared" si="66"/>
        <v>1.06955247069756</v>
      </c>
      <c r="JI72" s="339">
        <f>JH72*VLOOKUP($JF$9,各项系数!$D$4:$F$540,3,0)</f>
        <v>1.28346296483707</v>
      </c>
      <c r="JJ72" s="371">
        <f t="shared" si="291"/>
        <v>1.06955247069756</v>
      </c>
      <c r="JK72" s="95">
        <f t="shared" si="292"/>
        <v>1.28346296483707</v>
      </c>
      <c r="JL72" s="371">
        <f>IF($DF72&lt;&gt;$JL$9,0,各项系数!$F$76/4*($NE72^2-$NC72^2)*10^-2*各项系数!$F$39*10^-3*10^2)*各项系数!$J$4</f>
        <v>0.00332035465386248</v>
      </c>
      <c r="JM72" s="127">
        <v>1</v>
      </c>
      <c r="JN72" s="95">
        <f t="shared" si="293"/>
        <v>0.00332035465386248</v>
      </c>
      <c r="JO72" s="341">
        <f>JN72*各项系数!$E$39</f>
        <v>0.0664070930772496</v>
      </c>
      <c r="JP72" s="371">
        <f>IF($DF72&lt;&gt;$JP$9,0,各项系数!$F$76/4*($NE72^2-$NC72^2)*10^-2*各项系数!$F$36*10^-3*10^2)*各项系数!$J$4</f>
        <v>0</v>
      </c>
      <c r="JQ72" s="127">
        <v>1</v>
      </c>
      <c r="JR72" s="95">
        <f t="shared" si="294"/>
        <v>0</v>
      </c>
      <c r="JS72" s="341">
        <f>JR72*各项系数!$E$36</f>
        <v>0</v>
      </c>
      <c r="JT72" s="371">
        <f>IF($DF72&lt;&gt;$JT$9,0,各项系数!$F$76/4*($NE72^2-$NC72^2)*10^-2*各项系数!$F$40*10^-3*10^2)*各项系数!$J$4</f>
        <v>0</v>
      </c>
      <c r="JU72" s="127">
        <v>1</v>
      </c>
      <c r="JV72" s="95">
        <f t="shared" si="295"/>
        <v>0</v>
      </c>
      <c r="JW72" s="341">
        <f>JV72*各项系数!$E$40</f>
        <v>0</v>
      </c>
      <c r="JX72" s="371">
        <f>IF($DF72&lt;&gt;$JX$9,0,各项系数!$F$76/4*($NE72^2-$NC72^2)*10^-2*各项系数!$F$38*10^-3*10^2)*各项系数!$J$4</f>
        <v>0</v>
      </c>
      <c r="JY72" s="127">
        <v>1</v>
      </c>
      <c r="JZ72" s="95">
        <f t="shared" si="296"/>
        <v>0</v>
      </c>
      <c r="KA72" s="341">
        <f>JZ72*各项系数!$E$38</f>
        <v>0</v>
      </c>
      <c r="KB72" s="371">
        <f>IF($DF72&lt;&gt;$KB$9,0,各项系数!$F$76/4*($NE72^2-$NC72^2)*10^-2*各项系数!$F$41*10^-3*10^2)*各项系数!$J$4</f>
        <v>0</v>
      </c>
      <c r="KC72" s="127">
        <v>1</v>
      </c>
      <c r="KD72" s="95">
        <f t="shared" si="297"/>
        <v>0</v>
      </c>
      <c r="KE72" s="341">
        <f>KD72*各项系数!$E$41</f>
        <v>0</v>
      </c>
      <c r="KF72" s="95">
        <f t="shared" si="298"/>
        <v>0.00332035465386248</v>
      </c>
      <c r="KG72" s="95">
        <f t="shared" si="299"/>
        <v>0.0664070930772496</v>
      </c>
      <c r="KH72" s="304">
        <f>各项系数!$F$76/4*($NG72^2-$NE72^2)*10^-2*各项系数!$F$44*10^-3*10^2*各项系数!$J$4*0.75*$U72</f>
        <v>0.329184662469665</v>
      </c>
      <c r="KI72" s="127">
        <v>1</v>
      </c>
      <c r="KJ72" s="95">
        <f t="shared" si="300"/>
        <v>0.329184662469665</v>
      </c>
      <c r="KK72" s="95">
        <f>ROUND(KJ72*各项系数!$E$43,GT72)</f>
        <v>2</v>
      </c>
      <c r="KL72" s="302">
        <f>各项系数!$F$76/4*($NF72^2-$NE72^2)*10^-2*各项系数!$F$46*10^-3*10^2*各项系数!$J$4*PI()/4*R72</f>
        <v>0.0414942039398356</v>
      </c>
      <c r="KM72" s="127">
        <v>1</v>
      </c>
      <c r="KN72" s="95">
        <f t="shared" si="301"/>
        <v>0.0414942039398356</v>
      </c>
      <c r="KO72" s="95">
        <f>KN72*各项系数!$E$46</f>
        <v>2.8008587659389</v>
      </c>
      <c r="KP72" s="304">
        <f>各项系数!$F$76/4*($NH72^2-$NE72^2)*10^-2*(VLOOKUP($KP$9,各项系数!$D$1:$F$143,3,0))*10^-3*10^2*各项系数!$J$4</f>
        <v>0.271495223984311</v>
      </c>
      <c r="KQ72" s="127">
        <v>1</v>
      </c>
      <c r="KR72" s="95">
        <f t="shared" si="150"/>
        <v>0.271495223984311</v>
      </c>
      <c r="KS72" s="95">
        <f>KR72*(VLOOKUP($KP$9,各项系数!$D$1:$F$143,2,0))</f>
        <v>4.61541880773329</v>
      </c>
      <c r="KT72" s="304">
        <f>各项系数!$F$76/4*($NI72^2-$NF72^2)*10^-2*(VLOOKUP($KT$9,各项系数!$D$1:$F$143,3,0))*10^-3*10^2*各项系数!$J$4</f>
        <v>0.272873113955805</v>
      </c>
      <c r="KU72" s="127">
        <v>1</v>
      </c>
      <c r="KV72" s="95">
        <f t="shared" si="151"/>
        <v>0.272873113955805</v>
      </c>
      <c r="KW72" s="95">
        <f>KV72*(VLOOKUP($KT$9,各项系数!$D$1:$F$143,2,0))</f>
        <v>4.63884293724869</v>
      </c>
      <c r="KX72" s="95">
        <f>各项系数!$F$76/4*($NH72^2-$NE72^2)*10^-2*(VLOOKUP($KX$9,各项系数!$D$1:$F$143,3,0))*10^-3*10^2*各项系数!$J$4</f>
        <v>0.271495223984311</v>
      </c>
      <c r="KY72" s="481">
        <v>1</v>
      </c>
      <c r="KZ72" s="95">
        <f t="shared" si="152"/>
        <v>0.271495223984311</v>
      </c>
      <c r="LA72" s="95">
        <f>KZ72*(VLOOKUP($KX$9,各项系数!$D$1:$F$143,2,0))</f>
        <v>4.61541880773329</v>
      </c>
      <c r="LB72" s="95">
        <f>各项系数!$F$76/4*($NI72^2-$NF72^2)*10^-2*(VLOOKUP($LB$9,各项系数!$D$1:$F$143,3,0))*10^-3*10^2*各项系数!$J$4</f>
        <v>0.272873113955805</v>
      </c>
      <c r="LC72" s="481">
        <v>1</v>
      </c>
      <c r="LD72" s="95">
        <f t="shared" si="153"/>
        <v>0.272873113955805</v>
      </c>
      <c r="LE72" s="95">
        <f>LD72*(VLOOKUP($LB$9,各项系数!$D$1:$F$143,2,0))</f>
        <v>4.63884293724869</v>
      </c>
      <c r="LF72" s="304">
        <f>各项系数!$F$76/4*($NH72^2-$NE72^2)*10^-2*(VLOOKUP(AN72,各项系数!$D$1:$F$143,3,0))*10^-3*10^2*各项系数!$J$4</f>
        <v>0.27523998569444</v>
      </c>
      <c r="LG72" s="127">
        <v>1</v>
      </c>
      <c r="LH72" s="95">
        <f t="shared" si="302"/>
        <v>0.27523998569444</v>
      </c>
      <c r="LI72" s="95">
        <f>LH72*(VLOOKUP(AN72,各项系数!$D$1:$F$143,2,0))</f>
        <v>2.7523998569444</v>
      </c>
      <c r="LJ72" s="304">
        <f>各项系数!$F$76/4*($NI72^2-$NF72^2)*10^-2*(VLOOKUP(AN72,各项系数!$D$1:$F$143,3,0))*10^-3*10^2*各项系数!$J$4</f>
        <v>0.276636881044851</v>
      </c>
      <c r="LK72" s="127">
        <v>1</v>
      </c>
      <c r="LL72" s="95">
        <f t="shared" si="303"/>
        <v>0.276636881044851</v>
      </c>
      <c r="LM72" s="95">
        <f>LL72*(VLOOKUP(AN72,各项系数!$D$1:$F$143,2,0))</f>
        <v>2.76636881044851</v>
      </c>
      <c r="LN72" s="95">
        <f>各项系数!$F$76/4*($NH72^2-$NE72^2)*10^-2*(VLOOKUP($LN$9,各项系数!$D$1:$F$143,3,0))*10^-3*10^2*各项系数!$J$4</f>
        <v>0.27523998569444</v>
      </c>
      <c r="LO72" s="481">
        <v>1</v>
      </c>
      <c r="LP72" s="95">
        <f t="shared" si="304"/>
        <v>0.27523998569444</v>
      </c>
      <c r="LQ72" s="95">
        <f>LP72*(VLOOKUP($LN$9,各项系数!$D$1:$F$143,2,0))</f>
        <v>3.02763984263884</v>
      </c>
      <c r="LR72" s="95">
        <f>各项系数!$F$76/4*($NI72^2-$NF72^2)*10^-2*(VLOOKUP($LR$9,各项系数!$D$1:$F$143,3,0))*10^-3*10^2*各项系数!$J$4</f>
        <v>0.276636881044851</v>
      </c>
      <c r="LS72" s="481">
        <v>1</v>
      </c>
      <c r="LT72" s="95">
        <f t="shared" si="305"/>
        <v>0.276636881044851</v>
      </c>
      <c r="LU72" s="95">
        <f>LT72*(VLOOKUP($LR$9,各项系数!$D$1:$F$143,2,0))</f>
        <v>3.04300569149336</v>
      </c>
      <c r="LV72" s="501">
        <f t="shared" si="154"/>
        <v>286.09752145</v>
      </c>
      <c r="LW72" s="501">
        <f t="shared" si="155"/>
        <v>178.8109509</v>
      </c>
      <c r="LX72" s="501">
        <f t="shared" si="156"/>
        <v>15.088710140949</v>
      </c>
      <c r="LY72" s="519">
        <f t="shared" si="157"/>
        <v>107.28657055</v>
      </c>
      <c r="LZ72" s="516">
        <f t="shared" si="86"/>
        <v>1</v>
      </c>
      <c r="MA72" s="517">
        <f t="shared" si="87"/>
        <v>286.09752145</v>
      </c>
      <c r="MB72" s="501">
        <f t="shared" si="158"/>
        <v>9.5429382</v>
      </c>
      <c r="MC72" s="501">
        <f t="shared" si="159"/>
        <v>0</v>
      </c>
      <c r="MD72" s="501">
        <f t="shared" si="160"/>
        <v>0</v>
      </c>
      <c r="ME72" s="501">
        <f t="shared" si="161"/>
        <v>0</v>
      </c>
      <c r="MF72" s="501">
        <f t="shared" si="162"/>
        <v>0</v>
      </c>
      <c r="MG72" s="527">
        <f t="shared" si="163"/>
        <v>1</v>
      </c>
      <c r="MH72" s="517">
        <f t="shared" si="88"/>
        <v>0</v>
      </c>
      <c r="MI72" s="501">
        <f t="shared" si="164"/>
        <v>0</v>
      </c>
      <c r="MJ72" s="95">
        <f t="shared" si="89"/>
        <v>9.5429382</v>
      </c>
      <c r="MK72" s="95">
        <f t="shared" si="165"/>
        <v>9.5429382</v>
      </c>
      <c r="ML72" s="95">
        <f t="shared" si="306"/>
        <v>0</v>
      </c>
      <c r="MM72" s="95">
        <f t="shared" si="91"/>
        <v>0</v>
      </c>
      <c r="MN72" s="95">
        <f t="shared" si="92"/>
        <v>11.5429382</v>
      </c>
      <c r="MO72" s="251">
        <f t="shared" si="166"/>
        <v>0</v>
      </c>
      <c r="MP72" s="95">
        <f t="shared" si="167"/>
        <v>27.93391044</v>
      </c>
      <c r="MQ72" s="95">
        <f t="shared" si="307"/>
        <v>27.93391044</v>
      </c>
      <c r="MR72" s="314">
        <f t="shared" si="168"/>
        <v>27.93391044</v>
      </c>
      <c r="MS72" s="530">
        <f t="shared" si="94"/>
        <v>28.10991044</v>
      </c>
      <c r="MT72" s="532">
        <f t="shared" si="95"/>
        <v>28.26991044</v>
      </c>
      <c r="MU72" s="532">
        <f t="shared" si="232"/>
        <v>28.70991044</v>
      </c>
      <c r="MV72" s="532">
        <f t="shared" si="97"/>
        <v>31.90991044</v>
      </c>
      <c r="MW72" s="532">
        <f t="shared" si="98"/>
        <v>32.06991044</v>
      </c>
      <c r="MX72" s="314">
        <f t="shared" si="233"/>
        <v>10.1429382</v>
      </c>
      <c r="MY72" s="314">
        <f t="shared" si="100"/>
        <v>0</v>
      </c>
      <c r="MZ72" s="95">
        <f t="shared" si="101"/>
        <v>12.1429382</v>
      </c>
      <c r="NA72" s="95">
        <f t="shared" si="102"/>
        <v>0</v>
      </c>
      <c r="NB72" s="95">
        <f t="shared" si="169"/>
        <v>29.38591044</v>
      </c>
      <c r="NC72" s="314">
        <f t="shared" si="308"/>
        <v>29.38591044</v>
      </c>
      <c r="ND72" s="314">
        <f t="shared" si="234"/>
        <v>29.38591044</v>
      </c>
      <c r="NE72" s="537">
        <f t="shared" si="235"/>
        <v>29.62591044</v>
      </c>
      <c r="NF72" s="532">
        <f t="shared" si="106"/>
        <v>29.78591044</v>
      </c>
      <c r="NG72" s="180">
        <f t="shared" si="236"/>
        <v>30.22591044</v>
      </c>
      <c r="NH72" s="314">
        <f t="shared" si="108"/>
        <v>33.42591044</v>
      </c>
      <c r="NI72" s="532">
        <f t="shared" si="109"/>
        <v>33.58591044</v>
      </c>
      <c r="NK72" s="541">
        <f t="shared" si="110"/>
        <v>2.24567387809226</v>
      </c>
      <c r="NL72" s="541">
        <f t="shared" si="111"/>
        <v>109.633128468865</v>
      </c>
      <c r="NM72" s="541">
        <f t="shared" si="112"/>
        <v>2.24567387809226</v>
      </c>
      <c r="NN72" s="541">
        <f t="shared" si="113"/>
        <v>109.895132871114</v>
      </c>
      <c r="NO72" s="541">
        <f t="shared" si="114"/>
        <v>3.15583349262487</v>
      </c>
      <c r="NP72" s="541">
        <f t="shared" si="115"/>
        <v>111.789785095434</v>
      </c>
      <c r="NQ72" s="541">
        <f t="shared" si="116"/>
        <v>3.15583349262487</v>
      </c>
      <c r="NR72" s="541">
        <f t="shared" si="117"/>
        <v>112.065025081129</v>
      </c>
      <c r="NS72" s="541">
        <f t="shared" si="118"/>
        <v>2.28505048279877</v>
      </c>
      <c r="NT72" s="541">
        <f t="shared" si="119"/>
        <v>2.28505048279877</v>
      </c>
      <c r="NU72" s="541">
        <f t="shared" si="120"/>
        <v>3.19732769656471</v>
      </c>
      <c r="NV72" s="541">
        <f t="shared" si="121"/>
        <v>3.19732769656471</v>
      </c>
      <c r="NW72" s="11">
        <f t="shared" si="122"/>
        <v>2.45401299830572</v>
      </c>
      <c r="NX72" s="11">
        <f>各项系数!$M$9*NK72</f>
        <v>0.673702163427677</v>
      </c>
      <c r="NY72" s="11">
        <f t="shared" si="123"/>
        <v>2.28505048279877</v>
      </c>
    </row>
    <row r="73" s="11" customFormat="1" customHeight="1" spans="1:389">
      <c r="A73" s="81"/>
      <c r="B73" s="82"/>
      <c r="C73" s="83"/>
      <c r="D73" s="74" t="s">
        <v>246</v>
      </c>
      <c r="E73" s="550">
        <f t="shared" si="325"/>
        <v>35.5583104</v>
      </c>
      <c r="F73" s="84">
        <f>$F$25</f>
        <v>242.295968589101</v>
      </c>
      <c r="G73" s="74"/>
      <c r="H73" s="23"/>
      <c r="I73" s="78"/>
      <c r="J73" s="78"/>
      <c r="K73" s="23"/>
      <c r="L73" s="128" t="s">
        <v>467</v>
      </c>
      <c r="M73" s="119">
        <f t="shared" si="2"/>
        <v>1.1</v>
      </c>
      <c r="N73" s="119">
        <f t="shared" si="252"/>
        <v>0</v>
      </c>
      <c r="O73" s="74">
        <f t="shared" si="326"/>
        <v>0.08</v>
      </c>
      <c r="P73" s="120">
        <v>0.1</v>
      </c>
      <c r="Q73" s="165">
        <f t="shared" si="322"/>
        <v>0.1</v>
      </c>
      <c r="R73" s="182">
        <v>0.8</v>
      </c>
      <c r="S73" s="173" t="str">
        <f>各项系数!$D$43</f>
        <v>钢带</v>
      </c>
      <c r="T73" s="78">
        <v>0.5</v>
      </c>
      <c r="U73" s="78">
        <v>2</v>
      </c>
      <c r="V73" s="172"/>
      <c r="W73" s="174">
        <v>2.1</v>
      </c>
      <c r="X73" s="168">
        <f t="shared" si="323"/>
        <v>0.2</v>
      </c>
      <c r="Y73" s="221"/>
      <c r="Z73" s="222"/>
      <c r="AA73" s="223">
        <f>$AA$25</f>
        <v>1.013</v>
      </c>
      <c r="AB73" s="186">
        <f>PI()*EJ73*EJ73/4*EH73*(1-H73)*AA73*各项系数!$F$5*各项系数!$J$4*10^-7</f>
        <v>0.578421704096205</v>
      </c>
      <c r="AC73" s="224">
        <f t="shared" si="327"/>
        <v>242.295968589101</v>
      </c>
      <c r="AD73" s="186">
        <f t="shared" si="5"/>
        <v>65.3912649972251</v>
      </c>
      <c r="AE73" s="186">
        <f>POWER(4*EU73/PI()/EG73/10^-7/EH73/(1-H73)/各项系数!$F$5/各项系数!$J$4,0.5)</f>
        <v>243.865806884974</v>
      </c>
      <c r="AF73" s="225">
        <v>1</v>
      </c>
      <c r="AG73" s="23">
        <f>IF(EM73=0,0,PI()*ER73*ER73/4*EP73*(1-K73)*(1+AF73)*各项系数!$F$5*各项系数!$J$4*10^-7)</f>
        <v>0</v>
      </c>
      <c r="AH73" s="23">
        <f t="shared" si="328"/>
        <v>0</v>
      </c>
      <c r="AI73" s="85">
        <f t="shared" si="128"/>
        <v>0</v>
      </c>
      <c r="AJ73" s="85">
        <f>IF(OR(EP73="",EP73=0),0,POWER(4*EW73/PI()/EO73/10^-7/EP73/(1-K73)/各项系数!$F$5/各项系数!$J$4,0.5))</f>
        <v>0</v>
      </c>
      <c r="AK73" s="23" t="str">
        <f t="shared" si="8"/>
        <v>√</v>
      </c>
      <c r="AL73" s="23">
        <f t="shared" si="329"/>
        <v>162.543593442152</v>
      </c>
      <c r="AM73" s="127">
        <f t="shared" si="330"/>
        <v>70</v>
      </c>
      <c r="AN73" s="128" t="s">
        <v>486</v>
      </c>
      <c r="AO73" s="176">
        <f>AP73+各项系数!$M$9*$NK73</f>
        <v>159.356464158972</v>
      </c>
      <c r="AP73" s="176">
        <f>AQ73*(1+$BI73+(VLOOKUP($AM73,$A$12:$B$323,2,0))+各项系数!$J$6+各项系数!$M$5)*(1+$E$2)</f>
        <v>158.422744077398</v>
      </c>
      <c r="AQ73" s="262">
        <f>AR73+各项系数!$L$9*$NK73</f>
        <v>161.655861303467</v>
      </c>
      <c r="AR73" s="262">
        <f>AS73*(1+$BJ73+各项系数!$J$5+各项系数!$L$5)</f>
        <v>160.722141221893</v>
      </c>
      <c r="AS73" s="262">
        <f t="shared" si="129"/>
        <v>157.570726688131</v>
      </c>
      <c r="AT73" s="176">
        <f>AU73+各项系数!$M$9*$NM73</f>
        <v>161.540931631314</v>
      </c>
      <c r="AU73" s="176">
        <f>AV73*(1+$BI73+(VLOOKUP($AM73,$A$12:$B$323,2,0))+各项系数!$J$6+各项系数!$M$5)*(1+$E$2)</f>
        <v>160.60721154974</v>
      </c>
      <c r="AV73" s="262">
        <f>AW73+各项系数!$L$9*$NM73</f>
        <v>163.884909744633</v>
      </c>
      <c r="AW73" s="262">
        <f>AX73*(1+$BJ73+各项系数!$J$5+各项系数!$L$5)</f>
        <v>162.951189663059</v>
      </c>
      <c r="AX73" s="262">
        <f t="shared" si="130"/>
        <v>159.756068297116</v>
      </c>
      <c r="AY73" s="176">
        <f>AZ73+各项系数!$M$9*$NS73</f>
        <v>162.360996888973</v>
      </c>
      <c r="AZ73" s="176">
        <f>BA73*(1+$BI73+(VLOOKUP($AM73,$A$12:$B$214,2,0))+各项系数!$J$6+各项系数!$M$5)*(1+$E$2)</f>
        <v>161.414102584048</v>
      </c>
      <c r="BA73" s="262">
        <f>BB73+各项系数!$L$9*$NS73</f>
        <v>164.708267942906</v>
      </c>
      <c r="BB73" s="262">
        <f>BC73*(1+$BJ73+各项系数!$J$5+各项系数!$L$5)</f>
        <v>163.761373637981</v>
      </c>
      <c r="BC73" s="262">
        <f t="shared" si="131"/>
        <v>160.550366311746</v>
      </c>
      <c r="BD73" s="176">
        <f>BE73+各项系数!$M$9*$NS73</f>
        <v>164.555910638828</v>
      </c>
      <c r="BE73" s="176">
        <f>BF73*(1+$BI73+(VLOOKUP($AM73,$A$12:$B$214,2,0))+各项系数!$J$6+各项系数!$M$5)*(1+$E$2)</f>
        <v>163.609016333903</v>
      </c>
      <c r="BF73" s="262">
        <f>BG73+各项系数!$L$9*$NS73</f>
        <v>166.947975850922</v>
      </c>
      <c r="BG73" s="262">
        <f>BH73*(1+$BJ73+各项系数!$J$5+各项系数!$L$5)</f>
        <v>166.001081545997</v>
      </c>
      <c r="BH73" s="262">
        <f t="shared" si="132"/>
        <v>162.746158378428</v>
      </c>
      <c r="BI73" s="278"/>
      <c r="BJ73" s="279"/>
      <c r="BK73" s="95" t="s">
        <v>514</v>
      </c>
      <c r="BL73" s="176">
        <f>BM73+各项系数!$M$9*$NM73</f>
        <v>161.22655167404</v>
      </c>
      <c r="BM73" s="176">
        <f>BN73*(1+$CF73+(VLOOKUP($AM73,$A$12:$B$323,2,0))+各项系数!$J$6+各项系数!$M$5)*(1+$E$2)</f>
        <v>160.292831592465</v>
      </c>
      <c r="BN73" s="262">
        <f>BO73+各项系数!$L$9*$NM73</f>
        <v>163.564113869863</v>
      </c>
      <c r="BO73" s="262">
        <f>BP73*(1+$CG73+各项系数!$J$5+各项系数!$L$5)</f>
        <v>162.630393788289</v>
      </c>
      <c r="BP73" s="262">
        <f t="shared" si="133"/>
        <v>157.893586202222</v>
      </c>
      <c r="BQ73" s="176">
        <f>BR73+各项系数!$M$9*$NM73</f>
        <v>163.106541100626</v>
      </c>
      <c r="BR73" s="176">
        <f>BS73*(1+$CF73+(VLOOKUP($AM73,$A$12:$B$323,2,0))+各项系数!$J$6+各项系数!$M$5)*(1+$E$2)</f>
        <v>162.172821019052</v>
      </c>
      <c r="BS73" s="262">
        <f>BT73+各项系数!$L$9*$NM73</f>
        <v>165.482470427604</v>
      </c>
      <c r="BT73" s="262">
        <f>BU73*(1+$CG73+各项系数!$J$5+各项系数!$L$5)</f>
        <v>164.54875034603</v>
      </c>
      <c r="BU73" s="262">
        <f t="shared" si="134"/>
        <v>159.756068297116</v>
      </c>
      <c r="BV73" s="176">
        <f>BW73+各项系数!$M$9*$NT73</f>
        <v>163.341985038591</v>
      </c>
      <c r="BW73" s="176">
        <f>BX73*(1+$CF73+(VLOOKUP($AM73,$A$12:$B$214,2,0))+各项系数!$J$6+各项系数!$M$5)*(1+$E$2)</f>
        <v>162.395090733666</v>
      </c>
      <c r="BX73" s="262">
        <f>BY73+各项系数!$L$9*$NT$12</f>
        <v>165.709276258842</v>
      </c>
      <c r="BY73" s="262">
        <f>BZ73*(1+$CG73+各项系数!$J$5+各项系数!$L$5)</f>
        <v>165.701012855688</v>
      </c>
      <c r="BZ73" s="262">
        <f t="shared" si="11"/>
        <v>160.874769762803</v>
      </c>
      <c r="CA73" s="176">
        <f>CB73+各项系数!$M$9*$NT73</f>
        <v>165.230964707202</v>
      </c>
      <c r="CB73" s="176">
        <f>CC73*(1+$CF73+(VLOOKUP($AM73,$A$12:$B$214,2,0))+各项系数!$J$6+各项系数!$M$5)*(1+$E$2)</f>
        <v>164.284070402277</v>
      </c>
      <c r="CC73" s="262">
        <f>CD73+各项系数!$L$9*$NT$12</f>
        <v>167.636806532936</v>
      </c>
      <c r="CD73" s="262">
        <f>CE73*(1+$CG73+各项系数!$J$5+各项系数!$L$5)</f>
        <v>167.628543129781</v>
      </c>
      <c r="CE73" s="262">
        <f t="shared" si="135"/>
        <v>162.746158378428</v>
      </c>
      <c r="CF73" s="278">
        <f t="shared" si="136"/>
        <v>0</v>
      </c>
      <c r="CG73" s="278">
        <f t="shared" si="12"/>
        <v>0.01</v>
      </c>
      <c r="CH73" s="127"/>
      <c r="CI73" s="176">
        <f>CJ73+各项系数!$M$9*$NO73</f>
        <v>163.412752061225</v>
      </c>
      <c r="CJ73" s="176">
        <f>CK73*(1+$DC73+(VLOOKUP($AM73,$A$12:$B$323,2,0))+各项系数!$J$6+各项系数!$M$5)*(1+$E$2)+各项系数!$M$9*$NK73</f>
        <v>162.145811495277</v>
      </c>
      <c r="CK73" s="262">
        <f>CL73+各项系数!$L$9*$NO73</f>
        <v>164.502134095615</v>
      </c>
      <c r="CL73" s="262">
        <f>CM73*(1+$DD73+各项系数!$J$5+各项系数!$L$5)</f>
        <v>163.235193529667</v>
      </c>
      <c r="CM73" s="262">
        <f t="shared" si="13"/>
        <v>160.034503460458</v>
      </c>
      <c r="CN73" s="176">
        <f>CO73+各项系数!$M$9*$NO73</f>
        <v>165.450990021226</v>
      </c>
      <c r="CO73" s="176">
        <f>CP73*(1+$DC73+(VLOOKUP($AM73,$A$12:$B$323,2,0))+各项系数!$J$6+各项系数!$M$5)*(1+$E$2)+各项系数!$M$9*$NK73</f>
        <v>164.184049455278</v>
      </c>
      <c r="CP73" s="262">
        <f>CQ73+各项系数!$L$9*$NO73</f>
        <v>166.581968748678</v>
      </c>
      <c r="CQ73" s="262">
        <f>CR73*(1+$DD73+各项系数!$J$5+各项系数!$L$5)</f>
        <v>165.31502818273</v>
      </c>
      <c r="CR73" s="262">
        <f t="shared" si="14"/>
        <v>162.073557041892</v>
      </c>
      <c r="CS73" s="176">
        <f>CT73+各项系数!$M$9*$NU73</f>
        <v>165.627703336666</v>
      </c>
      <c r="CT73" s="176">
        <f t="shared" si="15"/>
        <v>164.346953267597</v>
      </c>
      <c r="CU73" s="262">
        <f>CV73+各项系数!$L$9*$NU73</f>
        <v>167.700972722037</v>
      </c>
      <c r="CV73" s="262">
        <f>CW73*(1+$DD73+各项系数!$J$5+各项系数!$L$5)</f>
        <v>166.420222652968</v>
      </c>
      <c r="CW73" s="262">
        <f t="shared" si="16"/>
        <v>163.157081032322</v>
      </c>
      <c r="CX73" s="176">
        <f>CY73+各项系数!$M$9*$NU73</f>
        <v>167.921595565963</v>
      </c>
      <c r="CY73" s="176">
        <f t="shared" si="17"/>
        <v>166.640845496894</v>
      </c>
      <c r="CZ73" s="262">
        <f>DA73+各项系数!$L$9*$NU73</f>
        <v>170.041679078463</v>
      </c>
      <c r="DA73" s="262">
        <f>DB73*(1+$DD73+各项系数!$J$5+各项系数!$L$5)</f>
        <v>168.760929009394</v>
      </c>
      <c r="DB73" s="262">
        <f t="shared" si="18"/>
        <v>165.45189118568</v>
      </c>
      <c r="DC73" s="278">
        <f t="shared" si="137"/>
        <v>0</v>
      </c>
      <c r="DD73" s="278">
        <f t="shared" si="19"/>
        <v>0</v>
      </c>
      <c r="DE73" s="95" t="s">
        <v>498</v>
      </c>
      <c r="DF73" s="95" t="s">
        <v>513</v>
      </c>
      <c r="DG73" s="176">
        <f>DH73+各项系数!$M$9*$NQ73</f>
        <v>165.321750902162</v>
      </c>
      <c r="DH73" s="176">
        <f>DI73*(1+$EA73+(VLOOKUP($AM73,$A$12:$B$323,2,0))+各项系数!$J$6+各项系数!$M$5)*(1+$E$2)+各项系数!$M$9*$NK73</f>
        <v>164.054810336214</v>
      </c>
      <c r="DI73" s="262">
        <f>DJ73+各项系数!$L$9*$NQ73</f>
        <v>166.450092096571</v>
      </c>
      <c r="DJ73" s="262">
        <f>DK73*(1+$EB73+各项系数!$J$5+各项系数!$L$5)</f>
        <v>165.183151530623</v>
      </c>
      <c r="DK73" s="262">
        <f t="shared" si="20"/>
        <v>160.371991777304</v>
      </c>
      <c r="DL73" s="176">
        <f>DM73+各项系数!$M$9*$NQ73</f>
        <v>167.286922871938</v>
      </c>
      <c r="DM73" s="176">
        <f>DN73*(1+$EA73+(VLOOKUP($AM73,$A$12:$B$323,2,0))+各项系数!$J$6+各项系数!$M$5)*(1+$E$2)+各项系数!$M$9*$NK73</f>
        <v>166.01998230599</v>
      </c>
      <c r="DN73" s="262">
        <f>DO73+各项系数!$L$9*$NQ73</f>
        <v>168.455369616751</v>
      </c>
      <c r="DO73" s="262">
        <f>DP73*(1+$EB73+各项系数!$J$5+各项系数!$L$5)</f>
        <v>167.188429050803</v>
      </c>
      <c r="DP73" s="262">
        <f t="shared" si="21"/>
        <v>162.31886315612</v>
      </c>
      <c r="DQ73" s="176">
        <f>DR73+各项系数!$M$9*$NV73</f>
        <v>167.568861887781</v>
      </c>
      <c r="DR73" s="176">
        <f t="shared" si="22"/>
        <v>166.288111818712</v>
      </c>
      <c r="DS73" s="262">
        <f>DT73+各项系数!$L$9*$NV73</f>
        <v>169.681746753788</v>
      </c>
      <c r="DT73" s="262">
        <f>DU73*(1+$EB73+各项系数!$J$5+各项系数!$L$5)</f>
        <v>168.400996684719</v>
      </c>
      <c r="DU73" s="262">
        <f t="shared" si="23"/>
        <v>163.496113286135</v>
      </c>
      <c r="DV73" s="176">
        <f>DW73+各项系数!$M$9*$NV73</f>
        <v>167.613782389301</v>
      </c>
      <c r="DW73" s="176">
        <f t="shared" si="24"/>
        <v>166.333032320232</v>
      </c>
      <c r="DX73" s="262">
        <f>DY73+各项系数!$L$9*$NV73</f>
        <v>169.727584000237</v>
      </c>
      <c r="DY73" s="262">
        <f>DZ73*(1+$EB73+各项系数!$J$5+各项系数!$L$5)</f>
        <v>168.446833931168</v>
      </c>
      <c r="DZ73" s="262">
        <f t="shared" si="25"/>
        <v>163.540615467153</v>
      </c>
      <c r="EA73" s="278">
        <f t="shared" si="324"/>
        <v>0</v>
      </c>
      <c r="EB73" s="278">
        <f t="shared" si="27"/>
        <v>0.01</v>
      </c>
      <c r="EC73" s="302">
        <f t="shared" si="138"/>
        <v>4</v>
      </c>
      <c r="ED73" s="304" t="str">
        <f t="shared" si="331"/>
        <v>4*70</v>
      </c>
      <c r="EE73" s="95">
        <f t="shared" si="239"/>
        <v>70</v>
      </c>
      <c r="EF73" s="95" t="str">
        <f>LOOKUP(EH73,{1,7,10,14,19,24,30,37,48,61},{1,"1+6","2+8","4+10","1+6+12","2+8+14","4+10+16","1+6+12+18","3+9+15+21","1+6+12+18+24"})</f>
        <v>4+10</v>
      </c>
      <c r="EG73" s="127">
        <f t="shared" si="29"/>
        <v>4</v>
      </c>
      <c r="EH73" s="262">
        <f>VLOOKUP(EE73,各项系数!$B$87:$C$124,2,0)</f>
        <v>14</v>
      </c>
      <c r="EI73" s="127">
        <f>IF(EH73=0,0,VLOOKUP(EH73,各项系数!$D$142:$E$195,2,0))*1</f>
        <v>4.41</v>
      </c>
      <c r="EJ73" s="307">
        <f t="shared" si="141"/>
        <v>242.295968589101</v>
      </c>
      <c r="EK73" s="95">
        <f t="shared" si="332"/>
        <v>0</v>
      </c>
      <c r="EL73" s="95">
        <f t="shared" si="31"/>
        <v>0</v>
      </c>
      <c r="EM73" s="95">
        <f t="shared" si="333"/>
        <v>0</v>
      </c>
      <c r="EN73" s="95">
        <f>IF(EP73=0,0,LOOKUP(EP73,{1,7,10,14,19,24,30,37,48,61},{1,"1+6","2+8","4+10","1+6+12","2+8+14","4+10+16","1+6+12+18","3+9+15+21","1+6+12+18+24"}))</f>
        <v>0</v>
      </c>
      <c r="EO73" s="95">
        <f t="shared" si="334"/>
        <v>0</v>
      </c>
      <c r="EP73" s="95">
        <f>IF(EM73=0,0,IF(EM73&lt;10,1,IF(AND(EM73&gt;=10,EM73&lt;=35),7,LOOKUP(EM73,{50,70,95,120,150,185,240,300},{10,14,19,24,30,37,48,61})*1)))</f>
        <v>0</v>
      </c>
      <c r="EQ73" s="95">
        <f>IF(EP73=0,0,VLOOKUP(EP73,各项系数!$D$142:$E$195,2,0))*1</f>
        <v>0</v>
      </c>
      <c r="ER73" s="95">
        <f t="shared" si="335"/>
        <v>0</v>
      </c>
      <c r="ES73" s="304">
        <f t="shared" si="336"/>
        <v>4</v>
      </c>
      <c r="ET73" s="95">
        <f>VLOOKUP(ES73,各项系数!$D$142:$E$195,2,0)*1</f>
        <v>2.42</v>
      </c>
      <c r="EU73" s="311">
        <f>((各项系数!$F$76/4*$EJ73^2*$EG73*$EH73*1*10^-7)*(1-$H73)*AA73)*(VLOOKUP($EY$9,各项系数!$D$4:$F$143,3,0))*各项系数!$J$4</f>
        <v>2.31368681638482</v>
      </c>
      <c r="EV73" s="312">
        <f>EU73*(VLOOKUP($EY$9,各项系数!$D$4:$F$143,2,0))</f>
        <v>151.546486473206</v>
      </c>
      <c r="EW73" s="324">
        <f>(IF($EO73=0,0,(各项系数!$F$76/4*$ER73^2*$EO73*$EP73*1*10^-7))*(1-$K73)*$AF73)*(VLOOKUP($EY$9,各项系数!$D$4:$F$143,3,0))*各项系数!$J$4</f>
        <v>0</v>
      </c>
      <c r="EX73" s="325">
        <f>EW73*(VLOOKUP($EY$9,各项系数!$D$4:$F$143,2,0))</f>
        <v>0</v>
      </c>
      <c r="EY73" s="251">
        <f>((各项系数!$F$76/4*$EJ73^2*$EG73*$EH73*1*10^-7)*(1-$H73)*AA73+IF($EO73=0,0,(各项系数!$F$76/4*$ER73^2*$EO73*$EP73*1*10^-7))*(1-$K73)*$AF73)*(VLOOKUP($EY$9,各项系数!$D$4:$F$143,3,0))*各项系数!$J$4</f>
        <v>2.31368681638482</v>
      </c>
      <c r="EZ73" s="127">
        <v>1</v>
      </c>
      <c r="FA73" s="95">
        <f t="shared" si="268"/>
        <v>2.31368681638482</v>
      </c>
      <c r="FB73" s="314">
        <f>FA73*(VLOOKUP($EY$9,各项系数!$D$4:$F$143,2,0))</f>
        <v>151.546486473206</v>
      </c>
      <c r="FC73" s="329"/>
      <c r="FD73" s="304">
        <f>各项系数!$F$76/4*($MN73^2-MK73^2)*10^-2*(VLOOKUP(L73,各项系数!$D$1:$F$143,3,0))*10^-3*10^2*$EG73*各项系数!$J$4</f>
        <v>0.178302403263918</v>
      </c>
      <c r="FE73" s="341">
        <f>FD73*VLOOKUP(L73,各项系数!$D$1:$F$143,2,0)</f>
        <v>1.81868451329196</v>
      </c>
      <c r="FF73" s="127">
        <f>各项系数!$F$76/4*($MO73^2-ML73^2)*10^-2*(VLOOKUP(L73,各项系数!$D$1:$F$143,3,0))*10^-3*10^2*$EO73*各项系数!$J$4</f>
        <v>0</v>
      </c>
      <c r="FG73" s="341">
        <f>FF73*VLOOKUP(L73,各项系数!$D$1:$F$143,2,0)</f>
        <v>0</v>
      </c>
      <c r="FH73" s="304">
        <f t="shared" si="142"/>
        <v>0.178302403263918</v>
      </c>
      <c r="FI73" s="127">
        <v>1</v>
      </c>
      <c r="FJ73" s="95">
        <f t="shared" si="269"/>
        <v>0.178302403263918</v>
      </c>
      <c r="FK73" s="341">
        <f>FJ73*VLOOKUP(L73,各项系数!$D$1:$F$143,2,0)</f>
        <v>1.81868451329196</v>
      </c>
      <c r="FL73" s="304"/>
      <c r="FM73" s="127"/>
      <c r="FN73" s="95"/>
      <c r="FO73" s="341"/>
      <c r="FP73" s="371">
        <f t="shared" si="270"/>
        <v>0.178302403263918</v>
      </c>
      <c r="FQ73" s="371">
        <f t="shared" si="271"/>
        <v>1.81868451329196</v>
      </c>
      <c r="FR73" s="365">
        <f>各项系数!$F$76/4*($MQ73^2-$MN73^2*$EG73-$MO73^2*$EO73)*10^-2</f>
        <v>2.42073522640375</v>
      </c>
      <c r="FS73" s="366">
        <f t="shared" si="143"/>
        <v>1</v>
      </c>
      <c r="FT73" s="367">
        <f t="shared" si="40"/>
        <v>2.42073522640375</v>
      </c>
      <c r="FU73" s="395">
        <f>$FT73*(VLOOKUP($FT$9,各项系数!$D$1:$F$143,3,0))*10^-3*10^2*各项系数!$J$55</f>
        <v>0.289035786032608</v>
      </c>
      <c r="FV73" s="396">
        <v>1</v>
      </c>
      <c r="FW73" s="397">
        <f t="shared" si="272"/>
        <v>0.289035786032608</v>
      </c>
      <c r="FX73" s="372">
        <f>FW73*(VLOOKUP($FT$9,各项系数!$D$1:$F$143,2,0))</f>
        <v>0.867107358097823</v>
      </c>
      <c r="FY73" s="395">
        <f>IF($BK73&lt;&gt;$FY$9,0,各项系数!$F$76/4*($MS73^2-$MQ73^2)*10^-2*(VLOOKUP($FY$9,各项系数!$D$1:$F$143,3,0))*10^-3*10^2)*各项系数!$J$4</f>
        <v>0</v>
      </c>
      <c r="FZ73" s="396">
        <v>1</v>
      </c>
      <c r="GA73" s="397">
        <f t="shared" si="273"/>
        <v>0</v>
      </c>
      <c r="GB73" s="372">
        <f>GA73*(VLOOKUP($FY$9,各项系数!$D$1:$F$143,2,0))</f>
        <v>0</v>
      </c>
      <c r="GC73" s="395">
        <f>IF($BK73&lt;&gt;$GC$9,0,各项系数!$F$76/4*($MS73^2-$MQ73^2)*10^-2*(VLOOKUP($GC$9,各项系数!$D$1:$F$143,3,0))*10^-3*10^2)*各项系数!$J$4</f>
        <v>0.00851575214120939</v>
      </c>
      <c r="GD73" s="396">
        <v>1</v>
      </c>
      <c r="GE73" s="397">
        <f t="shared" si="274"/>
        <v>0.00851575214120939</v>
      </c>
      <c r="GF73" s="372">
        <f>GE73*(VLOOKUP($GC$9,各项系数!$D$1:$F$143,2,0))</f>
        <v>0.109853202621601</v>
      </c>
      <c r="GG73" s="395">
        <f>IF($BK73&lt;&gt;$GG$9,0,各项系数!$F$76/4*($MS73^2-$MQ73^2)*10^-2*(VLOOKUP($GG$9,各项系数!$D$1:$F$143,3,0))*10^-3*10^2)*各项系数!$J$4</f>
        <v>0</v>
      </c>
      <c r="GH73" s="396">
        <v>1</v>
      </c>
      <c r="GI73" s="397">
        <f t="shared" si="275"/>
        <v>0</v>
      </c>
      <c r="GJ73" s="372">
        <f>GI73*(VLOOKUP($GG$9,各项系数!$D$1:$F$143,2,0))</f>
        <v>0</v>
      </c>
      <c r="GK73" s="395">
        <f>IF($BK73&lt;&gt;$GK$9,0,各项系数!$F$76/4*($MS73^2-$MQ73^2)*10^-2*(VLOOKUP($GK$9,各项系数!$D$1:$F$143,3,0))*10^-3*10^2)*各项系数!$J$4</f>
        <v>0</v>
      </c>
      <c r="GL73" s="396">
        <v>1</v>
      </c>
      <c r="GM73" s="397">
        <f t="shared" si="276"/>
        <v>0</v>
      </c>
      <c r="GN73" s="372">
        <f>GM73*(VLOOKUP($GK$9,各项系数!$D$1:$F$143,2,0))</f>
        <v>0</v>
      </c>
      <c r="GO73" s="397">
        <f t="shared" si="277"/>
        <v>0.00851575214120939</v>
      </c>
      <c r="GP73" s="397">
        <f t="shared" si="278"/>
        <v>0.109853202621601</v>
      </c>
      <c r="GQ73" s="408">
        <f>各项系数!$F$76/4*($MU73^2-$MS73^2)*10^-2*(VLOOKUP($S73,各项系数!$D$1:$F$143,3,0))*10^-3*10^2*各项系数!$J$4</f>
        <v>0.58865172722072</v>
      </c>
      <c r="GR73" s="396">
        <v>1</v>
      </c>
      <c r="GS73" s="397">
        <f t="shared" si="279"/>
        <v>0.58865172722072</v>
      </c>
      <c r="GT73" s="397">
        <f t="shared" si="200"/>
        <v>0</v>
      </c>
      <c r="GU73" s="397">
        <f>ROUND($GS73*(VLOOKUP($S73,各项系数!$D$1:$F$143,2,0))+$E$3*GS73,GT73)</f>
        <v>3</v>
      </c>
      <c r="GV73" s="406">
        <f>各项系数!$F$76/4*($MT73^2-$MS73^2)*10^-2*(VLOOKUP($GV$9,各项系数!$D$1:$F$143,3,0))*10^-3*10^2*各项系数!$J$4*PI()/4*R73</f>
        <v>0.0439140778363381</v>
      </c>
      <c r="GW73" s="396">
        <v>1</v>
      </c>
      <c r="GX73" s="397">
        <f t="shared" si="280"/>
        <v>0.0439140778363381</v>
      </c>
      <c r="GY73" s="397">
        <f>$GX73*(VLOOKUP($GV$9,各项系数!$D$1:$F$143,2,0))</f>
        <v>2.96420025395282</v>
      </c>
      <c r="GZ73" s="408">
        <f>各项系数!$F$76/4*($MV73^2-$MS73^2)*10^-2*(VLOOKUP($GZ$9,各项系数!$D$1:$F$143,3,0))*10^-3*10^2*各项系数!$J$4</f>
        <v>0.318466867641141</v>
      </c>
      <c r="HA73" s="396">
        <v>1</v>
      </c>
      <c r="HB73" s="397">
        <f t="shared" si="144"/>
        <v>0.318466867641141</v>
      </c>
      <c r="HC73" s="397">
        <f>HB73*(VLOOKUP($GZ$9,各项系数!$D$1:$F$143,2,0))</f>
        <v>5.41393674989939</v>
      </c>
      <c r="HD73" s="408">
        <f>各项系数!$F$76/4*($MW73^2-$MT73^2)*10^-2*(VLOOKUP($HD$9,各项系数!$D$1:$F$143,3,0))*10^-3*10^2*各项系数!$J$4</f>
        <v>0.319989798662266</v>
      </c>
      <c r="HE73" s="396">
        <v>1</v>
      </c>
      <c r="HF73" s="397">
        <f t="shared" si="145"/>
        <v>0.319989798662266</v>
      </c>
      <c r="HG73" s="397">
        <f>HF73*(VLOOKUP($HD$9,各项系数!$D$1:$F$143,2,0))</f>
        <v>5.43982657725852</v>
      </c>
      <c r="HH73" s="408">
        <f>各项系数!$F$76/4*($MV73^2-$MS73^2)*10^-2*(VLOOKUP($HH$9,各项系数!$D$1:$F$143,3,0))*10^-3*10^2*各项系数!$J$4</f>
        <v>0.318466867641141</v>
      </c>
      <c r="HI73" s="397">
        <v>1</v>
      </c>
      <c r="HJ73" s="397">
        <f t="shared" si="146"/>
        <v>0.318466867641141</v>
      </c>
      <c r="HK73" s="397">
        <f>HJ73*(VLOOKUP($HH$9,各项系数!$D$1:$F$143,2,0))</f>
        <v>5.41393674989939</v>
      </c>
      <c r="HL73" s="408">
        <f>各项系数!$F$76/4*($MW73^2-$MT73^2)*10^-2*(VLOOKUP($HL$9,各项系数!$D$1:$F$143,3,0))*10^-3*10^2*各项系数!$J$4</f>
        <v>0.319989798662266</v>
      </c>
      <c r="HM73" s="397">
        <v>1</v>
      </c>
      <c r="HN73" s="397">
        <f t="shared" si="147"/>
        <v>0.319989798662266</v>
      </c>
      <c r="HO73" s="397">
        <f>HN73*(VLOOKUP($HL$9,各项系数!$D$1:$F$143,2,0))</f>
        <v>5.43982657725852</v>
      </c>
      <c r="HP73" s="408">
        <f>各项系数!$F$76/4*($MV73^2-$MS73^2)*10^-2*(VLOOKUP(AN73,各项系数!$D$1:$F$143,3,0))*10^-3*10^2*各项系数!$J$4</f>
        <v>0.322859514091363</v>
      </c>
      <c r="HQ73" s="396">
        <v>1</v>
      </c>
      <c r="HR73" s="397">
        <f t="shared" si="281"/>
        <v>0.322859514091363</v>
      </c>
      <c r="HS73" s="397">
        <f>HR73*(VLOOKUP(AN73,各项系数!$D$1:$F$143,2,0))</f>
        <v>3.22859514091363</v>
      </c>
      <c r="HT73" s="408">
        <f>各项系数!$F$76/4*($MW73^2-$MT73^2)*10^-2*(VLOOKUP(AN73,各项系数!$D$1:$F$143,3,0))*10^-3*10^2*各项系数!$J$4</f>
        <v>0.324403451057607</v>
      </c>
      <c r="HU73" s="396">
        <v>1</v>
      </c>
      <c r="HV73" s="397">
        <f t="shared" si="282"/>
        <v>0.324403451057607</v>
      </c>
      <c r="HW73" s="397">
        <f>HV73*(VLOOKUP(AN73,各项系数!$D$1:$F$143,2,0))</f>
        <v>3.24403451057607</v>
      </c>
      <c r="HX73" s="408">
        <f>各项系数!$F$76/4*($MV73^2-$MS73^2)*10^-2*(VLOOKUP($HX$9,各项系数!$D$1:$F$143,3,0))*10^-3*10^2*各项系数!$J$4</f>
        <v>0.322859514091363</v>
      </c>
      <c r="HY73" s="397">
        <v>1</v>
      </c>
      <c r="HZ73" s="397">
        <f t="shared" si="283"/>
        <v>0.322859514091363</v>
      </c>
      <c r="IA73" s="397">
        <f>HZ73*(VLOOKUP($HX$9,各项系数!$D$1:$F$143,2,0))</f>
        <v>3.551454655005</v>
      </c>
      <c r="IB73" s="408">
        <f>各项系数!$F$76/4*($MW73^2-$MT73^2)*10^-2*(VLOOKUP($IB$9,各项系数!$D$1:$F$143,3,0))*10^-3*10^2*各项系数!$J$4</f>
        <v>0.324403451057607</v>
      </c>
      <c r="IC73" s="397">
        <v>1</v>
      </c>
      <c r="ID73" s="397">
        <f t="shared" si="284"/>
        <v>0.324403451057607</v>
      </c>
      <c r="IE73" s="397">
        <f>ID73*(VLOOKUP($IB$9,各项系数!$D$1:$F$143,2,0))</f>
        <v>3.56843796163368</v>
      </c>
      <c r="IF73" s="395"/>
      <c r="IG73" s="408">
        <f t="shared" si="148"/>
        <v>0.0618095371771455</v>
      </c>
      <c r="IH73" s="396">
        <v>1</v>
      </c>
      <c r="II73" s="397">
        <f t="shared" si="285"/>
        <v>0.0618095371771455</v>
      </c>
      <c r="IJ73" s="397">
        <f>II73*(VLOOKUP($IG$8,各项系数!$D$1:$F$143,2,0))</f>
        <v>1.54523842942864</v>
      </c>
      <c r="IK73" s="408">
        <f>(各项系数!$F$76/4*($MX73^2-$MK73^2)*$EG73)*10^-2*(VLOOKUP($IG$8,各项系数!$D$1:$F$143,3,0))*10^-3*10^2*各项系数!$J$4</f>
        <v>0.0618095371771455</v>
      </c>
      <c r="IL73" s="396">
        <f>IK73*(VLOOKUP($IG$8,各项系数!$D$1:$F$143,2,0))</f>
        <v>1.54523842942864</v>
      </c>
      <c r="IM73" s="397">
        <f>(各项系数!$F$76/4*(($MM73+3*$X73)^2-MM73^2)*$EO73)*10^-2*(VLOOKUP($IG$8,各项系数!$D$1:$F$143,3,0))*10^-3*10^2*各项系数!$J$4</f>
        <v>0</v>
      </c>
      <c r="IN73" s="396">
        <f>IM73*(VLOOKUP($IG$8,各项系数!$D$1:$F$143,2,0))</f>
        <v>0</v>
      </c>
      <c r="IO73" s="408">
        <f>各项系数!$F$76/4*($MZ73^2-$MX73^2)*10^-2*(VLOOKUP(L73,各项系数!$D$1:$F$143,3,0))*10^-3*10^2*$ES73*各项系数!$J$4</f>
        <v>0.187379972404612</v>
      </c>
      <c r="IP73" s="396">
        <v>1</v>
      </c>
      <c r="IQ73" s="397">
        <f t="shared" si="286"/>
        <v>0.187379972404612</v>
      </c>
      <c r="IR73" s="372">
        <f>IQ73*(VLOOKUP(L73,各项系数!$D$1:$F$143,2,0))</f>
        <v>1.91127571852705</v>
      </c>
      <c r="IS73" s="408">
        <f>IF($L73&lt;&gt;$IS$9,0,各项系数!$F$76/4*($MZ73^2-$MX73^2)*10^-2*各项系数!$F$12*10^-3*10^2)*$ES73*各项系数!$J$4</f>
        <v>0</v>
      </c>
      <c r="IT73" s="396">
        <v>1</v>
      </c>
      <c r="IU73" s="397">
        <f t="shared" si="287"/>
        <v>0</v>
      </c>
      <c r="IV73" s="372">
        <f>IU73*各项系数!$E$12</f>
        <v>0</v>
      </c>
      <c r="IW73" s="395">
        <f t="shared" si="288"/>
        <v>0.187379972404612</v>
      </c>
      <c r="IX73" s="395">
        <f t="shared" si="289"/>
        <v>1.91127571852705</v>
      </c>
      <c r="IY73" s="447">
        <f>各项系数!$F$76/4*($NB73^2-$MZ73^2*$EG73-$NA73^2*$EO73)*10^-2</f>
        <v>2.6514264802142</v>
      </c>
      <c r="IZ73" s="366">
        <f t="shared" si="231"/>
        <v>1</v>
      </c>
      <c r="JA73" s="367">
        <f t="shared" si="64"/>
        <v>2.6514264802142</v>
      </c>
      <c r="JB73" s="371">
        <f>IF($DE73&lt;&gt;$JB$9,0,$JA73*各项系数!$F$32*10^-3*10^2)*各项系数!$J$4</f>
        <v>0</v>
      </c>
      <c r="JC73" s="127">
        <v>1</v>
      </c>
      <c r="JD73" s="95">
        <f t="shared" si="290"/>
        <v>0</v>
      </c>
      <c r="JE73" s="341">
        <f>JD73*各项系数!$E$32</f>
        <v>0</v>
      </c>
      <c r="JF73" s="364">
        <f>IF($DE73&lt;&gt;$JF$9,0,$JA73*VLOOKUP($JF$9,各项系数!$D$4:$F$540,2,0)*10^-3*10^2)*各项系数!$J$4</f>
        <v>1.31908467390656</v>
      </c>
      <c r="JG73" s="123">
        <v>1</v>
      </c>
      <c r="JH73" s="251">
        <f t="shared" si="66"/>
        <v>1.31908467390656</v>
      </c>
      <c r="JI73" s="339">
        <f>JH73*VLOOKUP($JF$9,各项系数!$D$4:$F$540,3,0)</f>
        <v>1.58290160868787</v>
      </c>
      <c r="JJ73" s="371">
        <f t="shared" si="291"/>
        <v>1.31908467390656</v>
      </c>
      <c r="JK73" s="95">
        <f t="shared" si="292"/>
        <v>1.58290160868787</v>
      </c>
      <c r="JL73" s="371">
        <f>IF($DF73&lt;&gt;$JL$9,0,各项系数!$F$76/4*($NE73^2-$NC73^2)*10^-2*各项系数!$F$39*10^-3*10^2)*各项系数!$J$4</f>
        <v>0.00368590310717074</v>
      </c>
      <c r="JM73" s="127">
        <v>1</v>
      </c>
      <c r="JN73" s="95">
        <f t="shared" si="293"/>
        <v>0.00368590310717074</v>
      </c>
      <c r="JO73" s="341">
        <f>JN73*各项系数!$E$39</f>
        <v>0.0737180621434148</v>
      </c>
      <c r="JP73" s="371">
        <f>IF($DF73&lt;&gt;$JP$9,0,各项系数!$F$76/4*($NE73^2-$NC73^2)*10^-2*各项系数!$F$36*10^-3*10^2)*各项系数!$J$4</f>
        <v>0</v>
      </c>
      <c r="JQ73" s="127">
        <v>1</v>
      </c>
      <c r="JR73" s="95">
        <f t="shared" si="294"/>
        <v>0</v>
      </c>
      <c r="JS73" s="341">
        <f>JR73*各项系数!$E$36</f>
        <v>0</v>
      </c>
      <c r="JT73" s="371">
        <f>IF($DF73&lt;&gt;$JT$9,0,各项系数!$F$76/4*($NE73^2-$NC73^2)*10^-2*各项系数!$F$40*10^-3*10^2)*各项系数!$J$4</f>
        <v>0</v>
      </c>
      <c r="JU73" s="127">
        <v>1</v>
      </c>
      <c r="JV73" s="95">
        <f t="shared" si="295"/>
        <v>0</v>
      </c>
      <c r="JW73" s="341">
        <f>JV73*各项系数!$E$40</f>
        <v>0</v>
      </c>
      <c r="JX73" s="371">
        <f>IF($DF73&lt;&gt;$JX$9,0,各项系数!$F$76/4*($NE73^2-$NC73^2)*10^-2*各项系数!$F$38*10^-3*10^2)*各项系数!$J$4</f>
        <v>0</v>
      </c>
      <c r="JY73" s="127">
        <v>1</v>
      </c>
      <c r="JZ73" s="95">
        <f t="shared" si="296"/>
        <v>0</v>
      </c>
      <c r="KA73" s="341">
        <f>JZ73*各项系数!$E$38</f>
        <v>0</v>
      </c>
      <c r="KB73" s="371">
        <f>IF($DF73&lt;&gt;$KB$9,0,各项系数!$F$76/4*($NE73^2-$NC73^2)*10^-2*各项系数!$F$41*10^-3*10^2)*各项系数!$J$4</f>
        <v>0</v>
      </c>
      <c r="KC73" s="127">
        <v>1</v>
      </c>
      <c r="KD73" s="95">
        <f t="shared" si="297"/>
        <v>0</v>
      </c>
      <c r="KE73" s="341">
        <f>KD73*各项系数!$E$41</f>
        <v>0</v>
      </c>
      <c r="KF73" s="95">
        <f t="shared" si="298"/>
        <v>0.00368590310717074</v>
      </c>
      <c r="KG73" s="95">
        <f t="shared" si="299"/>
        <v>0.0737180621434148</v>
      </c>
      <c r="KH73" s="304">
        <f>各项系数!$F$76/4*($NG73^2-$NE73^2)*10^-2*各项系数!$F$44*10^-3*10^2*各项系数!$J$4*0.75*$U73</f>
        <v>0.924667546204753</v>
      </c>
      <c r="KI73" s="127">
        <v>1</v>
      </c>
      <c r="KJ73" s="95">
        <f t="shared" si="300"/>
        <v>0.924667546204753</v>
      </c>
      <c r="KK73" s="95">
        <f>ROUND(KJ73*各项系数!$E$43,GT73)</f>
        <v>5</v>
      </c>
      <c r="KL73" s="302">
        <f>各项系数!$F$76/4*($NF73^2-$NE73^2)*10^-2*各项系数!$F$46*10^-3*10^2*各项系数!$J$4*PI()/4*R73</f>
        <v>0.0460316770696565</v>
      </c>
      <c r="KM73" s="127">
        <v>1</v>
      </c>
      <c r="KN73" s="95">
        <f t="shared" si="301"/>
        <v>0.0460316770696565</v>
      </c>
      <c r="KO73" s="95">
        <f>KN73*各项系数!$E$46</f>
        <v>3.10713820220181</v>
      </c>
      <c r="KP73" s="304">
        <f>各项系数!$F$76/4*($NH73^2-$NE73^2)*10^-2*(VLOOKUP($KP$9,各项系数!$D$1:$F$143,3,0))*10^-3*10^2*各项系数!$J$4</f>
        <v>0.332896639066299</v>
      </c>
      <c r="KQ73" s="127">
        <v>1</v>
      </c>
      <c r="KR73" s="95">
        <f t="shared" si="150"/>
        <v>0.332896639066299</v>
      </c>
      <c r="KS73" s="95">
        <f>KR73*(VLOOKUP($KP$9,各项系数!$D$1:$F$143,2,0))</f>
        <v>5.65924286412708</v>
      </c>
      <c r="KT73" s="304">
        <f>各项系数!$F$76/4*($NI73^2-$NF73^2)*10^-2*(VLOOKUP($KT$9,各项系数!$D$1:$F$143,3,0))*10^-3*10^2*各项系数!$J$4</f>
        <v>0.334419570087423</v>
      </c>
      <c r="KU73" s="127">
        <v>1</v>
      </c>
      <c r="KV73" s="95">
        <f t="shared" si="151"/>
        <v>0.334419570087423</v>
      </c>
      <c r="KW73" s="95">
        <f>KV73*(VLOOKUP($KT$9,各项系数!$D$1:$F$143,2,0))</f>
        <v>5.6851326914862</v>
      </c>
      <c r="KX73" s="95">
        <f>各项系数!$F$76/4*($NH73^2-$NE73^2)*10^-2*(VLOOKUP($KX$9,各项系数!$D$1:$F$143,3,0))*10^-3*10^2*各项系数!$J$4</f>
        <v>0.332896639066299</v>
      </c>
      <c r="KY73" s="481">
        <v>1</v>
      </c>
      <c r="KZ73" s="95">
        <f t="shared" si="152"/>
        <v>0.332896639066299</v>
      </c>
      <c r="LA73" s="95">
        <f>KZ73*(VLOOKUP($KX$9,各项系数!$D$1:$F$143,2,0))</f>
        <v>5.65924286412708</v>
      </c>
      <c r="LB73" s="95">
        <f>各项系数!$F$76/4*($NI73^2-$NF73^2)*10^-2*(VLOOKUP($LB$9,各项系数!$D$1:$F$143,3,0))*10^-3*10^2*各项系数!$J$4</f>
        <v>0.334419570087423</v>
      </c>
      <c r="LC73" s="481">
        <v>1</v>
      </c>
      <c r="LD73" s="95">
        <f t="shared" si="153"/>
        <v>0.334419570087423</v>
      </c>
      <c r="LE73" s="95">
        <f>LD73*(VLOOKUP($LB$9,各项系数!$D$1:$F$143,2,0))</f>
        <v>5.6851326914862</v>
      </c>
      <c r="LF73" s="304">
        <f>各项系数!$F$76/4*($NH73^2-$NE73^2)*10^-2*(VLOOKUP(AN73,各项系数!$D$1:$F$143,3,0))*10^-3*10^2*各项系数!$J$4</f>
        <v>0.337488316846523</v>
      </c>
      <c r="LG73" s="127">
        <v>1</v>
      </c>
      <c r="LH73" s="95">
        <f t="shared" si="302"/>
        <v>0.337488316846523</v>
      </c>
      <c r="LI73" s="95">
        <f>LH73*(VLOOKUP(AN73,各项系数!$D$1:$F$143,2,0))</f>
        <v>3.37488316846523</v>
      </c>
      <c r="LJ73" s="304">
        <f>各项系数!$F$76/4*($NI73^2-$NF73^2)*10^-2*(VLOOKUP(AN73,各项系数!$D$1:$F$143,3,0))*10^-3*10^2*各项系数!$J$4</f>
        <v>0.339032253812767</v>
      </c>
      <c r="LK73" s="127">
        <v>1</v>
      </c>
      <c r="LL73" s="95">
        <f t="shared" si="303"/>
        <v>0.339032253812767</v>
      </c>
      <c r="LM73" s="95">
        <f>LL73*(VLOOKUP(AN73,各项系数!$D$1:$F$143,2,0))</f>
        <v>3.39032253812767</v>
      </c>
      <c r="LN73" s="95">
        <f>各项系数!$F$76/4*($NH73^2-$NE73^2)*10^-2*(VLOOKUP($LN$9,各项系数!$D$1:$F$143,3,0))*10^-3*10^2*各项系数!$J$4</f>
        <v>0.337488316846523</v>
      </c>
      <c r="LO73" s="481">
        <v>1</v>
      </c>
      <c r="LP73" s="95">
        <f t="shared" si="304"/>
        <v>0.337488316846523</v>
      </c>
      <c r="LQ73" s="95">
        <f>LP73*(VLOOKUP($LN$9,各项系数!$D$1:$F$143,2,0))</f>
        <v>3.71237148531176</v>
      </c>
      <c r="LR73" s="95">
        <f>各项系数!$F$76/4*($NI73^2-$NF73^2)*10^-2*(VLOOKUP($LR$9,各项系数!$D$1:$F$143,3,0))*10^-3*10^2*各项系数!$J$4</f>
        <v>0.339032253812767</v>
      </c>
      <c r="LS73" s="481">
        <v>1</v>
      </c>
      <c r="LT73" s="95">
        <f t="shared" si="305"/>
        <v>0.339032253812767</v>
      </c>
      <c r="LU73" s="95">
        <f>LT73*(VLOOKUP($LR$9,各项系数!$D$1:$F$143,2,0))</f>
        <v>3.72935479194044</v>
      </c>
      <c r="LV73" s="501">
        <f t="shared" si="154"/>
        <v>358.6901324</v>
      </c>
      <c r="LW73" s="501">
        <f t="shared" si="155"/>
        <v>258.2083523</v>
      </c>
      <c r="LX73" s="501">
        <f t="shared" si="156"/>
        <v>18.1317700440213</v>
      </c>
      <c r="LY73" s="519">
        <f t="shared" si="157"/>
        <v>100.4817801</v>
      </c>
      <c r="LZ73" s="516">
        <f t="shared" si="86"/>
        <v>1</v>
      </c>
      <c r="MA73" s="517">
        <f t="shared" si="87"/>
        <v>358.6901324</v>
      </c>
      <c r="MB73" s="501">
        <f t="shared" si="158"/>
        <v>10.68525223</v>
      </c>
      <c r="MC73" s="501">
        <f t="shared" si="159"/>
        <v>0</v>
      </c>
      <c r="MD73" s="501">
        <f t="shared" si="160"/>
        <v>0</v>
      </c>
      <c r="ME73" s="501">
        <f t="shared" si="161"/>
        <v>0</v>
      </c>
      <c r="MF73" s="501">
        <f t="shared" si="162"/>
        <v>0</v>
      </c>
      <c r="MG73" s="527">
        <f t="shared" si="163"/>
        <v>1</v>
      </c>
      <c r="MH73" s="517">
        <f t="shared" si="88"/>
        <v>0</v>
      </c>
      <c r="MI73" s="501">
        <f t="shared" si="164"/>
        <v>0</v>
      </c>
      <c r="MJ73" s="95">
        <f t="shared" si="89"/>
        <v>10.68525223</v>
      </c>
      <c r="MK73" s="95">
        <f t="shared" si="165"/>
        <v>10.68525223</v>
      </c>
      <c r="ML73" s="95">
        <f t="shared" si="306"/>
        <v>0</v>
      </c>
      <c r="MM73" s="95">
        <f t="shared" si="91"/>
        <v>0</v>
      </c>
      <c r="MN73" s="95">
        <f t="shared" si="92"/>
        <v>12.88525223</v>
      </c>
      <c r="MO73" s="251">
        <f t="shared" si="166"/>
        <v>0</v>
      </c>
      <c r="MP73" s="95">
        <f t="shared" si="167"/>
        <v>31.1823104</v>
      </c>
      <c r="MQ73" s="95">
        <f t="shared" si="307"/>
        <v>31.1823104</v>
      </c>
      <c r="MR73" s="314">
        <f t="shared" si="168"/>
        <v>31.1823104</v>
      </c>
      <c r="MS73" s="530">
        <f t="shared" si="94"/>
        <v>31.3583104</v>
      </c>
      <c r="MT73" s="532">
        <f t="shared" si="95"/>
        <v>31.5183104</v>
      </c>
      <c r="MU73" s="532">
        <f t="shared" si="232"/>
        <v>32.8583104</v>
      </c>
      <c r="MV73" s="532">
        <f t="shared" si="97"/>
        <v>35.5583104</v>
      </c>
      <c r="MW73" s="532">
        <f t="shared" si="98"/>
        <v>35.7183104</v>
      </c>
      <c r="MX73" s="314">
        <f t="shared" si="233"/>
        <v>11.28525223</v>
      </c>
      <c r="MY73" s="314">
        <f t="shared" si="100"/>
        <v>0</v>
      </c>
      <c r="MZ73" s="95">
        <f t="shared" si="101"/>
        <v>13.48525223</v>
      </c>
      <c r="NA73" s="95">
        <f t="shared" si="102"/>
        <v>0</v>
      </c>
      <c r="NB73" s="95">
        <f t="shared" si="169"/>
        <v>32.6343104</v>
      </c>
      <c r="NC73" s="314">
        <f t="shared" si="308"/>
        <v>32.6343104</v>
      </c>
      <c r="ND73" s="314">
        <f t="shared" si="234"/>
        <v>32.6343104</v>
      </c>
      <c r="NE73" s="537">
        <f t="shared" si="235"/>
        <v>32.8743104</v>
      </c>
      <c r="NF73" s="532">
        <f t="shared" si="106"/>
        <v>33.0343104</v>
      </c>
      <c r="NG73" s="180">
        <f t="shared" si="236"/>
        <v>34.3743104</v>
      </c>
      <c r="NH73" s="314">
        <f t="shared" si="108"/>
        <v>37.0743104</v>
      </c>
      <c r="NI73" s="532">
        <f t="shared" si="109"/>
        <v>37.2343104</v>
      </c>
      <c r="NK73" s="541">
        <f t="shared" si="110"/>
        <v>3.11240027191391</v>
      </c>
      <c r="NL73" s="541">
        <f t="shared" si="111"/>
        <v>157.570726688131</v>
      </c>
      <c r="NM73" s="541">
        <f t="shared" si="112"/>
        <v>3.11240027191391</v>
      </c>
      <c r="NN73" s="541">
        <f t="shared" si="113"/>
        <v>157.893586202222</v>
      </c>
      <c r="NO73" s="541">
        <f t="shared" si="114"/>
        <v>4.22313521982683</v>
      </c>
      <c r="NP73" s="541">
        <f t="shared" si="115"/>
        <v>160.034503460458</v>
      </c>
      <c r="NQ73" s="541">
        <f t="shared" si="116"/>
        <v>4.22313521982683</v>
      </c>
      <c r="NR73" s="541">
        <f t="shared" si="117"/>
        <v>160.371991777304</v>
      </c>
      <c r="NS73" s="541">
        <f t="shared" si="118"/>
        <v>3.15631434975025</v>
      </c>
      <c r="NT73" s="541">
        <f t="shared" si="119"/>
        <v>3.15631434975025</v>
      </c>
      <c r="NU73" s="541">
        <f t="shared" si="120"/>
        <v>4.26916689689649</v>
      </c>
      <c r="NV73" s="541">
        <f t="shared" si="121"/>
        <v>4.26916689689649</v>
      </c>
      <c r="NW73" s="11">
        <f t="shared" si="122"/>
        <v>3.70105199913463</v>
      </c>
      <c r="NX73" s="11">
        <f>各项系数!$M$9*NK73</f>
        <v>0.933720081574174</v>
      </c>
      <c r="NY73" s="11">
        <f t="shared" si="123"/>
        <v>3.15631434975025</v>
      </c>
    </row>
    <row r="74" s="11" customFormat="1" customHeight="1" spans="1:389">
      <c r="A74" s="81"/>
      <c r="B74" s="82"/>
      <c r="C74" s="83"/>
      <c r="D74" s="74" t="s">
        <v>255</v>
      </c>
      <c r="E74" s="550">
        <f t="shared" si="325"/>
        <v>39.5556549</v>
      </c>
      <c r="F74" s="84">
        <f>$F$26</f>
        <v>245.088056587712</v>
      </c>
      <c r="G74" s="74"/>
      <c r="H74" s="23"/>
      <c r="I74" s="78"/>
      <c r="J74" s="78"/>
      <c r="K74" s="23"/>
      <c r="L74" s="128" t="s">
        <v>467</v>
      </c>
      <c r="M74" s="119">
        <f t="shared" si="2"/>
        <v>1.1</v>
      </c>
      <c r="N74" s="119">
        <f t="shared" si="252"/>
        <v>0</v>
      </c>
      <c r="O74" s="74">
        <f t="shared" si="326"/>
        <v>0.08</v>
      </c>
      <c r="P74" s="120">
        <v>0.1</v>
      </c>
      <c r="Q74" s="165">
        <f t="shared" ref="Q74:Q83" si="337">$Q$12</f>
        <v>0.1</v>
      </c>
      <c r="R74" s="182">
        <v>0.8</v>
      </c>
      <c r="S74" s="173" t="str">
        <f>各项系数!$D$43</f>
        <v>钢带</v>
      </c>
      <c r="T74" s="78">
        <v>0.5</v>
      </c>
      <c r="U74" s="78">
        <v>2</v>
      </c>
      <c r="V74" s="172"/>
      <c r="W74" s="174">
        <v>2.2</v>
      </c>
      <c r="X74" s="168">
        <f t="shared" ref="X74:X83" si="338">$X$12</f>
        <v>0.2</v>
      </c>
      <c r="Y74" s="221"/>
      <c r="Z74" s="222"/>
      <c r="AA74" s="223">
        <f>$AA$26</f>
        <v>1.013</v>
      </c>
      <c r="AB74" s="186">
        <f>PI()*EJ74*EJ74/4*EH74*(1-H74)*AA74*各项系数!$F$5*各项系数!$J$4*10^-7</f>
        <v>0.803196977708722</v>
      </c>
      <c r="AC74" s="224">
        <f t="shared" si="327"/>
        <v>245.088056587712</v>
      </c>
      <c r="AD74" s="186">
        <f t="shared" si="5"/>
        <v>90.8023783381159</v>
      </c>
      <c r="AE74" s="186">
        <f>POWER(4*EU74/PI()/EG74/10^-7/EH74/(1-H74)/各项系数!$F$5/各项系数!$J$4,0.5)</f>
        <v>246.675984853019</v>
      </c>
      <c r="AF74" s="225">
        <v>1</v>
      </c>
      <c r="AG74" s="23">
        <f>IF(EM74=0,0,PI()*ER74*ER74/4*EP74*(1-K74)*(1+AF74)*各项系数!$F$5*各项系数!$J$4*10^-7)</f>
        <v>0</v>
      </c>
      <c r="AH74" s="23">
        <f t="shared" si="328"/>
        <v>0</v>
      </c>
      <c r="AI74" s="85">
        <f t="shared" si="128"/>
        <v>0</v>
      </c>
      <c r="AJ74" s="85">
        <f>IF(OR(EP74="",EP74=0),0,POWER(4*EW74/PI()/EO74/10^-7/EP74/(1-K74)/各项系数!$F$5/各项系数!$J$4,0.5))</f>
        <v>0</v>
      </c>
      <c r="AK74" s="23" t="str">
        <f t="shared" si="8"/>
        <v>√</v>
      </c>
      <c r="AL74" s="23">
        <f t="shared" si="329"/>
        <v>224.27409753468</v>
      </c>
      <c r="AM74" s="127">
        <f t="shared" si="330"/>
        <v>95</v>
      </c>
      <c r="AN74" s="128" t="s">
        <v>486</v>
      </c>
      <c r="AO74" s="176">
        <f>AP74+各项系数!$M$9*$NK74</f>
        <v>219.876566210471</v>
      </c>
      <c r="AP74" s="176">
        <f>AQ74*(1+$BI74+(VLOOKUP($AM74,$A$12:$B$323,2,0))+各项系数!$J$6+各项系数!$M$5)*(1+$E$2)</f>
        <v>218.626846656203</v>
      </c>
      <c r="AQ74" s="262">
        <f>AR74+各项系数!$L$9*$NK74</f>
        <v>223.088619036942</v>
      </c>
      <c r="AR74" s="262">
        <f>AS74*(1+$BJ74+各项系数!$J$5+各项系数!$L$5)</f>
        <v>221.838899482674</v>
      </c>
      <c r="AS74" s="262">
        <f t="shared" si="129"/>
        <v>217.489117139876</v>
      </c>
      <c r="AT74" s="176">
        <f>AU74+各项系数!$M$9*$NM74</f>
        <v>222.431627469796</v>
      </c>
      <c r="AU74" s="176">
        <f>AV74*(1+$BI74+(VLOOKUP($AM74,$A$12:$B$323,2,0))+各项系数!$J$6+各项系数!$M$5)*(1+$E$2)</f>
        <v>221.181907915528</v>
      </c>
      <c r="AV74" s="262">
        <f>AW74+各项系数!$L$9*$NM74</f>
        <v>225.6958244036</v>
      </c>
      <c r="AW74" s="262">
        <f>AX74*(1+$BJ74+各项系数!$J$5+各项系数!$L$5)</f>
        <v>224.446104849333</v>
      </c>
      <c r="AX74" s="262">
        <f t="shared" si="130"/>
        <v>220.045200832679</v>
      </c>
      <c r="AY74" s="176">
        <f>AZ74+各项系数!$M$9*$NS74</f>
        <v>223.24287872421</v>
      </c>
      <c r="AZ74" s="176">
        <f>BA74*(1+$BI74+(VLOOKUP($AM74,$A$12:$B$214,2,0))+各项系数!$J$6+各项系数!$M$5)*(1+$E$2)</f>
        <v>221.978393669454</v>
      </c>
      <c r="BA74" s="262">
        <f>BB74+各项系数!$L$9*$NS74</f>
        <v>226.508564968831</v>
      </c>
      <c r="BB74" s="262">
        <f>BC74*(1+$BJ74+各项系数!$J$5+各项系数!$L$5)</f>
        <v>225.244079914074</v>
      </c>
      <c r="BC74" s="262">
        <f t="shared" si="131"/>
        <v>220.827529327524</v>
      </c>
      <c r="BD74" s="176">
        <f>BE74+各项系数!$M$9*$NS74</f>
        <v>225.808883702835</v>
      </c>
      <c r="BE74" s="176">
        <f>BF74*(1+$BI74+(VLOOKUP($AM74,$A$12:$B$214,2,0))+各项系数!$J$6+各项系数!$M$5)*(1+$E$2)</f>
        <v>224.544398648079</v>
      </c>
      <c r="BF74" s="262">
        <f>BG74+各项系数!$L$9*$NS74</f>
        <v>229.126937395999</v>
      </c>
      <c r="BG74" s="262">
        <f>BH74*(1+$BJ74+各项系数!$J$5+各项系数!$L$5)</f>
        <v>227.862452341243</v>
      </c>
      <c r="BH74" s="262">
        <f t="shared" si="132"/>
        <v>223.394561118866</v>
      </c>
      <c r="BI74" s="278"/>
      <c r="BJ74" s="279"/>
      <c r="BK74" s="95" t="s">
        <v>514</v>
      </c>
      <c r="BL74" s="176">
        <f>BM74+各项系数!$M$9*$NM74</f>
        <v>222.389141768782</v>
      </c>
      <c r="BM74" s="176">
        <f>BN74*(1+$CF74+(VLOOKUP($AM74,$A$12:$B$323,2,0))+各项系数!$J$6+各项系数!$M$5)*(1+$E$2)</f>
        <v>221.139422214514</v>
      </c>
      <c r="BN74" s="262">
        <f>BO74+各项系数!$L$9*$NM74</f>
        <v>225.652471647463</v>
      </c>
      <c r="BO74" s="262">
        <f>BP74*(1+$CG74+各项系数!$J$5+各项系数!$L$5)</f>
        <v>224.402752093196</v>
      </c>
      <c r="BP74" s="262">
        <f t="shared" si="133"/>
        <v>217.866749605044</v>
      </c>
      <c r="BQ74" s="176">
        <f>BR74+各项系数!$M$9*$NM74</f>
        <v>224.588070437956</v>
      </c>
      <c r="BR74" s="176">
        <f>BS74*(1+$CF74+(VLOOKUP($AM74,$A$12:$B$323,2,0))+各项系数!$J$6+各项系数!$M$5)*(1+$E$2)</f>
        <v>223.338350883689</v>
      </c>
      <c r="BS74" s="262">
        <f>BT74+各项系数!$L$9*$NM74</f>
        <v>227.896276411927</v>
      </c>
      <c r="BT74" s="262">
        <f>BU74*(1+$CG74+各项系数!$J$5+各项系数!$L$5)</f>
        <v>226.646556857659</v>
      </c>
      <c r="BU74" s="262">
        <f t="shared" si="134"/>
        <v>220.045200832679</v>
      </c>
      <c r="BV74" s="176">
        <f>BW74+各项系数!$M$9*$NT74</f>
        <v>224.558706165268</v>
      </c>
      <c r="BW74" s="176">
        <f>BX74*(1+$CF74+(VLOOKUP($AM74,$A$12:$B$214,2,0))+各项系数!$J$6+各项系数!$M$5)*(1+$E$2)</f>
        <v>223.294221110512</v>
      </c>
      <c r="BX74" s="262">
        <f>BY74+各项系数!$L$9*$NT$12</f>
        <v>227.851246031135</v>
      </c>
      <c r="BY74" s="262">
        <f>BZ74*(1+$CG74+各项系数!$J$5+各项系数!$L$5)</f>
        <v>227.84298262798</v>
      </c>
      <c r="BZ74" s="262">
        <f t="shared" si="11"/>
        <v>221.206779250466</v>
      </c>
      <c r="CA74" s="176">
        <f>CB74+各项系数!$M$9*$NT74</f>
        <v>226.767053183231</v>
      </c>
      <c r="CB74" s="176">
        <f>CC74*(1+$CF74+(VLOOKUP($AM74,$A$12:$B$214,2,0))+各项系数!$J$6+各项系数!$M$5)*(1+$E$2)</f>
        <v>225.502568128475</v>
      </c>
      <c r="CC74" s="262">
        <f>CD74+各项系数!$L$9*$NT$12</f>
        <v>230.104661355587</v>
      </c>
      <c r="CD74" s="262">
        <f>CE74*(1+$CG74+各项系数!$J$5+各项系数!$L$5)</f>
        <v>230.096397952432</v>
      </c>
      <c r="CE74" s="262">
        <f t="shared" si="135"/>
        <v>223.394561118866</v>
      </c>
      <c r="CF74" s="278">
        <f t="shared" si="136"/>
        <v>0</v>
      </c>
      <c r="CG74" s="278">
        <f t="shared" si="12"/>
        <v>0.01</v>
      </c>
      <c r="CH74" s="127"/>
      <c r="CI74" s="176">
        <f>CJ74+各项系数!$M$9*$NO74</f>
        <v>224.791241597083</v>
      </c>
      <c r="CJ74" s="176">
        <f>CK74*(1+$DC74+(VLOOKUP($AM74,$A$12:$B$323,2,0))+各项系数!$J$6+各项系数!$M$5)*(1+$E$2)+各项系数!$M$9*$NK74</f>
        <v>223.130579274136</v>
      </c>
      <c r="CK74" s="262">
        <f>CL74+各项系数!$L$9*$NO74</f>
        <v>226.409040530478</v>
      </c>
      <c r="CL74" s="262">
        <f>CM74*(1+$DD74+各项系数!$J$5+各项系数!$L$5)</f>
        <v>224.748378207532</v>
      </c>
      <c r="CM74" s="262">
        <f t="shared" si="13"/>
        <v>220.341547262286</v>
      </c>
      <c r="CN74" s="176">
        <f>CO74+各项系数!$M$9*$NO74</f>
        <v>227.193110033956</v>
      </c>
      <c r="CO74" s="176">
        <f>CP74*(1+$DC74+(VLOOKUP($AM74,$A$12:$B$323,2,0))+各项系数!$J$6+各项系数!$M$5)*(1+$E$2)+各项系数!$M$9*$NK74</f>
        <v>225.53244771101</v>
      </c>
      <c r="CP74" s="262">
        <f>CQ74+各项系数!$L$9*$NO74</f>
        <v>228.859926690553</v>
      </c>
      <c r="CQ74" s="262">
        <f>CR74*(1+$DD74+各项系数!$J$5+各项系数!$L$5)</f>
        <v>227.199264367606</v>
      </c>
      <c r="CR74" s="262">
        <f t="shared" si="14"/>
        <v>222.744376830987</v>
      </c>
      <c r="CS74" s="176">
        <f>CT74+各项系数!$M$9*$NU74</f>
        <v>227.051973183569</v>
      </c>
      <c r="CT74" s="176">
        <f t="shared" si="15"/>
        <v>225.375910080364</v>
      </c>
      <c r="CU74" s="262">
        <f>CV74+各项系数!$L$9*$NU74</f>
        <v>229.975418449351</v>
      </c>
      <c r="CV74" s="262">
        <f>CW74*(1+$DD74+各项系数!$J$5+各项系数!$L$5)</f>
        <v>228.299355346146</v>
      </c>
      <c r="CW74" s="262">
        <f t="shared" si="16"/>
        <v>223.822897398182</v>
      </c>
      <c r="CX74" s="176">
        <f>CY74+各项系数!$M$9*$NU74</f>
        <v>229.721669902561</v>
      </c>
      <c r="CY74" s="176">
        <f t="shared" si="17"/>
        <v>228.045606799356</v>
      </c>
      <c r="CZ74" s="262">
        <f>DA74+各项系数!$L$9*$NU74</f>
        <v>232.699598774853</v>
      </c>
      <c r="DA74" s="262">
        <f>DB74*(1+$DD74+各项系数!$J$5+各项系数!$L$5)</f>
        <v>231.023535671648</v>
      </c>
      <c r="DB74" s="262">
        <f t="shared" si="18"/>
        <v>226.493662423185</v>
      </c>
      <c r="DC74" s="278">
        <f t="shared" si="137"/>
        <v>0</v>
      </c>
      <c r="DD74" s="278">
        <f t="shared" si="19"/>
        <v>0</v>
      </c>
      <c r="DE74" s="95" t="s">
        <v>498</v>
      </c>
      <c r="DF74" s="95" t="s">
        <v>513</v>
      </c>
      <c r="DG74" s="176">
        <f>DH74+各项系数!$M$9*$NQ74</f>
        <v>227.34724044188</v>
      </c>
      <c r="DH74" s="176">
        <f>DI74*(1+$EA74+(VLOOKUP($AM74,$A$12:$B$323,2,0))+各项系数!$J$6+各项系数!$M$5)*(1+$E$2)+各项系数!$M$9*$NK74</f>
        <v>225.686578118934</v>
      </c>
      <c r="DI74" s="262">
        <f>DJ74+各项系数!$L$9*$NQ74</f>
        <v>229.017202617006</v>
      </c>
      <c r="DJ74" s="262">
        <f>DK74*(1+$EB74+各项系数!$J$5+各项系数!$L$5)</f>
        <v>227.35654029406</v>
      </c>
      <c r="DK74" s="262">
        <f t="shared" si="20"/>
        <v>220.734505139864</v>
      </c>
      <c r="DL74" s="176">
        <f>DM74+各项系数!$M$9*$NQ74</f>
        <v>229.635407965825</v>
      </c>
      <c r="DM74" s="176">
        <f>DN74*(1+$EA74+(VLOOKUP($AM74,$A$12:$B$323,2,0))+各项系数!$J$6+各项系数!$M$5)*(1+$E$2)+各项系数!$M$9*$NK74</f>
        <v>227.974745642879</v>
      </c>
      <c r="DN74" s="262">
        <f>DO74+各项系数!$L$9*$NQ74</f>
        <v>231.352067437358</v>
      </c>
      <c r="DO74" s="262">
        <f>DP74*(1+$EB74+各项系数!$J$5+各项系数!$L$5)</f>
        <v>229.691405114411</v>
      </c>
      <c r="DP74" s="262">
        <f t="shared" si="21"/>
        <v>223.001364188749</v>
      </c>
      <c r="DQ74" s="176">
        <f>DR74+各项系数!$M$9*$NV74</f>
        <v>229.643721921575</v>
      </c>
      <c r="DR74" s="176">
        <f t="shared" si="22"/>
        <v>227.96765881837</v>
      </c>
      <c r="DS74" s="262">
        <f>DT74+各项系数!$L$9*$NV74</f>
        <v>232.620060018745</v>
      </c>
      <c r="DT74" s="262">
        <f>DU74*(1+$EB74+各项系数!$J$5+各项系数!$L$5)</f>
        <v>230.94399691554</v>
      </c>
      <c r="DU74" s="262">
        <f t="shared" si="23"/>
        <v>224.217472733534</v>
      </c>
      <c r="DV74" s="176">
        <f>DW74+各项系数!$M$9*$NV74</f>
        <v>229.767640635954</v>
      </c>
      <c r="DW74" s="176">
        <f t="shared" si="24"/>
        <v>228.091577532749</v>
      </c>
      <c r="DX74" s="262">
        <f>DY74+各项系数!$L$9*$NV74</f>
        <v>232.746507686479</v>
      </c>
      <c r="DY74" s="262">
        <f>DZ74*(1+$EB74+各项系数!$J$5+各项系数!$L$5)</f>
        <v>231.070444583274</v>
      </c>
      <c r="DZ74" s="262">
        <f t="shared" si="25"/>
        <v>224.340237459489</v>
      </c>
      <c r="EA74" s="278">
        <f t="shared" si="324"/>
        <v>0</v>
      </c>
      <c r="EB74" s="278">
        <f t="shared" si="27"/>
        <v>0.01</v>
      </c>
      <c r="EC74" s="302">
        <f t="shared" si="138"/>
        <v>4</v>
      </c>
      <c r="ED74" s="304" t="str">
        <f t="shared" si="331"/>
        <v>4*95</v>
      </c>
      <c r="EE74" s="95">
        <f t="shared" si="239"/>
        <v>95</v>
      </c>
      <c r="EF74" s="95" t="str">
        <f>LOOKUP(EH74,{1,7,10,14,19,24,30,37,48,61},{1,"1+6","2+8","4+10","1+6+12","2+8+14","4+10+16","1+6+12+18","3+9+15+21","1+6+12+18+24"})</f>
        <v>1+6+12</v>
      </c>
      <c r="EG74" s="127">
        <f t="shared" si="29"/>
        <v>4</v>
      </c>
      <c r="EH74" s="262">
        <f>VLOOKUP(EE74,各项系数!$B$87:$C$124,2,0)</f>
        <v>19</v>
      </c>
      <c r="EI74" s="127">
        <f>IF(EH74=0,0,VLOOKUP(EH74,各项系数!$D$142:$E$195,2,0))*1</f>
        <v>5</v>
      </c>
      <c r="EJ74" s="307">
        <f t="shared" si="141"/>
        <v>245.088056587712</v>
      </c>
      <c r="EK74" s="95">
        <f t="shared" si="332"/>
        <v>0</v>
      </c>
      <c r="EL74" s="95">
        <f t="shared" si="31"/>
        <v>0</v>
      </c>
      <c r="EM74" s="95">
        <f t="shared" si="333"/>
        <v>0</v>
      </c>
      <c r="EN74" s="95">
        <f>IF(EP74=0,0,LOOKUP(EP74,{1,7,10,14,19,24,30,37,48,61},{1,"1+6","2+8","4+10","1+6+12","2+8+14","4+10+16","1+6+12+18","3+9+15+21","1+6+12+18+24"}))</f>
        <v>0</v>
      </c>
      <c r="EO74" s="95">
        <f t="shared" si="334"/>
        <v>0</v>
      </c>
      <c r="EP74" s="95">
        <f>IF(EM74=0,0,IF(EM74&lt;10,1,IF(AND(EM74&gt;=10,EM74&lt;=35),7,LOOKUP(EM74,{50,70,95,120,150,185,240,300},{10,14,19,24,30,37,48,61})*1)))</f>
        <v>0</v>
      </c>
      <c r="EQ74" s="95">
        <f>IF(EP74=0,0,VLOOKUP(EP74,各项系数!$D$142:$E$195,2,0))*1</f>
        <v>0</v>
      </c>
      <c r="ER74" s="95">
        <f t="shared" si="335"/>
        <v>0</v>
      </c>
      <c r="ES74" s="304">
        <f t="shared" si="336"/>
        <v>4</v>
      </c>
      <c r="ET74" s="95">
        <f>VLOOKUP(ES74,各项系数!$D$142:$E$195,2,0)*1</f>
        <v>2.42</v>
      </c>
      <c r="EU74" s="311">
        <f>((各项系数!$F$76/4*$EJ74^2*$EG74*$EH74*1*10^-7)*(1-$H74)*AA74)*(VLOOKUP($EY$9,各项系数!$D$4:$F$143,3,0))*各项系数!$J$4</f>
        <v>3.21278791083489</v>
      </c>
      <c r="EV74" s="312">
        <f>EU74*(VLOOKUP($EY$9,各项系数!$D$4:$F$143,2,0))</f>
        <v>210.437608159685</v>
      </c>
      <c r="EW74" s="324">
        <f>(IF($EO74=0,0,(各项系数!$F$76/4*$ER74^2*$EO74*$EP74*1*10^-7))*(1-$K74)*$AF74)*(VLOOKUP($EY$9,各项系数!$D$4:$F$143,3,0))*各项系数!$J$4</f>
        <v>0</v>
      </c>
      <c r="EX74" s="325">
        <f>EW74*(VLOOKUP($EY$9,各项系数!$D$4:$F$143,2,0))</f>
        <v>0</v>
      </c>
      <c r="EY74" s="251">
        <f>((各项系数!$F$76/4*$EJ74^2*$EG74*$EH74*1*10^-7)*(1-$H74)*AA74+IF($EO74=0,0,(各项系数!$F$76/4*$ER74^2*$EO74*$EP74*1*10^-7))*(1-$K74)*$AF74)*(VLOOKUP($EY$9,各项系数!$D$4:$F$143,3,0))*各项系数!$J$4</f>
        <v>3.21278791083489</v>
      </c>
      <c r="EZ74" s="127">
        <v>1</v>
      </c>
      <c r="FA74" s="95">
        <f t="shared" si="268"/>
        <v>3.21278791083489</v>
      </c>
      <c r="FB74" s="314">
        <f>FA74*(VLOOKUP($EY$9,各项系数!$D$4:$F$143,2,0))</f>
        <v>210.437608159685</v>
      </c>
      <c r="FC74" s="329"/>
      <c r="FD74" s="304">
        <f>各项系数!$F$76/4*($MN74^2-MK74^2)*10^-2*(VLOOKUP(L74,各项系数!$D$1:$F$143,3,0))*10^-3*10^2*$EG74*各项系数!$J$4</f>
        <v>0.202042525339274</v>
      </c>
      <c r="FE74" s="341">
        <f>FD74*VLOOKUP(L74,各项系数!$D$1:$F$143,2,0)</f>
        <v>2.06083375846059</v>
      </c>
      <c r="FF74" s="127">
        <f>各项系数!$F$76/4*($MO74^2-ML74^2)*10^-2*(VLOOKUP(L74,各项系数!$D$1:$F$143,3,0))*10^-3*10^2*$EO74*各项系数!$J$4</f>
        <v>0</v>
      </c>
      <c r="FG74" s="341">
        <f>FF74*VLOOKUP(L74,各项系数!$D$1:$F$143,2,0)</f>
        <v>0</v>
      </c>
      <c r="FH74" s="304">
        <f t="shared" si="142"/>
        <v>0.202042525339274</v>
      </c>
      <c r="FI74" s="127">
        <v>1</v>
      </c>
      <c r="FJ74" s="95">
        <f t="shared" si="269"/>
        <v>0.202042525339274</v>
      </c>
      <c r="FK74" s="341">
        <f>FJ74*VLOOKUP(L74,各项系数!$D$1:$F$143,2,0)</f>
        <v>2.06083375846059</v>
      </c>
      <c r="FL74" s="304"/>
      <c r="FM74" s="127"/>
      <c r="FN74" s="95"/>
      <c r="FO74" s="341"/>
      <c r="FP74" s="371">
        <f t="shared" si="270"/>
        <v>0.202042525339274</v>
      </c>
      <c r="FQ74" s="371">
        <f t="shared" si="271"/>
        <v>2.06083375846059</v>
      </c>
      <c r="FR74" s="365">
        <f>各项系数!$F$76/4*($MQ74^2-$MN74^2*$EG74-$MO74^2*$EO74)*10^-2</f>
        <v>3.0462234033378</v>
      </c>
      <c r="FS74" s="366">
        <f t="shared" si="143"/>
        <v>1</v>
      </c>
      <c r="FT74" s="367">
        <f t="shared" si="40"/>
        <v>3.0462234033378</v>
      </c>
      <c r="FU74" s="395">
        <f>$FT74*(VLOOKUP($FT$9,各项系数!$D$1:$F$143,3,0))*10^-3*10^2*各项系数!$J$55</f>
        <v>0.363719074358533</v>
      </c>
      <c r="FV74" s="396">
        <v>1</v>
      </c>
      <c r="FW74" s="397">
        <f t="shared" si="272"/>
        <v>0.363719074358533</v>
      </c>
      <c r="FX74" s="372">
        <f>FW74*(VLOOKUP($FT$9,各项系数!$D$1:$F$143,2,0))</f>
        <v>1.0911572230756</v>
      </c>
      <c r="FY74" s="395">
        <f>IF($BK74&lt;&gt;$FY$9,0,各项系数!$F$76/4*($MS74^2-$MQ74^2)*10^-2*(VLOOKUP($FY$9,各项系数!$D$1:$F$143,3,0))*10^-3*10^2)*各项系数!$J$4</f>
        <v>0</v>
      </c>
      <c r="FZ74" s="396">
        <v>1</v>
      </c>
      <c r="GA74" s="397">
        <f t="shared" si="273"/>
        <v>0</v>
      </c>
      <c r="GB74" s="372">
        <f>GA74*(VLOOKUP($FY$9,各项系数!$D$1:$F$143,2,0))</f>
        <v>0</v>
      </c>
      <c r="GC74" s="395">
        <f>IF($BK74&lt;&gt;$GC$9,0,各项系数!$F$76/4*($MS74^2-$MQ74^2)*10^-2*(VLOOKUP($GC$9,各项系数!$D$1:$F$143,3,0))*10^-3*10^2)*各项系数!$J$4</f>
        <v>0.00954987185870314</v>
      </c>
      <c r="GD74" s="396">
        <v>1</v>
      </c>
      <c r="GE74" s="397">
        <f t="shared" si="274"/>
        <v>0.00954987185870314</v>
      </c>
      <c r="GF74" s="372">
        <f>GE74*(VLOOKUP($GC$9,各项系数!$D$1:$F$143,2,0))</f>
        <v>0.123193346977271</v>
      </c>
      <c r="GG74" s="395">
        <f>IF($BK74&lt;&gt;$GG$9,0,各项系数!$F$76/4*($MS74^2-$MQ74^2)*10^-2*(VLOOKUP($GG$9,各项系数!$D$1:$F$143,3,0))*10^-3*10^2)*各项系数!$J$4</f>
        <v>0</v>
      </c>
      <c r="GH74" s="396">
        <v>1</v>
      </c>
      <c r="GI74" s="397">
        <f t="shared" si="275"/>
        <v>0</v>
      </c>
      <c r="GJ74" s="372">
        <f>GI74*(VLOOKUP($GG$9,各项系数!$D$1:$F$143,2,0))</f>
        <v>0</v>
      </c>
      <c r="GK74" s="395">
        <f>IF($BK74&lt;&gt;$GK$9,0,各项系数!$F$76/4*($MS74^2-$MQ74^2)*10^-2*(VLOOKUP($GK$9,各项系数!$D$1:$F$143,3,0))*10^-3*10^2)*各项系数!$J$4</f>
        <v>0</v>
      </c>
      <c r="GL74" s="396">
        <v>1</v>
      </c>
      <c r="GM74" s="397">
        <f t="shared" si="276"/>
        <v>0</v>
      </c>
      <c r="GN74" s="372">
        <f>GM74*(VLOOKUP($GK$9,各项系数!$D$1:$F$143,2,0))</f>
        <v>0</v>
      </c>
      <c r="GO74" s="397">
        <f t="shared" si="277"/>
        <v>0.00954987185870314</v>
      </c>
      <c r="GP74" s="397">
        <f t="shared" si="278"/>
        <v>0.123193346977271</v>
      </c>
      <c r="GQ74" s="408">
        <f>各项系数!$F$76/4*($MU74^2-$MS74^2)*10^-2*(VLOOKUP($S74,各项系数!$D$1:$F$143,3,0))*10^-3*10^2*各项系数!$J$4</f>
        <v>0.658269635199372</v>
      </c>
      <c r="GR74" s="396">
        <v>1</v>
      </c>
      <c r="GS74" s="397">
        <f t="shared" si="279"/>
        <v>0.658269635199372</v>
      </c>
      <c r="GT74" s="397">
        <f t="shared" si="200"/>
        <v>0</v>
      </c>
      <c r="GU74" s="397">
        <f>ROUND($GS74*(VLOOKUP($S74,各项系数!$D$1:$F$143,2,0))+$E$3*GS74,GT74)</f>
        <v>4</v>
      </c>
      <c r="GV74" s="406">
        <f>各项系数!$F$76/4*($MT74^2-$MS74^2)*10^-2*(VLOOKUP($GV$9,各项系数!$D$1:$F$143,3,0))*10^-3*10^2*各项系数!$J$4*PI()/4*R74</f>
        <v>0.0492183349615669</v>
      </c>
      <c r="GW74" s="396">
        <v>1</v>
      </c>
      <c r="GX74" s="397">
        <f t="shared" si="280"/>
        <v>0.0492183349615669</v>
      </c>
      <c r="GY74" s="397">
        <f>$GX74*(VLOOKUP($GV$9,各项系数!$D$1:$F$143,2,0))</f>
        <v>3.32223760990576</v>
      </c>
      <c r="GZ74" s="408">
        <f>各项系数!$F$76/4*($MV74^2-$MS74^2)*10^-2*(VLOOKUP($GZ$9,各项系数!$D$1:$F$143,3,0))*10^-3*10^2*各项系数!$J$4</f>
        <v>0.372494608498851</v>
      </c>
      <c r="HA74" s="396">
        <v>1</v>
      </c>
      <c r="HB74" s="397">
        <f t="shared" si="144"/>
        <v>0.372494608498851</v>
      </c>
      <c r="HC74" s="397">
        <f>HB74*(VLOOKUP($GZ$9,各项系数!$D$1:$F$143,2,0))</f>
        <v>6.33240834448046</v>
      </c>
      <c r="HD74" s="408">
        <f>各项系数!$F$76/4*($MW74^2-$MT74^2)*10^-2*(VLOOKUP($HD$9,各项系数!$D$1:$F$143,3,0))*10^-3*10^2*各项系数!$J$4</f>
        <v>0.374090060044791</v>
      </c>
      <c r="HE74" s="396">
        <v>1</v>
      </c>
      <c r="HF74" s="397">
        <f t="shared" si="145"/>
        <v>0.374090060044791</v>
      </c>
      <c r="HG74" s="397">
        <f>HF74*(VLOOKUP($HD$9,各项系数!$D$1:$F$143,2,0))</f>
        <v>6.35953102076145</v>
      </c>
      <c r="HH74" s="408">
        <f>各项系数!$F$76/4*($MV74^2-$MS74^2)*10^-2*(VLOOKUP($HH$9,各项系数!$D$1:$F$143,3,0))*10^-3*10^2*各项系数!$J$4</f>
        <v>0.372494608498851</v>
      </c>
      <c r="HI74" s="397">
        <v>1</v>
      </c>
      <c r="HJ74" s="397">
        <f t="shared" si="146"/>
        <v>0.372494608498851</v>
      </c>
      <c r="HK74" s="397">
        <f>HJ74*(VLOOKUP($HH$9,各项系数!$D$1:$F$143,2,0))</f>
        <v>6.33240834448046</v>
      </c>
      <c r="HL74" s="408">
        <f>各项系数!$F$76/4*($MW74^2-$MT74^2)*10^-2*(VLOOKUP($HL$9,各项系数!$D$1:$F$143,3,0))*10^-3*10^2*各项系数!$J$4</f>
        <v>0.374090060044791</v>
      </c>
      <c r="HM74" s="397">
        <v>1</v>
      </c>
      <c r="HN74" s="397">
        <f t="shared" si="147"/>
        <v>0.374090060044791</v>
      </c>
      <c r="HO74" s="397">
        <f>HN74*(VLOOKUP($HL$9,各项系数!$D$1:$F$143,2,0))</f>
        <v>6.35953102076145</v>
      </c>
      <c r="HP74" s="408">
        <f>各项系数!$F$76/4*($MV74^2-$MS74^2)*10^-2*(VLOOKUP(AN74,各项系数!$D$1:$F$143,3,0))*10^-3*10^2*各项系数!$J$4</f>
        <v>0.3776324651678</v>
      </c>
      <c r="HQ74" s="396">
        <v>1</v>
      </c>
      <c r="HR74" s="397">
        <f t="shared" si="281"/>
        <v>0.3776324651678</v>
      </c>
      <c r="HS74" s="397">
        <f>HR74*(VLOOKUP(AN74,各项系数!$D$1:$F$143,2,0))</f>
        <v>3.776324651678</v>
      </c>
      <c r="HT74" s="408">
        <f>各项系数!$F$76/4*($MW74^2-$MT74^2)*10^-2*(VLOOKUP(AN74,各项系数!$D$1:$F$143,3,0))*10^-3*10^2*各项系数!$J$4</f>
        <v>0.37924992294196</v>
      </c>
      <c r="HU74" s="396">
        <v>1</v>
      </c>
      <c r="HV74" s="397">
        <f t="shared" si="282"/>
        <v>0.37924992294196</v>
      </c>
      <c r="HW74" s="397">
        <f>HV74*(VLOOKUP(AN74,各项系数!$D$1:$F$143,2,0))</f>
        <v>3.7924992294196</v>
      </c>
      <c r="HX74" s="408">
        <f>各项系数!$F$76/4*($MV74^2-$MS74^2)*10^-2*(VLOOKUP($HX$9,各项系数!$D$1:$F$143,3,0))*10^-3*10^2*各项系数!$J$4</f>
        <v>0.3776324651678</v>
      </c>
      <c r="HY74" s="397">
        <v>1</v>
      </c>
      <c r="HZ74" s="397">
        <f t="shared" si="283"/>
        <v>0.3776324651678</v>
      </c>
      <c r="IA74" s="397">
        <f>HZ74*(VLOOKUP($HX$9,各项系数!$D$1:$F$143,2,0))</f>
        <v>4.1539571168458</v>
      </c>
      <c r="IB74" s="408">
        <f>各项系数!$F$76/4*($MW74^2-$MT74^2)*10^-2*(VLOOKUP($IB$9,各项系数!$D$1:$F$143,3,0))*10^-3*10^2*各项系数!$J$4</f>
        <v>0.37924992294196</v>
      </c>
      <c r="IC74" s="397">
        <v>1</v>
      </c>
      <c r="ID74" s="397">
        <f t="shared" si="284"/>
        <v>0.37924992294196</v>
      </c>
      <c r="IE74" s="397">
        <f>ID74*(VLOOKUP($IB$9,各项系数!$D$1:$F$143,2,0))</f>
        <v>4.17174915236156</v>
      </c>
      <c r="IF74" s="395"/>
      <c r="IG74" s="408">
        <f t="shared" si="148"/>
        <v>0.0706385081969061</v>
      </c>
      <c r="IH74" s="396">
        <v>1</v>
      </c>
      <c r="II74" s="397">
        <f t="shared" si="285"/>
        <v>0.0706385081969061</v>
      </c>
      <c r="IJ74" s="397">
        <f>II74*(VLOOKUP($IG$8,各项系数!$D$1:$F$143,2,0))</f>
        <v>1.76596270492265</v>
      </c>
      <c r="IK74" s="408">
        <f>(各项系数!$F$76/4*($MX74^2-$MK74^2)*$EG74)*10^-2*(VLOOKUP($IG$8,各项系数!$D$1:$F$143,3,0))*10^-3*10^2*各项系数!$J$4</f>
        <v>0.0706385081969061</v>
      </c>
      <c r="IL74" s="396">
        <f>IK74*(VLOOKUP($IG$8,各项系数!$D$1:$F$143,2,0))</f>
        <v>1.76596270492265</v>
      </c>
      <c r="IM74" s="397">
        <f>(各项系数!$F$76/4*(($MM74+3*$X74)^2-MM74^2)*$EO74)*10^-2*(VLOOKUP($IG$8,各项系数!$D$1:$F$143,3,0))*10^-3*10^2*各项系数!$J$4</f>
        <v>0</v>
      </c>
      <c r="IN74" s="396">
        <f>IM74*(VLOOKUP($IG$8,各项系数!$D$1:$F$143,2,0))</f>
        <v>0</v>
      </c>
      <c r="IO74" s="408">
        <f>各项系数!$F$76/4*($MZ74^2-$MX74^2)*10^-2*(VLOOKUP(L74,各项系数!$D$1:$F$143,3,0))*10^-3*10^2*$ES74*各项系数!$J$4</f>
        <v>0.211120094479968</v>
      </c>
      <c r="IP74" s="396">
        <v>1</v>
      </c>
      <c r="IQ74" s="397">
        <f t="shared" si="286"/>
        <v>0.211120094479968</v>
      </c>
      <c r="IR74" s="372">
        <f>IQ74*(VLOOKUP(L74,各项系数!$D$1:$F$143,2,0))</f>
        <v>2.15342496369568</v>
      </c>
      <c r="IS74" s="408">
        <f>IF($L74&lt;&gt;$IS$9,0,各项系数!$F$76/4*($MZ74^2-$MX74^2)*10^-2*各项系数!$F$12*10^-3*10^2)*$ES74*各项系数!$J$4</f>
        <v>0</v>
      </c>
      <c r="IT74" s="396">
        <v>1</v>
      </c>
      <c r="IU74" s="397">
        <f t="shared" si="287"/>
        <v>0</v>
      </c>
      <c r="IV74" s="372">
        <f>IU74*各项系数!$E$12</f>
        <v>0</v>
      </c>
      <c r="IW74" s="395">
        <f t="shared" si="288"/>
        <v>0.211120094479968</v>
      </c>
      <c r="IX74" s="395">
        <f t="shared" si="289"/>
        <v>2.15342496369568</v>
      </c>
      <c r="IY74" s="447">
        <f>各项系数!$F$76/4*($NB74^2-$MZ74^2*$EG74-$NA74^2*$EO74)*10^-2</f>
        <v>3.30436876400861</v>
      </c>
      <c r="IZ74" s="366">
        <f t="shared" si="231"/>
        <v>1</v>
      </c>
      <c r="JA74" s="367">
        <f t="shared" si="64"/>
        <v>3.30436876400861</v>
      </c>
      <c r="JB74" s="371">
        <f>IF($DE74&lt;&gt;$JB$9,0,$JA74*各项系数!$F$32*10^-3*10^2)*各项系数!$J$4</f>
        <v>0</v>
      </c>
      <c r="JC74" s="127">
        <v>1</v>
      </c>
      <c r="JD74" s="95">
        <f t="shared" si="290"/>
        <v>0</v>
      </c>
      <c r="JE74" s="341">
        <f>JD74*各项系数!$E$32</f>
        <v>0</v>
      </c>
      <c r="JF74" s="364">
        <f>IF($DE74&lt;&gt;$JF$9,0,$JA74*VLOOKUP($JF$9,各项系数!$D$4:$F$540,2,0)*10^-3*10^2)*各项系数!$J$4</f>
        <v>1.64392346009428</v>
      </c>
      <c r="JG74" s="123">
        <v>1</v>
      </c>
      <c r="JH74" s="251">
        <f t="shared" si="66"/>
        <v>1.64392346009428</v>
      </c>
      <c r="JI74" s="339">
        <f>JH74*VLOOKUP($JF$9,各项系数!$D$4:$F$540,3,0)</f>
        <v>1.97270815211314</v>
      </c>
      <c r="JJ74" s="371">
        <f t="shared" si="291"/>
        <v>1.64392346009428</v>
      </c>
      <c r="JK74" s="95">
        <f t="shared" si="292"/>
        <v>1.97270815211314</v>
      </c>
      <c r="JL74" s="371">
        <f>IF($DF74&lt;&gt;$JL$9,0,各项系数!$F$76/4*($NE74^2-$NC74^2)*10^-2*各项系数!$F$39*10^-3*10^2)*各项系数!$J$4</f>
        <v>0.00411322530448216</v>
      </c>
      <c r="JM74" s="127">
        <v>1</v>
      </c>
      <c r="JN74" s="95">
        <f t="shared" si="293"/>
        <v>0.00411322530448216</v>
      </c>
      <c r="JO74" s="341">
        <f>JN74*各项系数!$E$39</f>
        <v>0.0822645060896431</v>
      </c>
      <c r="JP74" s="371">
        <f>IF($DF74&lt;&gt;$JP$9,0,各项系数!$F$76/4*($NE74^2-$NC74^2)*10^-2*各项系数!$F$36*10^-3*10^2)*各项系数!$J$4</f>
        <v>0</v>
      </c>
      <c r="JQ74" s="127">
        <v>1</v>
      </c>
      <c r="JR74" s="95">
        <f t="shared" si="294"/>
        <v>0</v>
      </c>
      <c r="JS74" s="341">
        <f>JR74*各项系数!$E$36</f>
        <v>0</v>
      </c>
      <c r="JT74" s="371">
        <f>IF($DF74&lt;&gt;$JT$9,0,各项系数!$F$76/4*($NE74^2-$NC74^2)*10^-2*各项系数!$F$40*10^-3*10^2)*各项系数!$J$4</f>
        <v>0</v>
      </c>
      <c r="JU74" s="127">
        <v>1</v>
      </c>
      <c r="JV74" s="95">
        <f t="shared" si="295"/>
        <v>0</v>
      </c>
      <c r="JW74" s="341">
        <f>JV74*各项系数!$E$40</f>
        <v>0</v>
      </c>
      <c r="JX74" s="371">
        <f>IF($DF74&lt;&gt;$JX$9,0,各项系数!$F$76/4*($NE74^2-$NC74^2)*10^-2*各项系数!$F$38*10^-3*10^2)*各项系数!$J$4</f>
        <v>0</v>
      </c>
      <c r="JY74" s="127">
        <v>1</v>
      </c>
      <c r="JZ74" s="95">
        <f t="shared" si="296"/>
        <v>0</v>
      </c>
      <c r="KA74" s="341">
        <f>JZ74*各项系数!$E$38</f>
        <v>0</v>
      </c>
      <c r="KB74" s="371">
        <f>IF($DF74&lt;&gt;$KB$9,0,各项系数!$F$76/4*($NE74^2-$NC74^2)*10^-2*各项系数!$F$41*10^-3*10^2)*各项系数!$J$4</f>
        <v>0</v>
      </c>
      <c r="KC74" s="127">
        <v>1</v>
      </c>
      <c r="KD74" s="95">
        <f t="shared" si="297"/>
        <v>0</v>
      </c>
      <c r="KE74" s="341">
        <f>KD74*各项系数!$E$41</f>
        <v>0</v>
      </c>
      <c r="KF74" s="95">
        <f t="shared" si="298"/>
        <v>0.00411322530448216</v>
      </c>
      <c r="KG74" s="95">
        <f t="shared" si="299"/>
        <v>0.0822645060896431</v>
      </c>
      <c r="KH74" s="304">
        <f>各项系数!$F$76/4*($NG74^2-$NE74^2)*10^-2*各项系数!$F$44*10^-3*10^2*各项系数!$J$4*0.75*$U74</f>
        <v>1.02909440817273</v>
      </c>
      <c r="KI74" s="127">
        <v>1</v>
      </c>
      <c r="KJ74" s="95">
        <f t="shared" si="300"/>
        <v>1.02909440817273</v>
      </c>
      <c r="KK74" s="95">
        <f>ROUND(KJ74*各项系数!$E$43,GT74)</f>
        <v>6</v>
      </c>
      <c r="KL74" s="302">
        <f>各项系数!$F$76/4*($NF74^2-$NE74^2)*10^-2*各项系数!$F$46*10^-3*10^2*各项系数!$J$4*PI()/4*R74</f>
        <v>0.0513359341948862</v>
      </c>
      <c r="KM74" s="127">
        <v>1</v>
      </c>
      <c r="KN74" s="95">
        <f t="shared" si="301"/>
        <v>0.0513359341948862</v>
      </c>
      <c r="KO74" s="95">
        <f>KN74*各项系数!$E$46</f>
        <v>3.46517555815482</v>
      </c>
      <c r="KP74" s="304">
        <f>各项系数!$F$76/4*($NH74^2-$NE74^2)*10^-2*(VLOOKUP($KP$9,各项系数!$D$1:$F$143,3,0))*10^-3*10^2*各项系数!$J$4</f>
        <v>0.387611511896635</v>
      </c>
      <c r="KQ74" s="127">
        <v>1</v>
      </c>
      <c r="KR74" s="95">
        <f t="shared" si="150"/>
        <v>0.387611511896635</v>
      </c>
      <c r="KS74" s="95">
        <f>KR74*(VLOOKUP($KP$9,各项系数!$D$1:$F$143,2,0))</f>
        <v>6.58939570224279</v>
      </c>
      <c r="KT74" s="304">
        <f>各项系数!$F$76/4*($NI74^2-$NF74^2)*10^-2*(VLOOKUP($KT$9,各项系数!$D$1:$F$143,3,0))*10^-3*10^2*各项系数!$J$4</f>
        <v>0.389206963442575</v>
      </c>
      <c r="KU74" s="127">
        <v>1</v>
      </c>
      <c r="KV74" s="95">
        <f t="shared" si="151"/>
        <v>0.389206963442575</v>
      </c>
      <c r="KW74" s="95">
        <f>KV74*(VLOOKUP($KT$9,各项系数!$D$1:$F$143,2,0))</f>
        <v>6.61651837852377</v>
      </c>
      <c r="KX74" s="95">
        <f>各项系数!$F$76/4*($NH74^2-$NE74^2)*10^-2*(VLOOKUP($KX$9,各项系数!$D$1:$F$143,3,0))*10^-3*10^2*各项系数!$J$4</f>
        <v>0.387611511896635</v>
      </c>
      <c r="KY74" s="481">
        <v>1</v>
      </c>
      <c r="KZ74" s="95">
        <f t="shared" si="152"/>
        <v>0.387611511896635</v>
      </c>
      <c r="LA74" s="95">
        <f>KZ74*(VLOOKUP($KX$9,各项系数!$D$1:$F$143,2,0))</f>
        <v>6.58939570224279</v>
      </c>
      <c r="LB74" s="95">
        <f>各项系数!$F$76/4*($NI74^2-$NF74^2)*10^-2*(VLOOKUP($LB$9,各项系数!$D$1:$F$143,3,0))*10^-3*10^2*各项系数!$J$4</f>
        <v>0.389206963442575</v>
      </c>
      <c r="LC74" s="481">
        <v>1</v>
      </c>
      <c r="LD74" s="95">
        <f t="shared" si="153"/>
        <v>0.389206963442575</v>
      </c>
      <c r="LE74" s="95">
        <f>LD74*(VLOOKUP($LB$9,各项系数!$D$1:$F$143,2,0))</f>
        <v>6.61651837852377</v>
      </c>
      <c r="LF74" s="304">
        <f>各项系数!$F$76/4*($NH74^2-$NE74^2)*10^-2*(VLOOKUP(AN74,各项系数!$D$1:$F$143,3,0))*10^-3*10^2*各项系数!$J$4</f>
        <v>0.392957877577968</v>
      </c>
      <c r="LG74" s="127">
        <v>1</v>
      </c>
      <c r="LH74" s="95">
        <f t="shared" si="302"/>
        <v>0.392957877577968</v>
      </c>
      <c r="LI74" s="95">
        <f>LH74*(VLOOKUP(AN74,各项系数!$D$1:$F$143,2,0))</f>
        <v>3.92957877577968</v>
      </c>
      <c r="LJ74" s="304">
        <f>各项系数!$F$76/4*($NI74^2-$NF74^2)*10^-2*(VLOOKUP(AN74,各项系数!$D$1:$F$143,3,0))*10^-3*10^2*各项系数!$J$4</f>
        <v>0.394575335352128</v>
      </c>
      <c r="LK74" s="127">
        <v>1</v>
      </c>
      <c r="LL74" s="95">
        <f t="shared" si="303"/>
        <v>0.394575335352128</v>
      </c>
      <c r="LM74" s="95">
        <f>LL74*(VLOOKUP(AN74,各项系数!$D$1:$F$143,2,0))</f>
        <v>3.94575335352128</v>
      </c>
      <c r="LN74" s="95">
        <f>各项系数!$F$76/4*($NH74^2-$NE74^2)*10^-2*(VLOOKUP($LN$9,各项系数!$D$1:$F$143,3,0))*10^-3*10^2*各项系数!$J$4</f>
        <v>0.392957877577968</v>
      </c>
      <c r="LO74" s="481">
        <v>1</v>
      </c>
      <c r="LP74" s="95">
        <f t="shared" si="304"/>
        <v>0.392957877577968</v>
      </c>
      <c r="LQ74" s="95">
        <f>LP74*(VLOOKUP($LN$9,各项系数!$D$1:$F$143,2,0))</f>
        <v>4.32253665335764</v>
      </c>
      <c r="LR74" s="95">
        <f>各项系数!$F$76/4*($NI74^2-$NF74^2)*10^-2*(VLOOKUP($LR$9,各项系数!$D$1:$F$143,3,0))*10^-3*10^2*各项系数!$J$4</f>
        <v>0.394575335352128</v>
      </c>
      <c r="LS74" s="481">
        <v>1</v>
      </c>
      <c r="LT74" s="95">
        <f t="shared" si="305"/>
        <v>0.394575335352128</v>
      </c>
      <c r="LU74" s="95">
        <f>LT74*(VLOOKUP($LR$9,各项系数!$D$1:$F$143,2,0))</f>
        <v>4.3403286888734</v>
      </c>
      <c r="LV74" s="501">
        <f t="shared" si="154"/>
        <v>471.77419153</v>
      </c>
      <c r="LW74" s="501">
        <f t="shared" si="155"/>
        <v>358.54838556</v>
      </c>
      <c r="LX74" s="501">
        <f t="shared" si="156"/>
        <v>21.3662814545709</v>
      </c>
      <c r="LY74" s="519">
        <f t="shared" si="157"/>
        <v>113.22580597</v>
      </c>
      <c r="LZ74" s="516">
        <f t="shared" si="86"/>
        <v>1</v>
      </c>
      <c r="MA74" s="517">
        <f t="shared" si="87"/>
        <v>471.77419153</v>
      </c>
      <c r="MB74" s="501">
        <f t="shared" si="158"/>
        <v>12.25440285</v>
      </c>
      <c r="MC74" s="501">
        <f t="shared" si="159"/>
        <v>0</v>
      </c>
      <c r="MD74" s="501">
        <f t="shared" si="160"/>
        <v>0</v>
      </c>
      <c r="ME74" s="501">
        <f t="shared" si="161"/>
        <v>0</v>
      </c>
      <c r="MF74" s="501">
        <f t="shared" si="162"/>
        <v>0</v>
      </c>
      <c r="MG74" s="527">
        <f t="shared" si="163"/>
        <v>1</v>
      </c>
      <c r="MH74" s="517">
        <f t="shared" si="88"/>
        <v>0</v>
      </c>
      <c r="MI74" s="501">
        <f t="shared" si="164"/>
        <v>0</v>
      </c>
      <c r="MJ74" s="95">
        <f t="shared" si="89"/>
        <v>12.25440285</v>
      </c>
      <c r="MK74" s="95">
        <f t="shared" si="165"/>
        <v>12.25440285</v>
      </c>
      <c r="ML74" s="95">
        <f t="shared" si="306"/>
        <v>0</v>
      </c>
      <c r="MM74" s="95">
        <f t="shared" si="91"/>
        <v>0</v>
      </c>
      <c r="MN74" s="95">
        <f t="shared" si="92"/>
        <v>14.45440285</v>
      </c>
      <c r="MO74" s="251">
        <f t="shared" si="166"/>
        <v>0</v>
      </c>
      <c r="MP74" s="95">
        <f t="shared" si="167"/>
        <v>34.9796549</v>
      </c>
      <c r="MQ74" s="95">
        <f t="shared" si="307"/>
        <v>34.9796549</v>
      </c>
      <c r="MR74" s="314">
        <f t="shared" si="168"/>
        <v>34.9796549</v>
      </c>
      <c r="MS74" s="530">
        <f t="shared" si="94"/>
        <v>35.1556549</v>
      </c>
      <c r="MT74" s="532">
        <f t="shared" si="95"/>
        <v>35.3156549</v>
      </c>
      <c r="MU74" s="532">
        <f t="shared" si="232"/>
        <v>36.6556549</v>
      </c>
      <c r="MV74" s="532">
        <f t="shared" si="97"/>
        <v>39.5556549</v>
      </c>
      <c r="MW74" s="532">
        <f t="shared" si="98"/>
        <v>39.7156549</v>
      </c>
      <c r="MX74" s="314">
        <f t="shared" si="233"/>
        <v>12.85440285</v>
      </c>
      <c r="MY74" s="314">
        <f t="shared" si="100"/>
        <v>0</v>
      </c>
      <c r="MZ74" s="95">
        <f t="shared" si="101"/>
        <v>15.05440285</v>
      </c>
      <c r="NA74" s="95">
        <f t="shared" si="102"/>
        <v>0</v>
      </c>
      <c r="NB74" s="95">
        <f t="shared" si="169"/>
        <v>36.4316549</v>
      </c>
      <c r="NC74" s="314">
        <f t="shared" si="308"/>
        <v>36.4316549</v>
      </c>
      <c r="ND74" s="314">
        <f t="shared" si="234"/>
        <v>36.4316549</v>
      </c>
      <c r="NE74" s="537">
        <f t="shared" si="235"/>
        <v>36.6716549</v>
      </c>
      <c r="NF74" s="532">
        <f t="shared" si="106"/>
        <v>36.8316549</v>
      </c>
      <c r="NG74" s="180">
        <f t="shared" si="236"/>
        <v>38.1716549</v>
      </c>
      <c r="NH74" s="314">
        <f t="shared" si="108"/>
        <v>41.0716549</v>
      </c>
      <c r="NI74" s="532">
        <f t="shared" si="109"/>
        <v>41.2316549</v>
      </c>
      <c r="NK74" s="541">
        <f t="shared" si="110"/>
        <v>4.1657318475592</v>
      </c>
      <c r="NL74" s="541">
        <f t="shared" si="111"/>
        <v>217.489117139876</v>
      </c>
      <c r="NM74" s="541">
        <f t="shared" si="112"/>
        <v>4.1657318475592</v>
      </c>
      <c r="NN74" s="541">
        <f t="shared" si="113"/>
        <v>217.866749605044</v>
      </c>
      <c r="NO74" s="541">
        <f t="shared" si="114"/>
        <v>5.53554107648849</v>
      </c>
      <c r="NP74" s="541">
        <f t="shared" si="115"/>
        <v>220.341547262286</v>
      </c>
      <c r="NQ74" s="541">
        <f t="shared" si="116"/>
        <v>5.53554107648849</v>
      </c>
      <c r="NR74" s="541">
        <f t="shared" si="117"/>
        <v>220.734505139864</v>
      </c>
      <c r="NS74" s="541">
        <f t="shared" si="118"/>
        <v>4.21495018252076</v>
      </c>
      <c r="NT74" s="541">
        <f t="shared" si="119"/>
        <v>4.21495018252076</v>
      </c>
      <c r="NU74" s="541">
        <f t="shared" si="120"/>
        <v>5.58687701068338</v>
      </c>
      <c r="NV74" s="541">
        <f t="shared" si="121"/>
        <v>5.58687701068338</v>
      </c>
      <c r="NW74" s="11">
        <f t="shared" si="122"/>
        <v>4.82400148275857</v>
      </c>
      <c r="NX74" s="11">
        <f>各项系数!$M$9*NK74</f>
        <v>1.24971955426776</v>
      </c>
      <c r="NY74" s="11">
        <f t="shared" si="123"/>
        <v>4.21495018252076</v>
      </c>
    </row>
    <row r="75" s="11" customFormat="1" customHeight="1" spans="1:389">
      <c r="A75" s="81"/>
      <c r="B75" s="82"/>
      <c r="C75" s="83"/>
      <c r="D75" s="74" t="s">
        <v>307</v>
      </c>
      <c r="E75" s="550">
        <f t="shared" si="325"/>
        <v>46.34654909</v>
      </c>
      <c r="F75" s="84">
        <f>$F$27</f>
        <v>244.921136962963</v>
      </c>
      <c r="G75" s="74"/>
      <c r="H75" s="23"/>
      <c r="I75" s="78"/>
      <c r="J75" s="78"/>
      <c r="K75" s="23"/>
      <c r="L75" s="128" t="s">
        <v>467</v>
      </c>
      <c r="M75" s="119">
        <f t="shared" si="2"/>
        <v>1.2</v>
      </c>
      <c r="N75" s="119">
        <f t="shared" si="252"/>
        <v>0</v>
      </c>
      <c r="O75" s="74">
        <f t="shared" si="326"/>
        <v>0.08</v>
      </c>
      <c r="P75" s="120">
        <v>0.1</v>
      </c>
      <c r="Q75" s="165">
        <f t="shared" si="337"/>
        <v>0.1</v>
      </c>
      <c r="R75" s="182">
        <v>0.8</v>
      </c>
      <c r="S75" s="173" t="str">
        <f>各项系数!$D$43</f>
        <v>钢带</v>
      </c>
      <c r="T75" s="78">
        <v>0.5</v>
      </c>
      <c r="U75" s="78">
        <v>2</v>
      </c>
      <c r="V75" s="172"/>
      <c r="W75" s="174">
        <v>2.4</v>
      </c>
      <c r="X75" s="168">
        <f t="shared" si="338"/>
        <v>0.2</v>
      </c>
      <c r="Y75" s="221"/>
      <c r="Z75" s="222"/>
      <c r="AA75" s="223">
        <f>$AA$27</f>
        <v>1.013</v>
      </c>
      <c r="AB75" s="186">
        <f>PI()*EJ75*EJ75/4*EH75*(1-H75)*AA75*各项系数!$F$5*各项系数!$J$4*10^-7</f>
        <v>1.01318311567178</v>
      </c>
      <c r="AC75" s="224">
        <f t="shared" si="327"/>
        <v>244.921136962963</v>
      </c>
      <c r="AD75" s="186">
        <f t="shared" si="5"/>
        <v>114.541562217361</v>
      </c>
      <c r="AE75" s="186">
        <f>POWER(4*EU75/PI()/EG75/10^-7/EH75/(1-H75)/各项系数!$F$5/各项系数!$J$4,0.5)</f>
        <v>246.50798375415</v>
      </c>
      <c r="AF75" s="225">
        <v>1</v>
      </c>
      <c r="AG75" s="23">
        <f>IF(EM75=0,0,PI()*ER75*ER75/4*EP75*(1-K75)*(1+AF75)*各项系数!$F$5*各项系数!$J$4*10^-7)</f>
        <v>0</v>
      </c>
      <c r="AH75" s="23">
        <f t="shared" si="328"/>
        <v>0</v>
      </c>
      <c r="AI75" s="85">
        <f t="shared" si="128"/>
        <v>0</v>
      </c>
      <c r="AJ75" s="85">
        <f>IF(OR(EP75="",EP75=0),0,POWER(4*EW75/PI()/EO75/10^-7/EP75/(1-K75)/各项系数!$F$5/各项系数!$J$4,0.5))</f>
        <v>0</v>
      </c>
      <c r="AK75" s="23" t="str">
        <f t="shared" si="8"/>
        <v>√</v>
      </c>
      <c r="AL75" s="23">
        <f t="shared" si="329"/>
        <v>283.252386681004</v>
      </c>
      <c r="AM75" s="127">
        <f t="shared" si="330"/>
        <v>120</v>
      </c>
      <c r="AN75" s="128" t="s">
        <v>486</v>
      </c>
      <c r="AO75" s="176">
        <f>AP75+各项系数!$M$9*$NK75</f>
        <v>277.69841831471</v>
      </c>
      <c r="AP75" s="176">
        <f>AQ75*(1+$BI75+(VLOOKUP($AM75,$A$12:$B$323,2,0))+各项系数!$J$6+各项系数!$M$5)*(1+$E$2)</f>
        <v>276.102483643754</v>
      </c>
      <c r="AQ75" s="262">
        <f>AR75+各项系数!$L$9*$NK75</f>
        <v>281.737228207912</v>
      </c>
      <c r="AR75" s="262">
        <f>AS75*(1+$BJ75+各项系数!$J$5+各项系数!$L$5)</f>
        <v>280.141293536956</v>
      </c>
      <c r="AS75" s="262">
        <f t="shared" si="129"/>
        <v>274.648326997016</v>
      </c>
      <c r="AT75" s="176">
        <f>AU75+各项系数!$M$9*$NM75</f>
        <v>280.977545797277</v>
      </c>
      <c r="AU75" s="176">
        <f>AV75*(1+$BI75+(VLOOKUP($AM75,$A$12:$B$323,2,0))+各项系数!$J$6+各项系数!$M$5)*(1+$E$2)</f>
        <v>279.381611126321</v>
      </c>
      <c r="AV75" s="262">
        <f>AW75+各项系数!$L$9*$NM75</f>
        <v>285.083276659511</v>
      </c>
      <c r="AW75" s="262">
        <f>AX75*(1+$BJ75+各项系数!$J$5+各项系数!$L$5)</f>
        <v>283.487341988555</v>
      </c>
      <c r="AX75" s="262">
        <f t="shared" si="130"/>
        <v>277.928766655447</v>
      </c>
      <c r="AY75" s="176">
        <f>AZ75+各项系数!$M$9*$NS75</f>
        <v>281.673835692022</v>
      </c>
      <c r="AZ75" s="176">
        <f>BA75*(1+$BI75+(VLOOKUP($AM75,$A$12:$B$214,2,0))+各项系数!$J$6+各项系数!$M$5)*(1+$E$2)</f>
        <v>280.060457416494</v>
      </c>
      <c r="BA75" s="262">
        <f>BB75+各项系数!$L$9*$NS75</f>
        <v>285.775976955606</v>
      </c>
      <c r="BB75" s="262">
        <f>BC75*(1+$BJ75+各项系数!$J$5+各项系数!$L$5)</f>
        <v>284.162598680078</v>
      </c>
      <c r="BC75" s="262">
        <f t="shared" si="131"/>
        <v>278.590783019684</v>
      </c>
      <c r="BD75" s="176">
        <f>BE75+各项系数!$M$9*$NS75</f>
        <v>284.964901777462</v>
      </c>
      <c r="BE75" s="176">
        <f>BF75*(1+$BI75+(VLOOKUP($AM75,$A$12:$B$214,2,0))+各项系数!$J$6+各项系数!$M$5)*(1+$E$2)</f>
        <v>283.351523501934</v>
      </c>
      <c r="BF75" s="262">
        <f>BG75+各项系数!$L$9*$NS75</f>
        <v>289.134207655034</v>
      </c>
      <c r="BG75" s="262">
        <f>BH75*(1+$BJ75+各项系数!$J$5+各项系数!$L$5)</f>
        <v>287.520829379506</v>
      </c>
      <c r="BH75" s="262">
        <f t="shared" si="132"/>
        <v>281.883166058339</v>
      </c>
      <c r="BI75" s="278"/>
      <c r="BJ75" s="279"/>
      <c r="BK75" s="95" t="s">
        <v>514</v>
      </c>
      <c r="BL75" s="176">
        <f>BM75+各项系数!$M$9*$NM75</f>
        <v>280.879175478385</v>
      </c>
      <c r="BM75" s="176">
        <f>BN75*(1+$CF75+(VLOOKUP($AM75,$A$12:$B$323,2,0))+各项系数!$J$6+各项系数!$M$5)*(1+$E$2)</f>
        <v>279.28324080743</v>
      </c>
      <c r="BN75" s="262">
        <f>BO75+各项系数!$L$9*$NM75</f>
        <v>284.982898783091</v>
      </c>
      <c r="BO75" s="262">
        <f>BP75*(1+$CG75+各项系数!$J$5+各项系数!$L$5)</f>
        <v>283.386964112135</v>
      </c>
      <c r="BP75" s="262">
        <f t="shared" si="133"/>
        <v>275.132974866151</v>
      </c>
      <c r="BQ75" s="176">
        <f>BR75+各项系数!$M$9*$NM75</f>
        <v>283.701247710501</v>
      </c>
      <c r="BR75" s="176">
        <f>BS75*(1+$CF75+(VLOOKUP($AM75,$A$12:$B$323,2,0))+各项系数!$J$6+各项系数!$M$5)*(1+$E$2)</f>
        <v>282.105313039545</v>
      </c>
      <c r="BS75" s="262">
        <f>BT75+各项系数!$L$9*$NM75</f>
        <v>287.862564326066</v>
      </c>
      <c r="BT75" s="262">
        <f>BU75*(1+$CG75+各项系数!$J$5+各项系数!$L$5)</f>
        <v>286.26662965511</v>
      </c>
      <c r="BU75" s="262">
        <f t="shared" si="134"/>
        <v>277.928766655447</v>
      </c>
      <c r="BV75" s="176">
        <f>BW75+各项系数!$M$9*$NT75</f>
        <v>283.321997435478</v>
      </c>
      <c r="BW75" s="176">
        <f>BX75*(1+$CF75+(VLOOKUP($AM75,$A$12:$B$214,2,0))+各项系数!$J$6+各项系数!$M$5)*(1+$E$2)</f>
        <v>281.70861915995</v>
      </c>
      <c r="BX75" s="262">
        <f>BY75+各项系数!$L$9*$NT$12</f>
        <v>287.45777465301</v>
      </c>
      <c r="BY75" s="262">
        <f>BZ75*(1+$CG75+各项系数!$J$5+各项系数!$L$5)</f>
        <v>287.449511249855</v>
      </c>
      <c r="BZ75" s="262">
        <f t="shared" si="11"/>
        <v>279.077195388209</v>
      </c>
      <c r="CA75" s="176">
        <f>CB75+各项系数!$M$9*$NT75</f>
        <v>286.154344229908</v>
      </c>
      <c r="CB75" s="176">
        <f>CC75*(1+$CF75+(VLOOKUP($AM75,$A$12:$B$214,2,0))+各项系数!$J$6+各项系数!$M$5)*(1+$E$2)</f>
        <v>284.54096595438</v>
      </c>
      <c r="CC75" s="262">
        <f>CD75+各项系数!$L$9*$NT$12</f>
        <v>290.347924443244</v>
      </c>
      <c r="CD75" s="262">
        <f>CE75*(1+$CG75+各项系数!$J$5+各项系数!$L$5)</f>
        <v>290.33966104009</v>
      </c>
      <c r="CE75" s="262">
        <f t="shared" si="135"/>
        <v>281.883166058339</v>
      </c>
      <c r="CF75" s="278">
        <f t="shared" si="136"/>
        <v>0</v>
      </c>
      <c r="CG75" s="278">
        <f t="shared" si="12"/>
        <v>0.01</v>
      </c>
      <c r="CH75" s="127"/>
      <c r="CI75" s="176">
        <f>CJ75+各项系数!$M$9*$NO75</f>
        <v>283.929696999504</v>
      </c>
      <c r="CJ75" s="176">
        <f>CK75*(1+$DC75+(VLOOKUP($AM75,$A$12:$B$323,2,0))+各项系数!$J$6+各项系数!$M$5)*(1+$E$2)+各项系数!$M$9*$NK75</f>
        <v>281.773650120687</v>
      </c>
      <c r="CK75" s="262">
        <f>CL75+各项系数!$L$9*$NO75</f>
        <v>285.89562800993</v>
      </c>
      <c r="CL75" s="262">
        <f>CM75*(1+$DD75+各项系数!$J$5+各项系数!$L$5)</f>
        <v>283.739581131113</v>
      </c>
      <c r="CM75" s="262">
        <f t="shared" si="13"/>
        <v>278.176059932463</v>
      </c>
      <c r="CN75" s="176">
        <f>CO75+各项系数!$M$9*$NO75</f>
        <v>287.041705039397</v>
      </c>
      <c r="CO75" s="176">
        <f>CP75*(1+$DC75+(VLOOKUP($AM75,$A$12:$B$323,2,0))+各项系数!$J$6+各项系数!$M$5)*(1+$E$2)+各项系数!$M$9*$NK75</f>
        <v>284.885658160579</v>
      </c>
      <c r="CP75" s="262">
        <f>CQ75+各项系数!$L$9*$NO75</f>
        <v>289.071146417983</v>
      </c>
      <c r="CQ75" s="262">
        <f>CR75*(1+$DD75+各项系数!$J$5+各项系数!$L$5)</f>
        <v>286.915099539166</v>
      </c>
      <c r="CR75" s="262">
        <f t="shared" si="14"/>
        <v>281.289313273692</v>
      </c>
      <c r="CS75" s="176">
        <f>CT75+各项系数!$M$9*$NU75</f>
        <v>286.453318332875</v>
      </c>
      <c r="CT75" s="176">
        <f t="shared" si="15"/>
        <v>284.279192569715</v>
      </c>
      <c r="CU75" s="262">
        <f>CV75+各项系数!$L$9*$NU75</f>
        <v>290.080808744607</v>
      </c>
      <c r="CV75" s="262">
        <f>CW75*(1+$DD75+各项系数!$J$5+各项系数!$L$5)</f>
        <v>287.906682981448</v>
      </c>
      <c r="CW75" s="262">
        <f t="shared" si="16"/>
        <v>282.26145390338</v>
      </c>
      <c r="CX75" s="176">
        <f>CY75+各项系数!$M$9*$NU75</f>
        <v>289.857502680534</v>
      </c>
      <c r="CY75" s="176">
        <f t="shared" si="17"/>
        <v>287.683376917374</v>
      </c>
      <c r="CZ75" s="262">
        <f>DA75+各项系数!$L$9*$NU75</f>
        <v>293.554466242218</v>
      </c>
      <c r="DA75" s="262">
        <f>DB75*(1+$DD75+各项系数!$J$5+各项系数!$L$5)</f>
        <v>291.380340479059</v>
      </c>
      <c r="DB75" s="262">
        <f t="shared" si="18"/>
        <v>285.667000469666</v>
      </c>
      <c r="DC75" s="278">
        <f t="shared" si="137"/>
        <v>0</v>
      </c>
      <c r="DD75" s="278">
        <f t="shared" si="19"/>
        <v>0</v>
      </c>
      <c r="DE75" s="95" t="s">
        <v>498</v>
      </c>
      <c r="DF75" s="95" t="s">
        <v>513</v>
      </c>
      <c r="DG75" s="176">
        <f>DH75+各项系数!$M$9*$NQ75</f>
        <v>287.161901732806</v>
      </c>
      <c r="DH75" s="176">
        <f>DI75*(1+$EA75+(VLOOKUP($AM75,$A$12:$B$323,2,0))+各项系数!$J$6+各项系数!$M$5)*(1+$E$2)+各项系数!$M$9*$NK75</f>
        <v>285.005854853988</v>
      </c>
      <c r="DI75" s="262">
        <f>DJ75+各项系数!$L$9*$NQ75</f>
        <v>289.193796105135</v>
      </c>
      <c r="DJ75" s="262">
        <f>DK75*(1+$EB75+各项系数!$J$5+各项系数!$L$5)</f>
        <v>287.037749226318</v>
      </c>
      <c r="DK75" s="262">
        <f t="shared" si="20"/>
        <v>278.677426433318</v>
      </c>
      <c r="DL75" s="176">
        <f>DM75+各项系数!$M$9*$NQ75</f>
        <v>290.081325442852</v>
      </c>
      <c r="DM75" s="176">
        <f>DN75*(1+$EA75+(VLOOKUP($AM75,$A$12:$B$323,2,0))+各项系数!$J$6+各项系数!$M$5)*(1+$E$2)+各项系数!$M$9*$NK75</f>
        <v>287.925278564035</v>
      </c>
      <c r="DN75" s="262">
        <f>DO75+各项系数!$L$9*$NQ75</f>
        <v>292.172799890897</v>
      </c>
      <c r="DO75" s="262">
        <f>DP75*(1+$EB75+各项系数!$J$5+各项系数!$L$5)</f>
        <v>290.016753012079</v>
      </c>
      <c r="DP75" s="262">
        <f t="shared" si="21"/>
        <v>281.569663118524</v>
      </c>
      <c r="DQ75" s="176">
        <f>DR75+各项系数!$M$9*$NV75</f>
        <v>289.727341012775</v>
      </c>
      <c r="DR75" s="176">
        <f t="shared" si="22"/>
        <v>287.553215249616</v>
      </c>
      <c r="DS75" s="262">
        <f>DT75+各项系数!$L$9*$NV75</f>
        <v>293.421648213894</v>
      </c>
      <c r="DT75" s="262">
        <f>DU75*(1+$EB75+各项系数!$J$5+各项系数!$L$5)</f>
        <v>291.247522450734</v>
      </c>
      <c r="DU75" s="262">
        <f t="shared" si="23"/>
        <v>282.764584903625</v>
      </c>
      <c r="DV75" s="176">
        <f>DW75+各项系数!$M$9*$NV75</f>
        <v>289.853996480121</v>
      </c>
      <c r="DW75" s="176">
        <f t="shared" si="24"/>
        <v>287.679870716962</v>
      </c>
      <c r="DX75" s="262">
        <f>DY75+各项系数!$L$9*$NV75</f>
        <v>293.550888486695</v>
      </c>
      <c r="DY75" s="262">
        <f>DZ75*(1+$EB75+各项系数!$J$5+各项系数!$L$5)</f>
        <v>291.376762723536</v>
      </c>
      <c r="DZ75" s="262">
        <f t="shared" si="25"/>
        <v>282.890060896637</v>
      </c>
      <c r="EA75" s="278">
        <f t="shared" si="324"/>
        <v>0</v>
      </c>
      <c r="EB75" s="278">
        <f t="shared" si="27"/>
        <v>0.01</v>
      </c>
      <c r="EC75" s="302">
        <f t="shared" si="138"/>
        <v>4</v>
      </c>
      <c r="ED75" s="304" t="str">
        <f t="shared" si="331"/>
        <v>4*120</v>
      </c>
      <c r="EE75" s="95">
        <f t="shared" si="239"/>
        <v>120</v>
      </c>
      <c r="EF75" s="95" t="str">
        <f>LOOKUP(EH75,{1,7,10,14,19,24,30,37,48,61},{1,"1+6","2+8","4+10","1+6+12","2+8+14","4+10+16","1+6+12+18","3+9+15+21","1+6+12+18+24"})</f>
        <v>2+8+14</v>
      </c>
      <c r="EG75" s="127">
        <f t="shared" si="29"/>
        <v>4</v>
      </c>
      <c r="EH75" s="262">
        <f>VLOOKUP(EE75,各项系数!$B$87:$C$124,2,0)</f>
        <v>24</v>
      </c>
      <c r="EI75" s="127">
        <f>IF(EH75=0,0,VLOOKUP(EH75,各项系数!$D$142:$E$195,2,0))*1</f>
        <v>6</v>
      </c>
      <c r="EJ75" s="307">
        <f t="shared" si="141"/>
        <v>244.921136962963</v>
      </c>
      <c r="EK75" s="95">
        <f t="shared" si="332"/>
        <v>0</v>
      </c>
      <c r="EL75" s="95">
        <f t="shared" si="31"/>
        <v>0</v>
      </c>
      <c r="EM75" s="95">
        <f t="shared" si="333"/>
        <v>0</v>
      </c>
      <c r="EN75" s="95">
        <f>IF(EP75=0,0,LOOKUP(EP75,{1,7,10,14,19,24,30,37,48,61},{1,"1+6","2+8","4+10","1+6+12","2+8+14","4+10+16","1+6+12+18","3+9+15+21","1+6+12+18+24"}))</f>
        <v>0</v>
      </c>
      <c r="EO75" s="95">
        <f t="shared" si="334"/>
        <v>0</v>
      </c>
      <c r="EP75" s="95">
        <f>IF(EM75=0,0,IF(EM75&lt;10,1,IF(AND(EM75&gt;=10,EM75&lt;=35),7,LOOKUP(EM75,{50,70,95,120,150,185,240,300},{10,14,19,24,30,37,48,61})*1)))</f>
        <v>0</v>
      </c>
      <c r="EQ75" s="95">
        <f>IF(EP75=0,0,VLOOKUP(EP75,各项系数!$D$142:$E$195,2,0))*1</f>
        <v>0</v>
      </c>
      <c r="ER75" s="95">
        <f t="shared" si="335"/>
        <v>0</v>
      </c>
      <c r="ES75" s="304">
        <f t="shared" si="336"/>
        <v>4</v>
      </c>
      <c r="ET75" s="95">
        <f>VLOOKUP(ES75,各项系数!$D$142:$E$195,2,0)*1</f>
        <v>2.42</v>
      </c>
      <c r="EU75" s="311">
        <f>((各项系数!$F$76/4*$EJ75^2*$EG75*$EH75*1*10^-7)*(1-$H75)*AA75)*(VLOOKUP($EY$9,各项系数!$D$4:$F$143,3,0))*各项系数!$J$4</f>
        <v>4.05273246268712</v>
      </c>
      <c r="EV75" s="312">
        <f>EU75*(VLOOKUP($EY$9,各项系数!$D$4:$F$143,2,0))</f>
        <v>265.453976306006</v>
      </c>
      <c r="EW75" s="324">
        <f>(IF($EO75=0,0,(各项系数!$F$76/4*$ER75^2*$EO75*$EP75*1*10^-7))*(1-$K75)*$AF75)*(VLOOKUP($EY$9,各项系数!$D$4:$F$143,3,0))*各项系数!$J$4</f>
        <v>0</v>
      </c>
      <c r="EX75" s="325">
        <f>EW75*(VLOOKUP($EY$9,各项系数!$D$4:$F$143,2,0))</f>
        <v>0</v>
      </c>
      <c r="EY75" s="251">
        <f>((各项系数!$F$76/4*$EJ75^2*$EG75*$EH75*1*10^-7)*(1-$H75)*AA75+IF($EO75=0,0,(各项系数!$F$76/4*$ER75^2*$EO75*$EP75*1*10^-7))*(1-$K75)*$AF75)*(VLOOKUP($EY$9,各项系数!$D$4:$F$143,3,0))*各项系数!$J$4</f>
        <v>4.05273246268712</v>
      </c>
      <c r="EZ75" s="127">
        <v>1</v>
      </c>
      <c r="FA75" s="95">
        <f t="shared" si="268"/>
        <v>4.05273246268712</v>
      </c>
      <c r="FB75" s="314">
        <f>FA75*(VLOOKUP($EY$9,各项系数!$D$4:$F$143,2,0))</f>
        <v>265.453976306006</v>
      </c>
      <c r="FC75" s="329"/>
      <c r="FD75" s="304">
        <f>各项系数!$F$76/4*($MN75^2-MK75^2)*10^-2*(VLOOKUP(L75,各项系数!$D$1:$F$143,3,0))*10^-3*10^2*$EG75*各项系数!$J$4</f>
        <v>0.262346175048975</v>
      </c>
      <c r="FE75" s="341">
        <f>FD75*VLOOKUP(L75,各项系数!$D$1:$F$143,2,0)</f>
        <v>2.67593098549954</v>
      </c>
      <c r="FF75" s="127">
        <f>各项系数!$F$76/4*($MO75^2-ML75^2)*10^-2*(VLOOKUP(L75,各项系数!$D$1:$F$143,3,0))*10^-3*10^2*$EO75*各项系数!$J$4</f>
        <v>0</v>
      </c>
      <c r="FG75" s="341">
        <f>FF75*VLOOKUP(L75,各项系数!$D$1:$F$143,2,0)</f>
        <v>0</v>
      </c>
      <c r="FH75" s="304">
        <f t="shared" si="142"/>
        <v>0.262346175048975</v>
      </c>
      <c r="FI75" s="127">
        <v>1</v>
      </c>
      <c r="FJ75" s="95">
        <f t="shared" si="269"/>
        <v>0.262346175048975</v>
      </c>
      <c r="FK75" s="341">
        <f>FJ75*VLOOKUP(L75,各项系数!$D$1:$F$143,2,0)</f>
        <v>2.67593098549954</v>
      </c>
      <c r="FL75" s="304"/>
      <c r="FM75" s="127"/>
      <c r="FN75" s="95"/>
      <c r="FO75" s="341"/>
      <c r="FP75" s="371">
        <f t="shared" si="270"/>
        <v>0.262346175048975</v>
      </c>
      <c r="FQ75" s="371">
        <f t="shared" si="271"/>
        <v>2.67593098549954</v>
      </c>
      <c r="FR75" s="365">
        <f>各项系数!$F$76/4*($MQ75^2-$MN75^2*$EG75-$MO75^2*$EO75)*10^-2</f>
        <v>4.26101712122034</v>
      </c>
      <c r="FS75" s="366">
        <f t="shared" si="143"/>
        <v>1</v>
      </c>
      <c r="FT75" s="367">
        <f t="shared" si="40"/>
        <v>4.26101712122034</v>
      </c>
      <c r="FU75" s="395">
        <f>$FT75*(VLOOKUP($FT$9,各项系数!$D$1:$F$143,3,0))*10^-3*10^2*各项系数!$J$55</f>
        <v>0.508765444273709</v>
      </c>
      <c r="FV75" s="396">
        <v>1</v>
      </c>
      <c r="FW75" s="397">
        <f t="shared" si="272"/>
        <v>0.508765444273709</v>
      </c>
      <c r="FX75" s="372">
        <f>FW75*(VLOOKUP($FT$9,各项系数!$D$1:$F$143,2,0))</f>
        <v>1.52629633282113</v>
      </c>
      <c r="FY75" s="395">
        <f>IF($BK75&lt;&gt;$FY$9,0,各项系数!$F$76/4*($MS75^2-$MQ75^2)*10^-2*(VLOOKUP($FY$9,各项系数!$D$1:$F$143,3,0))*10^-3*10^2)*各项系数!$J$4</f>
        <v>0</v>
      </c>
      <c r="FZ75" s="396">
        <v>1</v>
      </c>
      <c r="GA75" s="397">
        <f t="shared" si="273"/>
        <v>0</v>
      </c>
      <c r="GB75" s="372">
        <f>GA75*(VLOOKUP($FY$9,各项系数!$D$1:$F$143,2,0))</f>
        <v>0</v>
      </c>
      <c r="GC75" s="395">
        <f>IF($BK75&lt;&gt;$GC$9,0,各项系数!$F$76/4*($MS75^2-$MQ75^2)*10^-2*(VLOOKUP($GC$9,各项系数!$D$1:$F$143,3,0))*10^-3*10^2)*各项系数!$J$4</f>
        <v>0.0112902853751208</v>
      </c>
      <c r="GD75" s="396">
        <v>1</v>
      </c>
      <c r="GE75" s="397">
        <f t="shared" si="274"/>
        <v>0.0112902853751208</v>
      </c>
      <c r="GF75" s="372">
        <f>GE75*(VLOOKUP($GC$9,各项系数!$D$1:$F$143,2,0))</f>
        <v>0.145644681339059</v>
      </c>
      <c r="GG75" s="395">
        <f>IF($BK75&lt;&gt;$GG$9,0,各项系数!$F$76/4*($MS75^2-$MQ75^2)*10^-2*(VLOOKUP($GG$9,各项系数!$D$1:$F$143,3,0))*10^-3*10^2)*各项系数!$J$4</f>
        <v>0</v>
      </c>
      <c r="GH75" s="396">
        <v>1</v>
      </c>
      <c r="GI75" s="397">
        <f t="shared" si="275"/>
        <v>0</v>
      </c>
      <c r="GJ75" s="372">
        <f>GI75*(VLOOKUP($GG$9,各项系数!$D$1:$F$143,2,0))</f>
        <v>0</v>
      </c>
      <c r="GK75" s="395">
        <f>IF($BK75&lt;&gt;$GK$9,0,各项系数!$F$76/4*($MS75^2-$MQ75^2)*10^-2*(VLOOKUP($GK$9,各项系数!$D$1:$F$143,3,0))*10^-3*10^2)*各项系数!$J$4</f>
        <v>0</v>
      </c>
      <c r="GL75" s="396">
        <v>1</v>
      </c>
      <c r="GM75" s="397">
        <f t="shared" si="276"/>
        <v>0</v>
      </c>
      <c r="GN75" s="372">
        <f>GM75*(VLOOKUP($GK$9,各项系数!$D$1:$F$143,2,0))</f>
        <v>0</v>
      </c>
      <c r="GO75" s="397">
        <f t="shared" si="277"/>
        <v>0.0112902853751208</v>
      </c>
      <c r="GP75" s="397">
        <f t="shared" si="278"/>
        <v>0.145644681339059</v>
      </c>
      <c r="GQ75" s="408">
        <f>各项系数!$F$76/4*($MU75^2-$MS75^2)*10^-2*(VLOOKUP($S75,各项系数!$D$1:$F$143,3,0))*10^-3*10^2*各项系数!$J$4</f>
        <v>0.77543590326399</v>
      </c>
      <c r="GR75" s="396">
        <v>1</v>
      </c>
      <c r="GS75" s="397">
        <f t="shared" si="279"/>
        <v>0.77543590326399</v>
      </c>
      <c r="GT75" s="397">
        <f t="shared" si="200"/>
        <v>0</v>
      </c>
      <c r="GU75" s="397">
        <f>ROUND($GS75*(VLOOKUP($S75,各项系数!$D$1:$F$143,2,0))+$E$3*GS75,GT75)</f>
        <v>4</v>
      </c>
      <c r="GV75" s="406">
        <f>各项系数!$F$76/4*($MT75^2-$MS75^2)*10^-2*(VLOOKUP($GV$9,各项系数!$D$1:$F$143,3,0))*10^-3*10^2*各项系数!$J$4*PI()/4*R75</f>
        <v>0.0581453485743427</v>
      </c>
      <c r="GW75" s="396">
        <v>1</v>
      </c>
      <c r="GX75" s="397">
        <f t="shared" si="280"/>
        <v>0.0581453485743427</v>
      </c>
      <c r="GY75" s="397">
        <f>$GX75*(VLOOKUP($GV$9,各项系数!$D$1:$F$143,2,0))</f>
        <v>3.92481102876813</v>
      </c>
      <c r="GZ75" s="408">
        <f>各项系数!$F$76/4*($MV75^2-$MS75^2)*10^-2*(VLOOKUP($GZ$9,各项系数!$D$1:$F$143,3,0))*10^-3*10^2*各项系数!$J$4</f>
        <v>0.47805402057532</v>
      </c>
      <c r="HA75" s="396">
        <v>1</v>
      </c>
      <c r="HB75" s="397">
        <f t="shared" si="144"/>
        <v>0.47805402057532</v>
      </c>
      <c r="HC75" s="397">
        <f>HB75*(VLOOKUP($GZ$9,各项系数!$D$1:$F$143,2,0))</f>
        <v>8.12691834978044</v>
      </c>
      <c r="HD75" s="408">
        <f>各项系数!$F$76/4*($MW75^2-$MT75^2)*10^-2*(VLOOKUP($HD$9,各项系数!$D$1:$F$143,3,0))*10^-3*10^2*各项系数!$J$4</f>
        <v>0.479794513170891</v>
      </c>
      <c r="HE75" s="396">
        <v>1</v>
      </c>
      <c r="HF75" s="397">
        <f t="shared" si="145"/>
        <v>0.479794513170891</v>
      </c>
      <c r="HG75" s="397">
        <f>HF75*(VLOOKUP($HD$9,各项系数!$D$1:$F$143,2,0))</f>
        <v>8.15650672390515</v>
      </c>
      <c r="HH75" s="408">
        <f>各项系数!$F$76/4*($MV75^2-$MS75^2)*10^-2*(VLOOKUP($HH$9,各项系数!$D$1:$F$143,3,0))*10^-3*10^2*各项系数!$J$4</f>
        <v>0.47805402057532</v>
      </c>
      <c r="HI75" s="397">
        <v>1</v>
      </c>
      <c r="HJ75" s="397">
        <f t="shared" si="146"/>
        <v>0.47805402057532</v>
      </c>
      <c r="HK75" s="397">
        <f>HJ75*(VLOOKUP($HH$9,各项系数!$D$1:$F$143,2,0))</f>
        <v>8.12691834978044</v>
      </c>
      <c r="HL75" s="408">
        <f>各项系数!$F$76/4*($MW75^2-$MT75^2)*10^-2*(VLOOKUP($HL$9,各项系数!$D$1:$F$143,3,0))*10^-3*10^2*各项系数!$J$4</f>
        <v>0.479794513170891</v>
      </c>
      <c r="HM75" s="397">
        <v>1</v>
      </c>
      <c r="HN75" s="397">
        <f t="shared" si="147"/>
        <v>0.479794513170891</v>
      </c>
      <c r="HO75" s="397">
        <f>HN75*(VLOOKUP($HL$9,各项系数!$D$1:$F$143,2,0))</f>
        <v>8.15650672390515</v>
      </c>
      <c r="HP75" s="408">
        <f>各项系数!$F$76/4*($MV75^2-$MS75^2)*10^-2*(VLOOKUP(AN75,各项系数!$D$1:$F$143,3,0))*10^-3*10^2*各项系数!$J$4</f>
        <v>0.48464786913498</v>
      </c>
      <c r="HQ75" s="396">
        <v>1</v>
      </c>
      <c r="HR75" s="397">
        <f t="shared" si="281"/>
        <v>0.48464786913498</v>
      </c>
      <c r="HS75" s="397">
        <f>HR75*(VLOOKUP(AN75,各项系数!$D$1:$F$143,2,0))</f>
        <v>4.8464786913498</v>
      </c>
      <c r="HT75" s="408">
        <f>各项系数!$F$76/4*($MW75^2-$MT75^2)*10^-2*(VLOOKUP(AN75,各项系数!$D$1:$F$143,3,0))*10^-3*10^2*各项系数!$J$4</f>
        <v>0.486412368524973</v>
      </c>
      <c r="HU75" s="396">
        <v>1</v>
      </c>
      <c r="HV75" s="397">
        <f t="shared" si="282"/>
        <v>0.486412368524973</v>
      </c>
      <c r="HW75" s="397">
        <f>HV75*(VLOOKUP(AN75,各项系数!$D$1:$F$143,2,0))</f>
        <v>4.86412368524973</v>
      </c>
      <c r="HX75" s="408">
        <f>各项系数!$F$76/4*($MV75^2-$MS75^2)*10^-2*(VLOOKUP($HX$9,各项系数!$D$1:$F$143,3,0))*10^-3*10^2*各项系数!$J$4</f>
        <v>0.48464786913498</v>
      </c>
      <c r="HY75" s="397">
        <v>1</v>
      </c>
      <c r="HZ75" s="397">
        <f t="shared" si="283"/>
        <v>0.48464786913498</v>
      </c>
      <c r="IA75" s="397">
        <f>HZ75*(VLOOKUP($HX$9,各项系数!$D$1:$F$143,2,0))</f>
        <v>5.33112656048478</v>
      </c>
      <c r="IB75" s="408">
        <f>各项系数!$F$76/4*($MW75^2-$MT75^2)*10^-2*(VLOOKUP($IB$9,各项系数!$D$1:$F$143,3,0))*10^-3*10^2*各项系数!$J$4</f>
        <v>0.486412368524973</v>
      </c>
      <c r="IC75" s="397">
        <v>1</v>
      </c>
      <c r="ID75" s="397">
        <f t="shared" si="284"/>
        <v>0.486412368524973</v>
      </c>
      <c r="IE75" s="397">
        <f>ID75*(VLOOKUP($IB$9,各项系数!$D$1:$F$143,2,0))</f>
        <v>5.3505360537747</v>
      </c>
      <c r="IF75" s="395"/>
      <c r="IG75" s="408">
        <f t="shared" si="148"/>
        <v>0.0843722628411018</v>
      </c>
      <c r="IH75" s="396">
        <v>1</v>
      </c>
      <c r="II75" s="397">
        <f t="shared" si="285"/>
        <v>0.0843722628411018</v>
      </c>
      <c r="IJ75" s="397">
        <f>II75*(VLOOKUP($IG$8,各项系数!$D$1:$F$143,2,0))</f>
        <v>2.10930657102754</v>
      </c>
      <c r="IK75" s="408">
        <f>(各项系数!$F$76/4*($MX75^2-$MK75^2)*$EG75)*10^-2*(VLOOKUP($IG$8,各项系数!$D$1:$F$143,3,0))*10^-3*10^2*各项系数!$J$4</f>
        <v>0.0843722628411018</v>
      </c>
      <c r="IL75" s="396">
        <f>IK75*(VLOOKUP($IG$8,各项系数!$D$1:$F$143,2,0))</f>
        <v>2.10930657102754</v>
      </c>
      <c r="IM75" s="397">
        <f>(各项系数!$F$76/4*(($MM75+3*$X75)^2-MM75^2)*$EO75)*10^-2*(VLOOKUP($IG$8,各项系数!$D$1:$F$143,3,0))*10^-3*10^2*各项系数!$J$4</f>
        <v>0</v>
      </c>
      <c r="IN75" s="396">
        <f>IM75*(VLOOKUP($IG$8,各项系数!$D$1:$F$143,2,0))</f>
        <v>0</v>
      </c>
      <c r="IO75" s="408">
        <f>各项系数!$F$76/4*($MZ75^2-$MX75^2)*10^-2*(VLOOKUP(L75,各项系数!$D$1:$F$143,3,0))*10^-3*10^2*$ES75*各项系数!$J$4</f>
        <v>0.272248977747914</v>
      </c>
      <c r="IP75" s="396">
        <v>1</v>
      </c>
      <c r="IQ75" s="397">
        <f t="shared" si="286"/>
        <v>0.272248977747914</v>
      </c>
      <c r="IR75" s="372">
        <f>IQ75*(VLOOKUP(L75,各项系数!$D$1:$F$143,2,0))</f>
        <v>2.77693957302872</v>
      </c>
      <c r="IS75" s="408">
        <f>IF($L75&lt;&gt;$IS$9,0,各项系数!$F$76/4*($MZ75^2-$MX75^2)*10^-2*各项系数!$F$12*10^-3*10^2)*$ES75*各项系数!$J$4</f>
        <v>0</v>
      </c>
      <c r="IT75" s="396">
        <v>1</v>
      </c>
      <c r="IU75" s="397">
        <f t="shared" si="287"/>
        <v>0</v>
      </c>
      <c r="IV75" s="372">
        <f>IU75*各项系数!$E$12</f>
        <v>0</v>
      </c>
      <c r="IW75" s="395">
        <f t="shared" si="288"/>
        <v>0.272248977747914</v>
      </c>
      <c r="IX75" s="395">
        <f t="shared" si="289"/>
        <v>2.77693957302872</v>
      </c>
      <c r="IY75" s="447">
        <f>各项系数!$F$76/4*($NB75^2-$MZ75^2*$EG75-$NA75^2*$EO75)*10^-2</f>
        <v>4.56536747902689</v>
      </c>
      <c r="IZ75" s="366">
        <f t="shared" si="231"/>
        <v>1</v>
      </c>
      <c r="JA75" s="367">
        <f t="shared" si="64"/>
        <v>4.56536747902689</v>
      </c>
      <c r="JB75" s="371">
        <f>IF($DE75&lt;&gt;$JB$9,0,$JA75*各项系数!$F$32*10^-3*10^2)*各项系数!$J$4</f>
        <v>0</v>
      </c>
      <c r="JC75" s="127">
        <v>1</v>
      </c>
      <c r="JD75" s="95">
        <f t="shared" si="290"/>
        <v>0</v>
      </c>
      <c r="JE75" s="341">
        <f>JD75*各项系数!$E$32</f>
        <v>0</v>
      </c>
      <c r="JF75" s="364">
        <f>IF($DE75&lt;&gt;$JF$9,0,$JA75*VLOOKUP($JF$9,各项系数!$D$4:$F$540,2,0)*10^-3*10^2)*各项系数!$J$4</f>
        <v>2.27127032081588</v>
      </c>
      <c r="JG75" s="123">
        <v>1</v>
      </c>
      <c r="JH75" s="251">
        <f t="shared" si="66"/>
        <v>2.27127032081588</v>
      </c>
      <c r="JI75" s="339">
        <f>JH75*VLOOKUP($JF$9,各项系数!$D$4:$F$540,3,0)</f>
        <v>2.72552438497905</v>
      </c>
      <c r="JJ75" s="371">
        <f t="shared" si="291"/>
        <v>2.27127032081588</v>
      </c>
      <c r="JK75" s="95">
        <f t="shared" si="292"/>
        <v>2.72552438497905</v>
      </c>
      <c r="JL75" s="371">
        <f>IF($DF75&lt;&gt;$JL$9,0,各项系数!$F$76/4*($NE75^2-$NC75^2)*10^-2*各项系数!$F$39*10^-3*10^2)*各项系数!$J$4</f>
        <v>0.00483240444349772</v>
      </c>
      <c r="JM75" s="127">
        <v>1</v>
      </c>
      <c r="JN75" s="95">
        <f t="shared" si="293"/>
        <v>0.00483240444349772</v>
      </c>
      <c r="JO75" s="341">
        <f>JN75*各项系数!$E$39</f>
        <v>0.0966480888699545</v>
      </c>
      <c r="JP75" s="371">
        <f>IF($DF75&lt;&gt;$JP$9,0,各项系数!$F$76/4*($NE75^2-$NC75^2)*10^-2*各项系数!$F$36*10^-3*10^2)*各项系数!$J$4</f>
        <v>0</v>
      </c>
      <c r="JQ75" s="127">
        <v>1</v>
      </c>
      <c r="JR75" s="95">
        <f t="shared" si="294"/>
        <v>0</v>
      </c>
      <c r="JS75" s="341">
        <f>JR75*各项系数!$E$36</f>
        <v>0</v>
      </c>
      <c r="JT75" s="371">
        <f>IF($DF75&lt;&gt;$JT$9,0,各项系数!$F$76/4*($NE75^2-$NC75^2)*10^-2*各项系数!$F$40*10^-3*10^2)*各项系数!$J$4</f>
        <v>0</v>
      </c>
      <c r="JU75" s="127">
        <v>1</v>
      </c>
      <c r="JV75" s="95">
        <f t="shared" si="295"/>
        <v>0</v>
      </c>
      <c r="JW75" s="341">
        <f>JV75*各项系数!$E$40</f>
        <v>0</v>
      </c>
      <c r="JX75" s="371">
        <f>IF($DF75&lt;&gt;$JX$9,0,各项系数!$F$76/4*($NE75^2-$NC75^2)*10^-2*各项系数!$F$38*10^-3*10^2)*各项系数!$J$4</f>
        <v>0</v>
      </c>
      <c r="JY75" s="127">
        <v>1</v>
      </c>
      <c r="JZ75" s="95">
        <f t="shared" si="296"/>
        <v>0</v>
      </c>
      <c r="KA75" s="341">
        <f>JZ75*各项系数!$E$38</f>
        <v>0</v>
      </c>
      <c r="KB75" s="371">
        <f>IF($DF75&lt;&gt;$KB$9,0,各项系数!$F$76/4*($NE75^2-$NC75^2)*10^-2*各项系数!$F$41*10^-3*10^2)*各项系数!$J$4</f>
        <v>0</v>
      </c>
      <c r="KC75" s="127">
        <v>1</v>
      </c>
      <c r="KD75" s="95">
        <f t="shared" si="297"/>
        <v>0</v>
      </c>
      <c r="KE75" s="341">
        <f>KD75*各项系数!$E$41</f>
        <v>0</v>
      </c>
      <c r="KF75" s="95">
        <f t="shared" si="298"/>
        <v>0.00483240444349772</v>
      </c>
      <c r="KG75" s="95">
        <f t="shared" si="299"/>
        <v>0.0966480888699545</v>
      </c>
      <c r="KH75" s="304">
        <f>各项系数!$F$76/4*($NG75^2-$NE75^2)*10^-2*各项系数!$F$44*10^-3*10^2*各项系数!$J$4*0.75*$U75</f>
        <v>1.20484381026965</v>
      </c>
      <c r="KI75" s="127">
        <v>1</v>
      </c>
      <c r="KJ75" s="95">
        <f t="shared" si="300"/>
        <v>1.20484381026965</v>
      </c>
      <c r="KK75" s="95">
        <f>ROUND(KJ75*各项系数!$E$43,GT75)</f>
        <v>7</v>
      </c>
      <c r="KL75" s="302">
        <f>各项系数!$F$76/4*($NF75^2-$NE75^2)*10^-2*各项系数!$F$46*10^-3*10^2*各项系数!$J$4*PI()/4*R75</f>
        <v>0.0602629478076611</v>
      </c>
      <c r="KM75" s="127">
        <v>1</v>
      </c>
      <c r="KN75" s="95">
        <f t="shared" si="301"/>
        <v>0.0602629478076611</v>
      </c>
      <c r="KO75" s="95">
        <f>KN75*各项系数!$E$46</f>
        <v>4.06774897701712</v>
      </c>
      <c r="KP75" s="304">
        <f>各项系数!$F$76/4*($NH75^2-$NE75^2)*10^-2*(VLOOKUP($KP$9,各项系数!$D$1:$F$143,3,0))*10^-3*10^2*各项系数!$J$4</f>
        <v>0.494545187918357</v>
      </c>
      <c r="KQ75" s="127">
        <v>1</v>
      </c>
      <c r="KR75" s="95">
        <f t="shared" si="150"/>
        <v>0.494545187918357</v>
      </c>
      <c r="KS75" s="95">
        <f>KR75*(VLOOKUP($KP$9,各项系数!$D$1:$F$143,2,0))</f>
        <v>8.40726819461207</v>
      </c>
      <c r="KT75" s="304">
        <f>各项系数!$F$76/4*($NI75^2-$NF75^2)*10^-2*(VLOOKUP($KT$9,各项系数!$D$1:$F$143,3,0))*10^-3*10^2*各项系数!$J$4</f>
        <v>0.496285680513929</v>
      </c>
      <c r="KU75" s="127">
        <v>1</v>
      </c>
      <c r="KV75" s="95">
        <f t="shared" si="151"/>
        <v>0.496285680513929</v>
      </c>
      <c r="KW75" s="95">
        <f>KV75*(VLOOKUP($KT$9,各项系数!$D$1:$F$143,2,0))</f>
        <v>8.43685656873679</v>
      </c>
      <c r="KX75" s="95">
        <f>各项系数!$F$76/4*($NH75^2-$NE75^2)*10^-2*(VLOOKUP($KX$9,各项系数!$D$1:$F$143,3,0))*10^-3*10^2*各项系数!$J$4</f>
        <v>0.494545187918357</v>
      </c>
      <c r="KY75" s="481">
        <v>1</v>
      </c>
      <c r="KZ75" s="95">
        <f t="shared" si="152"/>
        <v>0.494545187918357</v>
      </c>
      <c r="LA75" s="95">
        <f>KZ75*(VLOOKUP($KX$9,各项系数!$D$1:$F$143,2,0))</f>
        <v>8.40726819461207</v>
      </c>
      <c r="LB75" s="95">
        <f>各项系数!$F$76/4*($NI75^2-$NF75^2)*10^-2*(VLOOKUP($LB$9,各项系数!$D$1:$F$143,3,0))*10^-3*10^2*各项系数!$J$4</f>
        <v>0.496285680513929</v>
      </c>
      <c r="LC75" s="481">
        <v>1</v>
      </c>
      <c r="LD75" s="95">
        <f t="shared" si="153"/>
        <v>0.496285680513929</v>
      </c>
      <c r="LE75" s="95">
        <f>LD75*(VLOOKUP($LB$9,各项系数!$D$1:$F$143,2,0))</f>
        <v>8.43685656873679</v>
      </c>
      <c r="LF75" s="304">
        <f>各项系数!$F$76/4*($NH75^2-$NE75^2)*10^-2*(VLOOKUP(AN75,各项系数!$D$1:$F$143,3,0))*10^-3*10^2*各项系数!$J$4</f>
        <v>0.501366500855162</v>
      </c>
      <c r="LG75" s="127">
        <v>1</v>
      </c>
      <c r="LH75" s="95">
        <f t="shared" si="302"/>
        <v>0.501366500855162</v>
      </c>
      <c r="LI75" s="95">
        <f>LH75*(VLOOKUP(AN75,各项系数!$D$1:$F$143,2,0))</f>
        <v>5.01366500855162</v>
      </c>
      <c r="LJ75" s="304">
        <f>各项系数!$F$76/4*($NI75^2-$NF75^2)*10^-2*(VLOOKUP(AN75,各项系数!$D$1:$F$143,3,0))*10^-3*10^2*各项系数!$J$4</f>
        <v>0.503131000245155</v>
      </c>
      <c r="LK75" s="127">
        <v>1</v>
      </c>
      <c r="LL75" s="95">
        <f t="shared" si="303"/>
        <v>0.503131000245155</v>
      </c>
      <c r="LM75" s="95">
        <f>LL75*(VLOOKUP(AN75,各项系数!$D$1:$F$143,2,0))</f>
        <v>5.03131000245155</v>
      </c>
      <c r="LN75" s="95">
        <f>各项系数!$F$76/4*($NH75^2-$NE75^2)*10^-2*(VLOOKUP($LN$9,各项系数!$D$1:$F$143,3,0))*10^-3*10^2*各项系数!$J$4</f>
        <v>0.501366500855162</v>
      </c>
      <c r="LO75" s="481">
        <v>1</v>
      </c>
      <c r="LP75" s="95">
        <f t="shared" si="304"/>
        <v>0.501366500855162</v>
      </c>
      <c r="LQ75" s="95">
        <f>LP75*(VLOOKUP($LN$9,各项系数!$D$1:$F$143,2,0))</f>
        <v>5.51503150940679</v>
      </c>
      <c r="LR75" s="95">
        <f>各项系数!$F$76/4*($NI75^2-$NF75^2)*10^-2*(VLOOKUP($LR$9,各项系数!$D$1:$F$143,3,0))*10^-3*10^2*各项系数!$J$4</f>
        <v>0.503131000245155</v>
      </c>
      <c r="LS75" s="481">
        <v>1</v>
      </c>
      <c r="LT75" s="95">
        <f t="shared" si="305"/>
        <v>0.503131000245155</v>
      </c>
      <c r="LU75" s="95">
        <f>LT75*(VLOOKUP($LR$9,各项系数!$D$1:$F$143,2,0))</f>
        <v>5.53444100269671</v>
      </c>
      <c r="LV75" s="501">
        <f t="shared" si="154"/>
        <v>678.42978629</v>
      </c>
      <c r="LW75" s="501">
        <f t="shared" si="155"/>
        <v>452.28652419</v>
      </c>
      <c r="LX75" s="501">
        <f t="shared" si="156"/>
        <v>23.9972725147989</v>
      </c>
      <c r="LY75" s="519">
        <f t="shared" si="157"/>
        <v>226.1432621</v>
      </c>
      <c r="LZ75" s="516">
        <f t="shared" si="86"/>
        <v>1</v>
      </c>
      <c r="MA75" s="517">
        <f t="shared" si="87"/>
        <v>678.42978629</v>
      </c>
      <c r="MB75" s="501">
        <f t="shared" si="158"/>
        <v>14.69526822</v>
      </c>
      <c r="MC75" s="501">
        <f t="shared" si="159"/>
        <v>0</v>
      </c>
      <c r="MD75" s="501">
        <f t="shared" si="160"/>
        <v>0</v>
      </c>
      <c r="ME75" s="501">
        <f t="shared" si="161"/>
        <v>0</v>
      </c>
      <c r="MF75" s="501">
        <f t="shared" si="162"/>
        <v>0</v>
      </c>
      <c r="MG75" s="527">
        <f t="shared" si="163"/>
        <v>1</v>
      </c>
      <c r="MH75" s="517">
        <f t="shared" si="88"/>
        <v>0</v>
      </c>
      <c r="MI75" s="501">
        <f t="shared" si="164"/>
        <v>0</v>
      </c>
      <c r="MJ75" s="95">
        <f t="shared" si="89"/>
        <v>14.69526822</v>
      </c>
      <c r="MK75" s="95">
        <f t="shared" si="165"/>
        <v>14.69526822</v>
      </c>
      <c r="ML75" s="95">
        <f t="shared" si="306"/>
        <v>0</v>
      </c>
      <c r="MM75" s="95">
        <f t="shared" si="91"/>
        <v>0</v>
      </c>
      <c r="MN75" s="95">
        <f t="shared" si="92"/>
        <v>17.09526822</v>
      </c>
      <c r="MO75" s="251">
        <f t="shared" si="166"/>
        <v>0</v>
      </c>
      <c r="MP75" s="95">
        <f t="shared" si="167"/>
        <v>41.37054909</v>
      </c>
      <c r="MQ75" s="95">
        <f t="shared" si="307"/>
        <v>41.37054909</v>
      </c>
      <c r="MR75" s="314">
        <f t="shared" si="168"/>
        <v>41.37054909</v>
      </c>
      <c r="MS75" s="530">
        <f t="shared" si="94"/>
        <v>41.54654909</v>
      </c>
      <c r="MT75" s="532">
        <f t="shared" si="95"/>
        <v>41.70654909</v>
      </c>
      <c r="MU75" s="532">
        <f t="shared" si="232"/>
        <v>43.04654909</v>
      </c>
      <c r="MV75" s="532">
        <f t="shared" si="97"/>
        <v>46.34654909</v>
      </c>
      <c r="MW75" s="532">
        <f t="shared" si="98"/>
        <v>46.50654909</v>
      </c>
      <c r="MX75" s="314">
        <f t="shared" si="233"/>
        <v>15.29526822</v>
      </c>
      <c r="MY75" s="314">
        <f t="shared" si="100"/>
        <v>0</v>
      </c>
      <c r="MZ75" s="95">
        <f t="shared" si="101"/>
        <v>17.69526822</v>
      </c>
      <c r="NA75" s="95">
        <f t="shared" si="102"/>
        <v>0</v>
      </c>
      <c r="NB75" s="95">
        <f t="shared" si="169"/>
        <v>42.82254909</v>
      </c>
      <c r="NC75" s="314">
        <f t="shared" si="308"/>
        <v>42.82254909</v>
      </c>
      <c r="ND75" s="314">
        <f t="shared" si="234"/>
        <v>42.82254909</v>
      </c>
      <c r="NE75" s="537">
        <f t="shared" si="235"/>
        <v>43.06254909</v>
      </c>
      <c r="NF75" s="532">
        <f t="shared" si="106"/>
        <v>43.22254909</v>
      </c>
      <c r="NG75" s="180">
        <f t="shared" si="236"/>
        <v>44.56254909</v>
      </c>
      <c r="NH75" s="314">
        <f t="shared" si="108"/>
        <v>47.86254909</v>
      </c>
      <c r="NI75" s="532">
        <f t="shared" si="109"/>
        <v>48.02254909</v>
      </c>
      <c r="NK75" s="541">
        <f t="shared" si="110"/>
        <v>5.3197822365199</v>
      </c>
      <c r="NL75" s="541">
        <f t="shared" si="111"/>
        <v>274.648326997016</v>
      </c>
      <c r="NM75" s="541">
        <f t="shared" si="112"/>
        <v>5.3197822365199</v>
      </c>
      <c r="NN75" s="541">
        <f t="shared" si="113"/>
        <v>275.132974866151</v>
      </c>
      <c r="NO75" s="541">
        <f t="shared" si="114"/>
        <v>7.18682292939068</v>
      </c>
      <c r="NP75" s="541">
        <f t="shared" si="115"/>
        <v>278.176059932463</v>
      </c>
      <c r="NQ75" s="541">
        <f t="shared" si="116"/>
        <v>7.18682292939068</v>
      </c>
      <c r="NR75" s="541">
        <f t="shared" si="117"/>
        <v>278.677426433318</v>
      </c>
      <c r="NS75" s="541">
        <f t="shared" si="118"/>
        <v>5.37792758509425</v>
      </c>
      <c r="NT75" s="541">
        <f t="shared" si="119"/>
        <v>5.37792758509425</v>
      </c>
      <c r="NU75" s="541">
        <f t="shared" si="120"/>
        <v>7.24708587719834</v>
      </c>
      <c r="NV75" s="541">
        <f t="shared" si="121"/>
        <v>7.24708587719834</v>
      </c>
      <c r="NW75" s="11">
        <f t="shared" si="122"/>
        <v>6.09521813978389</v>
      </c>
      <c r="NX75" s="11">
        <f>各项系数!$M$9*NK75</f>
        <v>1.59593467095597</v>
      </c>
      <c r="NY75" s="11">
        <f t="shared" si="123"/>
        <v>5.37792758509425</v>
      </c>
    </row>
    <row r="76" s="11" customFormat="1" customHeight="1" spans="1:389">
      <c r="A76" s="81"/>
      <c r="B76" s="82"/>
      <c r="C76" s="83"/>
      <c r="D76" s="74" t="s">
        <v>316</v>
      </c>
      <c r="E76" s="550">
        <f t="shared" si="325"/>
        <v>49.69874683</v>
      </c>
      <c r="F76" s="84">
        <f>$F$28</f>
        <v>243.335870228497</v>
      </c>
      <c r="G76" s="74"/>
      <c r="H76" s="23"/>
      <c r="I76" s="78"/>
      <c r="J76" s="78"/>
      <c r="K76" s="23"/>
      <c r="L76" s="128" t="s">
        <v>467</v>
      </c>
      <c r="M76" s="119">
        <f t="shared" ref="M76:M139" si="339">VLOOKUP(EE76,$A$12:$C$46,3,0)</f>
        <v>1.4</v>
      </c>
      <c r="N76" s="119">
        <f t="shared" ref="N76:N107" si="340">IF(EM76=0,0,VLOOKUP(EM76,$A$12:$C$46,3,0))</f>
        <v>0</v>
      </c>
      <c r="O76" s="74">
        <f t="shared" si="326"/>
        <v>0.08</v>
      </c>
      <c r="P76" s="120">
        <v>0.1</v>
      </c>
      <c r="Q76" s="165">
        <f t="shared" si="337"/>
        <v>0.1</v>
      </c>
      <c r="R76" s="182">
        <v>0.8</v>
      </c>
      <c r="S76" s="173" t="str">
        <f>各项系数!$D$43</f>
        <v>钢带</v>
      </c>
      <c r="T76" s="78">
        <v>0.5</v>
      </c>
      <c r="U76" s="78">
        <v>2</v>
      </c>
      <c r="V76" s="172"/>
      <c r="W76" s="174">
        <v>2.5</v>
      </c>
      <c r="X76" s="168">
        <f t="shared" si="338"/>
        <v>0.2</v>
      </c>
      <c r="Y76" s="221"/>
      <c r="Z76" s="222"/>
      <c r="AA76" s="223">
        <f>$AA$28</f>
        <v>1.015</v>
      </c>
      <c r="AB76" s="186">
        <f>PI()*EJ76*EJ76/4*EH76*(1-H76)*AA76*各项系数!$F$5*各项系数!$J$4*10^-7</f>
        <v>1.25260541945236</v>
      </c>
      <c r="AC76" s="224">
        <f t="shared" si="327"/>
        <v>243.335870228497</v>
      </c>
      <c r="AD76" s="186">
        <f t="shared" ref="AD76:AD139" si="341">PI()*AE76*AE76*10^-4/4*EH76</f>
        <v>141.608539825376</v>
      </c>
      <c r="AE76" s="186">
        <f>POWER(4*EU76/PI()/EG76/10^-7/EH76/(1-H76)/各项系数!$F$5/各项系数!$J$4,0.5)</f>
        <v>245.154096286311</v>
      </c>
      <c r="AF76" s="225">
        <v>1</v>
      </c>
      <c r="AG76" s="23">
        <f>IF(EM76=0,0,PI()*ER76*ER76/4*EP76*(1-K76)*(1+AF76)*各项系数!$F$5*各项系数!$J$4*10^-7)</f>
        <v>0</v>
      </c>
      <c r="AH76" s="23">
        <f t="shared" si="328"/>
        <v>0</v>
      </c>
      <c r="AI76" s="85">
        <f t="shared" si="128"/>
        <v>0</v>
      </c>
      <c r="AJ76" s="85">
        <f>IF(OR(EP76="",EP76=0),0,POWER(4*EW76/PI()/EO76/10^-7/EP76/(1-K76)/各项系数!$F$5/各项系数!$J$4,0.5))</f>
        <v>0</v>
      </c>
      <c r="AK76" s="23" t="str">
        <f t="shared" ref="AK76:AK139" si="342">IF((EG76*AB76+EO76*AG76)-EY76&lt;0.000001,"√",EY76)</f>
        <v>√</v>
      </c>
      <c r="AL76" s="23">
        <f t="shared" si="329"/>
        <v>349.433566651028</v>
      </c>
      <c r="AM76" s="127">
        <f t="shared" si="330"/>
        <v>150</v>
      </c>
      <c r="AN76" s="128" t="s">
        <v>486</v>
      </c>
      <c r="AO76" s="176">
        <f>AP76+各项系数!$M$9*$NK76</f>
        <v>342.581928089243</v>
      </c>
      <c r="AP76" s="176">
        <f>AQ76*(1+$BI76+(VLOOKUP($AM76,$A$12:$B$323,2,0))+各项系数!$J$6+各项系数!$M$5)*(1+$E$2)</f>
        <v>340.637531515548</v>
      </c>
      <c r="AQ76" s="262">
        <f>AR76+各项系数!$L$9*$NK76</f>
        <v>347.589317873008</v>
      </c>
      <c r="AR76" s="262">
        <f>AS76*(1+$BJ76+各项系数!$J$5+各项系数!$L$5)</f>
        <v>345.644921299314</v>
      </c>
      <c r="AS76" s="262">
        <f t="shared" si="129"/>
        <v>338.867569901288</v>
      </c>
      <c r="AT76" s="176">
        <f>AU76+各项系数!$M$9*$NM76</f>
        <v>346.250463860676</v>
      </c>
      <c r="AU76" s="176">
        <f>AV76*(1+$BI76+(VLOOKUP($AM76,$A$12:$B$323,2,0))+各项系数!$J$6+各项系数!$M$5)*(1+$E$2)</f>
        <v>344.306067286981</v>
      </c>
      <c r="AV76" s="262">
        <f>AW76+各项系数!$L$9*$NM76</f>
        <v>351.332721721409</v>
      </c>
      <c r="AW76" s="262">
        <f>AX76*(1+$BJ76+各项系数!$J$5+各项系数!$L$5)</f>
        <v>349.388325147714</v>
      </c>
      <c r="AX76" s="262">
        <f t="shared" si="130"/>
        <v>342.53757367423</v>
      </c>
      <c r="AY76" s="176">
        <f>AZ76+各项系数!$M$9*$NS76</f>
        <v>346.857785825354</v>
      </c>
      <c r="AZ76" s="176">
        <f>BA76*(1+$BI76+(VLOOKUP($AM76,$A$12:$B$214,2,0))+各项系数!$J$6+各项系数!$M$5)*(1+$E$2)</f>
        <v>344.894624718686</v>
      </c>
      <c r="BA76" s="262">
        <f>BB76+各项系数!$L$9*$NS76</f>
        <v>351.933290529272</v>
      </c>
      <c r="BB76" s="262">
        <f>BC76*(1+$BJ76+各项系数!$J$5+各项系数!$L$5)</f>
        <v>349.970129422604</v>
      </c>
      <c r="BC76" s="262">
        <f t="shared" si="131"/>
        <v>343.107970022161</v>
      </c>
      <c r="BD76" s="176">
        <f>BE76+各项系数!$M$9*$NS76</f>
        <v>350.538757641446</v>
      </c>
      <c r="BE76" s="176">
        <f>BF76*(1+$BI76+(VLOOKUP($AM76,$A$12:$B$214,2,0))+各项系数!$J$6+各项系数!$M$5)*(1+$E$2)</f>
        <v>348.575596534778</v>
      </c>
      <c r="BF76" s="262">
        <f>BG76+各项系数!$L$9*$NS76</f>
        <v>355.689384219161</v>
      </c>
      <c r="BG76" s="262">
        <f>BH76*(1+$BJ76+各项系数!$J$5+各项系数!$L$5)</f>
        <v>353.726223112494</v>
      </c>
      <c r="BH76" s="262">
        <f t="shared" si="132"/>
        <v>346.79041481617</v>
      </c>
      <c r="BI76" s="278"/>
      <c r="BJ76" s="279"/>
      <c r="BK76" s="95" t="s">
        <v>514</v>
      </c>
      <c r="BL76" s="176">
        <f>BM76+各项系数!$M$9*$NM76</f>
        <v>346.450128531397</v>
      </c>
      <c r="BM76" s="176">
        <f>BN76*(1+$CF76+(VLOOKUP($AM76,$A$12:$B$323,2,0))+各项系数!$J$6+各项系数!$M$5)*(1+$E$2)</f>
        <v>344.505731957702</v>
      </c>
      <c r="BN76" s="262">
        <f>BO76+各项系数!$L$9*$NM76</f>
        <v>351.536461181329</v>
      </c>
      <c r="BO76" s="262">
        <f>BP76*(1+$CG76+各项系数!$J$5+各项系数!$L$5)</f>
        <v>349.592064607634</v>
      </c>
      <c r="BP76" s="262">
        <f t="shared" si="133"/>
        <v>339.409771463722</v>
      </c>
      <c r="BQ76" s="176">
        <f>BR76+各项系数!$M$9*$NM76</f>
        <v>349.607332082683</v>
      </c>
      <c r="BR76" s="176">
        <f>BS76*(1+$CF76+(VLOOKUP($AM76,$A$12:$B$323,2,0))+各项系数!$J$6+各项系数!$M$5)*(1+$E$2)</f>
        <v>347.662935508988</v>
      </c>
      <c r="BS76" s="262">
        <f>BT76+各项系数!$L$9*$NM76</f>
        <v>354.758097458151</v>
      </c>
      <c r="BT76" s="262">
        <f>BU76*(1+$CG76+各项系数!$J$5+各项系数!$L$5)</f>
        <v>352.813700884457</v>
      </c>
      <c r="BU76" s="262">
        <f t="shared" si="134"/>
        <v>342.53757367423</v>
      </c>
      <c r="BV76" s="176">
        <f>BW76+各项系数!$M$9*$NT76</f>
        <v>348.853597736838</v>
      </c>
      <c r="BW76" s="176">
        <f>BX76*(1+$CF76+(VLOOKUP($AM76,$A$12:$B$214,2,0))+各项系数!$J$6+各项系数!$M$5)*(1+$E$2)</f>
        <v>346.89043663017</v>
      </c>
      <c r="BX76" s="262">
        <f>BY76+各项系数!$L$9*$NT$12</f>
        <v>353.969833296092</v>
      </c>
      <c r="BY76" s="262">
        <f>BZ76*(1+$CG76+各项系数!$J$5+各项系数!$L$5)</f>
        <v>353.961569892937</v>
      </c>
      <c r="BZ76" s="262">
        <f t="shared" ref="BZ76:BZ139" si="343">SUM($FB76,$FQ76,$FX76,$GP76,$GY76,$IE76)</f>
        <v>343.652009604793</v>
      </c>
      <c r="CA76" s="176">
        <f>CB76+各项系数!$M$9*$NT76</f>
        <v>352.021503957202</v>
      </c>
      <c r="CB76" s="176">
        <f>CC76*(1+$CF76+(VLOOKUP($AM76,$A$12:$B$214,2,0))+各项系数!$J$6+各项系数!$M$5)*(1+$E$2)</f>
        <v>350.058342850534</v>
      </c>
      <c r="CC76" s="262">
        <f>CD76+各项系数!$L$9*$NT$12</f>
        <v>357.20239066381</v>
      </c>
      <c r="CD76" s="262">
        <f>CE76*(1+$CG76+各项系数!$J$5+各项系数!$L$5)</f>
        <v>357.194127260655</v>
      </c>
      <c r="CE76" s="262">
        <f t="shared" si="135"/>
        <v>346.79041481617</v>
      </c>
      <c r="CF76" s="278">
        <f t="shared" si="136"/>
        <v>0</v>
      </c>
      <c r="CG76" s="278">
        <f t="shared" ref="CG76:CG139" si="344">BJ76+$E$4</f>
        <v>0.01</v>
      </c>
      <c r="CH76" s="127"/>
      <c r="CI76" s="176">
        <f>CJ76+各项系数!$M$9*$NO76</f>
        <v>349.645129158834</v>
      </c>
      <c r="CJ76" s="176">
        <f>CK76*(1+$DC76+(VLOOKUP($AM76,$A$12:$B$323,2,0))+各项系数!$J$6+各项系数!$M$5)*(1+$E$2)+各项系数!$M$9*$NK76</f>
        <v>347.058682999563</v>
      </c>
      <c r="CK76" s="262">
        <f>CL76+各项系数!$L$9*$NO76</f>
        <v>352.157435128437</v>
      </c>
      <c r="CL76" s="262">
        <f>CM76*(1+$DD76+各项系数!$J$5+各项系数!$L$5)</f>
        <v>349.570988969166</v>
      </c>
      <c r="CM76" s="262">
        <f t="shared" ref="CM76:CM139" si="345">SUM($FB76,$IJ76,$IX76,$JK76,$KG76,$LI76)</f>
        <v>342.716655852123</v>
      </c>
      <c r="CN76" s="176">
        <f>CO76+各项系数!$M$9*$NO76</f>
        <v>353.13958217748</v>
      </c>
      <c r="CO76" s="176">
        <f>CP76*(1+$DC76+(VLOOKUP($AM76,$A$12:$B$323,2,0))+各项系数!$J$6+各项系数!$M$5)*(1+$E$2)+各项系数!$M$9*$NK76</f>
        <v>350.553136018209</v>
      </c>
      <c r="CP76" s="262">
        <f>CQ76+各项系数!$L$9*$NO76</f>
        <v>355.723203514811</v>
      </c>
      <c r="CQ76" s="262">
        <f>CR76*(1+$DD76+各项系数!$J$5+各项系数!$L$5)</f>
        <v>353.13675735554</v>
      </c>
      <c r="CR76" s="262">
        <f t="shared" ref="CR76:CR139" si="346">SUM($FB76,$IJ76,$IX76,$JK76,$KG76,$HC76)</f>
        <v>346.212507211313</v>
      </c>
      <c r="CS76" s="176">
        <f>CT76+各项系数!$M$9*$NU76</f>
        <v>352.120728948264</v>
      </c>
      <c r="CT76" s="176">
        <f t="shared" ref="CT76:CT139" si="347">CU76*(1+$DC76+(VLOOKUP($AM76,$A$12:$B$323,2,0)))*(1+$E$2)+$E$3*$OM76</f>
        <v>349.51488297625</v>
      </c>
      <c r="CU76" s="262">
        <f>CV76+各项系数!$L$9*$NU76</f>
        <v>356.647839771684</v>
      </c>
      <c r="CV76" s="262">
        <f>CW76*(1+$DD76+各项系数!$J$5+各项系数!$L$5)</f>
        <v>354.04199379967</v>
      </c>
      <c r="CW76" s="262">
        <f t="shared" ref="CW76:CW139" si="348">SUM($FB76,$IJ76,$IX76,$JK76,$KG76,$KO76,$LM76)</f>
        <v>347.099993921245</v>
      </c>
      <c r="CX76" s="176">
        <f>CY76+各项系数!$M$9*$NU76</f>
        <v>355.919532287501</v>
      </c>
      <c r="CY76" s="176">
        <f t="shared" ref="CY76:CY139" si="349">CZ76*(1+$DC76+(VLOOKUP($AM76,$A$12:$B$323,2,0)))*(1+$E$2)+$E$3*$OM76</f>
        <v>353.313686315487</v>
      </c>
      <c r="CZ76" s="262">
        <f>DA76+各项系数!$L$9*$NU76</f>
        <v>360.52416970968</v>
      </c>
      <c r="DA76" s="262">
        <f>DB76*(1+$DD76+各项系数!$J$5+各项系数!$L$5)</f>
        <v>357.918323737667</v>
      </c>
      <c r="DB76" s="262">
        <f t="shared" ref="DB76:DB139" si="350">SUM($FB76,$IJ76,$IX76,$JK76,$KG76,$KO76,$KW76)</f>
        <v>350.900317389869</v>
      </c>
      <c r="DC76" s="278">
        <f t="shared" si="137"/>
        <v>0</v>
      </c>
      <c r="DD76" s="278">
        <f t="shared" ref="DD76:DD139" si="351">BJ76+$E$5</f>
        <v>0</v>
      </c>
      <c r="DE76" s="95" t="s">
        <v>498</v>
      </c>
      <c r="DF76" s="95" t="s">
        <v>513</v>
      </c>
      <c r="DG76" s="176">
        <f>DH76+各项系数!$M$9*$NQ76</f>
        <v>353.56862958795</v>
      </c>
      <c r="DH76" s="176">
        <f>DI76*(1+$EA76+(VLOOKUP($AM76,$A$12:$B$323,2,0))+各项系数!$J$6+各项系数!$M$5)*(1+$E$2)+各项系数!$M$9*$NK76</f>
        <v>350.982183428679</v>
      </c>
      <c r="DI76" s="262">
        <f>DJ76+各项系数!$L$9*$NQ76</f>
        <v>356.161006994882</v>
      </c>
      <c r="DJ76" s="262">
        <f>DK76*(1+$EB76+各项系数!$J$5+各项系数!$L$5)</f>
        <v>353.574560835611</v>
      </c>
      <c r="DK76" s="262">
        <f t="shared" ref="DK76:DK139" si="352">SUM($FB76,$IJ76,$IX76,$JK76,$KG76,$LQ76)</f>
        <v>343.276272655933</v>
      </c>
      <c r="DL76" s="176">
        <f>DM76+各项系数!$M$9*$NQ76</f>
        <v>356.827240928748</v>
      </c>
      <c r="DM76" s="176">
        <f>DN76*(1+$EA76+(VLOOKUP($AM76,$A$12:$B$323,2,0))+各项系数!$J$6+各项系数!$M$5)*(1+$E$2)+各项系数!$M$9*$NK76</f>
        <v>354.240794769477</v>
      </c>
      <c r="DN76" s="262">
        <f>DO76+各项系数!$L$9*$NQ76</f>
        <v>359.486120607941</v>
      </c>
      <c r="DO76" s="262">
        <f>DP76*(1+$EB76+各项系数!$J$5+各项系数!$L$5)</f>
        <v>356.89967444867</v>
      </c>
      <c r="DP76" s="262">
        <f t="shared" ref="DP76:DP139" si="353">SUM($FB76,$IJ76,$IX76,$JK76,$KG76,$LA76)</f>
        <v>346.50453829968</v>
      </c>
      <c r="DQ76" s="176">
        <f>DR76+各项系数!$M$9*$NV76</f>
        <v>356.089041388046</v>
      </c>
      <c r="DR76" s="176">
        <f t="shared" ref="DR76:DR139" si="354">DS76*(1+$EA76+(VLOOKUP($AM76,$A$12:$B$323,2,0)))*(1+$E$2)+$E$3*$NV76</f>
        <v>353.483195416032</v>
      </c>
      <c r="DS76" s="262">
        <f>DT76+各项系数!$L$9*$NV76</f>
        <v>360.697138179624</v>
      </c>
      <c r="DT76" s="262">
        <f>DU76*(1+$EB76+各项系数!$J$5+各项系数!$L$5)</f>
        <v>358.091292207611</v>
      </c>
      <c r="DU76" s="262">
        <f t="shared" ref="DU76:DU139" si="355">SUM($FB76,IX76,$IJ76,$JK76,$KG76,$LU76,$KO76)</f>
        <v>347.661448745253</v>
      </c>
      <c r="DV76" s="176">
        <f>DW76+各项系数!$M$9*$NV76</f>
        <v>355.869554079983</v>
      </c>
      <c r="DW76" s="176">
        <f t="shared" ref="DW76:DW139" si="356">DX76*(1+$EA76+(VLOOKUP($AM76,$A$12:$B$323,2,0)))*(1+$E$2)+$E$3*$NV76</f>
        <v>353.263708107969</v>
      </c>
      <c r="DX76" s="262">
        <f>DY76+各项系数!$L$9*$NV76</f>
        <v>360.473171538744</v>
      </c>
      <c r="DY76" s="262">
        <f>DZ76*(1+$EB76+各项系数!$J$5+各项系数!$L$5)</f>
        <v>357.86732556673</v>
      </c>
      <c r="DZ76" s="262">
        <f t="shared" ref="DZ76:DZ139" si="357">SUM($FB76,JE76,$IJ76,$JK76,$KG76,$LE76,$KO76)</f>
        <v>347.444005404592</v>
      </c>
      <c r="EA76" s="278">
        <f t="shared" si="324"/>
        <v>0</v>
      </c>
      <c r="EB76" s="278">
        <f t="shared" ref="EB76:EB139" si="358">BJ76+$E$6</f>
        <v>0.01</v>
      </c>
      <c r="EC76" s="302">
        <f t="shared" si="138"/>
        <v>4</v>
      </c>
      <c r="ED76" s="304" t="str">
        <f t="shared" si="331"/>
        <v>4*150</v>
      </c>
      <c r="EE76" s="95">
        <f t="shared" si="239"/>
        <v>150</v>
      </c>
      <c r="EF76" s="95" t="str">
        <f>LOOKUP(EH76,{1,7,10,14,19,24,30,37,48,61},{1,"1+6","2+8","4+10","1+6+12","2+8+14","4+10+16","1+6+12+18","3+9+15+21","1+6+12+18+24"})</f>
        <v>4+10+16</v>
      </c>
      <c r="EG76" s="127">
        <f t="shared" ref="EG76:EG139" si="359">IF(D76="",0,MID(D76,1,FIND("*",D76)-1))*1</f>
        <v>4</v>
      </c>
      <c r="EH76" s="262">
        <f>VLOOKUP(EE76,各项系数!$B$87:$C$124,2,0)</f>
        <v>30</v>
      </c>
      <c r="EI76" s="127">
        <f>IF(EH76=0,0,VLOOKUP(EH76,各项系数!$D$142:$E$195,2,0))*1</f>
        <v>6.41</v>
      </c>
      <c r="EJ76" s="307">
        <f t="shared" si="141"/>
        <v>243.335870228497</v>
      </c>
      <c r="EK76" s="95">
        <f t="shared" si="332"/>
        <v>0</v>
      </c>
      <c r="EL76" s="95">
        <f t="shared" ref="EL76:EL139" si="360">IF(COUNTIF(D76,"*+*")&gt;0,(MID(D76,FIND("#",SUBSTITUTE(D76,"*","#",2))+1,FIND("#",SUBSTITUTE(D76,"*","#",2))-1)),0)</f>
        <v>0</v>
      </c>
      <c r="EM76" s="95">
        <f t="shared" si="333"/>
        <v>0</v>
      </c>
      <c r="EN76" s="95">
        <f>IF(EP76=0,0,LOOKUP(EP76,{1,7,10,14,19,24,30,37,48,61},{1,"1+6","2+8","4+10","1+6+12","2+8+14","4+10+16","1+6+12+18","3+9+15+21","1+6+12+18+24"}))</f>
        <v>0</v>
      </c>
      <c r="EO76" s="95">
        <f t="shared" si="334"/>
        <v>0</v>
      </c>
      <c r="EP76" s="95">
        <f>IF(EM76=0,0,IF(EM76&lt;10,1,IF(AND(EM76&gt;=10,EM76&lt;=35),7,LOOKUP(EM76,{50,70,95,120,150,185,240,300},{10,14,19,24,30,37,48,61})*1)))</f>
        <v>0</v>
      </c>
      <c r="EQ76" s="95">
        <f>IF(EP76=0,0,VLOOKUP(EP76,各项系数!$D$142:$E$195,2,0))*1</f>
        <v>0</v>
      </c>
      <c r="ER76" s="95">
        <f t="shared" si="335"/>
        <v>0</v>
      </c>
      <c r="ES76" s="304">
        <f t="shared" si="336"/>
        <v>4</v>
      </c>
      <c r="ET76" s="95">
        <f>VLOOKUP(ES76,各项系数!$D$142:$E$195,2,0)*1</f>
        <v>2.42</v>
      </c>
      <c r="EU76" s="311">
        <f>((各项系数!$F$76/4*$EJ76^2*$EG76*$EH76*1*10^-7)*(1-$H76)*AA76)*(VLOOKUP($EY$9,各项系数!$D$4:$F$143,3,0))*各项系数!$J$4</f>
        <v>5.01042167780943</v>
      </c>
      <c r="EV76" s="312">
        <f>EU76*(VLOOKUP($EY$9,各项系数!$D$4:$F$143,2,0))</f>
        <v>328.182619896518</v>
      </c>
      <c r="EW76" s="324">
        <f>(IF($EO76=0,0,(各项系数!$F$76/4*$ER76^2*$EO76*$EP76*1*10^-7))*(1-$K76)*$AF76)*(VLOOKUP($EY$9,各项系数!$D$4:$F$143,3,0))*各项系数!$J$4</f>
        <v>0</v>
      </c>
      <c r="EX76" s="325">
        <f>EW76*(VLOOKUP($EY$9,各项系数!$D$4:$F$143,2,0))</f>
        <v>0</v>
      </c>
      <c r="EY76" s="251">
        <f>((各项系数!$F$76/4*$EJ76^2*$EG76*$EH76*1*10^-7)*(1-$H76)*AA76+IF($EO76=0,0,(各项系数!$F$76/4*$ER76^2*$EO76*$EP76*1*10^-7))*(1-$K76)*$AF76)*(VLOOKUP($EY$9,各项系数!$D$4:$F$143,3,0))*各项系数!$J$4</f>
        <v>5.01042167780943</v>
      </c>
      <c r="EZ76" s="127">
        <v>1</v>
      </c>
      <c r="FA76" s="95">
        <f t="shared" si="268"/>
        <v>5.01042167780943</v>
      </c>
      <c r="FB76" s="314">
        <f>FA76*(VLOOKUP($EY$9,各项系数!$D$4:$F$143,2,0))</f>
        <v>328.182619896518</v>
      </c>
      <c r="FC76" s="329"/>
      <c r="FD76" s="304">
        <f>各项系数!$F$76/4*($MN76^2-MK76^2)*10^-2*(VLOOKUP(L76,各项系数!$D$1:$F$143,3,0))*10^-3*10^2*$EG76*各项系数!$J$4</f>
        <v>0.327300846388192</v>
      </c>
      <c r="FE76" s="341">
        <f>FD76*VLOOKUP(L76,各项系数!$D$1:$F$143,2,0)</f>
        <v>3.33846863315956</v>
      </c>
      <c r="FF76" s="127">
        <f>各项系数!$F$76/4*($MO76^2-ML76^2)*10^-2*(VLOOKUP(L76,各项系数!$D$1:$F$143,3,0))*10^-3*10^2*$EO76*各项系数!$J$4</f>
        <v>0</v>
      </c>
      <c r="FG76" s="341">
        <f>FF76*VLOOKUP(L76,各项系数!$D$1:$F$143,2,0)</f>
        <v>0</v>
      </c>
      <c r="FH76" s="304">
        <f t="shared" si="142"/>
        <v>0.327300846388192</v>
      </c>
      <c r="FI76" s="127">
        <v>1</v>
      </c>
      <c r="FJ76" s="95">
        <f t="shared" si="269"/>
        <v>0.327300846388192</v>
      </c>
      <c r="FK76" s="341">
        <f>FJ76*VLOOKUP(L76,各项系数!$D$1:$F$143,2,0)</f>
        <v>3.33846863315956</v>
      </c>
      <c r="FL76" s="304"/>
      <c r="FM76" s="127"/>
      <c r="FN76" s="95"/>
      <c r="FO76" s="341"/>
      <c r="FP76" s="371">
        <f t="shared" si="270"/>
        <v>0.327300846388192</v>
      </c>
      <c r="FQ76" s="371">
        <f t="shared" si="271"/>
        <v>3.33846863315956</v>
      </c>
      <c r="FR76" s="365">
        <f>各项系数!$F$76/4*($MQ76^2-$MN76^2*$EG76-$MO76^2*$EO76)*10^-2</f>
        <v>4.93508468610045</v>
      </c>
      <c r="FS76" s="366">
        <f t="shared" si="143"/>
        <v>1</v>
      </c>
      <c r="FT76" s="367">
        <f t="shared" ref="FT76:FT139" si="361">FR76*$FS76</f>
        <v>4.93508468610045</v>
      </c>
      <c r="FU76" s="395">
        <f>$FT76*(VLOOKUP($FT$9,各项系数!$D$1:$F$143,3,0))*10^-3*10^2*各项系数!$J$55</f>
        <v>0.589249111520394</v>
      </c>
      <c r="FV76" s="396">
        <v>1</v>
      </c>
      <c r="FW76" s="397">
        <f t="shared" si="272"/>
        <v>0.589249111520394</v>
      </c>
      <c r="FX76" s="372">
        <f>FW76*(VLOOKUP($FT$9,各项系数!$D$1:$F$143,2,0))</f>
        <v>1.76774733456118</v>
      </c>
      <c r="FY76" s="395">
        <f>IF($BK76&lt;&gt;$FY$9,0,各项系数!$F$76/4*($MS76^2-$MQ76^2)*10^-2*(VLOOKUP($FY$9,各项系数!$D$1:$F$143,3,0))*10^-3*10^2)*各项系数!$J$4</f>
        <v>0</v>
      </c>
      <c r="FZ76" s="396">
        <v>1</v>
      </c>
      <c r="GA76" s="397">
        <f t="shared" si="273"/>
        <v>0</v>
      </c>
      <c r="GB76" s="372">
        <f>GA76*(VLOOKUP($FY$9,各项系数!$D$1:$F$143,2,0))</f>
        <v>0</v>
      </c>
      <c r="GC76" s="395">
        <f>IF($BK76&lt;&gt;$GC$9,0,各项系数!$F$76/4*($MS76^2-$MQ76^2)*10^-2*(VLOOKUP($GC$9,各项系数!$D$1:$F$143,3,0))*10^-3*10^2)*各项系数!$J$4</f>
        <v>0.0121487141630207</v>
      </c>
      <c r="GD76" s="396">
        <v>1</v>
      </c>
      <c r="GE76" s="397">
        <f t="shared" si="274"/>
        <v>0.0121487141630207</v>
      </c>
      <c r="GF76" s="372">
        <f>GE76*(VLOOKUP($GC$9,各项系数!$D$1:$F$143,2,0))</f>
        <v>0.156718412702967</v>
      </c>
      <c r="GG76" s="395">
        <f>IF($BK76&lt;&gt;$GG$9,0,各项系数!$F$76/4*($MS76^2-$MQ76^2)*10^-2*(VLOOKUP($GG$9,各项系数!$D$1:$F$143,3,0))*10^-3*10^2)*各项系数!$J$4</f>
        <v>0</v>
      </c>
      <c r="GH76" s="396">
        <v>1</v>
      </c>
      <c r="GI76" s="397">
        <f t="shared" si="275"/>
        <v>0</v>
      </c>
      <c r="GJ76" s="372">
        <f>GI76*(VLOOKUP($GG$9,各项系数!$D$1:$F$143,2,0))</f>
        <v>0</v>
      </c>
      <c r="GK76" s="395">
        <f>IF($BK76&lt;&gt;$GK$9,0,各项系数!$F$76/4*($MS76^2-$MQ76^2)*10^-2*(VLOOKUP($GK$9,各项系数!$D$1:$F$143,3,0))*10^-3*10^2)*各项系数!$J$4</f>
        <v>0</v>
      </c>
      <c r="GL76" s="396">
        <v>1</v>
      </c>
      <c r="GM76" s="397">
        <f t="shared" si="276"/>
        <v>0</v>
      </c>
      <c r="GN76" s="372">
        <f>GM76*(VLOOKUP($GK$9,各项系数!$D$1:$F$143,2,0))</f>
        <v>0</v>
      </c>
      <c r="GO76" s="397">
        <f t="shared" si="277"/>
        <v>0.0121487141630207</v>
      </c>
      <c r="GP76" s="397">
        <f t="shared" si="278"/>
        <v>0.156718412702967</v>
      </c>
      <c r="GQ76" s="408">
        <f>各项系数!$F$76/4*($MU76^2-$MS76^2)*10^-2*(VLOOKUP($S76,各项系数!$D$1:$F$143,3,0))*10^-3*10^2*各项系数!$J$4</f>
        <v>0.833226133303383</v>
      </c>
      <c r="GR76" s="396">
        <v>1</v>
      </c>
      <c r="GS76" s="397">
        <f t="shared" si="279"/>
        <v>0.833226133303383</v>
      </c>
      <c r="GT76" s="397">
        <f t="shared" si="200"/>
        <v>0</v>
      </c>
      <c r="GU76" s="397">
        <f>ROUND($GS76*(VLOOKUP($S76,各项系数!$D$1:$F$143,2,0))+$E$3*GS76,GT76)</f>
        <v>5</v>
      </c>
      <c r="GV76" s="406">
        <f>各项系数!$F$76/4*($MT76^2-$MS76^2)*10^-2*(VLOOKUP($GV$9,各项系数!$D$1:$F$143,3,0))*10^-3*10^2*各项系数!$J$4*PI()/4*R76</f>
        <v>0.0625484432428731</v>
      </c>
      <c r="GW76" s="396">
        <v>1</v>
      </c>
      <c r="GX76" s="397">
        <f t="shared" si="280"/>
        <v>0.0625484432428731</v>
      </c>
      <c r="GY76" s="397">
        <f>$GX76*(VLOOKUP($GV$9,各项系数!$D$1:$F$143,2,0))</f>
        <v>4.22201991889394</v>
      </c>
      <c r="GZ76" s="408">
        <f>各项系数!$F$76/4*($MV76^2-$MS76^2)*10^-2*(VLOOKUP($GZ$9,各项系数!$D$1:$F$143,3,0))*10^-3*10^2*各项系数!$J$4</f>
        <v>0.534824670428742</v>
      </c>
      <c r="HA76" s="396">
        <v>1</v>
      </c>
      <c r="HB76" s="397">
        <f t="shared" si="144"/>
        <v>0.534824670428742</v>
      </c>
      <c r="HC76" s="397">
        <f>HB76*(VLOOKUP($GZ$9,各项系数!$D$1:$F$143,2,0))</f>
        <v>9.09201939728861</v>
      </c>
      <c r="HD76" s="408">
        <f>各项系数!$F$76/4*($MW76^2-$MT76^2)*10^-2*(VLOOKUP($HD$9,各项系数!$D$1:$F$143,3,0))*10^-3*10^2*各项系数!$J$4</f>
        <v>0.536637683549128</v>
      </c>
      <c r="HE76" s="396">
        <v>1</v>
      </c>
      <c r="HF76" s="397">
        <f t="shared" si="145"/>
        <v>0.536637683549128</v>
      </c>
      <c r="HG76" s="397">
        <f>HF76*(VLOOKUP($HD$9,各项系数!$D$1:$F$143,2,0))</f>
        <v>9.12284062033518</v>
      </c>
      <c r="HH76" s="408">
        <f>各项系数!$F$76/4*($MV76^2-$MS76^2)*10^-2*(VLOOKUP($HH$9,各项系数!$D$1:$F$143,3,0))*10^-3*10^2*各项系数!$J$4</f>
        <v>0.534824670428742</v>
      </c>
      <c r="HI76" s="397">
        <v>1</v>
      </c>
      <c r="HJ76" s="397">
        <f t="shared" si="146"/>
        <v>0.534824670428742</v>
      </c>
      <c r="HK76" s="397">
        <f>HJ76*(VLOOKUP($HH$9,各项系数!$D$1:$F$143,2,0))</f>
        <v>9.09201939728861</v>
      </c>
      <c r="HL76" s="408">
        <f>各项系数!$F$76/4*($MW76^2-$MT76^2)*10^-2*(VLOOKUP($HL$9,各项系数!$D$1:$F$143,3,0))*10^-3*10^2*各项系数!$J$4</f>
        <v>0.536637683549128</v>
      </c>
      <c r="HM76" s="397">
        <v>1</v>
      </c>
      <c r="HN76" s="397">
        <f t="shared" ref="HN76:HN139" si="362">HM76*HL76</f>
        <v>0.536637683549128</v>
      </c>
      <c r="HO76" s="397">
        <f>HN76*(VLOOKUP($HL$9,各项系数!$D$1:$F$143,2,0))</f>
        <v>9.12284062033518</v>
      </c>
      <c r="HP76" s="408">
        <f>各项系数!$F$76/4*($MV76^2-$MS76^2)*10^-2*(VLOOKUP(AN76,各项系数!$D$1:$F$143,3,0))*10^-3*10^2*各项系数!$J$4</f>
        <v>0.542201562434655</v>
      </c>
      <c r="HQ76" s="396">
        <v>1</v>
      </c>
      <c r="HR76" s="397">
        <f t="shared" si="281"/>
        <v>0.542201562434655</v>
      </c>
      <c r="HS76" s="397">
        <f>HR76*(VLOOKUP(AN76,各项系数!$D$1:$F$143,2,0))</f>
        <v>5.42201562434655</v>
      </c>
      <c r="HT76" s="408">
        <f>各项系数!$F$76/4*($MW76^2-$MT76^2)*10^-2*(VLOOKUP(AN76,各项系数!$D$1:$F$143,3,0))*10^-3*10^2*各项系数!$J$4</f>
        <v>0.544039582632565</v>
      </c>
      <c r="HU76" s="396">
        <v>1</v>
      </c>
      <c r="HV76" s="397">
        <f t="shared" si="282"/>
        <v>0.544039582632565</v>
      </c>
      <c r="HW76" s="397">
        <f>HV76*(VLOOKUP(AN76,各项系数!$D$1:$F$143,2,0))</f>
        <v>5.44039582632565</v>
      </c>
      <c r="HX76" s="408">
        <f>各项系数!$F$76/4*($MV76^2-$MS76^2)*10^-2*(VLOOKUP($HX$9,各项系数!$D$1:$F$143,3,0))*10^-3*10^2*各项系数!$J$4</f>
        <v>0.542201562434655</v>
      </c>
      <c r="HY76" s="397">
        <v>1</v>
      </c>
      <c r="HZ76" s="397">
        <f t="shared" si="283"/>
        <v>0.542201562434655</v>
      </c>
      <c r="IA76" s="397">
        <f>HZ76*(VLOOKUP($HX$9,各项系数!$D$1:$F$143,2,0))</f>
        <v>5.96421718678121</v>
      </c>
      <c r="IB76" s="408">
        <f>各项系数!$F$76/4*($MW76^2-$MT76^2)*10^-2*(VLOOKUP($IB$9,各项系数!$D$1:$F$143,3,0))*10^-3*10^2*各项系数!$J$4</f>
        <v>0.544039582632565</v>
      </c>
      <c r="IC76" s="397">
        <v>1</v>
      </c>
      <c r="ID76" s="397">
        <f t="shared" si="284"/>
        <v>0.544039582632565</v>
      </c>
      <c r="IE76" s="397">
        <f>ID76*(VLOOKUP($IB$9,各项系数!$D$1:$F$143,2,0))</f>
        <v>5.98443540895821</v>
      </c>
      <c r="IF76" s="395"/>
      <c r="IG76" s="408">
        <f t="shared" si="148"/>
        <v>0.0894506060239983</v>
      </c>
      <c r="IH76" s="396">
        <v>1</v>
      </c>
      <c r="II76" s="397">
        <f t="shared" si="285"/>
        <v>0.0894506060239983</v>
      </c>
      <c r="IJ76" s="397">
        <f>II76*(VLOOKUP($IG$8,各项系数!$D$1:$F$143,2,0))</f>
        <v>2.23626515059996</v>
      </c>
      <c r="IK76" s="408">
        <f>(各项系数!$F$76/4*($MX76^2-$MK76^2)*$EG76)*10^-2*(VLOOKUP($IG$8,各项系数!$D$1:$F$143,3,0))*10^-3*10^2*各项系数!$J$4</f>
        <v>0.0894506060239983</v>
      </c>
      <c r="IL76" s="396">
        <f>IK76*(VLOOKUP($IG$8,各项系数!$D$1:$F$143,2,0))</f>
        <v>2.23626515059996</v>
      </c>
      <c r="IM76" s="397">
        <f>(各项系数!$F$76/4*(($MM76+3*$X76)^2-MM76^2)*$EO76)*10^-2*(VLOOKUP($IG$8,各项系数!$D$1:$F$143,3,0))*10^-3*10^2*各项系数!$J$4</f>
        <v>0</v>
      </c>
      <c r="IN76" s="396">
        <f>IM76*(VLOOKUP($IG$8,各项系数!$D$1:$F$143,2,0))</f>
        <v>0</v>
      </c>
      <c r="IO76" s="408">
        <f>各项系数!$F$76/4*($MZ76^2-$MX76^2)*10^-2*(VLOOKUP(L76,各项系数!$D$1:$F$143,3,0))*10^-3*10^2*$ES76*各项系数!$J$4</f>
        <v>0.338854116203622</v>
      </c>
      <c r="IP76" s="396">
        <v>1</v>
      </c>
      <c r="IQ76" s="397">
        <f t="shared" si="286"/>
        <v>0.338854116203622</v>
      </c>
      <c r="IR76" s="372">
        <f>IQ76*(VLOOKUP(L76,各项系数!$D$1:$F$143,2,0))</f>
        <v>3.45631198527695</v>
      </c>
      <c r="IS76" s="408">
        <f>IF($L76&lt;&gt;$IS$9,0,各项系数!$F$76/4*($MZ76^2-$MX76^2)*10^-2*各项系数!$F$12*10^-3*10^2)*$ES76*各项系数!$J$4</f>
        <v>0</v>
      </c>
      <c r="IT76" s="396">
        <v>1</v>
      </c>
      <c r="IU76" s="397">
        <f t="shared" si="287"/>
        <v>0</v>
      </c>
      <c r="IV76" s="372">
        <f>IU76*各项系数!$E$12</f>
        <v>0</v>
      </c>
      <c r="IW76" s="395">
        <f t="shared" si="288"/>
        <v>0.338854116203622</v>
      </c>
      <c r="IX76" s="395">
        <f t="shared" si="289"/>
        <v>3.45631198527695</v>
      </c>
      <c r="IY76" s="447">
        <f>各项系数!$F$76/4*($NB76^2-$MZ76^2*$EG76-$NA76^2*$EO76)*10^-2</f>
        <v>5.26222485756742</v>
      </c>
      <c r="IZ76" s="366">
        <f t="shared" si="231"/>
        <v>1</v>
      </c>
      <c r="JA76" s="367">
        <f t="shared" ref="JA76:JA139" si="363">IY76*$IZ76</f>
        <v>5.26222485756742</v>
      </c>
      <c r="JB76" s="371">
        <f>IF($DE76&lt;&gt;$JB$9,0,$JA76*各项系数!$F$32*10^-3*10^2)*各项系数!$J$4</f>
        <v>0</v>
      </c>
      <c r="JC76" s="127">
        <v>1</v>
      </c>
      <c r="JD76" s="95">
        <f t="shared" si="290"/>
        <v>0</v>
      </c>
      <c r="JE76" s="341">
        <f>JD76*各项系数!$E$32</f>
        <v>0</v>
      </c>
      <c r="JF76" s="364">
        <f>IF($DE76&lt;&gt;$JF$9,0,$JA76*VLOOKUP($JF$9,各项系数!$D$4:$F$540,2,0)*10^-3*10^2)*各项系数!$J$4</f>
        <v>2.61795686663979</v>
      </c>
      <c r="JG76" s="123">
        <v>1</v>
      </c>
      <c r="JH76" s="251">
        <f t="shared" ref="JH76:JH139" si="364">JG76*JF76</f>
        <v>2.61795686663979</v>
      </c>
      <c r="JI76" s="339">
        <f>JH76*VLOOKUP($JF$9,各项系数!$D$4:$F$540,3,0)</f>
        <v>3.14154823996775</v>
      </c>
      <c r="JJ76" s="371">
        <f t="shared" si="291"/>
        <v>2.61795686663979</v>
      </c>
      <c r="JK76" s="95">
        <f t="shared" si="292"/>
        <v>3.14154823996775</v>
      </c>
      <c r="JL76" s="371">
        <f>IF($DF76&lt;&gt;$JL$9,0,各项系数!$F$76/4*($NE76^2-$NC76^2)*10^-2*各项系数!$F$39*10^-3*10^2)*各项系数!$J$4</f>
        <v>0.00518712708312571</v>
      </c>
      <c r="JM76" s="127">
        <v>1</v>
      </c>
      <c r="JN76" s="95">
        <f t="shared" si="293"/>
        <v>0.00518712708312571</v>
      </c>
      <c r="JO76" s="341">
        <f>JN76*各项系数!$E$39</f>
        <v>0.103742541662514</v>
      </c>
      <c r="JP76" s="371">
        <f>IF($DF76&lt;&gt;$JP$9,0,各项系数!$F$76/4*($NE76^2-$NC76^2)*10^-2*各项系数!$F$36*10^-3*10^2)*各项系数!$J$4</f>
        <v>0</v>
      </c>
      <c r="JQ76" s="127">
        <v>1</v>
      </c>
      <c r="JR76" s="95">
        <f t="shared" si="294"/>
        <v>0</v>
      </c>
      <c r="JS76" s="341">
        <f>JR76*各项系数!$E$36</f>
        <v>0</v>
      </c>
      <c r="JT76" s="371">
        <f>IF($DF76&lt;&gt;$JT$9,0,各项系数!$F$76/4*($NE76^2-$NC76^2)*10^-2*各项系数!$F$40*10^-3*10^2)*各项系数!$J$4</f>
        <v>0</v>
      </c>
      <c r="JU76" s="127">
        <v>1</v>
      </c>
      <c r="JV76" s="95">
        <f t="shared" si="295"/>
        <v>0</v>
      </c>
      <c r="JW76" s="341">
        <f>JV76*各项系数!$E$40</f>
        <v>0</v>
      </c>
      <c r="JX76" s="371">
        <f>IF($DF76&lt;&gt;$JX$9,0,各项系数!$F$76/4*($NE76^2-$NC76^2)*10^-2*各项系数!$F$38*10^-3*10^2)*各项系数!$J$4</f>
        <v>0</v>
      </c>
      <c r="JY76" s="127">
        <v>1</v>
      </c>
      <c r="JZ76" s="95">
        <f t="shared" si="296"/>
        <v>0</v>
      </c>
      <c r="KA76" s="341">
        <f>JZ76*各项系数!$E$38</f>
        <v>0</v>
      </c>
      <c r="KB76" s="371">
        <f>IF($DF76&lt;&gt;$KB$9,0,各项系数!$F$76/4*($NE76^2-$NC76^2)*10^-2*各项系数!$F$41*10^-3*10^2)*各项系数!$J$4</f>
        <v>0</v>
      </c>
      <c r="KC76" s="127">
        <v>1</v>
      </c>
      <c r="KD76" s="95">
        <f t="shared" si="297"/>
        <v>0</v>
      </c>
      <c r="KE76" s="341">
        <f>KD76*各项系数!$E$41</f>
        <v>0</v>
      </c>
      <c r="KF76" s="95">
        <f t="shared" si="298"/>
        <v>0.00518712708312571</v>
      </c>
      <c r="KG76" s="95">
        <f t="shared" si="299"/>
        <v>0.103742541662514</v>
      </c>
      <c r="KH76" s="304">
        <f>各项系数!$F$76/4*($NG76^2-$NE76^2)*10^-2*各项系数!$F$44*10^-3*10^2*各项系数!$J$4*0.75*$U76</f>
        <v>1.29152915532874</v>
      </c>
      <c r="KI76" s="127">
        <v>1</v>
      </c>
      <c r="KJ76" s="95">
        <f t="shared" si="300"/>
        <v>1.29152915532874</v>
      </c>
      <c r="KK76" s="95">
        <f>ROUND(KJ76*各项系数!$E$43,GT76)</f>
        <v>7</v>
      </c>
      <c r="KL76" s="302">
        <f>各项系数!$F$76/4*($NF76^2-$NE76^2)*10^-2*各项系数!$F$46*10^-3*10^2*各项系数!$J$4*PI()/4*R76</f>
        <v>0.0646660424761925</v>
      </c>
      <c r="KM76" s="127">
        <v>1</v>
      </c>
      <c r="KN76" s="95">
        <f t="shared" si="301"/>
        <v>0.0646660424761925</v>
      </c>
      <c r="KO76" s="95">
        <f>KN76*各项系数!$E$46</f>
        <v>4.36495786714299</v>
      </c>
      <c r="KP76" s="304">
        <f>各项系数!$F$76/4*($NH76^2-$NE76^2)*10^-2*(VLOOKUP($KP$9,各项系数!$D$1:$F$143,3,0))*10^-3*10^2*各项系数!$J$4</f>
        <v>0.552002969744405</v>
      </c>
      <c r="KQ76" s="127">
        <v>1</v>
      </c>
      <c r="KR76" s="95">
        <f t="shared" si="150"/>
        <v>0.552002969744405</v>
      </c>
      <c r="KS76" s="95">
        <f>KR76*(VLOOKUP($KP$9,各项系数!$D$1:$F$143,2,0))</f>
        <v>9.38405048565489</v>
      </c>
      <c r="KT76" s="304">
        <f>各项系数!$F$76/4*($NI76^2-$NF76^2)*10^-2*(VLOOKUP($KT$9,各项系数!$D$1:$F$143,3,0))*10^-3*10^2*各项系数!$J$4</f>
        <v>0.553815982864792</v>
      </c>
      <c r="KU76" s="127">
        <v>1</v>
      </c>
      <c r="KV76" s="95">
        <f t="shared" si="151"/>
        <v>0.553815982864792</v>
      </c>
      <c r="KW76" s="95">
        <f>KV76*(VLOOKUP($KT$9,各项系数!$D$1:$F$143,2,0))</f>
        <v>9.41487170870147</v>
      </c>
      <c r="KX76" s="95">
        <f>各项系数!$F$76/4*($NH76^2-$NE76^2)*10^-2*(VLOOKUP($KX$9,各项系数!$D$1:$F$143,3,0))*10^-3*10^2*各项系数!$J$4</f>
        <v>0.552002969744405</v>
      </c>
      <c r="KY76" s="481">
        <v>1</v>
      </c>
      <c r="KZ76" s="95">
        <f t="shared" si="152"/>
        <v>0.552002969744405</v>
      </c>
      <c r="LA76" s="95">
        <f>KZ76*(VLOOKUP($KX$9,各项系数!$D$1:$F$143,2,0))</f>
        <v>9.38405048565489</v>
      </c>
      <c r="LB76" s="95">
        <f>各项系数!$F$76/4*($NI76^2-$NF76^2)*10^-2*(VLOOKUP($LB$9,各项系数!$D$1:$F$143,3,0))*10^-3*10^2*各项系数!$J$4</f>
        <v>0.553815982864792</v>
      </c>
      <c r="LC76" s="481">
        <v>1</v>
      </c>
      <c r="LD76" s="95">
        <f t="shared" si="153"/>
        <v>0.553815982864792</v>
      </c>
      <c r="LE76" s="95">
        <f>LD76*(VLOOKUP($LB$9,各项系数!$D$1:$F$143,2,0))</f>
        <v>9.41487170870147</v>
      </c>
      <c r="LF76" s="304">
        <f>各项系数!$F$76/4*($NH76^2-$NE76^2)*10^-2*(VLOOKUP(AN76,各项系数!$D$1:$F$143,3,0))*10^-3*10^2*各项系数!$J$4</f>
        <v>0.559616803809845</v>
      </c>
      <c r="LG76" s="127">
        <v>1</v>
      </c>
      <c r="LH76" s="95">
        <f t="shared" si="302"/>
        <v>0.559616803809845</v>
      </c>
      <c r="LI76" s="95">
        <f>LH76*(VLOOKUP(AN76,各项系数!$D$1:$F$143,2,0))</f>
        <v>5.59616803809845</v>
      </c>
      <c r="LJ76" s="304">
        <f>各项系数!$F$76/4*($NI76^2-$NF76^2)*10^-2*(VLOOKUP(AN76,各项系数!$D$1:$F$143,3,0))*10^-3*10^2*各项系数!$J$4</f>
        <v>0.561454824007755</v>
      </c>
      <c r="LK76" s="127">
        <v>1</v>
      </c>
      <c r="LL76" s="95">
        <f t="shared" si="303"/>
        <v>0.561454824007755</v>
      </c>
      <c r="LM76" s="95">
        <f>LL76*(VLOOKUP(AN76,各项系数!$D$1:$F$143,2,0))</f>
        <v>5.61454824007755</v>
      </c>
      <c r="LN76" s="95">
        <f>各项系数!$F$76/4*($NH76^2-$NE76^2)*10^-2*(VLOOKUP($LN$9,各项系数!$D$1:$F$143,3,0))*10^-3*10^2*各项系数!$J$4</f>
        <v>0.559616803809845</v>
      </c>
      <c r="LO76" s="481">
        <v>1</v>
      </c>
      <c r="LP76" s="95">
        <f t="shared" si="304"/>
        <v>0.559616803809845</v>
      </c>
      <c r="LQ76" s="95">
        <f>LP76*(VLOOKUP($LN$9,各项系数!$D$1:$F$143,2,0))</f>
        <v>6.1557848419083</v>
      </c>
      <c r="LR76" s="95">
        <f>各项系数!$F$76/4*($NI76^2-$NF76^2)*10^-2*(VLOOKUP($LR$9,各项系数!$D$1:$F$143,3,0))*10^-3*10^2*各项系数!$J$4</f>
        <v>0.561454824007755</v>
      </c>
      <c r="LS76" s="481">
        <v>1</v>
      </c>
      <c r="LT76" s="95">
        <f t="shared" si="305"/>
        <v>0.561454824007755</v>
      </c>
      <c r="LU76" s="95">
        <f>LT76*(VLOOKUP($LR$9,各项系数!$D$1:$F$143,2,0))</f>
        <v>6.1760030640853</v>
      </c>
      <c r="LV76" s="501">
        <f t="shared" si="154"/>
        <v>764.32523304</v>
      </c>
      <c r="LW76" s="501">
        <f t="shared" si="155"/>
        <v>558.06321009</v>
      </c>
      <c r="LX76" s="501">
        <f t="shared" si="156"/>
        <v>26.6561090099143</v>
      </c>
      <c r="LY76" s="519">
        <f t="shared" si="157"/>
        <v>206.26202295</v>
      </c>
      <c r="LZ76" s="516">
        <f t="shared" ref="LZ76:LZ139" si="365">$LZ$8</f>
        <v>1</v>
      </c>
      <c r="MA76" s="517">
        <f t="shared" ref="MA76:MA139" si="366">LV76-LY76*(1-LZ76)</f>
        <v>764.32523304</v>
      </c>
      <c r="MB76" s="501">
        <f t="shared" si="158"/>
        <v>15.59782927</v>
      </c>
      <c r="MC76" s="501">
        <f t="shared" si="159"/>
        <v>0</v>
      </c>
      <c r="MD76" s="501">
        <f t="shared" si="160"/>
        <v>0</v>
      </c>
      <c r="ME76" s="501">
        <f t="shared" si="161"/>
        <v>0</v>
      </c>
      <c r="MF76" s="501">
        <f t="shared" si="162"/>
        <v>0</v>
      </c>
      <c r="MG76" s="527">
        <f t="shared" si="163"/>
        <v>1</v>
      </c>
      <c r="MH76" s="517">
        <f t="shared" ref="MH76:MH139" si="367">MC76-MF76*(1-MG76)</f>
        <v>0</v>
      </c>
      <c r="MI76" s="501">
        <f t="shared" si="164"/>
        <v>0</v>
      </c>
      <c r="MJ76" s="95">
        <f t="shared" ref="MJ76:MJ139" si="368">ROUND(ROUND($EJ76*10^-2,8)*$EI76,8)</f>
        <v>15.59782927</v>
      </c>
      <c r="MK76" s="95">
        <f t="shared" si="165"/>
        <v>15.59782927</v>
      </c>
      <c r="ML76" s="95">
        <f t="shared" si="306"/>
        <v>0</v>
      </c>
      <c r="MM76" s="95">
        <f t="shared" ref="MM76:MM139" si="369">(1-$K76)^(1/2)*$MI76</f>
        <v>0</v>
      </c>
      <c r="MN76" s="95">
        <f t="shared" ref="MN76:MN139" si="370">MK76+M76*2</f>
        <v>18.39782927</v>
      </c>
      <c r="MO76" s="251">
        <f t="shared" si="166"/>
        <v>0</v>
      </c>
      <c r="MP76" s="95">
        <f t="shared" si="167"/>
        <v>44.52274683</v>
      </c>
      <c r="MQ76" s="95">
        <f t="shared" si="307"/>
        <v>44.52274683</v>
      </c>
      <c r="MR76" s="314">
        <f t="shared" si="168"/>
        <v>44.52274683</v>
      </c>
      <c r="MS76" s="530">
        <f t="shared" ref="MS76:MS139" si="371">MR76+2*O76*(1+P76)</f>
        <v>44.69874683</v>
      </c>
      <c r="MT76" s="532">
        <f t="shared" ref="MT76:MT139" si="372">MS76+(Q76*R76*2)</f>
        <v>44.85874683</v>
      </c>
      <c r="MU76" s="532">
        <f t="shared" ref="MU76:MU139" si="373">MS76+(T76*U76*1.5)</f>
        <v>46.19874683</v>
      </c>
      <c r="MV76" s="532">
        <f t="shared" ref="MV76:MV139" si="374">MS76+W76*2</f>
        <v>49.69874683</v>
      </c>
      <c r="MW76" s="532">
        <f t="shared" ref="MW76:MW139" si="375">MT76+W76*2</f>
        <v>49.85874683</v>
      </c>
      <c r="MX76" s="314">
        <f t="shared" ref="MX76:MX139" si="376">MK76+3*X76</f>
        <v>16.19782927</v>
      </c>
      <c r="MY76" s="314">
        <f t="shared" ref="MY76:MY139" si="377">IF(MM76=0,0,MM76+3*X76)</f>
        <v>0</v>
      </c>
      <c r="MZ76" s="95">
        <f t="shared" ref="MZ76:MZ139" si="378">MX76+M76*2</f>
        <v>18.99782927</v>
      </c>
      <c r="NA76" s="95">
        <f t="shared" ref="NA76:NA139" si="379">IF(MM76=0,0,MY76+M76*2)</f>
        <v>0</v>
      </c>
      <c r="NB76" s="95">
        <f t="shared" si="169"/>
        <v>45.97474683</v>
      </c>
      <c r="NC76" s="314">
        <f t="shared" si="308"/>
        <v>45.97474683</v>
      </c>
      <c r="ND76" s="314">
        <f t="shared" si="234"/>
        <v>45.97474683</v>
      </c>
      <c r="NE76" s="537">
        <f t="shared" si="235"/>
        <v>46.21474683</v>
      </c>
      <c r="NF76" s="532">
        <f t="shared" ref="NF76:NF139" si="380">NE76++(Q76*R76*2)</f>
        <v>46.37474683</v>
      </c>
      <c r="NG76" s="180">
        <f t="shared" ref="NG76:NG139" si="381">NE76+(T76*U76*1.5)</f>
        <v>47.71474683</v>
      </c>
      <c r="NH76" s="314">
        <f t="shared" ref="NH76:NH139" si="382">NE76+W76*2</f>
        <v>51.21474683</v>
      </c>
      <c r="NI76" s="532">
        <f t="shared" ref="NI76:NI139" si="383">NF76+W76*2</f>
        <v>51.37474683</v>
      </c>
      <c r="NK76" s="541">
        <f t="shared" ref="NK76:NK139" si="384">SUM(HR76,GM76,GI76,GE76,GA76,FW76,FN76,FJ76,FF76,FA76)</f>
        <v>6.48132191231569</v>
      </c>
      <c r="NL76" s="541">
        <f t="shared" ref="NL76:NL139" si="385">SUM(FB76,FG76,FK76,FO76,FX76,GB76,GF76,GJ76,GN76,HS76)</f>
        <v>338.867569901288</v>
      </c>
      <c r="NM76" s="541">
        <f t="shared" ref="NM76:NM139" si="386">SUM(HZ76,GM76,GI76,GE76,GA76,FW76,FN76,FJ76,FF76,FA76)</f>
        <v>6.48132191231569</v>
      </c>
      <c r="NN76" s="541">
        <f t="shared" ref="NN76:NN139" si="387">SUM(FB76,FG76,FK76,FO76,FX76,GB76,GF76,GJ76,GN76,IA76)</f>
        <v>339.409771463722</v>
      </c>
      <c r="NO76" s="541">
        <f t="shared" ref="NO76:NO139" si="388">SUM(LH76,KD76,JZ76,JV76,JR76,JN76,JH76,JD76,IU76,IQ76,IM76,II76,FA76)</f>
        <v>8.62148719756981</v>
      </c>
      <c r="NP76" s="541">
        <f t="shared" ref="NP76:NP139" si="389">SUM(LI76,KE76,KA76,JW76,JS76,JO76,JI76,JE76,IV76,IR76,IN76,IJ76,FB76)</f>
        <v>342.716655852123</v>
      </c>
      <c r="NQ76" s="541">
        <f t="shared" ref="NQ76:NQ139" si="390">SUM(LN76,KD76,JZ76,JV76,JR76,JN76,JH76,JD76,IU76,IQ76,IM76,II76,FA76)</f>
        <v>8.62148719756981</v>
      </c>
      <c r="NR76" s="541">
        <f t="shared" ref="NR76:NR139" si="391">SUM(FB76,IJ76,IN76,IR76,IV76,JE76,JI76,JO76,JS76,JW76,KA76,KE76,LQ76)</f>
        <v>343.276272655933</v>
      </c>
      <c r="NS76" s="541">
        <f t="shared" ref="NS76:NS139" si="392">SUM(HR76,GM76,GI76,GE76,GA76,FW76,FN76,FJ76,FF76,FA76,GV76)</f>
        <v>6.54387035555856</v>
      </c>
      <c r="NT76" s="541">
        <f t="shared" ref="NT76:NT139" si="393">SUM(HZ76,GM76,GI76,GE76,GA76,FW76,FN76,FJ76,FF76,FA76,GV76)</f>
        <v>6.54387035555856</v>
      </c>
      <c r="NU76" s="541">
        <f t="shared" ref="NU76:NU139" si="394">SUM(LH76,KD76,JZ76,JV76,JR76,JN76,JH76,JD76,IU76,IQ76,IM76,II76,FA76,KL76)</f>
        <v>8.686153240046</v>
      </c>
      <c r="NV76" s="541">
        <f t="shared" ref="NV76:NV139" si="395">SUM(LN76,KD76,JZ76,JV76,JR76,JN76,JH76,JD76,IU76,IQ76,IM76,II76,FA76,KL76)</f>
        <v>8.686153240046</v>
      </c>
      <c r="NW76" s="11">
        <f t="shared" ref="NW76:NW139" si="396">NK76+GS76</f>
        <v>7.31454804561907</v>
      </c>
      <c r="NX76" s="11">
        <f>各项系数!$M$9*NK76</f>
        <v>1.94439657369471</v>
      </c>
      <c r="NY76" s="11">
        <f t="shared" ref="NY76:NY139" si="397">SUM(HR76,GX76,GM76,GI76,GE76,GA76,FW76,FN76,FJ76,FF76,FA76)</f>
        <v>6.54387035555856</v>
      </c>
    </row>
    <row r="77" s="11" customFormat="1" customHeight="1" spans="1:389">
      <c r="A77" s="81"/>
      <c r="B77" s="82"/>
      <c r="C77" s="83"/>
      <c r="D77" s="74" t="s">
        <v>322</v>
      </c>
      <c r="E77" s="550">
        <f t="shared" si="325"/>
        <v>54.83961526</v>
      </c>
      <c r="F77" s="84">
        <f>$F$29</f>
        <v>245.09808262108</v>
      </c>
      <c r="G77" s="74"/>
      <c r="H77" s="23"/>
      <c r="I77" s="78"/>
      <c r="J77" s="78"/>
      <c r="K77" s="23"/>
      <c r="L77" s="128" t="s">
        <v>467</v>
      </c>
      <c r="M77" s="119">
        <f t="shared" si="339"/>
        <v>1.6</v>
      </c>
      <c r="N77" s="119">
        <f t="shared" si="340"/>
        <v>0</v>
      </c>
      <c r="O77" s="74">
        <f t="shared" si="326"/>
        <v>0.08</v>
      </c>
      <c r="P77" s="120">
        <v>0.1</v>
      </c>
      <c r="Q77" s="165">
        <f t="shared" si="337"/>
        <v>0.1</v>
      </c>
      <c r="R77" s="182">
        <v>0.8</v>
      </c>
      <c r="S77" s="173" t="str">
        <f>各项系数!$D$43</f>
        <v>钢带</v>
      </c>
      <c r="T77" s="78">
        <v>0.5</v>
      </c>
      <c r="U77" s="78">
        <v>2</v>
      </c>
      <c r="V77" s="172"/>
      <c r="W77" s="174">
        <v>2.7</v>
      </c>
      <c r="X77" s="168">
        <f t="shared" si="338"/>
        <v>0.2</v>
      </c>
      <c r="Y77" s="221"/>
      <c r="Z77" s="222"/>
      <c r="AA77" s="223">
        <f>$AA$29</f>
        <v>1.015</v>
      </c>
      <c r="AB77" s="186">
        <f>PI()*EJ77*EJ77/4*EH77*(1-H77)*AA77*各项系数!$F$5*各项系数!$J$4*10^-7</f>
        <v>1.56733675087884</v>
      </c>
      <c r="AC77" s="224">
        <f t="shared" si="327"/>
        <v>245.09808262108</v>
      </c>
      <c r="AD77" s="186">
        <f t="shared" si="341"/>
        <v>177.189293020653</v>
      </c>
      <c r="AE77" s="186">
        <f>POWER(4*EU77/PI()/EG77/10^-7/EH77/(1-H77)/各项系数!$F$5/各项系数!$J$4,0.5)</f>
        <v>246.929476077883</v>
      </c>
      <c r="AF77" s="225">
        <v>1</v>
      </c>
      <c r="AG77" s="23">
        <f>IF(EM77=0,0,PI()*ER77*ER77/4*EP77*(1-K77)*(1+AF77)*各项系数!$F$5*各项系数!$J$4*10^-7)</f>
        <v>0</v>
      </c>
      <c r="AH77" s="23">
        <f t="shared" si="328"/>
        <v>0</v>
      </c>
      <c r="AI77" s="85">
        <f t="shared" ref="AI77:AI140" si="398">PI()*AJ77*AJ77*10^-4/4*EP77</f>
        <v>0</v>
      </c>
      <c r="AJ77" s="85">
        <f>IF(OR(EP77="",EP77=0),0,POWER(4*EW77/PI()/EO77/10^-7/EP77/(1-K77)/各项系数!$F$5/各项系数!$J$4,0.5))</f>
        <v>0</v>
      </c>
      <c r="AK77" s="23" t="str">
        <f t="shared" si="342"/>
        <v>√</v>
      </c>
      <c r="AL77" s="23">
        <f t="shared" si="329"/>
        <v>436.844914185641</v>
      </c>
      <c r="AM77" s="127">
        <f t="shared" si="330"/>
        <v>185</v>
      </c>
      <c r="AN77" s="128" t="s">
        <v>486</v>
      </c>
      <c r="AO77" s="176">
        <f>AP77+各项系数!$M$9*$NK77</f>
        <v>428.279327632982</v>
      </c>
      <c r="AP77" s="176">
        <f>AQ77*(1+$BI77+(VLOOKUP($AM77,$A$12:$B$323,2,0))+各项系数!$J$6+各项系数!$M$5)*(1+$E$2)</f>
        <v>425.860172353474</v>
      </c>
      <c r="AQ77" s="262">
        <f>AR77+各项系数!$L$9*$NK77</f>
        <v>434.551196279055</v>
      </c>
      <c r="AR77" s="262">
        <f>AS77*(1+$BJ77+各项系数!$J$5+各项系数!$L$5)</f>
        <v>432.132040999547</v>
      </c>
      <c r="AS77" s="262">
        <f t="shared" ref="AS77:AS140" si="399">SUM($FB77,$FQ77,$FX77,$GP77,$HS77)</f>
        <v>423.658863725046</v>
      </c>
      <c r="AT77" s="176">
        <f>AU77+各项系数!$M$9*$NM77</f>
        <v>432.656099074167</v>
      </c>
      <c r="AU77" s="176">
        <f>AV77*(1+$BI77+(VLOOKUP($AM77,$A$12:$B$323,2,0))+各项系数!$J$6+各项系数!$M$5)*(1+$E$2)</f>
        <v>430.236943794659</v>
      </c>
      <c r="AV77" s="262">
        <f>AW77+各项系数!$L$9*$NM77</f>
        <v>439.017289586387</v>
      </c>
      <c r="AW77" s="262">
        <f>AX77*(1+$BJ77+各项系数!$J$5+各项系数!$L$5)</f>
        <v>436.598134306879</v>
      </c>
      <c r="AX77" s="262">
        <f t="shared" ref="AX77:AX140" si="400">SUM($FB77,$FQ77,$FX77,$GP77,$HC77)</f>
        <v>428.037386575371</v>
      </c>
      <c r="AY77" s="176">
        <f>AZ77+各项系数!$M$9*$NS77</f>
        <v>433.007408670934</v>
      </c>
      <c r="AZ77" s="176">
        <f>BA77*(1+$BI77+(VLOOKUP($AM77,$A$12:$B$214,2,0))+各项系数!$J$6+各项系数!$M$5)*(1+$E$2)</f>
        <v>430.567502197632</v>
      </c>
      <c r="BA77" s="262">
        <f>BB77+各项系数!$L$9*$NS77</f>
        <v>439.354594079216</v>
      </c>
      <c r="BB77" s="262">
        <f>BC77*(1+$BJ77+各项系数!$J$5+各项系数!$L$5)</f>
        <v>436.914687605913</v>
      </c>
      <c r="BC77" s="262">
        <f t="shared" ref="BC77:BC140" si="401">SUM($FB77,$FQ77,$FX77,$GP77,$GY77,$HW77)</f>
        <v>428.347732946974</v>
      </c>
      <c r="BD77" s="176">
        <f>BE77+各项系数!$M$9*$NS77</f>
        <v>437.397611040351</v>
      </c>
      <c r="BE77" s="176">
        <f>BF77*(1+$BI77+(VLOOKUP($AM77,$A$12:$B$214,2,0))+各项系数!$J$6+各项系数!$M$5)*(1+$E$2)</f>
        <v>434.957704567048</v>
      </c>
      <c r="BF77" s="262">
        <f>BG77+各项系数!$L$9*$NS77</f>
        <v>443.834392415355</v>
      </c>
      <c r="BG77" s="262">
        <f>BH77*(1+$BJ77+各项系数!$J$5+各项系数!$L$5)</f>
        <v>441.394485942053</v>
      </c>
      <c r="BH77" s="262">
        <f t="shared" ref="BH77:BH140" si="402">SUM($FB77,$FQ77,$FX77,$GP77,$GY77,$HO77)</f>
        <v>432.739692100052</v>
      </c>
      <c r="BI77" s="278"/>
      <c r="BJ77" s="279"/>
      <c r="BK77" s="95" t="s">
        <v>514</v>
      </c>
      <c r="BL77" s="176">
        <f>BM77+各项系数!$M$9*$NM77</f>
        <v>433.084142388816</v>
      </c>
      <c r="BM77" s="176">
        <f>BN77*(1+$CF77+(VLOOKUP($AM77,$A$12:$B$323,2,0))+各项系数!$J$6+各项系数!$M$5)*(1+$E$2)</f>
        <v>430.664987109308</v>
      </c>
      <c r="BN77" s="262">
        <f>BO77+各项系数!$L$9*$NM77</f>
        <v>439.454068478886</v>
      </c>
      <c r="BO77" s="262">
        <f>BP77*(1+$CG77+各项系数!$J$5+各项系数!$L$5)</f>
        <v>437.034913199378</v>
      </c>
      <c r="BP77" s="262">
        <f t="shared" ref="BP77:BP140" si="403">SUM(FB77,FQ77,FX77,GP77,IA77)</f>
        <v>424.30574097027</v>
      </c>
      <c r="BQ77" s="176">
        <f>BR77+各项系数!$M$9*$NM77</f>
        <v>436.850865462605</v>
      </c>
      <c r="BR77" s="176">
        <f>BS77*(1+$CF77+(VLOOKUP($AM77,$A$12:$B$323,2,0))+各项系数!$J$6+各项系数!$M$5)*(1+$E$2)</f>
        <v>434.431710183097</v>
      </c>
      <c r="BS77" s="262">
        <f>BT77+各项系数!$L$9*$NM77</f>
        <v>443.29766345214</v>
      </c>
      <c r="BT77" s="262">
        <f>BU77*(1+$CG77+各项系数!$J$5+各项系数!$L$5)</f>
        <v>440.878508172632</v>
      </c>
      <c r="BU77" s="262">
        <f t="shared" ref="BU77:BU140" si="404">SUM(FB77,FQ77,FX77,GP77,HK77)</f>
        <v>428.037386575371</v>
      </c>
      <c r="BV77" s="176">
        <f>BW77+各项系数!$M$9*$NT77</f>
        <v>435.477167857794</v>
      </c>
      <c r="BW77" s="176">
        <f>BX77*(1+$CF77+(VLOOKUP($AM77,$A$12:$B$214,2,0))+各项系数!$J$6+各项系数!$M$5)*(1+$E$2)</f>
        <v>433.037261384491</v>
      </c>
      <c r="BX77" s="262">
        <f>BY77+各项系数!$L$9*$NT$12</f>
        <v>441.874756514787</v>
      </c>
      <c r="BY77" s="262">
        <f>BZ77*(1+$CG77+各项系数!$J$5+各项系数!$L$5)</f>
        <v>441.866493111632</v>
      </c>
      <c r="BZ77" s="262">
        <f t="shared" si="343"/>
        <v>428.996595254011</v>
      </c>
      <c r="CA77" s="176">
        <f>CB77+各项系数!$M$9*$NT77</f>
        <v>439.255449814187</v>
      </c>
      <c r="CB77" s="176">
        <f>CC77*(1+$CF77+(VLOOKUP($AM77,$A$12:$B$214,2,0))+各项系数!$J$6+各项系数!$M$5)*(1+$E$2)</f>
        <v>436.815543340884</v>
      </c>
      <c r="CC77" s="262">
        <f>CD77+各项系数!$L$9*$NT$12</f>
        <v>445.730146266208</v>
      </c>
      <c r="CD77" s="262">
        <f>CE77*(1+$CG77+各项系数!$J$5+各项系数!$L$5)</f>
        <v>445.721882863053</v>
      </c>
      <c r="CE77" s="262">
        <f t="shared" ref="CE77:CE140" si="405">SUM($FB77,$FQ77,$FX77,$GP77,$GY77,$HO77)</f>
        <v>432.739692100052</v>
      </c>
      <c r="CF77" s="278">
        <f t="shared" ref="CF77:CF116" si="406">BI77+$CF$2</f>
        <v>0</v>
      </c>
      <c r="CG77" s="278">
        <f t="shared" si="344"/>
        <v>0.01</v>
      </c>
      <c r="CH77" s="127"/>
      <c r="CI77" s="176">
        <f>CJ77+各项系数!$M$9*$NO77</f>
        <v>436.611271124171</v>
      </c>
      <c r="CJ77" s="176">
        <f>CK77*(1+$DC77+(VLOOKUP($AM77,$A$12:$B$323,2,0))+各项系数!$J$6+各项系数!$M$5)*(1+$E$2)+各项系数!$M$9*$NK77</f>
        <v>433.416071744766</v>
      </c>
      <c r="CK77" s="262">
        <f>CL77+各项系数!$L$9*$NO77</f>
        <v>439.792771903325</v>
      </c>
      <c r="CL77" s="262">
        <f>CM77*(1+$DD77+各项系数!$J$5+各项系数!$L$5)</f>
        <v>436.59757252392</v>
      </c>
      <c r="CM77" s="262">
        <f t="shared" si="345"/>
        <v>428.036835807765</v>
      </c>
      <c r="CN77" s="176">
        <f>CO77+各项系数!$M$9*$NO77</f>
        <v>440.800033192347</v>
      </c>
      <c r="CO77" s="176">
        <f>CP77*(1+$DC77+(VLOOKUP($AM77,$A$12:$B$323,2,0))+各项系数!$J$6+各项系数!$M$5)*(1+$E$2)+各项系数!$M$9*$NK77</f>
        <v>437.604833812942</v>
      </c>
      <c r="CP77" s="262">
        <f>CQ77+各项系数!$L$9*$NO77</f>
        <v>444.067018911667</v>
      </c>
      <c r="CQ77" s="262">
        <f>CR77*(1+$DD77+各项系数!$J$5+各项系数!$L$5)</f>
        <v>440.871819532262</v>
      </c>
      <c r="CR77" s="262">
        <f t="shared" si="346"/>
        <v>432.227274051238</v>
      </c>
      <c r="CS77" s="176">
        <f>CT77+各项系数!$M$9*$NU77</f>
        <v>439.06433550963</v>
      </c>
      <c r="CT77" s="176">
        <f t="shared" si="347"/>
        <v>435.84774965666</v>
      </c>
      <c r="CU77" s="262">
        <f>CV77+各项系数!$L$9*$NU77</f>
        <v>444.74260169047</v>
      </c>
      <c r="CV77" s="262">
        <f>CW77*(1+$DD77+各项系数!$J$5+各项系数!$L$5)</f>
        <v>441.5260158375</v>
      </c>
      <c r="CW77" s="262">
        <f t="shared" si="348"/>
        <v>432.868642977941</v>
      </c>
      <c r="CX77" s="176">
        <f>CY77+各项系数!$M$9*$NU77</f>
        <v>443.581795924042</v>
      </c>
      <c r="CY77" s="176">
        <f t="shared" si="349"/>
        <v>440.365210071073</v>
      </c>
      <c r="CZ77" s="262">
        <f>DA77+各项系数!$L$9*$NU77</f>
        <v>449.352255174564</v>
      </c>
      <c r="DA77" s="262">
        <f>DB77*(1+$DD77+各项系数!$J$5+各项系数!$L$5)</f>
        <v>446.135669321595</v>
      </c>
      <c r="DB77" s="262">
        <f t="shared" si="350"/>
        <v>437.387911099603</v>
      </c>
      <c r="DC77" s="278">
        <f t="shared" ref="DC77:DC100" si="407">BI77+$DC$2</f>
        <v>0</v>
      </c>
      <c r="DD77" s="278">
        <f t="shared" si="351"/>
        <v>0</v>
      </c>
      <c r="DE77" s="95" t="s">
        <v>498</v>
      </c>
      <c r="DF77" s="95" t="s">
        <v>513</v>
      </c>
      <c r="DG77" s="176">
        <f>DH77+各项系数!$M$9*$NQ77</f>
        <v>441.477975266632</v>
      </c>
      <c r="DH77" s="176">
        <f>DI77*(1+$EA77+(VLOOKUP($AM77,$A$12:$B$323,2,0))+各项系数!$J$6+各项系数!$M$5)*(1+$E$2)+各项系数!$M$9*$NK77</f>
        <v>438.282775887227</v>
      </c>
      <c r="DI77" s="262">
        <f>DJ77+各项系数!$L$9*$NQ77</f>
        <v>444.758796538489</v>
      </c>
      <c r="DJ77" s="262">
        <f>DK77*(1+$EB77+各项系数!$J$5+各项系数!$L$5)</f>
        <v>441.563597159084</v>
      </c>
      <c r="DK77" s="262">
        <f t="shared" si="352"/>
        <v>428.702521513674</v>
      </c>
      <c r="DL77" s="176">
        <f>DM77+各项系数!$M$9*$NQ77</f>
        <v>445.354218753093</v>
      </c>
      <c r="DM77" s="176">
        <f>DN77*(1+$EA77+(VLOOKUP($AM77,$A$12:$B$323,2,0))+各项系数!$J$6+各项系数!$M$5)*(1+$E$2)+各项系数!$M$9*$NK77</f>
        <v>442.159019373689</v>
      </c>
      <c r="DN77" s="262">
        <f>DO77+各项系数!$L$9*$NQ77</f>
        <v>448.714147034878</v>
      </c>
      <c r="DO77" s="262">
        <f>DP77*(1+$EB77+各项系数!$J$5+各项系数!$L$5)</f>
        <v>445.518947655473</v>
      </c>
      <c r="DP77" s="262">
        <f t="shared" si="353"/>
        <v>432.542667626673</v>
      </c>
      <c r="DQ77" s="176">
        <f>DR77+各项系数!$M$9*$NV77</f>
        <v>443.980395083753</v>
      </c>
      <c r="DR77" s="176">
        <f t="shared" si="354"/>
        <v>440.763809230783</v>
      </c>
      <c r="DS77" s="262">
        <f>DT77+各项系数!$L$9*$NV77</f>
        <v>449.758989011004</v>
      </c>
      <c r="DT77" s="262">
        <f>DU77*(1+$EB77+各项系数!$J$5+各项系数!$L$5)</f>
        <v>446.542403158034</v>
      </c>
      <c r="DU77" s="262">
        <f t="shared" si="355"/>
        <v>433.536313745664</v>
      </c>
      <c r="DV77" s="176">
        <f>DW77+各项系数!$M$9*$NV77</f>
        <v>443.482444907485</v>
      </c>
      <c r="DW77" s="176">
        <f t="shared" si="356"/>
        <v>440.265859054516</v>
      </c>
      <c r="DX77" s="262">
        <f>DY77+各项系数!$L$9*$NV77</f>
        <v>449.250876586241</v>
      </c>
      <c r="DY77" s="262">
        <f>DZ77*(1+$EB77+各项系数!$J$5+各项系数!$L$5)</f>
        <v>446.034290733271</v>
      </c>
      <c r="DZ77" s="262">
        <f t="shared" si="357"/>
        <v>433.043000711914</v>
      </c>
      <c r="EA77" s="278">
        <f t="shared" si="324"/>
        <v>0</v>
      </c>
      <c r="EB77" s="278">
        <f t="shared" si="358"/>
        <v>0.01</v>
      </c>
      <c r="EC77" s="302">
        <f t="shared" ref="EC77:EC140" si="408">IF(EO77=0,EG77,EG77&amp;"+"&amp;EO77)</f>
        <v>4</v>
      </c>
      <c r="ED77" s="304" t="str">
        <f t="shared" si="331"/>
        <v>4*185</v>
      </c>
      <c r="EE77" s="95">
        <f t="shared" si="239"/>
        <v>185</v>
      </c>
      <c r="EF77" s="95" t="str">
        <f>LOOKUP(EH77,{1,7,10,14,19,24,30,37,48,61},{1,"1+6","2+8","4+10","1+6+12","2+8+14","4+10+16","1+6+12+18","3+9+15+21","1+6+12+18+24"})</f>
        <v>1+6+12+18</v>
      </c>
      <c r="EG77" s="127">
        <f t="shared" si="359"/>
        <v>4</v>
      </c>
      <c r="EH77" s="262">
        <f>VLOOKUP(EE77,各项系数!$B$87:$C$124,2,0)</f>
        <v>37</v>
      </c>
      <c r="EI77" s="127">
        <f>IF(EH77=0,0,VLOOKUP(EH77,各项系数!$D$142:$E$195,2,0))*1</f>
        <v>7</v>
      </c>
      <c r="EJ77" s="307">
        <f t="shared" ref="EJ77:EJ140" si="409">$F77-$G77</f>
        <v>245.09808262108</v>
      </c>
      <c r="EK77" s="95">
        <f t="shared" si="332"/>
        <v>0</v>
      </c>
      <c r="EL77" s="95">
        <f t="shared" si="360"/>
        <v>0</v>
      </c>
      <c r="EM77" s="95">
        <f t="shared" si="333"/>
        <v>0</v>
      </c>
      <c r="EN77" s="95">
        <f>IF(EP77=0,0,LOOKUP(EP77,{1,7,10,14,19,24,30,37,48,61},{1,"1+6","2+8","4+10","1+6+12","2+8+14","4+10+16","1+6+12+18","3+9+15+21","1+6+12+18+24"}))</f>
        <v>0</v>
      </c>
      <c r="EO77" s="95">
        <f t="shared" si="334"/>
        <v>0</v>
      </c>
      <c r="EP77" s="95">
        <f>IF(EM77=0,0,IF(EM77&lt;10,1,IF(AND(EM77&gt;=10,EM77&lt;=35),7,LOOKUP(EM77,{50,70,95,120,150,185,240,300},{10,14,19,24,30,37,48,61})*1)))</f>
        <v>0</v>
      </c>
      <c r="EQ77" s="95">
        <f>IF(EP77=0,0,VLOOKUP(EP77,各项系数!$D$142:$E$195,2,0))*1</f>
        <v>0</v>
      </c>
      <c r="ER77" s="95">
        <f t="shared" si="335"/>
        <v>0</v>
      </c>
      <c r="ES77" s="304">
        <f t="shared" si="336"/>
        <v>4</v>
      </c>
      <c r="ET77" s="95">
        <f>VLOOKUP(ES77,各项系数!$D$142:$E$195,2,0)*1</f>
        <v>2.42</v>
      </c>
      <c r="EU77" s="311">
        <f>((各项系数!$F$76/4*$EJ77^2*$EG77*$EH77*1*10^-7)*(1-$H77)*AA77)*(VLOOKUP($EY$9,各项系数!$D$4:$F$143,3,0))*各项系数!$J$4</f>
        <v>6.26934700351534</v>
      </c>
      <c r="EV77" s="312">
        <f>EU77*(VLOOKUP($EY$9,各项系数!$D$4:$F$143,2,0))</f>
        <v>410.642228730255</v>
      </c>
      <c r="EW77" s="324">
        <f>(IF($EO77=0,0,(各项系数!$F$76/4*$ER77^2*$EO77*$EP77*1*10^-7))*(1-$K77)*$AF77)*(VLOOKUP($EY$9,各项系数!$D$4:$F$143,3,0))*各项系数!$J$4</f>
        <v>0</v>
      </c>
      <c r="EX77" s="325">
        <f>EW77*(VLOOKUP($EY$9,各项系数!$D$4:$F$143,2,0))</f>
        <v>0</v>
      </c>
      <c r="EY77" s="251">
        <f>((各项系数!$F$76/4*$EJ77^2*$EG77*$EH77*1*10^-7)*(1-$H77)*AA77+IF($EO77=0,0,(各项系数!$F$76/4*$ER77^2*$EO77*$EP77*1*10^-7))*(1-$K77)*$AF77)*(VLOOKUP($EY$9,各项系数!$D$4:$F$143,3,0))*各项系数!$J$4</f>
        <v>6.26934700351534</v>
      </c>
      <c r="EZ77" s="127">
        <v>1</v>
      </c>
      <c r="FA77" s="95">
        <f t="shared" si="268"/>
        <v>6.26934700351534</v>
      </c>
      <c r="FB77" s="314">
        <f>FA77*(VLOOKUP($EY$9,各项系数!$D$4:$F$143,2,0))</f>
        <v>410.642228730255</v>
      </c>
      <c r="FC77" s="329"/>
      <c r="FD77" s="304">
        <f>各项系数!$F$76/4*($MN77^2-MK77^2)*10^-2*(VLOOKUP(L77,各项系数!$D$1:$F$143,3,0))*10^-3*10^2*$EG77*各项系数!$J$4</f>
        <v>0.412767869704257</v>
      </c>
      <c r="FE77" s="341">
        <f>FD77*VLOOKUP(L77,各项系数!$D$1:$F$143,2,0)</f>
        <v>4.21023227098342</v>
      </c>
      <c r="FF77" s="127">
        <f>各项系数!$F$76/4*($MO77^2-ML77^2)*10^-2*(VLOOKUP(L77,各项系数!$D$1:$F$143,3,0))*10^-3*10^2*$EO77*各项系数!$J$4</f>
        <v>0</v>
      </c>
      <c r="FG77" s="341">
        <f>FF77*VLOOKUP(L77,各项系数!$D$1:$F$143,2,0)</f>
        <v>0</v>
      </c>
      <c r="FH77" s="304">
        <f t="shared" ref="FH77:FH140" si="410">FF77+FD77</f>
        <v>0.412767869704257</v>
      </c>
      <c r="FI77" s="127">
        <v>1</v>
      </c>
      <c r="FJ77" s="95">
        <f t="shared" si="269"/>
        <v>0.412767869704257</v>
      </c>
      <c r="FK77" s="341">
        <f>FJ77*VLOOKUP(L77,各项系数!$D$1:$F$143,2,0)</f>
        <v>4.21023227098342</v>
      </c>
      <c r="FL77" s="304"/>
      <c r="FM77" s="127"/>
      <c r="FN77" s="95"/>
      <c r="FO77" s="341"/>
      <c r="FP77" s="371">
        <f t="shared" si="270"/>
        <v>0.412767869704257</v>
      </c>
      <c r="FQ77" s="371">
        <f t="shared" si="271"/>
        <v>4.21023227098342</v>
      </c>
      <c r="FR77" s="365">
        <f>各项系数!$F$76/4*($MQ77^2-$MN77^2*$EG77-$MO77^2*$EO77)*10^-2</f>
        <v>6.04203544604745</v>
      </c>
      <c r="FS77" s="366">
        <f t="shared" ref="FS77:FS140" si="411">VLOOKUP(EC77,$A$38:$B$65,2,0)</f>
        <v>1</v>
      </c>
      <c r="FT77" s="367">
        <f t="shared" si="361"/>
        <v>6.04203544604745</v>
      </c>
      <c r="FU77" s="395">
        <f>$FT77*(VLOOKUP($FT$9,各项系数!$D$1:$F$143,3,0))*10^-3*10^2*各项系数!$J$55</f>
        <v>0.721419032258066</v>
      </c>
      <c r="FV77" s="396">
        <v>1</v>
      </c>
      <c r="FW77" s="397">
        <f t="shared" si="272"/>
        <v>0.721419032258066</v>
      </c>
      <c r="FX77" s="372">
        <f>FW77*(VLOOKUP($FT$9,各项系数!$D$1:$F$143,2,0))</f>
        <v>2.1642570967742</v>
      </c>
      <c r="FY77" s="395">
        <f>IF($BK77&lt;&gt;$FY$9,0,各项系数!$F$76/4*($MS77^2-$MQ77^2)*10^-2*(VLOOKUP($FY$9,各项系数!$D$1:$F$143,3,0))*10^-3*10^2)*各项系数!$J$4</f>
        <v>0</v>
      </c>
      <c r="FZ77" s="396">
        <v>1</v>
      </c>
      <c r="GA77" s="397">
        <f t="shared" si="273"/>
        <v>0</v>
      </c>
      <c r="GB77" s="372">
        <f>GA77*(VLOOKUP($FY$9,各项系数!$D$1:$F$143,2,0))</f>
        <v>0</v>
      </c>
      <c r="GC77" s="395">
        <f>IF($BK77&lt;&gt;$GC$9,0,各项系数!$F$76/4*($MS77^2-$MQ77^2)*10^-2*(VLOOKUP($GC$9,各项系数!$D$1:$F$143,3,0))*10^-3*10^2)*各项系数!$J$4</f>
        <v>0.0134397809918284</v>
      </c>
      <c r="GD77" s="396">
        <v>1</v>
      </c>
      <c r="GE77" s="397">
        <f t="shared" si="274"/>
        <v>0.0134397809918284</v>
      </c>
      <c r="GF77" s="372">
        <f>GE77*(VLOOKUP($GC$9,各项系数!$D$1:$F$143,2,0))</f>
        <v>0.173373174794586</v>
      </c>
      <c r="GG77" s="395">
        <f>IF($BK77&lt;&gt;$GG$9,0,各项系数!$F$76/4*($MS77^2-$MQ77^2)*10^-2*(VLOOKUP($GG$9,各项系数!$D$1:$F$143,3,0))*10^-3*10^2)*各项系数!$J$4</f>
        <v>0</v>
      </c>
      <c r="GH77" s="396">
        <v>1</v>
      </c>
      <c r="GI77" s="397">
        <f t="shared" si="275"/>
        <v>0</v>
      </c>
      <c r="GJ77" s="372">
        <f>GI77*(VLOOKUP($GG$9,各项系数!$D$1:$F$143,2,0))</f>
        <v>0</v>
      </c>
      <c r="GK77" s="395">
        <f>IF($BK77&lt;&gt;$GK$9,0,各项系数!$F$76/4*($MS77^2-$MQ77^2)*10^-2*(VLOOKUP($GK$9,各项系数!$D$1:$F$143,3,0))*10^-3*10^2)*各项系数!$J$4</f>
        <v>0</v>
      </c>
      <c r="GL77" s="396">
        <v>1</v>
      </c>
      <c r="GM77" s="397">
        <f t="shared" si="276"/>
        <v>0</v>
      </c>
      <c r="GN77" s="372">
        <f>GM77*(VLOOKUP($GK$9,各项系数!$D$1:$F$143,2,0))</f>
        <v>0</v>
      </c>
      <c r="GO77" s="397">
        <f t="shared" si="277"/>
        <v>0.0134397809918284</v>
      </c>
      <c r="GP77" s="397">
        <f t="shared" si="278"/>
        <v>0.173373174794586</v>
      </c>
      <c r="GQ77" s="408">
        <f>各项系数!$F$76/4*($MU77^2-$MS77^2)*10^-2*(VLOOKUP($S77,各项系数!$D$1:$F$143,3,0))*10^-3*10^2*各项系数!$J$4</f>
        <v>0.920141961482425</v>
      </c>
      <c r="GR77" s="396">
        <v>1</v>
      </c>
      <c r="GS77" s="397">
        <f t="shared" si="279"/>
        <v>0.920141961482425</v>
      </c>
      <c r="GT77" s="397">
        <f t="shared" si="200"/>
        <v>0</v>
      </c>
      <c r="GU77" s="397">
        <f>ROUND($GS77*(VLOOKUP($S77,各项系数!$D$1:$F$143,2,0))+$E$3*GS77,GT77)</f>
        <v>5</v>
      </c>
      <c r="GV77" s="406">
        <f>各项系数!$F$76/4*($MT77^2-$MS77^2)*10^-2*(VLOOKUP($GV$9,各项系数!$D$1:$F$143,3,0))*10^-3*10^2*各项系数!$J$4*PI()/4*R77</f>
        <v>0.0691706459820785</v>
      </c>
      <c r="GW77" s="396">
        <v>1</v>
      </c>
      <c r="GX77" s="397">
        <f t="shared" si="280"/>
        <v>0.0691706459820785</v>
      </c>
      <c r="GY77" s="397">
        <f>$GX77*(VLOOKUP($GV$9,各项系数!$D$1:$F$143,2,0))</f>
        <v>4.6690186037903</v>
      </c>
      <c r="GZ77" s="408">
        <f>各项系数!$F$76/4*($MV77^2-$MS77^2)*10^-2*(VLOOKUP($GZ$9,各项系数!$D$1:$F$143,3,0))*10^-3*10^2*各项系数!$J$4</f>
        <v>0.638076194268477</v>
      </c>
      <c r="HA77" s="396">
        <v>1</v>
      </c>
      <c r="HB77" s="397">
        <f t="shared" ref="HB77:HB140" si="412">HA77*GZ77</f>
        <v>0.638076194268477</v>
      </c>
      <c r="HC77" s="397">
        <f>HB77*(VLOOKUP($GZ$9,各项系数!$D$1:$F$143,2,0))</f>
        <v>10.8472953025641</v>
      </c>
      <c r="HD77" s="408">
        <f>各项系数!$F$76/4*($MW77^2-$MT77^2)*10^-2*(VLOOKUP($HD$9,各项系数!$D$1:$F$143,3,0))*10^-3*10^2*各项系数!$J$4</f>
        <v>0.640034248438495</v>
      </c>
      <c r="HE77" s="396">
        <v>1</v>
      </c>
      <c r="HF77" s="397">
        <f t="shared" ref="HF77:HF140" si="413">HE77*HD77</f>
        <v>0.640034248438495</v>
      </c>
      <c r="HG77" s="397">
        <f>HF77*(VLOOKUP($HD$9,各项系数!$D$1:$F$143,2,0))</f>
        <v>10.8805822234544</v>
      </c>
      <c r="HH77" s="408">
        <f>各项系数!$F$76/4*($MV77^2-$MS77^2)*10^-2*(VLOOKUP($HH$9,各项系数!$D$1:$F$143,3,0))*10^-3*10^2*各项系数!$J$4</f>
        <v>0.638076194268477</v>
      </c>
      <c r="HI77" s="397">
        <v>1</v>
      </c>
      <c r="HJ77" s="397">
        <f t="shared" ref="HJ77:HJ140" si="414">HI77*HH77</f>
        <v>0.638076194268477</v>
      </c>
      <c r="HK77" s="397">
        <f>HJ77*(VLOOKUP($HH$9,各项系数!$D$1:$F$143,2,0))</f>
        <v>10.8472953025641</v>
      </c>
      <c r="HL77" s="408">
        <f>各项系数!$F$76/4*($MW77^2-$MT77^2)*10^-2*(VLOOKUP($HL$9,各项系数!$D$1:$F$143,3,0))*10^-3*10^2*各项系数!$J$4</f>
        <v>0.640034248438495</v>
      </c>
      <c r="HM77" s="397">
        <v>1</v>
      </c>
      <c r="HN77" s="397">
        <f t="shared" si="362"/>
        <v>0.640034248438495</v>
      </c>
      <c r="HO77" s="397">
        <f>HN77*(VLOOKUP($HL$9,各项系数!$D$1:$F$143,2,0))</f>
        <v>10.8805822234544</v>
      </c>
      <c r="HP77" s="408">
        <f>各项系数!$F$76/4*($MV77^2-$MS77^2)*10^-2*(VLOOKUP(AN77,各项系数!$D$1:$F$143,3,0))*10^-3*10^2*各项系数!$J$4</f>
        <v>0.646877245223904</v>
      </c>
      <c r="HQ77" s="396">
        <v>1</v>
      </c>
      <c r="HR77" s="397">
        <f t="shared" si="281"/>
        <v>0.646877245223904</v>
      </c>
      <c r="HS77" s="397">
        <f>HR77*(VLOOKUP(AN77,各项系数!$D$1:$F$143,2,0))</f>
        <v>6.46877245223904</v>
      </c>
      <c r="HT77" s="408">
        <f>各项系数!$F$76/4*($MW77^2-$MT77^2)*10^-2*(VLOOKUP(AN77,各项系数!$D$1:$F$143,3,0))*10^-3*10^2*各项系数!$J$4</f>
        <v>0.648862307037646</v>
      </c>
      <c r="HU77" s="396">
        <v>1</v>
      </c>
      <c r="HV77" s="397">
        <f t="shared" si="282"/>
        <v>0.648862307037646</v>
      </c>
      <c r="HW77" s="397">
        <f>HV77*(VLOOKUP(AN77,各项系数!$D$1:$F$143,2,0))</f>
        <v>6.48862307037646</v>
      </c>
      <c r="HX77" s="408">
        <f>各项系数!$F$76/4*($MV77^2-$MS77^2)*10^-2*(VLOOKUP($HX$9,各项系数!$D$1:$F$143,3,0))*10^-3*10^2*各项系数!$J$4</f>
        <v>0.646877245223904</v>
      </c>
      <c r="HY77" s="397">
        <v>1</v>
      </c>
      <c r="HZ77" s="397">
        <f t="shared" si="283"/>
        <v>0.646877245223904</v>
      </c>
      <c r="IA77" s="397">
        <f>HZ77*(VLOOKUP($HX$9,各项系数!$D$1:$F$143,2,0))</f>
        <v>7.11564969746295</v>
      </c>
      <c r="IB77" s="408">
        <f>各项系数!$F$76/4*($MW77^2-$MT77^2)*10^-2*(VLOOKUP($IB$9,各项系数!$D$1:$F$143,3,0))*10^-3*10^2*各项系数!$J$4</f>
        <v>0.648862307037646</v>
      </c>
      <c r="IC77" s="397">
        <v>1</v>
      </c>
      <c r="ID77" s="397">
        <f t="shared" si="284"/>
        <v>0.648862307037646</v>
      </c>
      <c r="IE77" s="397">
        <f>ID77*(VLOOKUP($IB$9,各项系数!$D$1:$F$143,2,0))</f>
        <v>7.13748537741411</v>
      </c>
      <c r="IF77" s="395"/>
      <c r="IG77" s="408">
        <f t="shared" ref="IG77:IG140" si="415">IK77+IM77</f>
        <v>0.0982226692376673</v>
      </c>
      <c r="IH77" s="396">
        <v>1</v>
      </c>
      <c r="II77" s="397">
        <f t="shared" si="285"/>
        <v>0.0982226692376673</v>
      </c>
      <c r="IJ77" s="397">
        <f>II77*(VLOOKUP($IG$8,各项系数!$D$1:$F$143,2,0))</f>
        <v>2.45556673094168</v>
      </c>
      <c r="IK77" s="408">
        <f>(各项系数!$F$76/4*($MX77^2-$MK77^2)*$EG77)*10^-2*(VLOOKUP($IG$8,各项系数!$D$1:$F$143,3,0))*10^-3*10^2*各项系数!$J$4</f>
        <v>0.0982226692376673</v>
      </c>
      <c r="IL77" s="396">
        <f>IK77*(VLOOKUP($IG$8,各项系数!$D$1:$F$143,2,0))</f>
        <v>2.45556673094168</v>
      </c>
      <c r="IM77" s="397">
        <f>(各项系数!$F$76/4*(($MM77+3*$X77)^2-MM77^2)*$EO77)*10^-2*(VLOOKUP($IG$8,各项系数!$D$1:$F$143,3,0))*10^-3*10^2*各项系数!$J$4</f>
        <v>0</v>
      </c>
      <c r="IN77" s="396">
        <f>IM77*(VLOOKUP($IG$8,各项系数!$D$1:$F$143,2,0))</f>
        <v>0</v>
      </c>
      <c r="IO77" s="408">
        <f>各项系数!$F$76/4*($MZ77^2-$MX77^2)*10^-2*(VLOOKUP(L77,各项系数!$D$1:$F$143,3,0))*10^-3*10^2*$ES77*各项系数!$J$4</f>
        <v>0.425971606636177</v>
      </c>
      <c r="IP77" s="396">
        <v>1</v>
      </c>
      <c r="IQ77" s="397">
        <f t="shared" si="286"/>
        <v>0.425971606636177</v>
      </c>
      <c r="IR77" s="372">
        <f>IQ77*(VLOOKUP(L77,各项系数!$D$1:$F$143,2,0))</f>
        <v>4.344910387689</v>
      </c>
      <c r="IS77" s="408">
        <f>IF($L77&lt;&gt;$IS$9,0,各项系数!$F$76/4*($MZ77^2-$MX77^2)*10^-2*各项系数!$F$12*10^-3*10^2)*$ES77*各项系数!$J$4</f>
        <v>0</v>
      </c>
      <c r="IT77" s="396">
        <v>1</v>
      </c>
      <c r="IU77" s="397">
        <f t="shared" si="287"/>
        <v>0</v>
      </c>
      <c r="IV77" s="372">
        <f>IU77*各项系数!$E$12</f>
        <v>0</v>
      </c>
      <c r="IW77" s="395">
        <f t="shared" si="288"/>
        <v>0.425971606636177</v>
      </c>
      <c r="IX77" s="395">
        <f t="shared" si="289"/>
        <v>4.344910387689</v>
      </c>
      <c r="IY77" s="447">
        <f>各项系数!$F$76/4*($NB77^2-$MZ77^2*$EG77-$NA77^2*$EO77)*10^-2</f>
        <v>6.4034512300397</v>
      </c>
      <c r="IZ77" s="366">
        <f t="shared" si="231"/>
        <v>1</v>
      </c>
      <c r="JA77" s="367">
        <f t="shared" si="363"/>
        <v>6.4034512300397</v>
      </c>
      <c r="JB77" s="371">
        <f>IF($DE77&lt;&gt;$JB$9,0,$JA77*各项系数!$F$32*10^-3*10^2)*各项系数!$J$4</f>
        <v>0</v>
      </c>
      <c r="JC77" s="127">
        <v>1</v>
      </c>
      <c r="JD77" s="95">
        <f t="shared" si="290"/>
        <v>0</v>
      </c>
      <c r="JE77" s="341">
        <f>JD77*各项系数!$E$32</f>
        <v>0</v>
      </c>
      <c r="JF77" s="364">
        <f>IF($DE77&lt;&gt;$JF$9,0,$JA77*VLOOKUP($JF$9,各项系数!$D$4:$F$540,2,0)*10^-3*10^2)*各项系数!$J$4</f>
        <v>3.18571698694475</v>
      </c>
      <c r="JG77" s="123">
        <v>1</v>
      </c>
      <c r="JH77" s="251">
        <f t="shared" si="364"/>
        <v>3.18571698694475</v>
      </c>
      <c r="JI77" s="339">
        <f>JH77*VLOOKUP($JF$9,各项系数!$D$4:$F$540,3,0)</f>
        <v>3.8228603843337</v>
      </c>
      <c r="JJ77" s="371">
        <f t="shared" si="291"/>
        <v>3.18571698694475</v>
      </c>
      <c r="JK77" s="95">
        <f t="shared" si="292"/>
        <v>3.8228603843337</v>
      </c>
      <c r="JL77" s="371">
        <f>IF($DF77&lt;&gt;$JL$9,0,各项系数!$F$76/4*($NE77^2-$NC77^2)*10^-2*各项系数!$F$39*10^-3*10^2)*各项系数!$J$4</f>
        <v>0.00572062577271567</v>
      </c>
      <c r="JM77" s="127">
        <v>1</v>
      </c>
      <c r="JN77" s="95">
        <f t="shared" si="293"/>
        <v>0.00572062577271567</v>
      </c>
      <c r="JO77" s="341">
        <f>JN77*各项系数!$E$39</f>
        <v>0.114412515454313</v>
      </c>
      <c r="JP77" s="371">
        <f>IF($DF77&lt;&gt;$JP$9,0,各项系数!$F$76/4*($NE77^2-$NC77^2)*10^-2*各项系数!$F$36*10^-3*10^2)*各项系数!$J$4</f>
        <v>0</v>
      </c>
      <c r="JQ77" s="127">
        <v>1</v>
      </c>
      <c r="JR77" s="95">
        <f t="shared" si="294"/>
        <v>0</v>
      </c>
      <c r="JS77" s="341">
        <f>JR77*各项系数!$E$36</f>
        <v>0</v>
      </c>
      <c r="JT77" s="371">
        <f>IF($DF77&lt;&gt;$JT$9,0,各项系数!$F$76/4*($NE77^2-$NC77^2)*10^-2*各项系数!$F$40*10^-3*10^2)*各项系数!$J$4</f>
        <v>0</v>
      </c>
      <c r="JU77" s="127">
        <v>1</v>
      </c>
      <c r="JV77" s="95">
        <f t="shared" si="295"/>
        <v>0</v>
      </c>
      <c r="JW77" s="341">
        <f>JV77*各项系数!$E$40</f>
        <v>0</v>
      </c>
      <c r="JX77" s="371">
        <f>IF($DF77&lt;&gt;$JX$9,0,各项系数!$F$76/4*($NE77^2-$NC77^2)*10^-2*各项系数!$F$38*10^-3*10^2)*各项系数!$J$4</f>
        <v>0</v>
      </c>
      <c r="JY77" s="127">
        <v>1</v>
      </c>
      <c r="JZ77" s="95">
        <f t="shared" si="296"/>
        <v>0</v>
      </c>
      <c r="KA77" s="341">
        <f>JZ77*各项系数!$E$38</f>
        <v>0</v>
      </c>
      <c r="KB77" s="371">
        <f>IF($DF77&lt;&gt;$KB$9,0,各项系数!$F$76/4*($NE77^2-$NC77^2)*10^-2*各项系数!$F$41*10^-3*10^2)*各项系数!$J$4</f>
        <v>0</v>
      </c>
      <c r="KC77" s="127">
        <v>1</v>
      </c>
      <c r="KD77" s="95">
        <f t="shared" si="297"/>
        <v>0</v>
      </c>
      <c r="KE77" s="341">
        <f>KD77*各项系数!$E$41</f>
        <v>0</v>
      </c>
      <c r="KF77" s="95">
        <f t="shared" si="298"/>
        <v>0.00572062577271567</v>
      </c>
      <c r="KG77" s="95">
        <f t="shared" si="299"/>
        <v>0.114412515454313</v>
      </c>
      <c r="KH77" s="304">
        <f>各项系数!$F$76/4*($NG77^2-$NE77^2)*10^-2*各项系数!$F$44*10^-3*10^2*各项系数!$J$4*0.75*$U77</f>
        <v>1.4219028975973</v>
      </c>
      <c r="KI77" s="127">
        <v>1</v>
      </c>
      <c r="KJ77" s="95">
        <f t="shared" si="300"/>
        <v>1.4219028975973</v>
      </c>
      <c r="KK77" s="95">
        <f>ROUND(KJ77*各项系数!$E$43,GT77)</f>
        <v>8</v>
      </c>
      <c r="KL77" s="302">
        <f>各项系数!$F$76/4*($NF77^2-$NE77^2)*10^-2*各项系数!$F$46*10^-3*10^2*各项系数!$J$4*PI()/4*R77</f>
        <v>0.0712882452153988</v>
      </c>
      <c r="KM77" s="127">
        <v>1</v>
      </c>
      <c r="KN77" s="95">
        <f t="shared" si="301"/>
        <v>0.0712882452153988</v>
      </c>
      <c r="KO77" s="95">
        <f>KN77*各项系数!$E$46</f>
        <v>4.81195655203942</v>
      </c>
      <c r="KP77" s="304">
        <f>各项系数!$F$76/4*($NH77^2-$NE77^2)*10^-2*(VLOOKUP($KP$9,各项系数!$D$1:$F$143,3,0))*10^-3*10^2*各项系数!$J$4</f>
        <v>0.656628757529394</v>
      </c>
      <c r="KQ77" s="127">
        <v>1</v>
      </c>
      <c r="KR77" s="95">
        <f t="shared" ref="KR77:KR140" si="416">KQ77*KP77</f>
        <v>0.656628757529394</v>
      </c>
      <c r="KS77" s="95">
        <f>KR77*(VLOOKUP($KP$9,各项系数!$D$1:$F$143,2,0))</f>
        <v>11.1626888779997</v>
      </c>
      <c r="KT77" s="304">
        <f>各项系数!$F$76/4*($NI77^2-$NF77^2)*10^-2*(VLOOKUP($KT$9,各项系数!$D$1:$F$143,3,0))*10^-3*10^2*各项系数!$J$4</f>
        <v>0.658586811699412</v>
      </c>
      <c r="KU77" s="127">
        <v>1</v>
      </c>
      <c r="KV77" s="95">
        <f t="shared" ref="KV77:KV140" si="417">KU77*KT77</f>
        <v>0.658586811699412</v>
      </c>
      <c r="KW77" s="95">
        <f>KV77*(VLOOKUP($KT$9,各项系数!$D$1:$F$143,2,0))</f>
        <v>11.19597579889</v>
      </c>
      <c r="KX77" s="95">
        <f>各项系数!$F$76/4*($NH77^2-$NE77^2)*10^-2*(VLOOKUP($KX$9,各项系数!$D$1:$F$143,3,0))*10^-3*10^2*各项系数!$J$4</f>
        <v>0.656628757529394</v>
      </c>
      <c r="KY77" s="481">
        <v>1</v>
      </c>
      <c r="KZ77" s="95">
        <f t="shared" ref="KZ77:KZ140" si="418">KY77*KX77</f>
        <v>0.656628757529394</v>
      </c>
      <c r="LA77" s="95">
        <f>KZ77*(VLOOKUP($KX$9,各项系数!$D$1:$F$143,2,0))</f>
        <v>11.1626888779997</v>
      </c>
      <c r="LB77" s="95">
        <f>各项系数!$F$76/4*($NI77^2-$NF77^2)*10^-2*(VLOOKUP($LB$9,各项系数!$D$1:$F$143,3,0))*10^-3*10^2*各项系数!$J$4</f>
        <v>0.658586811699412</v>
      </c>
      <c r="LC77" s="481">
        <v>1</v>
      </c>
      <c r="LD77" s="95">
        <f t="shared" ref="LD77:LD140" si="419">LC77*LB77</f>
        <v>0.658586811699412</v>
      </c>
      <c r="LE77" s="95">
        <f>LD77*(VLOOKUP($LB$9,各项系数!$D$1:$F$143,2,0))</f>
        <v>11.19597579889</v>
      </c>
      <c r="LF77" s="304">
        <f>各项系数!$F$76/4*($NH77^2-$NE77^2)*10^-2*(VLOOKUP(AN77,各项系数!$D$1:$F$143,3,0))*10^-3*10^2*各项系数!$J$4</f>
        <v>0.66568570590911</v>
      </c>
      <c r="LG77" s="127">
        <v>1</v>
      </c>
      <c r="LH77" s="95">
        <f t="shared" si="302"/>
        <v>0.66568570590911</v>
      </c>
      <c r="LI77" s="95">
        <f>LH77*(VLOOKUP(AN77,各项系数!$D$1:$F$143,2,0))</f>
        <v>6.6568570590911</v>
      </c>
      <c r="LJ77" s="304">
        <f>各项系数!$F$76/4*($NI77^2-$NF77^2)*10^-2*(VLOOKUP(AN77,各项系数!$D$1:$F$143,3,0))*10^-3*10^2*各项系数!$J$4</f>
        <v>0.667670767722852</v>
      </c>
      <c r="LK77" s="127">
        <v>1</v>
      </c>
      <c r="LL77" s="95">
        <f t="shared" si="303"/>
        <v>0.667670767722852</v>
      </c>
      <c r="LM77" s="95">
        <f>LL77*(VLOOKUP(AN77,各项系数!$D$1:$F$143,2,0))</f>
        <v>6.67670767722852</v>
      </c>
      <c r="LN77" s="95">
        <f>各项系数!$F$76/4*($NH77^2-$NE77^2)*10^-2*(VLOOKUP($LN$9,各项系数!$D$1:$F$143,3,0))*10^-3*10^2*各项系数!$J$4</f>
        <v>0.66568570590911</v>
      </c>
      <c r="LO77" s="481">
        <v>1</v>
      </c>
      <c r="LP77" s="95">
        <f t="shared" si="304"/>
        <v>0.66568570590911</v>
      </c>
      <c r="LQ77" s="95">
        <f>LP77*(VLOOKUP($LN$9,各项系数!$D$1:$F$143,2,0))</f>
        <v>7.32254276500021</v>
      </c>
      <c r="LR77" s="95">
        <f>各项系数!$F$76/4*($NI77^2-$NF77^2)*10^-2*(VLOOKUP($LR$9,各项系数!$D$1:$F$143,3,0))*10^-3*10^2*各项系数!$J$4</f>
        <v>0.667670767722852</v>
      </c>
      <c r="LS77" s="481">
        <v>1</v>
      </c>
      <c r="LT77" s="95">
        <f t="shared" si="305"/>
        <v>0.667670767722852</v>
      </c>
      <c r="LU77" s="95">
        <f>LT77*(VLOOKUP($LR$9,各项系数!$D$1:$F$143,2,0))</f>
        <v>7.34437844495137</v>
      </c>
      <c r="LV77" s="501">
        <f t="shared" ref="LV77:LV140" si="420">ROUND(PI()*MJ77*MJ77/4*EG77,8)</f>
        <v>924.75306988</v>
      </c>
      <c r="LW77" s="501">
        <f t="shared" ref="LW77:LW140" si="421">ROUND(PI()*ROUND($EJ77*10^-2,8)^2/4*$EG77*$EH77,8)</f>
        <v>698.28293032</v>
      </c>
      <c r="LX77" s="501">
        <f t="shared" ref="LX77:LX140" si="422">SQRT(LW77/PI()*4)</f>
        <v>29.8174687104216</v>
      </c>
      <c r="LY77" s="519">
        <f t="shared" ref="LY77:LY140" si="423">LV77-LW77</f>
        <v>226.47013956</v>
      </c>
      <c r="LZ77" s="516">
        <f t="shared" si="365"/>
        <v>1</v>
      </c>
      <c r="MA77" s="517">
        <f t="shared" si="366"/>
        <v>924.75306988</v>
      </c>
      <c r="MB77" s="501">
        <f t="shared" ref="MB77:MB140" si="424">ROUND(SQRT(MA77/EG77/PI()*4),8)</f>
        <v>17.15686581</v>
      </c>
      <c r="MC77" s="501">
        <f t="shared" ref="MC77:MC140" si="425">ROUND(PI()*ML77*ML77/4*EO77,8)</f>
        <v>0</v>
      </c>
      <c r="MD77" s="501">
        <f t="shared" ref="MD77:MD140" si="426">ROUND(PI()*ROUND($ER77*10^-2,8)^2/4*$EO77*$EP77,8)</f>
        <v>0</v>
      </c>
      <c r="ME77" s="501">
        <f t="shared" ref="ME77:ME140" si="427">SQRT(MD77/PI()*4)</f>
        <v>0</v>
      </c>
      <c r="MF77" s="501">
        <f t="shared" ref="MF77:MF140" si="428">MC77-MD77</f>
        <v>0</v>
      </c>
      <c r="MG77" s="527">
        <f t="shared" ref="MG77:MG140" si="429">$MG$8</f>
        <v>1</v>
      </c>
      <c r="MH77" s="517">
        <f t="shared" si="367"/>
        <v>0</v>
      </c>
      <c r="MI77" s="501">
        <f t="shared" ref="MI77:MI140" si="430">IF(EK77=0,0,SQRT(MH77/EO77/PI()*4))</f>
        <v>0</v>
      </c>
      <c r="MJ77" s="95">
        <f t="shared" si="368"/>
        <v>17.15686581</v>
      </c>
      <c r="MK77" s="95">
        <f t="shared" ref="MK77:MK140" si="431">ROUND((1-$H77)^(1/2)*$MB77,8)</f>
        <v>17.15686581</v>
      </c>
      <c r="ML77" s="95">
        <f t="shared" si="306"/>
        <v>0</v>
      </c>
      <c r="MM77" s="95">
        <f t="shared" si="369"/>
        <v>0</v>
      </c>
      <c r="MN77" s="95">
        <f t="shared" si="370"/>
        <v>20.35686581</v>
      </c>
      <c r="MO77" s="251">
        <f t="shared" ref="MO77:MO140" si="432">IF(MM77=0,0,MM77+N77*2)</f>
        <v>0</v>
      </c>
      <c r="MP77" s="95">
        <f t="shared" ref="MP77:MP140" si="433">ROUND($ET77*($EG77*MN77+$EO77*MO77)/$ES77,8)</f>
        <v>49.26361526</v>
      </c>
      <c r="MQ77" s="95">
        <f t="shared" si="307"/>
        <v>49.26361526</v>
      </c>
      <c r="MR77" s="314">
        <f t="shared" ref="MR77:MR140" si="434">IF(FR77=0,MQ77,ROUND(SQRT((PI()*MQ77*MQ77/4-(FR77-FT77))*4/PI()),8))</f>
        <v>49.26361526</v>
      </c>
      <c r="MS77" s="530">
        <f t="shared" si="371"/>
        <v>49.43961526</v>
      </c>
      <c r="MT77" s="532">
        <f t="shared" si="372"/>
        <v>49.59961526</v>
      </c>
      <c r="MU77" s="532">
        <f t="shared" si="373"/>
        <v>50.93961526</v>
      </c>
      <c r="MV77" s="532">
        <f t="shared" si="374"/>
        <v>54.83961526</v>
      </c>
      <c r="MW77" s="532">
        <f t="shared" si="375"/>
        <v>54.99961526</v>
      </c>
      <c r="MX77" s="314">
        <f t="shared" si="376"/>
        <v>17.75686581</v>
      </c>
      <c r="MY77" s="314">
        <f t="shared" si="377"/>
        <v>0</v>
      </c>
      <c r="MZ77" s="95">
        <f t="shared" si="378"/>
        <v>20.95686581</v>
      </c>
      <c r="NA77" s="95">
        <f t="shared" si="379"/>
        <v>0</v>
      </c>
      <c r="NB77" s="95">
        <f t="shared" ref="NB77:NB140" si="435">ROUND($ET77*($EG77*MZ77+$EO77*NA77)/$ES77,8)</f>
        <v>50.71561526</v>
      </c>
      <c r="NC77" s="314">
        <f t="shared" si="308"/>
        <v>50.71561526</v>
      </c>
      <c r="ND77" s="314">
        <f t="shared" ref="ND77:ND140" si="436">IF(IY77=0,NC77,ROUND(SQRT((PI()*NC77*NC77/4-(IY77-JA77))*4/PI()),8))</f>
        <v>50.71561526</v>
      </c>
      <c r="NE77" s="537">
        <f t="shared" ref="NE77:NE140" si="437">ND77+3*O77</f>
        <v>50.95561526</v>
      </c>
      <c r="NF77" s="532">
        <f t="shared" si="380"/>
        <v>51.11561526</v>
      </c>
      <c r="NG77" s="180">
        <f t="shared" si="381"/>
        <v>52.45561526</v>
      </c>
      <c r="NH77" s="314">
        <f t="shared" si="382"/>
        <v>56.35561526</v>
      </c>
      <c r="NI77" s="532">
        <f t="shared" si="383"/>
        <v>56.51561526</v>
      </c>
      <c r="NK77" s="541">
        <f t="shared" si="384"/>
        <v>8.0638509316934</v>
      </c>
      <c r="NL77" s="541">
        <f t="shared" si="385"/>
        <v>423.658863725046</v>
      </c>
      <c r="NM77" s="541">
        <f t="shared" si="386"/>
        <v>8.0638509316934</v>
      </c>
      <c r="NN77" s="541">
        <f t="shared" si="387"/>
        <v>424.30574097027</v>
      </c>
      <c r="NO77" s="541">
        <f t="shared" si="388"/>
        <v>10.6506645980158</v>
      </c>
      <c r="NP77" s="541">
        <f t="shared" si="389"/>
        <v>428.036835807765</v>
      </c>
      <c r="NQ77" s="541">
        <f t="shared" si="390"/>
        <v>10.6506645980158</v>
      </c>
      <c r="NR77" s="541">
        <f t="shared" si="391"/>
        <v>428.702521513674</v>
      </c>
      <c r="NS77" s="541">
        <f t="shared" si="392"/>
        <v>8.13302157767547</v>
      </c>
      <c r="NT77" s="541">
        <f t="shared" si="393"/>
        <v>8.13302157767547</v>
      </c>
      <c r="NU77" s="541">
        <f t="shared" si="394"/>
        <v>10.7219528432312</v>
      </c>
      <c r="NV77" s="541">
        <f t="shared" si="395"/>
        <v>10.7219528432312</v>
      </c>
      <c r="NW77" s="11">
        <f t="shared" si="396"/>
        <v>8.98399289317582</v>
      </c>
      <c r="NX77" s="11">
        <f>各项系数!$M$9*NK77</f>
        <v>2.41915527950802</v>
      </c>
      <c r="NY77" s="11">
        <f t="shared" si="397"/>
        <v>8.13302157767547</v>
      </c>
    </row>
    <row r="78" s="11" customFormat="1" customHeight="1" spans="1:389">
      <c r="A78" s="81"/>
      <c r="B78" s="82"/>
      <c r="C78" s="83"/>
      <c r="D78" s="74" t="s">
        <v>327</v>
      </c>
      <c r="E78" s="550">
        <f t="shared" si="325"/>
        <v>62.86088319</v>
      </c>
      <c r="F78" s="84">
        <f>$F$30</f>
        <v>246.701228113631</v>
      </c>
      <c r="G78" s="74"/>
      <c r="H78" s="23"/>
      <c r="I78" s="78"/>
      <c r="J78" s="78"/>
      <c r="K78" s="23"/>
      <c r="L78" s="128" t="s">
        <v>467</v>
      </c>
      <c r="M78" s="119">
        <f t="shared" si="339"/>
        <v>1.7</v>
      </c>
      <c r="N78" s="119">
        <f t="shared" si="340"/>
        <v>0</v>
      </c>
      <c r="O78" s="74">
        <f t="shared" ref="O78:O87" si="438">$O$36</f>
        <v>0.08</v>
      </c>
      <c r="P78" s="120">
        <v>0.1</v>
      </c>
      <c r="Q78" s="165">
        <f t="shared" si="337"/>
        <v>0.1</v>
      </c>
      <c r="R78" s="182">
        <v>0.8</v>
      </c>
      <c r="S78" s="173" t="str">
        <f>各项系数!$D$43</f>
        <v>钢带</v>
      </c>
      <c r="T78" s="78">
        <v>0.5</v>
      </c>
      <c r="U78" s="78">
        <v>2</v>
      </c>
      <c r="V78" s="172"/>
      <c r="W78" s="174">
        <v>2.9</v>
      </c>
      <c r="X78" s="168">
        <f t="shared" si="338"/>
        <v>0.2</v>
      </c>
      <c r="Y78" s="221"/>
      <c r="Z78" s="222"/>
      <c r="AA78" s="223">
        <f>$AA$30</f>
        <v>1.015</v>
      </c>
      <c r="AB78" s="186">
        <f>PI()*EJ78*EJ78/4*EH78*(1-H78)*AA78*各项系数!$F$5*各项系数!$J$4*10^-7</f>
        <v>2.05998769246807</v>
      </c>
      <c r="AC78" s="224">
        <f t="shared" si="327"/>
        <v>246.701228113631</v>
      </c>
      <c r="AD78" s="186">
        <f t="shared" si="341"/>
        <v>232.884070800354</v>
      </c>
      <c r="AE78" s="186">
        <f>POWER(4*EU78/PI()/EG78/10^-7/EH78/(1-H78)/各项系数!$F$5/各项系数!$J$4,0.5)</f>
        <v>248.544600408187</v>
      </c>
      <c r="AF78" s="225">
        <v>1</v>
      </c>
      <c r="AG78" s="23">
        <f>IF(EM78=0,0,PI()*ER78*ER78/4*EP78*(1-K78)*(1+AF78)*各项系数!$F$5*各项系数!$J$4*10^-7)</f>
        <v>0</v>
      </c>
      <c r="AH78" s="23">
        <f t="shared" si="328"/>
        <v>0</v>
      </c>
      <c r="AI78" s="85">
        <f t="shared" si="398"/>
        <v>0</v>
      </c>
      <c r="AJ78" s="85">
        <f>IF(OR(EP78="",EP78=0),0,POWER(4*EW78/PI()/EO78/10^-7/EP78/(1-K78)/各项系数!$F$5/各项系数!$J$4,0.5))</f>
        <v>0</v>
      </c>
      <c r="AK78" s="23" t="str">
        <f t="shared" si="342"/>
        <v>√</v>
      </c>
      <c r="AL78" s="23">
        <f t="shared" si="329"/>
        <v>573.264056460529</v>
      </c>
      <c r="AM78" s="127">
        <f t="shared" si="330"/>
        <v>240</v>
      </c>
      <c r="AN78" s="128" t="s">
        <v>486</v>
      </c>
      <c r="AO78" s="176">
        <f>AP78+各项系数!$M$9*$NK78</f>
        <v>562.023584765225</v>
      </c>
      <c r="AP78" s="176">
        <f>AQ78*(1+$BI78+(VLOOKUP($AM78,$A$12:$B$323,2,0))+各项系数!$J$6+各项系数!$M$5)*(1+$E$2)</f>
        <v>558.865711542475</v>
      </c>
      <c r="AQ78" s="262">
        <f>AR78+各项系数!$L$9*$NK78</f>
        <v>570.271134227015</v>
      </c>
      <c r="AR78" s="262">
        <f>AS78*(1+$BJ78+各项系数!$J$5+各项系数!$L$5)</f>
        <v>567.113261004266</v>
      </c>
      <c r="AS78" s="262">
        <f t="shared" si="399"/>
        <v>555.993393141437</v>
      </c>
      <c r="AT78" s="176">
        <f>AU78+各项系数!$M$9*$NM78</f>
        <v>567.429737368542</v>
      </c>
      <c r="AU78" s="176">
        <f>AV78*(1+$BI78+(VLOOKUP($AM78,$A$12:$B$323,2,0))+各项系数!$J$6+各项系数!$M$5)*(1+$E$2)</f>
        <v>564.271864145792</v>
      </c>
      <c r="AV78" s="262">
        <f>AW78+各项系数!$L$9*$NM78</f>
        <v>575.787616475298</v>
      </c>
      <c r="AW78" s="262">
        <f>AX78*(1+$BJ78+各项系数!$J$5+各项系数!$L$5)</f>
        <v>572.629743252548</v>
      </c>
      <c r="AX78" s="262">
        <f t="shared" si="400"/>
        <v>561.401709071126</v>
      </c>
      <c r="AY78" s="176">
        <f>AZ78+各项系数!$M$9*$NS78</f>
        <v>567.477752448806</v>
      </c>
      <c r="AZ78" s="176">
        <f>BA78*(1+$BI78+(VLOOKUP($AM78,$A$12:$B$214,2,0))+各项系数!$J$6+各项系数!$M$5)*(1+$E$2)</f>
        <v>564.295934340087</v>
      </c>
      <c r="BA78" s="262">
        <f>BB78+各项系数!$L$9*$NS78</f>
        <v>575.812177898048</v>
      </c>
      <c r="BB78" s="262">
        <f>BC78*(1+$BJ78+各项系数!$J$5+各项系数!$L$5)</f>
        <v>572.630359789328</v>
      </c>
      <c r="BC78" s="262">
        <f t="shared" si="401"/>
        <v>561.402313518949</v>
      </c>
      <c r="BD78" s="176">
        <f>BE78+各项系数!$M$9*$NS78</f>
        <v>572.898330863928</v>
      </c>
      <c r="BE78" s="176">
        <f>BF78*(1+$BI78+(VLOOKUP($AM78,$A$12:$B$214,2,0))+各项系数!$J$6+各项系数!$M$5)*(1+$E$2)</f>
        <v>569.716512755208</v>
      </c>
      <c r="BF78" s="262">
        <f>BG78+各项系数!$L$9*$NS78</f>
        <v>581.343380362457</v>
      </c>
      <c r="BG78" s="262">
        <f>BH78*(1+$BJ78+各项系数!$J$5+各项系数!$L$5)</f>
        <v>578.161562253738</v>
      </c>
      <c r="BH78" s="262">
        <f t="shared" si="402"/>
        <v>566.825061033077</v>
      </c>
      <c r="BI78" s="278"/>
      <c r="BJ78" s="279"/>
      <c r="BK78" s="95" t="s">
        <v>514</v>
      </c>
      <c r="BL78" s="176">
        <f>BM78+各项系数!$M$9*$NM78</f>
        <v>568.278848312097</v>
      </c>
      <c r="BM78" s="176">
        <f>BN78*(1+$CF78+(VLOOKUP($AM78,$A$12:$B$323,2,0))+各项系数!$J$6+各项系数!$M$5)*(1+$E$2)</f>
        <v>565.120975089347</v>
      </c>
      <c r="BN78" s="262">
        <f>BO78+各项系数!$L$9*$NM78</f>
        <v>576.65405621362</v>
      </c>
      <c r="BO78" s="262">
        <f>BP78*(1+$CG78+各项系数!$J$5+各项系数!$L$5)</f>
        <v>573.49618299087</v>
      </c>
      <c r="BP78" s="262">
        <f t="shared" si="403"/>
        <v>556.792410670748</v>
      </c>
      <c r="BQ78" s="176">
        <f>BR78+各项系数!$M$9*$NM78</f>
        <v>572.931474117438</v>
      </c>
      <c r="BR78" s="176">
        <f>BS78*(1+$CF78+(VLOOKUP($AM78,$A$12:$B$323,2,0))+各项系数!$J$6+各项系数!$M$5)*(1+$E$2)</f>
        <v>569.773600894689</v>
      </c>
      <c r="BS78" s="262">
        <f>BT78+各项系数!$L$9*$NM78</f>
        <v>581.401633566009</v>
      </c>
      <c r="BT78" s="262">
        <f>BU78*(1+$CG78+各项系数!$J$5+各项系数!$L$5)</f>
        <v>578.24376034326</v>
      </c>
      <c r="BU78" s="262">
        <f t="shared" si="404"/>
        <v>561.401709071126</v>
      </c>
      <c r="BV78" s="176">
        <f>BW78+各项系数!$M$9*$NT78</f>
        <v>570.678091949127</v>
      </c>
      <c r="BW78" s="176">
        <f>BX78*(1+$CF78+(VLOOKUP($AM78,$A$12:$B$214,2,0))+各项系数!$J$6+各项系数!$M$5)*(1+$E$2)</f>
        <v>567.496273840408</v>
      </c>
      <c r="BX78" s="262">
        <f>BY78+各项系数!$L$9*$NT$12</f>
        <v>579.077830449395</v>
      </c>
      <c r="BY78" s="262">
        <f>BZ78*(1+$CG78+各项系数!$J$5+各项系数!$L$5)</f>
        <v>579.069567046241</v>
      </c>
      <c r="BZ78" s="262">
        <f t="shared" si="343"/>
        <v>562.20346315169</v>
      </c>
      <c r="CA78" s="176">
        <f>CB78+各项系数!$M$9*$NT78</f>
        <v>575.343132850599</v>
      </c>
      <c r="CB78" s="176">
        <f>CC78*(1+$CF78+(VLOOKUP($AM78,$A$12:$B$214,2,0))+各项系数!$J$6+各项系数!$M$5)*(1+$E$2)</f>
        <v>572.161314741879</v>
      </c>
      <c r="CC78" s="262">
        <f>CD78+各项系数!$L$9*$NT$12</f>
        <v>583.838076267224</v>
      </c>
      <c r="CD78" s="262">
        <f>CE78*(1+$CG78+各项系数!$J$5+各项系数!$L$5)</f>
        <v>583.829812864069</v>
      </c>
      <c r="CE78" s="262">
        <f t="shared" si="405"/>
        <v>566.825061033077</v>
      </c>
      <c r="CF78" s="278">
        <f t="shared" si="406"/>
        <v>0</v>
      </c>
      <c r="CG78" s="278">
        <f t="shared" si="344"/>
        <v>0.01</v>
      </c>
      <c r="CH78" s="127"/>
      <c r="CI78" s="176">
        <f>CJ78+各项系数!$M$9*$NO78</f>
        <v>572.514384889684</v>
      </c>
      <c r="CJ78" s="176">
        <f>CK78*(1+$DC78+(VLOOKUP($AM78,$A$12:$B$323,2,0))+各项系数!$J$6+各项系数!$M$5)*(1+$E$2)+各项系数!$M$9*$NK78</f>
        <v>568.338510822228</v>
      </c>
      <c r="CK78" s="262">
        <f>CL78+各项系数!$L$9*$NO78</f>
        <v>576.714936325999</v>
      </c>
      <c r="CL78" s="262">
        <f>CM78*(1+$DD78+各项系数!$J$5+各项系数!$L$5)</f>
        <v>572.539062258543</v>
      </c>
      <c r="CM78" s="262">
        <f t="shared" si="345"/>
        <v>561.312806135827</v>
      </c>
      <c r="CN78" s="176">
        <f>CO78+各项系数!$M$9*$NO78</f>
        <v>577.718601499768</v>
      </c>
      <c r="CO78" s="176">
        <f>CP78*(1+$DC78+(VLOOKUP($AM78,$A$12:$B$323,2,0))+各项系数!$J$6+各项系数!$M$5)*(1+$E$2)+各项系数!$M$9*$NK78</f>
        <v>573.542727432313</v>
      </c>
      <c r="CP78" s="262">
        <f>CQ78+各项系数!$L$9*$NO78</f>
        <v>582.02536143833</v>
      </c>
      <c r="CQ78" s="262">
        <f>CR78*(1+$DD78+各项系数!$J$5+各项系数!$L$5)</f>
        <v>577.849487370875</v>
      </c>
      <c r="CR78" s="262">
        <f t="shared" si="346"/>
        <v>566.519105265563</v>
      </c>
      <c r="CS78" s="176">
        <f>CT78+各项系数!$M$9*$NU78</f>
        <v>574.95481797753</v>
      </c>
      <c r="CT78" s="176">
        <f t="shared" si="347"/>
        <v>570.754363744335</v>
      </c>
      <c r="CU78" s="262">
        <f>CV78+各项系数!$L$9*$NU78</f>
        <v>582.402411984015</v>
      </c>
      <c r="CV78" s="262">
        <f>CW78*(1+$DD78+各项系数!$J$5+各项系数!$L$5)</f>
        <v>578.20195775082</v>
      </c>
      <c r="CW78" s="262">
        <f t="shared" si="348"/>
        <v>566.864664461588</v>
      </c>
      <c r="CX78" s="176">
        <f>CY78+各项系数!$M$9*$NU78</f>
        <v>580.512080959499</v>
      </c>
      <c r="CY78" s="176">
        <f t="shared" si="349"/>
        <v>576.311626726304</v>
      </c>
      <c r="CZ78" s="262">
        <f>DA78+各项系数!$L$9*$NU78</f>
        <v>588.073088496228</v>
      </c>
      <c r="DA78" s="262">
        <f>DB78*(1+$DD78+各项系数!$J$5+各项系数!$L$5)</f>
        <v>583.872634263033</v>
      </c>
      <c r="DB78" s="262">
        <f t="shared" si="350"/>
        <v>572.424151238268</v>
      </c>
      <c r="DC78" s="278">
        <f t="shared" si="407"/>
        <v>0</v>
      </c>
      <c r="DD78" s="278">
        <f t="shared" si="351"/>
        <v>0</v>
      </c>
      <c r="DE78" s="95" t="s">
        <v>498</v>
      </c>
      <c r="DF78" s="95" t="s">
        <v>513</v>
      </c>
      <c r="DG78" s="176">
        <f>DH78+各项系数!$M$9*$NQ78</f>
        <v>578.842170259688</v>
      </c>
      <c r="DH78" s="176">
        <f>DI78*(1+$EA78+(VLOOKUP($AM78,$A$12:$B$323,2,0))+各项系数!$J$6+各项系数!$M$5)*(1+$E$2)+各项系数!$M$9*$NK78</f>
        <v>574.666296192233</v>
      </c>
      <c r="DI78" s="262">
        <f>DJ78+各项系数!$L$9*$NQ78</f>
        <v>583.171860172942</v>
      </c>
      <c r="DJ78" s="262">
        <f>DK78*(1+$EB78+各项系数!$J$5+各项系数!$L$5)</f>
        <v>578.995986105487</v>
      </c>
      <c r="DK78" s="262">
        <f t="shared" si="352"/>
        <v>562.132025345133</v>
      </c>
      <c r="DL78" s="176">
        <f>DM78+各项系数!$M$9*$NQ78</f>
        <v>583.612429100863</v>
      </c>
      <c r="DM78" s="176">
        <f>DN78*(1+$EA78+(VLOOKUP($AM78,$A$12:$B$323,2,0))+各项系数!$J$6+各项系数!$M$5)*(1+$E$2)+各项系数!$M$9*$NK78</f>
        <v>579.436555033408</v>
      </c>
      <c r="DN78" s="262">
        <f>DO78+各项系数!$L$9*$NQ78</f>
        <v>588.039471235366</v>
      </c>
      <c r="DO78" s="262">
        <f>DP78*(1+$EB78+各项系数!$J$5+各项系数!$L$5)</f>
        <v>583.86359716791</v>
      </c>
      <c r="DP78" s="262">
        <f t="shared" si="353"/>
        <v>566.857861328068</v>
      </c>
      <c r="DQ78" s="176">
        <f>DR78+各项系数!$M$9*$NV78</f>
        <v>581.339163704329</v>
      </c>
      <c r="DR78" s="176">
        <f t="shared" si="354"/>
        <v>577.138709471134</v>
      </c>
      <c r="DS78" s="262">
        <f>DT78+各项系数!$L$9*$NV78</f>
        <v>588.917050480749</v>
      </c>
      <c r="DT78" s="262">
        <f>DU78*(1+$EB78+各项系数!$J$5+各项系数!$L$5)</f>
        <v>584.716596247554</v>
      </c>
      <c r="DU78" s="262">
        <f t="shared" si="355"/>
        <v>567.686015774324</v>
      </c>
      <c r="DV78" s="176">
        <f>DW78+各项系数!$M$9*$NV78</f>
        <v>580.727908163156</v>
      </c>
      <c r="DW78" s="176">
        <f t="shared" si="356"/>
        <v>576.527453929961</v>
      </c>
      <c r="DX78" s="262">
        <f>DY78+各项系数!$L$9*$NV78</f>
        <v>588.293320336694</v>
      </c>
      <c r="DY78" s="262">
        <f>DZ78*(1+$EB78+各项系数!$J$5+各项系数!$L$5)</f>
        <v>584.092866103499</v>
      </c>
      <c r="DZ78" s="262">
        <f t="shared" si="357"/>
        <v>567.080452527669</v>
      </c>
      <c r="EA78" s="278">
        <f t="shared" si="324"/>
        <v>0</v>
      </c>
      <c r="EB78" s="278">
        <f t="shared" si="358"/>
        <v>0.01</v>
      </c>
      <c r="EC78" s="302">
        <f t="shared" si="408"/>
        <v>4</v>
      </c>
      <c r="ED78" s="304" t="str">
        <f t="shared" si="331"/>
        <v>4*240</v>
      </c>
      <c r="EE78" s="95">
        <f t="shared" si="239"/>
        <v>240</v>
      </c>
      <c r="EF78" s="95" t="str">
        <f>LOOKUP(EH78,{1,7,10,14,19,24,30,37,48,61},{1,"1+6","2+8","4+10","1+6+12","2+8+14","4+10+16","1+6+12+18","3+9+15+21","1+6+12+18+24"})</f>
        <v>3+9+15+21</v>
      </c>
      <c r="EG78" s="127">
        <f t="shared" si="359"/>
        <v>4</v>
      </c>
      <c r="EH78" s="262">
        <f>VLOOKUP(EE78,各项系数!$B$87:$C$124,2,0)</f>
        <v>48</v>
      </c>
      <c r="EI78" s="127">
        <f>IF(EH78=0,0,VLOOKUP(EH78,各项系数!$D$142:$E$195,2,0))*1</f>
        <v>8.15</v>
      </c>
      <c r="EJ78" s="307">
        <f t="shared" si="409"/>
        <v>246.701228113631</v>
      </c>
      <c r="EK78" s="95">
        <f t="shared" si="332"/>
        <v>0</v>
      </c>
      <c r="EL78" s="95">
        <f t="shared" si="360"/>
        <v>0</v>
      </c>
      <c r="EM78" s="95">
        <f t="shared" si="333"/>
        <v>0</v>
      </c>
      <c r="EN78" s="95">
        <f>IF(EP78=0,0,LOOKUP(EP78,{1,7,10,14,19,24,30,37,48,61},{1,"1+6","2+8","4+10","1+6+12","2+8+14","4+10+16","1+6+12+18","3+9+15+21","1+6+12+18+24"}))</f>
        <v>0</v>
      </c>
      <c r="EO78" s="95">
        <f t="shared" si="334"/>
        <v>0</v>
      </c>
      <c r="EP78" s="95">
        <f>IF(EM78=0,0,IF(EM78&lt;10,1,IF(AND(EM78&gt;=10,EM78&lt;=35),7,LOOKUP(EM78,{50,70,95,120,150,185,240,300},{10,14,19,24,30,37,48,61})*1)))</f>
        <v>0</v>
      </c>
      <c r="EQ78" s="95">
        <f>IF(EP78=0,0,VLOOKUP(EP78,各项系数!$D$142:$E$195,2,0))*1</f>
        <v>0</v>
      </c>
      <c r="ER78" s="95">
        <f t="shared" si="335"/>
        <v>0</v>
      </c>
      <c r="ES78" s="304">
        <f t="shared" si="336"/>
        <v>4</v>
      </c>
      <c r="ET78" s="95">
        <f>VLOOKUP(ES78,各项系数!$D$142:$E$195,2,0)*1</f>
        <v>2.42</v>
      </c>
      <c r="EU78" s="311">
        <f>((各项系数!$F$76/4*$EJ78^2*$EG78*$EH78*1*10^-7)*(1-$H78)*AA78)*(VLOOKUP($EY$9,各项系数!$D$4:$F$143,3,0))*各项系数!$J$4</f>
        <v>8.23995076987227</v>
      </c>
      <c r="EV78" s="312">
        <f>EU78*(VLOOKUP($EY$9,各项系数!$D$4:$F$143,2,0))</f>
        <v>539.716775426634</v>
      </c>
      <c r="EW78" s="324">
        <f>(IF($EO78=0,0,(各项系数!$F$76/4*$ER78^2*$EO78*$EP78*1*10^-7))*(1-$K78)*$AF78)*(VLOOKUP($EY$9,各项系数!$D$4:$F$143,3,0))*各项系数!$J$4</f>
        <v>0</v>
      </c>
      <c r="EX78" s="325">
        <f>EW78*(VLOOKUP($EY$9,各项系数!$D$4:$F$143,2,0))</f>
        <v>0</v>
      </c>
      <c r="EY78" s="251">
        <f>((各项系数!$F$76/4*$EJ78^2*$EG78*$EH78*1*10^-7)*(1-$H78)*AA78+IF($EO78=0,0,(各项系数!$F$76/4*$ER78^2*$EO78*$EP78*1*10^-7))*(1-$K78)*$AF78)*(VLOOKUP($EY$9,各项系数!$D$4:$F$143,3,0))*各项系数!$J$4</f>
        <v>8.23995076987227</v>
      </c>
      <c r="EZ78" s="127">
        <v>1</v>
      </c>
      <c r="FA78" s="95">
        <f t="shared" si="268"/>
        <v>8.23995076987227</v>
      </c>
      <c r="FB78" s="314">
        <f>FA78*(VLOOKUP($EY$9,各项系数!$D$4:$F$143,2,0))</f>
        <v>539.716775426634</v>
      </c>
      <c r="FC78" s="329"/>
      <c r="FD78" s="304">
        <f>各项系数!$F$76/4*($MN78^2-MK78^2)*10^-2*(VLOOKUP(L78,各项系数!$D$1:$F$143,3,0))*10^-3*10^2*$EG78*各项系数!$J$4</f>
        <v>0.509863059960695</v>
      </c>
      <c r="FE78" s="341">
        <f>FD78*VLOOKUP(L78,各项系数!$D$1:$F$143,2,0)</f>
        <v>5.20060321159909</v>
      </c>
      <c r="FF78" s="127">
        <f>各项系数!$F$76/4*($MO78^2-ML78^2)*10^-2*(VLOOKUP(L78,各项系数!$D$1:$F$143,3,0))*10^-3*10^2*$EO78*各项系数!$J$4</f>
        <v>0</v>
      </c>
      <c r="FG78" s="341">
        <f>FF78*VLOOKUP(L78,各项系数!$D$1:$F$143,2,0)</f>
        <v>0</v>
      </c>
      <c r="FH78" s="304">
        <f t="shared" si="410"/>
        <v>0.509863059960695</v>
      </c>
      <c r="FI78" s="127">
        <v>1</v>
      </c>
      <c r="FJ78" s="95">
        <f t="shared" si="269"/>
        <v>0.509863059960695</v>
      </c>
      <c r="FK78" s="341">
        <f>FJ78*VLOOKUP(L78,各项系数!$D$1:$F$143,2,0)</f>
        <v>5.20060321159909</v>
      </c>
      <c r="FL78" s="304"/>
      <c r="FM78" s="127"/>
      <c r="FN78" s="95"/>
      <c r="FO78" s="341"/>
      <c r="FP78" s="371">
        <f t="shared" si="270"/>
        <v>0.509863059960695</v>
      </c>
      <c r="FQ78" s="371">
        <f t="shared" si="271"/>
        <v>5.20060321159909</v>
      </c>
      <c r="FR78" s="365">
        <f>各项系数!$F$76/4*($MQ78^2-$MN78^2*$EG78-$MO78^2*$EO78)*10^-2</f>
        <v>8.05609261389508</v>
      </c>
      <c r="FS78" s="366">
        <f t="shared" si="411"/>
        <v>1</v>
      </c>
      <c r="FT78" s="367">
        <f t="shared" si="361"/>
        <v>8.05609261389508</v>
      </c>
      <c r="FU78" s="395">
        <f>$FT78*(VLOOKUP($FT$9,各项系数!$D$1:$F$143,3,0))*10^-3*10^2*各项系数!$J$55</f>
        <v>0.961897458099072</v>
      </c>
      <c r="FV78" s="396">
        <v>1</v>
      </c>
      <c r="FW78" s="397">
        <f t="shared" si="272"/>
        <v>0.961897458099072</v>
      </c>
      <c r="FX78" s="372">
        <f>FW78*(VLOOKUP($FT$9,各项系数!$D$1:$F$143,2,0))</f>
        <v>2.88569237429722</v>
      </c>
      <c r="FY78" s="395">
        <f>IF($BK78&lt;&gt;$FY$9,0,各项系数!$F$76/4*($MS78^2-$MQ78^2)*10^-2*(VLOOKUP($FY$9,各项系数!$D$1:$F$143,3,0))*10^-3*10^2)*各项系数!$J$4</f>
        <v>0</v>
      </c>
      <c r="FZ78" s="396">
        <v>1</v>
      </c>
      <c r="GA78" s="397">
        <f t="shared" si="273"/>
        <v>0</v>
      </c>
      <c r="GB78" s="372">
        <f>GA78*(VLOOKUP($FY$9,各项系数!$D$1:$F$143,2,0))</f>
        <v>0</v>
      </c>
      <c r="GC78" s="395">
        <f>IF($BK78&lt;&gt;$GC$9,0,各项系数!$F$76/4*($MS78^2-$MQ78^2)*10^-2*(VLOOKUP($GC$9,各项系数!$D$1:$F$143,3,0))*10^-3*10^2)*各项系数!$J$4</f>
        <v>0.0155152585890585</v>
      </c>
      <c r="GD78" s="396">
        <v>1</v>
      </c>
      <c r="GE78" s="397">
        <f t="shared" si="274"/>
        <v>0.0155152585890585</v>
      </c>
      <c r="GF78" s="372">
        <f>GE78*(VLOOKUP($GC$9,各项系数!$D$1:$F$143,2,0))</f>
        <v>0.200146835798855</v>
      </c>
      <c r="GG78" s="395">
        <f>IF($BK78&lt;&gt;$GG$9,0,各项系数!$F$76/4*($MS78^2-$MQ78^2)*10^-2*(VLOOKUP($GG$9,各项系数!$D$1:$F$143,3,0))*10^-3*10^2)*各项系数!$J$4</f>
        <v>0</v>
      </c>
      <c r="GH78" s="396">
        <v>1</v>
      </c>
      <c r="GI78" s="397">
        <f t="shared" si="275"/>
        <v>0</v>
      </c>
      <c r="GJ78" s="372">
        <f>GI78*(VLOOKUP($GG$9,各项系数!$D$1:$F$143,2,0))</f>
        <v>0</v>
      </c>
      <c r="GK78" s="395">
        <f>IF($BK78&lt;&gt;$GK$9,0,各项系数!$F$76/4*($MS78^2-$MQ78^2)*10^-2*(VLOOKUP($GK$9,各项系数!$D$1:$F$143,3,0))*10^-3*10^2)*各项系数!$J$4</f>
        <v>0</v>
      </c>
      <c r="GL78" s="396">
        <v>1</v>
      </c>
      <c r="GM78" s="397">
        <f t="shared" si="276"/>
        <v>0</v>
      </c>
      <c r="GN78" s="372">
        <f>GM78*(VLOOKUP($GK$9,各项系数!$D$1:$F$143,2,0))</f>
        <v>0</v>
      </c>
      <c r="GO78" s="397">
        <f t="shared" si="277"/>
        <v>0.0155152585890585</v>
      </c>
      <c r="GP78" s="397">
        <f t="shared" si="278"/>
        <v>0.200146835798855</v>
      </c>
      <c r="GQ78" s="408">
        <f>各项系数!$F$76/4*($MU78^2-$MS78^2)*10^-2*(VLOOKUP($S78,各项系数!$D$1:$F$143,3,0))*10^-3*10^2*各项系数!$J$4</f>
        <v>1.05986505730146</v>
      </c>
      <c r="GR78" s="396">
        <v>1</v>
      </c>
      <c r="GS78" s="397">
        <f t="shared" si="279"/>
        <v>1.05986505730146</v>
      </c>
      <c r="GT78" s="397">
        <f t="shared" si="200"/>
        <v>0</v>
      </c>
      <c r="GU78" s="397">
        <f>ROUND($GS78*(VLOOKUP($S78,各项系数!$D$1:$F$143,2,0))+$E$3*GS78,GT78)</f>
        <v>6</v>
      </c>
      <c r="GV78" s="406">
        <f>各项系数!$F$76/4*($MT78^2-$MS78^2)*10^-2*(VLOOKUP($GV$9,各项系数!$D$1:$F$143,3,0))*10^-3*10^2*各项系数!$J$4*PI()/4*R78</f>
        <v>0.0798162865661731</v>
      </c>
      <c r="GW78" s="396">
        <v>1</v>
      </c>
      <c r="GX78" s="397">
        <f t="shared" si="280"/>
        <v>0.0798162865661731</v>
      </c>
      <c r="GY78" s="397">
        <f>$GX78*(VLOOKUP($GV$9,各项系数!$D$1:$F$143,2,0))</f>
        <v>5.38759934321668</v>
      </c>
      <c r="GZ78" s="408">
        <f>各项系数!$F$76/4*($MV78^2-$MS78^2)*10^-2*(VLOOKUP($GZ$9,各项系数!$D$1:$F$143,3,0))*10^-3*10^2*各项系数!$J$4</f>
        <v>0.788146542517457</v>
      </c>
      <c r="HA78" s="396">
        <v>1</v>
      </c>
      <c r="HB78" s="397">
        <f t="shared" si="412"/>
        <v>0.788146542517457</v>
      </c>
      <c r="HC78" s="397">
        <f>HB78*(VLOOKUP($GZ$9,各项系数!$D$1:$F$143,2,0))</f>
        <v>13.3984912227968</v>
      </c>
      <c r="HD78" s="408">
        <f>各项系数!$F$76/4*($MW78^2-$MT78^2)*10^-2*(VLOOKUP($HD$9,各项系数!$D$1:$F$143,3,0))*10^-3*10^2*各项系数!$J$4</f>
        <v>0.790249637737106</v>
      </c>
      <c r="HE78" s="396">
        <v>1</v>
      </c>
      <c r="HF78" s="397">
        <f t="shared" si="413"/>
        <v>0.790249637737106</v>
      </c>
      <c r="HG78" s="397">
        <f>HF78*(VLOOKUP($HD$9,各项系数!$D$1:$F$143,2,0))</f>
        <v>13.4342438415308</v>
      </c>
      <c r="HH78" s="408">
        <f>各项系数!$F$76/4*($MV78^2-$MS78^2)*10^-2*(VLOOKUP($HH$9,各项系数!$D$1:$F$143,3,0))*10^-3*10^2*各项系数!$J$4</f>
        <v>0.788146542517457</v>
      </c>
      <c r="HI78" s="397">
        <v>1</v>
      </c>
      <c r="HJ78" s="397">
        <f t="shared" si="414"/>
        <v>0.788146542517457</v>
      </c>
      <c r="HK78" s="397">
        <f>HJ78*(VLOOKUP($HH$9,各项系数!$D$1:$F$143,2,0))</f>
        <v>13.3984912227968</v>
      </c>
      <c r="HL78" s="408">
        <f>各项系数!$F$76/4*($MW78^2-$MT78^2)*10^-2*(VLOOKUP($HL$9,各项系数!$D$1:$F$143,3,0))*10^-3*10^2*各项系数!$J$4</f>
        <v>0.790249637737106</v>
      </c>
      <c r="HM78" s="397">
        <v>1</v>
      </c>
      <c r="HN78" s="397">
        <f t="shared" si="362"/>
        <v>0.790249637737106</v>
      </c>
      <c r="HO78" s="397">
        <f>HN78*(VLOOKUP($HL$9,各项系数!$D$1:$F$143,2,0))</f>
        <v>13.4342438415308</v>
      </c>
      <c r="HP78" s="408">
        <f>各项系数!$F$76/4*($MV78^2-$MS78^2)*10^-2*(VLOOKUP(AN78,各项系数!$D$1:$F$143,3,0))*10^-3*10^2*各项系数!$J$4</f>
        <v>0.799017529310802</v>
      </c>
      <c r="HQ78" s="396">
        <v>1</v>
      </c>
      <c r="HR78" s="397">
        <f t="shared" si="281"/>
        <v>0.799017529310802</v>
      </c>
      <c r="HS78" s="397">
        <f>HR78*(VLOOKUP(AN78,各项系数!$D$1:$F$143,2,0))</f>
        <v>7.99017529310802</v>
      </c>
      <c r="HT78" s="408">
        <f>各项系数!$F$76/4*($MW78^2-$MT78^2)*10^-2*(VLOOKUP(AN78,各项系数!$D$1:$F$143,3,0))*10^-3*10^2*各项系数!$J$4</f>
        <v>0.801149632740376</v>
      </c>
      <c r="HU78" s="396">
        <v>1</v>
      </c>
      <c r="HV78" s="397">
        <f t="shared" si="282"/>
        <v>0.801149632740376</v>
      </c>
      <c r="HW78" s="397">
        <f>HV78*(VLOOKUP(AN78,各项系数!$D$1:$F$143,2,0))</f>
        <v>8.01149632740376</v>
      </c>
      <c r="HX78" s="408">
        <f>各项系数!$F$76/4*($MV78^2-$MS78^2)*10^-2*(VLOOKUP($HX$9,各项系数!$D$1:$F$143,3,0))*10^-3*10^2*各项系数!$J$4</f>
        <v>0.799017529310802</v>
      </c>
      <c r="HY78" s="397">
        <v>1</v>
      </c>
      <c r="HZ78" s="397">
        <f t="shared" si="283"/>
        <v>0.799017529310802</v>
      </c>
      <c r="IA78" s="397">
        <f>HZ78*(VLOOKUP($HX$9,各项系数!$D$1:$F$143,2,0))</f>
        <v>8.78919282241882</v>
      </c>
      <c r="IB78" s="408">
        <f>各项系数!$F$76/4*($MW78^2-$MT78^2)*10^-2*(VLOOKUP($IB$9,各项系数!$D$1:$F$143,3,0))*10^-3*10^2*各项系数!$J$4</f>
        <v>0.801149632740376</v>
      </c>
      <c r="IC78" s="397">
        <v>1</v>
      </c>
      <c r="ID78" s="397">
        <f t="shared" si="284"/>
        <v>0.801149632740376</v>
      </c>
      <c r="IE78" s="397">
        <f>ID78*(VLOOKUP($IB$9,各项系数!$D$1:$F$143,2,0))</f>
        <v>8.81264596014414</v>
      </c>
      <c r="IF78" s="395"/>
      <c r="IG78" s="408">
        <f t="shared" si="415"/>
        <v>0.114817089822268</v>
      </c>
      <c r="IH78" s="396">
        <v>1</v>
      </c>
      <c r="II78" s="397">
        <f t="shared" si="285"/>
        <v>0.114817089822268</v>
      </c>
      <c r="IJ78" s="397">
        <f>II78*(VLOOKUP($IG$8,各项系数!$D$1:$F$143,2,0))</f>
        <v>2.87042724555669</v>
      </c>
      <c r="IK78" s="408">
        <f>(各项系数!$F$76/4*($MX78^2-$MK78^2)*$EG78)*10^-2*(VLOOKUP($IG$8,各项系数!$D$1:$F$143,3,0))*10^-3*10^2*各项系数!$J$4</f>
        <v>0.114817089822268</v>
      </c>
      <c r="IL78" s="396">
        <f>IK78*(VLOOKUP($IG$8,各项系数!$D$1:$F$143,2,0))</f>
        <v>2.87042724555669</v>
      </c>
      <c r="IM78" s="397">
        <f>(各项系数!$F$76/4*(($MM78+3*$X78)^2-MM78^2)*$EO78)*10^-2*(VLOOKUP($IG$8,各项系数!$D$1:$F$143,3,0))*10^-3*10^2*各项系数!$J$4</f>
        <v>0</v>
      </c>
      <c r="IN78" s="396">
        <f>IM78*(VLOOKUP($IG$8,各项系数!$D$1:$F$143,2,0))</f>
        <v>0</v>
      </c>
      <c r="IO78" s="408">
        <f>各项系数!$F$76/4*($MZ78^2-$MX78^2)*10^-2*(VLOOKUP(L78,各项系数!$D$1:$F$143,3,0))*10^-3*10^2*$ES78*各项系数!$J$4</f>
        <v>0.523892030450859</v>
      </c>
      <c r="IP78" s="396">
        <v>1</v>
      </c>
      <c r="IQ78" s="397">
        <f t="shared" si="286"/>
        <v>0.523892030450859</v>
      </c>
      <c r="IR78" s="372">
        <f>IQ78*(VLOOKUP(L78,各项系数!$D$1:$F$143,2,0))</f>
        <v>5.34369871059876</v>
      </c>
      <c r="IS78" s="408">
        <f>IF($L78&lt;&gt;$IS$9,0,各项系数!$F$76/4*($MZ78^2-$MX78^2)*10^-2*各项系数!$F$12*10^-3*10^2)*$ES78*各项系数!$J$4</f>
        <v>0</v>
      </c>
      <c r="IT78" s="396">
        <v>1</v>
      </c>
      <c r="IU78" s="397">
        <f t="shared" si="287"/>
        <v>0</v>
      </c>
      <c r="IV78" s="372">
        <f>IU78*各项系数!$E$12</f>
        <v>0</v>
      </c>
      <c r="IW78" s="395">
        <f t="shared" si="288"/>
        <v>0.523892030450859</v>
      </c>
      <c r="IX78" s="395">
        <f t="shared" si="289"/>
        <v>5.34369871059876</v>
      </c>
      <c r="IY78" s="447">
        <f>各项系数!$F$76/4*($NB78^2-$MZ78^2*$EG78-$NA78^2*$EO78)*10^-2</f>
        <v>8.47260877237483</v>
      </c>
      <c r="IZ78" s="366">
        <f t="shared" si="231"/>
        <v>1</v>
      </c>
      <c r="JA78" s="367">
        <f t="shared" si="363"/>
        <v>8.47260877237483</v>
      </c>
      <c r="JB78" s="371">
        <f>IF($DE78&lt;&gt;$JB$9,0,$JA78*各项系数!$F$32*10^-3*10^2)*各项系数!$J$4</f>
        <v>0</v>
      </c>
      <c r="JC78" s="127">
        <v>1</v>
      </c>
      <c r="JD78" s="95">
        <f t="shared" si="290"/>
        <v>0</v>
      </c>
      <c r="JE78" s="341">
        <f>JD78*各项系数!$E$32</f>
        <v>0</v>
      </c>
      <c r="JF78" s="364">
        <f>IF($DE78&lt;&gt;$JF$9,0,$JA78*VLOOKUP($JF$9,各项系数!$D$4:$F$540,2,0)*10^-3*10^2)*各项系数!$J$4</f>
        <v>4.21512286425648</v>
      </c>
      <c r="JG78" s="123">
        <v>1</v>
      </c>
      <c r="JH78" s="251">
        <f t="shared" si="364"/>
        <v>4.21512286425648</v>
      </c>
      <c r="JI78" s="339">
        <f>JH78*VLOOKUP($JF$9,各项系数!$D$4:$F$540,3,0)</f>
        <v>5.05814743710777</v>
      </c>
      <c r="JJ78" s="371">
        <f t="shared" si="291"/>
        <v>4.21512286425648</v>
      </c>
      <c r="JK78" s="95">
        <f t="shared" si="292"/>
        <v>5.05814743710777</v>
      </c>
      <c r="JL78" s="371">
        <f>IF($DF78&lt;&gt;$JL$9,0,各项系数!$F$76/4*($NE78^2-$NC78^2)*10^-2*各项系数!$F$39*10^-3*10^2)*各项系数!$J$4</f>
        <v>0.00657826114347197</v>
      </c>
      <c r="JM78" s="127">
        <v>1</v>
      </c>
      <c r="JN78" s="95">
        <f t="shared" si="293"/>
        <v>0.00657826114347197</v>
      </c>
      <c r="JO78" s="341">
        <f>JN78*各项系数!$E$39</f>
        <v>0.131565222869439</v>
      </c>
      <c r="JP78" s="371">
        <f>IF($DF78&lt;&gt;$JP$9,0,各项系数!$F$76/4*($NE78^2-$NC78^2)*10^-2*各项系数!$F$36*10^-3*10^2)*各项系数!$J$4</f>
        <v>0</v>
      </c>
      <c r="JQ78" s="127">
        <v>1</v>
      </c>
      <c r="JR78" s="95">
        <f t="shared" si="294"/>
        <v>0</v>
      </c>
      <c r="JS78" s="341">
        <f>JR78*各项系数!$E$36</f>
        <v>0</v>
      </c>
      <c r="JT78" s="371">
        <f>IF($DF78&lt;&gt;$JT$9,0,各项系数!$F$76/4*($NE78^2-$NC78^2)*10^-2*各项系数!$F$40*10^-3*10^2)*各项系数!$J$4</f>
        <v>0</v>
      </c>
      <c r="JU78" s="127">
        <v>1</v>
      </c>
      <c r="JV78" s="95">
        <f t="shared" si="295"/>
        <v>0</v>
      </c>
      <c r="JW78" s="341">
        <f>JV78*各项系数!$E$40</f>
        <v>0</v>
      </c>
      <c r="JX78" s="371">
        <f>IF($DF78&lt;&gt;$JX$9,0,各项系数!$F$76/4*($NE78^2-$NC78^2)*10^-2*各项系数!$F$38*10^-3*10^2)*各项系数!$J$4</f>
        <v>0</v>
      </c>
      <c r="JY78" s="127">
        <v>1</v>
      </c>
      <c r="JZ78" s="95">
        <f t="shared" si="296"/>
        <v>0</v>
      </c>
      <c r="KA78" s="341">
        <f>JZ78*各项系数!$E$38</f>
        <v>0</v>
      </c>
      <c r="KB78" s="371">
        <f>IF($DF78&lt;&gt;$KB$9,0,各项系数!$F$76/4*($NE78^2-$NC78^2)*10^-2*各项系数!$F$41*10^-3*10^2)*各项系数!$J$4</f>
        <v>0</v>
      </c>
      <c r="KC78" s="127">
        <v>1</v>
      </c>
      <c r="KD78" s="95">
        <f t="shared" si="297"/>
        <v>0</v>
      </c>
      <c r="KE78" s="341">
        <f>KD78*各项系数!$E$41</f>
        <v>0</v>
      </c>
      <c r="KF78" s="95">
        <f t="shared" si="298"/>
        <v>0.00657826114347197</v>
      </c>
      <c r="KG78" s="95">
        <f t="shared" si="299"/>
        <v>0.131565222869439</v>
      </c>
      <c r="KH78" s="304">
        <f>各项系数!$F$76/4*($NG78^2-$NE78^2)*10^-2*各项系数!$F$44*10^-3*10^2*各项系数!$J$4*0.75*$U78</f>
        <v>1.63148754132585</v>
      </c>
      <c r="KI78" s="127">
        <v>1</v>
      </c>
      <c r="KJ78" s="95">
        <f t="shared" si="300"/>
        <v>1.63148754132585</v>
      </c>
      <c r="KK78" s="95">
        <f>ROUND(KJ78*各项系数!$E$43,GT78)</f>
        <v>9</v>
      </c>
      <c r="KL78" s="302">
        <f>各项系数!$F$76/4*($NF78^2-$NE78^2)*10^-2*各项系数!$F$46*10^-3*10^2*各项系数!$J$4*PI()/4*R78</f>
        <v>0.0819338857994914</v>
      </c>
      <c r="KM78" s="127">
        <v>1</v>
      </c>
      <c r="KN78" s="95">
        <f t="shared" si="301"/>
        <v>0.0819338857994914</v>
      </c>
      <c r="KO78" s="95">
        <f>KN78*各项系数!$E$46</f>
        <v>5.53053729146567</v>
      </c>
      <c r="KP78" s="304">
        <f>各项系数!$F$76/4*($NH78^2-$NE78^2)*10^-2*(VLOOKUP($KP$9,各项系数!$D$1:$F$143,3,0))*10^-3*10^2*各项系数!$J$4</f>
        <v>0.808073369723627</v>
      </c>
      <c r="KQ78" s="127">
        <v>1</v>
      </c>
      <c r="KR78" s="95">
        <f t="shared" si="416"/>
        <v>0.808073369723627</v>
      </c>
      <c r="KS78" s="95">
        <f>KR78*(VLOOKUP($KP$9,各项系数!$D$1:$F$143,2,0))</f>
        <v>13.7372472853017</v>
      </c>
      <c r="KT78" s="304">
        <f>各项系数!$F$76/4*($NI78^2-$NF78^2)*10^-2*(VLOOKUP($KT$9,各项系数!$D$1:$F$143,3,0))*10^-3*10^2*各项系数!$J$4</f>
        <v>0.810176464943276</v>
      </c>
      <c r="KU78" s="127">
        <v>1</v>
      </c>
      <c r="KV78" s="95">
        <f t="shared" si="417"/>
        <v>0.810176464943276</v>
      </c>
      <c r="KW78" s="95">
        <f>KV78*(VLOOKUP($KT$9,各项系数!$D$1:$F$143,2,0))</f>
        <v>13.7729999040357</v>
      </c>
      <c r="KX78" s="95">
        <f>各项系数!$F$76/4*($NH78^2-$NE78^2)*10^-2*(VLOOKUP($KX$9,各项系数!$D$1:$F$143,3,0))*10^-3*10^2*各项系数!$J$4</f>
        <v>0.808073369723627</v>
      </c>
      <c r="KY78" s="481">
        <v>1</v>
      </c>
      <c r="KZ78" s="95">
        <f t="shared" si="418"/>
        <v>0.808073369723627</v>
      </c>
      <c r="LA78" s="95">
        <f>KZ78*(VLOOKUP($KX$9,各项系数!$D$1:$F$143,2,0))</f>
        <v>13.7372472853017</v>
      </c>
      <c r="LB78" s="95">
        <f>各项系数!$F$76/4*($NI78^2-$NF78^2)*10^-2*(VLOOKUP($LB$9,各项系数!$D$1:$F$143,3,0))*10^-3*10^2*各项系数!$J$4</f>
        <v>0.810176464943276</v>
      </c>
      <c r="LC78" s="481">
        <v>1</v>
      </c>
      <c r="LD78" s="95">
        <f t="shared" si="419"/>
        <v>0.810176464943276</v>
      </c>
      <c r="LE78" s="95">
        <f>LD78*(VLOOKUP($LB$9,各项系数!$D$1:$F$143,2,0))</f>
        <v>13.7729999040357</v>
      </c>
      <c r="LF78" s="304">
        <f>各项系数!$F$76/4*($NH78^2-$NE78^2)*10^-2*(VLOOKUP(AN78,各项系数!$D$1:$F$143,3,0))*10^-3*10^2*各项系数!$J$4</f>
        <v>0.819219209306022</v>
      </c>
      <c r="LG78" s="127">
        <v>1</v>
      </c>
      <c r="LH78" s="95">
        <f t="shared" si="302"/>
        <v>0.819219209306022</v>
      </c>
      <c r="LI78" s="95">
        <f>LH78*(VLOOKUP(AN78,各项系数!$D$1:$F$143,2,0))</f>
        <v>8.19219209306022</v>
      </c>
      <c r="LJ78" s="304">
        <f>各项系数!$F$76/4*($NI78^2-$NF78^2)*10^-2*(VLOOKUP(AN78,各项系数!$D$1:$F$143,3,0))*10^-3*10^2*各项系数!$J$4</f>
        <v>0.821351312735597</v>
      </c>
      <c r="LK78" s="127">
        <v>1</v>
      </c>
      <c r="LL78" s="95">
        <f t="shared" si="303"/>
        <v>0.821351312735597</v>
      </c>
      <c r="LM78" s="95">
        <f>LL78*(VLOOKUP(AN78,各项系数!$D$1:$F$143,2,0))</f>
        <v>8.21351312735597</v>
      </c>
      <c r="LN78" s="95">
        <f>各项系数!$F$76/4*($NH78^2-$NE78^2)*10^-2*(VLOOKUP($LN$9,各项系数!$D$1:$F$143,3,0))*10^-3*10^2*各项系数!$J$4</f>
        <v>0.819219209306022</v>
      </c>
      <c r="LO78" s="481">
        <v>1</v>
      </c>
      <c r="LP78" s="95">
        <f t="shared" si="304"/>
        <v>0.819219209306022</v>
      </c>
      <c r="LQ78" s="95">
        <f>LP78*(VLOOKUP($LN$9,各项系数!$D$1:$F$143,2,0))</f>
        <v>9.01141130236624</v>
      </c>
      <c r="LR78" s="95">
        <f>各项系数!$F$76/4*($NI78^2-$NF78^2)*10^-2*(VLOOKUP($LR$9,各项系数!$D$1:$F$143,3,0))*10^-3*10^2*各项系数!$J$4</f>
        <v>0.821351312735597</v>
      </c>
      <c r="LS78" s="481">
        <v>1</v>
      </c>
      <c r="LT78" s="95">
        <f t="shared" si="305"/>
        <v>0.821351312735597</v>
      </c>
      <c r="LU78" s="95">
        <f>LT78*(VLOOKUP($LR$9,各项系数!$D$1:$F$143,2,0))</f>
        <v>9.03486444009157</v>
      </c>
      <c r="LV78" s="501">
        <f t="shared" si="420"/>
        <v>1270.01167286</v>
      </c>
      <c r="LW78" s="501">
        <f t="shared" si="421"/>
        <v>917.7697363</v>
      </c>
      <c r="LX78" s="501">
        <f t="shared" si="422"/>
        <v>34.1839248948731</v>
      </c>
      <c r="LY78" s="519">
        <f t="shared" si="423"/>
        <v>352.24193656</v>
      </c>
      <c r="LZ78" s="516">
        <f t="shared" si="365"/>
        <v>1</v>
      </c>
      <c r="MA78" s="517">
        <f t="shared" si="366"/>
        <v>1270.01167286</v>
      </c>
      <c r="MB78" s="501">
        <f t="shared" si="424"/>
        <v>20.10615008</v>
      </c>
      <c r="MC78" s="501">
        <f t="shared" si="425"/>
        <v>0</v>
      </c>
      <c r="MD78" s="501">
        <f t="shared" si="426"/>
        <v>0</v>
      </c>
      <c r="ME78" s="501">
        <f t="shared" si="427"/>
        <v>0</v>
      </c>
      <c r="MF78" s="501">
        <f t="shared" si="428"/>
        <v>0</v>
      </c>
      <c r="MG78" s="527">
        <f t="shared" si="429"/>
        <v>1</v>
      </c>
      <c r="MH78" s="517">
        <f t="shared" si="367"/>
        <v>0</v>
      </c>
      <c r="MI78" s="501">
        <f t="shared" si="430"/>
        <v>0</v>
      </c>
      <c r="MJ78" s="95">
        <f t="shared" si="368"/>
        <v>20.10615008</v>
      </c>
      <c r="MK78" s="95">
        <f t="shared" si="431"/>
        <v>20.10615008</v>
      </c>
      <c r="ML78" s="95">
        <f t="shared" si="306"/>
        <v>0</v>
      </c>
      <c r="MM78" s="95">
        <f t="shared" si="369"/>
        <v>0</v>
      </c>
      <c r="MN78" s="95">
        <f t="shared" si="370"/>
        <v>23.50615008</v>
      </c>
      <c r="MO78" s="251">
        <f t="shared" si="432"/>
        <v>0</v>
      </c>
      <c r="MP78" s="95">
        <f t="shared" si="433"/>
        <v>56.88488319</v>
      </c>
      <c r="MQ78" s="95">
        <f t="shared" si="307"/>
        <v>56.88488319</v>
      </c>
      <c r="MR78" s="314">
        <f t="shared" si="434"/>
        <v>56.88488319</v>
      </c>
      <c r="MS78" s="530">
        <f t="shared" si="371"/>
        <v>57.06088319</v>
      </c>
      <c r="MT78" s="532">
        <f t="shared" si="372"/>
        <v>57.22088319</v>
      </c>
      <c r="MU78" s="532">
        <f t="shared" si="373"/>
        <v>58.56088319</v>
      </c>
      <c r="MV78" s="532">
        <f t="shared" si="374"/>
        <v>62.86088319</v>
      </c>
      <c r="MW78" s="532">
        <f t="shared" si="375"/>
        <v>63.02088319</v>
      </c>
      <c r="MX78" s="314">
        <f t="shared" si="376"/>
        <v>20.70615008</v>
      </c>
      <c r="MY78" s="314">
        <f t="shared" si="377"/>
        <v>0</v>
      </c>
      <c r="MZ78" s="95">
        <f t="shared" si="378"/>
        <v>24.10615008</v>
      </c>
      <c r="NA78" s="95">
        <f t="shared" si="379"/>
        <v>0</v>
      </c>
      <c r="NB78" s="95">
        <f t="shared" si="435"/>
        <v>58.33688319</v>
      </c>
      <c r="NC78" s="314">
        <f t="shared" si="308"/>
        <v>58.33688319</v>
      </c>
      <c r="ND78" s="314">
        <f t="shared" si="436"/>
        <v>58.33688319</v>
      </c>
      <c r="NE78" s="537">
        <f t="shared" si="437"/>
        <v>58.57688319</v>
      </c>
      <c r="NF78" s="532">
        <f t="shared" si="380"/>
        <v>58.73688319</v>
      </c>
      <c r="NG78" s="180">
        <f t="shared" si="381"/>
        <v>60.07688319</v>
      </c>
      <c r="NH78" s="314">
        <f t="shared" si="382"/>
        <v>64.37688319</v>
      </c>
      <c r="NI78" s="532">
        <f t="shared" si="383"/>
        <v>64.53688319</v>
      </c>
      <c r="NK78" s="541">
        <f t="shared" si="384"/>
        <v>10.5262440758319</v>
      </c>
      <c r="NL78" s="541">
        <f t="shared" si="385"/>
        <v>555.993393141437</v>
      </c>
      <c r="NM78" s="541">
        <f t="shared" si="386"/>
        <v>10.5262440758319</v>
      </c>
      <c r="NN78" s="541">
        <f t="shared" si="387"/>
        <v>556.792410670748</v>
      </c>
      <c r="NO78" s="541">
        <f t="shared" si="388"/>
        <v>13.9195802248514</v>
      </c>
      <c r="NP78" s="541">
        <f t="shared" si="389"/>
        <v>561.312806135827</v>
      </c>
      <c r="NQ78" s="541">
        <f t="shared" si="390"/>
        <v>13.9195802248514</v>
      </c>
      <c r="NR78" s="541">
        <f t="shared" si="391"/>
        <v>562.132025345133</v>
      </c>
      <c r="NS78" s="541">
        <f t="shared" si="392"/>
        <v>10.6060603623981</v>
      </c>
      <c r="NT78" s="541">
        <f t="shared" si="393"/>
        <v>10.6060603623981</v>
      </c>
      <c r="NU78" s="541">
        <f t="shared" si="394"/>
        <v>14.0015141106509</v>
      </c>
      <c r="NV78" s="541">
        <f t="shared" si="395"/>
        <v>14.0015141106509</v>
      </c>
      <c r="NW78" s="11">
        <f t="shared" si="396"/>
        <v>11.5861091331334</v>
      </c>
      <c r="NX78" s="11">
        <f>各项系数!$M$9*NK78</f>
        <v>3.15787322274957</v>
      </c>
      <c r="NY78" s="11">
        <f t="shared" si="397"/>
        <v>10.6060603623981</v>
      </c>
    </row>
    <row r="79" s="11" customFormat="1" customHeight="1" spans="1:389">
      <c r="A79" s="81"/>
      <c r="B79" s="82"/>
      <c r="C79" s="83"/>
      <c r="D79" s="74" t="s">
        <v>334</v>
      </c>
      <c r="E79" s="550">
        <f t="shared" si="325"/>
        <v>68.67473046</v>
      </c>
      <c r="F79" s="84">
        <f>$F$31</f>
        <v>245.118138379664</v>
      </c>
      <c r="G79" s="74"/>
      <c r="H79" s="23"/>
      <c r="I79" s="78"/>
      <c r="J79" s="78"/>
      <c r="K79" s="23"/>
      <c r="L79" s="128" t="s">
        <v>467</v>
      </c>
      <c r="M79" s="119">
        <f t="shared" si="339"/>
        <v>1.8</v>
      </c>
      <c r="N79" s="119">
        <f t="shared" si="340"/>
        <v>0</v>
      </c>
      <c r="O79" s="74">
        <f t="shared" si="438"/>
        <v>0.08</v>
      </c>
      <c r="P79" s="120">
        <v>0.1</v>
      </c>
      <c r="Q79" s="165">
        <f t="shared" si="337"/>
        <v>0.1</v>
      </c>
      <c r="R79" s="182">
        <v>0.8</v>
      </c>
      <c r="S79" s="173" t="str">
        <f>各项系数!$D$43</f>
        <v>钢带</v>
      </c>
      <c r="T79" s="78">
        <v>0.5</v>
      </c>
      <c r="U79" s="78">
        <v>2</v>
      </c>
      <c r="V79" s="172"/>
      <c r="W79" s="174">
        <v>3.2</v>
      </c>
      <c r="X79" s="168">
        <f t="shared" si="338"/>
        <v>0.2</v>
      </c>
      <c r="Y79" s="221"/>
      <c r="Z79" s="222"/>
      <c r="AA79" s="223">
        <f>$AA$31</f>
        <v>1.02</v>
      </c>
      <c r="AB79" s="186">
        <f>PI()*EJ79*EJ79/4*EH79*(1-H79)*AA79*各项系数!$F$5*各项系数!$J$4*10^-7</f>
        <v>2.59714160229395</v>
      </c>
      <c r="AC79" s="224">
        <f t="shared" si="327"/>
        <v>245.118138379664</v>
      </c>
      <c r="AD79" s="186">
        <f t="shared" si="341"/>
        <v>293.609962330657</v>
      </c>
      <c r="AE79" s="186">
        <f>POWER(4*EU79/PI()/EG79/10^-7/EH79/(1-H79)/各项系数!$F$5/各项系数!$J$4,0.5)</f>
        <v>247.557184904753</v>
      </c>
      <c r="AF79" s="225">
        <v>1</v>
      </c>
      <c r="AG79" s="23">
        <f>IF(EM79=0,0,PI()*ER79*ER79/4*EP79*(1-K79)*(1+AF79)*各项系数!$F$5*各项系数!$J$4*10^-7)</f>
        <v>0</v>
      </c>
      <c r="AH79" s="23">
        <f t="shared" si="328"/>
        <v>0</v>
      </c>
      <c r="AI79" s="85">
        <f t="shared" si="398"/>
        <v>0</v>
      </c>
      <c r="AJ79" s="85">
        <f>IF(OR(EP79="",EP79=0),0,POWER(4*EW79/PI()/EO79/10^-7/EP79/(1-K79)/各项系数!$F$5/各项系数!$J$4,0.5))</f>
        <v>0</v>
      </c>
      <c r="AK79" s="23" t="str">
        <f t="shared" si="342"/>
        <v>√</v>
      </c>
      <c r="AL79" s="23">
        <f t="shared" si="329"/>
        <v>721.411260763672</v>
      </c>
      <c r="AM79" s="127">
        <f t="shared" si="330"/>
        <v>300</v>
      </c>
      <c r="AN79" s="128" t="s">
        <v>486</v>
      </c>
      <c r="AO79" s="176">
        <f>AP79+各项系数!$M$9*$NK79</f>
        <v>707.265941925169</v>
      </c>
      <c r="AP79" s="176">
        <f>AQ79*(1+$BI79+(VLOOKUP($AM79,$A$12:$B$323,2,0))+各项系数!$J$6+各项系数!$M$5)*(1+$E$2)</f>
        <v>703.334359075449</v>
      </c>
      <c r="AQ79" s="262">
        <f>AR79+各项系数!$L$9*$NK79</f>
        <v>717.68812150556</v>
      </c>
      <c r="AR79" s="262">
        <f>AS79*(1+$BJ79+各项系数!$J$5+各项系数!$L$5)</f>
        <v>713.756538655841</v>
      </c>
      <c r="AS79" s="262">
        <f t="shared" si="399"/>
        <v>699.761312407687</v>
      </c>
      <c r="AT79" s="176">
        <f>AU79+各项系数!$M$9*$NM79</f>
        <v>713.779915301489</v>
      </c>
      <c r="AU79" s="176">
        <f>AV79*(1+$BI79+(VLOOKUP($AM79,$A$12:$B$323,2,0))+各项系数!$J$6+各项系数!$M$5)*(1+$E$2)</f>
        <v>709.84833245177</v>
      </c>
      <c r="AV79" s="262">
        <f>AW79+各项系数!$L$9*$NM79</f>
        <v>724.335033114051</v>
      </c>
      <c r="AW79" s="262">
        <f>AX79*(1+$BJ79+各项系数!$J$5+各项系数!$L$5)</f>
        <v>720.403450264331</v>
      </c>
      <c r="AX79" s="262">
        <f t="shared" si="400"/>
        <v>706.277892416011</v>
      </c>
      <c r="AY79" s="176">
        <f>AZ79+各项系数!$M$9*$NS79</f>
        <v>713.218037824986</v>
      </c>
      <c r="AZ79" s="176">
        <f>BA79*(1+$BI79+(VLOOKUP($AM79,$A$12:$B$214,2,0))+各项系数!$J$6+各项系数!$M$5)*(1+$E$2)</f>
        <v>709.260325226702</v>
      </c>
      <c r="BA79" s="262">
        <f>BB79+各项系数!$L$9*$NS79</f>
        <v>723.735025741532</v>
      </c>
      <c r="BB79" s="262">
        <f>BC79*(1+$BJ79+各项系数!$J$5+各项系数!$L$5)</f>
        <v>719.777313143248</v>
      </c>
      <c r="BC79" s="262">
        <f t="shared" si="401"/>
        <v>705.66403249338</v>
      </c>
      <c r="BD79" s="176">
        <f>BE79+各项系数!$M$9*$NS79</f>
        <v>719.747929338471</v>
      </c>
      <c r="BE79" s="176">
        <f>BF79*(1+$BI79+(VLOOKUP($AM79,$A$12:$B$214,2,0))+各项系数!$J$6+各项系数!$M$5)*(1+$E$2)</f>
        <v>715.790216740186</v>
      </c>
      <c r="BF79" s="262">
        <f>BG79+各项系数!$L$9*$NS79</f>
        <v>730.398180347128</v>
      </c>
      <c r="BG79" s="262">
        <f>BH79*(1+$BJ79+各项系数!$J$5+各项系数!$L$5)</f>
        <v>726.440467748844</v>
      </c>
      <c r="BH79" s="262">
        <f t="shared" si="402"/>
        <v>712.19653700867</v>
      </c>
      <c r="BI79" s="278"/>
      <c r="BJ79" s="279"/>
      <c r="BK79" s="95" t="s">
        <v>514</v>
      </c>
      <c r="BL79" s="176">
        <f>BM79+各项系数!$M$9*$NM79</f>
        <v>715.095403662623</v>
      </c>
      <c r="BM79" s="176">
        <f>BN79*(1+$CF79+(VLOOKUP($AM79,$A$12:$B$323,2,0))+各项系数!$J$6+各项系数!$M$5)*(1+$E$2)</f>
        <v>711.163820812903</v>
      </c>
      <c r="BN79" s="262">
        <f>BO79+各项系数!$L$9*$NM79</f>
        <v>725.677368176432</v>
      </c>
      <c r="BO79" s="262">
        <f>BP79*(1+$CG79+各项系数!$J$5+各项系数!$L$5)</f>
        <v>721.745785326712</v>
      </c>
      <c r="BP79" s="262">
        <f t="shared" si="403"/>
        <v>700.724063423992</v>
      </c>
      <c r="BQ79" s="176">
        <f>BR79+各项系数!$M$9*$NM79</f>
        <v>720.701438647166</v>
      </c>
      <c r="BR79" s="176">
        <f>BS79*(1+$CF79+(VLOOKUP($AM79,$A$12:$B$323,2,0))+各项系数!$J$6+各项系数!$M$5)*(1+$E$2)</f>
        <v>716.769855797447</v>
      </c>
      <c r="BS79" s="262">
        <f>BT79+各项系数!$L$9*$NM79</f>
        <v>731.397812038211</v>
      </c>
      <c r="BT79" s="262">
        <f>BU79*(1+$CG79+各项系数!$J$5+各项系数!$L$5)</f>
        <v>727.466229188491</v>
      </c>
      <c r="BU79" s="262">
        <f t="shared" si="404"/>
        <v>706.277892416011</v>
      </c>
      <c r="BV79" s="176">
        <f>BW79+各项系数!$M$9*$NT79</f>
        <v>717.237260788965</v>
      </c>
      <c r="BW79" s="176">
        <f>BX79*(1+$CF79+(VLOOKUP($AM79,$A$12:$B$214,2,0))+各项系数!$J$6+各项系数!$M$5)*(1+$E$2)</f>
        <v>713.27954819068</v>
      </c>
      <c r="BX79" s="262">
        <f>BY79+各项系数!$L$9*$NT$12</f>
        <v>727.83627366396</v>
      </c>
      <c r="BY79" s="262">
        <f>BZ79*(1+$CG79+各项系数!$J$5+各项系数!$L$5)</f>
        <v>727.828010260805</v>
      </c>
      <c r="BZ79" s="262">
        <f t="shared" si="343"/>
        <v>706.629136175538</v>
      </c>
      <c r="CA79" s="176">
        <f>CB79+各项系数!$M$9*$NT79</f>
        <v>722.856995189928</v>
      </c>
      <c r="CB79" s="176">
        <f>CC79*(1+$CF79+(VLOOKUP($AM79,$A$12:$B$214,2,0))+各项系数!$J$6+各项系数!$M$5)*(1+$E$2)</f>
        <v>718.899282591644</v>
      </c>
      <c r="CC79" s="262">
        <f>CD79+各项系数!$L$9*$NT$12</f>
        <v>733.570696522085</v>
      </c>
      <c r="CD79" s="262">
        <f>CE79*(1+$CG79+各项系数!$J$5+各项系数!$L$5)</f>
        <v>733.56243311893</v>
      </c>
      <c r="CE79" s="262">
        <f t="shared" si="405"/>
        <v>712.19653700867</v>
      </c>
      <c r="CF79" s="278">
        <f t="shared" si="406"/>
        <v>0</v>
      </c>
      <c r="CG79" s="278">
        <f t="shared" si="344"/>
        <v>0.01</v>
      </c>
      <c r="CH79" s="127"/>
      <c r="CI79" s="176">
        <f>CJ79+各项系数!$M$9*$NO79</f>
        <v>719.584937861948</v>
      </c>
      <c r="CJ79" s="176">
        <f>CK79*(1+$DC79+(VLOOKUP($AM79,$A$12:$B$323,2,0))+各项系数!$J$6+各项系数!$M$5)*(1+$E$2)+各项系数!$M$9*$NK79</f>
        <v>714.450616569089</v>
      </c>
      <c r="CK79" s="262">
        <f>CL79+各项系数!$L$9*$NO79</f>
        <v>725.019422162622</v>
      </c>
      <c r="CL79" s="262">
        <f>CM79*(1+$DD79+各项系数!$J$5+各项系数!$L$5)</f>
        <v>719.885100869762</v>
      </c>
      <c r="CM79" s="262">
        <f t="shared" si="345"/>
        <v>705.769706735061</v>
      </c>
      <c r="CN79" s="176">
        <f>CO79+各项系数!$M$9*$NO79</f>
        <v>725.876085314702</v>
      </c>
      <c r="CO79" s="176">
        <f>CP79*(1+$DC79+(VLOOKUP($AM79,$A$12:$B$323,2,0))+各项系数!$J$6+各项系数!$M$5)*(1+$E$2)+各项系数!$M$9*$NK79</f>
        <v>720.741764021843</v>
      </c>
      <c r="CP79" s="262">
        <f>CQ79+各项系数!$L$9*$NO79</f>
        <v>731.438960379718</v>
      </c>
      <c r="CQ79" s="262">
        <f>CR79*(1+$DD79+各项系数!$J$5+各项系数!$L$5)</f>
        <v>726.304639086858</v>
      </c>
      <c r="CR79" s="262">
        <f t="shared" si="346"/>
        <v>712.063371653782</v>
      </c>
      <c r="CS79" s="176">
        <f>CT79+各项系数!$M$9*$NU79</f>
        <v>721.749589539061</v>
      </c>
      <c r="CT79" s="176">
        <f t="shared" si="347"/>
        <v>716.588503217866</v>
      </c>
      <c r="CU79" s="262">
        <f>CV79+各项系数!$L$9*$NU79</f>
        <v>731.212758385578</v>
      </c>
      <c r="CV79" s="262">
        <f>CW79*(1+$DD79+各项系数!$J$5+各项系数!$L$5)</f>
        <v>726.051672064383</v>
      </c>
      <c r="CW79" s="262">
        <f t="shared" si="348"/>
        <v>711.815364769003</v>
      </c>
      <c r="CX79" s="176">
        <f>CY79+各项系数!$M$9*$NU79</f>
        <v>728.43030540217</v>
      </c>
      <c r="CY79" s="176">
        <f t="shared" si="349"/>
        <v>723.269219080975</v>
      </c>
      <c r="CZ79" s="262">
        <f>DA79+各项系数!$L$9*$NU79</f>
        <v>738.02981538875</v>
      </c>
      <c r="DA79" s="262">
        <f>DB79*(1+$DD79+各项系数!$J$5+各项系数!$L$5)</f>
        <v>732.868729067556</v>
      </c>
      <c r="DB79" s="262">
        <f t="shared" si="350"/>
        <v>718.4987539878</v>
      </c>
      <c r="DC79" s="278">
        <f t="shared" si="407"/>
        <v>0</v>
      </c>
      <c r="DD79" s="278">
        <f t="shared" si="351"/>
        <v>0</v>
      </c>
      <c r="DE79" s="95" t="s">
        <v>498</v>
      </c>
      <c r="DF79" s="95" t="s">
        <v>513</v>
      </c>
      <c r="DG79" s="176">
        <f>DH79+各项系数!$M$9*$NQ79</f>
        <v>727.495782912955</v>
      </c>
      <c r="DH79" s="176">
        <f>DI79*(1+$EA79+(VLOOKUP($AM79,$A$12:$B$323,2,0))+各项系数!$J$6+各项系数!$M$5)*(1+$E$2)+各项系数!$M$9*$NK79</f>
        <v>722.361461620095</v>
      </c>
      <c r="DI79" s="262">
        <f>DJ79+各项系数!$L$9*$NQ79</f>
        <v>733.091713030996</v>
      </c>
      <c r="DJ79" s="262">
        <f>DK79*(1+$EB79+各项系数!$J$5+各项系数!$L$5)</f>
        <v>727.957391738136</v>
      </c>
      <c r="DK79" s="262">
        <f t="shared" si="352"/>
        <v>706.754749260326</v>
      </c>
      <c r="DL79" s="176">
        <f>DM79+各项系数!$M$9*$NQ79</f>
        <v>733.231619868074</v>
      </c>
      <c r="DM79" s="176">
        <f>DN79*(1+$EA79+(VLOOKUP($AM79,$A$12:$B$323,2,0))+各项系数!$J$6+各项系数!$M$5)*(1+$E$2)+各项系数!$M$9*$NK79</f>
        <v>728.097298575214</v>
      </c>
      <c r="DN79" s="262">
        <f>DO79+各项系数!$L$9*$NQ79</f>
        <v>738.944607883158</v>
      </c>
      <c r="DO79" s="262">
        <f>DP79*(1+$EB79+各项系数!$J$5+各项系数!$L$5)</f>
        <v>733.810286590298</v>
      </c>
      <c r="DP79" s="262">
        <f t="shared" si="353"/>
        <v>712.437171446891</v>
      </c>
      <c r="DQ79" s="176">
        <f>DR79+各项系数!$M$9*$NV79</f>
        <v>729.722056819712</v>
      </c>
      <c r="DR79" s="176">
        <f t="shared" si="354"/>
        <v>724.560970498518</v>
      </c>
      <c r="DS79" s="262">
        <f>DT79+各项系数!$L$9*$NV79</f>
        <v>739.34792908012</v>
      </c>
      <c r="DT79" s="262">
        <f>DU79*(1+$EB79+各项系数!$J$5+各项系数!$L$5)</f>
        <v>734.186842758925</v>
      </c>
      <c r="DU79" s="262">
        <f t="shared" si="355"/>
        <v>712.802759960122</v>
      </c>
      <c r="DV79" s="176">
        <f>DW79+各项系数!$M$9*$NV79</f>
        <v>729.236696116839</v>
      </c>
      <c r="DW79" s="176">
        <f t="shared" si="356"/>
        <v>724.075609795645</v>
      </c>
      <c r="DX79" s="262">
        <f>DY79+各项系数!$L$9*$NV79</f>
        <v>738.85266305678</v>
      </c>
      <c r="DY79" s="262">
        <f>DZ79*(1+$EB79+各项系数!$J$5+各项系数!$L$5)</f>
        <v>733.691576735586</v>
      </c>
      <c r="DZ79" s="262">
        <f t="shared" si="357"/>
        <v>712.321919160763</v>
      </c>
      <c r="EA79" s="278">
        <f t="shared" si="324"/>
        <v>0</v>
      </c>
      <c r="EB79" s="278">
        <f t="shared" si="358"/>
        <v>0.01</v>
      </c>
      <c r="EC79" s="302">
        <f t="shared" si="408"/>
        <v>4</v>
      </c>
      <c r="ED79" s="304" t="str">
        <f t="shared" si="331"/>
        <v>4*300</v>
      </c>
      <c r="EE79" s="95">
        <f t="shared" si="239"/>
        <v>300</v>
      </c>
      <c r="EF79" s="95" t="str">
        <f>LOOKUP(EH79,{1,7,10,14,19,24,30,37,48,61},{1,"1+6","2+8","4+10","1+6+12","2+8+14","4+10+16","1+6+12+18","3+9+15+21","1+6+12+18+24"})</f>
        <v>1+6+12+18+24</v>
      </c>
      <c r="EG79" s="127">
        <f t="shared" si="359"/>
        <v>4</v>
      </c>
      <c r="EH79" s="262">
        <f>VLOOKUP(EE79,各项系数!$B$87:$C$124,2,0)</f>
        <v>61</v>
      </c>
      <c r="EI79" s="127">
        <f>IF(EH79=0,0,VLOOKUP(EH79,各项系数!$D$142:$E$195,2,0))*1</f>
        <v>9</v>
      </c>
      <c r="EJ79" s="307">
        <f t="shared" si="409"/>
        <v>245.118138379664</v>
      </c>
      <c r="EK79" s="95">
        <f t="shared" si="332"/>
        <v>0</v>
      </c>
      <c r="EL79" s="95">
        <f t="shared" si="360"/>
        <v>0</v>
      </c>
      <c r="EM79" s="95">
        <f t="shared" si="333"/>
        <v>0</v>
      </c>
      <c r="EN79" s="95">
        <f>IF(EP79=0,0,LOOKUP(EP79,{1,7,10,14,19,24,30,37,48,61},{1,"1+6","2+8","4+10","1+6+12","2+8+14","4+10+16","1+6+12+18","3+9+15+21","1+6+12+18+24"}))</f>
        <v>0</v>
      </c>
      <c r="EO79" s="95">
        <f t="shared" si="334"/>
        <v>0</v>
      </c>
      <c r="EP79" s="95">
        <f>IF(EM79=0,0,IF(EM79&lt;10,1,IF(AND(EM79&gt;=10,EM79&lt;=35),7,LOOKUP(EM79,{50,70,95,120,150,185,240,300},{10,14,19,24,30,37,48,61})*1)))</f>
        <v>0</v>
      </c>
      <c r="EQ79" s="95">
        <f>IF(EP79=0,0,VLOOKUP(EP79,各项系数!$D$142:$E$195,2,0))*1</f>
        <v>0</v>
      </c>
      <c r="ER79" s="95">
        <f t="shared" si="335"/>
        <v>0</v>
      </c>
      <c r="ES79" s="304">
        <f t="shared" si="336"/>
        <v>4</v>
      </c>
      <c r="ET79" s="95">
        <f>VLOOKUP(ES79,各项系数!$D$142:$E$195,2,0)*1</f>
        <v>2.42</v>
      </c>
      <c r="EU79" s="311">
        <f>((各项系数!$F$76/4*$EJ79^2*$EG79*$EH79*1*10^-7)*(1-$H79)*AA79)*(VLOOKUP($EY$9,各项系数!$D$4:$F$143,3,0))*各项系数!$J$4</f>
        <v>10.3885664091758</v>
      </c>
      <c r="EV79" s="312">
        <f>EU79*(VLOOKUP($EY$9,各项系数!$D$4:$F$143,2,0))</f>
        <v>680.451099801014</v>
      </c>
      <c r="EW79" s="324">
        <f>(IF($EO79=0,0,(各项系数!$F$76/4*$ER79^2*$EO79*$EP79*1*10^-7))*(1-$K79)*$AF79)*(VLOOKUP($EY$9,各项系数!$D$4:$F$143,3,0))*各项系数!$J$4</f>
        <v>0</v>
      </c>
      <c r="EX79" s="325">
        <f>EW79*(VLOOKUP($EY$9,各项系数!$D$4:$F$143,2,0))</f>
        <v>0</v>
      </c>
      <c r="EY79" s="251">
        <f>((各项系数!$F$76/4*$EJ79^2*$EG79*$EH79*1*10^-7)*(1-$H79)*AA79+IF($EO79=0,0,(各项系数!$F$76/4*$ER79^2*$EO79*$EP79*1*10^-7))*(1-$K79)*$AF79)*(VLOOKUP($EY$9,各项系数!$D$4:$F$143,3,0))*各项系数!$J$4</f>
        <v>10.3885664091758</v>
      </c>
      <c r="EZ79" s="127">
        <v>1</v>
      </c>
      <c r="FA79" s="95">
        <f t="shared" si="268"/>
        <v>10.3885664091758</v>
      </c>
      <c r="FB79" s="314">
        <f>FA79*(VLOOKUP($EY$9,各项系数!$D$4:$F$143,2,0))</f>
        <v>680.451099801014</v>
      </c>
      <c r="FC79" s="329"/>
      <c r="FD79" s="304">
        <f>各项系数!$F$76/4*($MN79^2-MK79^2)*10^-2*(VLOOKUP(L79,各项系数!$D$1:$F$143,3,0))*10^-3*10^2*$EG79*各项系数!$J$4</f>
        <v>0.590717837817954</v>
      </c>
      <c r="FE79" s="341">
        <f>FD79*VLOOKUP(L79,各项系数!$D$1:$F$143,2,0)</f>
        <v>6.02532194574313</v>
      </c>
      <c r="FF79" s="127">
        <f>各项系数!$F$76/4*($MO79^2-ML79^2)*10^-2*(VLOOKUP(L79,各项系数!$D$1:$F$143,3,0))*10^-3*10^2*$EO79*各项系数!$J$4</f>
        <v>0</v>
      </c>
      <c r="FG79" s="341">
        <f>FF79*VLOOKUP(L79,各项系数!$D$1:$F$143,2,0)</f>
        <v>0</v>
      </c>
      <c r="FH79" s="304">
        <f t="shared" si="410"/>
        <v>0.590717837817954</v>
      </c>
      <c r="FI79" s="127">
        <v>1</v>
      </c>
      <c r="FJ79" s="95">
        <f t="shared" si="269"/>
        <v>0.590717837817954</v>
      </c>
      <c r="FK79" s="341">
        <f>FJ79*VLOOKUP(L79,各项系数!$D$1:$F$143,2,0)</f>
        <v>6.02532194574313</v>
      </c>
      <c r="FL79" s="304"/>
      <c r="FM79" s="127"/>
      <c r="FN79" s="95"/>
      <c r="FO79" s="341"/>
      <c r="FP79" s="371">
        <f t="shared" si="270"/>
        <v>0.590717837817954</v>
      </c>
      <c r="FQ79" s="371">
        <f t="shared" si="271"/>
        <v>6.02532194574313</v>
      </c>
      <c r="FR79" s="365">
        <f>各项系数!$F$76/4*($MQ79^2-$MN79^2*$EG79-$MO79^2*$EO79)*10^-2</f>
        <v>9.6005508548713</v>
      </c>
      <c r="FS79" s="366">
        <f t="shared" si="411"/>
        <v>1</v>
      </c>
      <c r="FT79" s="367">
        <f t="shared" si="361"/>
        <v>9.6005508548713</v>
      </c>
      <c r="FU79" s="395">
        <f>$FT79*(VLOOKUP($FT$9,各项系数!$D$1:$F$143,3,0))*10^-3*10^2*各项系数!$J$55</f>
        <v>1.14630577207163</v>
      </c>
      <c r="FV79" s="396">
        <v>1</v>
      </c>
      <c r="FW79" s="397">
        <f t="shared" si="272"/>
        <v>1.14630577207163</v>
      </c>
      <c r="FX79" s="372">
        <f>FW79*(VLOOKUP($FT$9,各项系数!$D$1:$F$143,2,0))</f>
        <v>3.4389173162149</v>
      </c>
      <c r="FY79" s="395">
        <f>IF($BK79&lt;&gt;$FY$9,0,各项系数!$F$76/4*($MS79^2-$MQ79^2)*10^-2*(VLOOKUP($FY$9,各项系数!$D$1:$F$143,3,0))*10^-3*10^2)*各项系数!$J$4</f>
        <v>0</v>
      </c>
      <c r="FZ79" s="396">
        <v>1</v>
      </c>
      <c r="GA79" s="397">
        <f t="shared" si="273"/>
        <v>0</v>
      </c>
      <c r="GB79" s="372">
        <f>GA79*(VLOOKUP($FY$9,各项系数!$D$1:$F$143,2,0))</f>
        <v>0</v>
      </c>
      <c r="GC79" s="395">
        <f>IF($BK79&lt;&gt;$GC$9,0,各项系数!$F$76/4*($MS79^2-$MQ79^2)*10^-2*(VLOOKUP($GC$9,各项系数!$D$1:$F$143,3,0))*10^-3*10^2)*各项系数!$J$4</f>
        <v>0.0169351303615321</v>
      </c>
      <c r="GD79" s="396">
        <v>1</v>
      </c>
      <c r="GE79" s="397">
        <f t="shared" si="274"/>
        <v>0.0169351303615321</v>
      </c>
      <c r="GF79" s="372">
        <f>GE79*(VLOOKUP($GC$9,各项系数!$D$1:$F$143,2,0))</f>
        <v>0.218463181663764</v>
      </c>
      <c r="GG79" s="395">
        <f>IF($BK79&lt;&gt;$GG$9,0,各项系数!$F$76/4*($MS79^2-$MQ79^2)*10^-2*(VLOOKUP($GG$9,各项系数!$D$1:$F$143,3,0))*10^-3*10^2)*各项系数!$J$4</f>
        <v>0</v>
      </c>
      <c r="GH79" s="396">
        <v>1</v>
      </c>
      <c r="GI79" s="397">
        <f t="shared" si="275"/>
        <v>0</v>
      </c>
      <c r="GJ79" s="372">
        <f>GI79*(VLOOKUP($GG$9,各项系数!$D$1:$F$143,2,0))</f>
        <v>0</v>
      </c>
      <c r="GK79" s="395">
        <f>IF($BK79&lt;&gt;$GK$9,0,各项系数!$F$76/4*($MS79^2-$MQ79^2)*10^-2*(VLOOKUP($GK$9,各项系数!$D$1:$F$143,3,0))*10^-3*10^2)*各项系数!$J$4</f>
        <v>0</v>
      </c>
      <c r="GL79" s="396">
        <v>1</v>
      </c>
      <c r="GM79" s="397">
        <f t="shared" si="276"/>
        <v>0</v>
      </c>
      <c r="GN79" s="372">
        <f>GM79*(VLOOKUP($GK$9,各项系数!$D$1:$F$143,2,0))</f>
        <v>0</v>
      </c>
      <c r="GO79" s="397">
        <f t="shared" si="277"/>
        <v>0.0169351303615321</v>
      </c>
      <c r="GP79" s="397">
        <f t="shared" si="278"/>
        <v>0.218463181663764</v>
      </c>
      <c r="GQ79" s="408">
        <f>各项系数!$F$76/4*($MU79^2-$MS79^2)*10^-2*(VLOOKUP($S79,各项系数!$D$1:$F$143,3,0))*10^-3*10^2*各项系数!$J$4</f>
        <v>1.15545215493181</v>
      </c>
      <c r="GR79" s="396">
        <v>1</v>
      </c>
      <c r="GS79" s="397">
        <f t="shared" si="279"/>
        <v>1.15545215493181</v>
      </c>
      <c r="GT79" s="397">
        <f t="shared" si="200"/>
        <v>0</v>
      </c>
      <c r="GU79" s="397">
        <f>ROUND($GS79*(VLOOKUP($S79,各项系数!$D$1:$F$143,2,0))+$E$3*GS79,GT79)</f>
        <v>7</v>
      </c>
      <c r="GV79" s="406">
        <f>各项系数!$F$76/4*($MT79^2-$MS79^2)*10^-2*(VLOOKUP($GV$9,各项系数!$D$1:$F$143,3,0))*10^-3*10^2*各项系数!$J$4*PI()/4*R79</f>
        <v>0.087099161883847</v>
      </c>
      <c r="GW79" s="396">
        <v>1</v>
      </c>
      <c r="GX79" s="397">
        <f t="shared" si="280"/>
        <v>0.087099161883847</v>
      </c>
      <c r="GY79" s="397">
        <f>$GX79*(VLOOKUP($GV$9,各项系数!$D$1:$F$143,2,0))</f>
        <v>5.87919342715967</v>
      </c>
      <c r="GZ79" s="408">
        <f>各项系数!$F$76/4*($MV79^2-$MS79^2)*10^-2*(VLOOKUP($GZ$9,各项系数!$D$1:$F$143,3,0))*10^-3*10^2*各项系数!$J$4</f>
        <v>0.949652363022086</v>
      </c>
      <c r="HA79" s="396">
        <v>1</v>
      </c>
      <c r="HB79" s="397">
        <f t="shared" si="412"/>
        <v>0.949652363022086</v>
      </c>
      <c r="HC79" s="397">
        <f>HB79*(VLOOKUP($GZ$9,各项系数!$D$1:$F$143,2,0))</f>
        <v>16.1440901713755</v>
      </c>
      <c r="HD79" s="408">
        <f>各项系数!$F$76/4*($MW79^2-$MT79^2)*10^-2*(VLOOKUP($HD$9,各项系数!$D$1:$F$143,3,0))*10^-3*10^2*各项系数!$J$4</f>
        <v>0.951973019816181</v>
      </c>
      <c r="HE79" s="396">
        <v>1</v>
      </c>
      <c r="HF79" s="397">
        <f t="shared" si="413"/>
        <v>0.951973019816181</v>
      </c>
      <c r="HG79" s="397">
        <f>HF79*(VLOOKUP($HD$9,各项系数!$D$1:$F$143,2,0))</f>
        <v>16.1835413368751</v>
      </c>
      <c r="HH79" s="408">
        <f>各项系数!$F$76/4*($MV79^2-$MS79^2)*10^-2*(VLOOKUP($HH$9,各项系数!$D$1:$F$143,3,0))*10^-3*10^2*各项系数!$J$4</f>
        <v>0.949652363022086</v>
      </c>
      <c r="HI79" s="397">
        <v>1</v>
      </c>
      <c r="HJ79" s="397">
        <f t="shared" si="414"/>
        <v>0.949652363022086</v>
      </c>
      <c r="HK79" s="397">
        <f>HJ79*(VLOOKUP($HH$9,各项系数!$D$1:$F$143,2,0))</f>
        <v>16.1440901713755</v>
      </c>
      <c r="HL79" s="408">
        <f>各项系数!$F$76/4*($MW79^2-$MT79^2)*10^-2*(VLOOKUP($HL$9,各项系数!$D$1:$F$143,3,0))*10^-3*10^2*各项系数!$J$4</f>
        <v>0.951973019816181</v>
      </c>
      <c r="HM79" s="397">
        <v>1</v>
      </c>
      <c r="HN79" s="397">
        <f t="shared" si="362"/>
        <v>0.951973019816181</v>
      </c>
      <c r="HO79" s="397">
        <f>HN79*(VLOOKUP($HL$9,各项系数!$D$1:$F$143,2,0))</f>
        <v>16.1835413368751</v>
      </c>
      <c r="HP79" s="408">
        <f>各项系数!$F$76/4*($MV79^2-$MS79^2)*10^-2*(VLOOKUP(AN79,各项系数!$D$1:$F$143,3,0))*10^-3*10^2*各项系数!$J$4</f>
        <v>0.962751016305149</v>
      </c>
      <c r="HQ79" s="396">
        <v>1</v>
      </c>
      <c r="HR79" s="397">
        <f t="shared" si="281"/>
        <v>0.962751016305149</v>
      </c>
      <c r="HS79" s="397">
        <f>HR79*(VLOOKUP(AN79,各项系数!$D$1:$F$143,2,0))</f>
        <v>9.62751016305149</v>
      </c>
      <c r="HT79" s="408">
        <f>各项系数!$F$76/4*($MW79^2-$MT79^2)*10^-2*(VLOOKUP(AN79,各项系数!$D$1:$F$143,3,0))*10^-3*10^2*各项系数!$J$4</f>
        <v>0.965103682158473</v>
      </c>
      <c r="HU79" s="396">
        <v>1</v>
      </c>
      <c r="HV79" s="397">
        <f t="shared" si="282"/>
        <v>0.965103682158473</v>
      </c>
      <c r="HW79" s="397">
        <f>HV79*(VLOOKUP(AN79,各项系数!$D$1:$F$143,2,0))</f>
        <v>9.65103682158473</v>
      </c>
      <c r="HX79" s="408">
        <f>各项系数!$F$76/4*($MV79^2-$MS79^2)*10^-2*(VLOOKUP($HX$9,各项系数!$D$1:$F$143,3,0))*10^-3*10^2*各项系数!$J$4</f>
        <v>0.962751016305149</v>
      </c>
      <c r="HY79" s="397">
        <v>1</v>
      </c>
      <c r="HZ79" s="397">
        <f t="shared" si="283"/>
        <v>0.962751016305149</v>
      </c>
      <c r="IA79" s="397">
        <f>HZ79*(VLOOKUP($HX$9,各项系数!$D$1:$F$143,2,0))</f>
        <v>10.5902611793566</v>
      </c>
      <c r="IB79" s="408">
        <f>各项系数!$F$76/4*($MW79^2-$MT79^2)*10^-2*(VLOOKUP($IB$9,各项系数!$D$1:$F$143,3,0))*10^-3*10^2*各项系数!$J$4</f>
        <v>0.965103682158473</v>
      </c>
      <c r="IC79" s="397">
        <v>1</v>
      </c>
      <c r="ID79" s="397">
        <f t="shared" si="284"/>
        <v>0.965103682158473</v>
      </c>
      <c r="IE79" s="397">
        <f>ID79*(VLOOKUP($IB$9,各项系数!$D$1:$F$143,2,0))</f>
        <v>10.6161405037432</v>
      </c>
      <c r="IF79" s="395"/>
      <c r="IG79" s="408">
        <f t="shared" si="415"/>
        <v>0.125814165385666</v>
      </c>
      <c r="IH79" s="396">
        <v>1</v>
      </c>
      <c r="II79" s="397">
        <f t="shared" si="285"/>
        <v>0.125814165385666</v>
      </c>
      <c r="IJ79" s="397">
        <f>II79*(VLOOKUP($IG$8,各项系数!$D$1:$F$143,2,0))</f>
        <v>3.14535413464165</v>
      </c>
      <c r="IK79" s="408">
        <f>(各项系数!$F$76/4*($MX79^2-$MK79^2)*$EG79)*10^-2*(VLOOKUP($IG$8,各项系数!$D$1:$F$143,3,0))*10^-3*10^2*各项系数!$J$4</f>
        <v>0.125814165385666</v>
      </c>
      <c r="IL79" s="396">
        <f>IK79*(VLOOKUP($IG$8,各项系数!$D$1:$F$143,2,0))</f>
        <v>3.14535413464165</v>
      </c>
      <c r="IM79" s="397">
        <f>(各项系数!$F$76/4*(($MM79+3*$X79)^2-MM79^2)*$EO79)*10^-2*(VLOOKUP($IG$8,各项系数!$D$1:$F$143,3,0))*10^-3*10^2*各项系数!$J$4</f>
        <v>0</v>
      </c>
      <c r="IN79" s="396">
        <f>IM79*(VLOOKUP($IG$8,各项系数!$D$1:$F$143,2,0))</f>
        <v>0</v>
      </c>
      <c r="IO79" s="408">
        <f>各项系数!$F$76/4*($MZ79^2-$MX79^2)*10^-2*(VLOOKUP(L79,各项系数!$D$1:$F$143,3,0))*10^-3*10^2*$ES79*各项系数!$J$4</f>
        <v>0.605572041866364</v>
      </c>
      <c r="IP79" s="396">
        <v>1</v>
      </c>
      <c r="IQ79" s="397">
        <f t="shared" si="286"/>
        <v>0.605572041866364</v>
      </c>
      <c r="IR79" s="372">
        <f>IQ79*(VLOOKUP(L79,各项系数!$D$1:$F$143,2,0))</f>
        <v>6.17683482703691</v>
      </c>
      <c r="IS79" s="408">
        <f>IF($L79&lt;&gt;$IS$9,0,各项系数!$F$76/4*($MZ79^2-$MX79^2)*10^-2*各项系数!$F$12*10^-3*10^2)*$ES79*各项系数!$J$4</f>
        <v>0</v>
      </c>
      <c r="IT79" s="396">
        <v>1</v>
      </c>
      <c r="IU79" s="397">
        <f t="shared" si="287"/>
        <v>0</v>
      </c>
      <c r="IV79" s="372">
        <f>IU79*各项系数!$E$12</f>
        <v>0</v>
      </c>
      <c r="IW79" s="395">
        <f t="shared" si="288"/>
        <v>0.605572041866364</v>
      </c>
      <c r="IX79" s="395">
        <f t="shared" si="289"/>
        <v>6.17683482703691</v>
      </c>
      <c r="IY79" s="447">
        <f>各项系数!$F$76/4*($NB79^2-$MZ79^2*$EG79-$NA79^2*$EO79)*10^-2</f>
        <v>10.0547621765269</v>
      </c>
      <c r="IZ79" s="366">
        <f t="shared" si="231"/>
        <v>1</v>
      </c>
      <c r="JA79" s="367">
        <f t="shared" si="363"/>
        <v>10.0547621765269</v>
      </c>
      <c r="JB79" s="371">
        <f>IF($DE79&lt;&gt;$JB$9,0,$JA79*各项系数!$F$32*10^-3*10^2)*各项系数!$J$4</f>
        <v>0</v>
      </c>
      <c r="JC79" s="127">
        <v>1</v>
      </c>
      <c r="JD79" s="95">
        <f t="shared" si="290"/>
        <v>0</v>
      </c>
      <c r="JE79" s="341">
        <f>JD79*各项系数!$E$32</f>
        <v>0</v>
      </c>
      <c r="JF79" s="364">
        <f>IF($DE79&lt;&gt;$JF$9,0,$JA79*VLOOKUP($JF$9,各项系数!$D$4:$F$540,2,0)*10^-3*10^2)*各项系数!$J$4</f>
        <v>5.00224418282215</v>
      </c>
      <c r="JG79" s="123">
        <v>1</v>
      </c>
      <c r="JH79" s="251">
        <f t="shared" si="364"/>
        <v>5.00224418282215</v>
      </c>
      <c r="JI79" s="339">
        <f>JH79*VLOOKUP($JF$9,各项系数!$D$4:$F$540,3,0)</f>
        <v>6.00269301938658</v>
      </c>
      <c r="JJ79" s="371">
        <f t="shared" si="291"/>
        <v>5.00224418282215</v>
      </c>
      <c r="JK79" s="95">
        <f t="shared" si="292"/>
        <v>6.00269301938658</v>
      </c>
      <c r="JL79" s="371">
        <f>IF($DF79&lt;&gt;$JL$9,0,各项系数!$F$76/4*($NE79^2-$NC79^2)*10^-2*各项系数!$F$39*10^-3*10^2)*各项系数!$J$4</f>
        <v>0.0071649850163948</v>
      </c>
      <c r="JM79" s="127">
        <v>1</v>
      </c>
      <c r="JN79" s="95">
        <f t="shared" si="293"/>
        <v>0.0071649850163948</v>
      </c>
      <c r="JO79" s="341">
        <f>JN79*各项系数!$E$39</f>
        <v>0.143299700327896</v>
      </c>
      <c r="JP79" s="371">
        <f>IF($DF79&lt;&gt;$JP$9,0,各项系数!$F$76/4*($NE79^2-$NC79^2)*10^-2*各项系数!$F$36*10^-3*10^2)*各项系数!$J$4</f>
        <v>0</v>
      </c>
      <c r="JQ79" s="127">
        <v>1</v>
      </c>
      <c r="JR79" s="95">
        <f t="shared" si="294"/>
        <v>0</v>
      </c>
      <c r="JS79" s="341">
        <f>JR79*各项系数!$E$36</f>
        <v>0</v>
      </c>
      <c r="JT79" s="371">
        <f>IF($DF79&lt;&gt;$JT$9,0,各项系数!$F$76/4*($NE79^2-$NC79^2)*10^-2*各项系数!$F$40*10^-3*10^2)*各项系数!$J$4</f>
        <v>0</v>
      </c>
      <c r="JU79" s="127">
        <v>1</v>
      </c>
      <c r="JV79" s="95">
        <f t="shared" si="295"/>
        <v>0</v>
      </c>
      <c r="JW79" s="341">
        <f>JV79*各项系数!$E$40</f>
        <v>0</v>
      </c>
      <c r="JX79" s="371">
        <f>IF($DF79&lt;&gt;$JX$9,0,各项系数!$F$76/4*($NE79^2-$NC79^2)*10^-2*各项系数!$F$38*10^-3*10^2)*各项系数!$J$4</f>
        <v>0</v>
      </c>
      <c r="JY79" s="127">
        <v>1</v>
      </c>
      <c r="JZ79" s="95">
        <f t="shared" si="296"/>
        <v>0</v>
      </c>
      <c r="KA79" s="341">
        <f>JZ79*各项系数!$E$38</f>
        <v>0</v>
      </c>
      <c r="KB79" s="371">
        <f>IF($DF79&lt;&gt;$KB$9,0,各项系数!$F$76/4*($NE79^2-$NC79^2)*10^-2*各项系数!$F$41*10^-3*10^2)*各项系数!$J$4</f>
        <v>0</v>
      </c>
      <c r="KC79" s="127">
        <v>1</v>
      </c>
      <c r="KD79" s="95">
        <f t="shared" si="297"/>
        <v>0</v>
      </c>
      <c r="KE79" s="341">
        <f>KD79*各项系数!$E$41</f>
        <v>0</v>
      </c>
      <c r="KF79" s="95">
        <f t="shared" si="298"/>
        <v>0.0071649850163948</v>
      </c>
      <c r="KG79" s="95">
        <f t="shared" si="299"/>
        <v>0.143299700327896</v>
      </c>
      <c r="KH79" s="304">
        <f>各项系数!$F$76/4*($NG79^2-$NE79^2)*10^-2*各项系数!$F$44*10^-3*10^2*各项系数!$J$4*0.75*$U79</f>
        <v>1.77486818777138</v>
      </c>
      <c r="KI79" s="127">
        <v>1</v>
      </c>
      <c r="KJ79" s="95">
        <f t="shared" si="300"/>
        <v>1.77486818777138</v>
      </c>
      <c r="KK79" s="95">
        <f>ROUND(KJ79*各项系数!$E$43,GT79)</f>
        <v>10</v>
      </c>
      <c r="KL79" s="302">
        <f>各项系数!$F$76/4*($NF79^2-$NE79^2)*10^-2*各项系数!$F$46*10^-3*10^2*各项系数!$J$4*PI()/4*R79</f>
        <v>0.0892167611171674</v>
      </c>
      <c r="KM79" s="127">
        <v>1</v>
      </c>
      <c r="KN79" s="95">
        <f t="shared" si="301"/>
        <v>0.0892167611171674</v>
      </c>
      <c r="KO79" s="95">
        <f>KN79*各项系数!$E$46</f>
        <v>6.0221313754088</v>
      </c>
      <c r="KP79" s="304">
        <f>各项系数!$F$76/4*($NH79^2-$NE79^2)*10^-2*(VLOOKUP($KP$9,各项系数!$D$1:$F$143,3,0))*10^-3*10^2*各项系数!$J$4</f>
        <v>0.971640586146134</v>
      </c>
      <c r="KQ79" s="127">
        <v>1</v>
      </c>
      <c r="KR79" s="95">
        <f t="shared" si="416"/>
        <v>0.971640586146134</v>
      </c>
      <c r="KS79" s="95">
        <f>KR79*(VLOOKUP($KP$9,各项系数!$D$1:$F$143,2,0))</f>
        <v>16.5178899644843</v>
      </c>
      <c r="KT79" s="304">
        <f>各项系数!$F$76/4*($NI79^2-$NF79^2)*10^-2*(VLOOKUP($KT$9,各项系数!$D$1:$F$143,3,0))*10^-3*10^2*各项系数!$J$4</f>
        <v>0.973961242940229</v>
      </c>
      <c r="KU79" s="127">
        <v>1</v>
      </c>
      <c r="KV79" s="95">
        <f t="shared" si="417"/>
        <v>0.973961242940229</v>
      </c>
      <c r="KW79" s="95">
        <f>KV79*(VLOOKUP($KT$9,各项系数!$D$1:$F$143,2,0))</f>
        <v>16.5573411299839</v>
      </c>
      <c r="KX79" s="95">
        <f>各项系数!$F$76/4*($NH79^2-$NE79^2)*10^-2*(VLOOKUP($KX$9,各项系数!$D$1:$F$143,3,0))*10^-3*10^2*各项系数!$J$4</f>
        <v>0.971640586146134</v>
      </c>
      <c r="KY79" s="481">
        <v>1</v>
      </c>
      <c r="KZ79" s="95">
        <f t="shared" si="418"/>
        <v>0.971640586146134</v>
      </c>
      <c r="LA79" s="95">
        <f>KZ79*(VLOOKUP($KX$9,各项系数!$D$1:$F$143,2,0))</f>
        <v>16.5178899644843</v>
      </c>
      <c r="LB79" s="95">
        <f>各项系数!$F$76/4*($NI79^2-$NF79^2)*10^-2*(VLOOKUP($LB$9,各项系数!$D$1:$F$143,3,0))*10^-3*10^2*各项系数!$J$4</f>
        <v>0.973961242940229</v>
      </c>
      <c r="LC79" s="481">
        <v>1</v>
      </c>
      <c r="LD79" s="95">
        <f t="shared" si="419"/>
        <v>0.973961242940229</v>
      </c>
      <c r="LE79" s="95">
        <f>LD79*(VLOOKUP($LB$9,各项系数!$D$1:$F$143,2,0))</f>
        <v>16.5573411299839</v>
      </c>
      <c r="LF79" s="304">
        <f>各项系数!$F$76/4*($NH79^2-$NE79^2)*10^-2*(VLOOKUP(AN79,各项系数!$D$1:$F$143,3,0))*10^-3*10^2*各项系数!$J$4</f>
        <v>0.985042525265391</v>
      </c>
      <c r="LG79" s="127">
        <v>1</v>
      </c>
      <c r="LH79" s="95">
        <f t="shared" si="302"/>
        <v>0.985042525265391</v>
      </c>
      <c r="LI79" s="95">
        <f>LH79*(VLOOKUP(AN79,各项系数!$D$1:$F$143,2,0))</f>
        <v>9.85042525265391</v>
      </c>
      <c r="LJ79" s="304">
        <f>各项系数!$F$76/4*($NI79^2-$NF79^2)*10^-2*(VLOOKUP(AN79,各项系数!$D$1:$F$143,3,0))*10^-3*10^2*各项系数!$J$4</f>
        <v>0.987395191118715</v>
      </c>
      <c r="LK79" s="127">
        <v>1</v>
      </c>
      <c r="LL79" s="95">
        <f t="shared" si="303"/>
        <v>0.987395191118715</v>
      </c>
      <c r="LM79" s="95">
        <f>LL79*(VLOOKUP(AN79,各项系数!$D$1:$F$143,2,0))</f>
        <v>9.87395191118715</v>
      </c>
      <c r="LN79" s="95">
        <f>各项系数!$F$76/4*($NH79^2-$NE79^2)*10^-2*(VLOOKUP($LN$9,各项系数!$D$1:$F$143,3,0))*10^-3*10^2*各项系数!$J$4</f>
        <v>0.985042525265391</v>
      </c>
      <c r="LO79" s="481">
        <v>1</v>
      </c>
      <c r="LP79" s="95">
        <f t="shared" si="304"/>
        <v>0.985042525265391</v>
      </c>
      <c r="LQ79" s="95">
        <f>LP79*(VLOOKUP($LN$9,各项系数!$D$1:$F$143,2,0))</f>
        <v>10.8354677779193</v>
      </c>
      <c r="LR79" s="95">
        <f>各项系数!$F$76/4*($NI79^2-$NF79^2)*10^-2*(VLOOKUP($LR$9,各项系数!$D$1:$F$143,3,0))*10^-3*10^2*各项系数!$J$4</f>
        <v>0.987395191118715</v>
      </c>
      <c r="LS79" s="481">
        <v>1</v>
      </c>
      <c r="LT79" s="95">
        <f t="shared" si="305"/>
        <v>0.987395191118715</v>
      </c>
      <c r="LU79" s="95">
        <f>LT79*(VLOOKUP($LR$9,各项系数!$D$1:$F$143,2,0))</f>
        <v>10.8613471023059</v>
      </c>
      <c r="LV79" s="501">
        <f t="shared" si="420"/>
        <v>1528.92361781</v>
      </c>
      <c r="LW79" s="501">
        <f t="shared" si="421"/>
        <v>1151.41161342</v>
      </c>
      <c r="LX79" s="501">
        <f t="shared" si="422"/>
        <v>38.2886771575313</v>
      </c>
      <c r="LY79" s="519">
        <f t="shared" si="423"/>
        <v>377.51200439</v>
      </c>
      <c r="LZ79" s="516">
        <f t="shared" si="365"/>
        <v>1</v>
      </c>
      <c r="MA79" s="517">
        <f t="shared" si="366"/>
        <v>1528.92361781</v>
      </c>
      <c r="MB79" s="501">
        <f t="shared" si="424"/>
        <v>22.06063242</v>
      </c>
      <c r="MC79" s="501">
        <f t="shared" si="425"/>
        <v>0</v>
      </c>
      <c r="MD79" s="501">
        <f t="shared" si="426"/>
        <v>0</v>
      </c>
      <c r="ME79" s="501">
        <f t="shared" si="427"/>
        <v>0</v>
      </c>
      <c r="MF79" s="501">
        <f t="shared" si="428"/>
        <v>0</v>
      </c>
      <c r="MG79" s="527">
        <f t="shared" si="429"/>
        <v>1</v>
      </c>
      <c r="MH79" s="517">
        <f t="shared" si="367"/>
        <v>0</v>
      </c>
      <c r="MI79" s="501">
        <f t="shared" si="430"/>
        <v>0</v>
      </c>
      <c r="MJ79" s="95">
        <f t="shared" si="368"/>
        <v>22.06063242</v>
      </c>
      <c r="MK79" s="95">
        <f t="shared" si="431"/>
        <v>22.06063242</v>
      </c>
      <c r="ML79" s="95">
        <f t="shared" si="306"/>
        <v>0</v>
      </c>
      <c r="MM79" s="95">
        <f t="shared" si="369"/>
        <v>0</v>
      </c>
      <c r="MN79" s="95">
        <f t="shared" si="370"/>
        <v>25.66063242</v>
      </c>
      <c r="MO79" s="251">
        <f t="shared" si="432"/>
        <v>0</v>
      </c>
      <c r="MP79" s="95">
        <f t="shared" si="433"/>
        <v>62.09873046</v>
      </c>
      <c r="MQ79" s="95">
        <f t="shared" si="307"/>
        <v>62.09873046</v>
      </c>
      <c r="MR79" s="314">
        <f t="shared" si="434"/>
        <v>62.09873046</v>
      </c>
      <c r="MS79" s="530">
        <f t="shared" si="371"/>
        <v>62.27473046</v>
      </c>
      <c r="MT79" s="532">
        <f t="shared" si="372"/>
        <v>62.43473046</v>
      </c>
      <c r="MU79" s="532">
        <f t="shared" si="373"/>
        <v>63.77473046</v>
      </c>
      <c r="MV79" s="532">
        <f t="shared" si="374"/>
        <v>68.67473046</v>
      </c>
      <c r="MW79" s="532">
        <f t="shared" si="375"/>
        <v>68.83473046</v>
      </c>
      <c r="MX79" s="314">
        <f t="shared" si="376"/>
        <v>22.66063242</v>
      </c>
      <c r="MY79" s="314">
        <f t="shared" si="377"/>
        <v>0</v>
      </c>
      <c r="MZ79" s="95">
        <f t="shared" si="378"/>
        <v>26.26063242</v>
      </c>
      <c r="NA79" s="95">
        <f t="shared" si="379"/>
        <v>0</v>
      </c>
      <c r="NB79" s="95">
        <f t="shared" si="435"/>
        <v>63.55073046</v>
      </c>
      <c r="NC79" s="314">
        <f t="shared" si="308"/>
        <v>63.55073046</v>
      </c>
      <c r="ND79" s="314">
        <f t="shared" si="436"/>
        <v>63.55073046</v>
      </c>
      <c r="NE79" s="537">
        <f t="shared" si="437"/>
        <v>63.79073046</v>
      </c>
      <c r="NF79" s="532">
        <f t="shared" si="380"/>
        <v>63.95073046</v>
      </c>
      <c r="NG79" s="180">
        <f t="shared" si="381"/>
        <v>65.29073046</v>
      </c>
      <c r="NH79" s="314">
        <f t="shared" si="382"/>
        <v>70.19073046</v>
      </c>
      <c r="NI79" s="532">
        <f t="shared" si="383"/>
        <v>70.35073046</v>
      </c>
      <c r="NK79" s="541">
        <f t="shared" si="384"/>
        <v>13.1052761657321</v>
      </c>
      <c r="NL79" s="541">
        <f t="shared" si="385"/>
        <v>699.761312407687</v>
      </c>
      <c r="NM79" s="541">
        <f t="shared" si="386"/>
        <v>13.1052761657321</v>
      </c>
      <c r="NN79" s="541">
        <f t="shared" si="387"/>
        <v>700.724063423992</v>
      </c>
      <c r="NO79" s="541">
        <f t="shared" si="388"/>
        <v>17.1144043095317</v>
      </c>
      <c r="NP79" s="541">
        <f t="shared" si="389"/>
        <v>705.769706735061</v>
      </c>
      <c r="NQ79" s="541">
        <f t="shared" si="390"/>
        <v>17.1144043095317</v>
      </c>
      <c r="NR79" s="541">
        <f t="shared" si="391"/>
        <v>706.754749260326</v>
      </c>
      <c r="NS79" s="541">
        <f t="shared" si="392"/>
        <v>13.1923753276159</v>
      </c>
      <c r="NT79" s="541">
        <f t="shared" si="393"/>
        <v>13.1923753276159</v>
      </c>
      <c r="NU79" s="541">
        <f t="shared" si="394"/>
        <v>17.2036210706489</v>
      </c>
      <c r="NV79" s="541">
        <f t="shared" si="395"/>
        <v>17.2036210706489</v>
      </c>
      <c r="NW79" s="11">
        <f t="shared" si="396"/>
        <v>14.2607283206639</v>
      </c>
      <c r="NX79" s="11">
        <f>各项系数!$M$9*NK79</f>
        <v>3.93158284971962</v>
      </c>
      <c r="NY79" s="11">
        <f t="shared" si="397"/>
        <v>13.1923753276159</v>
      </c>
    </row>
    <row r="80" s="11" customFormat="1" customHeight="1" spans="1:389">
      <c r="A80" s="81"/>
      <c r="B80" s="82"/>
      <c r="C80" s="83"/>
      <c r="D80" s="74" t="s">
        <v>340</v>
      </c>
      <c r="E80" s="550">
        <f t="shared" si="325"/>
        <v>77.2260634</v>
      </c>
      <c r="F80" s="84">
        <f>$F$32</f>
        <v>277.181191063812</v>
      </c>
      <c r="G80" s="74"/>
      <c r="H80" s="23"/>
      <c r="I80" s="78"/>
      <c r="J80" s="78"/>
      <c r="K80" s="23"/>
      <c r="L80" s="128" t="s">
        <v>467</v>
      </c>
      <c r="M80" s="119">
        <f t="shared" si="339"/>
        <v>2</v>
      </c>
      <c r="N80" s="119">
        <f t="shared" si="340"/>
        <v>0</v>
      </c>
      <c r="O80" s="74">
        <f t="shared" si="438"/>
        <v>0.08</v>
      </c>
      <c r="P80" s="120">
        <v>0.1</v>
      </c>
      <c r="Q80" s="165">
        <f t="shared" si="337"/>
        <v>0.1</v>
      </c>
      <c r="R80" s="182">
        <v>0.8</v>
      </c>
      <c r="S80" s="173" t="str">
        <f>各项系数!$D$43</f>
        <v>钢带</v>
      </c>
      <c r="T80" s="78">
        <v>0.5</v>
      </c>
      <c r="U80" s="78">
        <v>2</v>
      </c>
      <c r="V80" s="172"/>
      <c r="W80" s="174">
        <v>3.5</v>
      </c>
      <c r="X80" s="168">
        <f t="shared" si="338"/>
        <v>0.2</v>
      </c>
      <c r="Y80" s="221"/>
      <c r="Z80" s="222"/>
      <c r="AA80" s="223">
        <f>$AA$32</f>
        <v>1.02</v>
      </c>
      <c r="AB80" s="186">
        <f>PI()*EJ80*EJ80/4*EH80*(1-H80)*AA80*各项系数!$F$5*各项系数!$J$4*10^-7</f>
        <v>3.32102575101844</v>
      </c>
      <c r="AC80" s="224">
        <f t="shared" si="327"/>
        <v>277.181191063812</v>
      </c>
      <c r="AD80" s="186">
        <f t="shared" si="341"/>
        <v>375.445930554736</v>
      </c>
      <c r="AE80" s="186">
        <f>POWER(4*EU80/PI()/EG80/10^-7/EH80/(1-H80)/各项系数!$F$5/各项系数!$J$4,0.5)</f>
        <v>279.939280797005</v>
      </c>
      <c r="AF80" s="225">
        <v>1</v>
      </c>
      <c r="AG80" s="23">
        <f>IF(EM80=0,0,PI()*ER80*ER80/4*EP80*(1-K80)*(1+AF80)*各项系数!$F$5*各项系数!$J$4*10^-7)</f>
        <v>0</v>
      </c>
      <c r="AH80" s="23">
        <f t="shared" si="328"/>
        <v>0</v>
      </c>
      <c r="AI80" s="85">
        <f t="shared" si="398"/>
        <v>0</v>
      </c>
      <c r="AJ80" s="85">
        <f>IF(OR(EP80="",EP80=0),0,POWER(4*EW80/PI()/EO80/10^-7/EP80/(1-K80)/各项系数!$F$5/各项系数!$J$4,0.5))</f>
        <v>0</v>
      </c>
      <c r="AK80" s="23" t="str">
        <f t="shared" si="342"/>
        <v>√</v>
      </c>
      <c r="AL80" s="23">
        <f t="shared" si="329"/>
        <v>921.77838178085</v>
      </c>
      <c r="AM80" s="127">
        <f t="shared" si="330"/>
        <v>400</v>
      </c>
      <c r="AN80" s="128" t="s">
        <v>486</v>
      </c>
      <c r="AO80" s="176">
        <f>AP80+各项系数!$M$9*$NK80</f>
        <v>903.704295863578</v>
      </c>
      <c r="AP80" s="176">
        <f>AQ80*(1+$BI80+(VLOOKUP($AM80,$A$12:$B$323,2,0))+各项系数!$J$6+各项系数!$M$5)*(1+$E$2)</f>
        <v>898.697655098709</v>
      </c>
      <c r="AQ80" s="262">
        <f>AR80+各项系数!$L$9*$NK80</f>
        <v>917.038423570112</v>
      </c>
      <c r="AR80" s="262">
        <f>AS80*(1+$BJ80+各项系数!$J$5+各项系数!$L$5)</f>
        <v>912.031782805243</v>
      </c>
      <c r="AS80" s="262">
        <f t="shared" si="399"/>
        <v>894.148806671807</v>
      </c>
      <c r="AT80" s="176">
        <f>AU80+各项系数!$M$9*$NM80</f>
        <v>911.726826262142</v>
      </c>
      <c r="AU80" s="176">
        <f>AV80*(1+$BI80+(VLOOKUP($AM80,$A$12:$B$323,2,0))+各项系数!$J$6+各项系数!$M$5)*(1+$E$2)</f>
        <v>906.720185497273</v>
      </c>
      <c r="AV80" s="262">
        <f>AW80+各项系数!$L$9*$NM80</f>
        <v>925.22467907885</v>
      </c>
      <c r="AW80" s="262">
        <f>AX80*(1+$BJ80+各项系数!$J$5+各项系数!$L$5)</f>
        <v>920.218038313981</v>
      </c>
      <c r="AX80" s="262">
        <f t="shared" si="400"/>
        <v>902.174547366648</v>
      </c>
      <c r="AY80" s="176">
        <f>AZ80+各项系数!$M$9*$NS80</f>
        <v>910.414595326561</v>
      </c>
      <c r="AZ80" s="176">
        <f>BA80*(1+$BI80+(VLOOKUP($AM80,$A$12:$B$214,2,0))+各项系数!$J$6+各项系数!$M$5)*(1+$E$2)</f>
        <v>905.378492807216</v>
      </c>
      <c r="BA80" s="262">
        <f>BB80+各项系数!$L$9*$NS80</f>
        <v>923.855604905323</v>
      </c>
      <c r="BB80" s="262">
        <f>BC80*(1+$BJ80+各项系数!$J$5+各项系数!$L$5)</f>
        <v>918.819502385978</v>
      </c>
      <c r="BC80" s="262">
        <f t="shared" si="401"/>
        <v>900.803433711743</v>
      </c>
      <c r="BD80" s="176">
        <f>BE80+各项系数!$M$9*$NS80</f>
        <v>918.454536187647</v>
      </c>
      <c r="BE80" s="176">
        <f>BF80*(1+$BI80+(VLOOKUP($AM80,$A$12:$B$214,2,0))+各项系数!$J$6+各项系数!$M$5)*(1+$E$2)</f>
        <v>913.418433668302</v>
      </c>
      <c r="BF80" s="262">
        <f>BG80+各项系数!$L$9*$NS80</f>
        <v>932.059626192145</v>
      </c>
      <c r="BG80" s="262">
        <f>BH80*(1+$BJ80+各项系数!$J$5+各项系数!$L$5)</f>
        <v>927.0235236728</v>
      </c>
      <c r="BH80" s="262">
        <f t="shared" si="402"/>
        <v>908.846591836078</v>
      </c>
      <c r="BI80" s="278"/>
      <c r="BJ80" s="279"/>
      <c r="BK80" s="95" t="s">
        <v>514</v>
      </c>
      <c r="BL80" s="176">
        <f>BM80+各项系数!$M$9*$NM80</f>
        <v>913.663812310303</v>
      </c>
      <c r="BM80" s="176">
        <f>BN80*(1+$CF80+(VLOOKUP($AM80,$A$12:$B$323,2,0))+各项系数!$J$6+各项系数!$M$5)*(1+$E$2)</f>
        <v>908.657171545434</v>
      </c>
      <c r="BN80" s="262">
        <f>BO80+各项系数!$L$9*$NM80</f>
        <v>927.201195454524</v>
      </c>
      <c r="BO80" s="262">
        <f>BP80*(1+$CG80+各项系数!$J$5+各项系数!$L$5)</f>
        <v>922.194554689655</v>
      </c>
      <c r="BP80" s="262">
        <f t="shared" si="403"/>
        <v>895.33451911617</v>
      </c>
      <c r="BQ80" s="176">
        <f>BR80+各项系数!$M$9*$NM80</f>
        <v>920.568136826335</v>
      </c>
      <c r="BR80" s="176">
        <f>BS80*(1+$CF80+(VLOOKUP($AM80,$A$12:$B$323,2,0))+各项系数!$J$6+各项系数!$M$5)*(1+$E$2)</f>
        <v>915.561496061466</v>
      </c>
      <c r="BS80" s="262">
        <f>BT80+各项系数!$L$9*$NM80</f>
        <v>934.246424552516</v>
      </c>
      <c r="BT80" s="262">
        <f>BU80*(1+$CG80+各项系数!$J$5+各项系数!$L$5)</f>
        <v>929.239783787647</v>
      </c>
      <c r="BU80" s="262">
        <f t="shared" si="404"/>
        <v>902.174547366648</v>
      </c>
      <c r="BV80" s="176">
        <f>BW80+各项系数!$M$9*$NT80</f>
        <v>915.514642201033</v>
      </c>
      <c r="BW80" s="176">
        <f>BX80*(1+$CF80+(VLOOKUP($AM80,$A$12:$B$214,2,0))+各项系数!$J$6+各项系数!$M$5)*(1+$E$2)</f>
        <v>910.478539681688</v>
      </c>
      <c r="BX80" s="262">
        <f>BY80+各项系数!$L$9*$NT$12</f>
        <v>929.05973436907</v>
      </c>
      <c r="BY80" s="262">
        <f>BZ80*(1+$CG80+各项系数!$J$5+各项系数!$L$5)</f>
        <v>929.051470965915</v>
      </c>
      <c r="BZ80" s="262">
        <f t="shared" si="343"/>
        <v>901.991719384383</v>
      </c>
      <c r="CA80" s="176">
        <f>CB80+各项系数!$M$9*$NT80</f>
        <v>922.433950453774</v>
      </c>
      <c r="CB80" s="176">
        <f>CC80*(1+$CF80+(VLOOKUP($AM80,$A$12:$B$214,2,0))+各项系数!$J$6+各项系数!$M$5)*(1+$E$2)</f>
        <v>917.397847934429</v>
      </c>
      <c r="CC80" s="262">
        <f>CD80+各项系数!$L$9*$NT$12</f>
        <v>936.120252994316</v>
      </c>
      <c r="CD80" s="262">
        <f>CE80*(1+$CG80+各项系数!$J$5+各项系数!$L$5)</f>
        <v>936.111989591161</v>
      </c>
      <c r="CE80" s="262">
        <f t="shared" si="405"/>
        <v>908.846591836078</v>
      </c>
      <c r="CF80" s="278">
        <f t="shared" si="406"/>
        <v>0</v>
      </c>
      <c r="CG80" s="278">
        <f t="shared" si="344"/>
        <v>0.01</v>
      </c>
      <c r="CH80" s="127"/>
      <c r="CI80" s="176">
        <f>CJ80+各项系数!$M$9*$NO80</f>
        <v>918.806161270243</v>
      </c>
      <c r="CJ80" s="176">
        <f>CK80*(1+$DC80+(VLOOKUP($AM80,$A$12:$B$323,2,0))+各项系数!$J$6+各项系数!$M$5)*(1+$E$2)+各项系数!$M$9*$NK80</f>
        <v>912.285860083391</v>
      </c>
      <c r="CK80" s="262">
        <f>CL80+各项系数!$L$9*$NO80</f>
        <v>925.795121753594</v>
      </c>
      <c r="CL80" s="262">
        <f>CM80*(1+$DD80+各项系数!$J$5+各项系数!$L$5)</f>
        <v>919.274820566741</v>
      </c>
      <c r="CM80" s="262">
        <f t="shared" si="345"/>
        <v>901.249824085041</v>
      </c>
      <c r="CN80" s="176">
        <f>CO80+各项系数!$M$9*$NO80</f>
        <v>926.584975814905</v>
      </c>
      <c r="CO80" s="176">
        <f>CP80*(1+$DC80+(VLOOKUP($AM80,$A$12:$B$323,2,0))+各项系数!$J$6+各项系数!$M$5)*(1+$E$2)+各项系数!$M$9*$NK80</f>
        <v>920.064674628053</v>
      </c>
      <c r="CP80" s="262">
        <f>CQ80+各项系数!$L$9*$NO80</f>
        <v>933.732687615494</v>
      </c>
      <c r="CQ80" s="262">
        <f>CR80*(1+$DD80+各项系数!$J$5+各项系数!$L$5)</f>
        <v>927.212386428642</v>
      </c>
      <c r="CR80" s="262">
        <f t="shared" si="346"/>
        <v>909.031751400629</v>
      </c>
      <c r="CS80" s="176">
        <f>CT80+各项系数!$M$9*$NU80</f>
        <v>920.653958595371</v>
      </c>
      <c r="CT80" s="176">
        <f t="shared" si="347"/>
        <v>914.103560374273</v>
      </c>
      <c r="CU80" s="262">
        <f>CV80+各项系数!$L$9*$NU80</f>
        <v>932.758735075789</v>
      </c>
      <c r="CV80" s="262">
        <f>CW80*(1+$DD80+各项系数!$J$5+各项系数!$L$5)</f>
        <v>926.208336854691</v>
      </c>
      <c r="CW80" s="262">
        <f t="shared" si="348"/>
        <v>908.047389073226</v>
      </c>
      <c r="CX80" s="176">
        <f>CY80+各项系数!$M$9*$NU80</f>
        <v>928.85886358886</v>
      </c>
      <c r="CY80" s="176">
        <f t="shared" si="349"/>
        <v>922.308465367761</v>
      </c>
      <c r="CZ80" s="262">
        <f>DA80+各项系数!$L$9*$NU80</f>
        <v>941.13108710996</v>
      </c>
      <c r="DA80" s="262">
        <f>DB80*(1+$DD80+各项系数!$J$5+各项系数!$L$5)</f>
        <v>934.580688888862</v>
      </c>
      <c r="DB80" s="262">
        <f t="shared" si="350"/>
        <v>916.255577342022</v>
      </c>
      <c r="DC80" s="278">
        <f t="shared" si="407"/>
        <v>0</v>
      </c>
      <c r="DD80" s="278">
        <f t="shared" si="351"/>
        <v>0</v>
      </c>
      <c r="DE80" s="95" t="s">
        <v>498</v>
      </c>
      <c r="DF80" s="95" t="s">
        <v>513</v>
      </c>
      <c r="DG80" s="176">
        <f>DH80+各项系数!$M$9*$NQ80</f>
        <v>928.859878210118</v>
      </c>
      <c r="DH80" s="176">
        <f>DI80*(1+$EA80+(VLOOKUP($AM80,$A$12:$B$323,2,0))+各项系数!$J$6+各项系数!$M$5)*(1+$E$2)+各项系数!$M$9*$NK80</f>
        <v>922.339577023266</v>
      </c>
      <c r="DI80" s="262">
        <f>DJ80+各项系数!$L$9*$NQ80</f>
        <v>936.054016590201</v>
      </c>
      <c r="DJ80" s="262">
        <f>DK80*(1+$EB80+各项系数!$J$5+各项系数!$L$5)</f>
        <v>929.533715403349</v>
      </c>
      <c r="DK80" s="262">
        <f t="shared" si="352"/>
        <v>902.459917867329</v>
      </c>
      <c r="DL80" s="176">
        <f>DM80+各项系数!$M$9*$NQ80</f>
        <v>935.906173631467</v>
      </c>
      <c r="DM80" s="176">
        <f>DN80*(1+$EA80+(VLOOKUP($AM80,$A$12:$B$323,2,0))+各项系数!$J$6+各项系数!$M$5)*(1+$E$2)+各项系数!$M$9*$NK80</f>
        <v>929.385872444615</v>
      </c>
      <c r="DN80" s="262">
        <f>DO80+各项系数!$L$9*$NQ80</f>
        <v>943.244113958924</v>
      </c>
      <c r="DO80" s="262">
        <f>DP80*(1+$EB80+各项系数!$J$5+各项系数!$L$5)</f>
        <v>936.723812772072</v>
      </c>
      <c r="DP80" s="262">
        <f t="shared" si="353"/>
        <v>909.440594924342</v>
      </c>
      <c r="DQ80" s="176">
        <f>DR80+各项系数!$M$9*$NV80</f>
        <v>930.776889088754</v>
      </c>
      <c r="DR80" s="176">
        <f t="shared" si="354"/>
        <v>924.226490867656</v>
      </c>
      <c r="DS80" s="262">
        <f>DT80+各项系数!$L$9*$NV80</f>
        <v>943.088255987404</v>
      </c>
      <c r="DT80" s="262">
        <f>DU80*(1+$EB80+各项系数!$J$5+各项系数!$L$5)</f>
        <v>936.537857766305</v>
      </c>
      <c r="DU80" s="262">
        <f t="shared" si="355"/>
        <v>909.260056083792</v>
      </c>
      <c r="DV80" s="176">
        <f>DW80+各项系数!$M$9*$NV80</f>
        <v>930.036589723013</v>
      </c>
      <c r="DW80" s="176">
        <f t="shared" si="356"/>
        <v>923.486191501915</v>
      </c>
      <c r="DX80" s="262">
        <f>DY80+各项系数!$L$9*$NV80</f>
        <v>942.332848471341</v>
      </c>
      <c r="DY80" s="262">
        <f>DZ80*(1+$EB80+各项系数!$J$5+各项系数!$L$5)</f>
        <v>935.782450250243</v>
      </c>
      <c r="DZ80" s="262">
        <f t="shared" si="357"/>
        <v>908.526650728391</v>
      </c>
      <c r="EA80" s="278">
        <f t="shared" si="324"/>
        <v>0</v>
      </c>
      <c r="EB80" s="278">
        <f t="shared" si="358"/>
        <v>0.01</v>
      </c>
      <c r="EC80" s="302">
        <f t="shared" si="408"/>
        <v>4</v>
      </c>
      <c r="ED80" s="304" t="str">
        <f t="shared" si="331"/>
        <v>4*400</v>
      </c>
      <c r="EE80" s="95">
        <f t="shared" si="239"/>
        <v>400</v>
      </c>
      <c r="EF80" s="95" t="str">
        <f>LOOKUP(EH80,{1,7,10,14,19,24,30,37,48,61},{1,"1+6","2+8","4+10","1+6+12","2+8+14","4+10+16","1+6+12+18","3+9+15+21","1+6+12+18+24"})</f>
        <v>1+6+12+18+24</v>
      </c>
      <c r="EG80" s="127">
        <f t="shared" si="359"/>
        <v>4</v>
      </c>
      <c r="EH80" s="262">
        <f>VLOOKUP(EE80,各项系数!$B$87:$C$124,2,0)</f>
        <v>61</v>
      </c>
      <c r="EI80" s="127">
        <f>IF(EH80=0,0,VLOOKUP(EH80,各项系数!$D$142:$E$195,2,0))*1</f>
        <v>9</v>
      </c>
      <c r="EJ80" s="307">
        <f t="shared" si="409"/>
        <v>277.181191063812</v>
      </c>
      <c r="EK80" s="95">
        <f t="shared" si="332"/>
        <v>0</v>
      </c>
      <c r="EL80" s="95">
        <f t="shared" si="360"/>
        <v>0</v>
      </c>
      <c r="EM80" s="95">
        <f t="shared" si="333"/>
        <v>0</v>
      </c>
      <c r="EN80" s="95">
        <f>IF(EP80=0,0,LOOKUP(EP80,{1,7,10,14,19,24,30,37,48,61},{1,"1+6","2+8","4+10","1+6+12","2+8+14","4+10+16","1+6+12+18","3+9+15+21","1+6+12+18+24"}))</f>
        <v>0</v>
      </c>
      <c r="EO80" s="95">
        <f t="shared" si="334"/>
        <v>0</v>
      </c>
      <c r="EP80" s="95">
        <f>IF(EM80=0,0,IF(EM80&lt;10,1,IF(AND(EM80&gt;=10,EM80&lt;=35),7,LOOKUP(EM80,{50,70,95,120,150,185,240,300},{10,14,19,24,30,37,48,61})*1)))</f>
        <v>0</v>
      </c>
      <c r="EQ80" s="95">
        <f>IF(EP80=0,0,VLOOKUP(EP80,各项系数!$D$142:$E$195,2,0))*1</f>
        <v>0</v>
      </c>
      <c r="ER80" s="95">
        <f t="shared" si="335"/>
        <v>0</v>
      </c>
      <c r="ES80" s="304">
        <f t="shared" si="336"/>
        <v>4</v>
      </c>
      <c r="ET80" s="95">
        <f>VLOOKUP(ES80,各项系数!$D$142:$E$195,2,0)*1</f>
        <v>2.42</v>
      </c>
      <c r="EU80" s="311">
        <f>((各项系数!$F$76/4*$EJ80^2*$EG80*$EH80*1*10^-7)*(1-$H80)*AA80)*(VLOOKUP($EY$9,各项系数!$D$4:$F$143,3,0))*各项系数!$J$4</f>
        <v>13.2841030040738</v>
      </c>
      <c r="EV80" s="312">
        <f>EU80*(VLOOKUP($EY$9,各项系数!$D$4:$F$143,2,0))</f>
        <v>870.108746766832</v>
      </c>
      <c r="EW80" s="324">
        <f>(IF($EO80=0,0,(各项系数!$F$76/4*$ER80^2*$EO80*$EP80*1*10^-7))*(1-$K80)*$AF80)*(VLOOKUP($EY$9,各项系数!$D$4:$F$143,3,0))*各项系数!$J$4</f>
        <v>0</v>
      </c>
      <c r="EX80" s="325">
        <f>EW80*(VLOOKUP($EY$9,各项系数!$D$4:$F$143,2,0))</f>
        <v>0</v>
      </c>
      <c r="EY80" s="251">
        <f>((各项系数!$F$76/4*$EJ80^2*$EG80*$EH80*1*10^-7)*(1-$H80)*AA80+IF($EO80=0,0,(各项系数!$F$76/4*$ER80^2*$EO80*$EP80*1*10^-7))*(1-$K80)*$AF80)*(VLOOKUP($EY$9,各项系数!$D$4:$F$143,3,0))*各项系数!$J$4</f>
        <v>13.2841030040738</v>
      </c>
      <c r="EZ80" s="127">
        <v>1</v>
      </c>
      <c r="FA80" s="95">
        <f t="shared" si="268"/>
        <v>13.2841030040738</v>
      </c>
      <c r="FB80" s="314">
        <f>FA80*(VLOOKUP($EY$9,各项系数!$D$4:$F$143,2,0))</f>
        <v>870.108746766832</v>
      </c>
      <c r="FC80" s="329"/>
      <c r="FD80" s="304">
        <f>各项系数!$F$76/4*($MN80^2-MK80^2)*10^-2*(VLOOKUP(L80,各项系数!$D$1:$F$143,3,0))*10^-3*10^2*$EG80*各项系数!$J$4</f>
        <v>0.741233232132187</v>
      </c>
      <c r="FE80" s="341">
        <f>FD80*VLOOKUP(L80,各项系数!$D$1:$F$143,2,0)</f>
        <v>7.56057896774831</v>
      </c>
      <c r="FF80" s="127">
        <f>各项系数!$F$76/4*($MO80^2-ML80^2)*10^-2*(VLOOKUP(L80,各项系数!$D$1:$F$143,3,0))*10^-3*10^2*$EO80*各项系数!$J$4</f>
        <v>0</v>
      </c>
      <c r="FG80" s="341">
        <f>FF80*VLOOKUP(L80,各项系数!$D$1:$F$143,2,0)</f>
        <v>0</v>
      </c>
      <c r="FH80" s="304">
        <f t="shared" si="410"/>
        <v>0.741233232132187</v>
      </c>
      <c r="FI80" s="127">
        <v>1</v>
      </c>
      <c r="FJ80" s="95">
        <f t="shared" si="269"/>
        <v>0.741233232132187</v>
      </c>
      <c r="FK80" s="341">
        <f>FJ80*VLOOKUP(L80,各项系数!$D$1:$F$143,2,0)</f>
        <v>7.56057896774831</v>
      </c>
      <c r="FL80" s="304"/>
      <c r="FM80" s="127"/>
      <c r="FN80" s="95"/>
      <c r="FO80" s="341"/>
      <c r="FP80" s="371">
        <f t="shared" si="270"/>
        <v>0.741233232132187</v>
      </c>
      <c r="FQ80" s="371">
        <f t="shared" si="271"/>
        <v>7.56057896774831</v>
      </c>
      <c r="FR80" s="365">
        <f>各项系数!$F$76/4*($MQ80^2-$MN80^2*$EG80-$MO80^2*$EO80)*10^-2</f>
        <v>12.2165274321273</v>
      </c>
      <c r="FS80" s="366">
        <f t="shared" si="411"/>
        <v>1</v>
      </c>
      <c r="FT80" s="367">
        <f t="shared" si="361"/>
        <v>12.2165274321273</v>
      </c>
      <c r="FU80" s="395">
        <f>$FT80*(VLOOKUP($FT$9,各项系数!$D$1:$F$143,3,0))*10^-3*10^2*各项系数!$J$55</f>
        <v>1.458653375396</v>
      </c>
      <c r="FV80" s="396">
        <v>1</v>
      </c>
      <c r="FW80" s="397">
        <f t="shared" si="272"/>
        <v>1.458653375396</v>
      </c>
      <c r="FX80" s="372">
        <f>FW80*(VLOOKUP($FT$9,各项系数!$D$1:$F$143,2,0))</f>
        <v>4.375960126188</v>
      </c>
      <c r="FY80" s="395">
        <f>IF($BK80&lt;&gt;$FY$9,0,各项系数!$F$76/4*($MS80^2-$MQ80^2)*10^-2*(VLOOKUP($FY$9,各项系数!$D$1:$F$143,3,0))*10^-3*10^2)*各项系数!$J$4</f>
        <v>0</v>
      </c>
      <c r="FZ80" s="396">
        <v>1</v>
      </c>
      <c r="GA80" s="397">
        <f t="shared" si="273"/>
        <v>0</v>
      </c>
      <c r="GB80" s="372">
        <f>GA80*(VLOOKUP($FY$9,各项系数!$D$1:$F$143,2,0))</f>
        <v>0</v>
      </c>
      <c r="GC80" s="395">
        <f>IF($BK80&lt;&gt;$GC$9,0,各项系数!$F$76/4*($MS80^2-$MQ80^2)*10^-2*(VLOOKUP($GC$9,各项系数!$D$1:$F$143,3,0))*10^-3*10^2)*各项系数!$J$4</f>
        <v>0.019100493597238</v>
      </c>
      <c r="GD80" s="396">
        <v>1</v>
      </c>
      <c r="GE80" s="397">
        <f t="shared" si="274"/>
        <v>0.019100493597238</v>
      </c>
      <c r="GF80" s="372">
        <f>GE80*(VLOOKUP($GC$9,各项系数!$D$1:$F$143,2,0))</f>
        <v>0.24639636740437</v>
      </c>
      <c r="GG80" s="395">
        <f>IF($BK80&lt;&gt;$GG$9,0,各项系数!$F$76/4*($MS80^2-$MQ80^2)*10^-2*(VLOOKUP($GG$9,各项系数!$D$1:$F$143,3,0))*10^-3*10^2)*各项系数!$J$4</f>
        <v>0</v>
      </c>
      <c r="GH80" s="396">
        <v>1</v>
      </c>
      <c r="GI80" s="397">
        <f t="shared" si="275"/>
        <v>0</v>
      </c>
      <c r="GJ80" s="372">
        <f>GI80*(VLOOKUP($GG$9,各项系数!$D$1:$F$143,2,0))</f>
        <v>0</v>
      </c>
      <c r="GK80" s="395">
        <f>IF($BK80&lt;&gt;$GK$9,0,各项系数!$F$76/4*($MS80^2-$MQ80^2)*10^-2*(VLOOKUP($GK$9,各项系数!$D$1:$F$143,3,0))*10^-3*10^2)*各项系数!$J$4</f>
        <v>0</v>
      </c>
      <c r="GL80" s="396">
        <v>1</v>
      </c>
      <c r="GM80" s="397">
        <f t="shared" si="276"/>
        <v>0</v>
      </c>
      <c r="GN80" s="372">
        <f>GM80*(VLOOKUP($GK$9,各项系数!$D$1:$F$143,2,0))</f>
        <v>0</v>
      </c>
      <c r="GO80" s="397">
        <f t="shared" si="277"/>
        <v>0.019100493597238</v>
      </c>
      <c r="GP80" s="397">
        <f t="shared" si="278"/>
        <v>0.24639636740437</v>
      </c>
      <c r="GQ80" s="408">
        <f>各项系数!$F$76/4*($MU80^2-$MS80^2)*10^-2*(VLOOKUP($S80,各项系数!$D$1:$F$143,3,0))*10^-3*10^2*各项系数!$J$4</f>
        <v>1.30122643612345</v>
      </c>
      <c r="GR80" s="396">
        <v>1</v>
      </c>
      <c r="GS80" s="397">
        <f t="shared" si="279"/>
        <v>1.30122643612345</v>
      </c>
      <c r="GT80" s="397">
        <f t="shared" si="200"/>
        <v>0</v>
      </c>
      <c r="GU80" s="397">
        <f>ROUND($GS80*(VLOOKUP($S80,各项系数!$D$1:$F$143,2,0))+$E$3*GS80,GT80)</f>
        <v>8</v>
      </c>
      <c r="GV80" s="406">
        <f>各项系数!$F$76/4*($MT80^2-$MS80^2)*10^-2*(VLOOKUP($GV$9,各项系数!$D$1:$F$143,3,0))*10^-3*10^2*各项系数!$J$4*PI()/4*R80</f>
        <v>0.0982058482542997</v>
      </c>
      <c r="GW80" s="396">
        <v>1</v>
      </c>
      <c r="GX80" s="397">
        <f t="shared" si="280"/>
        <v>0.0982058482542997</v>
      </c>
      <c r="GY80" s="397">
        <f>$GX80*(VLOOKUP($GV$9,各项系数!$D$1:$F$143,2,0))</f>
        <v>6.62889475716523</v>
      </c>
      <c r="GZ80" s="408">
        <f>各项系数!$F$76/4*($MV80^2-$MS80^2)*10^-2*(VLOOKUP($GZ$9,各项系数!$D$1:$F$143,3,0))*10^-3*10^2*各项系数!$J$4</f>
        <v>1.16958030226327</v>
      </c>
      <c r="HA80" s="396">
        <v>1</v>
      </c>
      <c r="HB80" s="397">
        <f t="shared" si="412"/>
        <v>1.16958030226327</v>
      </c>
      <c r="HC80" s="397">
        <f>HB80*(VLOOKUP($GZ$9,各项系数!$D$1:$F$143,2,0))</f>
        <v>19.8828651384756</v>
      </c>
      <c r="HD80" s="408">
        <f>各项系数!$F$76/4*($MW80^2-$MT80^2)*10^-2*(VLOOKUP($HD$9,各项系数!$D$1:$F$143,3,0))*10^-3*10^2*各项系数!$J$4</f>
        <v>1.17211852063181</v>
      </c>
      <c r="HE80" s="396">
        <v>1</v>
      </c>
      <c r="HF80" s="397">
        <f t="shared" si="413"/>
        <v>1.17211852063181</v>
      </c>
      <c r="HG80" s="397">
        <f>HF80*(VLOOKUP($HD$9,各项系数!$D$1:$F$143,2,0))</f>
        <v>19.9260148507408</v>
      </c>
      <c r="HH80" s="408">
        <f>各项系数!$F$76/4*($MV80^2-$MS80^2)*10^-2*(VLOOKUP($HH$9,各项系数!$D$1:$F$143,3,0))*10^-3*10^2*各项系数!$J$4</f>
        <v>1.16958030226327</v>
      </c>
      <c r="HI80" s="397">
        <v>1</v>
      </c>
      <c r="HJ80" s="397">
        <f t="shared" si="414"/>
        <v>1.16958030226327</v>
      </c>
      <c r="HK80" s="397">
        <f>HJ80*(VLOOKUP($HH$9,各项系数!$D$1:$F$143,2,0))</f>
        <v>19.8828651384756</v>
      </c>
      <c r="HL80" s="408">
        <f>各项系数!$F$76/4*($MW80^2-$MT80^2)*10^-2*(VLOOKUP($HL$9,各项系数!$D$1:$F$143,3,0))*10^-3*10^2*各项系数!$J$4</f>
        <v>1.17211852063181</v>
      </c>
      <c r="HM80" s="397">
        <v>1</v>
      </c>
      <c r="HN80" s="397">
        <f t="shared" si="362"/>
        <v>1.17211852063181</v>
      </c>
      <c r="HO80" s="397">
        <f>HN80*(VLOOKUP($HL$9,各项系数!$D$1:$F$143,2,0))</f>
        <v>19.9260148507408</v>
      </c>
      <c r="HP80" s="408">
        <f>各项系数!$F$76/4*($MV80^2-$MS80^2)*10^-2*(VLOOKUP(AN80,各项系数!$D$1:$F$143,3,0))*10^-3*10^2*各项系数!$J$4</f>
        <v>1.18571244436345</v>
      </c>
      <c r="HQ80" s="396">
        <v>1</v>
      </c>
      <c r="HR80" s="397">
        <f t="shared" si="281"/>
        <v>1.18571244436345</v>
      </c>
      <c r="HS80" s="397">
        <f>HR80*(VLOOKUP(AN80,各项系数!$D$1:$F$143,2,0))</f>
        <v>11.8571244436345</v>
      </c>
      <c r="HT80" s="408">
        <f>各项系数!$F$76/4*($MW80^2-$MT80^2)*10^-2*(VLOOKUP(AN80,各项系数!$D$1:$F$143,3,0))*10^-3*10^2*各项系数!$J$4</f>
        <v>1.18828567264052</v>
      </c>
      <c r="HU80" s="396">
        <v>1</v>
      </c>
      <c r="HV80" s="397">
        <f t="shared" si="282"/>
        <v>1.18828567264052</v>
      </c>
      <c r="HW80" s="397">
        <f>HV80*(VLOOKUP(AN80,各项系数!$D$1:$F$143,2,0))</f>
        <v>11.8828567264052</v>
      </c>
      <c r="HX80" s="408">
        <f>各项系数!$F$76/4*($MV80^2-$MS80^2)*10^-2*(VLOOKUP($HX$9,各项系数!$D$1:$F$143,3,0))*10^-3*10^2*各项系数!$J$4</f>
        <v>1.18571244436345</v>
      </c>
      <c r="HY80" s="397">
        <v>1</v>
      </c>
      <c r="HZ80" s="397">
        <f t="shared" si="283"/>
        <v>1.18571244436345</v>
      </c>
      <c r="IA80" s="397">
        <f>HZ80*(VLOOKUP($HX$9,各项系数!$D$1:$F$143,2,0))</f>
        <v>13.042836887998</v>
      </c>
      <c r="IB80" s="408">
        <f>各项系数!$F$76/4*($MW80^2-$MT80^2)*10^-2*(VLOOKUP($IB$9,各项系数!$D$1:$F$143,3,0))*10^-3*10^2*各项系数!$J$4</f>
        <v>1.18828567264052</v>
      </c>
      <c r="IC80" s="397">
        <v>1</v>
      </c>
      <c r="ID80" s="397">
        <f t="shared" si="284"/>
        <v>1.18828567264052</v>
      </c>
      <c r="IE80" s="397">
        <f>ID80*(VLOOKUP($IB$9,各项系数!$D$1:$F$143,2,0))</f>
        <v>13.0711423990458</v>
      </c>
      <c r="IF80" s="395"/>
      <c r="IG80" s="408">
        <f t="shared" si="415"/>
        <v>0.14205068123829</v>
      </c>
      <c r="IH80" s="396">
        <v>1</v>
      </c>
      <c r="II80" s="397">
        <f t="shared" si="285"/>
        <v>0.14205068123829</v>
      </c>
      <c r="IJ80" s="397">
        <f>II80*(VLOOKUP($IG$8,各项系数!$D$1:$F$143,2,0))</f>
        <v>3.55126703095725</v>
      </c>
      <c r="IK80" s="408">
        <f>(各项系数!$F$76/4*($MX80^2-$MK80^2)*$EG80)*10^-2*(VLOOKUP($IG$8,各项系数!$D$1:$F$143,3,0))*10^-3*10^2*各项系数!$J$4</f>
        <v>0.14205068123829</v>
      </c>
      <c r="IL80" s="396">
        <f>IK80*(VLOOKUP($IG$8,各项系数!$D$1:$F$143,2,0))</f>
        <v>3.55126703095725</v>
      </c>
      <c r="IM80" s="397">
        <f>(各项系数!$F$76/4*(($MM80+3*$X80)^2-MM80^2)*$EO80)*10^-2*(VLOOKUP($IG$8,各项系数!$D$1:$F$143,3,0))*10^-3*10^2*各项系数!$J$4</f>
        <v>0</v>
      </c>
      <c r="IN80" s="396">
        <f>IM80*(VLOOKUP($IG$8,各项系数!$D$1:$F$143,2,0))</f>
        <v>0</v>
      </c>
      <c r="IO80" s="408">
        <f>各项系数!$F$76/4*($MZ80^2-$MX80^2)*10^-2*(VLOOKUP(L80,各项系数!$D$1:$F$143,3,0))*10^-3*10^2*$ES80*各项系数!$J$4</f>
        <v>0.757737903297086</v>
      </c>
      <c r="IP80" s="396">
        <v>1</v>
      </c>
      <c r="IQ80" s="397">
        <f t="shared" si="286"/>
        <v>0.757737903297086</v>
      </c>
      <c r="IR80" s="372">
        <f>IQ80*(VLOOKUP(L80,各项系数!$D$1:$F$143,2,0))</f>
        <v>7.72892661363028</v>
      </c>
      <c r="IS80" s="408">
        <f>IF($L80&lt;&gt;$IS$9,0,各项系数!$F$76/4*($MZ80^2-$MX80^2)*10^-2*各项系数!$F$12*10^-3*10^2)*$ES80*各项系数!$J$4</f>
        <v>0</v>
      </c>
      <c r="IT80" s="396">
        <v>1</v>
      </c>
      <c r="IU80" s="397">
        <f t="shared" si="287"/>
        <v>0</v>
      </c>
      <c r="IV80" s="372">
        <f>IU80*各项系数!$E$12</f>
        <v>0</v>
      </c>
      <c r="IW80" s="395">
        <f t="shared" si="288"/>
        <v>0.757737903297086</v>
      </c>
      <c r="IX80" s="395">
        <f t="shared" si="289"/>
        <v>7.72892661363028</v>
      </c>
      <c r="IY80" s="447">
        <f>各项系数!$F$76/4*($NB80^2-$MZ80^2*$EG80-$NA80^2*$EO80)*10^-2</f>
        <v>12.7282254379817</v>
      </c>
      <c r="IZ80" s="366">
        <f t="shared" si="231"/>
        <v>1</v>
      </c>
      <c r="JA80" s="367">
        <f t="shared" si="363"/>
        <v>12.7282254379817</v>
      </c>
      <c r="JB80" s="371">
        <f>IF($DE80&lt;&gt;$JB$9,0,$JA80*各项系数!$F$32*10^-3*10^2)*各项系数!$J$4</f>
        <v>0</v>
      </c>
      <c r="JC80" s="127">
        <v>1</v>
      </c>
      <c r="JD80" s="95">
        <f t="shared" si="290"/>
        <v>0</v>
      </c>
      <c r="JE80" s="341">
        <f>JD80*各项系数!$E$32</f>
        <v>0</v>
      </c>
      <c r="JF80" s="364">
        <f>IF($DE80&lt;&gt;$JF$9,0,$JA80*VLOOKUP($JF$9,各项系数!$D$4:$F$540,2,0)*10^-3*10^2)*各项系数!$J$4</f>
        <v>6.3322921553959</v>
      </c>
      <c r="JG80" s="123">
        <v>1</v>
      </c>
      <c r="JH80" s="251">
        <f t="shared" si="364"/>
        <v>6.3322921553959</v>
      </c>
      <c r="JI80" s="339">
        <f>JH80*VLOOKUP($JF$9,各项系数!$D$4:$F$540,3,0)</f>
        <v>7.59875058647508</v>
      </c>
      <c r="JJ80" s="371">
        <f t="shared" si="291"/>
        <v>6.3322921553959</v>
      </c>
      <c r="JK80" s="95">
        <f t="shared" si="292"/>
        <v>7.59875058647508</v>
      </c>
      <c r="JL80" s="371">
        <f>IF($DF80&lt;&gt;$JL$9,0,各项系数!$F$76/4*($NE80^2-$NC80^2)*10^-2*各项系数!$F$39*10^-3*10^2)*各项系数!$J$4</f>
        <v>0.00805976321296737</v>
      </c>
      <c r="JM80" s="127">
        <v>1</v>
      </c>
      <c r="JN80" s="95">
        <f t="shared" si="293"/>
        <v>0.00805976321296737</v>
      </c>
      <c r="JO80" s="341">
        <f>JN80*各项系数!$E$39</f>
        <v>0.161195264259347</v>
      </c>
      <c r="JP80" s="371">
        <f>IF($DF80&lt;&gt;$JP$9,0,各项系数!$F$76/4*($NE80^2-$NC80^2)*10^-2*各项系数!$F$36*10^-3*10^2)*各项系数!$J$4</f>
        <v>0</v>
      </c>
      <c r="JQ80" s="127">
        <v>1</v>
      </c>
      <c r="JR80" s="95">
        <f t="shared" si="294"/>
        <v>0</v>
      </c>
      <c r="JS80" s="341">
        <f>JR80*各项系数!$E$36</f>
        <v>0</v>
      </c>
      <c r="JT80" s="371">
        <f>IF($DF80&lt;&gt;$JT$9,0,各项系数!$F$76/4*($NE80^2-$NC80^2)*10^-2*各项系数!$F$40*10^-3*10^2)*各项系数!$J$4</f>
        <v>0</v>
      </c>
      <c r="JU80" s="127">
        <v>1</v>
      </c>
      <c r="JV80" s="95">
        <f t="shared" si="295"/>
        <v>0</v>
      </c>
      <c r="JW80" s="341">
        <f>JV80*各项系数!$E$40</f>
        <v>0</v>
      </c>
      <c r="JX80" s="371">
        <f>IF($DF80&lt;&gt;$JX$9,0,各项系数!$F$76/4*($NE80^2-$NC80^2)*10^-2*各项系数!$F$38*10^-3*10^2)*各项系数!$J$4</f>
        <v>0</v>
      </c>
      <c r="JY80" s="127">
        <v>1</v>
      </c>
      <c r="JZ80" s="95">
        <f t="shared" si="296"/>
        <v>0</v>
      </c>
      <c r="KA80" s="341">
        <f>JZ80*各项系数!$E$38</f>
        <v>0</v>
      </c>
      <c r="KB80" s="371">
        <f>IF($DF80&lt;&gt;$KB$9,0,各项系数!$F$76/4*($NE80^2-$NC80^2)*10^-2*各项系数!$F$41*10^-3*10^2)*各项系数!$J$4</f>
        <v>0</v>
      </c>
      <c r="KC80" s="127">
        <v>1</v>
      </c>
      <c r="KD80" s="95">
        <f t="shared" si="297"/>
        <v>0</v>
      </c>
      <c r="KE80" s="341">
        <f>KD80*各项系数!$E$41</f>
        <v>0</v>
      </c>
      <c r="KF80" s="95">
        <f t="shared" si="298"/>
        <v>0.00805976321296737</v>
      </c>
      <c r="KG80" s="95">
        <f t="shared" si="299"/>
        <v>0.161195264259347</v>
      </c>
      <c r="KH80" s="304">
        <f>各项系数!$F$76/4*($NG80^2-$NE80^2)*10^-2*各项系数!$F$44*10^-3*10^2*各项系数!$J$4*0.75*$U80</f>
        <v>1.99352960955884</v>
      </c>
      <c r="KI80" s="127">
        <v>1</v>
      </c>
      <c r="KJ80" s="95">
        <f t="shared" si="300"/>
        <v>1.99352960955884</v>
      </c>
      <c r="KK80" s="95">
        <f>ROUND(KJ80*各项系数!$E$43,GT80)</f>
        <v>12</v>
      </c>
      <c r="KL80" s="302">
        <f>各项系数!$F$76/4*($NF80^2-$NE80^2)*10^-2*各项系数!$F$46*10^-3*10^2*各项系数!$J$4*PI()/4*R80</f>
        <v>0.100323447487624</v>
      </c>
      <c r="KM80" s="127">
        <v>1</v>
      </c>
      <c r="KN80" s="95">
        <f t="shared" si="301"/>
        <v>0.100323447487624</v>
      </c>
      <c r="KO80" s="95">
        <f>KN80*各项系数!$E$46</f>
        <v>6.77183270541462</v>
      </c>
      <c r="KP80" s="304">
        <f>各项系数!$F$76/4*($NH80^2-$NE80^2)*10^-2*(VLOOKUP($KP$9,各项系数!$D$1:$F$143,3,0))*10^-3*10^2*各项系数!$J$4</f>
        <v>1.1936299213052</v>
      </c>
      <c r="KQ80" s="127">
        <v>1</v>
      </c>
      <c r="KR80" s="95">
        <f t="shared" si="416"/>
        <v>1.1936299213052</v>
      </c>
      <c r="KS80" s="95">
        <f>KR80*(VLOOKUP($KP$9,各项系数!$D$1:$F$143,2,0))</f>
        <v>20.2917086621884</v>
      </c>
      <c r="KT80" s="304">
        <f>各项系数!$F$76/4*($NI80^2-$NF80^2)*10^-2*(VLOOKUP($KT$9,各项系数!$D$1:$F$143,3,0))*10^-3*10^2*各项系数!$J$4</f>
        <v>1.19616813967374</v>
      </c>
      <c r="KU80" s="127">
        <v>1</v>
      </c>
      <c r="KV80" s="95">
        <f t="shared" si="417"/>
        <v>1.19616813967374</v>
      </c>
      <c r="KW80" s="95">
        <f>KV80*(VLOOKUP($KT$9,各项系数!$D$1:$F$143,2,0))</f>
        <v>20.3348583744536</v>
      </c>
      <c r="KX80" s="95">
        <f>各项系数!$F$76/4*($NH80^2-$NE80^2)*10^-2*(VLOOKUP($KX$9,各项系数!$D$1:$F$143,3,0))*10^-3*10^2*各项系数!$J$4</f>
        <v>1.1936299213052</v>
      </c>
      <c r="KY80" s="481">
        <v>1</v>
      </c>
      <c r="KZ80" s="95">
        <f t="shared" si="418"/>
        <v>1.1936299213052</v>
      </c>
      <c r="LA80" s="95">
        <f>KZ80*(VLOOKUP($KX$9,各项系数!$D$1:$F$143,2,0))</f>
        <v>20.2917086621884</v>
      </c>
      <c r="LB80" s="95">
        <f>各项系数!$F$76/4*($NI80^2-$NF80^2)*10^-2*(VLOOKUP($LB$9,各项系数!$D$1:$F$143,3,0))*10^-3*10^2*各项系数!$J$4</f>
        <v>1.19616813967374</v>
      </c>
      <c r="LC80" s="481">
        <v>1</v>
      </c>
      <c r="LD80" s="95">
        <f t="shared" si="419"/>
        <v>1.19616813967374</v>
      </c>
      <c r="LE80" s="95">
        <f>LD80*(VLOOKUP($LB$9,各项系数!$D$1:$F$143,2,0))</f>
        <v>20.3348583744536</v>
      </c>
      <c r="LF80" s="304">
        <f>各项系数!$F$76/4*($NH80^2-$NE80^2)*10^-2*(VLOOKUP(AN80,各项系数!$D$1:$F$143,3,0))*10^-3*10^2*各项系数!$J$4</f>
        <v>1.21009378228872</v>
      </c>
      <c r="LG80" s="127">
        <v>1</v>
      </c>
      <c r="LH80" s="95">
        <f t="shared" si="302"/>
        <v>1.21009378228872</v>
      </c>
      <c r="LI80" s="95">
        <f>LH80*(VLOOKUP(AN80,各项系数!$D$1:$F$143,2,0))</f>
        <v>12.1009378228872</v>
      </c>
      <c r="LJ80" s="304">
        <f>各项系数!$F$76/4*($NI80^2-$NF80^2)*10^-2*(VLOOKUP(AN80,各项系数!$D$1:$F$143,3,0))*10^-3*10^2*各项系数!$J$4</f>
        <v>1.21266701056579</v>
      </c>
      <c r="LK80" s="127">
        <v>1</v>
      </c>
      <c r="LL80" s="95">
        <f t="shared" si="303"/>
        <v>1.21266701056579</v>
      </c>
      <c r="LM80" s="95">
        <f>LL80*(VLOOKUP(AN80,各项系数!$D$1:$F$143,2,0))</f>
        <v>12.1266701056579</v>
      </c>
      <c r="LN80" s="95">
        <f>各项系数!$F$76/4*($NH80^2-$NE80^2)*10^-2*(VLOOKUP($LN$9,各项系数!$D$1:$F$143,3,0))*10^-3*10^2*各项系数!$J$4</f>
        <v>1.21009378228872</v>
      </c>
      <c r="LO80" s="481">
        <v>1</v>
      </c>
      <c r="LP80" s="95">
        <f t="shared" si="304"/>
        <v>1.21009378228872</v>
      </c>
      <c r="LQ80" s="95">
        <f>LP80*(VLOOKUP($LN$9,各项系数!$D$1:$F$143,2,0))</f>
        <v>13.3110316051759</v>
      </c>
      <c r="LR80" s="95">
        <f>各项系数!$F$76/4*($NI80^2-$NF80^2)*10^-2*(VLOOKUP($LR$9,各项系数!$D$1:$F$143,3,0))*10^-3*10^2*各项系数!$J$4</f>
        <v>1.21266701056579</v>
      </c>
      <c r="LS80" s="481">
        <v>1</v>
      </c>
      <c r="LT80" s="95">
        <f t="shared" si="305"/>
        <v>1.21266701056579</v>
      </c>
      <c r="LU80" s="95">
        <f>LT80*(VLOOKUP($LR$9,各项系数!$D$1:$F$143,2,0))</f>
        <v>13.3393371162237</v>
      </c>
      <c r="LV80" s="501">
        <f t="shared" si="420"/>
        <v>1955.07041857</v>
      </c>
      <c r="LW80" s="501">
        <f t="shared" si="421"/>
        <v>1472.33698189</v>
      </c>
      <c r="LX80" s="501">
        <f t="shared" si="422"/>
        <v>43.2970861435082</v>
      </c>
      <c r="LY80" s="519">
        <f t="shared" si="423"/>
        <v>482.73343668</v>
      </c>
      <c r="LZ80" s="516">
        <f t="shared" si="365"/>
        <v>1</v>
      </c>
      <c r="MA80" s="517">
        <f t="shared" si="366"/>
        <v>1955.07041857</v>
      </c>
      <c r="MB80" s="501">
        <f t="shared" si="424"/>
        <v>24.94630719</v>
      </c>
      <c r="MC80" s="501">
        <f t="shared" si="425"/>
        <v>0</v>
      </c>
      <c r="MD80" s="501">
        <f t="shared" si="426"/>
        <v>0</v>
      </c>
      <c r="ME80" s="501">
        <f t="shared" si="427"/>
        <v>0</v>
      </c>
      <c r="MF80" s="501">
        <f t="shared" si="428"/>
        <v>0</v>
      </c>
      <c r="MG80" s="527">
        <f t="shared" si="429"/>
        <v>1</v>
      </c>
      <c r="MH80" s="517">
        <f t="shared" si="367"/>
        <v>0</v>
      </c>
      <c r="MI80" s="501">
        <f t="shared" si="430"/>
        <v>0</v>
      </c>
      <c r="MJ80" s="95">
        <f t="shared" si="368"/>
        <v>24.94630719</v>
      </c>
      <c r="MK80" s="95">
        <f t="shared" si="431"/>
        <v>24.94630719</v>
      </c>
      <c r="ML80" s="95">
        <f t="shared" si="306"/>
        <v>0</v>
      </c>
      <c r="MM80" s="95">
        <f t="shared" si="369"/>
        <v>0</v>
      </c>
      <c r="MN80" s="95">
        <f t="shared" si="370"/>
        <v>28.94630719</v>
      </c>
      <c r="MO80" s="251">
        <f t="shared" si="432"/>
        <v>0</v>
      </c>
      <c r="MP80" s="95">
        <f t="shared" si="433"/>
        <v>70.0500634</v>
      </c>
      <c r="MQ80" s="95">
        <f t="shared" si="307"/>
        <v>70.0500634</v>
      </c>
      <c r="MR80" s="314">
        <f t="shared" si="434"/>
        <v>70.0500634</v>
      </c>
      <c r="MS80" s="530">
        <f t="shared" si="371"/>
        <v>70.2260634</v>
      </c>
      <c r="MT80" s="532">
        <f t="shared" si="372"/>
        <v>70.3860634</v>
      </c>
      <c r="MU80" s="532">
        <f t="shared" si="373"/>
        <v>71.7260634</v>
      </c>
      <c r="MV80" s="532">
        <f t="shared" si="374"/>
        <v>77.2260634</v>
      </c>
      <c r="MW80" s="532">
        <f t="shared" si="375"/>
        <v>77.3860634</v>
      </c>
      <c r="MX80" s="314">
        <f t="shared" si="376"/>
        <v>25.54630719</v>
      </c>
      <c r="MY80" s="314">
        <f t="shared" si="377"/>
        <v>0</v>
      </c>
      <c r="MZ80" s="95">
        <f t="shared" si="378"/>
        <v>29.54630719</v>
      </c>
      <c r="NA80" s="95">
        <f t="shared" si="379"/>
        <v>0</v>
      </c>
      <c r="NB80" s="95">
        <f t="shared" si="435"/>
        <v>71.5020634</v>
      </c>
      <c r="NC80" s="314">
        <f t="shared" si="308"/>
        <v>71.5020634</v>
      </c>
      <c r="ND80" s="314">
        <f t="shared" si="436"/>
        <v>71.5020634</v>
      </c>
      <c r="NE80" s="537">
        <f t="shared" si="437"/>
        <v>71.7420634</v>
      </c>
      <c r="NF80" s="532">
        <f t="shared" si="380"/>
        <v>71.9020634</v>
      </c>
      <c r="NG80" s="180">
        <f t="shared" si="381"/>
        <v>73.2420634</v>
      </c>
      <c r="NH80" s="314">
        <f t="shared" si="382"/>
        <v>78.7420634</v>
      </c>
      <c r="NI80" s="532">
        <f t="shared" si="383"/>
        <v>78.9020634</v>
      </c>
      <c r="NK80" s="541">
        <f t="shared" si="384"/>
        <v>16.6888025495626</v>
      </c>
      <c r="NL80" s="541">
        <f t="shared" si="385"/>
        <v>894.148806671807</v>
      </c>
      <c r="NM80" s="541">
        <f t="shared" si="386"/>
        <v>16.6888025495626</v>
      </c>
      <c r="NN80" s="541">
        <f t="shared" si="387"/>
        <v>895.33451911617</v>
      </c>
      <c r="NO80" s="541">
        <f t="shared" si="388"/>
        <v>21.7343372895067</v>
      </c>
      <c r="NP80" s="541">
        <f t="shared" si="389"/>
        <v>901.249824085041</v>
      </c>
      <c r="NQ80" s="541">
        <f t="shared" si="390"/>
        <v>21.7343372895067</v>
      </c>
      <c r="NR80" s="541">
        <f t="shared" si="391"/>
        <v>902.459917867329</v>
      </c>
      <c r="NS80" s="541">
        <f t="shared" si="392"/>
        <v>16.7870083978169</v>
      </c>
      <c r="NT80" s="541">
        <f t="shared" si="393"/>
        <v>16.7870083978169</v>
      </c>
      <c r="NU80" s="541">
        <f t="shared" si="394"/>
        <v>21.8346607369944</v>
      </c>
      <c r="NV80" s="541">
        <f t="shared" si="395"/>
        <v>21.8346607369944</v>
      </c>
      <c r="NW80" s="11">
        <f t="shared" si="396"/>
        <v>17.9900289856861</v>
      </c>
      <c r="NX80" s="11">
        <f>各项系数!$M$9*NK80</f>
        <v>5.00664076486879</v>
      </c>
      <c r="NY80" s="11">
        <f t="shared" si="397"/>
        <v>16.7870083978169</v>
      </c>
    </row>
    <row r="81" s="11" customFormat="1" customHeight="1" spans="1:389">
      <c r="A81" s="81"/>
      <c r="B81" s="82"/>
      <c r="C81" s="83"/>
      <c r="D81" s="74" t="s">
        <v>921</v>
      </c>
      <c r="E81" s="550">
        <f t="shared" si="325"/>
        <v>86.63564255</v>
      </c>
      <c r="F81" s="84">
        <f>$F$33</f>
        <v>314.103042329295</v>
      </c>
      <c r="G81" s="74"/>
      <c r="H81" s="23"/>
      <c r="I81" s="78"/>
      <c r="J81" s="23"/>
      <c r="K81" s="23"/>
      <c r="L81" s="128" t="s">
        <v>467</v>
      </c>
      <c r="M81" s="119">
        <f t="shared" si="339"/>
        <v>2.2</v>
      </c>
      <c r="N81" s="119">
        <f t="shared" si="340"/>
        <v>0</v>
      </c>
      <c r="O81" s="74">
        <f t="shared" si="438"/>
        <v>0.08</v>
      </c>
      <c r="P81" s="120">
        <v>0.1</v>
      </c>
      <c r="Q81" s="165">
        <f t="shared" si="337"/>
        <v>0.1</v>
      </c>
      <c r="R81" s="182">
        <v>0.8</v>
      </c>
      <c r="S81" s="173" t="str">
        <f>各项系数!$D$43</f>
        <v>钢带</v>
      </c>
      <c r="T81" s="78">
        <v>0.5</v>
      </c>
      <c r="U81" s="78">
        <v>2</v>
      </c>
      <c r="V81" s="172"/>
      <c r="W81" s="174">
        <v>3.7</v>
      </c>
      <c r="X81" s="168">
        <f t="shared" si="338"/>
        <v>0.2</v>
      </c>
      <c r="Y81" s="221"/>
      <c r="Z81" s="222"/>
      <c r="AA81" s="223">
        <f>$AA$33</f>
        <v>1.02</v>
      </c>
      <c r="AB81" s="186">
        <f>PI()*EJ81*EJ81/4*EH81*(1-H81)*AA81*各项系数!$F$5*各项系数!$J$4*10^-7</f>
        <v>4.26470519939525</v>
      </c>
      <c r="AC81" s="224">
        <f t="shared" si="327"/>
        <v>314.103042329295</v>
      </c>
      <c r="AD81" s="186">
        <f t="shared" si="341"/>
        <v>482.13002011127</v>
      </c>
      <c r="AE81" s="186">
        <f>POWER(4*EU81/PI()/EG81/10^-7/EH81/(1-H81)/各项系数!$F$5/各项系数!$J$4,0.5)</f>
        <v>317.228522715927</v>
      </c>
      <c r="AF81" s="225">
        <v>1</v>
      </c>
      <c r="AG81" s="23">
        <f>IF(EM81=0,0,PI()*ER81*ER81/4*EP81*(1-K81)*(1+AF81)*各项系数!$F$5*各项系数!$J$4*10^-7)</f>
        <v>0</v>
      </c>
      <c r="AH81" s="23">
        <f t="shared" si="328"/>
        <v>0</v>
      </c>
      <c r="AI81" s="85">
        <f t="shared" si="398"/>
        <v>0</v>
      </c>
      <c r="AJ81" s="85">
        <f>IF(OR(EP81="",EP81=0),0,POWER(4*EW81/PI()/EO81/10^-7/EP81/(1-K81)/各项系数!$F$5/各项系数!$J$4,0.5))</f>
        <v>0</v>
      </c>
      <c r="AK81" s="23" t="str">
        <f t="shared" si="342"/>
        <v>√</v>
      </c>
      <c r="AL81" s="23">
        <f t="shared" si="329"/>
        <v>1182.06283141875</v>
      </c>
      <c r="AM81" s="127">
        <f t="shared" si="330"/>
        <v>500</v>
      </c>
      <c r="AN81" s="128" t="s">
        <v>486</v>
      </c>
      <c r="AO81" s="176">
        <f>AP81+各项系数!$M$9*$NK81</f>
        <v>1158.88512884192</v>
      </c>
      <c r="AP81" s="176">
        <f>AQ81*(1+$BI81+(VLOOKUP($AM81,$A$12:$B$323,2,0))+各项系数!$J$6+各项系数!$M$5)*(1+$E$2)</f>
        <v>1152.5040169617</v>
      </c>
      <c r="AQ81" s="262">
        <f>AR81+各项系数!$L$9*$NK81</f>
        <v>1176.02450710378</v>
      </c>
      <c r="AR81" s="262">
        <f>AS81*(1+$BJ81+各项系数!$J$5+各项系数!$L$5)</f>
        <v>1169.64339522356</v>
      </c>
      <c r="AS81" s="262">
        <f t="shared" si="399"/>
        <v>1146.70921100349</v>
      </c>
      <c r="AT81" s="176">
        <f>AU81+各项系数!$M$9*$NM81</f>
        <v>1168.42549887177</v>
      </c>
      <c r="AU81" s="176">
        <f>AV81*(1+$BI81+(VLOOKUP($AM81,$A$12:$B$323,2,0))+各项系数!$J$6+各项系数!$M$5)*(1+$E$2)</f>
        <v>1162.04438699156</v>
      </c>
      <c r="AV81" s="262">
        <f>AW81+各项系数!$L$9*$NM81</f>
        <v>1185.75957856281</v>
      </c>
      <c r="AW81" s="262">
        <f>AX81*(1+$BJ81+各项系数!$J$5+各项系数!$L$5)</f>
        <v>1179.3784666826</v>
      </c>
      <c r="AX81" s="262">
        <f t="shared" si="400"/>
        <v>1156.25339870843</v>
      </c>
      <c r="AY81" s="176">
        <f>AZ81+各项系数!$M$9*$NS81</f>
        <v>1166.45351315179</v>
      </c>
      <c r="AZ81" s="176">
        <f>BA81*(1+$BI81+(VLOOKUP($AM81,$A$12:$B$214,2,0))+各项系数!$J$6+各项系数!$M$5)*(1+$E$2)</f>
        <v>1160.03916405314</v>
      </c>
      <c r="BA81" s="262">
        <f>BB81+各项系数!$L$9*$NS81</f>
        <v>1183.71343270728</v>
      </c>
      <c r="BB81" s="262">
        <f>BC81*(1+$BJ81+各项系数!$J$5+各项系数!$L$5)</f>
        <v>1177.29908360863</v>
      </c>
      <c r="BC81" s="262">
        <f t="shared" si="401"/>
        <v>1154.2147878516</v>
      </c>
      <c r="BD81" s="176">
        <f>BE81+各项系数!$M$9*$NS81</f>
        <v>1176.01228852775</v>
      </c>
      <c r="BE81" s="176">
        <f>BF81*(1+$BI81+(VLOOKUP($AM81,$A$12:$B$214,2,0))+各项系数!$J$6+各项系数!$M$5)*(1+$E$2)</f>
        <v>1169.59793942909</v>
      </c>
      <c r="BF81" s="262">
        <f>BG81+各项系数!$L$9*$NS81</f>
        <v>1193.46728513173</v>
      </c>
      <c r="BG81" s="262">
        <f>BH81*(1+$BJ81+各项系数!$J$5+各项系数!$L$5)</f>
        <v>1187.05293603307</v>
      </c>
      <c r="BH81" s="262">
        <f t="shared" si="402"/>
        <v>1163.77738826772</v>
      </c>
      <c r="BI81" s="278"/>
      <c r="BJ81" s="279"/>
      <c r="BK81" s="95" t="s">
        <v>514</v>
      </c>
      <c r="BL81" s="176">
        <f>BM81+各项系数!$M$9*$NM81</f>
        <v>1171.54617936221</v>
      </c>
      <c r="BM81" s="176">
        <f>BN81*(1+$CF81+(VLOOKUP($AM81,$A$12:$B$323,2,0))+各项系数!$J$6+各项系数!$M$5)*(1+$E$2)</f>
        <v>1165.16506748199</v>
      </c>
      <c r="BN81" s="262">
        <f>BO81+各项系数!$L$9*$NM81</f>
        <v>1188.9439464102</v>
      </c>
      <c r="BO81" s="262">
        <f>BP81*(1+$CG81+各项系数!$J$5+各项系数!$L$5)</f>
        <v>1182.56283452998</v>
      </c>
      <c r="BP81" s="262">
        <f t="shared" si="403"/>
        <v>1148.11925682523</v>
      </c>
      <c r="BQ81" s="176">
        <f>BR81+各项系数!$M$9*$NM81</f>
        <v>1179.75678217912</v>
      </c>
      <c r="BR81" s="176">
        <f>BS81*(1+$CF81+(VLOOKUP($AM81,$A$12:$B$323,2,0))+各项系数!$J$6+各项系数!$M$5)*(1+$E$2)</f>
        <v>1173.3756702989</v>
      </c>
      <c r="BS81" s="262">
        <f>BT81+各项系数!$L$9*$NM81</f>
        <v>1197.3221125499</v>
      </c>
      <c r="BT81" s="262">
        <f>BU81*(1+$CG81+各项系数!$J$5+各项系数!$L$5)</f>
        <v>1190.94100066968</v>
      </c>
      <c r="BU81" s="262">
        <f t="shared" si="404"/>
        <v>1156.25339870843</v>
      </c>
      <c r="BV81" s="176">
        <f>BW81+各项系数!$M$9*$NT81</f>
        <v>1172.91290018404</v>
      </c>
      <c r="BW81" s="176">
        <f>BX81*(1+$CF81+(VLOOKUP($AM81,$A$12:$B$214,2,0))+各项系数!$J$6+各项系数!$M$5)*(1+$E$2)</f>
        <v>1166.49855108538</v>
      </c>
      <c r="BX81" s="262">
        <f>BY81+各项系数!$L$9*$NT$12</f>
        <v>1190.30464396468</v>
      </c>
      <c r="BY81" s="262">
        <f>BZ81*(1+$CG81+各项系数!$J$5+各项系数!$L$5)</f>
        <v>1190.29638056152</v>
      </c>
      <c r="BZ81" s="262">
        <f t="shared" si="343"/>
        <v>1155.62755394323</v>
      </c>
      <c r="CA81" s="176">
        <f>CB81+各项系数!$M$9*$NT81</f>
        <v>1181.13934295118</v>
      </c>
      <c r="CB81" s="176">
        <f>CC81*(1+$CF81+(VLOOKUP($AM81,$A$12:$B$214,2,0))+各项系数!$J$6+各项系数!$M$5)*(1+$E$2)</f>
        <v>1174.72499385253</v>
      </c>
      <c r="CC81" s="262">
        <f>CD81+各项系数!$L$9*$NT$12</f>
        <v>1198.6989733189</v>
      </c>
      <c r="CD81" s="262">
        <f>CE81*(1+$CG81+各项系数!$J$5+各项系数!$L$5)</f>
        <v>1198.69070991575</v>
      </c>
      <c r="CE81" s="262">
        <f t="shared" si="405"/>
        <v>1163.77738826772</v>
      </c>
      <c r="CF81" s="278">
        <f t="shared" si="406"/>
        <v>0</v>
      </c>
      <c r="CG81" s="278">
        <f t="shared" si="344"/>
        <v>0.01</v>
      </c>
      <c r="CH81" s="127"/>
      <c r="CI81" s="176">
        <f>CJ81+各项系数!$M$9*$NO81</f>
        <v>1177.4677965415</v>
      </c>
      <c r="CJ81" s="176">
        <f>CK81*(1+$DC81+(VLOOKUP($AM81,$A$12:$B$323,2,0))+各项系数!$J$6+各项系数!$M$5)*(1+$E$2)+各项系数!$M$9*$NK81</f>
        <v>1169.17783685035</v>
      </c>
      <c r="CK81" s="262">
        <f>CL81+各项系数!$L$9*$NO81</f>
        <v>1186.52727037769</v>
      </c>
      <c r="CL81" s="262">
        <f>CM81*(1+$DD81+各项系数!$J$5+各项系数!$L$5)</f>
        <v>1178.23731068653</v>
      </c>
      <c r="CM81" s="262">
        <f t="shared" si="345"/>
        <v>1155.13461832013</v>
      </c>
      <c r="CN81" s="176">
        <f>CO81+各项系数!$M$9*$NO81</f>
        <v>1186.75052409723</v>
      </c>
      <c r="CO81" s="176">
        <f>CP81*(1+$DC81+(VLOOKUP($AM81,$A$12:$B$323,2,0))+各项系数!$J$6+各项系数!$M$5)*(1+$E$2)+各项系数!$M$9*$NK81</f>
        <v>1178.46056440608</v>
      </c>
      <c r="CP81" s="262">
        <f>CQ81+各项系数!$L$9*$NO81</f>
        <v>1195.99944135292</v>
      </c>
      <c r="CQ81" s="262">
        <f>CR81*(1+$DD81+各项系数!$J$5+各项系数!$L$5)</f>
        <v>1187.70948166177</v>
      </c>
      <c r="CR81" s="262">
        <f t="shared" si="346"/>
        <v>1164.42106045272</v>
      </c>
      <c r="CS81" s="176">
        <f>CT81+各项系数!$M$9*$NU81</f>
        <v>1178.79920759818</v>
      </c>
      <c r="CT81" s="176">
        <f t="shared" si="347"/>
        <v>1170.47537540882</v>
      </c>
      <c r="CU81" s="262">
        <f>CV81+各项系数!$L$9*$NU81</f>
        <v>1194.36262796818</v>
      </c>
      <c r="CV81" s="262">
        <f>CW81*(1+$DD81+各项系数!$J$5+各项系数!$L$5)</f>
        <v>1186.03879577881</v>
      </c>
      <c r="CW81" s="262">
        <f t="shared" si="348"/>
        <v>1162.78313311649</v>
      </c>
      <c r="CX81" s="176">
        <f>CY81+各项系数!$M$9*$NU81</f>
        <v>1188.53237362839</v>
      </c>
      <c r="CY81" s="176">
        <f t="shared" si="349"/>
        <v>1180.20854143902</v>
      </c>
      <c r="CZ81" s="262">
        <f>DA81+各项系数!$L$9*$NU81</f>
        <v>1204.29443003982</v>
      </c>
      <c r="DA81" s="262">
        <f>DB81*(1+$DD81+各项系数!$J$5+各项系数!$L$5)</f>
        <v>1195.97059785045</v>
      </c>
      <c r="DB81" s="262">
        <f t="shared" si="350"/>
        <v>1172.52019397103</v>
      </c>
      <c r="DC81" s="278">
        <f t="shared" si="407"/>
        <v>0</v>
      </c>
      <c r="DD81" s="278">
        <f t="shared" si="351"/>
        <v>0</v>
      </c>
      <c r="DE81" s="95" t="s">
        <v>498</v>
      </c>
      <c r="DF81" s="95" t="s">
        <v>513</v>
      </c>
      <c r="DG81" s="176">
        <f>DH81+各项系数!$M$9*$NQ81</f>
        <v>1190.23743289157</v>
      </c>
      <c r="DH81" s="176">
        <f>DI81*(1+$EA81+(VLOOKUP($AM81,$A$12:$B$323,2,0))+各项系数!$J$6+各项系数!$M$5)*(1+$E$2)+各项系数!$M$9*$NK81</f>
        <v>1181.94747320042</v>
      </c>
      <c r="DI81" s="262">
        <f>DJ81+各项系数!$L$9*$NQ81</f>
        <v>1199.55751155123</v>
      </c>
      <c r="DJ81" s="262">
        <f>DK81*(1+$EB81+各项系数!$J$5+各项系数!$L$5)</f>
        <v>1191.26755186007</v>
      </c>
      <c r="DK81" s="262">
        <f t="shared" si="352"/>
        <v>1156.5704386991</v>
      </c>
      <c r="DL81" s="176">
        <f>DM81+各项系数!$M$9*$NQ81</f>
        <v>1198.59811923695</v>
      </c>
      <c r="DM81" s="176">
        <f>DN81*(1+$EA81+(VLOOKUP($AM81,$A$12:$B$323,2,0))+各项系数!$J$6+各项系数!$M$5)*(1+$E$2)+各项系数!$M$9*$NK81</f>
        <v>1190.3081595458</v>
      </c>
      <c r="DN81" s="262">
        <f>DO81+各项系数!$L$9*$NQ81</f>
        <v>1208.08882414856</v>
      </c>
      <c r="DO81" s="262">
        <f>DP81*(1+$EB81+各项系数!$J$5+各项系数!$L$5)</f>
        <v>1199.7988644574</v>
      </c>
      <c r="DP81" s="262">
        <f t="shared" si="353"/>
        <v>1164.8532664635</v>
      </c>
      <c r="DQ81" s="176">
        <f>DR81+各项系数!$M$9*$NV81</f>
        <v>1191.64654523368</v>
      </c>
      <c r="DR81" s="176">
        <f t="shared" si="354"/>
        <v>1183.32271304432</v>
      </c>
      <c r="DS81" s="262">
        <f>DT81+各项系数!$L$9*$NV81</f>
        <v>1207.47215616767</v>
      </c>
      <c r="DT81" s="262">
        <f>DU81*(1+$EB81+各项系数!$J$5+各项系数!$L$5)</f>
        <v>1199.14832397831</v>
      </c>
      <c r="DU81" s="262">
        <f t="shared" si="355"/>
        <v>1164.22167376535</v>
      </c>
      <c r="DV81" s="176">
        <f>DW81+各项系数!$M$9*$NV81</f>
        <v>1190.34379527858</v>
      </c>
      <c r="DW81" s="176">
        <f t="shared" si="356"/>
        <v>1182.01996308922</v>
      </c>
      <c r="DX81" s="262">
        <f>DY81+各项系数!$L$9*$NV81</f>
        <v>1206.14281947879</v>
      </c>
      <c r="DY81" s="262">
        <f>DZ81*(1+$EB81+各项系数!$J$5+各项系数!$L$5)</f>
        <v>1197.81898728943</v>
      </c>
      <c r="DZ81" s="262">
        <f t="shared" si="357"/>
        <v>1162.9310556208</v>
      </c>
      <c r="EA81" s="278">
        <f t="shared" ref="EA81:EA96" si="439">BI81+$EA$2</f>
        <v>0</v>
      </c>
      <c r="EB81" s="278">
        <f t="shared" si="358"/>
        <v>0.01</v>
      </c>
      <c r="EC81" s="302">
        <f t="shared" si="408"/>
        <v>4</v>
      </c>
      <c r="ED81" s="304" t="str">
        <f t="shared" si="331"/>
        <v>4*500</v>
      </c>
      <c r="EE81" s="95">
        <f t="shared" si="239"/>
        <v>500</v>
      </c>
      <c r="EF81" s="95" t="str">
        <f>LOOKUP(EH81,{1,7,10,14,19,24,30,37,48,61},{1,"1+6","2+8","4+10","1+6+12","2+8+14","4+10+16","1+6+12+18","3+9+15+21","1+6+12+18+24"})</f>
        <v>1+6+12+18+24</v>
      </c>
      <c r="EG81" s="127">
        <f t="shared" si="359"/>
        <v>4</v>
      </c>
      <c r="EH81" s="262">
        <f>VLOOKUP(EE81,各项系数!$B$87:$C$124,2,0)</f>
        <v>61</v>
      </c>
      <c r="EI81" s="127">
        <f>IF(EH81=0,0,VLOOKUP(EH81,各项系数!$D$142:$E$195,2,0))*1</f>
        <v>9</v>
      </c>
      <c r="EJ81" s="307">
        <f t="shared" si="409"/>
        <v>314.103042329295</v>
      </c>
      <c r="EK81" s="95">
        <f t="shared" si="332"/>
        <v>0</v>
      </c>
      <c r="EL81" s="95">
        <f t="shared" si="360"/>
        <v>0</v>
      </c>
      <c r="EM81" s="95">
        <f t="shared" si="333"/>
        <v>0</v>
      </c>
      <c r="EN81" s="95">
        <f>IF(EP81=0,0,LOOKUP(EP81,{1,7,10,14,19,24,30,37,48,61},{1,"1+6","2+8","4+10","1+6+12","2+8+14","4+10+16","1+6+12+18","3+9+15+21","1+6+12+18+24"}))</f>
        <v>0</v>
      </c>
      <c r="EO81" s="95">
        <f t="shared" si="334"/>
        <v>0</v>
      </c>
      <c r="EP81" s="95">
        <f>IF(EM81=0,0,IF(EM81&lt;10,1,IF(AND(EM81&gt;=10,EM81&lt;=35),7,LOOKUP(EM81,{50,70,95,120,150,185,240,300},{10,14,19,24,30,37,48,61})*1)))</f>
        <v>0</v>
      </c>
      <c r="EQ81" s="95">
        <f>IF(EP81=0,0,VLOOKUP(EP81,各项系数!$D$142:$E$195,2,0))*1</f>
        <v>0</v>
      </c>
      <c r="ER81" s="95">
        <f t="shared" si="335"/>
        <v>0</v>
      </c>
      <c r="ES81" s="304">
        <f t="shared" si="336"/>
        <v>4</v>
      </c>
      <c r="ET81" s="95">
        <f>VLOOKUP(ES81,各项系数!$D$142:$E$195,2,0)*1</f>
        <v>2.42</v>
      </c>
      <c r="EU81" s="311">
        <f>((各项系数!$F$76/4*$EJ81^2*$EG81*$EH81*1*10^-7)*(1-$H81)*AA81)*(VLOOKUP($EY$9,各项系数!$D$4:$F$143,3,0))*各项系数!$J$4</f>
        <v>17.058820797581</v>
      </c>
      <c r="EV81" s="312">
        <f>EU81*(VLOOKUP($EY$9,各项系数!$D$4:$F$143,2,0))</f>
        <v>1117.35276224155</v>
      </c>
      <c r="EW81" s="324">
        <f>(IF($EO81=0,0,(各项系数!$F$76/4*$ER81^2*$EO81*$EP81*1*10^-7))*(1-$K81)*$AF81)*(VLOOKUP($EY$9,各项系数!$D$4:$F$143,3,0))*各项系数!$J$4</f>
        <v>0</v>
      </c>
      <c r="EX81" s="325">
        <f>EW81*(VLOOKUP($EY$9,各项系数!$D$4:$F$143,2,0))</f>
        <v>0</v>
      </c>
      <c r="EY81" s="251">
        <f>((各项系数!$F$76/4*$EJ81^2*$EG81*$EH81*1*10^-7)*(1-$H81)*AA81+IF($EO81=0,0,(各项系数!$F$76/4*$ER81^2*$EO81*$EP81*1*10^-7))*(1-$K81)*$AF81)*(VLOOKUP($EY$9,各项系数!$D$4:$F$143,3,0))*各项系数!$J$4</f>
        <v>17.058820797581</v>
      </c>
      <c r="EZ81" s="127">
        <v>1</v>
      </c>
      <c r="FA81" s="95">
        <f t="shared" si="268"/>
        <v>17.058820797581</v>
      </c>
      <c r="FB81" s="314">
        <f>FA81*(VLOOKUP($EY$9,各项系数!$D$4:$F$143,2,0))</f>
        <v>1117.35276224155</v>
      </c>
      <c r="FC81" s="329"/>
      <c r="FD81" s="304">
        <f>各项系数!$F$76/4*($MN81^2-MK81^2)*10^-2*(VLOOKUP(L81,各项系数!$D$1:$F$143,3,0))*10^-3*10^2*$EG81*各项系数!$J$4</f>
        <v>0.921956464682346</v>
      </c>
      <c r="FE81" s="341">
        <f>FD81*VLOOKUP(L81,各项系数!$D$1:$F$143,2,0)</f>
        <v>9.40395593975992</v>
      </c>
      <c r="FF81" s="127">
        <f>各项系数!$F$76/4*($MO81^2-ML81^2)*10^-2*(VLOOKUP(L81,各项系数!$D$1:$F$143,3,0))*10^-3*10^2*$EO81*各项系数!$J$4</f>
        <v>0</v>
      </c>
      <c r="FG81" s="341">
        <f>FF81*VLOOKUP(L81,各项系数!$D$1:$F$143,2,0)</f>
        <v>0</v>
      </c>
      <c r="FH81" s="304">
        <f t="shared" si="410"/>
        <v>0.921956464682346</v>
      </c>
      <c r="FI81" s="127">
        <v>1</v>
      </c>
      <c r="FJ81" s="95">
        <f t="shared" si="269"/>
        <v>0.921956464682346</v>
      </c>
      <c r="FK81" s="341">
        <f>FJ81*VLOOKUP(L81,各项系数!$D$1:$F$143,2,0)</f>
        <v>9.40395593975992</v>
      </c>
      <c r="FL81" s="304"/>
      <c r="FM81" s="127"/>
      <c r="FN81" s="95"/>
      <c r="FO81" s="341"/>
      <c r="FP81" s="371">
        <f t="shared" si="270"/>
        <v>0.921956464682346</v>
      </c>
      <c r="FQ81" s="371">
        <f t="shared" si="271"/>
        <v>9.40395593975992</v>
      </c>
      <c r="FR81" s="365">
        <f>各项系数!$F$76/4*($MQ81^2-$MN81^2*$EG81-$MO81^2*$EO81)*10^-2</f>
        <v>15.5611038871362</v>
      </c>
      <c r="FS81" s="366">
        <f t="shared" si="411"/>
        <v>1</v>
      </c>
      <c r="FT81" s="367">
        <f t="shared" si="361"/>
        <v>15.5611038871362</v>
      </c>
      <c r="FU81" s="395">
        <f>$FT81*(VLOOKUP($FT$9,各项系数!$D$1:$F$143,3,0))*10^-3*10^2*各项系数!$J$55</f>
        <v>1.85799580412406</v>
      </c>
      <c r="FV81" s="396">
        <v>1</v>
      </c>
      <c r="FW81" s="397">
        <f t="shared" si="272"/>
        <v>1.85799580412406</v>
      </c>
      <c r="FX81" s="372">
        <f>FW81*(VLOOKUP($FT$9,各项系数!$D$1:$F$143,2,0))</f>
        <v>5.57398741237219</v>
      </c>
      <c r="FY81" s="395">
        <f>IF($BK81&lt;&gt;$FY$9,0,各项系数!$F$76/4*($MS81^2-$MQ81^2)*10^-2*(VLOOKUP($FY$9,各项系数!$D$1:$F$143,3,0))*10^-3*10^2)*各项系数!$J$4</f>
        <v>0</v>
      </c>
      <c r="FZ81" s="396">
        <v>1</v>
      </c>
      <c r="GA81" s="397">
        <f t="shared" si="273"/>
        <v>0</v>
      </c>
      <c r="GB81" s="372">
        <f>GA81*(VLOOKUP($FY$9,各项系数!$D$1:$F$143,2,0))</f>
        <v>0</v>
      </c>
      <c r="GC81" s="395">
        <f>IF($BK81&lt;&gt;$GC$9,0,各项系数!$F$76/4*($MS81^2-$MQ81^2)*10^-2*(VLOOKUP($GC$9,各项系数!$D$1:$F$143,3,0))*10^-3*10^2)*各项系数!$J$4</f>
        <v>0.0215540459271184</v>
      </c>
      <c r="GD81" s="396">
        <v>1</v>
      </c>
      <c r="GE81" s="397">
        <f t="shared" si="274"/>
        <v>0.0215540459271184</v>
      </c>
      <c r="GF81" s="372">
        <f>GE81*(VLOOKUP($GC$9,各项系数!$D$1:$F$143,2,0))</f>
        <v>0.278047192459828</v>
      </c>
      <c r="GG81" s="395">
        <f>IF($BK81&lt;&gt;$GG$9,0,各项系数!$F$76/4*($MS81^2-$MQ81^2)*10^-2*(VLOOKUP($GG$9,各项系数!$D$1:$F$143,3,0))*10^-3*10^2)*各项系数!$J$4</f>
        <v>0</v>
      </c>
      <c r="GH81" s="396">
        <v>1</v>
      </c>
      <c r="GI81" s="397">
        <f t="shared" si="275"/>
        <v>0</v>
      </c>
      <c r="GJ81" s="372">
        <f>GI81*(VLOOKUP($GG$9,各项系数!$D$1:$F$143,2,0))</f>
        <v>0</v>
      </c>
      <c r="GK81" s="395">
        <f>IF($BK81&lt;&gt;$GK$9,0,各项系数!$F$76/4*($MS81^2-$MQ81^2)*10^-2*(VLOOKUP($GK$9,各项系数!$D$1:$F$143,3,0))*10^-3*10^2)*各项系数!$J$4</f>
        <v>0</v>
      </c>
      <c r="GL81" s="396">
        <v>1</v>
      </c>
      <c r="GM81" s="397">
        <f t="shared" si="276"/>
        <v>0</v>
      </c>
      <c r="GN81" s="372">
        <f>GM81*(VLOOKUP($GK$9,各项系数!$D$1:$F$143,2,0))</f>
        <v>0</v>
      </c>
      <c r="GO81" s="397">
        <f t="shared" si="277"/>
        <v>0.0215540459271184</v>
      </c>
      <c r="GP81" s="397">
        <f t="shared" si="278"/>
        <v>0.278047192459828</v>
      </c>
      <c r="GQ81" s="408">
        <f>各项系数!$F$76/4*($MU81^2-$MS81^2)*10^-2*(VLOOKUP($S81,各项系数!$D$1:$F$143,3,0))*10^-3*10^2*各项系数!$J$4</f>
        <v>1.4664018770641</v>
      </c>
      <c r="GR81" s="396">
        <v>1</v>
      </c>
      <c r="GS81" s="397">
        <f t="shared" si="279"/>
        <v>1.4664018770641</v>
      </c>
      <c r="GT81" s="397">
        <f t="shared" si="200"/>
        <v>0</v>
      </c>
      <c r="GU81" s="397">
        <f>ROUND($GS81*(VLOOKUP($S81,各项系数!$D$1:$F$143,2,0))+$E$3*GS81,GT81)</f>
        <v>9</v>
      </c>
      <c r="GV81" s="406">
        <f>各项系数!$F$76/4*($MT81^2-$MS81^2)*10^-2*(VLOOKUP($GV$9,各项系数!$D$1:$F$143,3,0))*10^-3*10^2*各项系数!$J$4*PI()/4*R81</f>
        <v>0.110790728135941</v>
      </c>
      <c r="GW81" s="396">
        <v>1</v>
      </c>
      <c r="GX81" s="397">
        <f t="shared" si="280"/>
        <v>0.110790728135941</v>
      </c>
      <c r="GY81" s="397">
        <f>$GX81*(VLOOKUP($GV$9,各项系数!$D$1:$F$143,2,0))</f>
        <v>7.47837414917605</v>
      </c>
      <c r="GZ81" s="408">
        <f>各项系数!$F$76/4*($MV81^2-$MS81^2)*10^-2*(VLOOKUP($GZ$9,各项系数!$D$1:$F$143,3,0))*10^-3*10^2*各项系数!$J$4</f>
        <v>1.39086152484035</v>
      </c>
      <c r="HA81" s="396">
        <v>1</v>
      </c>
      <c r="HB81" s="397">
        <f t="shared" si="412"/>
        <v>1.39086152484035</v>
      </c>
      <c r="HC81" s="397">
        <f>HB81*(VLOOKUP($GZ$9,各项系数!$D$1:$F$143,2,0))</f>
        <v>23.644645922286</v>
      </c>
      <c r="HD81" s="408">
        <f>各项系数!$F$76/4*($MW81^2-$MT81^2)*10^-2*(VLOOKUP($HD$9,各项系数!$D$1:$F$143,3,0))*10^-3*10^2*各项系数!$J$4</f>
        <v>1.39354478425853</v>
      </c>
      <c r="HE81" s="396">
        <v>1</v>
      </c>
      <c r="HF81" s="397">
        <f t="shared" si="413"/>
        <v>1.39354478425853</v>
      </c>
      <c r="HG81" s="397">
        <f>HF81*(VLOOKUP($HD$9,各项系数!$D$1:$F$143,2,0))</f>
        <v>23.6902613323949</v>
      </c>
      <c r="HH81" s="408">
        <f>各项系数!$F$76/4*($MV81^2-$MS81^2)*10^-2*(VLOOKUP($HH$9,各项系数!$D$1:$F$143,3,0))*10^-3*10^2*各项系数!$J$4</f>
        <v>1.39086152484035</v>
      </c>
      <c r="HI81" s="397">
        <v>1</v>
      </c>
      <c r="HJ81" s="397">
        <f t="shared" si="414"/>
        <v>1.39086152484035</v>
      </c>
      <c r="HK81" s="397">
        <f>HJ81*(VLOOKUP($HH$9,各项系数!$D$1:$F$143,2,0))</f>
        <v>23.644645922286</v>
      </c>
      <c r="HL81" s="408">
        <f>各项系数!$F$76/4*($MW81^2-$MT81^2)*10^-2*(VLOOKUP($HL$9,各项系数!$D$1:$F$143,3,0))*10^-3*10^2*各项系数!$J$4</f>
        <v>1.39354478425853</v>
      </c>
      <c r="HM81" s="397">
        <v>1</v>
      </c>
      <c r="HN81" s="397">
        <f t="shared" si="362"/>
        <v>1.39354478425853</v>
      </c>
      <c r="HO81" s="397">
        <f>HN81*(VLOOKUP($HL$9,各项系数!$D$1:$F$143,2,0))</f>
        <v>23.6902613323949</v>
      </c>
      <c r="HP81" s="408">
        <f>各项系数!$F$76/4*($MV81^2-$MS81^2)*10^-2*(VLOOKUP(AN81,各项系数!$D$1:$F$143,3,0))*10^-3*10^2*各项系数!$J$4</f>
        <v>1.4100458217347</v>
      </c>
      <c r="HQ81" s="396">
        <v>1</v>
      </c>
      <c r="HR81" s="397">
        <f t="shared" si="281"/>
        <v>1.4100458217347</v>
      </c>
      <c r="HS81" s="397">
        <f>HR81*(VLOOKUP(AN81,各项系数!$D$1:$F$143,2,0))</f>
        <v>14.100458217347</v>
      </c>
      <c r="HT81" s="408">
        <f>各项系数!$F$76/4*($MW81^2-$MT81^2)*10^-2*(VLOOKUP(AN81,各项系数!$D$1:$F$143,3,0))*10^-3*10^2*各项系数!$J$4</f>
        <v>1.41276609162761</v>
      </c>
      <c r="HU81" s="396">
        <v>1</v>
      </c>
      <c r="HV81" s="397">
        <f t="shared" si="282"/>
        <v>1.41276609162761</v>
      </c>
      <c r="HW81" s="397">
        <f>HV81*(VLOOKUP(AN81,各项系数!$D$1:$F$143,2,0))</f>
        <v>14.1276609162761</v>
      </c>
      <c r="HX81" s="408">
        <f>各项系数!$F$76/4*($MV81^2-$MS81^2)*10^-2*(VLOOKUP($HX$9,各项系数!$D$1:$F$143,3,0))*10^-3*10^2*各项系数!$J$4</f>
        <v>1.4100458217347</v>
      </c>
      <c r="HY81" s="397">
        <v>1</v>
      </c>
      <c r="HZ81" s="397">
        <f t="shared" si="283"/>
        <v>1.4100458217347</v>
      </c>
      <c r="IA81" s="397">
        <f>HZ81*(VLOOKUP($HX$9,各项系数!$D$1:$F$143,2,0))</f>
        <v>15.5105040390817</v>
      </c>
      <c r="IB81" s="408">
        <f>各项系数!$F$76/4*($MW81^2-$MT81^2)*10^-2*(VLOOKUP($IB$9,各项系数!$D$1:$F$143,3,0))*10^-3*10^2*各项系数!$J$4</f>
        <v>1.41276609162761</v>
      </c>
      <c r="IC81" s="397">
        <v>1</v>
      </c>
      <c r="ID81" s="397">
        <f t="shared" si="284"/>
        <v>1.41276609162761</v>
      </c>
      <c r="IE81" s="397">
        <f>ID81*(VLOOKUP($IB$9,各项系数!$D$1:$F$143,2,0))</f>
        <v>15.5404270079037</v>
      </c>
      <c r="IF81" s="395"/>
      <c r="IG81" s="408">
        <f t="shared" si="415"/>
        <v>0.160747659940528</v>
      </c>
      <c r="IH81" s="396">
        <v>1</v>
      </c>
      <c r="II81" s="397">
        <f t="shared" si="285"/>
        <v>0.160747659940528</v>
      </c>
      <c r="IJ81" s="397">
        <f>II81*(VLOOKUP($IG$8,各项系数!$D$1:$F$143,2,0))</f>
        <v>4.01869149851319</v>
      </c>
      <c r="IK81" s="408">
        <f>(各项系数!$F$76/4*($MX81^2-$MK81^2)*$EG81)*10^-2*(VLOOKUP($IG$8,各项系数!$D$1:$F$143,3,0))*10^-3*10^2*各项系数!$J$4</f>
        <v>0.160747659940528</v>
      </c>
      <c r="IL81" s="396">
        <f>IK81*(VLOOKUP($IG$8,各项系数!$D$1:$F$143,2,0))</f>
        <v>4.01869149851319</v>
      </c>
      <c r="IM81" s="397">
        <f>(各项系数!$F$76/4*(($MM81+3*$X81)^2-MM81^2)*$EO81)*10^-2*(VLOOKUP($IG$8,各项系数!$D$1:$F$143,3,0))*10^-3*10^2*各项系数!$J$4</f>
        <v>0</v>
      </c>
      <c r="IN81" s="396">
        <f>IM81*(VLOOKUP($IG$8,各项系数!$D$1:$F$143,2,0))</f>
        <v>0</v>
      </c>
      <c r="IO81" s="408">
        <f>各项系数!$F$76/4*($MZ81^2-$MX81^2)*10^-2*(VLOOKUP(L81,各项系数!$D$1:$F$143,3,0))*10^-3*10^2*$ES81*各项系数!$J$4</f>
        <v>0.940111602963736</v>
      </c>
      <c r="IP81" s="396">
        <v>1</v>
      </c>
      <c r="IQ81" s="397">
        <f t="shared" si="286"/>
        <v>0.940111602963736</v>
      </c>
      <c r="IR81" s="372">
        <f>IQ81*(VLOOKUP(L81,各项系数!$D$1:$F$143,2,0))</f>
        <v>9.5891383502301</v>
      </c>
      <c r="IS81" s="408">
        <f>IF($L81&lt;&gt;$IS$9,0,各项系数!$F$76/4*($MZ81^2-$MX81^2)*10^-2*各项系数!$F$12*10^-3*10^2)*$ES81*各项系数!$J$4</f>
        <v>0</v>
      </c>
      <c r="IT81" s="396">
        <v>1</v>
      </c>
      <c r="IU81" s="397">
        <f t="shared" si="287"/>
        <v>0</v>
      </c>
      <c r="IV81" s="372">
        <f>IU81*各项系数!$E$12</f>
        <v>0</v>
      </c>
      <c r="IW81" s="395">
        <f t="shared" si="288"/>
        <v>0.940111602963736</v>
      </c>
      <c r="IX81" s="395">
        <f t="shared" si="289"/>
        <v>9.5891383502301</v>
      </c>
      <c r="IY81" s="447">
        <f>各项系数!$F$76/4*($NB81^2-$MZ81^2*$EG81-$NA81^2*$EO81)*10^-2</f>
        <v>16.1379395040073</v>
      </c>
      <c r="IZ81" s="366">
        <f t="shared" si="231"/>
        <v>1</v>
      </c>
      <c r="JA81" s="367">
        <f t="shared" si="363"/>
        <v>16.1379395040073</v>
      </c>
      <c r="JB81" s="371">
        <f>IF($DE81&lt;&gt;$JB$9,0,$JA81*各项系数!$F$32*10^-3*10^2)*各项系数!$J$4</f>
        <v>0</v>
      </c>
      <c r="JC81" s="127">
        <v>1</v>
      </c>
      <c r="JD81" s="95">
        <f t="shared" si="290"/>
        <v>0</v>
      </c>
      <c r="JE81" s="341">
        <f>JD81*各项系数!$E$32</f>
        <v>0</v>
      </c>
      <c r="JF81" s="364">
        <f>IF($DE81&lt;&gt;$JF$9,0,$JA81*VLOOKUP($JF$9,各项系数!$D$4:$F$540,2,0)*10^-3*10^2)*各项系数!$J$4</f>
        <v>8.02862490324364</v>
      </c>
      <c r="JG81" s="123">
        <v>1</v>
      </c>
      <c r="JH81" s="251">
        <f t="shared" si="364"/>
        <v>8.02862490324364</v>
      </c>
      <c r="JI81" s="339">
        <f>JH81*VLOOKUP($JF$9,各项系数!$D$4:$F$540,3,0)</f>
        <v>9.63434988389237</v>
      </c>
      <c r="JJ81" s="371">
        <f t="shared" si="291"/>
        <v>8.02862490324364</v>
      </c>
      <c r="JK81" s="95">
        <f t="shared" si="292"/>
        <v>9.63434988389237</v>
      </c>
      <c r="JL81" s="371">
        <f>IF($DF81&lt;&gt;$JL$9,0,各项系数!$F$76/4*($NE81^2-$NC81^2)*10^-2*各项系数!$F$39*10^-3*10^2)*各项系数!$J$4</f>
        <v>0.00907362781209163</v>
      </c>
      <c r="JM81" s="127">
        <v>1</v>
      </c>
      <c r="JN81" s="95">
        <f t="shared" si="293"/>
        <v>0.00907362781209163</v>
      </c>
      <c r="JO81" s="341">
        <f>JN81*各项系数!$E$39</f>
        <v>0.181472556241833</v>
      </c>
      <c r="JP81" s="371">
        <f>IF($DF81&lt;&gt;$JP$9,0,各项系数!$F$76/4*($NE81^2-$NC81^2)*10^-2*各项系数!$F$36*10^-3*10^2)*各项系数!$J$4</f>
        <v>0</v>
      </c>
      <c r="JQ81" s="127">
        <v>1</v>
      </c>
      <c r="JR81" s="95">
        <f t="shared" si="294"/>
        <v>0</v>
      </c>
      <c r="JS81" s="341">
        <f>JR81*各项系数!$E$36</f>
        <v>0</v>
      </c>
      <c r="JT81" s="371">
        <f>IF($DF81&lt;&gt;$JT$9,0,各项系数!$F$76/4*($NE81^2-$NC81^2)*10^-2*各项系数!$F$40*10^-3*10^2)*各项系数!$J$4</f>
        <v>0</v>
      </c>
      <c r="JU81" s="127">
        <v>1</v>
      </c>
      <c r="JV81" s="95">
        <f t="shared" si="295"/>
        <v>0</v>
      </c>
      <c r="JW81" s="341">
        <f>JV81*各项系数!$E$40</f>
        <v>0</v>
      </c>
      <c r="JX81" s="371">
        <f>IF($DF81&lt;&gt;$JX$9,0,各项系数!$F$76/4*($NE81^2-$NC81^2)*10^-2*各项系数!$F$38*10^-3*10^2)*各项系数!$J$4</f>
        <v>0</v>
      </c>
      <c r="JY81" s="127">
        <v>1</v>
      </c>
      <c r="JZ81" s="95">
        <f t="shared" si="296"/>
        <v>0</v>
      </c>
      <c r="KA81" s="341">
        <f>JZ81*各项系数!$E$38</f>
        <v>0</v>
      </c>
      <c r="KB81" s="371">
        <f>IF($DF81&lt;&gt;$KB$9,0,各项系数!$F$76/4*($NE81^2-$NC81^2)*10^-2*各项系数!$F$41*10^-3*10^2)*各项系数!$J$4</f>
        <v>0</v>
      </c>
      <c r="KC81" s="127">
        <v>1</v>
      </c>
      <c r="KD81" s="95">
        <f t="shared" si="297"/>
        <v>0</v>
      </c>
      <c r="KE81" s="341">
        <f>KD81*各项系数!$E$41</f>
        <v>0</v>
      </c>
      <c r="KF81" s="95">
        <f t="shared" si="298"/>
        <v>0.00907362781209163</v>
      </c>
      <c r="KG81" s="95">
        <f t="shared" si="299"/>
        <v>0.181472556241833</v>
      </c>
      <c r="KH81" s="304">
        <f>各项系数!$F$76/4*($NG81^2-$NE81^2)*10^-2*各项系数!$F$44*10^-3*10^2*各项系数!$J$4*0.75*$U81</f>
        <v>2.24129277096981</v>
      </c>
      <c r="KI81" s="127">
        <v>1</v>
      </c>
      <c r="KJ81" s="95">
        <f t="shared" si="300"/>
        <v>2.24129277096981</v>
      </c>
      <c r="KK81" s="95">
        <f>ROUND(KJ81*各项系数!$E$43,GT81)</f>
        <v>13</v>
      </c>
      <c r="KL81" s="302">
        <f>各项系数!$F$76/4*($NF81^2-$NE81^2)*10^-2*各项系数!$F$46*10^-3*10^2*各项系数!$J$4*PI()/4*R81</f>
        <v>0.112908327369262</v>
      </c>
      <c r="KM81" s="127">
        <v>1</v>
      </c>
      <c r="KN81" s="95">
        <f t="shared" si="301"/>
        <v>0.112908327369262</v>
      </c>
      <c r="KO81" s="95">
        <f>KN81*各项系数!$E$46</f>
        <v>7.62131209742517</v>
      </c>
      <c r="KP81" s="304">
        <f>各项系数!$F$76/4*($NH81^2-$NE81^2)*10^-2*(VLOOKUP($KP$9,各项系数!$D$1:$F$143,3,0))*10^-3*10^2*各项系数!$J$4</f>
        <v>1.41628540782753</v>
      </c>
      <c r="KQ81" s="127">
        <v>1</v>
      </c>
      <c r="KR81" s="95">
        <f t="shared" si="416"/>
        <v>1.41628540782753</v>
      </c>
      <c r="KS81" s="95">
        <f>KR81*(VLOOKUP($KP$9,各项系数!$D$1:$F$143,2,0))</f>
        <v>24.0768519330681</v>
      </c>
      <c r="KT81" s="304">
        <f>各项系数!$F$76/4*($NI81^2-$NF81^2)*10^-2*(VLOOKUP($KT$9,各项系数!$D$1:$F$143,3,0))*10^-3*10^2*各项系数!$J$4</f>
        <v>1.41896866724571</v>
      </c>
      <c r="KU81" s="127">
        <v>1</v>
      </c>
      <c r="KV81" s="95">
        <f t="shared" si="417"/>
        <v>1.41896866724571</v>
      </c>
      <c r="KW81" s="95">
        <f>KV81*(VLOOKUP($KT$9,各项系数!$D$1:$F$143,2,0))</f>
        <v>24.122467343177</v>
      </c>
      <c r="KX81" s="95">
        <f>各项系数!$F$76/4*($NH81^2-$NE81^2)*10^-2*(VLOOKUP($KX$9,各项系数!$D$1:$F$143,3,0))*10^-3*10^2*各项系数!$J$4</f>
        <v>1.41628540782753</v>
      </c>
      <c r="KY81" s="481">
        <v>1</v>
      </c>
      <c r="KZ81" s="95">
        <f t="shared" si="418"/>
        <v>1.41628540782753</v>
      </c>
      <c r="LA81" s="95">
        <f>KZ81*(VLOOKUP($KX$9,各项系数!$D$1:$F$143,2,0))</f>
        <v>24.0768519330681</v>
      </c>
      <c r="LB81" s="95">
        <f>各项系数!$F$76/4*($NI81^2-$NF81^2)*10^-2*(VLOOKUP($LB$9,各项系数!$D$1:$F$143,3,0))*10^-3*10^2*各项系数!$J$4</f>
        <v>1.41896866724571</v>
      </c>
      <c r="LC81" s="481">
        <v>1</v>
      </c>
      <c r="LD81" s="95">
        <f t="shared" si="419"/>
        <v>1.41896866724571</v>
      </c>
      <c r="LE81" s="95">
        <f>LD81*(VLOOKUP($LB$9,各项系数!$D$1:$F$143,2,0))</f>
        <v>24.122467343177</v>
      </c>
      <c r="LF81" s="304">
        <f>各项系数!$F$76/4*($NH81^2-$NE81^2)*10^-2*(VLOOKUP(AN81,各项系数!$D$1:$F$143,3,0))*10^-3*10^2*各项系数!$J$4</f>
        <v>1.43582037896998</v>
      </c>
      <c r="LG81" s="127">
        <v>1</v>
      </c>
      <c r="LH81" s="95">
        <f t="shared" si="302"/>
        <v>1.43582037896998</v>
      </c>
      <c r="LI81" s="95">
        <f>LH81*(VLOOKUP(AN81,各项系数!$D$1:$F$143,2,0))</f>
        <v>14.3582037896998</v>
      </c>
      <c r="LJ81" s="304">
        <f>各项系数!$F$76/4*($NI81^2-$NF81^2)*10^-2*(VLOOKUP(AN81,各项系数!$D$1:$F$143,3,0))*10^-3*10^2*各项系数!$J$4</f>
        <v>1.43854064886289</v>
      </c>
      <c r="LK81" s="127">
        <v>1</v>
      </c>
      <c r="LL81" s="95">
        <f t="shared" si="303"/>
        <v>1.43854064886289</v>
      </c>
      <c r="LM81" s="95">
        <f>LL81*(VLOOKUP(AN81,各项系数!$D$1:$F$143,2,0))</f>
        <v>14.3854064886289</v>
      </c>
      <c r="LN81" s="95">
        <f>各项系数!$F$76/4*($NH81^2-$NE81^2)*10^-2*(VLOOKUP($LN$9,各项系数!$D$1:$F$143,3,0))*10^-3*10^2*各项系数!$J$4</f>
        <v>1.43582037896998</v>
      </c>
      <c r="LO81" s="481">
        <v>1</v>
      </c>
      <c r="LP81" s="95">
        <f t="shared" si="304"/>
        <v>1.43582037896998</v>
      </c>
      <c r="LQ81" s="95">
        <f>LP81*(VLOOKUP($LN$9,各项系数!$D$1:$F$143,2,0))</f>
        <v>15.7940241686698</v>
      </c>
      <c r="LR81" s="95">
        <f>各项系数!$F$76/4*($NI81^2-$NF81^2)*10^-2*(VLOOKUP($LR$9,各项系数!$D$1:$F$143,3,0))*10^-3*10^2*各项系数!$J$4</f>
        <v>1.43854064886289</v>
      </c>
      <c r="LS81" s="481">
        <v>1</v>
      </c>
      <c r="LT81" s="95">
        <f t="shared" si="305"/>
        <v>1.43854064886289</v>
      </c>
      <c r="LU81" s="95">
        <f>LT81*(VLOOKUP($LR$9,各项系数!$D$1:$F$143,2,0))</f>
        <v>15.8239471374918</v>
      </c>
      <c r="LV81" s="501">
        <f t="shared" si="420"/>
        <v>2510.6095498</v>
      </c>
      <c r="LW81" s="501">
        <f t="shared" si="421"/>
        <v>1890.70595726</v>
      </c>
      <c r="LX81" s="501">
        <f t="shared" si="422"/>
        <v>49.0644636396831</v>
      </c>
      <c r="LY81" s="519">
        <f t="shared" si="423"/>
        <v>619.90359254</v>
      </c>
      <c r="LZ81" s="516">
        <f t="shared" si="365"/>
        <v>1</v>
      </c>
      <c r="MA81" s="517">
        <f t="shared" si="366"/>
        <v>2510.6095498</v>
      </c>
      <c r="MB81" s="501">
        <f t="shared" si="424"/>
        <v>28.26927378</v>
      </c>
      <c r="MC81" s="501">
        <f t="shared" si="425"/>
        <v>0</v>
      </c>
      <c r="MD81" s="501">
        <f t="shared" si="426"/>
        <v>0</v>
      </c>
      <c r="ME81" s="501">
        <f t="shared" si="427"/>
        <v>0</v>
      </c>
      <c r="MF81" s="501">
        <f t="shared" si="428"/>
        <v>0</v>
      </c>
      <c r="MG81" s="527">
        <f t="shared" si="429"/>
        <v>1</v>
      </c>
      <c r="MH81" s="517">
        <f t="shared" si="367"/>
        <v>0</v>
      </c>
      <c r="MI81" s="501">
        <f t="shared" si="430"/>
        <v>0</v>
      </c>
      <c r="MJ81" s="95">
        <f t="shared" si="368"/>
        <v>28.26927378</v>
      </c>
      <c r="MK81" s="95">
        <f t="shared" si="431"/>
        <v>28.26927378</v>
      </c>
      <c r="ML81" s="95">
        <f t="shared" si="306"/>
        <v>0</v>
      </c>
      <c r="MM81" s="95">
        <f t="shared" si="369"/>
        <v>0</v>
      </c>
      <c r="MN81" s="95">
        <f t="shared" si="370"/>
        <v>32.66927378</v>
      </c>
      <c r="MO81" s="251">
        <f t="shared" si="432"/>
        <v>0</v>
      </c>
      <c r="MP81" s="95">
        <f t="shared" si="433"/>
        <v>79.05964255</v>
      </c>
      <c r="MQ81" s="95">
        <f t="shared" si="307"/>
        <v>79.05964255</v>
      </c>
      <c r="MR81" s="314">
        <f t="shared" si="434"/>
        <v>79.05964255</v>
      </c>
      <c r="MS81" s="530">
        <f t="shared" si="371"/>
        <v>79.23564255</v>
      </c>
      <c r="MT81" s="532">
        <f t="shared" si="372"/>
        <v>79.39564255</v>
      </c>
      <c r="MU81" s="532">
        <f t="shared" si="373"/>
        <v>80.73564255</v>
      </c>
      <c r="MV81" s="532">
        <f t="shared" si="374"/>
        <v>86.63564255</v>
      </c>
      <c r="MW81" s="532">
        <f t="shared" si="375"/>
        <v>86.79564255</v>
      </c>
      <c r="MX81" s="314">
        <f t="shared" si="376"/>
        <v>28.86927378</v>
      </c>
      <c r="MY81" s="314">
        <f t="shared" si="377"/>
        <v>0</v>
      </c>
      <c r="MZ81" s="95">
        <f t="shared" si="378"/>
        <v>33.26927378</v>
      </c>
      <c r="NA81" s="95">
        <f t="shared" si="379"/>
        <v>0</v>
      </c>
      <c r="NB81" s="95">
        <f t="shared" si="435"/>
        <v>80.51164255</v>
      </c>
      <c r="NC81" s="314">
        <f t="shared" si="308"/>
        <v>80.51164255</v>
      </c>
      <c r="ND81" s="314">
        <f t="shared" si="436"/>
        <v>80.51164255</v>
      </c>
      <c r="NE81" s="537">
        <f t="shared" si="437"/>
        <v>80.75164255</v>
      </c>
      <c r="NF81" s="532">
        <f t="shared" si="380"/>
        <v>80.91164255</v>
      </c>
      <c r="NG81" s="180">
        <f t="shared" si="381"/>
        <v>82.25164255</v>
      </c>
      <c r="NH81" s="314">
        <f t="shared" si="382"/>
        <v>88.15164255</v>
      </c>
      <c r="NI81" s="532">
        <f t="shared" si="383"/>
        <v>88.31164255</v>
      </c>
      <c r="NK81" s="541">
        <f t="shared" si="384"/>
        <v>21.2703729340492</v>
      </c>
      <c r="NL81" s="541">
        <f t="shared" si="385"/>
        <v>1146.70921100349</v>
      </c>
      <c r="NM81" s="541">
        <f t="shared" si="386"/>
        <v>21.2703729340492</v>
      </c>
      <c r="NN81" s="541">
        <f t="shared" si="387"/>
        <v>1148.11925682523</v>
      </c>
      <c r="NO81" s="541">
        <f t="shared" si="388"/>
        <v>27.6331989705109</v>
      </c>
      <c r="NP81" s="541">
        <f t="shared" si="389"/>
        <v>1155.13461832013</v>
      </c>
      <c r="NQ81" s="541">
        <f t="shared" si="390"/>
        <v>27.6331989705109</v>
      </c>
      <c r="NR81" s="541">
        <f t="shared" si="391"/>
        <v>1156.5704386991</v>
      </c>
      <c r="NS81" s="541">
        <f t="shared" si="392"/>
        <v>21.3811636621851</v>
      </c>
      <c r="NT81" s="541">
        <f t="shared" si="393"/>
        <v>21.3811636621851</v>
      </c>
      <c r="NU81" s="541">
        <f t="shared" si="394"/>
        <v>27.7461072978802</v>
      </c>
      <c r="NV81" s="541">
        <f t="shared" si="395"/>
        <v>27.7461072978802</v>
      </c>
      <c r="NW81" s="11">
        <f t="shared" si="396"/>
        <v>22.7367748111133</v>
      </c>
      <c r="NX81" s="11">
        <f>各项系数!$M$9*NK81</f>
        <v>6.38111188021476</v>
      </c>
      <c r="NY81" s="11">
        <f t="shared" si="397"/>
        <v>21.3811636621851</v>
      </c>
    </row>
    <row r="82" s="11" customFormat="1" customHeight="1" spans="1:389">
      <c r="A82" s="81"/>
      <c r="B82" s="82"/>
      <c r="C82" s="83"/>
      <c r="D82" s="74" t="s">
        <v>922</v>
      </c>
      <c r="E82" s="70">
        <f t="shared" si="325"/>
        <v>97.39159617</v>
      </c>
      <c r="F82" s="84">
        <f>$F$34</f>
        <v>357.206594414564</v>
      </c>
      <c r="G82" s="74"/>
      <c r="H82" s="23"/>
      <c r="I82" s="78"/>
      <c r="J82" s="23"/>
      <c r="K82" s="23"/>
      <c r="L82" s="128" t="s">
        <v>467</v>
      </c>
      <c r="M82" s="119">
        <f t="shared" si="339"/>
        <v>2.4</v>
      </c>
      <c r="N82" s="119">
        <f t="shared" si="340"/>
        <v>0</v>
      </c>
      <c r="O82" s="74">
        <f t="shared" si="438"/>
        <v>0.08</v>
      </c>
      <c r="P82" s="120">
        <v>0.1</v>
      </c>
      <c r="Q82" s="165">
        <f t="shared" si="337"/>
        <v>0.1</v>
      </c>
      <c r="R82" s="182">
        <v>0.8</v>
      </c>
      <c r="S82" s="173" t="str">
        <f>各项系数!$D$43</f>
        <v>钢带</v>
      </c>
      <c r="T82" s="78">
        <v>0.5</v>
      </c>
      <c r="U82" s="78">
        <v>2</v>
      </c>
      <c r="V82" s="172"/>
      <c r="W82" s="174">
        <v>3.9</v>
      </c>
      <c r="X82" s="168">
        <f t="shared" si="338"/>
        <v>0.2</v>
      </c>
      <c r="Y82" s="221"/>
      <c r="Z82" s="222"/>
      <c r="AA82" s="223">
        <f>$AA$34</f>
        <v>1.03</v>
      </c>
      <c r="AB82" s="186">
        <f>PI()*EJ82*EJ82/4*EH82*(1-H82)*AA82*各项系数!$F$5*各项系数!$J$4*10^-7</f>
        <v>5.56955783990862</v>
      </c>
      <c r="AC82" s="224">
        <f t="shared" si="327"/>
        <v>357.206594414564</v>
      </c>
      <c r="AD82" s="186">
        <f t="shared" si="341"/>
        <v>629.645170725237</v>
      </c>
      <c r="AE82" s="186">
        <f>POWER(4*EU82/PI()/EG82/10^-7/EH82/(1-H82)/各项系数!$F$5/各项系数!$J$4,0.5)</f>
        <v>362.525099304928</v>
      </c>
      <c r="AF82" s="225">
        <v>1</v>
      </c>
      <c r="AG82" s="23">
        <f>IF(EM82=0,0,PI()*ER82*ER82/4*EP82*(1-K82)*(1+AF82)*各项系数!$F$5*各项系数!$J$4*10^-7)</f>
        <v>0</v>
      </c>
      <c r="AH82" s="23">
        <f t="shared" si="328"/>
        <v>0</v>
      </c>
      <c r="AI82" s="85">
        <f t="shared" si="398"/>
        <v>0</v>
      </c>
      <c r="AJ82" s="85">
        <f>IF(OR(EP82="",EP82=0),0,POWER(4*EW82/PI()/EO82/10^-7/EP82/(1-K82)/各项系数!$F$5/各项系数!$J$4,0.5))</f>
        <v>0</v>
      </c>
      <c r="AK82" s="23" t="str">
        <f t="shared" si="342"/>
        <v>√</v>
      </c>
      <c r="AL82" s="23">
        <f t="shared" si="329"/>
        <v>1541.00501645126</v>
      </c>
      <c r="AM82" s="127">
        <f t="shared" si="330"/>
        <v>630</v>
      </c>
      <c r="AN82" s="128" t="s">
        <v>486</v>
      </c>
      <c r="AO82" s="176">
        <f>AP82+各项系数!$M$9*$NK82</f>
        <v>1510.78923181496</v>
      </c>
      <c r="AP82" s="176">
        <f>AQ82*(1+$BI82+(VLOOKUP($AM82,$A$12:$B$323,2,0))+各项系数!$J$6+各项系数!$M$5)*(1+$E$2)</f>
        <v>1502.54070283563</v>
      </c>
      <c r="AQ82" s="262">
        <f>AR82+各项系数!$L$9*$NK82</f>
        <v>1533.20479881186</v>
      </c>
      <c r="AR82" s="262">
        <f>AS82*(1+$BJ82+各项系数!$J$5+各项系数!$L$5)</f>
        <v>1524.95626983253</v>
      </c>
      <c r="AS82" s="262">
        <f t="shared" si="399"/>
        <v>1495.05516650248</v>
      </c>
      <c r="AT82" s="176">
        <f>AU82+各项系数!$M$9*$NM82</f>
        <v>1522.12522205082</v>
      </c>
      <c r="AU82" s="176">
        <f>AV82*(1+$BI82+(VLOOKUP($AM82,$A$12:$B$323,2,0))+各项系数!$J$6+各项系数!$M$5)*(1+$E$2)</f>
        <v>1513.87669307149</v>
      </c>
      <c r="AV82" s="262">
        <f>AW82+各项系数!$L$9*$NM82</f>
        <v>1544.77213578723</v>
      </c>
      <c r="AW82" s="262">
        <f>AX82*(1+$BJ82+各项系数!$J$5+各项系数!$L$5)</f>
        <v>1536.52360680789</v>
      </c>
      <c r="AX82" s="262">
        <f t="shared" si="400"/>
        <v>1506.39569294892</v>
      </c>
      <c r="AY82" s="176">
        <f>AZ82+各项系数!$M$9*$NS82</f>
        <v>1519.3437119002</v>
      </c>
      <c r="AZ82" s="176">
        <f>BA82*(1+$BI82+(VLOOKUP($AM82,$A$12:$B$214,2,0))+各项系数!$J$6+各项系数!$M$5)*(1+$E$2)</f>
        <v>1511.05760604026</v>
      </c>
      <c r="BA82" s="262">
        <f>BB82+各项系数!$L$9*$NS82</f>
        <v>1541.89551636762</v>
      </c>
      <c r="BB82" s="262">
        <f>BC82*(1+$BJ82+各项系数!$J$5+各项系数!$L$5)</f>
        <v>1533.60941050768</v>
      </c>
      <c r="BC82" s="262">
        <f t="shared" si="401"/>
        <v>1503.53863775263</v>
      </c>
      <c r="BD82" s="176">
        <f>BE82+各项系数!$M$9*$NS82</f>
        <v>1530.69910236573</v>
      </c>
      <c r="BE82" s="176">
        <f>BF82*(1+$BI82+(VLOOKUP($AM82,$A$12:$B$214,2,0))+各项系数!$J$6+各项系数!$M$5)*(1+$E$2)</f>
        <v>1522.41299650579</v>
      </c>
      <c r="BF82" s="262">
        <f>BG82+各项系数!$L$9*$NS82</f>
        <v>1553.48264949571</v>
      </c>
      <c r="BG82" s="262">
        <f>BH82*(1+$BJ82+各项系数!$J$5+各项系数!$L$5)</f>
        <v>1545.19654363577</v>
      </c>
      <c r="BH82" s="262">
        <f t="shared" si="402"/>
        <v>1514.89857219193</v>
      </c>
      <c r="BI82" s="278"/>
      <c r="BJ82" s="279"/>
      <c r="BK82" s="95" t="s">
        <v>514</v>
      </c>
      <c r="BL82" s="176">
        <f>BM82+各项系数!$M$9*$NM82</f>
        <v>1527.13195609198</v>
      </c>
      <c r="BM82" s="176">
        <f>BN82*(1+$CF82+(VLOOKUP($AM82,$A$12:$B$323,2,0))+各项系数!$J$6+各项系数!$M$5)*(1+$E$2)</f>
        <v>1518.88342711265</v>
      </c>
      <c r="BN82" s="262">
        <f>BO82+各项系数!$L$9*$NM82</f>
        <v>1549.88104807413</v>
      </c>
      <c r="BO82" s="262">
        <f>BP82*(1+$CG82+各项系数!$J$5+各项系数!$L$5)</f>
        <v>1541.63251909479</v>
      </c>
      <c r="BP82" s="262">
        <f t="shared" si="403"/>
        <v>1496.73060106291</v>
      </c>
      <c r="BQ82" s="176">
        <f>BR82+各项系数!$M$9*$NM82</f>
        <v>1536.88789984172</v>
      </c>
      <c r="BR82" s="176">
        <f>BS82*(1+$CF82+(VLOOKUP($AM82,$A$12:$B$323,2,0))+各项系数!$J$6+各项系数!$M$5)*(1+$E$2)</f>
        <v>1528.63937086238</v>
      </c>
      <c r="BS82" s="262">
        <f>BT82+各项系数!$L$9*$NM82</f>
        <v>1559.83609271672</v>
      </c>
      <c r="BT82" s="262">
        <f>BU82*(1+$CG82+各项系数!$J$5+各项系数!$L$5)</f>
        <v>1551.58756373738</v>
      </c>
      <c r="BU82" s="262">
        <f t="shared" si="404"/>
        <v>1506.39569294892</v>
      </c>
      <c r="BV82" s="176">
        <f>BW82+各项系数!$M$9*$NT82</f>
        <v>1527.66018285206</v>
      </c>
      <c r="BW82" s="176">
        <f>BX82*(1+$CF82+(VLOOKUP($AM82,$A$12:$B$214,2,0))+各项系数!$J$6+各项系数!$M$5)*(1+$E$2)</f>
        <v>1519.37407699213</v>
      </c>
      <c r="BX82" s="262">
        <f>BY82+各项系数!$L$9*$NT$12</f>
        <v>1550.38171121646</v>
      </c>
      <c r="BY82" s="262">
        <f>BZ82*(1+$CG82+各项系数!$J$5+各项系数!$L$5)</f>
        <v>1550.3734478133</v>
      </c>
      <c r="BZ82" s="262">
        <f t="shared" si="343"/>
        <v>1505.21693962457</v>
      </c>
      <c r="CA82" s="176">
        <f>CB82+各项系数!$M$9*$NT82</f>
        <v>1537.43282276556</v>
      </c>
      <c r="CB82" s="176">
        <f>CC82*(1+$CF82+(VLOOKUP($AM82,$A$12:$B$214,2,0))+各项系数!$J$6+各项系数!$M$5)*(1+$E$2)</f>
        <v>1529.14671690563</v>
      </c>
      <c r="CC82" s="262">
        <f>CD82+各项系数!$L$9*$NT$12</f>
        <v>1560.35379276085</v>
      </c>
      <c r="CD82" s="262">
        <f>CE82*(1+$CG82+各项系数!$J$5+各项系数!$L$5)</f>
        <v>1560.34552935769</v>
      </c>
      <c r="CE82" s="262">
        <f t="shared" si="405"/>
        <v>1514.89857219193</v>
      </c>
      <c r="CF82" s="278">
        <f t="shared" si="406"/>
        <v>0</v>
      </c>
      <c r="CG82" s="278">
        <f t="shared" si="344"/>
        <v>0.01</v>
      </c>
      <c r="CH82" s="127"/>
      <c r="CI82" s="176">
        <f>CJ82+各项系数!$M$9*$NO82</f>
        <v>1533.89547014165</v>
      </c>
      <c r="CJ82" s="176">
        <f>CK82*(1+$DC82+(VLOOKUP($AM82,$A$12:$B$323,2,0))+各项系数!$J$6+各项系数!$M$5)*(1+$E$2)+各项系数!$M$9*$NK82</f>
        <v>1523.22725133673</v>
      </c>
      <c r="CK82" s="262">
        <f>CL82+各项系数!$L$9*$NO82</f>
        <v>1545.89665546673</v>
      </c>
      <c r="CL82" s="262">
        <f>CM82*(1+$DD82+各项系数!$J$5+各项系数!$L$5)</f>
        <v>1535.22843666182</v>
      </c>
      <c r="CM82" s="262">
        <f t="shared" si="345"/>
        <v>1505.1259182959</v>
      </c>
      <c r="CN82" s="176">
        <f>CO82+各项系数!$M$9*$NO82</f>
        <v>1544.95989128317</v>
      </c>
      <c r="CO82" s="176">
        <f>CP82*(1+$DC82+(VLOOKUP($AM82,$A$12:$B$323,2,0))+各项系数!$J$6+各项系数!$M$5)*(1+$E$2)+各项系数!$M$9*$NK82</f>
        <v>1534.29167247825</v>
      </c>
      <c r="CP82" s="262">
        <f>CQ82+各项系数!$L$9*$NO82</f>
        <v>1557.18688112134</v>
      </c>
      <c r="CQ82" s="262">
        <f>CR82*(1+$DD82+各项系数!$J$5+各项系数!$L$5)</f>
        <v>1546.51866231642</v>
      </c>
      <c r="CR82" s="262">
        <f t="shared" si="346"/>
        <v>1516.19476697688</v>
      </c>
      <c r="CS82" s="176">
        <f>CT82+各项系数!$M$9*$NU82</f>
        <v>1534.34555987457</v>
      </c>
      <c r="CT82" s="176">
        <f t="shared" si="347"/>
        <v>1523.63912890928</v>
      </c>
      <c r="CU82" s="262">
        <f>CV82+各项系数!$L$9*$NU82</f>
        <v>1554.73380500947</v>
      </c>
      <c r="CV82" s="262">
        <f>CW82*(1+$DD82+各项系数!$J$5+各项系数!$L$5)</f>
        <v>1544.02737404418</v>
      </c>
      <c r="CW82" s="262">
        <f t="shared" si="348"/>
        <v>1513.7523274943</v>
      </c>
      <c r="CX82" s="176">
        <f>CY82+各项系数!$M$9*$NU82</f>
        <v>1545.8847675162</v>
      </c>
      <c r="CY82" s="176">
        <f t="shared" si="349"/>
        <v>1535.17833655092</v>
      </c>
      <c r="CZ82" s="262">
        <f>DA82+各项系数!$L$9*$NU82</f>
        <v>1566.50850668461</v>
      </c>
      <c r="DA82" s="262">
        <f>DB82*(1+$DD82+各项系数!$J$5+各项系数!$L$5)</f>
        <v>1555.80207571932</v>
      </c>
      <c r="DB82" s="262">
        <f t="shared" si="350"/>
        <v>1525.296152666</v>
      </c>
      <c r="DC82" s="278">
        <f t="shared" si="407"/>
        <v>0</v>
      </c>
      <c r="DD82" s="278">
        <f t="shared" si="351"/>
        <v>0</v>
      </c>
      <c r="DE82" s="95" t="s">
        <v>498</v>
      </c>
      <c r="DF82" s="95" t="s">
        <v>513</v>
      </c>
      <c r="DG82" s="176">
        <f>DH82+各项系数!$M$9*$NQ82</f>
        <v>1550.3643109399</v>
      </c>
      <c r="DH82" s="176">
        <f>DI82*(1+$EA82+(VLOOKUP($AM82,$A$12:$B$323,2,0))+各项系数!$J$6+各项系数!$M$5)*(1+$E$2)+各项系数!$M$9*$NK82</f>
        <v>1539.69609213498</v>
      </c>
      <c r="DI82" s="262">
        <f>DJ82+各项系数!$L$9*$NQ82</f>
        <v>1562.70159505678</v>
      </c>
      <c r="DJ82" s="262">
        <f>DK82*(1+$EB82+各项系数!$J$5+各项系数!$L$5)</f>
        <v>1552.03337625186</v>
      </c>
      <c r="DK82" s="262">
        <f t="shared" si="352"/>
        <v>1506.82852063287</v>
      </c>
      <c r="DL82" s="176">
        <f>DM82+各项系数!$M$9*$NQ82</f>
        <v>1560.27845084127</v>
      </c>
      <c r="DM82" s="176">
        <f>DN82*(1+$EA82+(VLOOKUP($AM82,$A$12:$B$323,2,0))+各项系数!$J$6+各项系数!$M$5)*(1+$E$2)+各项系数!$M$9*$NK82</f>
        <v>1549.61023203635</v>
      </c>
      <c r="DN82" s="262">
        <f>DO82+各项系数!$L$9*$NQ82</f>
        <v>1572.81806434389</v>
      </c>
      <c r="DO82" s="262">
        <f>DP82*(1+$EB82+各项系数!$J$5+各项系数!$L$5)</f>
        <v>1562.14984553898</v>
      </c>
      <c r="DP82" s="262">
        <f t="shared" si="353"/>
        <v>1516.65033547473</v>
      </c>
      <c r="DQ82" s="176">
        <f>DR82+各项系数!$M$9*$NV82</f>
        <v>1550.90183374719</v>
      </c>
      <c r="DR82" s="176">
        <f t="shared" si="354"/>
        <v>1540.1954027819</v>
      </c>
      <c r="DS82" s="262">
        <f>DT82+各项系数!$L$9*$NV82</f>
        <v>1571.62796202235</v>
      </c>
      <c r="DT82" s="262">
        <f>DU82*(1+$EB82+各项系数!$J$5+各项系数!$L$5)</f>
        <v>1560.92153105706</v>
      </c>
      <c r="DU82" s="262">
        <f t="shared" si="355"/>
        <v>1515.45779714278</v>
      </c>
      <c r="DV82" s="176">
        <f>DW82+各项系数!$M$9*$NV82</f>
        <v>1548.88706084248</v>
      </c>
      <c r="DW82" s="176">
        <f t="shared" si="356"/>
        <v>1538.18062987719</v>
      </c>
      <c r="DX82" s="262">
        <f>DY82+各项系数!$L$9*$NV82</f>
        <v>1569.57207130326</v>
      </c>
      <c r="DY82" s="262">
        <f>DZ82*(1+$EB82+各项系数!$J$5+各项系数!$L$5)</f>
        <v>1558.86564033797</v>
      </c>
      <c r="DZ82" s="262">
        <f t="shared" si="357"/>
        <v>1513.46178673589</v>
      </c>
      <c r="EA82" s="278">
        <f t="shared" si="439"/>
        <v>0</v>
      </c>
      <c r="EB82" s="278">
        <f t="shared" si="358"/>
        <v>0.01</v>
      </c>
      <c r="EC82" s="302">
        <f t="shared" si="408"/>
        <v>4</v>
      </c>
      <c r="ED82" s="304" t="str">
        <f t="shared" si="331"/>
        <v>4*630</v>
      </c>
      <c r="EE82" s="95">
        <f t="shared" si="239"/>
        <v>630</v>
      </c>
      <c r="EF82" s="95" t="str">
        <f>LOOKUP(EH82,{1,7,10,14,19,24,30,37,48,61},{1,"1+6","2+8","4+10","1+6+12","2+8+14","4+10+16","1+6+12+18","3+9+15+21","1+6+12+18+24"})</f>
        <v>1+6+12+18+24</v>
      </c>
      <c r="EG82" s="127">
        <f t="shared" si="359"/>
        <v>4</v>
      </c>
      <c r="EH82" s="262">
        <f>VLOOKUP(EE82,各项系数!$B$87:$C$124,2,0)</f>
        <v>61</v>
      </c>
      <c r="EI82" s="127">
        <f>IF(EH82=0,0,VLOOKUP(EH82,各项系数!$D$142:$E$195,2,0))*1</f>
        <v>9</v>
      </c>
      <c r="EJ82" s="307">
        <f t="shared" si="409"/>
        <v>357.206594414564</v>
      </c>
      <c r="EK82" s="95">
        <f t="shared" si="332"/>
        <v>0</v>
      </c>
      <c r="EL82" s="95">
        <f t="shared" si="360"/>
        <v>0</v>
      </c>
      <c r="EM82" s="95">
        <f t="shared" si="333"/>
        <v>0</v>
      </c>
      <c r="EN82" s="95">
        <f>IF(EP82=0,0,LOOKUP(EP82,{1,7,10,14,19,24,30,37,48,61},{1,"1+6","2+8","4+10","1+6+12","2+8+14","4+10+16","1+6+12+18","3+9+15+21","1+6+12+18+24"}))</f>
        <v>0</v>
      </c>
      <c r="EO82" s="95">
        <f t="shared" si="334"/>
        <v>0</v>
      </c>
      <c r="EP82" s="95">
        <f>IF(EM82=0,0,IF(EM82&lt;10,1,IF(AND(EM82&gt;=10,EM82&lt;=35),7,LOOKUP(EM82,{50,70,95,120,150,185,240,300},{10,14,19,24,30,37,48,61})*1)))</f>
        <v>0</v>
      </c>
      <c r="EQ82" s="95">
        <f>IF(EP82=0,0,VLOOKUP(EP82,各项系数!$D$142:$E$195,2,0))*1</f>
        <v>0</v>
      </c>
      <c r="ER82" s="95">
        <f t="shared" si="335"/>
        <v>0</v>
      </c>
      <c r="ES82" s="304">
        <f t="shared" si="336"/>
        <v>4</v>
      </c>
      <c r="ET82" s="95">
        <f>VLOOKUP(ES82,各项系数!$D$142:$E$195,2,0)*1</f>
        <v>2.42</v>
      </c>
      <c r="EU82" s="311">
        <f>((各项系数!$F$76/4*$EJ82^2*$EG82*$EH82*1*10^-7)*(1-$H82)*AA82)*(VLOOKUP($EY$9,各项系数!$D$4:$F$143,3,0))*各项系数!$J$4</f>
        <v>22.2782313596345</v>
      </c>
      <c r="EV82" s="312">
        <f>EU82*(VLOOKUP($EY$9,各项系数!$D$4:$F$143,2,0))</f>
        <v>1459.22415405606</v>
      </c>
      <c r="EW82" s="324">
        <f>(IF($EO82=0,0,(各项系数!$F$76/4*$ER82^2*$EO82*$EP82*1*10^-7))*(1-$K82)*$AF82)*(VLOOKUP($EY$9,各项系数!$D$4:$F$143,3,0))*各项系数!$J$4</f>
        <v>0</v>
      </c>
      <c r="EX82" s="325">
        <f>EW82*(VLOOKUP($EY$9,各项系数!$D$4:$F$143,2,0))</f>
        <v>0</v>
      </c>
      <c r="EY82" s="251">
        <f>((各项系数!$F$76/4*$EJ82^2*$EG82*$EH82*1*10^-7)*(1-$H82)*AA82+IF($EO82=0,0,(各项系数!$F$76/4*$ER82^2*$EO82*$EP82*1*10^-7))*(1-$K82)*$AF82)*(VLOOKUP($EY$9,各项系数!$D$4:$F$143,3,0))*各项系数!$J$4</f>
        <v>22.2782313596345</v>
      </c>
      <c r="EZ82" s="127">
        <v>1</v>
      </c>
      <c r="FA82" s="95">
        <f t="shared" si="268"/>
        <v>22.2782313596345</v>
      </c>
      <c r="FB82" s="314">
        <f>FA82*(VLOOKUP($EY$9,各项系数!$D$4:$F$143,2,0))</f>
        <v>1459.22415405606</v>
      </c>
      <c r="FC82" s="329"/>
      <c r="FD82" s="304">
        <f>各项系数!$F$76/4*($MN82^2-MK82^2)*10^-2*(VLOOKUP(L82,各项系数!$D$1:$F$143,3,0))*10^-3*10^2*$EG82*各项系数!$J$4</f>
        <v>1.14042634853418</v>
      </c>
      <c r="FE82" s="341">
        <f>FD82*VLOOKUP(L82,各项系数!$D$1:$F$143,2,0)</f>
        <v>11.6323487550487</v>
      </c>
      <c r="FF82" s="127">
        <f>各项系数!$F$76/4*($MO82^2-ML82^2)*10^-2*(VLOOKUP(L82,各项系数!$D$1:$F$143,3,0))*10^-3*10^2*$EO82*各项系数!$J$4</f>
        <v>0</v>
      </c>
      <c r="FG82" s="341">
        <f>FF82*VLOOKUP(L82,各项系数!$D$1:$F$143,2,0)</f>
        <v>0</v>
      </c>
      <c r="FH82" s="304">
        <f t="shared" si="410"/>
        <v>1.14042634853418</v>
      </c>
      <c r="FI82" s="127">
        <v>1</v>
      </c>
      <c r="FJ82" s="95">
        <f t="shared" si="269"/>
        <v>1.14042634853418</v>
      </c>
      <c r="FK82" s="341">
        <f>FJ82*VLOOKUP(L82,各项系数!$D$1:$F$143,2,0)</f>
        <v>11.6323487550487</v>
      </c>
      <c r="FL82" s="304"/>
      <c r="FM82" s="127"/>
      <c r="FN82" s="95"/>
      <c r="FO82" s="341"/>
      <c r="FP82" s="371">
        <f t="shared" si="270"/>
        <v>1.14042634853418</v>
      </c>
      <c r="FQ82" s="371">
        <f t="shared" si="271"/>
        <v>11.6323487550487</v>
      </c>
      <c r="FR82" s="365">
        <f>各项系数!$F$76/4*($MQ82^2-$MN82^2*$EG82-$MO82^2*$EO82)*10^-2</f>
        <v>19.9047745118084</v>
      </c>
      <c r="FS82" s="366">
        <f t="shared" si="411"/>
        <v>1</v>
      </c>
      <c r="FT82" s="367">
        <f t="shared" si="361"/>
        <v>19.9047745118084</v>
      </c>
      <c r="FU82" s="395">
        <f>$FT82*(VLOOKUP($FT$9,各项系数!$D$1:$F$143,3,0))*10^-3*10^2*各项系数!$J$55</f>
        <v>2.37663007670992</v>
      </c>
      <c r="FV82" s="396">
        <v>1</v>
      </c>
      <c r="FW82" s="397">
        <f t="shared" si="272"/>
        <v>2.37663007670992</v>
      </c>
      <c r="FX82" s="372">
        <f>FW82*(VLOOKUP($FT$9,各项系数!$D$1:$F$143,2,0))</f>
        <v>7.12989023012977</v>
      </c>
      <c r="FY82" s="395">
        <f>IF($BK82&lt;&gt;$FY$9,0,各项系数!$F$76/4*($MS82^2-$MQ82^2)*10^-2*(VLOOKUP($FY$9,各项系数!$D$1:$F$143,3,0))*10^-3*10^2)*各项系数!$J$4</f>
        <v>0</v>
      </c>
      <c r="FZ82" s="396">
        <v>1</v>
      </c>
      <c r="GA82" s="397">
        <f t="shared" si="273"/>
        <v>0</v>
      </c>
      <c r="GB82" s="372">
        <f>GA82*(VLOOKUP($FY$9,各项系数!$D$1:$F$143,2,0))</f>
        <v>0</v>
      </c>
      <c r="GC82" s="395">
        <f>IF($BK82&lt;&gt;$GC$9,0,各项系数!$F$76/4*($MS82^2-$MQ82^2)*10^-2*(VLOOKUP($GC$9,各项系数!$D$1:$F$143,3,0))*10^-3*10^2)*各项系数!$J$4</f>
        <v>0.0243742524772201</v>
      </c>
      <c r="GD82" s="396">
        <v>1</v>
      </c>
      <c r="GE82" s="397">
        <f t="shared" si="274"/>
        <v>0.0243742524772201</v>
      </c>
      <c r="GF82" s="372">
        <f>GE82*(VLOOKUP($GC$9,各项系数!$D$1:$F$143,2,0))</f>
        <v>0.31442785695614</v>
      </c>
      <c r="GG82" s="395">
        <f>IF($BK82&lt;&gt;$GG$9,0,各项系数!$F$76/4*($MS82^2-$MQ82^2)*10^-2*(VLOOKUP($GG$9,各项系数!$D$1:$F$143,3,0))*10^-3*10^2)*各项系数!$J$4</f>
        <v>0</v>
      </c>
      <c r="GH82" s="396">
        <v>1</v>
      </c>
      <c r="GI82" s="397">
        <f t="shared" si="275"/>
        <v>0</v>
      </c>
      <c r="GJ82" s="372">
        <f>GI82*(VLOOKUP($GG$9,各项系数!$D$1:$F$143,2,0))</f>
        <v>0</v>
      </c>
      <c r="GK82" s="395">
        <f>IF($BK82&lt;&gt;$GK$9,0,各项系数!$F$76/4*($MS82^2-$MQ82^2)*10^-2*(VLOOKUP($GK$9,各项系数!$D$1:$F$143,3,0))*10^-3*10^2)*各项系数!$J$4</f>
        <v>0</v>
      </c>
      <c r="GL82" s="396">
        <v>1</v>
      </c>
      <c r="GM82" s="397">
        <f t="shared" si="276"/>
        <v>0</v>
      </c>
      <c r="GN82" s="372">
        <f>GM82*(VLOOKUP($GK$9,各项系数!$D$1:$F$143,2,0))</f>
        <v>0</v>
      </c>
      <c r="GO82" s="397">
        <f t="shared" si="277"/>
        <v>0.0243742524772201</v>
      </c>
      <c r="GP82" s="397">
        <f t="shared" si="278"/>
        <v>0.31442785695614</v>
      </c>
      <c r="GQ82" s="408">
        <f>各项系数!$F$76/4*($MU82^2-$MS82^2)*10^-2*(VLOOKUP($S82,各项系数!$D$1:$F$143,3,0))*10^-3*10^2*各项系数!$J$4</f>
        <v>1.6562608235327</v>
      </c>
      <c r="GR82" s="396">
        <v>1</v>
      </c>
      <c r="GS82" s="397">
        <f t="shared" si="279"/>
        <v>1.6562608235327</v>
      </c>
      <c r="GT82" s="397">
        <f t="shared" si="200"/>
        <v>0</v>
      </c>
      <c r="GU82" s="397">
        <f>ROUND($GS82*(VLOOKUP($S82,各项系数!$D$1:$F$143,2,0))+$E$3*GS82,GT82)</f>
        <v>10</v>
      </c>
      <c r="GV82" s="406">
        <f>各项系数!$F$76/4*($MT82^2-$MS82^2)*10^-2*(VLOOKUP($GV$9,各项系数!$D$1:$F$143,3,0))*10^-3*10^2*各项系数!$J$4*PI()/4*R82</f>
        <v>0.125256268667605</v>
      </c>
      <c r="GW82" s="396">
        <v>1</v>
      </c>
      <c r="GX82" s="397">
        <f t="shared" si="280"/>
        <v>0.125256268667605</v>
      </c>
      <c r="GY82" s="397">
        <f>$GX82*(VLOOKUP($GV$9,各项系数!$D$1:$F$143,2,0))</f>
        <v>8.45479813506336</v>
      </c>
      <c r="GZ82" s="408">
        <f>各项系数!$F$76/4*($MV82^2-$MS82^2)*10^-2*(VLOOKUP($GZ$9,各项系数!$D$1:$F$143,3,0))*10^-3*10^2*各项系数!$J$4</f>
        <v>1.65263953239549</v>
      </c>
      <c r="HA82" s="396">
        <v>1</v>
      </c>
      <c r="HB82" s="397">
        <f t="shared" si="412"/>
        <v>1.65263953239549</v>
      </c>
      <c r="HC82" s="397">
        <f>HB82*(VLOOKUP($GZ$9,各项系数!$D$1:$F$143,2,0))</f>
        <v>28.0948720507234</v>
      </c>
      <c r="HD82" s="408">
        <f>各项系数!$F$76/4*($MW82^2-$MT82^2)*10^-2*(VLOOKUP($HD$9,各项系数!$D$1:$F$143,3,0))*10^-3*10^2*各项系数!$J$4</f>
        <v>1.6554678328633</v>
      </c>
      <c r="HE82" s="396">
        <v>1</v>
      </c>
      <c r="HF82" s="397">
        <f t="shared" si="413"/>
        <v>1.6554678328633</v>
      </c>
      <c r="HG82" s="397">
        <f>HF82*(VLOOKUP($HD$9,各项系数!$D$1:$F$143,2,0))</f>
        <v>28.1429531586761</v>
      </c>
      <c r="HH82" s="408">
        <f>各项系数!$F$76/4*($MV82^2-$MS82^2)*10^-2*(VLOOKUP($HH$9,各项系数!$D$1:$F$143,3,0))*10^-3*10^2*各项系数!$J$4</f>
        <v>1.65263953239549</v>
      </c>
      <c r="HI82" s="397">
        <v>1</v>
      </c>
      <c r="HJ82" s="397">
        <f t="shared" si="414"/>
        <v>1.65263953239549</v>
      </c>
      <c r="HK82" s="397">
        <f>HJ82*(VLOOKUP($HH$9,各项系数!$D$1:$F$143,2,0))</f>
        <v>28.0948720507234</v>
      </c>
      <c r="HL82" s="408">
        <f>各项系数!$F$76/4*($MW82^2-$MT82^2)*10^-2*(VLOOKUP($HL$9,各项系数!$D$1:$F$143,3,0))*10^-3*10^2*各项系数!$J$4</f>
        <v>1.6554678328633</v>
      </c>
      <c r="HM82" s="397">
        <v>1</v>
      </c>
      <c r="HN82" s="397">
        <f t="shared" si="362"/>
        <v>1.6554678328633</v>
      </c>
      <c r="HO82" s="397">
        <f>HN82*(VLOOKUP($HL$9,各项系数!$D$1:$F$143,2,0))</f>
        <v>28.1429531586761</v>
      </c>
      <c r="HP82" s="408">
        <f>各项系数!$F$76/4*($MV82^2-$MS82^2)*10^-2*(VLOOKUP(AN82,各项系数!$D$1:$F$143,3,0))*10^-3*10^2*各项系数!$J$4</f>
        <v>1.67543456042853</v>
      </c>
      <c r="HQ82" s="396">
        <v>1</v>
      </c>
      <c r="HR82" s="397">
        <f t="shared" si="281"/>
        <v>1.67543456042853</v>
      </c>
      <c r="HS82" s="397">
        <f>HR82*(VLOOKUP(AN82,各项系数!$D$1:$F$143,2,0))</f>
        <v>16.7543456042853</v>
      </c>
      <c r="HT82" s="408">
        <f>各项系数!$F$76/4*($MW82^2-$MT82^2)*10^-2*(VLOOKUP(AN82,各项系数!$D$1:$F$143,3,0))*10^-3*10^2*各项系数!$J$4</f>
        <v>1.67830187193727</v>
      </c>
      <c r="HU82" s="396">
        <v>1</v>
      </c>
      <c r="HV82" s="397">
        <f t="shared" si="282"/>
        <v>1.67830187193727</v>
      </c>
      <c r="HW82" s="397">
        <f>HV82*(VLOOKUP(AN82,各项系数!$D$1:$F$143,2,0))</f>
        <v>16.7830187193727</v>
      </c>
      <c r="HX82" s="408">
        <f>各项系数!$F$76/4*($MV82^2-$MS82^2)*10^-2*(VLOOKUP($HX$9,各项系数!$D$1:$F$143,3,0))*10^-3*10^2*各项系数!$J$4</f>
        <v>1.67543456042853</v>
      </c>
      <c r="HY82" s="397">
        <v>1</v>
      </c>
      <c r="HZ82" s="397">
        <f t="shared" si="283"/>
        <v>1.67543456042853</v>
      </c>
      <c r="IA82" s="397">
        <f>HZ82*(VLOOKUP($HX$9,各项系数!$D$1:$F$143,2,0))</f>
        <v>18.4297801647139</v>
      </c>
      <c r="IB82" s="408">
        <f>各项系数!$F$76/4*($MW82^2-$MT82^2)*10^-2*(VLOOKUP($IB$9,各项系数!$D$1:$F$143,3,0))*10^-3*10^2*各项系数!$J$4</f>
        <v>1.67830187193727</v>
      </c>
      <c r="IC82" s="397">
        <v>1</v>
      </c>
      <c r="ID82" s="397">
        <f t="shared" si="284"/>
        <v>1.67830187193727</v>
      </c>
      <c r="IE82" s="397">
        <f>ID82*(VLOOKUP($IB$9,各项系数!$D$1:$F$143,2,0))</f>
        <v>18.46132059131</v>
      </c>
      <c r="IF82" s="395"/>
      <c r="IG82" s="408">
        <f t="shared" si="415"/>
        <v>0.182575010734365</v>
      </c>
      <c r="IH82" s="396">
        <v>1</v>
      </c>
      <c r="II82" s="397">
        <f t="shared" si="285"/>
        <v>0.182575010734365</v>
      </c>
      <c r="IJ82" s="397">
        <f>II82*(VLOOKUP($IG$8,各项系数!$D$1:$F$143,2,0))</f>
        <v>4.56437526835914</v>
      </c>
      <c r="IK82" s="408">
        <f>(各项系数!$F$76/4*($MX82^2-$MK82^2)*$EG82)*10^-2*(VLOOKUP($IG$8,各项系数!$D$1:$F$143,3,0))*10^-3*10^2*各项系数!$J$4</f>
        <v>0.182575010734365</v>
      </c>
      <c r="IL82" s="396">
        <f>IK82*(VLOOKUP($IG$8,各项系数!$D$1:$F$143,2,0))</f>
        <v>4.56437526835914</v>
      </c>
      <c r="IM82" s="397">
        <f>(各项系数!$F$76/4*(($MM82+3*$X82)^2-MM82^2)*$EO82)*10^-2*(VLOOKUP($IG$8,各项系数!$D$1:$F$143,3,0))*10^-3*10^2*各项系数!$J$4</f>
        <v>0</v>
      </c>
      <c r="IN82" s="396">
        <f>IM82*(VLOOKUP($IG$8,各项系数!$D$1:$F$143,2,0))</f>
        <v>0</v>
      </c>
      <c r="IO82" s="408">
        <f>各项系数!$F$76/4*($MZ82^2-$MX82^2)*10^-2*(VLOOKUP(L82,各项系数!$D$1:$F$143,3,0))*10^-3*10^2*$ES82*各项系数!$J$4</f>
        <v>1.16023195393206</v>
      </c>
      <c r="IP82" s="396">
        <v>1</v>
      </c>
      <c r="IQ82" s="397">
        <f t="shared" si="286"/>
        <v>1.16023195393206</v>
      </c>
      <c r="IR82" s="372">
        <f>IQ82*(VLOOKUP(L82,各项系数!$D$1:$F$143,2,0))</f>
        <v>11.834365930107</v>
      </c>
      <c r="IS82" s="408">
        <f>IF($L82&lt;&gt;$IS$9,0,各项系数!$F$76/4*($MZ82^2-$MX82^2)*10^-2*各项系数!$F$12*10^-3*10^2)*$ES82*各项系数!$J$4</f>
        <v>0</v>
      </c>
      <c r="IT82" s="396">
        <v>1</v>
      </c>
      <c r="IU82" s="397">
        <f t="shared" si="287"/>
        <v>0</v>
      </c>
      <c r="IV82" s="372">
        <f>IU82*各项系数!$E$12</f>
        <v>0</v>
      </c>
      <c r="IW82" s="395">
        <f t="shared" si="288"/>
        <v>1.16023195393206</v>
      </c>
      <c r="IX82" s="395">
        <f t="shared" si="289"/>
        <v>11.834365930107</v>
      </c>
      <c r="IY82" s="447">
        <f>各项系数!$F$76/4*($NB82^2-$MZ82^2*$EG82-$NA82^2*$EO82)*10^-2</f>
        <v>20.556481780977</v>
      </c>
      <c r="IZ82" s="366">
        <f t="shared" si="231"/>
        <v>1</v>
      </c>
      <c r="JA82" s="367">
        <f t="shared" si="363"/>
        <v>20.556481780977</v>
      </c>
      <c r="JB82" s="371">
        <f>IF($DE82&lt;&gt;$JB$9,0,$JA82*各项系数!$F$32*10^-3*10^2)*各项系数!$J$4</f>
        <v>0</v>
      </c>
      <c r="JC82" s="127">
        <v>1</v>
      </c>
      <c r="JD82" s="95">
        <f t="shared" si="290"/>
        <v>0</v>
      </c>
      <c r="JE82" s="341">
        <f>JD82*各项系数!$E$32</f>
        <v>0</v>
      </c>
      <c r="JF82" s="364">
        <f>IF($DE82&lt;&gt;$JF$9,0,$JA82*VLOOKUP($JF$9,各项系数!$D$4:$F$540,2,0)*10^-3*10^2)*各项系数!$J$4</f>
        <v>10.226849686036</v>
      </c>
      <c r="JG82" s="123">
        <v>1</v>
      </c>
      <c r="JH82" s="251">
        <f t="shared" si="364"/>
        <v>10.226849686036</v>
      </c>
      <c r="JI82" s="339">
        <f>JH82*VLOOKUP($JF$9,各项系数!$D$4:$F$540,3,0)</f>
        <v>12.2722196232432</v>
      </c>
      <c r="JJ82" s="371">
        <f t="shared" si="291"/>
        <v>10.226849686036</v>
      </c>
      <c r="JK82" s="95">
        <f t="shared" si="292"/>
        <v>12.2722196232432</v>
      </c>
      <c r="JL82" s="371">
        <f>IF($DF82&lt;&gt;$JL$9,0,各项系数!$F$76/4*($NE82^2-$NC82^2)*10^-2*各项系数!$F$39*10^-3*10^2)*各项系数!$J$4</f>
        <v>0.0102390024195714</v>
      </c>
      <c r="JM82" s="127">
        <v>1</v>
      </c>
      <c r="JN82" s="95">
        <f t="shared" si="293"/>
        <v>0.0102390024195714</v>
      </c>
      <c r="JO82" s="341">
        <f>JN82*各项系数!$E$39</f>
        <v>0.204780048391428</v>
      </c>
      <c r="JP82" s="371">
        <f>IF($DF82&lt;&gt;$JP$9,0,各项系数!$F$76/4*($NE82^2-$NC82^2)*10^-2*各项系数!$F$36*10^-3*10^2)*各项系数!$J$4</f>
        <v>0</v>
      </c>
      <c r="JQ82" s="127">
        <v>1</v>
      </c>
      <c r="JR82" s="95">
        <f t="shared" si="294"/>
        <v>0</v>
      </c>
      <c r="JS82" s="341">
        <f>JR82*各项系数!$E$36</f>
        <v>0</v>
      </c>
      <c r="JT82" s="371">
        <f>IF($DF82&lt;&gt;$JT$9,0,各项系数!$F$76/4*($NE82^2-$NC82^2)*10^-2*各项系数!$F$40*10^-3*10^2)*各项系数!$J$4</f>
        <v>0</v>
      </c>
      <c r="JU82" s="127">
        <v>1</v>
      </c>
      <c r="JV82" s="95">
        <f t="shared" si="295"/>
        <v>0</v>
      </c>
      <c r="JW82" s="341">
        <f>JV82*各项系数!$E$40</f>
        <v>0</v>
      </c>
      <c r="JX82" s="371">
        <f>IF($DF82&lt;&gt;$JX$9,0,各项系数!$F$76/4*($NE82^2-$NC82^2)*10^-2*各项系数!$F$38*10^-3*10^2)*各项系数!$J$4</f>
        <v>0</v>
      </c>
      <c r="JY82" s="127">
        <v>1</v>
      </c>
      <c r="JZ82" s="95">
        <f t="shared" si="296"/>
        <v>0</v>
      </c>
      <c r="KA82" s="341">
        <f>JZ82*各项系数!$E$38</f>
        <v>0</v>
      </c>
      <c r="KB82" s="371">
        <f>IF($DF82&lt;&gt;$KB$9,0,各项系数!$F$76/4*($NE82^2-$NC82^2)*10^-2*各项系数!$F$41*10^-3*10^2)*各项系数!$J$4</f>
        <v>0</v>
      </c>
      <c r="KC82" s="127">
        <v>1</v>
      </c>
      <c r="KD82" s="95">
        <f t="shared" si="297"/>
        <v>0</v>
      </c>
      <c r="KE82" s="341">
        <f>KD82*各项系数!$E$41</f>
        <v>0</v>
      </c>
      <c r="KF82" s="95">
        <f t="shared" si="298"/>
        <v>0.0102390024195714</v>
      </c>
      <c r="KG82" s="95">
        <f t="shared" si="299"/>
        <v>0.204780048391428</v>
      </c>
      <c r="KH82" s="304">
        <f>各项系数!$F$76/4*($NG82^2-$NE82^2)*10^-2*各项系数!$F$44*10^-3*10^2*各项系数!$J$4*0.75*$U82</f>
        <v>2.5260811906727</v>
      </c>
      <c r="KI82" s="127">
        <v>1</v>
      </c>
      <c r="KJ82" s="95">
        <f t="shared" si="300"/>
        <v>2.5260811906727</v>
      </c>
      <c r="KK82" s="95">
        <f>ROUND(KJ82*各项系数!$E$43,GT82)</f>
        <v>15</v>
      </c>
      <c r="KL82" s="302">
        <f>各项系数!$F$76/4*($NF82^2-$NE82^2)*10^-2*各项系数!$F$46*10^-3*10^2*各项系数!$J$4*PI()/4*R82</f>
        <v>0.127373867900918</v>
      </c>
      <c r="KM82" s="127">
        <v>1</v>
      </c>
      <c r="KN82" s="95">
        <f t="shared" si="301"/>
        <v>0.127373867900918</v>
      </c>
      <c r="KO82" s="95">
        <f>KN82*各项系数!$E$46</f>
        <v>8.59773608331194</v>
      </c>
      <c r="KP82" s="304">
        <f>各项系数!$F$76/4*($NH82^2-$NE82^2)*10^-2*(VLOOKUP($KP$9,各项系数!$D$1:$F$143,3,0))*10^-3*10^2*各项系数!$J$4</f>
        <v>1.67943767932793</v>
      </c>
      <c r="KQ82" s="127">
        <v>1</v>
      </c>
      <c r="KR82" s="95">
        <f t="shared" si="416"/>
        <v>1.67943767932793</v>
      </c>
      <c r="KS82" s="95">
        <f>KR82*(VLOOKUP($KP$9,各项系数!$D$1:$F$143,2,0))</f>
        <v>28.5504405485748</v>
      </c>
      <c r="KT82" s="304">
        <f>各项系数!$F$76/4*($NI82^2-$NF82^2)*10^-2*(VLOOKUP($KT$9,各项系数!$D$1:$F$143,3,0))*10^-3*10^2*各项系数!$J$4</f>
        <v>1.68226597979573</v>
      </c>
      <c r="KU82" s="127">
        <v>1</v>
      </c>
      <c r="KV82" s="95">
        <f t="shared" si="417"/>
        <v>1.68226597979573</v>
      </c>
      <c r="KW82" s="95">
        <f>KV82*(VLOOKUP($KT$9,各项系数!$D$1:$F$143,2,0))</f>
        <v>28.5985216565275</v>
      </c>
      <c r="KX82" s="95">
        <f>各项系数!$F$76/4*($NH82^2-$NE82^2)*10^-2*(VLOOKUP($KX$9,各项系数!$D$1:$F$143,3,0))*10^-3*10^2*各项系数!$J$4</f>
        <v>1.67943767932793</v>
      </c>
      <c r="KY82" s="481">
        <v>1</v>
      </c>
      <c r="KZ82" s="95">
        <f t="shared" si="418"/>
        <v>1.67943767932793</v>
      </c>
      <c r="LA82" s="95">
        <f>KZ82*(VLOOKUP($KX$9,各项系数!$D$1:$F$143,2,0))</f>
        <v>28.5504405485748</v>
      </c>
      <c r="LB82" s="95">
        <f>各项系数!$F$76/4*($NI82^2-$NF82^2)*10^-2*(VLOOKUP($LB$9,各项系数!$D$1:$F$143,3,0))*10^-3*10^2*各项系数!$J$4</f>
        <v>1.68226597979573</v>
      </c>
      <c r="LC82" s="481">
        <v>1</v>
      </c>
      <c r="LD82" s="95">
        <f t="shared" si="419"/>
        <v>1.68226597979573</v>
      </c>
      <c r="LE82" s="95">
        <f>LD82*(VLOOKUP($LB$9,各项系数!$D$1:$F$143,2,0))</f>
        <v>28.5985216565275</v>
      </c>
      <c r="LF82" s="304">
        <f>各项系数!$F$76/4*($NH82^2-$NE82^2)*10^-2*(VLOOKUP(AN82,各项系数!$D$1:$F$143,3,0))*10^-3*10^2*各项系数!$J$4</f>
        <v>1.70260233697383</v>
      </c>
      <c r="LG82" s="127">
        <v>1</v>
      </c>
      <c r="LH82" s="95">
        <f t="shared" si="302"/>
        <v>1.70260233697383</v>
      </c>
      <c r="LI82" s="95">
        <f>LH82*(VLOOKUP(AN82,各项系数!$D$1:$F$143,2,0))</f>
        <v>17.0260233697383</v>
      </c>
      <c r="LJ82" s="304">
        <f>各项系数!$F$76/4*($NI82^2-$NF82^2)*10^-2*(VLOOKUP(AN82,各项系数!$D$1:$F$143,3,0))*10^-3*10^2*各项系数!$J$4</f>
        <v>1.70546964848257</v>
      </c>
      <c r="LK82" s="127">
        <v>1</v>
      </c>
      <c r="LL82" s="95">
        <f t="shared" si="303"/>
        <v>1.70546964848257</v>
      </c>
      <c r="LM82" s="95">
        <f>LL82*(VLOOKUP(AN82,各项系数!$D$1:$F$143,2,0))</f>
        <v>17.0546964848257</v>
      </c>
      <c r="LN82" s="95">
        <f>各项系数!$F$76/4*($NH82^2-$NE82^2)*10^-2*(VLOOKUP($LN$9,各项系数!$D$1:$F$143,3,0))*10^-3*10^2*各项系数!$J$4</f>
        <v>1.70260233697383</v>
      </c>
      <c r="LO82" s="481">
        <v>1</v>
      </c>
      <c r="LP82" s="95">
        <f t="shared" si="304"/>
        <v>1.70260233697383</v>
      </c>
      <c r="LQ82" s="95">
        <f>LP82*(VLOOKUP($LN$9,各项系数!$D$1:$F$143,2,0))</f>
        <v>18.7286257067121</v>
      </c>
      <c r="LR82" s="95">
        <f>各项系数!$F$76/4*($NI82^2-$NF82^2)*10^-2*(VLOOKUP($LR$9,各项系数!$D$1:$F$143,3,0))*10^-3*10^2*各项系数!$J$4</f>
        <v>1.70546964848257</v>
      </c>
      <c r="LS82" s="481">
        <v>1</v>
      </c>
      <c r="LT82" s="95">
        <f t="shared" si="305"/>
        <v>1.70546964848257</v>
      </c>
      <c r="LU82" s="95">
        <f>LT82*(VLOOKUP($LR$9,各项系数!$D$1:$F$143,2,0))</f>
        <v>18.7601661333083</v>
      </c>
      <c r="LV82" s="501">
        <f t="shared" si="420"/>
        <v>3246.93673152</v>
      </c>
      <c r="LW82" s="501">
        <f t="shared" si="421"/>
        <v>2445.22395831</v>
      </c>
      <c r="LX82" s="501">
        <f t="shared" si="422"/>
        <v>55.7974537004525</v>
      </c>
      <c r="LY82" s="519">
        <f t="shared" si="423"/>
        <v>801.71277321</v>
      </c>
      <c r="LZ82" s="516">
        <f t="shared" si="365"/>
        <v>1</v>
      </c>
      <c r="MA82" s="517">
        <f t="shared" si="366"/>
        <v>3246.93673152</v>
      </c>
      <c r="MB82" s="501">
        <f t="shared" si="424"/>
        <v>32.14859346</v>
      </c>
      <c r="MC82" s="501">
        <f t="shared" si="425"/>
        <v>0</v>
      </c>
      <c r="MD82" s="501">
        <f t="shared" si="426"/>
        <v>0</v>
      </c>
      <c r="ME82" s="501">
        <f t="shared" si="427"/>
        <v>0</v>
      </c>
      <c r="MF82" s="501">
        <f t="shared" si="428"/>
        <v>0</v>
      </c>
      <c r="MG82" s="527">
        <f t="shared" si="429"/>
        <v>1</v>
      </c>
      <c r="MH82" s="517">
        <f t="shared" si="367"/>
        <v>0</v>
      </c>
      <c r="MI82" s="501">
        <f t="shared" si="430"/>
        <v>0</v>
      </c>
      <c r="MJ82" s="95">
        <f t="shared" si="368"/>
        <v>32.14859346</v>
      </c>
      <c r="MK82" s="95">
        <f t="shared" si="431"/>
        <v>32.14859346</v>
      </c>
      <c r="ML82" s="95">
        <f t="shared" si="306"/>
        <v>0</v>
      </c>
      <c r="MM82" s="95">
        <f t="shared" si="369"/>
        <v>0</v>
      </c>
      <c r="MN82" s="95">
        <f t="shared" si="370"/>
        <v>36.94859346</v>
      </c>
      <c r="MO82" s="251">
        <f t="shared" si="432"/>
        <v>0</v>
      </c>
      <c r="MP82" s="95">
        <f t="shared" si="433"/>
        <v>89.41559617</v>
      </c>
      <c r="MQ82" s="95">
        <f t="shared" si="307"/>
        <v>89.41559617</v>
      </c>
      <c r="MR82" s="314">
        <f t="shared" si="434"/>
        <v>89.41559617</v>
      </c>
      <c r="MS82" s="530">
        <f t="shared" si="371"/>
        <v>89.59159617</v>
      </c>
      <c r="MT82" s="532">
        <f t="shared" si="372"/>
        <v>89.75159617</v>
      </c>
      <c r="MU82" s="532">
        <f t="shared" si="373"/>
        <v>91.09159617</v>
      </c>
      <c r="MV82" s="532">
        <f t="shared" si="374"/>
        <v>97.39159617</v>
      </c>
      <c r="MW82" s="532">
        <f t="shared" si="375"/>
        <v>97.55159617</v>
      </c>
      <c r="MX82" s="314">
        <f t="shared" si="376"/>
        <v>32.74859346</v>
      </c>
      <c r="MY82" s="314">
        <f t="shared" si="377"/>
        <v>0</v>
      </c>
      <c r="MZ82" s="95">
        <f t="shared" si="378"/>
        <v>37.54859346</v>
      </c>
      <c r="NA82" s="95">
        <f t="shared" si="379"/>
        <v>0</v>
      </c>
      <c r="NB82" s="95">
        <f t="shared" si="435"/>
        <v>90.86759617</v>
      </c>
      <c r="NC82" s="314">
        <f t="shared" si="308"/>
        <v>90.86759617</v>
      </c>
      <c r="ND82" s="314">
        <f t="shared" si="436"/>
        <v>90.86759617</v>
      </c>
      <c r="NE82" s="537">
        <f t="shared" si="437"/>
        <v>91.10759617</v>
      </c>
      <c r="NF82" s="532">
        <f t="shared" si="380"/>
        <v>91.26759617</v>
      </c>
      <c r="NG82" s="180">
        <f t="shared" si="381"/>
        <v>92.60759617</v>
      </c>
      <c r="NH82" s="314">
        <f t="shared" si="382"/>
        <v>98.90759617</v>
      </c>
      <c r="NI82" s="532">
        <f t="shared" si="383"/>
        <v>99.06759617</v>
      </c>
      <c r="NK82" s="541">
        <f t="shared" si="384"/>
        <v>27.4950965977843</v>
      </c>
      <c r="NL82" s="541">
        <f t="shared" si="385"/>
        <v>1495.05516650248</v>
      </c>
      <c r="NM82" s="541">
        <f t="shared" si="386"/>
        <v>27.4950965977843</v>
      </c>
      <c r="NN82" s="541">
        <f t="shared" si="387"/>
        <v>1496.73060106291</v>
      </c>
      <c r="NO82" s="541">
        <f t="shared" si="388"/>
        <v>35.5607293497303</v>
      </c>
      <c r="NP82" s="541">
        <f t="shared" si="389"/>
        <v>1505.1259182959</v>
      </c>
      <c r="NQ82" s="541">
        <f t="shared" si="390"/>
        <v>35.5607293497303</v>
      </c>
      <c r="NR82" s="541">
        <f t="shared" si="391"/>
        <v>1506.82852063287</v>
      </c>
      <c r="NS82" s="541">
        <f t="shared" si="392"/>
        <v>27.6203528664519</v>
      </c>
      <c r="NT82" s="541">
        <f t="shared" si="393"/>
        <v>27.6203528664519</v>
      </c>
      <c r="NU82" s="541">
        <f t="shared" si="394"/>
        <v>35.6881032176313</v>
      </c>
      <c r="NV82" s="541">
        <f t="shared" si="395"/>
        <v>35.6881032176313</v>
      </c>
      <c r="NW82" s="11">
        <f t="shared" si="396"/>
        <v>29.151357421317</v>
      </c>
      <c r="NX82" s="11">
        <f>各项系数!$M$9*NK82</f>
        <v>8.2485289793353</v>
      </c>
      <c r="NY82" s="11">
        <f t="shared" si="397"/>
        <v>27.6203528664519</v>
      </c>
    </row>
    <row r="83" s="11" customFormat="1" customHeight="1" spans="1:389">
      <c r="A83" s="81"/>
      <c r="B83" s="82"/>
      <c r="C83" s="83"/>
      <c r="D83" s="74" t="s">
        <v>923</v>
      </c>
      <c r="E83" s="70">
        <f t="shared" si="325"/>
        <v>108.99886292</v>
      </c>
      <c r="F83" s="84">
        <f>$F$35</f>
        <v>404.218837505781</v>
      </c>
      <c r="G83" s="74"/>
      <c r="H83" s="23"/>
      <c r="I83" s="78"/>
      <c r="J83" s="23"/>
      <c r="K83" s="23"/>
      <c r="L83" s="128" t="s">
        <v>467</v>
      </c>
      <c r="M83" s="119">
        <f t="shared" si="339"/>
        <v>2.6</v>
      </c>
      <c r="N83" s="119">
        <f t="shared" si="340"/>
        <v>0</v>
      </c>
      <c r="O83" s="74">
        <f t="shared" si="438"/>
        <v>0.08</v>
      </c>
      <c r="P83" s="120">
        <v>0.1</v>
      </c>
      <c r="Q83" s="165">
        <f t="shared" si="337"/>
        <v>0.1</v>
      </c>
      <c r="R83" s="182">
        <v>0.8</v>
      </c>
      <c r="S83" s="173" t="str">
        <f>各项系数!$D$43</f>
        <v>钢带</v>
      </c>
      <c r="T83" s="78">
        <v>0.5</v>
      </c>
      <c r="U83" s="78">
        <v>2</v>
      </c>
      <c r="V83" s="172"/>
      <c r="W83" s="174">
        <v>4.1</v>
      </c>
      <c r="X83" s="168">
        <f t="shared" si="338"/>
        <v>0.2</v>
      </c>
      <c r="Y83" s="221"/>
      <c r="Z83" s="222"/>
      <c r="AA83" s="223">
        <f>$AA$35</f>
        <v>1.03</v>
      </c>
      <c r="AB83" s="186">
        <f>PI()*EJ83*EJ83/4*EH83*(1-H83)*AA83*各项系数!$F$5*各项系数!$J$4*10^-7</f>
        <v>7.13205822938526</v>
      </c>
      <c r="AC83" s="224">
        <f t="shared" si="327"/>
        <v>404.218837505781</v>
      </c>
      <c r="AD83" s="186">
        <f t="shared" si="341"/>
        <v>806.287707308788</v>
      </c>
      <c r="AE83" s="186">
        <f>POWER(4*EU83/PI()/EG83/10^-7/EH83/(1-H83)/各项系数!$F$5/各项系数!$J$4,0.5)</f>
        <v>410.23731504138</v>
      </c>
      <c r="AF83" s="225">
        <v>1</v>
      </c>
      <c r="AG83" s="23">
        <f>IF(EM83=0,0,PI()*ER83*ER83/4*EP83*(1-K83)*(1+AF83)*各项系数!$F$5*各项系数!$J$4*10^-7)</f>
        <v>0</v>
      </c>
      <c r="AH83" s="23">
        <f t="shared" si="328"/>
        <v>0</v>
      </c>
      <c r="AI83" s="85">
        <f t="shared" si="398"/>
        <v>0</v>
      </c>
      <c r="AJ83" s="85">
        <f>IF(OR(EP83="",EP83=0),0,POWER(4*EW83/PI()/EO83/10^-7/EP83/(1-K83)/各项系数!$F$5/各项系数!$J$4,0.5))</f>
        <v>0</v>
      </c>
      <c r="AK83" s="23" t="str">
        <f t="shared" si="342"/>
        <v>√</v>
      </c>
      <c r="AL83" s="23">
        <f t="shared" si="329"/>
        <v>1970.5888153505</v>
      </c>
      <c r="AM83" s="127">
        <f t="shared" si="330"/>
        <v>800</v>
      </c>
      <c r="AN83" s="128" t="s">
        <v>486</v>
      </c>
      <c r="AO83" s="176">
        <f>AP83+各项系数!$M$9*$NK83</f>
        <v>1931.94981897108</v>
      </c>
      <c r="AP83" s="176">
        <f>AQ83*(1+$BI83+(VLOOKUP($AM83,$A$12:$B$323,2,0))+各项系数!$J$6+各项系数!$M$5)*(1+$E$2)</f>
        <v>1921.46914572544</v>
      </c>
      <c r="AQ83" s="262">
        <f>AR83+各项系数!$L$9*$NK83</f>
        <v>1960.68280176065</v>
      </c>
      <c r="AR83" s="262">
        <f>AS83*(1+$BJ83+各项系数!$J$5+各项系数!$L$5)</f>
        <v>1950.20212851502</v>
      </c>
      <c r="AS83" s="262">
        <f t="shared" si="399"/>
        <v>1911.96287109316</v>
      </c>
      <c r="AT83" s="176">
        <f>AU83+各项系数!$M$9*$NM83</f>
        <v>1945.32122014664</v>
      </c>
      <c r="AU83" s="176">
        <f>AV83*(1+$BI83+(VLOOKUP($AM83,$A$12:$B$323,2,0))+各项系数!$J$6+各项系数!$M$5)*(1+$E$2)</f>
        <v>1934.840546901</v>
      </c>
      <c r="AV83" s="262">
        <f>AW83+各项系数!$L$9*$NM83</f>
        <v>1974.32708867449</v>
      </c>
      <c r="AW83" s="262">
        <f>AX83*(1+$BJ83+各项系数!$J$5+各项系数!$L$5)</f>
        <v>1963.84641542886</v>
      </c>
      <c r="AX83" s="262">
        <f t="shared" si="400"/>
        <v>1925.33962296947</v>
      </c>
      <c r="AY83" s="176">
        <f>AZ83+各项系数!$M$9*$NS83</f>
        <v>1941.57133619429</v>
      </c>
      <c r="AZ83" s="176">
        <f>BA83*(1+$BI83+(VLOOKUP($AM83,$A$12:$B$214,2,0))+各项系数!$J$6+各项系数!$M$5)*(1+$E$2)</f>
        <v>1931.04838966314</v>
      </c>
      <c r="BA83" s="262">
        <f>BB83+各项系数!$L$9*$NS83</f>
        <v>1970.45754047259</v>
      </c>
      <c r="BB83" s="262">
        <f>BC83*(1+$BJ83+各项系数!$J$5+各项系数!$L$5)</f>
        <v>1959.93459394145</v>
      </c>
      <c r="BC83" s="262">
        <f t="shared" si="401"/>
        <v>1921.50450386416</v>
      </c>
      <c r="BD83" s="176">
        <f>BE83+各项系数!$M$9*$NS83</f>
        <v>1954.96313248309</v>
      </c>
      <c r="BE83" s="176">
        <f>BF83*(1+$BI83+(VLOOKUP($AM83,$A$12:$B$214,2,0))+各项系数!$J$6+各项系数!$M$5)*(1+$E$2)</f>
        <v>1944.44018595194</v>
      </c>
      <c r="BF83" s="262">
        <f>BG83+各项系数!$L$9*$NS83</f>
        <v>1984.12263872647</v>
      </c>
      <c r="BG83" s="262">
        <f>BH83*(1+$BJ83+各项系数!$J$5+各项系数!$L$5)</f>
        <v>1973.59969219533</v>
      </c>
      <c r="BH83" s="262">
        <f t="shared" si="402"/>
        <v>1934.90165901503</v>
      </c>
      <c r="BI83" s="278"/>
      <c r="BJ83" s="279"/>
      <c r="BK83" s="95" t="s">
        <v>514</v>
      </c>
      <c r="BL83" s="176">
        <f>BM83+各项系数!$M$9*$NM83</f>
        <v>1952.68189583298</v>
      </c>
      <c r="BM83" s="176">
        <f>BN83*(1+$CF83+(VLOOKUP($AM83,$A$12:$B$323,2,0))+各项系数!$J$6+各项系数!$M$5)*(1+$E$2)</f>
        <v>1942.20122258734</v>
      </c>
      <c r="BN83" s="262">
        <f>BO83+各项系数!$L$9*$NM83</f>
        <v>1981.83798223198</v>
      </c>
      <c r="BO83" s="262">
        <f>BP83*(1+$CG83+各项系数!$J$5+各项系数!$L$5)</f>
        <v>1971.35730898634</v>
      </c>
      <c r="BP83" s="262">
        <f t="shared" si="403"/>
        <v>1913.9391349382</v>
      </c>
      <c r="BQ83" s="176">
        <f>BR83+各项系数!$M$9*$NM83</f>
        <v>1964.18954845174</v>
      </c>
      <c r="BR83" s="176">
        <f>BS83*(1+$CF83+(VLOOKUP($AM83,$A$12:$B$323,2,0))+各项系数!$J$6+各项系数!$M$5)*(1+$E$2)</f>
        <v>1953.7088752061</v>
      </c>
      <c r="BS83" s="262">
        <f>BT83+各项系数!$L$9*$NM83</f>
        <v>1993.58048490419</v>
      </c>
      <c r="BT83" s="262">
        <f>BU83*(1+$CG83+各项系数!$J$5+各项系数!$L$5)</f>
        <v>1983.09981165855</v>
      </c>
      <c r="BU83" s="262">
        <f t="shared" si="404"/>
        <v>1925.33962296947</v>
      </c>
      <c r="BV83" s="176">
        <f>BW83+各项系数!$M$9*$NT83</f>
        <v>1952.09557427995</v>
      </c>
      <c r="BW83" s="176">
        <f>BX83*(1+$CF83+(VLOOKUP($AM83,$A$12:$B$214,2,0))+各项系数!$J$6+各项系数!$M$5)*(1+$E$2)</f>
        <v>1941.57262774881</v>
      </c>
      <c r="BX83" s="262">
        <f>BY83+各项系数!$L$9*$NT$12</f>
        <v>1981.19655892736</v>
      </c>
      <c r="BY83" s="262">
        <f>BZ83*(1+$CG83+各项系数!$J$5+各项系数!$L$5)</f>
        <v>1981.1882955242</v>
      </c>
      <c r="BZ83" s="262">
        <f t="shared" si="343"/>
        <v>1923.48378206233</v>
      </c>
      <c r="CA83" s="176">
        <f>CB83+各项系数!$M$9*$NT83</f>
        <v>1963.620779276</v>
      </c>
      <c r="CB83" s="176">
        <f>CC83*(1+$CF83+(VLOOKUP($AM83,$A$12:$B$214,2,0))+各项系数!$J$6+各项系数!$M$5)*(1+$E$2)</f>
        <v>1953.09783274486</v>
      </c>
      <c r="CC83" s="262">
        <f>CD83+各项系数!$L$9*$NT$12</f>
        <v>1992.95697218863</v>
      </c>
      <c r="CD83" s="262">
        <f>CE83*(1+$CG83+各项系数!$J$5+各项系数!$L$5)</f>
        <v>1992.94870878548</v>
      </c>
      <c r="CE83" s="262">
        <f t="shared" si="405"/>
        <v>1934.90165901503</v>
      </c>
      <c r="CF83" s="278">
        <f t="shared" si="406"/>
        <v>0</v>
      </c>
      <c r="CG83" s="278">
        <f t="shared" si="344"/>
        <v>0.01</v>
      </c>
      <c r="CH83" s="127"/>
      <c r="CI83" s="176">
        <f>CJ83+各项系数!$M$9*$NO83</f>
        <v>1960.44350332799</v>
      </c>
      <c r="CJ83" s="176">
        <f>CK83*(1+$DC83+(VLOOKUP($AM83,$A$12:$B$323,2,0))+各项系数!$J$6+各项系数!$M$5)*(1+$E$2)+各项系数!$M$9*$NK83</f>
        <v>1946.9220787558</v>
      </c>
      <c r="CK83" s="262">
        <f>CL83+各项系数!$L$9*$NO83</f>
        <v>1975.96061786751</v>
      </c>
      <c r="CL83" s="262">
        <f>CM83*(1+$DD83+各项系数!$J$5+各项系数!$L$5)</f>
        <v>1962.43919329532</v>
      </c>
      <c r="CM83" s="262">
        <f t="shared" si="345"/>
        <v>1923.95999342679</v>
      </c>
      <c r="CN83" s="176">
        <f>CO83+各项系数!$M$9*$NO83</f>
        <v>1973.52940878898</v>
      </c>
      <c r="CO83" s="176">
        <f>CP83*(1+$DC83+(VLOOKUP($AM83,$A$12:$B$323,2,0))+各项系数!$J$6+各项系数!$M$5)*(1+$E$2)+各项系数!$M$9*$NK83</f>
        <v>1960.00798421679</v>
      </c>
      <c r="CP83" s="262">
        <f>CQ83+各项系数!$L$9*$NO83</f>
        <v>1989.31358262363</v>
      </c>
      <c r="CQ83" s="262">
        <f>CR83*(1+$DD83+各项系数!$J$5+各项系数!$L$5)</f>
        <v>1975.79215805144</v>
      </c>
      <c r="CR83" s="262">
        <f t="shared" si="346"/>
        <v>1937.05113534454</v>
      </c>
      <c r="CS83" s="176">
        <f>CT83+各项系数!$M$9*$NU83</f>
        <v>1959.72848593258</v>
      </c>
      <c r="CT83" s="176">
        <f t="shared" si="347"/>
        <v>1946.16415279511</v>
      </c>
      <c r="CU83" s="262">
        <f>CV83+各项系数!$L$9*$NU83</f>
        <v>1985.88178856644</v>
      </c>
      <c r="CV83" s="262">
        <f>CW83*(1+$DD83+各项系数!$J$5+各项系数!$L$5)</f>
        <v>1972.31745542897</v>
      </c>
      <c r="CW83" s="262">
        <f t="shared" si="348"/>
        <v>1933.64456414604</v>
      </c>
      <c r="CX83" s="176">
        <f>CY83+各项系数!$M$9*$NU83</f>
        <v>1973.31352591934</v>
      </c>
      <c r="CY83" s="176">
        <f t="shared" si="349"/>
        <v>1959.74919278187</v>
      </c>
      <c r="CZ83" s="262">
        <f>DA83+各项系数!$L$9*$NU83</f>
        <v>1999.74407426721</v>
      </c>
      <c r="DA83" s="262">
        <f>DB83*(1+$DD83+各项系数!$J$5+各项系数!$L$5)</f>
        <v>1986.17974112974</v>
      </c>
      <c r="DB83" s="262">
        <f t="shared" si="350"/>
        <v>1947.23504032327</v>
      </c>
      <c r="DC83" s="278">
        <f t="shared" si="407"/>
        <v>0</v>
      </c>
      <c r="DD83" s="278">
        <f t="shared" si="351"/>
        <v>0</v>
      </c>
      <c r="DE83" s="95" t="s">
        <v>498</v>
      </c>
      <c r="DF83" s="95" t="s">
        <v>513</v>
      </c>
      <c r="DG83" s="176">
        <f>DH83+各项系数!$M$9*$NQ83</f>
        <v>1981.32198145797</v>
      </c>
      <c r="DH83" s="176">
        <f>DI83*(1+$EA83+(VLOOKUP($AM83,$A$12:$B$323,2,0))+各项系数!$J$6+各项系数!$M$5)*(1+$E$2)+各项系数!$M$9*$NK83</f>
        <v>1967.80055688578</v>
      </c>
      <c r="DI83" s="262">
        <f>DJ83+各项系数!$L$9*$NQ83</f>
        <v>1997.26518738791</v>
      </c>
      <c r="DJ83" s="262">
        <f>DK83*(1+$EB83+各项系数!$J$5+各项系数!$L$5)</f>
        <v>1983.74376281572</v>
      </c>
      <c r="DK83" s="262">
        <f t="shared" si="352"/>
        <v>1925.96481826768</v>
      </c>
      <c r="DL83" s="176">
        <f>DM83+各项系数!$M$9*$NQ83</f>
        <v>1992.99594285154</v>
      </c>
      <c r="DM83" s="176">
        <f>DN83*(1+$EA83+(VLOOKUP($AM83,$A$12:$B$323,2,0))+各项系数!$J$6+各项系数!$M$5)*(1+$E$2)+各项系数!$M$9*$NK83</f>
        <v>1979.47451827934</v>
      </c>
      <c r="DN83" s="262">
        <f>DO83+各项系数!$L$9*$NQ83</f>
        <v>2009.17739289154</v>
      </c>
      <c r="DO83" s="262">
        <f>DP83*(1+$EB83+各项系数!$J$5+各项系数!$L$5)</f>
        <v>1995.65596831935</v>
      </c>
      <c r="DP83" s="262">
        <f t="shared" si="353"/>
        <v>1937.53006632947</v>
      </c>
      <c r="DQ83" s="176">
        <f>DR83+各项系数!$M$9*$NV83</f>
        <v>1980.70491554366</v>
      </c>
      <c r="DR83" s="176">
        <f t="shared" si="354"/>
        <v>1967.14058240619</v>
      </c>
      <c r="DS83" s="262">
        <f>DT83+各项系数!$L$9*$NV83</f>
        <v>2007.28630857774</v>
      </c>
      <c r="DT83" s="262">
        <f>DU83*(1+$EB83+各项系数!$J$5+各项系数!$L$5)</f>
        <v>1993.72197544027</v>
      </c>
      <c r="DU83" s="262">
        <f t="shared" si="355"/>
        <v>1935.65240334007</v>
      </c>
      <c r="DV83" s="176">
        <f>DW83+各项系数!$M$9*$NV83</f>
        <v>1977.82390133358</v>
      </c>
      <c r="DW83" s="176">
        <f t="shared" si="356"/>
        <v>1964.25956819611</v>
      </c>
      <c r="DX83" s="262">
        <f>DY83+各项系数!$L$9*$NV83</f>
        <v>2004.3464981593</v>
      </c>
      <c r="DY83" s="262">
        <f>DZ83*(1+$EB83+各项系数!$J$5+各项系数!$L$5)</f>
        <v>1990.78216502183</v>
      </c>
      <c r="DZ83" s="262">
        <f t="shared" si="357"/>
        <v>1932.79821846779</v>
      </c>
      <c r="EA83" s="278">
        <f t="shared" si="439"/>
        <v>0</v>
      </c>
      <c r="EB83" s="278">
        <f t="shared" si="358"/>
        <v>0.01</v>
      </c>
      <c r="EC83" s="302">
        <f t="shared" si="408"/>
        <v>4</v>
      </c>
      <c r="ED83" s="304" t="str">
        <f t="shared" si="331"/>
        <v>4*800</v>
      </c>
      <c r="EE83" s="95">
        <f t="shared" si="239"/>
        <v>800</v>
      </c>
      <c r="EF83" s="95" t="str">
        <f>LOOKUP(EH83,{1,7,10,14,19,24,30,37,48,61},{1,"1+6","2+8","4+10","1+6+12","2+8+14","4+10+16","1+6+12+18","3+9+15+21","1+6+12+18+24"})</f>
        <v>1+6+12+18+24</v>
      </c>
      <c r="EG83" s="127">
        <f t="shared" si="359"/>
        <v>4</v>
      </c>
      <c r="EH83" s="262">
        <f>VLOOKUP(EE83,各项系数!$B$87:$C$124,2,0)</f>
        <v>61</v>
      </c>
      <c r="EI83" s="127">
        <f>IF(EH83=0,0,VLOOKUP(EH83,各项系数!$D$142:$E$195,2,0))*1</f>
        <v>9</v>
      </c>
      <c r="EJ83" s="307">
        <f t="shared" si="409"/>
        <v>404.218837505781</v>
      </c>
      <c r="EK83" s="95">
        <f t="shared" si="332"/>
        <v>0</v>
      </c>
      <c r="EL83" s="95">
        <f t="shared" si="360"/>
        <v>0</v>
      </c>
      <c r="EM83" s="95">
        <f t="shared" si="333"/>
        <v>0</v>
      </c>
      <c r="EN83" s="95">
        <f>IF(EP83=0,0,LOOKUP(EP83,{1,7,10,14,19,24,30,37,48,61},{1,"1+6","2+8","4+10","1+6+12","2+8+14","4+10+16","1+6+12+18","3+9+15+21","1+6+12+18+24"}))</f>
        <v>0</v>
      </c>
      <c r="EO83" s="95">
        <f t="shared" si="334"/>
        <v>0</v>
      </c>
      <c r="EP83" s="95">
        <f>IF(EM83=0,0,IF(EM83&lt;10,1,IF(AND(EM83&gt;=10,EM83&lt;=35),7,LOOKUP(EM83,{50,70,95,120,150,185,240,300},{10,14,19,24,30,37,48,61})*1)))</f>
        <v>0</v>
      </c>
      <c r="EQ83" s="95">
        <f>IF(EP83=0,0,VLOOKUP(EP83,各项系数!$D$142:$E$195,2,0))*1</f>
        <v>0</v>
      </c>
      <c r="ER83" s="95">
        <f t="shared" si="335"/>
        <v>0</v>
      </c>
      <c r="ES83" s="304">
        <f t="shared" si="336"/>
        <v>4</v>
      </c>
      <c r="ET83" s="95">
        <f>VLOOKUP(ES83,各项系数!$D$142:$E$195,2,0)*1</f>
        <v>2.42</v>
      </c>
      <c r="EU83" s="311">
        <f>((各项系数!$F$76/4*$EJ83^2*$EG83*$EH83*1*10^-7)*(1-$H83)*AA83)*(VLOOKUP($EY$9,各项系数!$D$4:$F$143,3,0))*各项系数!$J$4</f>
        <v>28.528232917541</v>
      </c>
      <c r="EV83" s="312">
        <f>EU83*(VLOOKUP($EY$9,各项系数!$D$4:$F$143,2,0))</f>
        <v>1868.59925609894</v>
      </c>
      <c r="EW83" s="324">
        <f>(IF($EO83=0,0,(各项系数!$F$76/4*$ER83^2*$EO83*$EP83*1*10^-7))*(1-$K83)*$AF83)*(VLOOKUP($EY$9,各项系数!$D$4:$F$143,3,0))*各项系数!$J$4</f>
        <v>0</v>
      </c>
      <c r="EX83" s="325">
        <f>EW83*(VLOOKUP($EY$9,各项系数!$D$4:$F$143,2,0))</f>
        <v>0</v>
      </c>
      <c r="EY83" s="251">
        <f>((各项系数!$F$76/4*$EJ83^2*$EG83*$EH83*1*10^-7)*(1-$H83)*AA83+IF($EO83=0,0,(各项系数!$F$76/4*$ER83^2*$EO83*$EP83*1*10^-7))*(1-$K83)*$AF83)*(VLOOKUP($EY$9,各项系数!$D$4:$F$143,3,0))*各项系数!$J$4</f>
        <v>28.528232917541</v>
      </c>
      <c r="EZ83" s="127">
        <v>1</v>
      </c>
      <c r="FA83" s="95">
        <f t="shared" si="268"/>
        <v>28.528232917541</v>
      </c>
      <c r="FB83" s="314">
        <f>FA83*(VLOOKUP($EY$9,各项系数!$D$4:$F$143,2,0))</f>
        <v>1868.59925609894</v>
      </c>
      <c r="FC83" s="329"/>
      <c r="FD83" s="304">
        <f>各项系数!$F$76/4*($MN83^2-MK83^2)*10^-2*(VLOOKUP(L83,各项系数!$D$1:$F$143,3,0))*10^-3*10^2*$EG83*各项系数!$J$4</f>
        <v>1.39391861919924</v>
      </c>
      <c r="FE83" s="341">
        <f>FD83*VLOOKUP(L83,各项系数!$D$1:$F$143,2,0)</f>
        <v>14.2179699158322</v>
      </c>
      <c r="FF83" s="127">
        <f>各项系数!$F$76/4*($MO83^2-ML83^2)*10^-2*(VLOOKUP(L83,各项系数!$D$1:$F$143,3,0))*10^-3*10^2*$EO83*各项系数!$J$4</f>
        <v>0</v>
      </c>
      <c r="FG83" s="341">
        <f>FF83*VLOOKUP(L83,各项系数!$D$1:$F$143,2,0)</f>
        <v>0</v>
      </c>
      <c r="FH83" s="304">
        <f t="shared" si="410"/>
        <v>1.39391861919924</v>
      </c>
      <c r="FI83" s="127">
        <v>1</v>
      </c>
      <c r="FJ83" s="95">
        <f t="shared" si="269"/>
        <v>1.39391861919924</v>
      </c>
      <c r="FK83" s="341">
        <f>FJ83*VLOOKUP(L83,各项系数!$D$1:$F$143,2,0)</f>
        <v>14.2179699158322</v>
      </c>
      <c r="FL83" s="304"/>
      <c r="FM83" s="127"/>
      <c r="FN83" s="95"/>
      <c r="FO83" s="341"/>
      <c r="FP83" s="371">
        <f t="shared" si="270"/>
        <v>1.39391861919924</v>
      </c>
      <c r="FQ83" s="371">
        <f t="shared" si="271"/>
        <v>14.2179699158322</v>
      </c>
      <c r="FR83" s="365">
        <f>各项系数!$F$76/4*($MQ83^2-$MN83^2*$EG83-$MO83^2*$EO83)*10^-2</f>
        <v>25.2071675798038</v>
      </c>
      <c r="FS83" s="366">
        <f t="shared" si="411"/>
        <v>1</v>
      </c>
      <c r="FT83" s="367">
        <f t="shared" si="361"/>
        <v>25.2071675798038</v>
      </c>
      <c r="FU83" s="395">
        <f>$FT83*(VLOOKUP($FT$9,各项系数!$D$1:$F$143,3,0))*10^-3*10^2*各项系数!$J$55</f>
        <v>3.00973580902857</v>
      </c>
      <c r="FV83" s="396">
        <v>1</v>
      </c>
      <c r="FW83" s="397">
        <f t="shared" si="272"/>
        <v>3.00973580902857</v>
      </c>
      <c r="FX83" s="372">
        <f>FW83*(VLOOKUP($FT$9,各项系数!$D$1:$F$143,2,0))</f>
        <v>9.02920742708572</v>
      </c>
      <c r="FY83" s="395">
        <f>IF($BK83&lt;&gt;$FY$9,0,各项系数!$F$76/4*($MS83^2-$MQ83^2)*10^-2*(VLOOKUP($FY$9,各项系数!$D$1:$F$143,3,0))*10^-3*10^2)*各项系数!$J$4</f>
        <v>0</v>
      </c>
      <c r="FZ83" s="396">
        <v>1</v>
      </c>
      <c r="GA83" s="397">
        <f t="shared" si="273"/>
        <v>0</v>
      </c>
      <c r="GB83" s="372">
        <f>GA83*(VLOOKUP($FY$9,各项系数!$D$1:$F$143,2,0))</f>
        <v>0</v>
      </c>
      <c r="GC83" s="395">
        <f>IF($BK83&lt;&gt;$GC$9,0,各项系数!$F$76/4*($MS83^2-$MQ83^2)*10^-2*(VLOOKUP($GC$9,各项系数!$D$1:$F$143,3,0))*10^-3*10^2)*各项系数!$J$4</f>
        <v>0.0274262946412603</v>
      </c>
      <c r="GD83" s="396">
        <v>1</v>
      </c>
      <c r="GE83" s="397">
        <f t="shared" si="274"/>
        <v>0.0274262946412603</v>
      </c>
      <c r="GF83" s="372">
        <f>GE83*(VLOOKUP($GC$9,各项系数!$D$1:$F$143,2,0))</f>
        <v>0.353799200872258</v>
      </c>
      <c r="GG83" s="395">
        <f>IF($BK83&lt;&gt;$GG$9,0,各项系数!$F$76/4*($MS83^2-$MQ83^2)*10^-2*(VLOOKUP($GG$9,各项系数!$D$1:$F$143,3,0))*10^-3*10^2)*各项系数!$J$4</f>
        <v>0</v>
      </c>
      <c r="GH83" s="396">
        <v>1</v>
      </c>
      <c r="GI83" s="397">
        <f t="shared" si="275"/>
        <v>0</v>
      </c>
      <c r="GJ83" s="372">
        <f>GI83*(VLOOKUP($GG$9,各项系数!$D$1:$F$143,2,0))</f>
        <v>0</v>
      </c>
      <c r="GK83" s="395">
        <f>IF($BK83&lt;&gt;$GK$9,0,各项系数!$F$76/4*($MS83^2-$MQ83^2)*10^-2*(VLOOKUP($GK$9,各项系数!$D$1:$F$143,3,0))*10^-3*10^2)*各项系数!$J$4</f>
        <v>0</v>
      </c>
      <c r="GL83" s="396">
        <v>1</v>
      </c>
      <c r="GM83" s="397">
        <f t="shared" si="276"/>
        <v>0</v>
      </c>
      <c r="GN83" s="372">
        <f>GM83*(VLOOKUP($GK$9,各项系数!$D$1:$F$143,2,0))</f>
        <v>0</v>
      </c>
      <c r="GO83" s="397">
        <f t="shared" si="277"/>
        <v>0.0274262946412603</v>
      </c>
      <c r="GP83" s="397">
        <f t="shared" si="278"/>
        <v>0.353799200872258</v>
      </c>
      <c r="GQ83" s="408">
        <f>各项系数!$F$76/4*($MU83^2-$MS83^2)*10^-2*(VLOOKUP($S83,各项系数!$D$1:$F$143,3,0))*10^-3*10^2*各项系数!$J$4</f>
        <v>1.86172716067794</v>
      </c>
      <c r="GR83" s="396">
        <v>1</v>
      </c>
      <c r="GS83" s="397">
        <f t="shared" si="279"/>
        <v>1.86172716067794</v>
      </c>
      <c r="GT83" s="397">
        <f t="shared" si="200"/>
        <v>0</v>
      </c>
      <c r="GU83" s="397">
        <f>ROUND($GS83*(VLOOKUP($S83,各项系数!$D$1:$F$143,2,0))+$E$3*GS83,GT83)</f>
        <v>11</v>
      </c>
      <c r="GV83" s="406">
        <f>各项系数!$F$76/4*($MT83^2-$MS83^2)*10^-2*(VLOOKUP($GV$9,各项系数!$D$1:$F$143,3,0))*10^-3*10^2*各项系数!$J$4*PI()/4*R83</f>
        <v>0.140910951700189</v>
      </c>
      <c r="GW83" s="396">
        <v>1</v>
      </c>
      <c r="GX83" s="397">
        <f t="shared" si="280"/>
        <v>0.140910951700189</v>
      </c>
      <c r="GY83" s="397">
        <f>$GX83*(VLOOKUP($GV$9,各项系数!$D$1:$F$143,2,0))</f>
        <v>9.51148923976277</v>
      </c>
      <c r="GZ83" s="408">
        <f>各项系数!$F$76/4*($MV83^2-$MS83^2)*10^-2*(VLOOKUP($GZ$9,各项系数!$D$1:$F$143,3,0))*10^-3*10^2*各项系数!$J$4</f>
        <v>1.94937590157293</v>
      </c>
      <c r="HA83" s="396">
        <v>1</v>
      </c>
      <c r="HB83" s="397">
        <f t="shared" si="412"/>
        <v>1.94937590157293</v>
      </c>
      <c r="HC83" s="397">
        <f>HB83*(VLOOKUP($GZ$9,各项系数!$D$1:$F$143,2,0))</f>
        <v>33.1393903267398</v>
      </c>
      <c r="HD83" s="408">
        <f>各项系数!$F$76/4*($MW83^2-$MT83^2)*10^-2*(VLOOKUP($HD$9,各项系数!$D$1:$F$143,3,0))*10^-3*10^2*各项系数!$J$4</f>
        <v>1.95234924309036</v>
      </c>
      <c r="HE83" s="396">
        <v>1</v>
      </c>
      <c r="HF83" s="397">
        <f t="shared" si="413"/>
        <v>1.95234924309036</v>
      </c>
      <c r="HG83" s="397">
        <f>HF83*(VLOOKUP($HD$9,各项系数!$D$1:$F$143,2,0))</f>
        <v>33.1899371325361</v>
      </c>
      <c r="HH83" s="408">
        <f>各项系数!$F$76/4*($MV83^2-$MS83^2)*10^-2*(VLOOKUP($HH$9,各项系数!$D$1:$F$143,3,0))*10^-3*10^2*各项系数!$J$4</f>
        <v>1.94937590157293</v>
      </c>
      <c r="HI83" s="397">
        <v>1</v>
      </c>
      <c r="HJ83" s="397">
        <f t="shared" si="414"/>
        <v>1.94937590157293</v>
      </c>
      <c r="HK83" s="397">
        <f>HJ83*(VLOOKUP($HH$9,各项系数!$D$1:$F$143,2,0))</f>
        <v>33.1393903267398</v>
      </c>
      <c r="HL83" s="408">
        <f>各项系数!$F$76/4*($MW83^2-$MT83^2)*10^-2*(VLOOKUP($HL$9,各项系数!$D$1:$F$143,3,0))*10^-3*10^2*各项系数!$J$4</f>
        <v>1.95234924309036</v>
      </c>
      <c r="HM83" s="397">
        <v>1</v>
      </c>
      <c r="HN83" s="397">
        <f t="shared" si="362"/>
        <v>1.95234924309036</v>
      </c>
      <c r="HO83" s="397">
        <f>HN83*(VLOOKUP($HL$9,各项系数!$D$1:$F$143,2,0))</f>
        <v>33.1899371325361</v>
      </c>
      <c r="HP83" s="408">
        <f>各项系数!$F$76/4*($MV83^2-$MS83^2)*10^-2*(VLOOKUP(AN83,各项系数!$D$1:$F$143,3,0))*10^-3*10^2*各项系数!$J$4</f>
        <v>1.9762638450429</v>
      </c>
      <c r="HQ83" s="396">
        <v>1</v>
      </c>
      <c r="HR83" s="397">
        <f t="shared" si="281"/>
        <v>1.9762638450429</v>
      </c>
      <c r="HS83" s="397">
        <f>HR83*(VLOOKUP(AN83,各项系数!$D$1:$F$143,2,0))</f>
        <v>19.762638450429</v>
      </c>
      <c r="HT83" s="408">
        <f>各项系数!$F$76/4*($MW83^2-$MT83^2)*10^-2*(VLOOKUP(AN83,各项系数!$D$1:$F$143,3,0))*10^-3*10^2*各项系数!$J$4</f>
        <v>1.97927819816747</v>
      </c>
      <c r="HU83" s="396">
        <v>1</v>
      </c>
      <c r="HV83" s="397">
        <f t="shared" si="282"/>
        <v>1.97927819816747</v>
      </c>
      <c r="HW83" s="397">
        <f>HV83*(VLOOKUP(AN83,各项系数!$D$1:$F$143,2,0))</f>
        <v>19.7927819816747</v>
      </c>
      <c r="HX83" s="408">
        <f>各项系数!$F$76/4*($MV83^2-$MS83^2)*10^-2*(VLOOKUP($HX$9,各项系数!$D$1:$F$143,3,0))*10^-3*10^2*各项系数!$J$4</f>
        <v>1.9762638450429</v>
      </c>
      <c r="HY83" s="397">
        <v>1</v>
      </c>
      <c r="HZ83" s="397">
        <f t="shared" si="283"/>
        <v>1.9762638450429</v>
      </c>
      <c r="IA83" s="397">
        <f>HZ83*(VLOOKUP($HX$9,各项系数!$D$1:$F$143,2,0))</f>
        <v>21.7389022954719</v>
      </c>
      <c r="IB83" s="408">
        <f>各项系数!$F$76/4*($MW83^2-$MT83^2)*10^-2*(VLOOKUP($IB$9,各项系数!$D$1:$F$143,3,0))*10^-3*10^2*各项系数!$J$4</f>
        <v>1.97927819816747</v>
      </c>
      <c r="IC83" s="397">
        <v>1</v>
      </c>
      <c r="ID83" s="397">
        <f t="shared" si="284"/>
        <v>1.97927819816747</v>
      </c>
      <c r="IE83" s="397">
        <f>ID83*(VLOOKUP($IB$9,各项系数!$D$1:$F$143,2,0))</f>
        <v>21.7720601798422</v>
      </c>
      <c r="IF83" s="395"/>
      <c r="IG83" s="408">
        <f t="shared" si="415"/>
        <v>0.206381697046284</v>
      </c>
      <c r="IH83" s="396">
        <v>1</v>
      </c>
      <c r="II83" s="397">
        <f t="shared" si="285"/>
        <v>0.206381697046284</v>
      </c>
      <c r="IJ83" s="397">
        <f>II83*(VLOOKUP($IG$8,各项系数!$D$1:$F$143,2,0))</f>
        <v>5.1595424261571</v>
      </c>
      <c r="IK83" s="408">
        <f>(各项系数!$F$76/4*($MX83^2-$MK83^2)*$EG83)*10^-2*(VLOOKUP($IG$8,各项系数!$D$1:$F$143,3,0))*10^-3*10^2*各项系数!$J$4</f>
        <v>0.206381697046284</v>
      </c>
      <c r="IL83" s="396">
        <f>IK83*(VLOOKUP($IG$8,各项系数!$D$1:$F$143,2,0))</f>
        <v>5.1595424261571</v>
      </c>
      <c r="IM83" s="397">
        <f>(各项系数!$F$76/4*(($MM83+3*$X83)^2-MM83^2)*$EO83)*10^-2*(VLOOKUP($IG$8,各项系数!$D$1:$F$143,3,0))*10^-3*10^2*各项系数!$J$4</f>
        <v>0</v>
      </c>
      <c r="IN83" s="396">
        <f>IM83*(VLOOKUP($IG$8,各项系数!$D$1:$F$143,2,0))</f>
        <v>0</v>
      </c>
      <c r="IO83" s="408">
        <f>各项系数!$F$76/4*($MZ83^2-$MX83^2)*10^-2*(VLOOKUP(L83,各项系数!$D$1:$F$143,3,0))*10^-3*10^2*$ES83*各项系数!$J$4</f>
        <v>1.41537469171361</v>
      </c>
      <c r="IP83" s="396">
        <v>1</v>
      </c>
      <c r="IQ83" s="397">
        <f t="shared" si="286"/>
        <v>1.41537469171361</v>
      </c>
      <c r="IR83" s="372">
        <f>IQ83*(VLOOKUP(L83,各项系数!$D$1:$F$143,2,0))</f>
        <v>14.4368218554788</v>
      </c>
      <c r="IS83" s="408">
        <f>IF($L83&lt;&gt;$IS$9,0,各项系数!$F$76/4*($MZ83^2-$MX83^2)*10^-2*各项系数!$F$12*10^-3*10^2)*$ES83*各项系数!$J$4</f>
        <v>0</v>
      </c>
      <c r="IT83" s="396">
        <v>1</v>
      </c>
      <c r="IU83" s="397">
        <f t="shared" si="287"/>
        <v>0</v>
      </c>
      <c r="IV83" s="372">
        <f>IU83*各项系数!$E$12</f>
        <v>0</v>
      </c>
      <c r="IW83" s="395">
        <f t="shared" si="288"/>
        <v>1.41537469171361</v>
      </c>
      <c r="IX83" s="395">
        <f t="shared" si="289"/>
        <v>14.4368218554788</v>
      </c>
      <c r="IY83" s="447">
        <f>各项系数!$F$76/4*($NB83^2-$MZ83^2*$EG83-$NA83^2*$EO83)*10^-2</f>
        <v>25.939901339837</v>
      </c>
      <c r="IZ83" s="366">
        <f t="shared" si="231"/>
        <v>1</v>
      </c>
      <c r="JA83" s="367">
        <f t="shared" si="363"/>
        <v>25.939901339837</v>
      </c>
      <c r="JB83" s="371">
        <f>IF($DE83&lt;&gt;$JB$9,0,$JA83*各项系数!$F$32*10^-3*10^2)*各项系数!$J$4</f>
        <v>0</v>
      </c>
      <c r="JC83" s="127">
        <v>1</v>
      </c>
      <c r="JD83" s="95">
        <f t="shared" si="290"/>
        <v>0</v>
      </c>
      <c r="JE83" s="341">
        <f>JD83*各项系数!$E$32</f>
        <v>0</v>
      </c>
      <c r="JF83" s="364">
        <f>IF($DE83&lt;&gt;$JF$9,0,$JA83*VLOOKUP($JF$9,各项系数!$D$4:$F$540,2,0)*10^-3*10^2)*各项系数!$J$4</f>
        <v>12.9051009165689</v>
      </c>
      <c r="JG83" s="123">
        <v>1</v>
      </c>
      <c r="JH83" s="251">
        <f t="shared" si="364"/>
        <v>12.9051009165689</v>
      </c>
      <c r="JI83" s="339">
        <f>JH83*VLOOKUP($JF$9,各项系数!$D$4:$F$540,3,0)</f>
        <v>15.4861210998827</v>
      </c>
      <c r="JJ83" s="371">
        <f t="shared" si="291"/>
        <v>12.9051009165689</v>
      </c>
      <c r="JK83" s="95">
        <f t="shared" si="292"/>
        <v>15.4861210998827</v>
      </c>
      <c r="JL83" s="371">
        <f>IF($DF83&lt;&gt;$JL$9,0,各项系数!$F$76/4*($NE83^2-$NC83^2)*10^-2*各项系数!$F$39*10^-3*10^2)*各项系数!$J$4</f>
        <v>0.0115001768675214</v>
      </c>
      <c r="JM83" s="127">
        <v>1</v>
      </c>
      <c r="JN83" s="95">
        <f t="shared" si="293"/>
        <v>0.0115001768675214</v>
      </c>
      <c r="JO83" s="341">
        <f>JN83*各项系数!$E$39</f>
        <v>0.230003537350428</v>
      </c>
      <c r="JP83" s="371">
        <f>IF($DF83&lt;&gt;$JP$9,0,各项系数!$F$76/4*($NE83^2-$NC83^2)*10^-2*各项系数!$F$36*10^-3*10^2)*各项系数!$J$4</f>
        <v>0</v>
      </c>
      <c r="JQ83" s="127">
        <v>1</v>
      </c>
      <c r="JR83" s="95">
        <f t="shared" si="294"/>
        <v>0</v>
      </c>
      <c r="JS83" s="341">
        <f>JR83*各项系数!$E$36</f>
        <v>0</v>
      </c>
      <c r="JT83" s="371">
        <f>IF($DF83&lt;&gt;$JT$9,0,各项系数!$F$76/4*($NE83^2-$NC83^2)*10^-2*各项系数!$F$40*10^-3*10^2)*各项系数!$J$4</f>
        <v>0</v>
      </c>
      <c r="JU83" s="127">
        <v>1</v>
      </c>
      <c r="JV83" s="95">
        <f t="shared" si="295"/>
        <v>0</v>
      </c>
      <c r="JW83" s="341">
        <f>JV83*各项系数!$E$40</f>
        <v>0</v>
      </c>
      <c r="JX83" s="371">
        <f>IF($DF83&lt;&gt;$JX$9,0,各项系数!$F$76/4*($NE83^2-$NC83^2)*10^-2*各项系数!$F$38*10^-3*10^2)*各项系数!$J$4</f>
        <v>0</v>
      </c>
      <c r="JY83" s="127">
        <v>1</v>
      </c>
      <c r="JZ83" s="95">
        <f t="shared" si="296"/>
        <v>0</v>
      </c>
      <c r="KA83" s="341">
        <f>JZ83*各项系数!$E$38</f>
        <v>0</v>
      </c>
      <c r="KB83" s="371">
        <f>IF($DF83&lt;&gt;$KB$9,0,各项系数!$F$76/4*($NE83^2-$NC83^2)*10^-2*各项系数!$F$41*10^-3*10^2)*各项系数!$J$4</f>
        <v>0</v>
      </c>
      <c r="KC83" s="127">
        <v>1</v>
      </c>
      <c r="KD83" s="95">
        <f t="shared" si="297"/>
        <v>0</v>
      </c>
      <c r="KE83" s="341">
        <f>KD83*各项系数!$E$41</f>
        <v>0</v>
      </c>
      <c r="KF83" s="95">
        <f t="shared" si="298"/>
        <v>0.0115001768675214</v>
      </c>
      <c r="KG83" s="95">
        <f t="shared" si="299"/>
        <v>0.230003537350428</v>
      </c>
      <c r="KH83" s="304">
        <f>各项系数!$F$76/4*($NG83^2-$NE83^2)*10^-2*各项系数!$F$44*10^-3*10^2*各项系数!$J$4*0.75*$U83</f>
        <v>2.83428069639061</v>
      </c>
      <c r="KI83" s="127">
        <v>1</v>
      </c>
      <c r="KJ83" s="95">
        <f t="shared" si="300"/>
        <v>2.83428069639061</v>
      </c>
      <c r="KK83" s="95">
        <f>ROUND(KJ83*各项系数!$E$43,GT83)</f>
        <v>16</v>
      </c>
      <c r="KL83" s="302">
        <f>各项系数!$F$76/4*($NF83^2-$NE83^2)*10^-2*各项系数!$F$46*10^-3*10^2*各项系数!$J$4*PI()/4*R83</f>
        <v>0.143028550933513</v>
      </c>
      <c r="KM83" s="127">
        <v>1</v>
      </c>
      <c r="KN83" s="95">
        <f t="shared" si="301"/>
        <v>0.143028550933513</v>
      </c>
      <c r="KO83" s="95">
        <f>KN83*各项系数!$E$46</f>
        <v>9.65442718801216</v>
      </c>
      <c r="KP83" s="304">
        <f>各项系数!$F$76/4*($NH83^2-$NE83^2)*10^-2*(VLOOKUP($KP$9,各项系数!$D$1:$F$143,3,0))*10^-3*10^2*各项系数!$J$4</f>
        <v>1.97754831245061</v>
      </c>
      <c r="KQ83" s="127">
        <v>1</v>
      </c>
      <c r="KR83" s="95">
        <f t="shared" si="416"/>
        <v>1.97754831245061</v>
      </c>
      <c r="KS83" s="95">
        <f>KR83*(VLOOKUP($KP$9,各项系数!$D$1:$F$143,2,0))</f>
        <v>33.6183213116605</v>
      </c>
      <c r="KT83" s="304">
        <f>各项系数!$F$76/4*($NI83^2-$NF83^2)*10^-2*(VLOOKUP($KT$9,各项系数!$D$1:$F$143,3,0))*10^-3*10^2*各项系数!$J$4</f>
        <v>1.98052165396805</v>
      </c>
      <c r="KU83" s="127">
        <v>1</v>
      </c>
      <c r="KV83" s="95">
        <f t="shared" si="417"/>
        <v>1.98052165396805</v>
      </c>
      <c r="KW83" s="95">
        <f>KV83*(VLOOKUP($KT$9,各项系数!$D$1:$F$143,2,0))</f>
        <v>33.6688681174568</v>
      </c>
      <c r="KX83" s="95">
        <f>各项系数!$F$76/4*($NH83^2-$NE83^2)*10^-2*(VLOOKUP($KX$9,各项系数!$D$1:$F$143,3,0))*10^-3*10^2*各项系数!$J$4</f>
        <v>1.97754831245061</v>
      </c>
      <c r="KY83" s="481">
        <v>1</v>
      </c>
      <c r="KZ83" s="95">
        <f t="shared" si="418"/>
        <v>1.97754831245061</v>
      </c>
      <c r="LA83" s="95">
        <f>KZ83*(VLOOKUP($KX$9,各项系数!$D$1:$F$143,2,0))</f>
        <v>33.6183213116605</v>
      </c>
      <c r="LB83" s="95">
        <f>各项系数!$F$76/4*($NI83^2-$NF83^2)*10^-2*(VLOOKUP($LB$9,各项系数!$D$1:$F$143,3,0))*10^-3*10^2*各项系数!$J$4</f>
        <v>1.98052165396805</v>
      </c>
      <c r="LC83" s="481">
        <v>1</v>
      </c>
      <c r="LD83" s="95">
        <f t="shared" si="419"/>
        <v>1.98052165396805</v>
      </c>
      <c r="LE83" s="95">
        <f>LD83*(VLOOKUP($LB$9,各项系数!$D$1:$F$143,2,0))</f>
        <v>33.6688681174568</v>
      </c>
      <c r="LF83" s="304">
        <f>各项系数!$F$76/4*($NH83^2-$NE83^2)*10^-2*(VLOOKUP(AN83,各项系数!$D$1:$F$143,3,0))*10^-3*10^2*各项系数!$J$4</f>
        <v>2.00482484089821</v>
      </c>
      <c r="LG83" s="127">
        <v>1</v>
      </c>
      <c r="LH83" s="95">
        <f t="shared" si="302"/>
        <v>2.00482484089821</v>
      </c>
      <c r="LI83" s="95">
        <f>LH83*(VLOOKUP(AN83,各项系数!$D$1:$F$143,2,0))</f>
        <v>20.0482484089821</v>
      </c>
      <c r="LJ83" s="304">
        <f>各项系数!$F$76/4*($NI83^2-$NF83^2)*10^-2*(VLOOKUP(AN83,各项系数!$D$1:$F$143,3,0))*10^-3*10^2*各项系数!$J$4</f>
        <v>2.00783919402278</v>
      </c>
      <c r="LK83" s="127">
        <v>1</v>
      </c>
      <c r="LL83" s="95">
        <f t="shared" si="303"/>
        <v>2.00783919402278</v>
      </c>
      <c r="LM83" s="95">
        <f>LL83*(VLOOKUP(AN83,各项系数!$D$1:$F$143,2,0))</f>
        <v>20.0783919402278</v>
      </c>
      <c r="LN83" s="95">
        <f>各项系数!$F$76/4*($NH83^2-$NE83^2)*10^-2*(VLOOKUP($LN$9,各项系数!$D$1:$F$143,3,0))*10^-3*10^2*各项系数!$J$4</f>
        <v>2.00482484089821</v>
      </c>
      <c r="LO83" s="481">
        <v>1</v>
      </c>
      <c r="LP83" s="95">
        <f t="shared" si="304"/>
        <v>2.00482484089821</v>
      </c>
      <c r="LQ83" s="95">
        <f>LP83*(VLOOKUP($LN$9,各项系数!$D$1:$F$143,2,0))</f>
        <v>22.0530732498803</v>
      </c>
      <c r="LR83" s="95">
        <f>各项系数!$F$76/4*($NI83^2-$NF83^2)*10^-2*(VLOOKUP($LR$9,各项系数!$D$1:$F$143,3,0))*10^-3*10^2*各项系数!$J$4</f>
        <v>2.00783919402278</v>
      </c>
      <c r="LS83" s="481">
        <v>1</v>
      </c>
      <c r="LT83" s="95">
        <f t="shared" si="305"/>
        <v>2.00783919402278</v>
      </c>
      <c r="LU83" s="95">
        <f>LT83*(VLOOKUP($LR$9,各项系数!$D$1:$F$143,2,0))</f>
        <v>22.0862311342506</v>
      </c>
      <c r="LV83" s="501">
        <f t="shared" si="420"/>
        <v>4157.84207873</v>
      </c>
      <c r="LW83" s="501">
        <f t="shared" si="421"/>
        <v>3131.21440497</v>
      </c>
      <c r="LX83" s="501">
        <f t="shared" si="422"/>
        <v>63.1410009696725</v>
      </c>
      <c r="LY83" s="519">
        <f t="shared" si="423"/>
        <v>1026.62767376</v>
      </c>
      <c r="LZ83" s="516">
        <f t="shared" si="365"/>
        <v>1</v>
      </c>
      <c r="MA83" s="517">
        <f t="shared" si="366"/>
        <v>4157.84207873</v>
      </c>
      <c r="MB83" s="501">
        <f t="shared" si="424"/>
        <v>36.37969542</v>
      </c>
      <c r="MC83" s="501">
        <f t="shared" si="425"/>
        <v>0</v>
      </c>
      <c r="MD83" s="501">
        <f t="shared" si="426"/>
        <v>0</v>
      </c>
      <c r="ME83" s="501">
        <f t="shared" si="427"/>
        <v>0</v>
      </c>
      <c r="MF83" s="501">
        <f t="shared" si="428"/>
        <v>0</v>
      </c>
      <c r="MG83" s="527">
        <f t="shared" si="429"/>
        <v>1</v>
      </c>
      <c r="MH83" s="517">
        <f t="shared" si="367"/>
        <v>0</v>
      </c>
      <c r="MI83" s="501">
        <f t="shared" si="430"/>
        <v>0</v>
      </c>
      <c r="MJ83" s="95">
        <f t="shared" si="368"/>
        <v>36.37969542</v>
      </c>
      <c r="MK83" s="95">
        <f t="shared" si="431"/>
        <v>36.37969542</v>
      </c>
      <c r="ML83" s="95">
        <f t="shared" si="306"/>
        <v>0</v>
      </c>
      <c r="MM83" s="95">
        <f t="shared" si="369"/>
        <v>0</v>
      </c>
      <c r="MN83" s="95">
        <f t="shared" si="370"/>
        <v>41.57969542</v>
      </c>
      <c r="MO83" s="251">
        <f t="shared" si="432"/>
        <v>0</v>
      </c>
      <c r="MP83" s="95">
        <f t="shared" si="433"/>
        <v>100.62286292</v>
      </c>
      <c r="MQ83" s="95">
        <f t="shared" si="307"/>
        <v>100.62286292</v>
      </c>
      <c r="MR83" s="314">
        <f t="shared" si="434"/>
        <v>100.62286292</v>
      </c>
      <c r="MS83" s="530">
        <f t="shared" si="371"/>
        <v>100.79886292</v>
      </c>
      <c r="MT83" s="532">
        <f t="shared" si="372"/>
        <v>100.95886292</v>
      </c>
      <c r="MU83" s="532">
        <f t="shared" si="373"/>
        <v>102.29886292</v>
      </c>
      <c r="MV83" s="532">
        <f t="shared" si="374"/>
        <v>108.99886292</v>
      </c>
      <c r="MW83" s="532">
        <f t="shared" si="375"/>
        <v>109.15886292</v>
      </c>
      <c r="MX83" s="314">
        <f t="shared" si="376"/>
        <v>36.97969542</v>
      </c>
      <c r="MY83" s="314">
        <f t="shared" si="377"/>
        <v>0</v>
      </c>
      <c r="MZ83" s="95">
        <f t="shared" si="378"/>
        <v>42.17969542</v>
      </c>
      <c r="NA83" s="95">
        <f t="shared" si="379"/>
        <v>0</v>
      </c>
      <c r="NB83" s="95">
        <f t="shared" si="435"/>
        <v>102.07486292</v>
      </c>
      <c r="NC83" s="314">
        <f t="shared" si="308"/>
        <v>102.07486292</v>
      </c>
      <c r="ND83" s="314">
        <f t="shared" si="436"/>
        <v>102.07486292</v>
      </c>
      <c r="NE83" s="537">
        <f t="shared" si="437"/>
        <v>102.31486292</v>
      </c>
      <c r="NF83" s="532">
        <f t="shared" si="380"/>
        <v>102.47486292</v>
      </c>
      <c r="NG83" s="180">
        <f t="shared" si="381"/>
        <v>103.81486292</v>
      </c>
      <c r="NH83" s="314">
        <f t="shared" si="382"/>
        <v>110.51486292</v>
      </c>
      <c r="NI83" s="532">
        <f t="shared" si="383"/>
        <v>110.67486292</v>
      </c>
      <c r="NK83" s="541">
        <f t="shared" si="384"/>
        <v>34.935577485453</v>
      </c>
      <c r="NL83" s="541">
        <f t="shared" si="385"/>
        <v>1911.96287109316</v>
      </c>
      <c r="NM83" s="541">
        <f t="shared" si="386"/>
        <v>34.935577485453</v>
      </c>
      <c r="NN83" s="541">
        <f t="shared" si="387"/>
        <v>1913.9391349382</v>
      </c>
      <c r="NO83" s="541">
        <f t="shared" si="388"/>
        <v>45.0714152406355</v>
      </c>
      <c r="NP83" s="541">
        <f t="shared" si="389"/>
        <v>1923.95999342679</v>
      </c>
      <c r="NQ83" s="541">
        <f t="shared" si="390"/>
        <v>45.0714152406355</v>
      </c>
      <c r="NR83" s="541">
        <f t="shared" si="391"/>
        <v>1925.96481826768</v>
      </c>
      <c r="NS83" s="541">
        <f t="shared" si="392"/>
        <v>35.0764884371532</v>
      </c>
      <c r="NT83" s="541">
        <f t="shared" si="393"/>
        <v>35.0764884371532</v>
      </c>
      <c r="NU83" s="541">
        <f t="shared" si="394"/>
        <v>45.2144437915691</v>
      </c>
      <c r="NV83" s="541">
        <f t="shared" si="395"/>
        <v>45.2144437915691</v>
      </c>
      <c r="NW83" s="11">
        <f t="shared" si="396"/>
        <v>36.7973046461309</v>
      </c>
      <c r="NX83" s="11">
        <f>各项系数!$M$9*NK83</f>
        <v>10.4806732456359</v>
      </c>
      <c r="NY83" s="11">
        <f t="shared" si="397"/>
        <v>35.0764884371532</v>
      </c>
    </row>
    <row r="84" s="11" customFormat="1" customHeight="1" spans="1:389">
      <c r="A84" s="81"/>
      <c r="B84" s="82"/>
      <c r="C84" s="83"/>
      <c r="D84" s="74" t="s">
        <v>128</v>
      </c>
      <c r="E84" s="70">
        <f t="shared" si="325"/>
        <v>18.1775539</v>
      </c>
      <c r="F84" s="84">
        <f>$F$20</f>
        <v>131.130294998433</v>
      </c>
      <c r="G84" s="74"/>
      <c r="H84" s="78"/>
      <c r="I84" s="78"/>
      <c r="J84" s="78"/>
      <c r="K84" s="78"/>
      <c r="L84" s="128" t="s">
        <v>467</v>
      </c>
      <c r="M84" s="119">
        <f t="shared" si="339"/>
        <v>0.7</v>
      </c>
      <c r="N84" s="119">
        <f t="shared" si="340"/>
        <v>0</v>
      </c>
      <c r="O84" s="74">
        <f t="shared" si="438"/>
        <v>0.08</v>
      </c>
      <c r="P84" s="120">
        <v>0.1</v>
      </c>
      <c r="Q84" s="165">
        <f t="shared" ref="Q84:Q93" si="440">$Q$12</f>
        <v>0.1</v>
      </c>
      <c r="R84" s="182">
        <v>0.8</v>
      </c>
      <c r="S84" s="173" t="str">
        <f>各项系数!$D$43</f>
        <v>钢带</v>
      </c>
      <c r="T84" s="78">
        <v>0.2</v>
      </c>
      <c r="U84" s="78">
        <v>2</v>
      </c>
      <c r="V84" s="181"/>
      <c r="W84" s="119">
        <v>1.8</v>
      </c>
      <c r="X84" s="168">
        <f t="shared" ref="X84:X93" si="441">$X$12</f>
        <v>0.2</v>
      </c>
      <c r="Y84" s="221"/>
      <c r="Z84" s="222"/>
      <c r="AA84" s="223">
        <f>$AA$20</f>
        <v>1.011</v>
      </c>
      <c r="AB84" s="186">
        <f>PI()*EJ84*EJ84/4*EH84*(1-H84)*AA84*各项系数!$F$5*各项系数!$J$4*10^-7</f>
        <v>0.0845415089527171</v>
      </c>
      <c r="AC84" s="224">
        <f t="shared" si="327"/>
        <v>131.130294998433</v>
      </c>
      <c r="AD84" s="186">
        <f t="shared" si="341"/>
        <v>9.55751863397041</v>
      </c>
      <c r="AE84" s="186">
        <f>POWER(4*EU84/PI()/EG84/10^-7/EH84/(1-H84)/各项系数!$F$5/各项系数!$J$4,0.5)</f>
        <v>131.849539109191</v>
      </c>
      <c r="AF84" s="225">
        <v>1</v>
      </c>
      <c r="AG84" s="23">
        <f>IF(EM84=0,0,PI()*ER84*ER84/4*EP84*(1-K84)*(1+AF84)*各项系数!$F$5*各项系数!$J$4*10^-7)</f>
        <v>0</v>
      </c>
      <c r="AH84" s="23">
        <f t="shared" si="328"/>
        <v>0</v>
      </c>
      <c r="AI84" s="85">
        <f t="shared" si="398"/>
        <v>0</v>
      </c>
      <c r="AJ84" s="85">
        <f>IF(OR(EP84="",EP84=0),0,POWER(4*EW84/PI()/EO84/10^-7/EP84/(1-K84)/各项系数!$F$5/各项系数!$J$4,0.5))</f>
        <v>0</v>
      </c>
      <c r="AK84" s="23" t="str">
        <f t="shared" si="342"/>
        <v>√</v>
      </c>
      <c r="AL84" s="23">
        <f t="shared" si="329"/>
        <v>30.841070546917</v>
      </c>
      <c r="AM84" s="127">
        <f t="shared" si="330"/>
        <v>10</v>
      </c>
      <c r="AN84" s="128" t="s">
        <v>486</v>
      </c>
      <c r="AO84" s="176">
        <f>AP84+各项系数!$M$9*$NK84</f>
        <v>30.236343673448</v>
      </c>
      <c r="AP84" s="176">
        <f>AQ84*(1+$BI84+(VLOOKUP($AM84,$A$12:$B$323,2,0))+各项系数!$J$6+各项系数!$M$5)*(1+$E$2)</f>
        <v>30.032650178266</v>
      </c>
      <c r="AQ84" s="262">
        <f>AR84+各项系数!$L$9*$NK84</f>
        <v>30.6455614063939</v>
      </c>
      <c r="AR84" s="262">
        <f>AS84*(1+$BJ84+各项系数!$J$5+各项系数!$L$5)</f>
        <v>30.4418679112119</v>
      </c>
      <c r="AS84" s="262">
        <f t="shared" si="399"/>
        <v>29.8449685404039</v>
      </c>
      <c r="AT84" s="176">
        <f>AU84+各项系数!$M$9*$NM84</f>
        <v>31.1528676361271</v>
      </c>
      <c r="AU84" s="176">
        <f>AV84*(1+$BI84+(VLOOKUP($AM84,$A$12:$B$323,2,0))+各项系数!$J$6+各项系数!$M$5)*(1+$E$2)</f>
        <v>30.9491741409451</v>
      </c>
      <c r="AV84" s="262">
        <f>AW84+各项系数!$L$9*$NM84</f>
        <v>31.5807899397399</v>
      </c>
      <c r="AW84" s="262">
        <f>AX84*(1+$BJ84+各项系数!$J$5+各项系数!$L$5)</f>
        <v>31.3770964445579</v>
      </c>
      <c r="AX84" s="262">
        <f t="shared" si="400"/>
        <v>30.7618592593705</v>
      </c>
      <c r="AY84" s="176">
        <f>AZ84+各项系数!$M$9*$NS84</f>
        <v>31.6431866996061</v>
      </c>
      <c r="AZ84" s="176">
        <f>BA84*(1+$BI84+(VLOOKUP($AM84,$A$12:$B$214,2,0))+各项系数!$J$6+各项系数!$M$5)*(1+$E$2)</f>
        <v>31.4333509567524</v>
      </c>
      <c r="BA84" s="262">
        <f>BB84+各项系数!$L$9*$NS84</f>
        <v>32.0748479150534</v>
      </c>
      <c r="BB84" s="262">
        <f>BC84*(1+$BJ84+各项系数!$J$5+各项系数!$L$5)</f>
        <v>31.8650121721998</v>
      </c>
      <c r="BC84" s="262">
        <f t="shared" si="401"/>
        <v>31.2402080119605</v>
      </c>
      <c r="BD84" s="176">
        <f>BE84+各项系数!$M$9*$NS84</f>
        <v>32.5686646144397</v>
      </c>
      <c r="BE84" s="176">
        <f>BF84*(1+$BI84+(VLOOKUP($AM84,$A$12:$B$214,2,0))+各项系数!$J$6+各项系数!$M$5)*(1+$E$2)</f>
        <v>32.358828871586</v>
      </c>
      <c r="BF84" s="262">
        <f>BG84+各项系数!$L$9*$NS84</f>
        <v>33.0192131342714</v>
      </c>
      <c r="BG84" s="262">
        <f>BH84*(1+$BJ84+各项系数!$J$5+各项系数!$L$5)</f>
        <v>32.8093773914177</v>
      </c>
      <c r="BH84" s="262">
        <f t="shared" si="402"/>
        <v>32.1660562660958</v>
      </c>
      <c r="BI84" s="554">
        <v>0</v>
      </c>
      <c r="BJ84" s="279"/>
      <c r="BK84" s="95" t="s">
        <v>514</v>
      </c>
      <c r="BL84" s="176">
        <f>BM84+各项系数!$M$9*$NM84</f>
        <v>30.665557928243</v>
      </c>
      <c r="BM84" s="176">
        <f>BN84*(1+$CF84+(VLOOKUP($AM84,$A$12:$B$323,2,0))+各项系数!$J$6+各项系数!$M$5)*(1+$E$2)</f>
        <v>30.4618644330611</v>
      </c>
      <c r="BN84" s="262">
        <f>BO84+各项系数!$L$9*$NM84</f>
        <v>31.0835351357766</v>
      </c>
      <c r="BO84" s="262">
        <f>BP84*(1+$CG84+各项系数!$J$5+各项系数!$L$5)</f>
        <v>30.8798416405946</v>
      </c>
      <c r="BP84" s="262">
        <f t="shared" si="403"/>
        <v>29.9804287772763</v>
      </c>
      <c r="BQ84" s="176">
        <f>BR84+各项系数!$M$9*$NM84</f>
        <v>31.4543338568689</v>
      </c>
      <c r="BR84" s="176">
        <f>BS84*(1+$CF84+(VLOOKUP($AM84,$A$12:$B$323,2,0))+各项系数!$J$6+各项系数!$M$5)*(1+$E$2)</f>
        <v>31.250640361687</v>
      </c>
      <c r="BS84" s="262">
        <f>BT84+各项系数!$L$9*$NM84</f>
        <v>31.8884085323336</v>
      </c>
      <c r="BT84" s="262">
        <f>BU84*(1+$CG84+各项系数!$J$5+各项系数!$L$5)</f>
        <v>31.6847150371516</v>
      </c>
      <c r="BU84" s="262">
        <f t="shared" si="404"/>
        <v>30.7618592593705</v>
      </c>
      <c r="BV84" s="176">
        <f>BW84+各项系数!$M$9*$NT84</f>
        <v>31.8898692225808</v>
      </c>
      <c r="BW84" s="176">
        <f>BX84*(1+$CF84+(VLOOKUP($AM84,$A$12:$B$214,2,0))+各项系数!$J$6+各项系数!$M$5)*(1+$E$2)</f>
        <v>31.6800334797271</v>
      </c>
      <c r="BX84" s="262">
        <f>BY84+各项系数!$L$9*$NT$12</f>
        <v>32.3265647752317</v>
      </c>
      <c r="BY84" s="262">
        <f>BZ84*(1+$CG84+各项系数!$J$5+各项系数!$L$5)</f>
        <v>32.3183013720768</v>
      </c>
      <c r="BZ84" s="262">
        <f t="shared" si="343"/>
        <v>31.3769916233755</v>
      </c>
      <c r="CA84" s="176">
        <f>CB84+各项系数!$M$9*$NT84</f>
        <v>32.6863510729427</v>
      </c>
      <c r="CB84" s="176">
        <f>CC84*(1+$CF84+(VLOOKUP($AM84,$A$12:$B$214,2,0))+各项系数!$J$6+各项系数!$M$5)*(1+$E$2)</f>
        <v>32.476515330089</v>
      </c>
      <c r="CC84" s="262">
        <f>CD84+各项系数!$L$9*$NT$12</f>
        <v>33.1393013572336</v>
      </c>
      <c r="CD84" s="262">
        <f>CE84*(1+$CG84+各项系数!$J$5+各项系数!$L$5)</f>
        <v>33.1310379540787</v>
      </c>
      <c r="CE84" s="262">
        <f t="shared" si="405"/>
        <v>32.1660562660958</v>
      </c>
      <c r="CF84" s="554">
        <f>(BI84+$CF$2)-BI84/1.3</f>
        <v>0</v>
      </c>
      <c r="CG84" s="278">
        <f t="shared" si="344"/>
        <v>0.01</v>
      </c>
      <c r="CH84" s="127"/>
      <c r="CI84" s="176">
        <f>CJ84+各项系数!$M$9*$NO84</f>
        <v>31.7570280914823</v>
      </c>
      <c r="CJ84" s="176">
        <f>CK84*(1+$DC84+(VLOOKUP($AM84,$A$12:$B$323,2,0))+各项系数!$J$6+各项系数!$M$5)*(1+$E$2)+各项系数!$M$9*$NK84</f>
        <v>31.462504845869</v>
      </c>
      <c r="CK84" s="262">
        <f>CL84+各项系数!$L$9*$NO84</f>
        <v>31.8967462762113</v>
      </c>
      <c r="CL84" s="262">
        <f>CM84*(1+$DD84+各项系数!$J$5+各项系数!$L$5)</f>
        <v>31.602223030598</v>
      </c>
      <c r="CM84" s="262">
        <f t="shared" si="345"/>
        <v>30.9825715986255</v>
      </c>
      <c r="CN84" s="176">
        <f>CO84+各项系数!$M$9*$NO84</f>
        <v>32.5343225976321</v>
      </c>
      <c r="CO84" s="176">
        <f>CP84*(1+$DC84+(VLOOKUP($AM84,$A$12:$B$323,2,0))+各项系数!$J$6+各项系数!$M$5)*(1+$E$2)+各项系数!$M$9*$NK84</f>
        <v>32.2397993520188</v>
      </c>
      <c r="CP84" s="262">
        <f>CQ84+各项系数!$L$9*$NO84</f>
        <v>32.6899039355478</v>
      </c>
      <c r="CQ84" s="262">
        <f>CR84*(1+$DD84+各项系数!$J$5+各项系数!$L$5)</f>
        <v>32.3953806899345</v>
      </c>
      <c r="CR84" s="262">
        <f t="shared" si="346"/>
        <v>31.7601771469946</v>
      </c>
      <c r="CS84" s="176">
        <f>CT84+各项系数!$M$9*$NU84</f>
        <v>33.1202893954743</v>
      </c>
      <c r="CT84" s="176">
        <f t="shared" si="347"/>
        <v>32.8189182220226</v>
      </c>
      <c r="CU84" s="262">
        <f>CV84+各项系数!$L$9*$NU84</f>
        <v>33.4886920632884</v>
      </c>
      <c r="CV84" s="262">
        <f>CW84*(1+$DD84+各项系数!$J$5+各项系数!$L$5)</f>
        <v>33.1873208898367</v>
      </c>
      <c r="CW84" s="262">
        <f t="shared" si="348"/>
        <v>32.5365891076831</v>
      </c>
      <c r="CX84" s="176">
        <f>CY84+各项系数!$M$9*$NU84</f>
        <v>34.1400076567342</v>
      </c>
      <c r="CY84" s="176">
        <f t="shared" si="349"/>
        <v>33.8386364832825</v>
      </c>
      <c r="CZ84" s="262">
        <f>DA84+各项系数!$L$9*$NU84</f>
        <v>34.5292209013087</v>
      </c>
      <c r="DA84" s="262">
        <f>DB84*(1+$DD84+各项系数!$J$5+各项系数!$L$5)</f>
        <v>34.2278497278571</v>
      </c>
      <c r="DB84" s="262">
        <f t="shared" si="350"/>
        <v>33.5567154194677</v>
      </c>
      <c r="DC84" s="554">
        <f>(BI84+$DC$2)-BI84/1.3</f>
        <v>0</v>
      </c>
      <c r="DD84" s="278">
        <f t="shared" si="351"/>
        <v>0</v>
      </c>
      <c r="DE84" s="95" t="s">
        <v>498</v>
      </c>
      <c r="DF84" s="95" t="s">
        <v>513</v>
      </c>
      <c r="DG84" s="176">
        <f>DH84+各项系数!$M$9*$NQ84</f>
        <v>32.211450301368</v>
      </c>
      <c r="DH84" s="176">
        <f>DI84*(1+$EA84+(VLOOKUP($AM84,$A$12:$B$323,2,0))+各项系数!$J$6+各项系数!$M$5)*(1+$E$2)+各项系数!$M$9*$NK84</f>
        <v>31.9169270557548</v>
      </c>
      <c r="DI84" s="262">
        <f>DJ84+各项系数!$L$9*$NQ84</f>
        <v>32.3604424087477</v>
      </c>
      <c r="DJ84" s="262">
        <f>DK84*(1+$EB84+各项系数!$J$5+各项系数!$L$5)</f>
        <v>32.0659191631344</v>
      </c>
      <c r="DK84" s="262">
        <f t="shared" si="352"/>
        <v>31.1319603525577</v>
      </c>
      <c r="DL84" s="176">
        <f>DM84+各项系数!$M$9*$NQ84</f>
        <v>33.0813310562651</v>
      </c>
      <c r="DM84" s="176">
        <f>DN84*(1+$EA84+(VLOOKUP($AM84,$A$12:$B$323,2,0))+各项系数!$J$6+各项系数!$M$5)*(1+$E$2)+各项系数!$M$9*$NK84</f>
        <v>32.7868078106518</v>
      </c>
      <c r="DN84" s="262">
        <f>DO84+各项系数!$L$9*$NQ84</f>
        <v>33.2480758321121</v>
      </c>
      <c r="DO84" s="262">
        <f>DP84*(1+$EB84+各项系数!$J$5+各项系数!$L$5)</f>
        <v>32.9535525864988</v>
      </c>
      <c r="DP84" s="262">
        <f t="shared" si="353"/>
        <v>31.9937403752415</v>
      </c>
      <c r="DQ84" s="176">
        <f>DR84+各项系数!$M$9*$NV84</f>
        <v>33.591276791212</v>
      </c>
      <c r="DR84" s="176">
        <f t="shared" si="354"/>
        <v>33.2899056177603</v>
      </c>
      <c r="DS84" s="262">
        <f>DT84+各项系数!$L$9*$NV84</f>
        <v>33.9692914466942</v>
      </c>
      <c r="DT84" s="262">
        <f>DU84*(1+$EB84+各项系数!$J$5+各项系数!$L$5)</f>
        <v>33.6679202732425</v>
      </c>
      <c r="DU84" s="262">
        <f t="shared" si="355"/>
        <v>32.6873012361578</v>
      </c>
      <c r="DV84" s="176">
        <f>DW84+各项系数!$M$9*$NV84</f>
        <v>33.8203435632843</v>
      </c>
      <c r="DW84" s="176">
        <f t="shared" si="356"/>
        <v>33.5189723898326</v>
      </c>
      <c r="DX84" s="262">
        <f>DY84+各项系数!$L$9*$NV84</f>
        <v>34.2030330508496</v>
      </c>
      <c r="DY84" s="262">
        <f>DZ84*(1+$EB84+各项系数!$J$5+各项系数!$L$5)</f>
        <v>33.9016618773979</v>
      </c>
      <c r="DZ84" s="262">
        <f t="shared" si="357"/>
        <v>32.9142348324252</v>
      </c>
      <c r="EA84" s="554">
        <f>(BI84+$EA$2)-BI84/1.3</f>
        <v>0</v>
      </c>
      <c r="EB84" s="278">
        <f t="shared" si="358"/>
        <v>0.01</v>
      </c>
      <c r="EC84" s="302">
        <f t="shared" si="408"/>
        <v>5</v>
      </c>
      <c r="ED84" s="304" t="str">
        <f t="shared" ref="ED84:ED99" si="442">IF(COUNTIF($D84,"*+*")&gt;0,MID($D84,1,FIND("+",$D84)-1),MID($D84,1,LEN($D84)))</f>
        <v>5*10</v>
      </c>
      <c r="EE84" s="95">
        <f t="shared" si="239"/>
        <v>10</v>
      </c>
      <c r="EF84" s="95" t="str">
        <f>LOOKUP(EH84,{1,7,10,14,19,24,30,37,48,61},{1,"1+6","2+8","4+10","1+6+12","2+8+14","4+10+16","1+6+12+18","3+9+15+21","1+6+12+18+24"})</f>
        <v>1+6</v>
      </c>
      <c r="EG84" s="127">
        <f t="shared" si="359"/>
        <v>5</v>
      </c>
      <c r="EH84" s="262">
        <f>VLOOKUP(EE84,各项系数!$B$87:$C$124,2,0)</f>
        <v>7</v>
      </c>
      <c r="EI84" s="127">
        <f>IF(EH84=0,0,VLOOKUP(EH84,各项系数!$D$142:$E$195,2,0))*1</f>
        <v>3</v>
      </c>
      <c r="EJ84" s="307">
        <f t="shared" si="409"/>
        <v>131.130294998433</v>
      </c>
      <c r="EK84" s="95">
        <f t="shared" si="332"/>
        <v>0</v>
      </c>
      <c r="EL84" s="95">
        <f t="shared" si="360"/>
        <v>0</v>
      </c>
      <c r="EM84" s="95">
        <f t="shared" ref="EM84:EM99" si="443">EL84/1</f>
        <v>0</v>
      </c>
      <c r="EN84" s="95">
        <f>IF(EP84=0,0,LOOKUP(EP84,{1,7,10,14,19,24,30,37,48,61},{1,"1+6","2+8","4+10","1+6+12","2+8+14","4+10+16","1+6+12+18","3+9+15+21","1+6+12+18+24"}))</f>
        <v>0</v>
      </c>
      <c r="EO84" s="95">
        <f t="shared" si="334"/>
        <v>0</v>
      </c>
      <c r="EP84" s="95">
        <f>IF(EM84=0,0,IF(EM84&lt;10,1,IF(AND(EM84&gt;=10,EM84&lt;=35),7,LOOKUP(EM84,{50,70,95,120,150,185,240,300},{10,14,19,24,30,37,48,61})*1)))</f>
        <v>0</v>
      </c>
      <c r="EQ84" s="95">
        <f>IF(EP84=0,0,VLOOKUP(EP84,各项系数!$D$142:$E$195,2,0))*1</f>
        <v>0</v>
      </c>
      <c r="ER84" s="95">
        <f t="shared" si="335"/>
        <v>0</v>
      </c>
      <c r="ES84" s="304">
        <f t="shared" ref="ES84:ES99" si="444">EO84+EG84</f>
        <v>5</v>
      </c>
      <c r="ET84" s="95">
        <f>VLOOKUP(ES84,各项系数!$D$142:$E$195,2,0)*1</f>
        <v>2.7</v>
      </c>
      <c r="EU84" s="311">
        <f>((各项系数!$F$76/4*$EJ84^2*$EG84*$EH84*1*10^-7)*(1-$H84)*AA84)*(VLOOKUP($EY$9,各项系数!$D$4:$F$143,3,0))*各项系数!$J$4</f>
        <v>0.422707544763585</v>
      </c>
      <c r="EV84" s="312">
        <f>EU84*(VLOOKUP($EY$9,各项系数!$D$4:$F$143,2,0))</f>
        <v>27.6873441820148</v>
      </c>
      <c r="EW84" s="324">
        <f>(IF($EO84=0,0,(各项系数!$F$76/4*$ER84^2*$EO84*$EP84*1*10^-7))*(1-$K84)*$AF84)*(VLOOKUP($EY$9,各项系数!$D$4:$F$143,3,0))*各项系数!$J$4</f>
        <v>0</v>
      </c>
      <c r="EX84" s="325">
        <f>EW84*(VLOOKUP($EY$9,各项系数!$D$4:$F$143,2,0))</f>
        <v>0</v>
      </c>
      <c r="EY84" s="251">
        <f>((各项系数!$F$76/4*$EJ84^2*$EG84*$EH84*1*10^-7)*(1-$H84)*AA84+IF($EO84=0,0,(各项系数!$F$76/4*$ER84^2*$EO84*$EP84*1*10^-7))*(1-$K84)*$AF84)*(VLOOKUP($EY$9,各项系数!$D$4:$F$143,3,0))*各项系数!$J$4</f>
        <v>0.422707544763585</v>
      </c>
      <c r="EZ84" s="127">
        <v>1</v>
      </c>
      <c r="FA84" s="95">
        <f t="shared" si="268"/>
        <v>0.422707544763585</v>
      </c>
      <c r="FB84" s="314">
        <f>FA84*(VLOOKUP($EY$9,各项系数!$D$4:$F$143,2,0))</f>
        <v>27.6873441820148</v>
      </c>
      <c r="FC84" s="329"/>
      <c r="FD84" s="304">
        <f>各项系数!$F$76/4*($MN84^2-MK84^2)*10^-2*(VLOOKUP(L84,各项系数!$D$1:$F$143,3,0))*10^-3*10^2*$EG84*各项系数!$J$4</f>
        <v>0.0557674992126633</v>
      </c>
      <c r="FE84" s="341">
        <f>FD84*VLOOKUP(L84,各项系数!$D$1:$F$143,2,0)</f>
        <v>0.568828491969166</v>
      </c>
      <c r="FF84" s="127">
        <f>各项系数!$F$76/4*($MO84^2-ML84^2)*10^-2*(VLOOKUP(L84,各项系数!$D$1:$F$143,3,0))*10^-3*10^2*$EO84*各项系数!$J$4</f>
        <v>0</v>
      </c>
      <c r="FG84" s="341">
        <f>FF84*VLOOKUP(L84,各项系数!$D$1:$F$143,2,0)</f>
        <v>0</v>
      </c>
      <c r="FH84" s="304">
        <f t="shared" si="410"/>
        <v>0.0557674992126633</v>
      </c>
      <c r="FI84" s="127">
        <v>1</v>
      </c>
      <c r="FJ84" s="95">
        <f t="shared" si="269"/>
        <v>0.0557674992126633</v>
      </c>
      <c r="FK84" s="341">
        <f>FJ84*VLOOKUP(L84,各项系数!$D$1:$F$143,2,0)</f>
        <v>0.568828491969166</v>
      </c>
      <c r="FL84" s="304"/>
      <c r="FM84" s="127"/>
      <c r="FN84" s="95"/>
      <c r="FO84" s="341"/>
      <c r="FP84" s="371">
        <f t="shared" si="270"/>
        <v>0.0557674992126633</v>
      </c>
      <c r="FQ84" s="371">
        <f t="shared" si="271"/>
        <v>0.568828491969166</v>
      </c>
      <c r="FR84" s="365">
        <f>各项系数!$F$76/4*($MQ84^2-$MN84^2*$EG84-$MO84^2*$EO84)*10^-2</f>
        <v>0.511701328343641</v>
      </c>
      <c r="FS84" s="366">
        <f t="shared" si="411"/>
        <v>1</v>
      </c>
      <c r="FT84" s="367">
        <f t="shared" si="361"/>
        <v>0.511701328343641</v>
      </c>
      <c r="FU84" s="395">
        <f>$FT84*(VLOOKUP($FT$9,各项系数!$D$1:$F$143,3,0))*10^-3*10^2*各项系数!$J$55</f>
        <v>0.0610971386042307</v>
      </c>
      <c r="FV84" s="396">
        <v>1</v>
      </c>
      <c r="FW84" s="397">
        <f t="shared" si="272"/>
        <v>0.0610971386042307</v>
      </c>
      <c r="FX84" s="372">
        <f>FW84*(VLOOKUP($FT$9,各项系数!$D$1:$F$143,2,0))</f>
        <v>0.183291415812692</v>
      </c>
      <c r="FY84" s="395">
        <f>IF($BK84&lt;&gt;$FY$9,0,各项系数!$F$76/4*($MS84^2-$MQ84^2)*10^-2*(VLOOKUP($FY$9,各项系数!$D$1:$F$143,3,0))*10^-3*10^2)*各项系数!$J$4</f>
        <v>0</v>
      </c>
      <c r="FZ84" s="396">
        <v>1</v>
      </c>
      <c r="GA84" s="397">
        <f t="shared" si="273"/>
        <v>0</v>
      </c>
      <c r="GB84" s="372">
        <f>GA84*(VLOOKUP($FY$9,各项系数!$D$1:$F$143,2,0))</f>
        <v>0</v>
      </c>
      <c r="GC84" s="395">
        <f>IF($BK84&lt;&gt;$GC$9,0,各项系数!$F$76/4*($MS84^2-$MQ84^2)*10^-2*(VLOOKUP($GC$9,各项系数!$D$1:$F$143,3,0))*10^-3*10^2)*各项系数!$J$4</f>
        <v>0.00394589782035215</v>
      </c>
      <c r="GD84" s="396">
        <v>1</v>
      </c>
      <c r="GE84" s="397">
        <f t="shared" si="274"/>
        <v>0.00394589782035215</v>
      </c>
      <c r="GF84" s="372">
        <f>GE84*(VLOOKUP($GC$9,各项系数!$D$1:$F$143,2,0))</f>
        <v>0.0509020818825427</v>
      </c>
      <c r="GG84" s="395">
        <f>IF($BK84&lt;&gt;$GG$9,0,各项系数!$F$76/4*($MS84^2-$MQ84^2)*10^-2*(VLOOKUP($GG$9,各项系数!$D$1:$F$143,3,0))*10^-3*10^2)*各项系数!$J$4</f>
        <v>0</v>
      </c>
      <c r="GH84" s="396">
        <v>1</v>
      </c>
      <c r="GI84" s="397">
        <f t="shared" si="275"/>
        <v>0</v>
      </c>
      <c r="GJ84" s="372">
        <f>GI84*(VLOOKUP($GG$9,各项系数!$D$1:$F$143,2,0))</f>
        <v>0</v>
      </c>
      <c r="GK84" s="395">
        <f>IF($BK84&lt;&gt;$GK$9,0,各项系数!$F$76/4*($MS84^2-$MQ84^2)*10^-2*(VLOOKUP($GK$9,各项系数!$D$1:$F$143,3,0))*10^-3*10^2)*各项系数!$J$4</f>
        <v>0</v>
      </c>
      <c r="GL84" s="396">
        <v>1</v>
      </c>
      <c r="GM84" s="397">
        <f t="shared" si="276"/>
        <v>0</v>
      </c>
      <c r="GN84" s="372">
        <f>GM84*(VLOOKUP($GK$9,各项系数!$D$1:$F$143,2,0))</f>
        <v>0</v>
      </c>
      <c r="GO84" s="397">
        <f t="shared" si="277"/>
        <v>0.00394589782035215</v>
      </c>
      <c r="GP84" s="397">
        <f t="shared" si="278"/>
        <v>0.0509020818825427</v>
      </c>
      <c r="GQ84" s="408">
        <f>各项系数!$F$76/4*($MU84^2-$MS84^2)*10^-2*(VLOOKUP($S84,各项系数!$D$1:$F$143,3,0))*10^-3*10^2*各项系数!$J$4</f>
        <v>0.109101945146941</v>
      </c>
      <c r="GR84" s="396">
        <v>1</v>
      </c>
      <c r="GS84" s="397">
        <f t="shared" si="279"/>
        <v>0.109101945146941</v>
      </c>
      <c r="GT84" s="397">
        <f t="shared" si="200"/>
        <v>0</v>
      </c>
      <c r="GU84" s="397">
        <f>ROUND($GS84*(VLOOKUP($S84,各项系数!$D$1:$F$143,2,0))+$E$3*GS84,GT84)</f>
        <v>1</v>
      </c>
      <c r="GV84" s="406">
        <f>各项系数!$F$76/4*($MT84^2-$MS84^2)*10^-2*(VLOOKUP($GV$9,各项系数!$D$1:$F$143,3,0))*10^-3*10^2*各项系数!$J$4*PI()/4*R84</f>
        <v>0.0204741589056555</v>
      </c>
      <c r="GW84" s="396">
        <v>1</v>
      </c>
      <c r="GX84" s="397">
        <f t="shared" si="280"/>
        <v>0.0204741589056555</v>
      </c>
      <c r="GY84" s="397">
        <f>$GX84*(VLOOKUP($GV$9,各项系数!$D$1:$F$143,2,0))</f>
        <v>1.38200572613175</v>
      </c>
      <c r="GZ84" s="408">
        <f>各项系数!$F$76/4*($MV84^2-$MS84^2)*10^-2*(VLOOKUP($GZ$9,各项系数!$D$1:$F$143,3,0))*10^-3*10^2*各项系数!$J$4</f>
        <v>0.133617240452429</v>
      </c>
      <c r="HA84" s="396">
        <v>1</v>
      </c>
      <c r="HB84" s="397">
        <f t="shared" si="412"/>
        <v>0.133617240452429</v>
      </c>
      <c r="HC84" s="397">
        <f>HB84*(VLOOKUP($GZ$9,各项系数!$D$1:$F$143,2,0))</f>
        <v>2.2714930876913</v>
      </c>
      <c r="HD84" s="408">
        <f>各项系数!$F$76/4*($MW84^2-$MT84^2)*10^-2*(VLOOKUP($HD$9,各项系数!$D$1:$F$143,3,0))*10^-3*10^2*各项系数!$J$4</f>
        <v>0.134922609899108</v>
      </c>
      <c r="HE84" s="396">
        <v>1</v>
      </c>
      <c r="HF84" s="397">
        <f t="shared" si="413"/>
        <v>0.134922609899108</v>
      </c>
      <c r="HG84" s="397">
        <f>HF84*(VLOOKUP($HD$9,各项系数!$D$1:$F$143,2,0))</f>
        <v>2.29368436828483</v>
      </c>
      <c r="HH84" s="408">
        <f>各项系数!$F$76/4*($MV84^2-$MS84^2)*10^-2*(VLOOKUP($HH$9,各项系数!$D$1:$F$143,3,0))*10^-3*10^2*各项系数!$J$4</f>
        <v>0.133617240452429</v>
      </c>
      <c r="HI84" s="397">
        <v>1</v>
      </c>
      <c r="HJ84" s="397">
        <f t="shared" si="414"/>
        <v>0.133617240452429</v>
      </c>
      <c r="HK84" s="397">
        <f>HJ84*(VLOOKUP($HH$9,各项系数!$D$1:$F$143,2,0))</f>
        <v>2.2714930876913</v>
      </c>
      <c r="HL84" s="408">
        <f>各项系数!$F$76/4*($MW84^2-$MT84^2)*10^-2*(VLOOKUP($HL$9,各项系数!$D$1:$F$143,3,0))*10^-3*10^2*各项系数!$J$4</f>
        <v>0.134922609899108</v>
      </c>
      <c r="HM84" s="397">
        <v>1</v>
      </c>
      <c r="HN84" s="397">
        <f t="shared" si="362"/>
        <v>0.134922609899108</v>
      </c>
      <c r="HO84" s="397">
        <f>HN84*(VLOOKUP($HL$9,各项系数!$D$1:$F$143,2,0))</f>
        <v>2.29368436828483</v>
      </c>
      <c r="HP84" s="408">
        <f>各项系数!$F$76/4*($MV84^2-$MS84^2)*10^-2*(VLOOKUP(AN84,各项系数!$D$1:$F$143,3,0))*10^-3*10^2*各项系数!$J$4</f>
        <v>0.135460236872463</v>
      </c>
      <c r="HQ84" s="396">
        <v>1</v>
      </c>
      <c r="HR84" s="397">
        <f t="shared" si="281"/>
        <v>0.135460236872463</v>
      </c>
      <c r="HS84" s="397">
        <f>HR84*(VLOOKUP(AN84,各项系数!$D$1:$F$143,2,0))</f>
        <v>1.35460236872463</v>
      </c>
      <c r="HT84" s="408">
        <f>各项系数!$F$76/4*($MW84^2-$MT84^2)*10^-2*(VLOOKUP(AN84,各项系数!$D$1:$F$143,3,0))*10^-3*10^2*各项系数!$J$4</f>
        <v>0.136783611414957</v>
      </c>
      <c r="HU84" s="396">
        <v>1</v>
      </c>
      <c r="HV84" s="397">
        <f t="shared" si="282"/>
        <v>0.136783611414957</v>
      </c>
      <c r="HW84" s="397">
        <f>HV84*(VLOOKUP(AN84,各项系数!$D$1:$F$143,2,0))</f>
        <v>1.36783611414957</v>
      </c>
      <c r="HX84" s="408">
        <f>各项系数!$F$76/4*($MV84^2-$MS84^2)*10^-2*(VLOOKUP($HX$9,各项系数!$D$1:$F$143,3,0))*10^-3*10^2*各项系数!$J$4</f>
        <v>0.135460236872463</v>
      </c>
      <c r="HY84" s="397">
        <v>1</v>
      </c>
      <c r="HZ84" s="397">
        <f t="shared" si="283"/>
        <v>0.135460236872463</v>
      </c>
      <c r="IA84" s="397">
        <f>HZ84*(VLOOKUP($HX$9,各项系数!$D$1:$F$143,2,0))</f>
        <v>1.49006260559709</v>
      </c>
      <c r="IB84" s="408">
        <f>各项系数!$F$76/4*($MW84^2-$MT84^2)*10^-2*(VLOOKUP($IB$9,各项系数!$D$1:$F$143,3,0))*10^-3*10^2*各项系数!$J$4</f>
        <v>0.136783611414957</v>
      </c>
      <c r="IC84" s="397">
        <v>1</v>
      </c>
      <c r="ID84" s="397">
        <f t="shared" si="284"/>
        <v>0.136783611414957</v>
      </c>
      <c r="IE84" s="397">
        <f>ID84*(VLOOKUP($IB$9,各项系数!$D$1:$F$143,2,0))</f>
        <v>1.50461972556453</v>
      </c>
      <c r="IF84" s="395"/>
      <c r="IG84" s="408">
        <f t="shared" si="415"/>
        <v>0.0297780994224746</v>
      </c>
      <c r="IH84" s="396">
        <v>1</v>
      </c>
      <c r="II84" s="397">
        <f t="shared" si="285"/>
        <v>0.0297780994224746</v>
      </c>
      <c r="IJ84" s="397">
        <f>II84*(VLOOKUP($IG$8,各项系数!$D$1:$F$143,2,0))</f>
        <v>0.744452485561864</v>
      </c>
      <c r="IK84" s="408">
        <f>(各项系数!$F$76/4*($MX84^2-$MK84^2)*$EG84)*10^-2*(VLOOKUP($IG$8,各项系数!$D$1:$F$143,3,0))*10^-3*10^2*各项系数!$J$4</f>
        <v>0.0297780994224746</v>
      </c>
      <c r="IL84" s="396">
        <f>IK84*(VLOOKUP($IG$8,各项系数!$D$1:$F$143,2,0))</f>
        <v>0.744452485561864</v>
      </c>
      <c r="IM84" s="397">
        <f>(各项系数!$F$76/4*(($MM84+3*$X84)^2-MM84^2)*$EO84)*10^-2*(VLOOKUP($IG$8,各项系数!$D$1:$F$143,3,0))*10^-3*10^2*各项系数!$J$4</f>
        <v>0</v>
      </c>
      <c r="IN84" s="396">
        <f>IM84*(VLOOKUP($IG$8,各项系数!$D$1:$F$143,2,0))</f>
        <v>0</v>
      </c>
      <c r="IO84" s="408">
        <f>各项系数!$F$76/4*($MZ84^2-$MX84^2)*10^-2*(VLOOKUP(L84,各项系数!$D$1:$F$143,3,0))*10^-3*10^2*$ES84*各项系数!$J$4</f>
        <v>0.0629882928473068</v>
      </c>
      <c r="IP84" s="396">
        <v>1</v>
      </c>
      <c r="IQ84" s="397">
        <f t="shared" si="286"/>
        <v>0.0629882928473068</v>
      </c>
      <c r="IR84" s="372">
        <f>IQ84*(VLOOKUP(L84,各项系数!$D$1:$F$143,2,0))</f>
        <v>0.642480587042529</v>
      </c>
      <c r="IS84" s="408">
        <f>IF($L84&lt;&gt;$IS$9,0,各项系数!$F$76/4*($MZ84^2-$MX84^2)*10^-2*各项系数!$F$12*10^-3*10^2)*$ES84*各项系数!$J$4</f>
        <v>0</v>
      </c>
      <c r="IT84" s="396">
        <v>1</v>
      </c>
      <c r="IU84" s="397">
        <f t="shared" si="287"/>
        <v>0</v>
      </c>
      <c r="IV84" s="372">
        <f>IU84*各项系数!$E$12</f>
        <v>0</v>
      </c>
      <c r="IW84" s="395">
        <f t="shared" si="288"/>
        <v>0.0629882928473068</v>
      </c>
      <c r="IX84" s="395">
        <f t="shared" si="289"/>
        <v>0.642480587042529</v>
      </c>
      <c r="IY84" s="447">
        <f>各项系数!$F$76/4*($NB84^2-$MZ84^2*$EG84-$NA84^2*$EO84)*10^-2</f>
        <v>0.633296526984917</v>
      </c>
      <c r="IZ84" s="366">
        <f t="shared" si="231"/>
        <v>1</v>
      </c>
      <c r="JA84" s="367">
        <f t="shared" si="363"/>
        <v>0.633296526984917</v>
      </c>
      <c r="JB84" s="371">
        <f>IF($DE84&lt;&gt;$JB$9,0,$JA84*各项系数!$F$32*10^-3*10^2)*各项系数!$J$4</f>
        <v>0</v>
      </c>
      <c r="JC84" s="127">
        <v>1</v>
      </c>
      <c r="JD84" s="95">
        <f t="shared" si="290"/>
        <v>0</v>
      </c>
      <c r="JE84" s="341">
        <f>JD84*各项系数!$E$32</f>
        <v>0</v>
      </c>
      <c r="JF84" s="364">
        <f>IF($DE84&lt;&gt;$JF$9,0,$JA84*VLOOKUP($JF$9,各项系数!$D$4:$F$540,2,0)*10^-3*10^2)*各项系数!$J$4</f>
        <v>0.315065022174996</v>
      </c>
      <c r="JG84" s="123">
        <v>1</v>
      </c>
      <c r="JH84" s="251">
        <f t="shared" si="364"/>
        <v>0.315065022174996</v>
      </c>
      <c r="JI84" s="339">
        <f>JH84*VLOOKUP($JF$9,各项系数!$D$4:$F$540,3,0)</f>
        <v>0.378078026609996</v>
      </c>
      <c r="JJ84" s="371">
        <f t="shared" si="291"/>
        <v>0.315065022174996</v>
      </c>
      <c r="JK84" s="95">
        <f t="shared" si="292"/>
        <v>0.378078026609996</v>
      </c>
      <c r="JL84" s="371">
        <f>IF($DF84&lt;&gt;$JL$9,0,各项系数!$F$76/4*($NE84^2-$NC84^2)*10^-2*各项系数!$F$39*10^-3*10^2)*各项系数!$J$4</f>
        <v>0.00181643890370452</v>
      </c>
      <c r="JM84" s="127">
        <v>1</v>
      </c>
      <c r="JN84" s="95">
        <f t="shared" si="293"/>
        <v>0.00181643890370452</v>
      </c>
      <c r="JO84" s="341">
        <f>JN84*各项系数!$E$39</f>
        <v>0.0363287780740904</v>
      </c>
      <c r="JP84" s="371">
        <f>IF($DF84&lt;&gt;$JP$9,0,各项系数!$F$76/4*($NE84^2-$NC84^2)*10^-2*各项系数!$F$36*10^-3*10^2)*各项系数!$J$4</f>
        <v>0</v>
      </c>
      <c r="JQ84" s="127">
        <v>1</v>
      </c>
      <c r="JR84" s="95">
        <f t="shared" si="294"/>
        <v>0</v>
      </c>
      <c r="JS84" s="341">
        <f>JR84*各项系数!$E$36</f>
        <v>0</v>
      </c>
      <c r="JT84" s="371">
        <f>IF($DF84&lt;&gt;$JT$9,0,各项系数!$F$76/4*($NE84^2-$NC84^2)*10^-2*各项系数!$F$40*10^-3*10^2)*各项系数!$J$4</f>
        <v>0</v>
      </c>
      <c r="JU84" s="127">
        <v>1</v>
      </c>
      <c r="JV84" s="95">
        <f t="shared" si="295"/>
        <v>0</v>
      </c>
      <c r="JW84" s="341">
        <f>JV84*各项系数!$E$40</f>
        <v>0</v>
      </c>
      <c r="JX84" s="371">
        <f>IF($DF84&lt;&gt;$JX$9,0,各项系数!$F$76/4*($NE84^2-$NC84^2)*10^-2*各项系数!$F$38*10^-3*10^2)*各项系数!$J$4</f>
        <v>0</v>
      </c>
      <c r="JY84" s="127">
        <v>1</v>
      </c>
      <c r="JZ84" s="95">
        <f t="shared" si="296"/>
        <v>0</v>
      </c>
      <c r="KA84" s="341">
        <f>JZ84*各项系数!$E$38</f>
        <v>0</v>
      </c>
      <c r="KB84" s="371">
        <f>IF($DF84&lt;&gt;$KB$9,0,各项系数!$F$76/4*($NE84^2-$NC84^2)*10^-2*各项系数!$F$41*10^-3*10^2)*各项系数!$J$4</f>
        <v>0</v>
      </c>
      <c r="KC84" s="127">
        <v>1</v>
      </c>
      <c r="KD84" s="95">
        <f t="shared" si="297"/>
        <v>0</v>
      </c>
      <c r="KE84" s="341">
        <f>KD84*各项系数!$E$41</f>
        <v>0</v>
      </c>
      <c r="KF84" s="95">
        <f t="shared" si="298"/>
        <v>0.00181643890370452</v>
      </c>
      <c r="KG84" s="95">
        <f t="shared" si="299"/>
        <v>0.0363287780740904</v>
      </c>
      <c r="KH84" s="304">
        <f>各项系数!$F$76/4*($NG84^2-$NE84^2)*10^-2*各项系数!$F$44*10^-3*10^2*各项系数!$J$4*0.75*$U84</f>
        <v>0.18217689789172</v>
      </c>
      <c r="KI84" s="127">
        <v>1</v>
      </c>
      <c r="KJ84" s="95">
        <f t="shared" si="300"/>
        <v>0.18217689789172</v>
      </c>
      <c r="KK84" s="95">
        <f>ROUND(KJ84*各项系数!$E$43,GT84)</f>
        <v>1</v>
      </c>
      <c r="KL84" s="302">
        <f>各项系数!$F$76/4*($NF84^2-$NE84^2)*10^-2*各项系数!$F$46*10^-3*10^2*各项系数!$J$4*PI()/4*R84</f>
        <v>0.022826426127891</v>
      </c>
      <c r="KM84" s="127">
        <v>1</v>
      </c>
      <c r="KN84" s="95">
        <f t="shared" si="301"/>
        <v>0.022826426127891</v>
      </c>
      <c r="KO84" s="95">
        <f>KN84*各项系数!$E$46</f>
        <v>1.54078376363264</v>
      </c>
      <c r="KP84" s="304">
        <f>各项系数!$F$76/4*($NH84^2-$NE84^2)*10^-2*(VLOOKUP($KP$9,各项系数!$D$1:$F$143,3,0))*10^-3*10^2*各项系数!$J$4</f>
        <v>0.14735625387872</v>
      </c>
      <c r="KQ84" s="127">
        <v>1</v>
      </c>
      <c r="KR84" s="95">
        <f t="shared" si="416"/>
        <v>0.14735625387872</v>
      </c>
      <c r="KS84" s="95">
        <f>KR84*(VLOOKUP($KP$9,各项系数!$D$1:$F$143,2,0))</f>
        <v>2.50505631593823</v>
      </c>
      <c r="KT84" s="304">
        <f>各项系数!$F$76/4*($NI84^2-$NF84^2)*10^-2*(VLOOKUP($KT$9,各项系数!$D$1:$F$143,3,0))*10^-3*10^2*各项系数!$J$4</f>
        <v>0.148661623325398</v>
      </c>
      <c r="KU84" s="127">
        <v>1</v>
      </c>
      <c r="KV84" s="95">
        <f t="shared" si="417"/>
        <v>0.148661623325398</v>
      </c>
      <c r="KW84" s="95">
        <f>KV84*(VLOOKUP($KT$9,各项系数!$D$1:$F$143,2,0))</f>
        <v>2.52724759653177</v>
      </c>
      <c r="KX84" s="95">
        <f>各项系数!$F$76/4*($NH84^2-$NE84^2)*10^-2*(VLOOKUP($KX$9,各项系数!$D$1:$F$143,3,0))*10^-3*10^2*各项系数!$J$4</f>
        <v>0.14735625387872</v>
      </c>
      <c r="KY84" s="481">
        <v>1</v>
      </c>
      <c r="KZ84" s="95">
        <f t="shared" si="418"/>
        <v>0.14735625387872</v>
      </c>
      <c r="LA84" s="95">
        <f>KZ84*(VLOOKUP($KX$9,各项系数!$D$1:$F$143,2,0))</f>
        <v>2.50505631593823</v>
      </c>
      <c r="LB84" s="95">
        <f>各项系数!$F$76/4*($NI84^2-$NF84^2)*10^-2*(VLOOKUP($LB$9,各项系数!$D$1:$F$143,3,0))*10^-3*10^2*各项系数!$J$4</f>
        <v>0.148661623325398</v>
      </c>
      <c r="LC84" s="481">
        <v>1</v>
      </c>
      <c r="LD84" s="95">
        <f t="shared" si="419"/>
        <v>0.148661623325398</v>
      </c>
      <c r="LE84" s="95">
        <f>LD84*(VLOOKUP($LB$9,各项系数!$D$1:$F$143,2,0))</f>
        <v>2.52724759653177</v>
      </c>
      <c r="LF84" s="304">
        <f>各项系数!$F$76/4*($NH84^2-$NE84^2)*10^-2*(VLOOKUP(AN84,各项系数!$D$1:$F$143,3,0))*10^-3*10^2*各项系数!$J$4</f>
        <v>0.149388753932219</v>
      </c>
      <c r="LG84" s="127">
        <v>1</v>
      </c>
      <c r="LH84" s="95">
        <f t="shared" si="302"/>
        <v>0.149388753932219</v>
      </c>
      <c r="LI84" s="95">
        <f>LH84*(VLOOKUP(AN84,各项系数!$D$1:$F$143,2,0))</f>
        <v>1.49388753932219</v>
      </c>
      <c r="LJ84" s="304">
        <f>各项系数!$F$76/4*($NI84^2-$NF84^2)*10^-2*(VLOOKUP(AN84,各项系数!$D$1:$F$143,3,0))*10^-3*10^2*各项系数!$J$4</f>
        <v>0.150712128474714</v>
      </c>
      <c r="LK84" s="127">
        <v>1</v>
      </c>
      <c r="LL84" s="95">
        <f t="shared" si="303"/>
        <v>0.150712128474714</v>
      </c>
      <c r="LM84" s="95">
        <f>LL84*(VLOOKUP(AN84,各项系数!$D$1:$F$143,2,0))</f>
        <v>1.50712128474714</v>
      </c>
      <c r="LN84" s="95">
        <f>各项系数!$F$76/4*($NH84^2-$NE84^2)*10^-2*(VLOOKUP($LN$9,各项系数!$D$1:$F$143,3,0))*10^-3*10^2*各项系数!$J$4</f>
        <v>0.149388753932219</v>
      </c>
      <c r="LO84" s="481">
        <v>1</v>
      </c>
      <c r="LP84" s="95">
        <f t="shared" si="304"/>
        <v>0.149388753932219</v>
      </c>
      <c r="LQ84" s="95">
        <f>LP84*(VLOOKUP($LN$9,各项系数!$D$1:$F$143,2,0))</f>
        <v>1.64327629325441</v>
      </c>
      <c r="LR84" s="95">
        <f>各项系数!$F$76/4*($NI84^2-$NF84^2)*10^-2*(VLOOKUP($LR$9,各项系数!$D$1:$F$143,3,0))*10^-3*10^2*各项系数!$J$4</f>
        <v>0.150712128474714</v>
      </c>
      <c r="LS84" s="481">
        <v>1</v>
      </c>
      <c r="LT84" s="95">
        <f t="shared" si="305"/>
        <v>0.150712128474714</v>
      </c>
      <c r="LU84" s="95">
        <f>LT84*(VLOOKUP($LR$9,各项系数!$D$1:$F$143,2,0))</f>
        <v>1.65783341322185</v>
      </c>
      <c r="LV84" s="501">
        <f t="shared" si="420"/>
        <v>60.77269161</v>
      </c>
      <c r="LW84" s="501">
        <f t="shared" si="421"/>
        <v>47.26764903</v>
      </c>
      <c r="LX84" s="501">
        <f t="shared" si="422"/>
        <v>7.7577728718788</v>
      </c>
      <c r="LY84" s="519">
        <f t="shared" si="423"/>
        <v>13.50504258</v>
      </c>
      <c r="LZ84" s="516">
        <f t="shared" si="365"/>
        <v>1</v>
      </c>
      <c r="MA84" s="517">
        <f t="shared" si="366"/>
        <v>60.77269161</v>
      </c>
      <c r="MB84" s="501">
        <f t="shared" si="424"/>
        <v>3.93390885</v>
      </c>
      <c r="MC84" s="501">
        <f t="shared" si="425"/>
        <v>0</v>
      </c>
      <c r="MD84" s="501">
        <f t="shared" si="426"/>
        <v>0</v>
      </c>
      <c r="ME84" s="501">
        <f t="shared" si="427"/>
        <v>0</v>
      </c>
      <c r="MF84" s="501">
        <f t="shared" si="428"/>
        <v>0</v>
      </c>
      <c r="MG84" s="527">
        <f t="shared" si="429"/>
        <v>1</v>
      </c>
      <c r="MH84" s="517">
        <f t="shared" si="367"/>
        <v>0</v>
      </c>
      <c r="MI84" s="501">
        <f t="shared" si="430"/>
        <v>0</v>
      </c>
      <c r="MJ84" s="95">
        <f t="shared" si="368"/>
        <v>3.93390885</v>
      </c>
      <c r="MK84" s="95">
        <f t="shared" si="431"/>
        <v>3.93390885</v>
      </c>
      <c r="ML84" s="95">
        <f t="shared" si="306"/>
        <v>0</v>
      </c>
      <c r="MM84" s="95">
        <f t="shared" si="369"/>
        <v>0</v>
      </c>
      <c r="MN84" s="95">
        <f t="shared" si="370"/>
        <v>5.33390885</v>
      </c>
      <c r="MO84" s="251">
        <f t="shared" si="432"/>
        <v>0</v>
      </c>
      <c r="MP84" s="95">
        <f t="shared" si="433"/>
        <v>14.4015539</v>
      </c>
      <c r="MQ84" s="95">
        <f t="shared" si="307"/>
        <v>14.4015539</v>
      </c>
      <c r="MR84" s="314">
        <f t="shared" si="434"/>
        <v>14.4015539</v>
      </c>
      <c r="MS84" s="530">
        <f t="shared" si="371"/>
        <v>14.5775539</v>
      </c>
      <c r="MT84" s="532">
        <f t="shared" si="372"/>
        <v>14.7375539</v>
      </c>
      <c r="MU84" s="532">
        <f t="shared" si="373"/>
        <v>15.1775539</v>
      </c>
      <c r="MV84" s="532">
        <f t="shared" si="374"/>
        <v>18.1775539</v>
      </c>
      <c r="MW84" s="532">
        <f t="shared" si="375"/>
        <v>18.3375539</v>
      </c>
      <c r="MX84" s="314">
        <f t="shared" si="376"/>
        <v>4.53390885</v>
      </c>
      <c r="MY84" s="314">
        <f t="shared" si="377"/>
        <v>0</v>
      </c>
      <c r="MZ84" s="95">
        <f t="shared" si="378"/>
        <v>5.93390885</v>
      </c>
      <c r="NA84" s="95">
        <f t="shared" si="379"/>
        <v>0</v>
      </c>
      <c r="NB84" s="95">
        <f t="shared" si="435"/>
        <v>16.0215539</v>
      </c>
      <c r="NC84" s="314">
        <f t="shared" si="308"/>
        <v>16.0215539</v>
      </c>
      <c r="ND84" s="314">
        <f t="shared" si="436"/>
        <v>16.0215539</v>
      </c>
      <c r="NE84" s="537">
        <f t="shared" si="437"/>
        <v>16.2615539</v>
      </c>
      <c r="NF84" s="532">
        <f t="shared" si="380"/>
        <v>16.4215539</v>
      </c>
      <c r="NG84" s="180">
        <f t="shared" si="381"/>
        <v>16.8615539</v>
      </c>
      <c r="NH84" s="314">
        <f t="shared" si="382"/>
        <v>19.8615539</v>
      </c>
      <c r="NI84" s="532">
        <f t="shared" si="383"/>
        <v>20.0215539</v>
      </c>
      <c r="NK84" s="541">
        <f t="shared" si="384"/>
        <v>0.678978317273294</v>
      </c>
      <c r="NL84" s="541">
        <f t="shared" si="385"/>
        <v>29.8449685404039</v>
      </c>
      <c r="NM84" s="541">
        <f t="shared" si="386"/>
        <v>0.678978317273294</v>
      </c>
      <c r="NN84" s="541">
        <f t="shared" si="387"/>
        <v>29.9804287772763</v>
      </c>
      <c r="NO84" s="541">
        <f t="shared" si="388"/>
        <v>0.981744152044286</v>
      </c>
      <c r="NP84" s="541">
        <f t="shared" si="389"/>
        <v>30.9825715986255</v>
      </c>
      <c r="NQ84" s="541">
        <f t="shared" si="390"/>
        <v>0.981744152044286</v>
      </c>
      <c r="NR84" s="541">
        <f t="shared" si="391"/>
        <v>31.1319603525577</v>
      </c>
      <c r="NS84" s="541">
        <f t="shared" si="392"/>
        <v>0.699452476178949</v>
      </c>
      <c r="NT84" s="541">
        <f t="shared" si="393"/>
        <v>0.699452476178949</v>
      </c>
      <c r="NU84" s="541">
        <f t="shared" si="394"/>
        <v>1.00457057817218</v>
      </c>
      <c r="NV84" s="541">
        <f t="shared" si="395"/>
        <v>1.00457057817218</v>
      </c>
      <c r="NW84" s="11">
        <f t="shared" si="396"/>
        <v>0.788080262420235</v>
      </c>
      <c r="NX84" s="11">
        <f>各项系数!$M$9*NK84</f>
        <v>0.203693495181988</v>
      </c>
      <c r="NY84" s="11">
        <f t="shared" si="397"/>
        <v>0.69945247617895</v>
      </c>
    </row>
    <row r="85" s="11" customFormat="1" customHeight="1" spans="1:389">
      <c r="A85" s="81"/>
      <c r="B85" s="82"/>
      <c r="C85" s="83"/>
      <c r="D85" s="74" t="s">
        <v>138</v>
      </c>
      <c r="E85" s="70">
        <f t="shared" si="325"/>
        <v>20.95476226</v>
      </c>
      <c r="F85" s="84">
        <f>$F$21</f>
        <v>165.416818206689</v>
      </c>
      <c r="G85" s="74"/>
      <c r="H85" s="78"/>
      <c r="I85" s="78"/>
      <c r="J85" s="78"/>
      <c r="K85" s="78"/>
      <c r="L85" s="128" t="s">
        <v>467</v>
      </c>
      <c r="M85" s="119">
        <f t="shared" si="339"/>
        <v>0.7</v>
      </c>
      <c r="N85" s="119">
        <f t="shared" si="340"/>
        <v>0</v>
      </c>
      <c r="O85" s="74">
        <f t="shared" si="438"/>
        <v>0.08</v>
      </c>
      <c r="P85" s="120">
        <v>0.1</v>
      </c>
      <c r="Q85" s="165">
        <f t="shared" si="440"/>
        <v>0.1</v>
      </c>
      <c r="R85" s="182">
        <v>0.8</v>
      </c>
      <c r="S85" s="173" t="str">
        <f>各项系数!$D$43</f>
        <v>钢带</v>
      </c>
      <c r="T85" s="78">
        <v>0.2</v>
      </c>
      <c r="U85" s="78">
        <v>2</v>
      </c>
      <c r="V85" s="172"/>
      <c r="W85" s="174">
        <v>1.8</v>
      </c>
      <c r="X85" s="168">
        <f t="shared" si="441"/>
        <v>0.2</v>
      </c>
      <c r="Y85" s="221"/>
      <c r="Z85" s="222"/>
      <c r="AA85" s="223">
        <f>$AA$21</f>
        <v>1.011</v>
      </c>
      <c r="AB85" s="186">
        <f>PI()*EJ85*EJ85/4*EH85*(1-H85)*AA85*各项系数!$F$5*各项系数!$J$4*10^-7</f>
        <v>0.134531270768238</v>
      </c>
      <c r="AC85" s="224">
        <f t="shared" si="327"/>
        <v>165.416818206689</v>
      </c>
      <c r="AD85" s="186">
        <f t="shared" si="341"/>
        <v>15.2089209566661</v>
      </c>
      <c r="AE85" s="186">
        <f>POWER(4*EU85/PI()/EG85/10^-7/EH85/(1-H85)/各项系数!$F$5/各项系数!$J$4,0.5)</f>
        <v>166.32412244418</v>
      </c>
      <c r="AF85" s="225">
        <v>1</v>
      </c>
      <c r="AG85" s="23">
        <f>IF(EM85=0,0,PI()*ER85*ER85/4*EP85*(1-K85)*(1+AF85)*各项系数!$F$5*各项系数!$J$4*10^-7)</f>
        <v>0</v>
      </c>
      <c r="AH85" s="23">
        <f t="shared" si="328"/>
        <v>0</v>
      </c>
      <c r="AI85" s="85">
        <f t="shared" si="398"/>
        <v>0</v>
      </c>
      <c r="AJ85" s="85">
        <f>IF(OR(EP85="",EP85=0),0,POWER(4*EW85/PI()/EO85/10^-7/EP85/(1-K85)/各项系数!$F$5/各项系数!$J$4,0.5))</f>
        <v>0</v>
      </c>
      <c r="AK85" s="23" t="str">
        <f t="shared" si="342"/>
        <v>√</v>
      </c>
      <c r="AL85" s="23">
        <f t="shared" si="329"/>
        <v>48.1743567944243</v>
      </c>
      <c r="AM85" s="127">
        <f t="shared" si="330"/>
        <v>16</v>
      </c>
      <c r="AN85" s="128" t="s">
        <v>486</v>
      </c>
      <c r="AO85" s="176">
        <f>AP85+各项系数!$M$9*$NK85</f>
        <v>47.2297615631611</v>
      </c>
      <c r="AP85" s="176">
        <f>AQ85*(1+$BI85+(VLOOKUP($AM85,$A$12:$B$323,2,0))+各项系数!$J$6+各项系数!$M$5)*(1+$E$2)</f>
        <v>46.9325008985778</v>
      </c>
      <c r="AQ85" s="262">
        <f>AR85+各项系数!$L$9*$NK85</f>
        <v>47.8903070393651</v>
      </c>
      <c r="AR85" s="262">
        <f>AS85*(1+$BJ85+各项系数!$J$5+各项系数!$L$5)</f>
        <v>47.5930463747819</v>
      </c>
      <c r="AS85" s="262">
        <f t="shared" si="399"/>
        <v>46.6598493870411</v>
      </c>
      <c r="AT85" s="176">
        <f>AU85+各项系数!$M$9*$NM85</f>
        <v>48.3017042182062</v>
      </c>
      <c r="AU85" s="176">
        <f>AV85*(1+$BI85+(VLOOKUP($AM85,$A$12:$B$323,2,0))+各项系数!$J$6+各项系数!$M$5)*(1+$E$2)</f>
        <v>48.004443553623</v>
      </c>
      <c r="AV85" s="262">
        <f>AW85+各项系数!$L$9*$NM85</f>
        <v>48.9841260751255</v>
      </c>
      <c r="AW85" s="262">
        <f>AX85*(1+$BJ85+各项系数!$J$5+各项系数!$L$5)</f>
        <v>48.6868654105423</v>
      </c>
      <c r="AX85" s="262">
        <f t="shared" si="400"/>
        <v>47.7322209907277</v>
      </c>
      <c r="AY85" s="176">
        <f>AZ85+各项系数!$M$9*$NS85</f>
        <v>48.9006567000995</v>
      </c>
      <c r="AZ85" s="176">
        <f>BA85*(1+$BI85+(VLOOKUP($AM85,$A$12:$B$214,2,0))+各项系数!$J$6+各项系数!$M$5)*(1+$E$2)</f>
        <v>48.5960899987363</v>
      </c>
      <c r="BA85" s="262">
        <f>BB85+各项系数!$L$9*$NS85</f>
        <v>49.587846937486</v>
      </c>
      <c r="BB85" s="262">
        <f>BC85*(1+$BJ85+各项系数!$J$5+各项系数!$L$5)</f>
        <v>49.2832802361228</v>
      </c>
      <c r="BC85" s="262">
        <f t="shared" si="401"/>
        <v>48.3169414079635</v>
      </c>
      <c r="BD85" s="176">
        <f>BE85+各项系数!$M$9*$NS85</f>
        <v>49.9815533072992</v>
      </c>
      <c r="BE85" s="176">
        <f>BF85*(1+$BI85+(VLOOKUP($AM85,$A$12:$B$214,2,0))+各项系数!$J$6+各项系数!$M$5)*(1+$E$2)</f>
        <v>49.676986605936</v>
      </c>
      <c r="BF85" s="262">
        <f>BG85+各项系数!$L$9*$NS85</f>
        <v>50.6908026591183</v>
      </c>
      <c r="BG85" s="262">
        <f>BH85*(1+$BJ85+各项系数!$J$5+各项系数!$L$5)</f>
        <v>50.3862359577551</v>
      </c>
      <c r="BH85" s="262">
        <f t="shared" si="402"/>
        <v>49.3982705468187</v>
      </c>
      <c r="BI85" s="554">
        <v>0</v>
      </c>
      <c r="BJ85" s="279"/>
      <c r="BK85" s="95" t="s">
        <v>514</v>
      </c>
      <c r="BL85" s="176">
        <f>BM85+各项系数!$M$9*$NM85</f>
        <v>47.8469481161228</v>
      </c>
      <c r="BM85" s="176">
        <f>BN85*(1+$CF85+(VLOOKUP($AM85,$A$12:$B$323,2,0))+各项系数!$J$6+各项系数!$M$5)*(1+$E$2)</f>
        <v>47.5496874515396</v>
      </c>
      <c r="BN85" s="262">
        <f>BO85+各项系数!$L$9*$NM85</f>
        <v>48.5200892362649</v>
      </c>
      <c r="BO85" s="262">
        <f>BP85*(1+$CG85+各项系数!$J$5+各项系数!$L$5)</f>
        <v>48.2228285716817</v>
      </c>
      <c r="BP85" s="262">
        <f t="shared" si="403"/>
        <v>46.8182801666812</v>
      </c>
      <c r="BQ85" s="176">
        <f>BR85+各项系数!$M$9*$NM85</f>
        <v>48.7694799839154</v>
      </c>
      <c r="BR85" s="176">
        <f>BS85*(1+$CF85+(VLOOKUP($AM85,$A$12:$B$323,2,0))+各项系数!$J$6+各项系数!$M$5)*(1+$E$2)</f>
        <v>48.4722193193321</v>
      </c>
      <c r="BS85" s="262">
        <f>BT85+各项系数!$L$9*$NM85</f>
        <v>49.4614482850328</v>
      </c>
      <c r="BT85" s="262">
        <f>BU85*(1+$CG85+各项系数!$J$5+各项系数!$L$5)</f>
        <v>49.1641876204495</v>
      </c>
      <c r="BU85" s="262">
        <f t="shared" si="404"/>
        <v>47.7322209907277</v>
      </c>
      <c r="BV85" s="176">
        <f>BW85+各项系数!$M$9*$NT85</f>
        <v>49.2450413368854</v>
      </c>
      <c r="BW85" s="176">
        <f>BX85*(1+$CF85+(VLOOKUP($AM85,$A$12:$B$214,2,0))+各项系数!$J$6+各项系数!$M$5)*(1+$E$2)</f>
        <v>48.9404746355222</v>
      </c>
      <c r="BX85" s="262">
        <f>BY85+各项系数!$L$9*$NT$12</f>
        <v>49.9392598321655</v>
      </c>
      <c r="BY85" s="262">
        <f>BZ85*(1+$CG85+各项系数!$J$5+各项系数!$L$5)</f>
        <v>49.9309964290105</v>
      </c>
      <c r="BZ85" s="262">
        <f t="shared" si="343"/>
        <v>48.4766955621462</v>
      </c>
      <c r="CA85" s="176">
        <f>CB85+各项系数!$M$9*$NT85</f>
        <v>50.1752791264139</v>
      </c>
      <c r="CB85" s="176">
        <f>CC85*(1+$CF85+(VLOOKUP($AM85,$A$12:$B$214,2,0))+各项系数!$J$6+各项系数!$M$5)*(1+$E$2)</f>
        <v>49.8707124250507</v>
      </c>
      <c r="CC85" s="262">
        <f>CD85+各项系数!$L$9*$NT$12</f>
        <v>50.8884820663783</v>
      </c>
      <c r="CD85" s="262">
        <f>CE85*(1+$CG85+各项系数!$J$5+各项系数!$L$5)</f>
        <v>50.8802186632233</v>
      </c>
      <c r="CE85" s="262">
        <f t="shared" si="405"/>
        <v>49.3982705468187</v>
      </c>
      <c r="CF85" s="554">
        <f>(BI85+$CF$2)-BI85/1.3</f>
        <v>0</v>
      </c>
      <c r="CG85" s="278">
        <f t="shared" si="344"/>
        <v>0.01</v>
      </c>
      <c r="CH85" s="127"/>
      <c r="CI85" s="176">
        <f>CJ85+各项系数!$M$9*$NO85</f>
        <v>49.1453866596802</v>
      </c>
      <c r="CJ85" s="176">
        <f>CK85*(1+$DC85+(VLOOKUP($AM85,$A$12:$B$323,2,0))+各项系数!$J$6+各项系数!$M$5)*(1+$E$2)+各项系数!$M$9*$NK85</f>
        <v>48.7274014314662</v>
      </c>
      <c r="CK85" s="262">
        <f>CL85+各项系数!$L$9*$NO85</f>
        <v>49.4185109866152</v>
      </c>
      <c r="CL85" s="262">
        <f>CM85*(1+$DD85+各项系数!$J$5+各项系数!$L$5)</f>
        <v>49.0005257584012</v>
      </c>
      <c r="CM85" s="262">
        <f t="shared" si="345"/>
        <v>48.0397311356875</v>
      </c>
      <c r="CN85" s="176">
        <f>CO85+各项系数!$M$9*$NO85</f>
        <v>50.078099858196</v>
      </c>
      <c r="CO85" s="176">
        <f>CP85*(1+$DC85+(VLOOKUP($AM85,$A$12:$B$323,2,0))+各项系数!$J$6+各项系数!$M$5)*(1+$E$2)+各项系数!$M$9*$NK85</f>
        <v>49.660114629982</v>
      </c>
      <c r="CP85" s="262">
        <f>CQ85+各项系数!$L$9*$NO85</f>
        <v>50.3702591483661</v>
      </c>
      <c r="CQ85" s="262">
        <f>CR85*(1+$DD85+各项系数!$J$5+各项系数!$L$5)</f>
        <v>49.9522739201521</v>
      </c>
      <c r="CR85" s="262">
        <f t="shared" si="346"/>
        <v>48.9728175687765</v>
      </c>
      <c r="CS85" s="176">
        <f>CT85+各项系数!$M$9*$NU85</f>
        <v>50.6791329050513</v>
      </c>
      <c r="CT85" s="176">
        <f t="shared" si="347"/>
        <v>50.2531359598906</v>
      </c>
      <c r="CU85" s="262">
        <f>CV85+各项系数!$L$9*$NU85</f>
        <v>51.2787101631537</v>
      </c>
      <c r="CV85" s="262">
        <f>CW85*(1+$DD85+各项系数!$J$5+各项系数!$L$5)</f>
        <v>50.8527132179931</v>
      </c>
      <c r="CW85" s="262">
        <f t="shared" si="348"/>
        <v>49.8556011941108</v>
      </c>
      <c r="CX85" s="176">
        <f>CY85+各项系数!$M$9*$NU85</f>
        <v>51.8542698586773</v>
      </c>
      <c r="CY85" s="176">
        <f t="shared" si="349"/>
        <v>51.4282729135166</v>
      </c>
      <c r="CZ85" s="262">
        <f>DA85+各项系数!$L$9*$NU85</f>
        <v>52.4778295035884</v>
      </c>
      <c r="DA85" s="262">
        <f>DB85*(1+$DD85+各项系数!$J$5+各项系数!$L$5)</f>
        <v>52.0518325584277</v>
      </c>
      <c r="DB85" s="262">
        <f t="shared" si="350"/>
        <v>51.0312083906154</v>
      </c>
      <c r="DC85" s="554">
        <f>(BI85+$DC$2)-BI85/1.3</f>
        <v>0</v>
      </c>
      <c r="DD85" s="278">
        <f t="shared" si="351"/>
        <v>0</v>
      </c>
      <c r="DE85" s="95" t="s">
        <v>498</v>
      </c>
      <c r="DF85" s="95" t="s">
        <v>513</v>
      </c>
      <c r="DG85" s="176">
        <f>DH85+各项系数!$M$9*$NQ85</f>
        <v>49.7901554988988</v>
      </c>
      <c r="DH85" s="176">
        <f>DI85*(1+$EA85+(VLOOKUP($AM85,$A$12:$B$323,2,0))+各项系数!$J$6+各项系数!$M$5)*(1+$E$2)+各项系数!$M$9*$NK85</f>
        <v>49.3721702706848</v>
      </c>
      <c r="DI85" s="262">
        <f>DJ85+各项系数!$L$9*$NQ85</f>
        <v>50.076438373573</v>
      </c>
      <c r="DJ85" s="262">
        <f>DK85*(1+$EB85+各项系数!$J$5+各项系数!$L$5)</f>
        <v>49.658453145359</v>
      </c>
      <c r="DK85" s="262">
        <f t="shared" si="352"/>
        <v>48.2120904323874</v>
      </c>
      <c r="DL85" s="176">
        <f>DM85+各项系数!$M$9*$NQ85</f>
        <v>50.7937921929624</v>
      </c>
      <c r="DM85" s="176">
        <f>DN85*(1+$EA85+(VLOOKUP($AM85,$A$12:$B$323,2,0))+各项系数!$J$6+各项系数!$M$5)*(1+$E$2)+各项系数!$M$9*$NK85</f>
        <v>50.3758069647484</v>
      </c>
      <c r="DN85" s="262">
        <f>DO85+各项系数!$L$9*$NQ85</f>
        <v>51.1005574491482</v>
      </c>
      <c r="DO85" s="262">
        <f>DP85*(1+$EB85+各项系数!$J$5+各项系数!$L$5)</f>
        <v>50.6825722209342</v>
      </c>
      <c r="DP85" s="262">
        <f t="shared" si="353"/>
        <v>49.2063807970235</v>
      </c>
      <c r="DQ85" s="176">
        <f>DR85+各项系数!$M$9*$NV85</f>
        <v>51.3430330851057</v>
      </c>
      <c r="DR85" s="176">
        <f t="shared" si="354"/>
        <v>50.917036139945</v>
      </c>
      <c r="DS85" s="262">
        <f>DT85+各项系数!$L$9*$NV85</f>
        <v>51.9561593264745</v>
      </c>
      <c r="DT85" s="262">
        <f>DU85*(1+$EB85+各项系数!$J$5+各项系数!$L$5)</f>
        <v>51.5301623813138</v>
      </c>
      <c r="DU85" s="262">
        <f t="shared" si="355"/>
        <v>50.0292838653532</v>
      </c>
      <c r="DV85" s="176">
        <f>DW85+各项系数!$M$9*$NV85</f>
        <v>51.5784052048597</v>
      </c>
      <c r="DW85" s="176">
        <f t="shared" si="356"/>
        <v>51.1524082596991</v>
      </c>
      <c r="DX85" s="262">
        <f>DY85+各项系数!$L$9*$NV85</f>
        <v>52.1963349588766</v>
      </c>
      <c r="DY85" s="262">
        <f>DZ85*(1+$EB85+各项系数!$J$5+各项系数!$L$5)</f>
        <v>51.7703380137159</v>
      </c>
      <c r="DZ85" s="262">
        <f t="shared" si="357"/>
        <v>50.2624640909863</v>
      </c>
      <c r="EA85" s="554">
        <f>(BI85+$EA$2)-BI85/1.3</f>
        <v>0</v>
      </c>
      <c r="EB85" s="278">
        <f t="shared" si="358"/>
        <v>0.01</v>
      </c>
      <c r="EC85" s="302">
        <f t="shared" si="408"/>
        <v>5</v>
      </c>
      <c r="ED85" s="304" t="str">
        <f t="shared" si="442"/>
        <v>5*16</v>
      </c>
      <c r="EE85" s="95">
        <f t="shared" si="239"/>
        <v>16</v>
      </c>
      <c r="EF85" s="95" t="str">
        <f>LOOKUP(EH85,{1,7,10,14,19,24,30,37,48,61},{1,"1+6","2+8","4+10","1+6+12","2+8+14","4+10+16","1+6+12+18","3+9+15+21","1+6+12+18+24"})</f>
        <v>1+6</v>
      </c>
      <c r="EG85" s="127">
        <f t="shared" si="359"/>
        <v>5</v>
      </c>
      <c r="EH85" s="262">
        <f>VLOOKUP(EE85,各项系数!$B$87:$C$124,2,0)</f>
        <v>7</v>
      </c>
      <c r="EI85" s="127">
        <f>IF(EH85=0,0,VLOOKUP(EH85,各项系数!$D$142:$E$195,2,0))*1</f>
        <v>3</v>
      </c>
      <c r="EJ85" s="307">
        <f t="shared" si="409"/>
        <v>165.416818206689</v>
      </c>
      <c r="EK85" s="95">
        <f t="shared" si="332"/>
        <v>0</v>
      </c>
      <c r="EL85" s="95">
        <f t="shared" si="360"/>
        <v>0</v>
      </c>
      <c r="EM85" s="95">
        <f t="shared" si="443"/>
        <v>0</v>
      </c>
      <c r="EN85" s="95">
        <f>IF(EP85=0,0,LOOKUP(EP85,{1,7,10,14,19,24,30,37,48,61},{1,"1+6","2+8","4+10","1+6+12","2+8+14","4+10+16","1+6+12+18","3+9+15+21","1+6+12+18+24"}))</f>
        <v>0</v>
      </c>
      <c r="EO85" s="95">
        <f t="shared" si="334"/>
        <v>0</v>
      </c>
      <c r="EP85" s="95">
        <f>IF(EM85=0,0,IF(EM85&lt;10,1,IF(AND(EM85&gt;=10,EM85&lt;=35),7,LOOKUP(EM85,{50,70,95,120,150,185,240,300},{10,14,19,24,30,37,48,61})*1)))</f>
        <v>0</v>
      </c>
      <c r="EQ85" s="95">
        <f>IF(EP85=0,0,VLOOKUP(EP85,各项系数!$D$142:$E$195,2,0))*1</f>
        <v>0</v>
      </c>
      <c r="ER85" s="95">
        <f t="shared" si="335"/>
        <v>0</v>
      </c>
      <c r="ES85" s="304">
        <f t="shared" si="444"/>
        <v>5</v>
      </c>
      <c r="ET85" s="95">
        <f>VLOOKUP(ES85,各项系数!$D$142:$E$195,2,0)*1</f>
        <v>2.7</v>
      </c>
      <c r="EU85" s="311">
        <f>((各项系数!$F$76/4*$EJ85^2*$EG85*$EH85*1*10^-7)*(1-$H85)*AA85)*(VLOOKUP($EY$9,各项系数!$D$4:$F$143,3,0))*各项系数!$J$4</f>
        <v>0.67265635384119</v>
      </c>
      <c r="EV85" s="312">
        <f>EU85*(VLOOKUP($EY$9,各项系数!$D$4:$F$143,2,0))</f>
        <v>44.0589911765979</v>
      </c>
      <c r="EW85" s="324">
        <f>(IF($EO85=0,0,(各项系数!$F$76/4*$ER85^2*$EO85*$EP85*1*10^-7))*(1-$K85)*$AF85)*(VLOOKUP($EY$9,各项系数!$D$4:$F$143,3,0))*各项系数!$J$4</f>
        <v>0</v>
      </c>
      <c r="EX85" s="325">
        <f>EW85*(VLOOKUP($EY$9,各项系数!$D$4:$F$143,2,0))</f>
        <v>0</v>
      </c>
      <c r="EY85" s="251">
        <f>((各项系数!$F$76/4*$EJ85^2*$EG85*$EH85*1*10^-7)*(1-$H85)*AA85+IF($EO85=0,0,(各项系数!$F$76/4*$ER85^2*$EO85*$EP85*1*10^-7))*(1-$K85)*$AF85)*(VLOOKUP($EY$9,各项系数!$D$4:$F$143,3,0))*各项系数!$J$4</f>
        <v>0.67265635384119</v>
      </c>
      <c r="EZ85" s="127">
        <v>1</v>
      </c>
      <c r="FA85" s="95">
        <f t="shared" ref="FA85:FA116" si="445">EZ85*EY85</f>
        <v>0.67265635384119</v>
      </c>
      <c r="FB85" s="314">
        <f>FA85*(VLOOKUP($EY$9,各项系数!$D$4:$F$143,2,0))</f>
        <v>44.0589911765979</v>
      </c>
      <c r="FC85" s="329"/>
      <c r="FD85" s="304">
        <f>各项系数!$F$76/4*($MN85^2-MK85^2)*10^-2*(VLOOKUP(L85,各项系数!$D$1:$F$143,3,0))*10^-3*10^2*$EG85*各项系数!$J$4</f>
        <v>0.0681462945642861</v>
      </c>
      <c r="FE85" s="341">
        <f>FD85*VLOOKUP(L85,各项系数!$D$1:$F$143,2,0)</f>
        <v>0.695092204555718</v>
      </c>
      <c r="FF85" s="127">
        <f>各项系数!$F$76/4*($MO85^2-ML85^2)*10^-2*(VLOOKUP(L85,各项系数!$D$1:$F$143,3,0))*10^-3*10^2*$EO85*各项系数!$J$4</f>
        <v>0</v>
      </c>
      <c r="FG85" s="341">
        <f>FF85*VLOOKUP(L85,各项系数!$D$1:$F$143,2,0)</f>
        <v>0</v>
      </c>
      <c r="FH85" s="304">
        <f t="shared" si="410"/>
        <v>0.0681462945642861</v>
      </c>
      <c r="FI85" s="127">
        <v>1</v>
      </c>
      <c r="FJ85" s="95">
        <f t="shared" ref="FJ85:FJ116" si="446">FI85*FH85</f>
        <v>0.0681462945642861</v>
      </c>
      <c r="FK85" s="341">
        <f>FJ85*VLOOKUP(L85,各项系数!$D$1:$F$143,2,0)</f>
        <v>0.695092204555718</v>
      </c>
      <c r="FL85" s="304"/>
      <c r="FM85" s="127"/>
      <c r="FN85" s="95"/>
      <c r="FO85" s="341"/>
      <c r="FP85" s="371">
        <f t="shared" ref="FP85:FP116" si="447">FJ85</f>
        <v>0.0681462945642861</v>
      </c>
      <c r="FQ85" s="371">
        <f t="shared" ref="FQ85:FQ116" si="448">FK85</f>
        <v>0.695092204555718</v>
      </c>
      <c r="FR85" s="365">
        <f>各项系数!$F$76/4*($MQ85^2-$MN85^2*$EG85-$MO85^2*$EO85)*10^-2</f>
        <v>0.728084146155542</v>
      </c>
      <c r="FS85" s="366">
        <f t="shared" si="411"/>
        <v>1</v>
      </c>
      <c r="FT85" s="367">
        <f t="shared" si="361"/>
        <v>0.728084146155542</v>
      </c>
      <c r="FU85" s="395">
        <f>$FT85*(VLOOKUP($FT$9,各项系数!$D$1:$F$143,3,0))*10^-3*10^2*各项系数!$J$55</f>
        <v>0.0869332470509717</v>
      </c>
      <c r="FV85" s="396">
        <v>1</v>
      </c>
      <c r="FW85" s="397">
        <f t="shared" ref="FW85:FW116" si="449">FV85*FU85</f>
        <v>0.0869332470509717</v>
      </c>
      <c r="FX85" s="372">
        <f>FW85*(VLOOKUP($FT$9,各项系数!$D$1:$F$143,2,0))</f>
        <v>0.260799741152915</v>
      </c>
      <c r="FY85" s="395">
        <f>IF($BK85&lt;&gt;$FY$9,0,各项系数!$F$76/4*($MS85^2-$MQ85^2)*10^-2*(VLOOKUP($FY$9,各项系数!$D$1:$F$143,3,0))*10^-3*10^2)*各项系数!$J$4</f>
        <v>0</v>
      </c>
      <c r="FZ85" s="396">
        <v>1</v>
      </c>
      <c r="GA85" s="397">
        <f t="shared" ref="GA85:GA116" si="450">FZ85*FY85</f>
        <v>0</v>
      </c>
      <c r="GB85" s="372">
        <f>GA85*(VLOOKUP($FY$9,各项系数!$D$1:$F$143,2,0))</f>
        <v>0</v>
      </c>
      <c r="GC85" s="395">
        <f>IF($BK85&lt;&gt;$GC$9,0,各项系数!$F$76/4*($MS85^2-$MQ85^2)*10^-2*(VLOOKUP($GC$9,各项系数!$D$1:$F$143,3,0))*10^-3*10^2)*各项系数!$J$4</f>
        <v>0.00470220684753257</v>
      </c>
      <c r="GD85" s="396">
        <v>1</v>
      </c>
      <c r="GE85" s="397">
        <f t="shared" ref="GE85:GE116" si="451">GD85*GC85</f>
        <v>0.00470220684753257</v>
      </c>
      <c r="GF85" s="372">
        <f>GE85*(VLOOKUP($GC$9,各项系数!$D$1:$F$143,2,0))</f>
        <v>0.0606584683331702</v>
      </c>
      <c r="GG85" s="395">
        <f>IF($BK85&lt;&gt;$GG$9,0,各项系数!$F$76/4*($MS85^2-$MQ85^2)*10^-2*(VLOOKUP($GG$9,各项系数!$D$1:$F$143,3,0))*10^-3*10^2)*各项系数!$J$4</f>
        <v>0</v>
      </c>
      <c r="GH85" s="396">
        <v>1</v>
      </c>
      <c r="GI85" s="397">
        <f t="shared" ref="GI85:GI116" si="452">GH85*GG85</f>
        <v>0</v>
      </c>
      <c r="GJ85" s="372">
        <f>GI85*(VLOOKUP($GG$9,各项系数!$D$1:$F$143,2,0))</f>
        <v>0</v>
      </c>
      <c r="GK85" s="395">
        <f>IF($BK85&lt;&gt;$GK$9,0,各项系数!$F$76/4*($MS85^2-$MQ85^2)*10^-2*(VLOOKUP($GK$9,各项系数!$D$1:$F$143,3,0))*10^-3*10^2)*各项系数!$J$4</f>
        <v>0</v>
      </c>
      <c r="GL85" s="396">
        <v>1</v>
      </c>
      <c r="GM85" s="397">
        <f t="shared" ref="GM85:GM116" si="453">GL85*GK85</f>
        <v>0</v>
      </c>
      <c r="GN85" s="372">
        <f>GM85*(VLOOKUP($GK$9,各项系数!$D$1:$F$143,2,0))</f>
        <v>0</v>
      </c>
      <c r="GO85" s="397">
        <f t="shared" ref="GO85:GO116" si="454">GM85+GI85+GE85+GA85</f>
        <v>0.00470220684753257</v>
      </c>
      <c r="GP85" s="397">
        <f t="shared" ref="GP85:GP116" si="455">GN85+GJ85+GF85+GB85</f>
        <v>0.0606584683331702</v>
      </c>
      <c r="GQ85" s="408">
        <f>各项系数!$F$76/4*($MU85^2-$MS85^2)*10^-2*(VLOOKUP($S85,各项系数!$D$1:$F$143,3,0))*10^-3*10^2*各项系数!$J$4</f>
        <v>0.129468117986305</v>
      </c>
      <c r="GR85" s="396">
        <v>1</v>
      </c>
      <c r="GS85" s="397">
        <f t="shared" ref="GS85:GS116" si="456">$GR85*$GQ85</f>
        <v>0.129468117986305</v>
      </c>
      <c r="GT85" s="397">
        <f t="shared" ref="GT85:GT148" si="457">IF(OR(AND(EG85=$AC$3,EE85&lt;$AC$4),AND(EE85&lt;($AB$4+1),EG85&lt;$AB$3)),$AB$5,0)</f>
        <v>0</v>
      </c>
      <c r="GU85" s="397">
        <f>ROUND($GS85*(VLOOKUP($S85,各项系数!$D$1:$F$143,2,0))+$E$3*GS85,GT85)</f>
        <v>1</v>
      </c>
      <c r="GV85" s="406">
        <f>各项系数!$F$76/4*($MT85^2-$MS85^2)*10^-2*(VLOOKUP($GV$9,各项系数!$D$1:$F$143,3,0))*10^-3*10^2*各项系数!$J$4*PI()/4*R85</f>
        <v>0.0243534559332961</v>
      </c>
      <c r="GW85" s="396">
        <v>1</v>
      </c>
      <c r="GX85" s="397">
        <f t="shared" ref="GX85:GX116" si="458">$GW85*$GV85</f>
        <v>0.0243534559332961</v>
      </c>
      <c r="GY85" s="397">
        <f>$GX85*(VLOOKUP($GV$9,各项系数!$D$1:$F$143,2,0))</f>
        <v>1.64385827549749</v>
      </c>
      <c r="GZ85" s="408">
        <f>各项系数!$F$76/4*($MV85^2-$MS85^2)*10^-2*(VLOOKUP($GZ$9,各项系数!$D$1:$F$143,3,0))*10^-3*10^2*各项系数!$J$4</f>
        <v>0.156275258828703</v>
      </c>
      <c r="HA85" s="396">
        <v>1</v>
      </c>
      <c r="HB85" s="397">
        <f t="shared" si="412"/>
        <v>0.156275258828703</v>
      </c>
      <c r="HC85" s="397">
        <f>HB85*(VLOOKUP($GZ$9,各项系数!$D$1:$F$143,2,0))</f>
        <v>2.65667940008795</v>
      </c>
      <c r="HD85" s="408">
        <f>各项系数!$F$76/4*($MW85^2-$MT85^2)*10^-2*(VLOOKUP($HD$9,各项系数!$D$1:$F$143,3,0))*10^-3*10^2*各项系数!$J$4</f>
        <v>0.157580628275382</v>
      </c>
      <c r="HE85" s="396">
        <v>1</v>
      </c>
      <c r="HF85" s="397">
        <f t="shared" si="413"/>
        <v>0.157580628275382</v>
      </c>
      <c r="HG85" s="397">
        <f>HF85*(VLOOKUP($HD$9,各项系数!$D$1:$F$143,2,0))</f>
        <v>2.67887068068149</v>
      </c>
      <c r="HH85" s="408">
        <f>各项系数!$F$76/4*($MV85^2-$MS85^2)*10^-2*(VLOOKUP($HH$9,各项系数!$D$1:$F$143,3,0))*10^-3*10^2*各项系数!$J$4</f>
        <v>0.156275258828703</v>
      </c>
      <c r="HI85" s="397">
        <v>1</v>
      </c>
      <c r="HJ85" s="397">
        <f t="shared" si="414"/>
        <v>0.156275258828703</v>
      </c>
      <c r="HK85" s="397">
        <f>HJ85*(VLOOKUP($HH$9,各项系数!$D$1:$F$143,2,0))</f>
        <v>2.65667940008795</v>
      </c>
      <c r="HL85" s="408">
        <f>各项系数!$F$76/4*($MW85^2-$MT85^2)*10^-2*(VLOOKUP($HL$9,各项系数!$D$1:$F$143,3,0))*10^-3*10^2*各项系数!$J$4</f>
        <v>0.157580628275382</v>
      </c>
      <c r="HM85" s="397">
        <v>1</v>
      </c>
      <c r="HN85" s="397">
        <f t="shared" si="362"/>
        <v>0.157580628275382</v>
      </c>
      <c r="HO85" s="397">
        <f>HN85*(VLOOKUP($HL$9,各项系数!$D$1:$F$143,2,0))</f>
        <v>2.67887068068149</v>
      </c>
      <c r="HP85" s="408">
        <f>各项系数!$F$76/4*($MV85^2-$MS85^2)*10^-2*(VLOOKUP(AN85,各项系数!$D$1:$F$143,3,0))*10^-3*10^2*各项系数!$J$4</f>
        <v>0.158430779640134</v>
      </c>
      <c r="HQ85" s="396">
        <v>1</v>
      </c>
      <c r="HR85" s="397">
        <f t="shared" ref="HR85:HR116" si="459">HQ85*HP85</f>
        <v>0.158430779640134</v>
      </c>
      <c r="HS85" s="397">
        <f>HR85*(VLOOKUP(AN85,各项系数!$D$1:$F$143,2,0))</f>
        <v>1.58430779640134</v>
      </c>
      <c r="HT85" s="408">
        <f>各项系数!$F$76/4*($MW85^2-$MT85^2)*10^-2*(VLOOKUP(AN85,各项系数!$D$1:$F$143,3,0))*10^-3*10^2*各项系数!$J$4</f>
        <v>0.159754154182628</v>
      </c>
      <c r="HU85" s="396">
        <v>1</v>
      </c>
      <c r="HV85" s="397">
        <f t="shared" ref="HV85:HV116" si="460">HU85*HT85</f>
        <v>0.159754154182628</v>
      </c>
      <c r="HW85" s="397">
        <f>HV85*(VLOOKUP(AN85,各项系数!$D$1:$F$143,2,0))</f>
        <v>1.59754154182628</v>
      </c>
      <c r="HX85" s="408">
        <f>各项系数!$F$76/4*($MV85^2-$MS85^2)*10^-2*(VLOOKUP($HX$9,各项系数!$D$1:$F$143,3,0))*10^-3*10^2*各项系数!$J$4</f>
        <v>0.158430779640134</v>
      </c>
      <c r="HY85" s="397">
        <v>1</v>
      </c>
      <c r="HZ85" s="397">
        <f t="shared" ref="HZ85:HZ116" si="461">HY85*HX85</f>
        <v>0.158430779640134</v>
      </c>
      <c r="IA85" s="397">
        <f>HZ85*(VLOOKUP($HX$9,各项系数!$D$1:$F$143,2,0))</f>
        <v>1.74273857604147</v>
      </c>
      <c r="IB85" s="408">
        <f>各项系数!$F$76/4*($MW85^2-$MT85^2)*10^-2*(VLOOKUP($IB$9,各项系数!$D$1:$F$143,3,0))*10^-3*10^2*各项系数!$J$4</f>
        <v>0.159754154182628</v>
      </c>
      <c r="IC85" s="397">
        <v>1</v>
      </c>
      <c r="ID85" s="397">
        <f t="shared" ref="ID85:ID116" si="462">IC85*IB85</f>
        <v>0.159754154182628</v>
      </c>
      <c r="IE85" s="397">
        <f>ID85*(VLOOKUP($IB$9,各项系数!$D$1:$F$143,2,0))</f>
        <v>1.75729569600891</v>
      </c>
      <c r="IF85" s="395"/>
      <c r="IG85" s="408">
        <f t="shared" si="415"/>
        <v>0.0370124603422542</v>
      </c>
      <c r="IH85" s="396">
        <v>1</v>
      </c>
      <c r="II85" s="397">
        <f t="shared" ref="II85:II116" si="463">IH85*IG85</f>
        <v>0.0370124603422542</v>
      </c>
      <c r="IJ85" s="397">
        <f>II85*(VLOOKUP($IG$8,各项系数!$D$1:$F$143,2,0))</f>
        <v>0.925311508556355</v>
      </c>
      <c r="IK85" s="408">
        <f>(各项系数!$F$76/4*($MX85^2-$MK85^2)*$EG85)*10^-2*(VLOOKUP($IG$8,各项系数!$D$1:$F$143,3,0))*10^-3*10^2*各项系数!$J$4</f>
        <v>0.0370124603422542</v>
      </c>
      <c r="IL85" s="396">
        <f>IK85*(VLOOKUP($IG$8,各项系数!$D$1:$F$143,2,0))</f>
        <v>0.925311508556355</v>
      </c>
      <c r="IM85" s="397">
        <f>(各项系数!$F$76/4*(($MM85+3*$X85)^2-MM85^2)*$EO85)*10^-2*(VLOOKUP($IG$8,各项系数!$D$1:$F$143,3,0))*10^-3*10^2*各项系数!$J$4</f>
        <v>0</v>
      </c>
      <c r="IN85" s="396">
        <f>IM85*(VLOOKUP($IG$8,各项系数!$D$1:$F$143,2,0))</f>
        <v>0</v>
      </c>
      <c r="IO85" s="408">
        <f>各项系数!$F$76/4*($MZ85^2-$MX85^2)*10^-2*(VLOOKUP(L85,各项系数!$D$1:$F$143,3,0))*10^-3*10^2*$ES85*各项系数!$J$4</f>
        <v>0.0753670881989296</v>
      </c>
      <c r="IP85" s="396">
        <v>1</v>
      </c>
      <c r="IQ85" s="397">
        <f t="shared" ref="IQ85:IQ116" si="464">IP85*IO85</f>
        <v>0.0753670881989296</v>
      </c>
      <c r="IR85" s="372">
        <f>IQ85*(VLOOKUP(L85,各项系数!$D$1:$F$143,2,0))</f>
        <v>0.768744299629082</v>
      </c>
      <c r="IS85" s="408">
        <f>IF($L85&lt;&gt;$IS$9,0,各项系数!$F$76/4*($MZ85^2-$MX85^2)*10^-2*各项系数!$F$12*10^-3*10^2)*$ES85*各项系数!$J$4</f>
        <v>0</v>
      </c>
      <c r="IT85" s="396">
        <v>1</v>
      </c>
      <c r="IU85" s="397">
        <f t="shared" ref="IU85:IU116" si="465">IT85*IS85</f>
        <v>0</v>
      </c>
      <c r="IV85" s="372">
        <f>IU85*各项系数!$E$12</f>
        <v>0</v>
      </c>
      <c r="IW85" s="395">
        <f t="shared" ref="IW85:IW116" si="466">IQ85</f>
        <v>0.0753670881989296</v>
      </c>
      <c r="IX85" s="395">
        <f t="shared" ref="IX85:IX116" si="467">IR85</f>
        <v>0.768744299629082</v>
      </c>
      <c r="IY85" s="447">
        <f>各项系数!$F$76/4*($NB85^2-$MZ85^2*$EG85-$NA85^2*$EO85)*10^-2</f>
        <v>0.871879259636785</v>
      </c>
      <c r="IZ85" s="366">
        <f t="shared" si="231"/>
        <v>1</v>
      </c>
      <c r="JA85" s="367">
        <f t="shared" si="363"/>
        <v>0.871879259636785</v>
      </c>
      <c r="JB85" s="371">
        <f>IF($DE85&lt;&gt;$JB$9,0,$JA85*各项系数!$F$32*10^-3*10^2)*各项系数!$J$4</f>
        <v>0</v>
      </c>
      <c r="JC85" s="127">
        <v>1</v>
      </c>
      <c r="JD85" s="95">
        <f t="shared" ref="JD85:JD116" si="468">JC85*JB85</f>
        <v>0</v>
      </c>
      <c r="JE85" s="341">
        <f>JD85*各项系数!$E$32</f>
        <v>0</v>
      </c>
      <c r="JF85" s="364">
        <f>IF($DE85&lt;&gt;$JF$9,0,$JA85*VLOOKUP($JF$9,各项系数!$D$4:$F$540,2,0)*10^-3*10^2)*各项系数!$J$4</f>
        <v>0.4337599316693</v>
      </c>
      <c r="JG85" s="123">
        <v>1</v>
      </c>
      <c r="JH85" s="251">
        <f t="shared" si="364"/>
        <v>0.4337599316693</v>
      </c>
      <c r="JI85" s="339">
        <f>JH85*VLOOKUP($JF$9,各项系数!$D$4:$F$540,3,0)</f>
        <v>0.520511918003161</v>
      </c>
      <c r="JJ85" s="371">
        <f t="shared" ref="JJ85:JJ116" si="469">JH85+JD85</f>
        <v>0.4337599316693</v>
      </c>
      <c r="JK85" s="95">
        <f t="shared" ref="JK85:JK116" si="470">JI85+JE85</f>
        <v>0.520511918003161</v>
      </c>
      <c r="JL85" s="371">
        <f>IF($DF85&lt;&gt;$JL$9,0,各项系数!$F$76/4*($NE85^2-$NC85^2)*10^-2*各项系数!$F$39*10^-3*10^2)*各项系数!$J$4</f>
        <v>0.0021289632951014</v>
      </c>
      <c r="JM85" s="127">
        <v>1</v>
      </c>
      <c r="JN85" s="95">
        <f t="shared" ref="JN85:JN116" si="471">JM85*JL85</f>
        <v>0.0021289632951014</v>
      </c>
      <c r="JO85" s="341">
        <f>JN85*各项系数!$E$39</f>
        <v>0.042579265902028</v>
      </c>
      <c r="JP85" s="371">
        <f>IF($DF85&lt;&gt;$JP$9,0,各项系数!$F$76/4*($NE85^2-$NC85^2)*10^-2*各项系数!$F$36*10^-3*10^2)*各项系数!$J$4</f>
        <v>0</v>
      </c>
      <c r="JQ85" s="127">
        <v>1</v>
      </c>
      <c r="JR85" s="95">
        <f t="shared" ref="JR85:JR116" si="472">JQ85*JP85</f>
        <v>0</v>
      </c>
      <c r="JS85" s="341">
        <f>JR85*各项系数!$E$36</f>
        <v>0</v>
      </c>
      <c r="JT85" s="371">
        <f>IF($DF85&lt;&gt;$JT$9,0,各项系数!$F$76/4*($NE85^2-$NC85^2)*10^-2*各项系数!$F$40*10^-3*10^2)*各项系数!$J$4</f>
        <v>0</v>
      </c>
      <c r="JU85" s="127">
        <v>1</v>
      </c>
      <c r="JV85" s="95">
        <f t="shared" ref="JV85:JV116" si="473">JU85*JT85</f>
        <v>0</v>
      </c>
      <c r="JW85" s="341">
        <f>JV85*各项系数!$E$40</f>
        <v>0</v>
      </c>
      <c r="JX85" s="371">
        <f>IF($DF85&lt;&gt;$JX$9,0,各项系数!$F$76/4*($NE85^2-$NC85^2)*10^-2*各项系数!$F$38*10^-3*10^2)*各项系数!$J$4</f>
        <v>0</v>
      </c>
      <c r="JY85" s="127">
        <v>1</v>
      </c>
      <c r="JZ85" s="95">
        <f t="shared" ref="JZ85:JZ116" si="474">JY85*JX85</f>
        <v>0</v>
      </c>
      <c r="KA85" s="341">
        <f>JZ85*各项系数!$E$38</f>
        <v>0</v>
      </c>
      <c r="KB85" s="371">
        <f>IF($DF85&lt;&gt;$KB$9,0,各项系数!$F$76/4*($NE85^2-$NC85^2)*10^-2*各项系数!$F$41*10^-3*10^2)*各项系数!$J$4</f>
        <v>0</v>
      </c>
      <c r="KC85" s="127">
        <v>1</v>
      </c>
      <c r="KD85" s="95">
        <f t="shared" ref="KD85:KD116" si="475">KC85*KB85</f>
        <v>0</v>
      </c>
      <c r="KE85" s="341">
        <f>KD85*各项系数!$E$41</f>
        <v>0</v>
      </c>
      <c r="KF85" s="95">
        <f t="shared" ref="KF85:KF116" si="476">KD85+JZ85+JV85+JR85+JN85</f>
        <v>0.0021289632951014</v>
      </c>
      <c r="KG85" s="95">
        <f t="shared" ref="KG85:KG116" si="477">KE85+KA85+JW85+JS85+JO85</f>
        <v>0.042579265902028</v>
      </c>
      <c r="KH85" s="304">
        <f>各项系数!$F$76/4*($NG85^2-$NE85^2)*10^-2*各项系数!$F$44*10^-3*10^2*各项系数!$J$4*0.75*$U85</f>
        <v>0.212726157150766</v>
      </c>
      <c r="KI85" s="127">
        <v>1</v>
      </c>
      <c r="KJ85" s="95">
        <f t="shared" ref="KJ85:KJ116" si="478">KI85*KH85</f>
        <v>0.212726157150766</v>
      </c>
      <c r="KK85" s="95">
        <f>ROUND(KJ85*各项系数!$E$43,GT85)</f>
        <v>1</v>
      </c>
      <c r="KL85" s="302">
        <f>各项系数!$F$76/4*($NF85^2-$NE85^2)*10^-2*各项系数!$F$46*10^-3*10^2*各项系数!$J$4*PI()/4*R85</f>
        <v>0.0267057231555321</v>
      </c>
      <c r="KM85" s="127">
        <v>1</v>
      </c>
      <c r="KN85" s="95">
        <f t="shared" ref="KN85:KN116" si="479">$KL85*$KM85</f>
        <v>0.0267057231555321</v>
      </c>
      <c r="KO85" s="95">
        <f>KN85*各项系数!$E$46</f>
        <v>1.80263631299842</v>
      </c>
      <c r="KP85" s="304">
        <f>各项系数!$F$76/4*($NH85^2-$NE85^2)*10^-2*(VLOOKUP($KP$9,各项系数!$D$1:$F$143,3,0))*10^-3*10^2*各项系数!$J$4</f>
        <v>0.170014272254993</v>
      </c>
      <c r="KQ85" s="127">
        <v>1</v>
      </c>
      <c r="KR85" s="95">
        <f t="shared" si="416"/>
        <v>0.170014272254993</v>
      </c>
      <c r="KS85" s="95">
        <f>KR85*(VLOOKUP($KP$9,各项系数!$D$1:$F$143,2,0))</f>
        <v>2.89024262833489</v>
      </c>
      <c r="KT85" s="304">
        <f>各项系数!$F$76/4*($NI85^2-$NF85^2)*10^-2*(VLOOKUP($KT$9,各项系数!$D$1:$F$143,3,0))*10^-3*10^2*各项系数!$J$4</f>
        <v>0.171319641701672</v>
      </c>
      <c r="KU85" s="127">
        <v>1</v>
      </c>
      <c r="KV85" s="95">
        <f t="shared" si="417"/>
        <v>0.171319641701672</v>
      </c>
      <c r="KW85" s="95">
        <f>KV85*(VLOOKUP($KT$9,各项系数!$D$1:$F$143,2,0))</f>
        <v>2.91243390892842</v>
      </c>
      <c r="KX85" s="95">
        <f>各项系数!$F$76/4*($NH85^2-$NE85^2)*10^-2*(VLOOKUP($KX$9,各项系数!$D$1:$F$143,3,0))*10^-3*10^2*各项系数!$J$4</f>
        <v>0.170014272254993</v>
      </c>
      <c r="KY85" s="481">
        <v>1</v>
      </c>
      <c r="KZ85" s="95">
        <f t="shared" si="418"/>
        <v>0.170014272254993</v>
      </c>
      <c r="LA85" s="95">
        <f>KZ85*(VLOOKUP($KX$9,各项系数!$D$1:$F$143,2,0))</f>
        <v>2.89024262833489</v>
      </c>
      <c r="LB85" s="95">
        <f>各项系数!$F$76/4*($NI85^2-$NF85^2)*10^-2*(VLOOKUP($LB$9,各项系数!$D$1:$F$143,3,0))*10^-3*10^2*各项系数!$J$4</f>
        <v>0.171319641701672</v>
      </c>
      <c r="LC85" s="481">
        <v>1</v>
      </c>
      <c r="LD85" s="95">
        <f t="shared" si="419"/>
        <v>0.171319641701672</v>
      </c>
      <c r="LE85" s="95">
        <f>LD85*(VLOOKUP($LB$9,各项系数!$D$1:$F$143,2,0))</f>
        <v>2.91243390892842</v>
      </c>
      <c r="LF85" s="304">
        <f>各项系数!$F$76/4*($NH85^2-$NE85^2)*10^-2*(VLOOKUP(AN85,各项系数!$D$1:$F$143,3,0))*10^-3*10^2*各项系数!$J$4</f>
        <v>0.17235929669989</v>
      </c>
      <c r="LG85" s="127">
        <v>1</v>
      </c>
      <c r="LH85" s="95">
        <f t="shared" ref="LH85:LH116" si="480">LG85*LF85</f>
        <v>0.17235929669989</v>
      </c>
      <c r="LI85" s="95">
        <f>LH85*(VLOOKUP(AN85,各项系数!$D$1:$F$143,2,0))</f>
        <v>1.7235929669989</v>
      </c>
      <c r="LJ85" s="304">
        <f>各项系数!$F$76/4*($NI85^2-$NF85^2)*10^-2*(VLOOKUP(AN85,各项系数!$D$1:$F$143,3,0))*10^-3*10^2*各项系数!$J$4</f>
        <v>0.173682671242385</v>
      </c>
      <c r="LK85" s="127">
        <v>1</v>
      </c>
      <c r="LL85" s="95">
        <f t="shared" ref="LL85:LL116" si="481">LK85*LJ85</f>
        <v>0.173682671242385</v>
      </c>
      <c r="LM85" s="95">
        <f>LL85*(VLOOKUP(AN85,各项系数!$D$1:$F$143,2,0))</f>
        <v>1.73682671242385</v>
      </c>
      <c r="LN85" s="95">
        <f>各项系数!$F$76/4*($NH85^2-$NE85^2)*10^-2*(VLOOKUP($LN$9,各项系数!$D$1:$F$143,3,0))*10^-3*10^2*各项系数!$J$4</f>
        <v>0.17235929669989</v>
      </c>
      <c r="LO85" s="481">
        <v>1</v>
      </c>
      <c r="LP85" s="95">
        <f t="shared" ref="LP85:LP116" si="482">LO85*LN85</f>
        <v>0.17235929669989</v>
      </c>
      <c r="LQ85" s="95">
        <f>LP85*(VLOOKUP($LN$9,各项系数!$D$1:$F$143,2,0))</f>
        <v>1.89595226369879</v>
      </c>
      <c r="LR85" s="95">
        <f>各项系数!$F$76/4*($NI85^2-$NF85^2)*10^-2*(VLOOKUP($LR$9,各项系数!$D$1:$F$143,3,0))*10^-3*10^2*各项系数!$J$4</f>
        <v>0.173682671242385</v>
      </c>
      <c r="LS85" s="481">
        <v>1</v>
      </c>
      <c r="LT85" s="95">
        <f t="shared" ref="LT85:LT116" si="483">LS85*LR85</f>
        <v>0.173682671242385</v>
      </c>
      <c r="LU85" s="95">
        <f>LT85*(VLOOKUP($LR$9,各项系数!$D$1:$F$143,2,0))</f>
        <v>1.91050938366623</v>
      </c>
      <c r="LV85" s="501">
        <f t="shared" si="420"/>
        <v>96.70784815</v>
      </c>
      <c r="LW85" s="501">
        <f t="shared" si="421"/>
        <v>75.21721523</v>
      </c>
      <c r="LX85" s="501">
        <f t="shared" si="422"/>
        <v>9.78619092781721</v>
      </c>
      <c r="LY85" s="519">
        <f t="shared" si="423"/>
        <v>21.49063292</v>
      </c>
      <c r="LZ85" s="516">
        <f t="shared" si="365"/>
        <v>1</v>
      </c>
      <c r="MA85" s="517">
        <f t="shared" si="366"/>
        <v>96.70784815</v>
      </c>
      <c r="MB85" s="501">
        <f t="shared" si="424"/>
        <v>4.96250454</v>
      </c>
      <c r="MC85" s="501">
        <f t="shared" si="425"/>
        <v>0</v>
      </c>
      <c r="MD85" s="501">
        <f t="shared" si="426"/>
        <v>0</v>
      </c>
      <c r="ME85" s="501">
        <f t="shared" si="427"/>
        <v>0</v>
      </c>
      <c r="MF85" s="501">
        <f t="shared" si="428"/>
        <v>0</v>
      </c>
      <c r="MG85" s="527">
        <f t="shared" si="429"/>
        <v>1</v>
      </c>
      <c r="MH85" s="517">
        <f t="shared" si="367"/>
        <v>0</v>
      </c>
      <c r="MI85" s="501">
        <f t="shared" si="430"/>
        <v>0</v>
      </c>
      <c r="MJ85" s="95">
        <f t="shared" si="368"/>
        <v>4.96250454</v>
      </c>
      <c r="MK85" s="95">
        <f t="shared" si="431"/>
        <v>4.96250454</v>
      </c>
      <c r="ML85" s="95">
        <f t="shared" ref="ML85:ML116" si="484">$ER85*$EQ85*10^-2</f>
        <v>0</v>
      </c>
      <c r="MM85" s="95">
        <f t="shared" si="369"/>
        <v>0</v>
      </c>
      <c r="MN85" s="95">
        <f t="shared" si="370"/>
        <v>6.36250454</v>
      </c>
      <c r="MO85" s="251">
        <f t="shared" si="432"/>
        <v>0</v>
      </c>
      <c r="MP85" s="95">
        <f t="shared" si="433"/>
        <v>17.17876226</v>
      </c>
      <c r="MQ85" s="95">
        <f t="shared" ref="MQ85:MQ116" si="485">MP85</f>
        <v>17.17876226</v>
      </c>
      <c r="MR85" s="314">
        <f t="shared" si="434"/>
        <v>17.17876226</v>
      </c>
      <c r="MS85" s="530">
        <f t="shared" si="371"/>
        <v>17.35476226</v>
      </c>
      <c r="MT85" s="532">
        <f t="shared" si="372"/>
        <v>17.51476226</v>
      </c>
      <c r="MU85" s="532">
        <f t="shared" si="373"/>
        <v>17.95476226</v>
      </c>
      <c r="MV85" s="532">
        <f t="shared" si="374"/>
        <v>20.95476226</v>
      </c>
      <c r="MW85" s="532">
        <f t="shared" si="375"/>
        <v>21.11476226</v>
      </c>
      <c r="MX85" s="314">
        <f t="shared" si="376"/>
        <v>5.56250454</v>
      </c>
      <c r="MY85" s="314">
        <f t="shared" si="377"/>
        <v>0</v>
      </c>
      <c r="MZ85" s="95">
        <f t="shared" si="378"/>
        <v>6.96250454</v>
      </c>
      <c r="NA85" s="95">
        <f t="shared" si="379"/>
        <v>0</v>
      </c>
      <c r="NB85" s="95">
        <f t="shared" si="435"/>
        <v>18.79876226</v>
      </c>
      <c r="NC85" s="314">
        <f t="shared" ref="NC85:NC116" si="486">NB85</f>
        <v>18.79876226</v>
      </c>
      <c r="ND85" s="314">
        <f t="shared" si="436"/>
        <v>18.79876226</v>
      </c>
      <c r="NE85" s="537">
        <f t="shared" si="437"/>
        <v>19.03876226</v>
      </c>
      <c r="NF85" s="532">
        <f t="shared" si="380"/>
        <v>19.19876226</v>
      </c>
      <c r="NG85" s="180">
        <f t="shared" si="381"/>
        <v>19.63876226</v>
      </c>
      <c r="NH85" s="314">
        <f t="shared" si="382"/>
        <v>22.63876226</v>
      </c>
      <c r="NI85" s="532">
        <f t="shared" si="383"/>
        <v>22.79876226</v>
      </c>
      <c r="NK85" s="541">
        <f t="shared" si="384"/>
        <v>0.990868881944114</v>
      </c>
      <c r="NL85" s="541">
        <f t="shared" si="385"/>
        <v>46.6598493870411</v>
      </c>
      <c r="NM85" s="541">
        <f t="shared" si="386"/>
        <v>0.990868881944114</v>
      </c>
      <c r="NN85" s="541">
        <f t="shared" si="387"/>
        <v>46.8182801666812</v>
      </c>
      <c r="NO85" s="541">
        <f t="shared" si="388"/>
        <v>1.39328409404667</v>
      </c>
      <c r="NP85" s="541">
        <f t="shared" si="389"/>
        <v>48.0397311356875</v>
      </c>
      <c r="NQ85" s="541">
        <f t="shared" si="390"/>
        <v>1.39328409404667</v>
      </c>
      <c r="NR85" s="541">
        <f t="shared" si="391"/>
        <v>48.2120904323874</v>
      </c>
      <c r="NS85" s="541">
        <f t="shared" si="392"/>
        <v>1.01522233787741</v>
      </c>
      <c r="NT85" s="541">
        <f t="shared" si="393"/>
        <v>1.01522233787741</v>
      </c>
      <c r="NU85" s="541">
        <f t="shared" si="394"/>
        <v>1.4199898172022</v>
      </c>
      <c r="NV85" s="541">
        <f t="shared" si="395"/>
        <v>1.4199898172022</v>
      </c>
      <c r="NW85" s="11">
        <f t="shared" si="396"/>
        <v>1.12033699993042</v>
      </c>
      <c r="NX85" s="11">
        <f>各项系数!$M$9*NK85</f>
        <v>0.297260664583234</v>
      </c>
      <c r="NY85" s="11">
        <f t="shared" si="397"/>
        <v>1.01522233787741</v>
      </c>
    </row>
    <row r="86" s="11" customFormat="1" customHeight="1" spans="1:389">
      <c r="A86" s="81"/>
      <c r="B86" s="82"/>
      <c r="C86" s="83"/>
      <c r="D86" s="74" t="s">
        <v>149</v>
      </c>
      <c r="E86" s="70">
        <f t="shared" si="325"/>
        <v>25.48780392</v>
      </c>
      <c r="F86" s="84">
        <f>$F$22</f>
        <v>208.046961644752</v>
      </c>
      <c r="G86" s="74"/>
      <c r="H86" s="23"/>
      <c r="I86" s="78"/>
      <c r="J86" s="23"/>
      <c r="K86" s="23"/>
      <c r="L86" s="128" t="s">
        <v>467</v>
      </c>
      <c r="M86" s="119">
        <f t="shared" si="339"/>
        <v>0.9</v>
      </c>
      <c r="N86" s="119">
        <f t="shared" si="340"/>
        <v>0</v>
      </c>
      <c r="O86" s="74">
        <f t="shared" si="438"/>
        <v>0.08</v>
      </c>
      <c r="P86" s="120">
        <v>0.1</v>
      </c>
      <c r="Q86" s="165">
        <f t="shared" si="440"/>
        <v>0.1</v>
      </c>
      <c r="R86" s="182">
        <v>0.8</v>
      </c>
      <c r="S86" s="173" t="str">
        <f>各项系数!$D$43</f>
        <v>钢带</v>
      </c>
      <c r="T86" s="78">
        <v>0.2</v>
      </c>
      <c r="U86" s="78">
        <v>2</v>
      </c>
      <c r="V86" s="172"/>
      <c r="W86" s="174">
        <v>1.8</v>
      </c>
      <c r="X86" s="168">
        <f t="shared" si="441"/>
        <v>0.2</v>
      </c>
      <c r="Y86" s="221"/>
      <c r="Z86" s="222"/>
      <c r="AA86" s="223">
        <f>$AA$22</f>
        <v>1.011</v>
      </c>
      <c r="AB86" s="186">
        <f>PI()*EJ86*EJ86/4*EH86*(1-H86)*AA86*各项系数!$F$5*各项系数!$J$4*10^-7</f>
        <v>0.212807374667777</v>
      </c>
      <c r="AC86" s="224">
        <f t="shared" si="327"/>
        <v>208.046961644752</v>
      </c>
      <c r="AD86" s="186">
        <f t="shared" si="341"/>
        <v>24.0581280607511</v>
      </c>
      <c r="AE86" s="186">
        <f>POWER(4*EU86/PI()/EG86/10^-7/EH86/(1-H86)/各项系数!$F$5/各项系数!$J$4,0.5)</f>
        <v>209.188090412333</v>
      </c>
      <c r="AF86" s="225">
        <v>1</v>
      </c>
      <c r="AG86" s="23">
        <f>IF(EM86=0,0,PI()*ER86*ER86/4*EP86*(1-K86)*(1+AF86)*各项系数!$F$5*各项系数!$J$4*10^-7)</f>
        <v>0</v>
      </c>
      <c r="AH86" s="23">
        <f t="shared" si="328"/>
        <v>0</v>
      </c>
      <c r="AI86" s="85">
        <f t="shared" si="398"/>
        <v>0</v>
      </c>
      <c r="AJ86" s="85">
        <f>IF(OR(EP86="",EP86=0),0,POWER(4*EW86/PI()/EO86/10^-7/EP86/(1-K86)/各项系数!$F$5/各项系数!$J$4,0.5))</f>
        <v>0</v>
      </c>
      <c r="AK86" s="23" t="str">
        <f t="shared" si="342"/>
        <v>√</v>
      </c>
      <c r="AL86" s="23">
        <f t="shared" si="329"/>
        <v>75.6275840311891</v>
      </c>
      <c r="AM86" s="127">
        <f t="shared" si="330"/>
        <v>25</v>
      </c>
      <c r="AN86" s="128" t="s">
        <v>486</v>
      </c>
      <c r="AO86" s="176">
        <f>AP86+各项系数!$M$9*$NK86</f>
        <v>74.144690226656</v>
      </c>
      <c r="AP86" s="176">
        <f>AQ86*(1+$BI86+(VLOOKUP($AM86,$A$12:$B$323,2,0))+各项系数!$J$6+各项系数!$M$5)*(1+$E$2)</f>
        <v>73.6901113720332</v>
      </c>
      <c r="AQ86" s="262">
        <f>AR86+各项系数!$L$9*$NK86</f>
        <v>75.1939911959522</v>
      </c>
      <c r="AR86" s="262">
        <f>AS86*(1+$BJ86+各项系数!$J$5+各项系数!$L$5)</f>
        <v>74.7394123413294</v>
      </c>
      <c r="AS86" s="262">
        <f t="shared" si="399"/>
        <v>73.27393366797</v>
      </c>
      <c r="AT86" s="176">
        <f>AU86+各项系数!$M$9*$NM86</f>
        <v>75.4703118700641</v>
      </c>
      <c r="AU86" s="176">
        <f>AV86*(1+$BI86+(VLOOKUP($AM86,$A$12:$B$323,2,0))+各项系数!$J$6+各项系数!$M$5)*(1+$E$2)</f>
        <v>75.0157330154413</v>
      </c>
      <c r="AV86" s="262">
        <f>AW86+各项系数!$L$9*$NM86</f>
        <v>76.5466663422871</v>
      </c>
      <c r="AW86" s="262">
        <f>AX86*(1+$BJ86+各项系数!$J$5+各项系数!$L$5)</f>
        <v>76.0920874876643</v>
      </c>
      <c r="AX86" s="262">
        <f t="shared" si="400"/>
        <v>74.6000857722199</v>
      </c>
      <c r="AY86" s="176">
        <f>AZ86+各项系数!$M$9*$NS86</f>
        <v>76.2465790318472</v>
      </c>
      <c r="AZ86" s="176">
        <f>BA86*(1+$BI86+(VLOOKUP($AM86,$A$12:$B$214,2,0))+各项系数!$J$6+各项系数!$M$5)*(1+$E$2)</f>
        <v>75.7827945694265</v>
      </c>
      <c r="BA86" s="262">
        <f>BB86+各项系数!$L$9*$NS86</f>
        <v>77.3293822137005</v>
      </c>
      <c r="BB86" s="262">
        <f>BC86*(1+$BJ86+各项系数!$J$5+各项系数!$L$5)</f>
        <v>76.8655977512798</v>
      </c>
      <c r="BC86" s="262">
        <f t="shared" si="401"/>
        <v>75.3584291679214</v>
      </c>
      <c r="BD86" s="176">
        <f>BE86+各项系数!$M$9*$NS86</f>
        <v>77.5811546274098</v>
      </c>
      <c r="BE86" s="176">
        <f>BF86*(1+$BI86+(VLOOKUP($AM86,$A$12:$B$214,2,0))+各项系数!$J$6+各项系数!$M$5)*(1+$E$2)</f>
        <v>77.1173701649891</v>
      </c>
      <c r="BF86" s="262">
        <f>BG86+各项系数!$L$9*$NS86</f>
        <v>78.6911940459073</v>
      </c>
      <c r="BG86" s="262">
        <f>BH86*(1+$BJ86+各项系数!$J$5+各项系数!$L$5)</f>
        <v>78.2274095834866</v>
      </c>
      <c r="BH86" s="262">
        <f t="shared" si="402"/>
        <v>76.6935388073398</v>
      </c>
      <c r="BI86" s="278"/>
      <c r="BJ86" s="279"/>
      <c r="BK86" s="95" t="s">
        <v>514</v>
      </c>
      <c r="BL86" s="176">
        <f>BM86+各项系数!$M$9*$NM86</f>
        <v>75.0605404412276</v>
      </c>
      <c r="BM86" s="176">
        <f>BN86*(1+$CF86+(VLOOKUP($AM86,$A$12:$B$323,2,0))+各项系数!$J$6+各项系数!$M$5)*(1+$E$2)</f>
        <v>74.6059615866048</v>
      </c>
      <c r="BN86" s="262">
        <f>BO86+各项系数!$L$9*$NM86</f>
        <v>76.1285322312294</v>
      </c>
      <c r="BO86" s="262">
        <f>BP86*(1+$CG86+各项系数!$J$5+各项系数!$L$5)</f>
        <v>75.6739533766066</v>
      </c>
      <c r="BP86" s="262">
        <f t="shared" si="403"/>
        <v>73.4698576471908</v>
      </c>
      <c r="BQ86" s="176">
        <f>BR86+各项系数!$M$9*$NM86</f>
        <v>76.2013927106319</v>
      </c>
      <c r="BR86" s="176">
        <f>BS86*(1+$CF86+(VLOOKUP($AM86,$A$12:$B$323,2,0))+各项系数!$J$6+各项系数!$M$5)*(1+$E$2)</f>
        <v>75.7468138560091</v>
      </c>
      <c r="BS86" s="262">
        <f>BT86+各项系数!$L$9*$NM86</f>
        <v>77.2926672000092</v>
      </c>
      <c r="BT86" s="262">
        <f>BU86*(1+$CG86+各项系数!$J$5+各项系数!$L$5)</f>
        <v>76.8380883453865</v>
      </c>
      <c r="BU86" s="262">
        <f t="shared" si="404"/>
        <v>74.6000857722199</v>
      </c>
      <c r="BV86" s="176">
        <f>BW86+各项系数!$M$9*$NT86</f>
        <v>76.7377824785011</v>
      </c>
      <c r="BW86" s="176">
        <f>BX86*(1+$CF86+(VLOOKUP($AM86,$A$12:$B$214,2,0))+各项系数!$J$6+各项系数!$M$5)*(1+$E$2)</f>
        <v>76.2739980160804</v>
      </c>
      <c r="BX86" s="262">
        <f>BY86+各项系数!$L$9*$NT$12</f>
        <v>77.8306102204902</v>
      </c>
      <c r="BY86" s="262">
        <f>BZ86*(1+$CG86+各项系数!$J$5+各项系数!$L$5)</f>
        <v>77.8223468173352</v>
      </c>
      <c r="BZ86" s="262">
        <f t="shared" si="343"/>
        <v>75.5556765216847</v>
      </c>
      <c r="CA86" s="176">
        <f>CB86+各项系数!$M$9*$NT86</f>
        <v>77.8863406696413</v>
      </c>
      <c r="CB86" s="176">
        <f>CC86*(1+$CF86+(VLOOKUP($AM86,$A$12:$B$214,2,0))+各项系数!$J$6+各项系数!$M$5)*(1+$E$2)</f>
        <v>77.4225562072207</v>
      </c>
      <c r="CC86" s="262">
        <f>CD86+各项系数!$L$9*$NT$12</f>
        <v>79.002608374715</v>
      </c>
      <c r="CD86" s="262">
        <f>CE86*(1+$CG86+各项系数!$J$5+各项系数!$L$5)</f>
        <v>78.99434497156</v>
      </c>
      <c r="CE86" s="262">
        <f t="shared" si="405"/>
        <v>76.6935388073398</v>
      </c>
      <c r="CF86" s="278">
        <f t="shared" si="406"/>
        <v>0</v>
      </c>
      <c r="CG86" s="278">
        <f t="shared" si="344"/>
        <v>0.01</v>
      </c>
      <c r="CH86" s="127"/>
      <c r="CI86" s="176">
        <f>CJ86+各项系数!$M$9*$NO86</f>
        <v>76.6977066419137</v>
      </c>
      <c r="CJ86" s="176">
        <f>CK86*(1+$DC86+(VLOOKUP($AM86,$A$12:$B$323,2,0))+各项系数!$J$6+各项系数!$M$5)*(1+$E$2)+各项系数!$M$9*$NK86</f>
        <v>76.0645595026147</v>
      </c>
      <c r="CK86" s="262">
        <f>CL86+各项系数!$L$9*$NO86</f>
        <v>77.1530414775428</v>
      </c>
      <c r="CL86" s="262">
        <f>CM86*(1+$DD86+各项系数!$J$5+各项系数!$L$5)</f>
        <v>76.5198943382438</v>
      </c>
      <c r="CM86" s="262">
        <f t="shared" si="345"/>
        <v>75.0195042531802</v>
      </c>
      <c r="CN86" s="176">
        <f>CO86+各项系数!$M$9*$NO86</f>
        <v>77.8840988287925</v>
      </c>
      <c r="CO86" s="176">
        <f>CP86*(1+$DC86+(VLOOKUP($AM86,$A$12:$B$323,2,0))+各项系数!$J$6+各项系数!$M$5)*(1+$E$2)+各项系数!$M$9*$NK86</f>
        <v>77.2509516894935</v>
      </c>
      <c r="CP86" s="262">
        <f>CQ86+各项系数!$L$9*$NO86</f>
        <v>78.3636457498681</v>
      </c>
      <c r="CQ86" s="262">
        <f>CR86*(1+$DD86+各项系数!$J$5+各项系数!$L$5)</f>
        <v>77.7304986105691</v>
      </c>
      <c r="CR86" s="262">
        <f t="shared" si="346"/>
        <v>76.2063711868325</v>
      </c>
      <c r="CS86" s="176">
        <f>CT86+各项系数!$M$9*$NU86</f>
        <v>78.505128365498</v>
      </c>
      <c r="CT86" s="176">
        <f t="shared" si="347"/>
        <v>77.8620699382344</v>
      </c>
      <c r="CU86" s="262">
        <f>CV86+各项系数!$L$9*$NU86</f>
        <v>79.4510917737086</v>
      </c>
      <c r="CV86" s="262">
        <f>CW86*(1+$DD86+各项系数!$J$5+各项系数!$L$5)</f>
        <v>78.8080333464451</v>
      </c>
      <c r="CW86" s="262">
        <f t="shared" si="348"/>
        <v>77.2627777906325</v>
      </c>
      <c r="CX86" s="176">
        <f>CY86+各项系数!$M$9*$NU86</f>
        <v>79.9339443074869</v>
      </c>
      <c r="CY86" s="176">
        <f t="shared" si="349"/>
        <v>79.2908858802234</v>
      </c>
      <c r="CZ86" s="262">
        <f>DA86+各项系数!$L$9*$NU86</f>
        <v>80.9090672247178</v>
      </c>
      <c r="DA86" s="262">
        <f>DB86*(1+$DD86+各项系数!$J$5+各项系数!$L$5)</f>
        <v>80.2660087974543</v>
      </c>
      <c r="DB86" s="262">
        <f t="shared" si="350"/>
        <v>78.6921654877003</v>
      </c>
      <c r="DC86" s="278">
        <f t="shared" si="407"/>
        <v>0</v>
      </c>
      <c r="DD86" s="278">
        <f t="shared" si="351"/>
        <v>0</v>
      </c>
      <c r="DE86" s="95" t="s">
        <v>498</v>
      </c>
      <c r="DF86" s="95" t="s">
        <v>513</v>
      </c>
      <c r="DG86" s="176">
        <f>DH86+各项系数!$M$9*$NQ86</f>
        <v>77.6447228933405</v>
      </c>
      <c r="DH86" s="176">
        <f>DI86*(1+$EA86+(VLOOKUP($AM86,$A$12:$B$323,2,0))+各项系数!$J$6+各项系数!$M$5)*(1+$E$2)+各项系数!$M$9*$NK86</f>
        <v>77.0115757540415</v>
      </c>
      <c r="DI86" s="262">
        <f>DJ86+各项系数!$L$9*$NQ86</f>
        <v>78.1193845912436</v>
      </c>
      <c r="DJ86" s="262">
        <f>DK86*(1+$EB86+各项系数!$J$5+各项系数!$L$5)</f>
        <v>77.4862374519446</v>
      </c>
      <c r="DK86" s="262">
        <f t="shared" si="352"/>
        <v>75.2293567494608</v>
      </c>
      <c r="DL86" s="176">
        <f>DM86+各项系数!$M$9*$NQ86</f>
        <v>78.8666799890159</v>
      </c>
      <c r="DM86" s="176">
        <f>DN86*(1+$EA86+(VLOOKUP($AM86,$A$12:$B$323,2,0))+各项系数!$J$6+各项系数!$M$5)*(1+$E$2)+各项系数!$M$9*$NK86</f>
        <v>78.2335328497169</v>
      </c>
      <c r="DN86" s="262">
        <f>DO86+各项系数!$L$9*$NQ86</f>
        <v>79.3662795868308</v>
      </c>
      <c r="DO86" s="262">
        <f>DP86*(1+$EB86+各项系数!$J$5+各项系数!$L$5)</f>
        <v>78.7331324475318</v>
      </c>
      <c r="DP86" s="262">
        <f t="shared" si="353"/>
        <v>76.4399344150794</v>
      </c>
      <c r="DQ86" s="176">
        <f>DR86+各项系数!$M$9*$NV86</f>
        <v>79.475464511855</v>
      </c>
      <c r="DR86" s="176">
        <f t="shared" si="354"/>
        <v>78.8324060845915</v>
      </c>
      <c r="DS86" s="262">
        <f>DT86+各项系数!$L$9*$NV86</f>
        <v>80.4412306985627</v>
      </c>
      <c r="DT86" s="262">
        <f>DU86*(1+$EB86+各项系数!$J$5+各项系数!$L$5)</f>
        <v>79.7981722712992</v>
      </c>
      <c r="DU86" s="262">
        <f t="shared" si="355"/>
        <v>77.4739536614555</v>
      </c>
      <c r="DV86" s="176">
        <f>DW86+各项系数!$M$9*$NV86</f>
        <v>79.471847696588</v>
      </c>
      <c r="DW86" s="176">
        <f t="shared" si="356"/>
        <v>78.8287892693245</v>
      </c>
      <c r="DX86" s="262">
        <f>DY86+各项系数!$L$9*$NV86</f>
        <v>80.4375400707392</v>
      </c>
      <c r="DY86" s="262">
        <f>DZ86*(1+$EB86+各项系数!$J$5+各项系数!$L$5)</f>
        <v>79.7944816434757</v>
      </c>
      <c r="DZ86" s="262">
        <f t="shared" si="357"/>
        <v>77.4703705276463</v>
      </c>
      <c r="EA86" s="278">
        <f t="shared" si="439"/>
        <v>0</v>
      </c>
      <c r="EB86" s="278">
        <f t="shared" si="358"/>
        <v>0.01</v>
      </c>
      <c r="EC86" s="302">
        <f t="shared" si="408"/>
        <v>5</v>
      </c>
      <c r="ED86" s="304" t="str">
        <f t="shared" si="442"/>
        <v>5*25</v>
      </c>
      <c r="EE86" s="95">
        <f t="shared" si="239"/>
        <v>25</v>
      </c>
      <c r="EF86" s="95" t="str">
        <f>LOOKUP(EH86,{1,7,10,14,19,24,30,37,48,61},{1,"1+6","2+8","4+10","1+6+12","2+8+14","4+10+16","1+6+12+18","3+9+15+21","1+6+12+18+24"})</f>
        <v>1+6</v>
      </c>
      <c r="EG86" s="127">
        <f t="shared" si="359"/>
        <v>5</v>
      </c>
      <c r="EH86" s="262">
        <f>VLOOKUP(EE86,各项系数!$B$87:$C$124,2,0)</f>
        <v>7</v>
      </c>
      <c r="EI86" s="127">
        <f>IF(EH86=0,0,VLOOKUP(EH86,各项系数!$D$142:$E$195,2,0))*1</f>
        <v>3</v>
      </c>
      <c r="EJ86" s="307">
        <f t="shared" si="409"/>
        <v>208.046961644752</v>
      </c>
      <c r="EK86" s="95">
        <f t="shared" si="332"/>
        <v>0</v>
      </c>
      <c r="EL86" s="95">
        <f t="shared" si="360"/>
        <v>0</v>
      </c>
      <c r="EM86" s="95">
        <f t="shared" si="443"/>
        <v>0</v>
      </c>
      <c r="EN86" s="95">
        <f>IF(EP86=0,0,LOOKUP(EP86,{1,7,10,14,19,24,30,37,48,61},{1,"1+6","2+8","4+10","1+6+12","2+8+14","4+10+16","1+6+12+18","3+9+15+21","1+6+12+18+24"}))</f>
        <v>0</v>
      </c>
      <c r="EO86" s="95">
        <f t="shared" si="334"/>
        <v>0</v>
      </c>
      <c r="EP86" s="95">
        <f>IF(EM86=0,0,IF(EM86&lt;10,1,IF(AND(EM86&gt;=10,EM86&lt;=35),7,LOOKUP(EM86,{50,70,95,120,150,185,240,300},{10,14,19,24,30,37,48,61})*1)))</f>
        <v>0</v>
      </c>
      <c r="EQ86" s="95">
        <f>IF(EP86=0,0,VLOOKUP(EP86,各项系数!$D$142:$E$195,2,0))*1</f>
        <v>0</v>
      </c>
      <c r="ER86" s="95">
        <f t="shared" si="335"/>
        <v>0</v>
      </c>
      <c r="ES86" s="304">
        <f t="shared" si="444"/>
        <v>5</v>
      </c>
      <c r="ET86" s="95">
        <f>VLOOKUP(ES86,各项系数!$D$142:$E$195,2,0)*1</f>
        <v>2.7</v>
      </c>
      <c r="EU86" s="311">
        <f>((各项系数!$F$76/4*$EJ86^2*$EG86*$EH86*1*10^-7)*(1-$H86)*AA86)*(VLOOKUP($EY$9,各项系数!$D$4:$F$143,3,0))*各项系数!$J$4</f>
        <v>1.06403687333889</v>
      </c>
      <c r="EV86" s="312">
        <f>EU86*(VLOOKUP($EY$9,各项系数!$D$4:$F$143,2,0))</f>
        <v>69.694415203697</v>
      </c>
      <c r="EW86" s="324">
        <f>(IF($EO86=0,0,(各项系数!$F$76/4*$ER86^2*$EO86*$EP86*1*10^-7))*(1-$K86)*$AF86)*(VLOOKUP($EY$9,各项系数!$D$4:$F$143,3,0))*各项系数!$J$4</f>
        <v>0</v>
      </c>
      <c r="EX86" s="325">
        <f>EW86*(VLOOKUP($EY$9,各项系数!$D$4:$F$143,2,0))</f>
        <v>0</v>
      </c>
      <c r="EY86" s="251">
        <f>((各项系数!$F$76/4*$EJ86^2*$EG86*$EH86*1*10^-7)*(1-$H86)*AA86+IF($EO86=0,0,(各项系数!$F$76/4*$ER86^2*$EO86*$EP86*1*10^-7))*(1-$K86)*$AF86)*(VLOOKUP($EY$9,各项系数!$D$4:$F$143,3,0))*各项系数!$J$4</f>
        <v>1.06403687333889</v>
      </c>
      <c r="EZ86" s="127">
        <v>1</v>
      </c>
      <c r="FA86" s="95">
        <f t="shared" si="445"/>
        <v>1.06403687333889</v>
      </c>
      <c r="FB86" s="314">
        <f>FA86*(VLOOKUP($EY$9,各项系数!$D$4:$F$143,2,0))</f>
        <v>69.694415203697</v>
      </c>
      <c r="FC86" s="329"/>
      <c r="FD86" s="304">
        <f>各项系数!$F$76/4*($MN86^2-MK86^2)*10^-2*(VLOOKUP(L86,各项系数!$D$1:$F$143,3,0))*10^-3*10^2*$EG86*各项系数!$J$4</f>
        <v>0.110499942082874</v>
      </c>
      <c r="FE86" s="341">
        <f>FD86*VLOOKUP(L86,各项系数!$D$1:$F$143,2,0)</f>
        <v>1.12709940924531</v>
      </c>
      <c r="FF86" s="127">
        <f>各项系数!$F$76/4*($MO86^2-ML86^2)*10^-2*(VLOOKUP(L86,各项系数!$D$1:$F$143,3,0))*10^-3*10^2*$EO86*各项系数!$J$4</f>
        <v>0</v>
      </c>
      <c r="FG86" s="341">
        <f>FF86*VLOOKUP(L86,各项系数!$D$1:$F$143,2,0)</f>
        <v>0</v>
      </c>
      <c r="FH86" s="304">
        <f t="shared" si="410"/>
        <v>0.110499942082874</v>
      </c>
      <c r="FI86" s="127">
        <v>1</v>
      </c>
      <c r="FJ86" s="95">
        <f t="shared" si="446"/>
        <v>0.110499942082874</v>
      </c>
      <c r="FK86" s="341">
        <f>FJ86*VLOOKUP(L86,各项系数!$D$1:$F$143,2,0)</f>
        <v>1.12709940924531</v>
      </c>
      <c r="FL86" s="304"/>
      <c r="FM86" s="127"/>
      <c r="FN86" s="95"/>
      <c r="FO86" s="341"/>
      <c r="FP86" s="371">
        <f t="shared" si="447"/>
        <v>0.110499942082874</v>
      </c>
      <c r="FQ86" s="371">
        <f t="shared" si="448"/>
        <v>1.12709940924531</v>
      </c>
      <c r="FR86" s="365">
        <f>各项系数!$F$76/4*($MQ86^2-$MN86^2*$EG86-$MO86^2*$EO86)*10^-2</f>
        <v>1.16302661038459</v>
      </c>
      <c r="FS86" s="366">
        <f t="shared" si="411"/>
        <v>1</v>
      </c>
      <c r="FT86" s="367">
        <f t="shared" si="361"/>
        <v>1.16302661038459</v>
      </c>
      <c r="FU86" s="395">
        <f>$FT86*(VLOOKUP($FT$9,各项系数!$D$1:$F$143,3,0))*10^-3*10^2*各项系数!$J$55</f>
        <v>0.13886537727992</v>
      </c>
      <c r="FV86" s="396">
        <v>1</v>
      </c>
      <c r="FW86" s="397">
        <f t="shared" si="449"/>
        <v>0.13886537727992</v>
      </c>
      <c r="FX86" s="372">
        <f>FW86*(VLOOKUP($FT$9,各项系数!$D$1:$F$143,2,0))</f>
        <v>0.41659613183976</v>
      </c>
      <c r="FY86" s="395">
        <f>IF($BK86&lt;&gt;$FY$9,0,各项系数!$F$76/4*($MS86^2-$MQ86^2)*10^-2*(VLOOKUP($FY$9,各项系数!$D$1:$F$143,3,0))*10^-3*10^2)*各项系数!$J$4</f>
        <v>0</v>
      </c>
      <c r="FZ86" s="396">
        <v>1</v>
      </c>
      <c r="GA86" s="397">
        <f t="shared" si="450"/>
        <v>0</v>
      </c>
      <c r="GB86" s="372">
        <f>GA86*(VLOOKUP($FY$9,各项系数!$D$1:$F$143,2,0))</f>
        <v>0</v>
      </c>
      <c r="GC86" s="395">
        <f>IF($BK86&lt;&gt;$GC$9,0,各项系数!$F$76/4*($MS86^2-$MQ86^2)*10^-2*(VLOOKUP($GC$9,各项系数!$D$1:$F$143,3,0))*10^-3*10^2)*各项系数!$J$4</f>
        <v>0.00593667682012152</v>
      </c>
      <c r="GD86" s="396">
        <v>1</v>
      </c>
      <c r="GE86" s="397">
        <f t="shared" si="451"/>
        <v>0.00593667682012152</v>
      </c>
      <c r="GF86" s="372">
        <f>GE86*(VLOOKUP($GC$9,各项系数!$D$1:$F$143,2,0))</f>
        <v>0.0765831309795677</v>
      </c>
      <c r="GG86" s="395">
        <f>IF($BK86&lt;&gt;$GG$9,0,各项系数!$F$76/4*($MS86^2-$MQ86^2)*10^-2*(VLOOKUP($GG$9,各项系数!$D$1:$F$143,3,0))*10^-3*10^2)*各项系数!$J$4</f>
        <v>0</v>
      </c>
      <c r="GH86" s="396">
        <v>1</v>
      </c>
      <c r="GI86" s="397">
        <f t="shared" si="452"/>
        <v>0</v>
      </c>
      <c r="GJ86" s="372">
        <f>GI86*(VLOOKUP($GG$9,各项系数!$D$1:$F$143,2,0))</f>
        <v>0</v>
      </c>
      <c r="GK86" s="395">
        <f>IF($BK86&lt;&gt;$GK$9,0,各项系数!$F$76/4*($MS86^2-$MQ86^2)*10^-2*(VLOOKUP($GK$9,各项系数!$D$1:$F$143,3,0))*10^-3*10^2)*各项系数!$J$4</f>
        <v>0</v>
      </c>
      <c r="GL86" s="396">
        <v>1</v>
      </c>
      <c r="GM86" s="397">
        <f t="shared" si="453"/>
        <v>0</v>
      </c>
      <c r="GN86" s="372">
        <f>GM86*(VLOOKUP($GK$9,各项系数!$D$1:$F$143,2,0))</f>
        <v>0</v>
      </c>
      <c r="GO86" s="397">
        <f t="shared" si="454"/>
        <v>0.00593667682012152</v>
      </c>
      <c r="GP86" s="397">
        <f t="shared" si="455"/>
        <v>0.0765831309795677</v>
      </c>
      <c r="GQ86" s="408">
        <f>各项系数!$F$76/4*($MU86^2-$MS86^2)*10^-2*(VLOOKUP($S86,各项系数!$D$1:$F$143,3,0))*10^-3*10^2*各项系数!$J$4</f>
        <v>0.162710387909327</v>
      </c>
      <c r="GR86" s="396">
        <v>1</v>
      </c>
      <c r="GS86" s="397">
        <f t="shared" si="456"/>
        <v>0.162710387909327</v>
      </c>
      <c r="GT86" s="397">
        <f t="shared" si="457"/>
        <v>0</v>
      </c>
      <c r="GU86" s="397">
        <f>ROUND($GS86*(VLOOKUP($S86,各项系数!$D$1:$F$143,2,0))+$E$3*GS86,GT86)</f>
        <v>1</v>
      </c>
      <c r="GV86" s="406">
        <f>各项系数!$F$76/4*($MT86^2-$MS86^2)*10^-2*(VLOOKUP($GV$9,各项系数!$D$1:$F$143,3,0))*10^-3*10^2*各项系数!$J$4*PI()/4*R86</f>
        <v>0.030685359326317</v>
      </c>
      <c r="GW86" s="396">
        <v>1</v>
      </c>
      <c r="GX86" s="397">
        <f t="shared" si="458"/>
        <v>0.030685359326317</v>
      </c>
      <c r="GY86" s="397">
        <f>$GX86*(VLOOKUP($GV$9,各项系数!$D$1:$F$143,2,0))</f>
        <v>2.0712617545264</v>
      </c>
      <c r="GZ86" s="408">
        <f>各项系数!$F$76/4*($MV86^2-$MS86^2)*10^-2*(VLOOKUP($GZ$9,各项系数!$D$1:$F$143,3,0))*10^-3*10^2*各项系数!$J$4</f>
        <v>0.19325834685048</v>
      </c>
      <c r="HA86" s="396">
        <v>1</v>
      </c>
      <c r="HB86" s="397">
        <f t="shared" si="412"/>
        <v>0.19325834685048</v>
      </c>
      <c r="HC86" s="397">
        <f>HB86*(VLOOKUP($GZ$9,各项系数!$D$1:$F$143,2,0))</f>
        <v>3.28539189645817</v>
      </c>
      <c r="HD86" s="408">
        <f>各项系数!$F$76/4*($MW86^2-$MT86^2)*10^-2*(VLOOKUP($HD$9,各项系数!$D$1:$F$143,3,0))*10^-3*10^2*各项系数!$J$4</f>
        <v>0.194563716297159</v>
      </c>
      <c r="HE86" s="396">
        <v>1</v>
      </c>
      <c r="HF86" s="397">
        <f t="shared" si="413"/>
        <v>0.194563716297159</v>
      </c>
      <c r="HG86" s="397">
        <f>HF86*(VLOOKUP($HD$9,各项系数!$D$1:$F$143,2,0))</f>
        <v>3.3075831770517</v>
      </c>
      <c r="HH86" s="408">
        <f>各项系数!$F$76/4*($MV86^2-$MS86^2)*10^-2*(VLOOKUP($HH$9,各项系数!$D$1:$F$143,3,0))*10^-3*10^2*各项系数!$J$4</f>
        <v>0.19325834685048</v>
      </c>
      <c r="HI86" s="397">
        <v>1</v>
      </c>
      <c r="HJ86" s="397">
        <f t="shared" si="414"/>
        <v>0.19325834685048</v>
      </c>
      <c r="HK86" s="397">
        <f>HJ86*(VLOOKUP($HH$9,各项系数!$D$1:$F$143,2,0))</f>
        <v>3.28539189645817</v>
      </c>
      <c r="HL86" s="408">
        <f>各项系数!$F$76/4*($MW86^2-$MT86^2)*10^-2*(VLOOKUP($HL$9,各项系数!$D$1:$F$143,3,0))*10^-3*10^2*各项系数!$J$4</f>
        <v>0.194563716297159</v>
      </c>
      <c r="HM86" s="397">
        <v>1</v>
      </c>
      <c r="HN86" s="397">
        <f t="shared" si="362"/>
        <v>0.194563716297159</v>
      </c>
      <c r="HO86" s="397">
        <f>HN86*(VLOOKUP($HL$9,各项系数!$D$1:$F$143,2,0))</f>
        <v>3.3075831770517</v>
      </c>
      <c r="HP86" s="408">
        <f>各项系数!$F$76/4*($MV86^2-$MS86^2)*10^-2*(VLOOKUP(AN86,各项系数!$D$1:$F$143,3,0))*10^-3*10^2*各项系数!$J$4</f>
        <v>0.195923979220832</v>
      </c>
      <c r="HQ86" s="396">
        <v>1</v>
      </c>
      <c r="HR86" s="397">
        <f t="shared" si="459"/>
        <v>0.195923979220832</v>
      </c>
      <c r="HS86" s="397">
        <f>HR86*(VLOOKUP(AN86,各项系数!$D$1:$F$143,2,0))</f>
        <v>1.95923979220832</v>
      </c>
      <c r="HT86" s="408">
        <f>各项系数!$F$76/4*($MW86^2-$MT86^2)*10^-2*(VLOOKUP(AN86,各项系数!$D$1:$F$143,3,0))*10^-3*10^2*各项系数!$J$4</f>
        <v>0.197247353763327</v>
      </c>
      <c r="HU86" s="396">
        <v>1</v>
      </c>
      <c r="HV86" s="397">
        <f t="shared" si="460"/>
        <v>0.197247353763327</v>
      </c>
      <c r="HW86" s="397">
        <f>HV86*(VLOOKUP(AN86,各项系数!$D$1:$F$143,2,0))</f>
        <v>1.97247353763327</v>
      </c>
      <c r="HX86" s="408">
        <f>各项系数!$F$76/4*($MV86^2-$MS86^2)*10^-2*(VLOOKUP($HX$9,各项系数!$D$1:$F$143,3,0))*10^-3*10^2*各项系数!$J$4</f>
        <v>0.195923979220832</v>
      </c>
      <c r="HY86" s="397">
        <v>1</v>
      </c>
      <c r="HZ86" s="397">
        <f t="shared" si="461"/>
        <v>0.195923979220832</v>
      </c>
      <c r="IA86" s="397">
        <f>HZ86*(VLOOKUP($HX$9,各项系数!$D$1:$F$143,2,0))</f>
        <v>2.15516377142915</v>
      </c>
      <c r="IB86" s="408">
        <f>各项系数!$F$76/4*($MW86^2-$MT86^2)*10^-2*(VLOOKUP($IB$9,各项系数!$D$1:$F$143,3,0))*10^-3*10^2*各项系数!$J$4</f>
        <v>0.197247353763327</v>
      </c>
      <c r="IC86" s="397">
        <v>1</v>
      </c>
      <c r="ID86" s="397">
        <f t="shared" si="462"/>
        <v>0.197247353763327</v>
      </c>
      <c r="IE86" s="397">
        <f>ID86*(VLOOKUP($IB$9,各项系数!$D$1:$F$143,2,0))</f>
        <v>2.16972089139659</v>
      </c>
      <c r="IF86" s="395"/>
      <c r="IG86" s="408">
        <f t="shared" si="415"/>
        <v>0.0460073020693717</v>
      </c>
      <c r="IH86" s="396">
        <v>1</v>
      </c>
      <c r="II86" s="397">
        <f t="shared" si="463"/>
        <v>0.0460073020693717</v>
      </c>
      <c r="IJ86" s="397">
        <f>II86*(VLOOKUP($IG$8,各项系数!$D$1:$F$143,2,0))</f>
        <v>1.15018255173429</v>
      </c>
      <c r="IK86" s="408">
        <f>(各项系数!$F$76/4*($MX86^2-$MK86^2)*$EG86)*10^-2*(VLOOKUP($IG$8,各项系数!$D$1:$F$143,3,0))*10^-3*10^2*各项系数!$J$4</f>
        <v>0.0460073020693717</v>
      </c>
      <c r="IL86" s="396">
        <f>IK86*(VLOOKUP($IG$8,各项系数!$D$1:$F$143,2,0))</f>
        <v>1.15018255173429</v>
      </c>
      <c r="IM86" s="397">
        <f>(各项系数!$F$76/4*(($MM86+3*$X86)^2-MM86^2)*$EO86)*10^-2*(VLOOKUP($IG$8,各项系数!$D$1:$F$143,3,0))*10^-3*10^2*各项系数!$J$4</f>
        <v>0</v>
      </c>
      <c r="IN86" s="396">
        <f>IM86*(VLOOKUP($IG$8,各项系数!$D$1:$F$143,2,0))</f>
        <v>0</v>
      </c>
      <c r="IO86" s="408">
        <f>各项系数!$F$76/4*($MZ86^2-$MX86^2)*10^-2*(VLOOKUP(L86,各项系数!$D$1:$F$143,3,0))*10^-3*10^2*$ES86*各项系数!$J$4</f>
        <v>0.11978381961313</v>
      </c>
      <c r="IP86" s="396">
        <v>1</v>
      </c>
      <c r="IQ86" s="397">
        <f t="shared" si="464"/>
        <v>0.11978381961313</v>
      </c>
      <c r="IR86" s="372">
        <f>IQ86*(VLOOKUP(L86,各项系数!$D$1:$F$143,2,0))</f>
        <v>1.22179496005392</v>
      </c>
      <c r="IS86" s="408">
        <f>IF($L86&lt;&gt;$IS$9,0,各项系数!$F$76/4*($MZ86^2-$MX86^2)*10^-2*各项系数!$F$12*10^-3*10^2)*$ES86*各项系数!$J$4</f>
        <v>0</v>
      </c>
      <c r="IT86" s="396">
        <v>1</v>
      </c>
      <c r="IU86" s="397">
        <f t="shared" si="465"/>
        <v>0</v>
      </c>
      <c r="IV86" s="372">
        <f>IU86*各项系数!$E$12</f>
        <v>0</v>
      </c>
      <c r="IW86" s="395">
        <f t="shared" si="466"/>
        <v>0.11978381961313</v>
      </c>
      <c r="IX86" s="395">
        <f t="shared" si="467"/>
        <v>1.22179496005392</v>
      </c>
      <c r="IY86" s="447">
        <f>各项系数!$F$76/4*($NB86^2-$MZ86^2*$EG86-$NA86^2*$EO86)*10^-2</f>
        <v>1.34305708175647</v>
      </c>
      <c r="IZ86" s="366">
        <f t="shared" ref="IZ86:IZ149" si="487">VLOOKUP(EC86,$A$38:$B$65,2,0)</f>
        <v>1</v>
      </c>
      <c r="JA86" s="367">
        <f t="shared" si="363"/>
        <v>1.34305708175647</v>
      </c>
      <c r="JB86" s="371">
        <f>IF($DE86&lt;&gt;$JB$9,0,$JA86*各项系数!$F$32*10^-3*10^2)*各项系数!$J$4</f>
        <v>0</v>
      </c>
      <c r="JC86" s="127">
        <v>1</v>
      </c>
      <c r="JD86" s="95">
        <f t="shared" si="468"/>
        <v>0</v>
      </c>
      <c r="JE86" s="341">
        <f>JD86*各项系数!$E$32</f>
        <v>0</v>
      </c>
      <c r="JF86" s="364">
        <f>IF($DE86&lt;&gt;$JF$9,0,$JA86*VLOOKUP($JF$9,各项系数!$D$4:$F$540,2,0)*10^-3*10^2)*各项系数!$J$4</f>
        <v>0.668170898173845</v>
      </c>
      <c r="JG86" s="123">
        <v>1</v>
      </c>
      <c r="JH86" s="251">
        <f t="shared" si="364"/>
        <v>0.668170898173845</v>
      </c>
      <c r="JI86" s="339">
        <f>JH86*VLOOKUP($JF$9,各项系数!$D$4:$F$540,3,0)</f>
        <v>0.801805077808614</v>
      </c>
      <c r="JJ86" s="371">
        <f t="shared" si="469"/>
        <v>0.668170898173845</v>
      </c>
      <c r="JK86" s="95">
        <f t="shared" si="470"/>
        <v>0.801805077808614</v>
      </c>
      <c r="JL86" s="371">
        <f>IF($DF86&lt;&gt;$JL$9,0,各项系数!$F$76/4*($NE86^2-$NC86^2)*10^-2*各项系数!$F$39*10^-3*10^2)*各项系数!$J$4</f>
        <v>0.00263907485402248</v>
      </c>
      <c r="JM86" s="127">
        <v>1</v>
      </c>
      <c r="JN86" s="95">
        <f t="shared" si="471"/>
        <v>0.00263907485402248</v>
      </c>
      <c r="JO86" s="341">
        <f>JN86*各项系数!$E$39</f>
        <v>0.0527814970804495</v>
      </c>
      <c r="JP86" s="371">
        <f>IF($DF86&lt;&gt;$JP$9,0,各项系数!$F$76/4*($NE86^2-$NC86^2)*10^-2*各项系数!$F$36*10^-3*10^2)*各项系数!$J$4</f>
        <v>0</v>
      </c>
      <c r="JQ86" s="127">
        <v>1</v>
      </c>
      <c r="JR86" s="95">
        <f t="shared" si="472"/>
        <v>0</v>
      </c>
      <c r="JS86" s="341">
        <f>JR86*各项系数!$E$36</f>
        <v>0</v>
      </c>
      <c r="JT86" s="371">
        <f>IF($DF86&lt;&gt;$JT$9,0,各项系数!$F$76/4*($NE86^2-$NC86^2)*10^-2*各项系数!$F$40*10^-3*10^2)*各项系数!$J$4</f>
        <v>0</v>
      </c>
      <c r="JU86" s="127">
        <v>1</v>
      </c>
      <c r="JV86" s="95">
        <f t="shared" si="473"/>
        <v>0</v>
      </c>
      <c r="JW86" s="341">
        <f>JV86*各项系数!$E$40</f>
        <v>0</v>
      </c>
      <c r="JX86" s="371">
        <f>IF($DF86&lt;&gt;$JX$9,0,各项系数!$F$76/4*($NE86^2-$NC86^2)*10^-2*各项系数!$F$38*10^-3*10^2)*各项系数!$J$4</f>
        <v>0</v>
      </c>
      <c r="JY86" s="127">
        <v>1</v>
      </c>
      <c r="JZ86" s="95">
        <f t="shared" si="474"/>
        <v>0</v>
      </c>
      <c r="KA86" s="341">
        <f>JZ86*各项系数!$E$38</f>
        <v>0</v>
      </c>
      <c r="KB86" s="371">
        <f>IF($DF86&lt;&gt;$KB$9,0,各项系数!$F$76/4*($NE86^2-$NC86^2)*10^-2*各项系数!$F$41*10^-3*10^2)*各项系数!$J$4</f>
        <v>0</v>
      </c>
      <c r="KC86" s="127">
        <v>1</v>
      </c>
      <c r="KD86" s="95">
        <f t="shared" si="475"/>
        <v>0</v>
      </c>
      <c r="KE86" s="341">
        <f>KD86*各项系数!$E$41</f>
        <v>0</v>
      </c>
      <c r="KF86" s="95">
        <f t="shared" si="476"/>
        <v>0.00263907485402248</v>
      </c>
      <c r="KG86" s="95">
        <f t="shared" si="477"/>
        <v>0.0527814970804495</v>
      </c>
      <c r="KH86" s="304">
        <f>各项系数!$F$76/4*($NG86^2-$NE86^2)*10^-2*各项系数!$F$44*10^-3*10^2*各项系数!$J$4*0.75*$U86</f>
        <v>0.2625895620353</v>
      </c>
      <c r="KI86" s="127">
        <v>1</v>
      </c>
      <c r="KJ86" s="95">
        <f t="shared" si="478"/>
        <v>0.2625895620353</v>
      </c>
      <c r="KK86" s="95">
        <f>ROUND(KJ86*各项系数!$E$43,GT86)</f>
        <v>2</v>
      </c>
      <c r="KL86" s="302">
        <f>各项系数!$F$76/4*($NF86^2-$NE86^2)*10^-2*各项系数!$F$46*10^-3*10^2*各项系数!$J$4*PI()/4*R86</f>
        <v>0.0330376265485528</v>
      </c>
      <c r="KM86" s="127">
        <v>1</v>
      </c>
      <c r="KN86" s="95">
        <f t="shared" si="479"/>
        <v>0.0330376265485528</v>
      </c>
      <c r="KO86" s="95">
        <f>KN86*各项系数!$E$46</f>
        <v>2.23003979202731</v>
      </c>
      <c r="KP86" s="304">
        <f>各项系数!$F$76/4*($NH86^2-$NE86^2)*10^-2*(VLOOKUP($KP$9,各项系数!$D$1:$F$143,3,0))*10^-3*10^2*各项系数!$J$4</f>
        <v>0.206997360276771</v>
      </c>
      <c r="KQ86" s="127">
        <v>1</v>
      </c>
      <c r="KR86" s="95">
        <f t="shared" si="416"/>
        <v>0.206997360276771</v>
      </c>
      <c r="KS86" s="95">
        <f>KR86*(VLOOKUP($KP$9,各项系数!$D$1:$F$143,2,0))</f>
        <v>3.5189551247051</v>
      </c>
      <c r="KT86" s="304">
        <f>各项系数!$F$76/4*($NI86^2-$NF86^2)*10^-2*(VLOOKUP($KT$9,各项系数!$D$1:$F$143,3,0))*10^-3*10^2*各项系数!$J$4</f>
        <v>0.208302729723449</v>
      </c>
      <c r="KU86" s="127">
        <v>1</v>
      </c>
      <c r="KV86" s="95">
        <f t="shared" si="417"/>
        <v>0.208302729723449</v>
      </c>
      <c r="KW86" s="95">
        <f>KV86*(VLOOKUP($KT$9,各项系数!$D$1:$F$143,2,0))</f>
        <v>3.54114640529863</v>
      </c>
      <c r="KX86" s="95">
        <f>各项系数!$F$76/4*($NH86^2-$NE86^2)*10^-2*(VLOOKUP($KX$9,各项系数!$D$1:$F$143,3,0))*10^-3*10^2*各项系数!$J$4</f>
        <v>0.206997360276771</v>
      </c>
      <c r="KY86" s="481">
        <v>1</v>
      </c>
      <c r="KZ86" s="95">
        <f t="shared" si="418"/>
        <v>0.206997360276771</v>
      </c>
      <c r="LA86" s="95">
        <f>KZ86*(VLOOKUP($KX$9,各项系数!$D$1:$F$143,2,0))</f>
        <v>3.5189551247051</v>
      </c>
      <c r="LB86" s="95">
        <f>各项系数!$F$76/4*($NI86^2-$NF86^2)*10^-2*(VLOOKUP($LB$9,各项系数!$D$1:$F$143,3,0))*10^-3*10^2*各项系数!$J$4</f>
        <v>0.208302729723449</v>
      </c>
      <c r="LC86" s="481">
        <v>1</v>
      </c>
      <c r="LD86" s="95">
        <f t="shared" si="419"/>
        <v>0.208302729723449</v>
      </c>
      <c r="LE86" s="95">
        <f>LD86*(VLOOKUP($LB$9,各项系数!$D$1:$F$143,2,0))</f>
        <v>3.54114640529863</v>
      </c>
      <c r="LF86" s="304">
        <f>各项系数!$F$76/4*($NH86^2-$NE86^2)*10^-2*(VLOOKUP(AN86,各项系数!$D$1:$F$143,3,0))*10^-3*10^2*各项系数!$J$4</f>
        <v>0.209852496280588</v>
      </c>
      <c r="LG86" s="127">
        <v>1</v>
      </c>
      <c r="LH86" s="95">
        <f t="shared" si="480"/>
        <v>0.209852496280588</v>
      </c>
      <c r="LI86" s="95">
        <f>LH86*(VLOOKUP(AN86,各项系数!$D$1:$F$143,2,0))</f>
        <v>2.09852496280588</v>
      </c>
      <c r="LJ86" s="304">
        <f>各项系数!$F$76/4*($NI86^2-$NF86^2)*10^-2*(VLOOKUP(AN86,各项系数!$D$1:$F$143,3,0))*10^-3*10^2*各项系数!$J$4</f>
        <v>0.211175870823083</v>
      </c>
      <c r="LK86" s="127">
        <v>1</v>
      </c>
      <c r="LL86" s="95">
        <f t="shared" si="481"/>
        <v>0.211175870823083</v>
      </c>
      <c r="LM86" s="95">
        <f>LL86*(VLOOKUP(AN86,各项系数!$D$1:$F$143,2,0))</f>
        <v>2.11175870823083</v>
      </c>
      <c r="LN86" s="95">
        <f>各项系数!$F$76/4*($NH86^2-$NE86^2)*10^-2*(VLOOKUP($LN$9,各项系数!$D$1:$F$143,3,0))*10^-3*10^2*各项系数!$J$4</f>
        <v>0.209852496280588</v>
      </c>
      <c r="LO86" s="481">
        <v>1</v>
      </c>
      <c r="LP86" s="95">
        <f t="shared" si="482"/>
        <v>0.209852496280588</v>
      </c>
      <c r="LQ86" s="95">
        <f>LP86*(VLOOKUP($LN$9,各项系数!$D$1:$F$143,2,0))</f>
        <v>2.30837745908647</v>
      </c>
      <c r="LR86" s="95">
        <f>各项系数!$F$76/4*($NI86^2-$NF86^2)*10^-2*(VLOOKUP($LR$9,各项系数!$D$1:$F$143,3,0))*10^-3*10^2*各项系数!$J$4</f>
        <v>0.211175870823083</v>
      </c>
      <c r="LS86" s="481">
        <v>1</v>
      </c>
      <c r="LT86" s="95">
        <f t="shared" si="483"/>
        <v>0.211175870823083</v>
      </c>
      <c r="LU86" s="95">
        <f>LT86*(VLOOKUP($LR$9,各项系数!$D$1:$F$143,2,0))</f>
        <v>2.32293457905391</v>
      </c>
      <c r="LV86" s="501">
        <f t="shared" si="420"/>
        <v>152.97665203</v>
      </c>
      <c r="LW86" s="501">
        <f t="shared" si="421"/>
        <v>118.98184047</v>
      </c>
      <c r="LX86" s="501">
        <f t="shared" si="422"/>
        <v>12.3082242582663</v>
      </c>
      <c r="LY86" s="519">
        <f t="shared" si="423"/>
        <v>33.99481156</v>
      </c>
      <c r="LZ86" s="516">
        <f t="shared" si="365"/>
        <v>1</v>
      </c>
      <c r="MA86" s="517">
        <f t="shared" si="366"/>
        <v>152.97665203</v>
      </c>
      <c r="MB86" s="501">
        <f t="shared" si="424"/>
        <v>6.24140886</v>
      </c>
      <c r="MC86" s="501">
        <f t="shared" si="425"/>
        <v>0</v>
      </c>
      <c r="MD86" s="501">
        <f t="shared" si="426"/>
        <v>0</v>
      </c>
      <c r="ME86" s="501">
        <f t="shared" si="427"/>
        <v>0</v>
      </c>
      <c r="MF86" s="501">
        <f t="shared" si="428"/>
        <v>0</v>
      </c>
      <c r="MG86" s="527">
        <f t="shared" si="429"/>
        <v>1</v>
      </c>
      <c r="MH86" s="517">
        <f t="shared" si="367"/>
        <v>0</v>
      </c>
      <c r="MI86" s="501">
        <f t="shared" si="430"/>
        <v>0</v>
      </c>
      <c r="MJ86" s="95">
        <f t="shared" si="368"/>
        <v>6.24140886</v>
      </c>
      <c r="MK86" s="95">
        <f t="shared" si="431"/>
        <v>6.24140886</v>
      </c>
      <c r="ML86" s="95">
        <f t="shared" si="484"/>
        <v>0</v>
      </c>
      <c r="MM86" s="95">
        <f t="shared" si="369"/>
        <v>0</v>
      </c>
      <c r="MN86" s="95">
        <f t="shared" si="370"/>
        <v>8.04140886</v>
      </c>
      <c r="MO86" s="251">
        <f t="shared" si="432"/>
        <v>0</v>
      </c>
      <c r="MP86" s="95">
        <f t="shared" si="433"/>
        <v>21.71180392</v>
      </c>
      <c r="MQ86" s="95">
        <f t="shared" si="485"/>
        <v>21.71180392</v>
      </c>
      <c r="MR86" s="314">
        <f t="shared" si="434"/>
        <v>21.71180392</v>
      </c>
      <c r="MS86" s="530">
        <f t="shared" si="371"/>
        <v>21.88780392</v>
      </c>
      <c r="MT86" s="532">
        <f t="shared" si="372"/>
        <v>22.04780392</v>
      </c>
      <c r="MU86" s="532">
        <f t="shared" si="373"/>
        <v>22.48780392</v>
      </c>
      <c r="MV86" s="532">
        <f t="shared" si="374"/>
        <v>25.48780392</v>
      </c>
      <c r="MW86" s="532">
        <f t="shared" si="375"/>
        <v>25.64780392</v>
      </c>
      <c r="MX86" s="314">
        <f t="shared" si="376"/>
        <v>6.84140886</v>
      </c>
      <c r="MY86" s="314">
        <f t="shared" si="377"/>
        <v>0</v>
      </c>
      <c r="MZ86" s="95">
        <f t="shared" si="378"/>
        <v>8.64140886</v>
      </c>
      <c r="NA86" s="95">
        <f t="shared" si="379"/>
        <v>0</v>
      </c>
      <c r="NB86" s="95">
        <f t="shared" si="435"/>
        <v>23.33180392</v>
      </c>
      <c r="NC86" s="314">
        <f t="shared" si="486"/>
        <v>23.33180392</v>
      </c>
      <c r="ND86" s="314">
        <f t="shared" si="436"/>
        <v>23.33180392</v>
      </c>
      <c r="NE86" s="537">
        <f t="shared" si="437"/>
        <v>23.57180392</v>
      </c>
      <c r="NF86" s="532">
        <f t="shared" si="380"/>
        <v>23.73180392</v>
      </c>
      <c r="NG86" s="180">
        <f t="shared" si="381"/>
        <v>24.17180392</v>
      </c>
      <c r="NH86" s="314">
        <f t="shared" si="382"/>
        <v>27.17180392</v>
      </c>
      <c r="NI86" s="532">
        <f t="shared" si="383"/>
        <v>27.33180392</v>
      </c>
      <c r="NK86" s="541">
        <f t="shared" si="384"/>
        <v>1.51526284874263</v>
      </c>
      <c r="NL86" s="541">
        <f t="shared" si="385"/>
        <v>73.27393366797</v>
      </c>
      <c r="NM86" s="541">
        <f t="shared" si="386"/>
        <v>1.51526284874263</v>
      </c>
      <c r="NN86" s="541">
        <f t="shared" si="387"/>
        <v>73.4698576471908</v>
      </c>
      <c r="NO86" s="541">
        <f t="shared" si="388"/>
        <v>2.11049046432984</v>
      </c>
      <c r="NP86" s="541">
        <f t="shared" si="389"/>
        <v>75.0195042531802</v>
      </c>
      <c r="NQ86" s="541">
        <f t="shared" si="390"/>
        <v>2.11049046432984</v>
      </c>
      <c r="NR86" s="541">
        <f t="shared" si="391"/>
        <v>75.2293567494608</v>
      </c>
      <c r="NS86" s="541">
        <f t="shared" si="392"/>
        <v>1.54594820806895</v>
      </c>
      <c r="NT86" s="541">
        <f t="shared" si="393"/>
        <v>1.54594820806895</v>
      </c>
      <c r="NU86" s="541">
        <f t="shared" si="394"/>
        <v>2.1435280908784</v>
      </c>
      <c r="NV86" s="541">
        <f t="shared" si="395"/>
        <v>2.1435280908784</v>
      </c>
      <c r="NW86" s="11">
        <f t="shared" si="396"/>
        <v>1.67797323665196</v>
      </c>
      <c r="NX86" s="11">
        <f>各项系数!$M$9*NK86</f>
        <v>0.45457885462279</v>
      </c>
      <c r="NY86" s="11">
        <f t="shared" si="397"/>
        <v>1.54594820806895</v>
      </c>
    </row>
    <row r="87" s="11" customFormat="1" customHeight="1" spans="1:389">
      <c r="A87" s="81"/>
      <c r="B87" s="82"/>
      <c r="C87" s="83"/>
      <c r="D87" s="74" t="s">
        <v>165</v>
      </c>
      <c r="E87" s="70">
        <f t="shared" si="325"/>
        <v>28.68542625</v>
      </c>
      <c r="F87" s="84">
        <f>$F$23</f>
        <v>245.05464536043</v>
      </c>
      <c r="G87" s="74"/>
      <c r="H87" s="23"/>
      <c r="I87" s="78"/>
      <c r="J87" s="23"/>
      <c r="K87" s="23"/>
      <c r="L87" s="128" t="s">
        <v>467</v>
      </c>
      <c r="M87" s="119">
        <f t="shared" si="339"/>
        <v>0.9</v>
      </c>
      <c r="N87" s="119">
        <f t="shared" si="340"/>
        <v>0</v>
      </c>
      <c r="O87" s="74">
        <f t="shared" si="438"/>
        <v>0.08</v>
      </c>
      <c r="P87" s="120">
        <v>0.1</v>
      </c>
      <c r="Q87" s="165">
        <f t="shared" si="440"/>
        <v>0.1</v>
      </c>
      <c r="R87" s="182">
        <v>0.8</v>
      </c>
      <c r="S87" s="173" t="str">
        <f>各项系数!$D$43</f>
        <v>钢带</v>
      </c>
      <c r="T87" s="78">
        <v>0.2</v>
      </c>
      <c r="U87" s="78">
        <v>2</v>
      </c>
      <c r="V87" s="172"/>
      <c r="W87" s="174">
        <v>1.9</v>
      </c>
      <c r="X87" s="168">
        <f t="shared" si="441"/>
        <v>0.2</v>
      </c>
      <c r="Y87" s="221"/>
      <c r="Z87" s="222"/>
      <c r="AA87" s="223">
        <f>$AA$23</f>
        <v>1.011</v>
      </c>
      <c r="AB87" s="186">
        <f>PI()*EJ87*EJ87/4*EH87*(1-H87)*AA87*各项系数!$F$5*各项系数!$J$4*10^-7</f>
        <v>0.295249926304339</v>
      </c>
      <c r="AC87" s="224">
        <f t="shared" si="327"/>
        <v>245.05464536043</v>
      </c>
      <c r="AD87" s="186">
        <f t="shared" si="341"/>
        <v>33.3783570613855</v>
      </c>
      <c r="AE87" s="186">
        <f>POWER(4*EU87/PI()/EG87/10^-7/EH87/(1-H87)/各项系数!$F$5/各项系数!$J$4,0.5)</f>
        <v>246.398759704805</v>
      </c>
      <c r="AF87" s="225">
        <v>1</v>
      </c>
      <c r="AG87" s="23">
        <f>IF(EM87=0,0,PI()*ER87*ER87/4*EP87*(1-K87)*(1+AF87)*各项系数!$F$5*各项系数!$J$4*10^-7)</f>
        <v>0</v>
      </c>
      <c r="AH87" s="23">
        <f t="shared" si="328"/>
        <v>0</v>
      </c>
      <c r="AI87" s="85">
        <f t="shared" si="398"/>
        <v>0</v>
      </c>
      <c r="AJ87" s="85">
        <f>IF(OR(EP87="",EP87=0),0,POWER(4*EW87/PI()/EO87/10^-7/EP87/(1-K87)/各项系数!$F$5/各项系数!$J$4,0.5))</f>
        <v>0</v>
      </c>
      <c r="AK87" s="23" t="str">
        <f t="shared" si="342"/>
        <v>√</v>
      </c>
      <c r="AL87" s="23">
        <f t="shared" si="329"/>
        <v>104.166469121778</v>
      </c>
      <c r="AM87" s="127">
        <f t="shared" si="330"/>
        <v>35</v>
      </c>
      <c r="AN87" s="128" t="s">
        <v>486</v>
      </c>
      <c r="AO87" s="176">
        <f>AP87+各项系数!$M$9*$NK87</f>
        <v>102.123989335077</v>
      </c>
      <c r="AP87" s="176">
        <f>AQ87*(1+$BI87+(VLOOKUP($AM87,$A$12:$B$323,2,0))+各项系数!$J$6+各项系数!$M$5)*(1+$E$2)</f>
        <v>101.516672000398</v>
      </c>
      <c r="AQ87" s="262">
        <f>AR87+各项系数!$L$9*$NK87</f>
        <v>103.588440816732</v>
      </c>
      <c r="AR87" s="262">
        <f>AS87*(1+$BJ87+各项系数!$J$5+各项系数!$L$5)</f>
        <v>102.981123482053</v>
      </c>
      <c r="AS87" s="262">
        <f t="shared" si="399"/>
        <v>100.961885766719</v>
      </c>
      <c r="AT87" s="176">
        <f>AU87+各项系数!$M$9*$NM87</f>
        <v>103.706236931096</v>
      </c>
      <c r="AU87" s="176">
        <f>AV87*(1+$BI87+(VLOOKUP($AM87,$A$12:$B$323,2,0))+各项系数!$J$6+各项系数!$M$5)*(1+$E$2)</f>
        <v>103.098919596417</v>
      </c>
      <c r="AV87" s="262">
        <f>AW87+各项系数!$L$9*$NM87</f>
        <v>105.202979180018</v>
      </c>
      <c r="AW87" s="262">
        <f>AX87*(1+$BJ87+各项系数!$J$5+各项系数!$L$5)</f>
        <v>104.595661845339</v>
      </c>
      <c r="AX87" s="262">
        <f t="shared" si="400"/>
        <v>102.544766515038</v>
      </c>
      <c r="AY87" s="176">
        <f>AZ87+各项系数!$M$9*$NS87</f>
        <v>104.511621739589</v>
      </c>
      <c r="AZ87" s="176">
        <f>BA87*(1+$BI87+(VLOOKUP($AM87,$A$12:$B$214,2,0))+各项系数!$J$6+各项系数!$M$5)*(1+$E$2)</f>
        <v>103.893842643534</v>
      </c>
      <c r="BA87" s="262">
        <f>BB87+各项系数!$L$9*$NS87</f>
        <v>106.014125146464</v>
      </c>
      <c r="BB87" s="262">
        <f>BC87*(1+$BJ87+各项系数!$J$5+各项系数!$L$5)</f>
        <v>105.396346050409</v>
      </c>
      <c r="BC87" s="262">
        <f t="shared" si="401"/>
        <v>103.329751029813</v>
      </c>
      <c r="BD87" s="176">
        <f>BE87+各项系数!$M$9*$NS87</f>
        <v>106.10332072955</v>
      </c>
      <c r="BE87" s="176">
        <f>BF87*(1+$BI87+(VLOOKUP($AM87,$A$12:$B$214,2,0))+各项系数!$J$6+各项系数!$M$5)*(1+$E$2)</f>
        <v>105.485541633495</v>
      </c>
      <c r="BF87" s="262">
        <f>BG87+各项系数!$L$9*$NS87</f>
        <v>107.638307789281</v>
      </c>
      <c r="BG87" s="262">
        <f>BH87*(1+$BJ87+各项系数!$J$5+各项系数!$L$5)</f>
        <v>107.020528693226</v>
      </c>
      <c r="BH87" s="262">
        <f t="shared" si="402"/>
        <v>104.922086954143</v>
      </c>
      <c r="BI87" s="278"/>
      <c r="BJ87" s="279"/>
      <c r="BK87" s="95" t="s">
        <v>514</v>
      </c>
      <c r="BL87" s="176">
        <f>BM87+各项系数!$M$9*$NM87</f>
        <v>103.349466764958</v>
      </c>
      <c r="BM87" s="176">
        <f>BN87*(1+$CF87+(VLOOKUP($AM87,$A$12:$B$323,2,0))+各项系数!$J$6+各项系数!$M$5)*(1+$E$2)</f>
        <v>102.742149430279</v>
      </c>
      <c r="BN87" s="262">
        <f>BO87+各项系数!$L$9*$NM87</f>
        <v>104.838927990081</v>
      </c>
      <c r="BO87" s="262">
        <f>BP87*(1+$CG87+各项系数!$J$5+各项系数!$L$5)</f>
        <v>104.231610655402</v>
      </c>
      <c r="BP87" s="262">
        <f t="shared" si="403"/>
        <v>101.19573850039</v>
      </c>
      <c r="BQ87" s="176">
        <f>BR87+各项系数!$M$9*$NM87</f>
        <v>104.711175642944</v>
      </c>
      <c r="BR87" s="176">
        <f>BS87*(1+$CF87+(VLOOKUP($AM87,$A$12:$B$323,2,0))+各项系数!$J$6+各项系数!$M$5)*(1+$E$2)</f>
        <v>104.103858308265</v>
      </c>
      <c r="BS87" s="262">
        <f>BT87+各项系数!$L$9*$NM87</f>
        <v>106.228426845168</v>
      </c>
      <c r="BT87" s="262">
        <f>BU87*(1+$CG87+各项系数!$J$5+各项系数!$L$5)</f>
        <v>105.621109510489</v>
      </c>
      <c r="BU87" s="262">
        <f t="shared" si="404"/>
        <v>102.544766515038</v>
      </c>
      <c r="BV87" s="176">
        <f>BW87+各项系数!$M$9*$NT87</f>
        <v>105.164388896174</v>
      </c>
      <c r="BW87" s="176">
        <f>BX87*(1+$CF87+(VLOOKUP($AM87,$A$12:$B$214,2,0))+各项系数!$J$6+各项系数!$M$5)*(1+$E$2)</f>
        <v>104.546609800119</v>
      </c>
      <c r="BX87" s="262">
        <f>BY87+各项系数!$L$9*$NT$12</f>
        <v>106.680214081754</v>
      </c>
      <c r="BY87" s="262">
        <f>BZ87*(1+$CG87+各项系数!$J$5+各项系数!$L$5)</f>
        <v>106.671950678599</v>
      </c>
      <c r="BZ87" s="262">
        <f t="shared" si="343"/>
        <v>103.565000658834</v>
      </c>
      <c r="CA87" s="176">
        <f>CB87+各项系数!$M$9*$NT87</f>
        <v>106.534231802659</v>
      </c>
      <c r="CB87" s="176">
        <f>CC87*(1+$CF87+(VLOOKUP($AM87,$A$12:$B$214,2,0))+各项系数!$J$6+各项系数!$M$5)*(1+$E$2)</f>
        <v>105.916452706604</v>
      </c>
      <c r="CC87" s="262">
        <f>CD87+各项系数!$L$9*$NT$12</f>
        <v>108.078012965922</v>
      </c>
      <c r="CD87" s="262">
        <f>CE87*(1+$CG87+各项系数!$J$5+各项系数!$L$5)</f>
        <v>108.069749562767</v>
      </c>
      <c r="CE87" s="262">
        <f t="shared" si="405"/>
        <v>104.922086954143</v>
      </c>
      <c r="CF87" s="278">
        <f t="shared" si="406"/>
        <v>0</v>
      </c>
      <c r="CG87" s="278">
        <f t="shared" si="344"/>
        <v>0.01</v>
      </c>
      <c r="CH87" s="127"/>
      <c r="CI87" s="176">
        <f>CJ87+各项系数!$M$9*$NO87</f>
        <v>105.214081286552</v>
      </c>
      <c r="CJ87" s="176">
        <f>CK87*(1+$DC87+(VLOOKUP($AM87,$A$12:$B$323,2,0))+各项系数!$J$6+各项系数!$M$5)*(1+$E$2)+各项系数!$M$9*$NK87</f>
        <v>104.383246273581</v>
      </c>
      <c r="CK87" s="262">
        <f>CL87+各项系数!$L$9*$NO87</f>
        <v>105.893805039696</v>
      </c>
      <c r="CL87" s="262">
        <f>CM87*(1+$DD87+各项系数!$J$5+各项系数!$L$5)</f>
        <v>105.062970026724</v>
      </c>
      <c r="CM87" s="262">
        <f t="shared" si="345"/>
        <v>103.002911790906</v>
      </c>
      <c r="CN87" s="176">
        <f>CO87+各项系数!$M$9*$NO87</f>
        <v>106.649364456236</v>
      </c>
      <c r="CO87" s="176">
        <f>CP87*(1+$DC87+(VLOOKUP($AM87,$A$12:$B$323,2,0))+各项系数!$J$6+各项系数!$M$5)*(1+$E$2)+各项系数!$M$9*$NK87</f>
        <v>105.818529443264</v>
      </c>
      <c r="CP87" s="262">
        <f>CQ87+各项系数!$L$9*$NO87</f>
        <v>107.358379702638</v>
      </c>
      <c r="CQ87" s="262">
        <f>CR87*(1+$DD87+各项系数!$J$5+各项系数!$L$5)</f>
        <v>106.527544689666</v>
      </c>
      <c r="CR87" s="262">
        <f t="shared" si="346"/>
        <v>104.438769303594</v>
      </c>
      <c r="CS87" s="176">
        <f>CT87+各项系数!$M$9*$NU87</f>
        <v>107.154508129402</v>
      </c>
      <c r="CT87" s="176">
        <f t="shared" si="347"/>
        <v>106.312505674888</v>
      </c>
      <c r="CU87" s="262">
        <f>CV87+各项系数!$L$9*$NU87</f>
        <v>108.482148647845</v>
      </c>
      <c r="CV87" s="262">
        <f>CW87*(1+$DD87+各项系数!$J$5+各项系数!$L$5)</f>
        <v>107.640146193331</v>
      </c>
      <c r="CW87" s="262">
        <f t="shared" si="348"/>
        <v>105.529555091501</v>
      </c>
      <c r="CX87" s="176">
        <f>CY87+各项系数!$M$9*$NU87</f>
        <v>108.845683040591</v>
      </c>
      <c r="CY87" s="176">
        <f t="shared" si="349"/>
        <v>108.003680586076</v>
      </c>
      <c r="CZ87" s="262">
        <f>DA87+各项系数!$L$9*$NU87</f>
        <v>110.207837332731</v>
      </c>
      <c r="DA87" s="262">
        <f>DB87*(1+$DD87+各项系数!$J$5+各项系数!$L$5)</f>
        <v>109.365834878217</v>
      </c>
      <c r="DB87" s="262">
        <f t="shared" si="350"/>
        <v>107.22140674335</v>
      </c>
      <c r="DC87" s="278">
        <f t="shared" si="407"/>
        <v>0</v>
      </c>
      <c r="DD87" s="278">
        <f t="shared" si="351"/>
        <v>0</v>
      </c>
      <c r="DE87" s="95" t="s">
        <v>498</v>
      </c>
      <c r="DF87" s="95" t="s">
        <v>513</v>
      </c>
      <c r="DG87" s="176">
        <f>DH87+各项系数!$M$9*$NQ87</f>
        <v>106.474401296876</v>
      </c>
      <c r="DH87" s="176">
        <f>DI87*(1+$EA87+(VLOOKUP($AM87,$A$12:$B$323,2,0))+各项系数!$J$6+各项系数!$M$5)*(1+$E$2)+各项系数!$M$9*$NK87</f>
        <v>105.643566283904</v>
      </c>
      <c r="DI87" s="262">
        <f>DJ87+各项系数!$L$9*$NQ87</f>
        <v>107.179845866556</v>
      </c>
      <c r="DJ87" s="262">
        <f>DK87*(1+$EB87+各项系数!$J$5+各项系数!$L$5)</f>
        <v>106.349010853585</v>
      </c>
      <c r="DK87" s="262">
        <f t="shared" si="352"/>
        <v>103.25146684814</v>
      </c>
      <c r="DL87" s="176">
        <f>DM87+各项系数!$M$9*$NQ87</f>
        <v>107.921720824814</v>
      </c>
      <c r="DM87" s="176">
        <f>DN87*(1+$EA87+(VLOOKUP($AM87,$A$12:$B$323,2,0))+各项系数!$J$6+各项系数!$M$5)*(1+$E$2)+各项系数!$M$9*$NK87</f>
        <v>107.090885811842</v>
      </c>
      <c r="DN87" s="262">
        <f>DO87+各项系数!$L$9*$NQ87</f>
        <v>108.656702527718</v>
      </c>
      <c r="DO87" s="262">
        <f>DP87*(1+$EB87+各项系数!$J$5+各项系数!$L$5)</f>
        <v>107.825867514746</v>
      </c>
      <c r="DP87" s="262">
        <f t="shared" si="353"/>
        <v>104.685308266744</v>
      </c>
      <c r="DQ87" s="176">
        <f>DR87+各项系数!$M$9*$NV87</f>
        <v>108.440999270238</v>
      </c>
      <c r="DR87" s="176">
        <f t="shared" si="354"/>
        <v>107.598996815724</v>
      </c>
      <c r="DS87" s="262">
        <f>DT87+各项系数!$L$9*$NV87</f>
        <v>109.794894709922</v>
      </c>
      <c r="DT87" s="262">
        <f>DU87*(1+$EB87+各项系数!$J$5+各项系数!$L$5)</f>
        <v>108.952892255408</v>
      </c>
      <c r="DU87" s="262">
        <f t="shared" si="355"/>
        <v>105.779507044085</v>
      </c>
      <c r="DV87" s="176">
        <f>DW87+各项系数!$M$9*$NV87</f>
        <v>108.48630275013</v>
      </c>
      <c r="DW87" s="176">
        <f t="shared" si="356"/>
        <v>107.644300295616</v>
      </c>
      <c r="DX87" s="262">
        <f>DY87+各项系数!$L$9*$NV87</f>
        <v>109.841122750628</v>
      </c>
      <c r="DY87" s="262">
        <f>DZ87*(1+$EB87+各项系数!$J$5+各项系数!$L$5)</f>
        <v>108.999120296114</v>
      </c>
      <c r="DZ87" s="262">
        <f t="shared" si="357"/>
        <v>105.824388637004</v>
      </c>
      <c r="EA87" s="278">
        <f t="shared" si="439"/>
        <v>0</v>
      </c>
      <c r="EB87" s="278">
        <f t="shared" si="358"/>
        <v>0.01</v>
      </c>
      <c r="EC87" s="302">
        <f t="shared" si="408"/>
        <v>5</v>
      </c>
      <c r="ED87" s="304" t="str">
        <f t="shared" si="442"/>
        <v>5*35</v>
      </c>
      <c r="EE87" s="95">
        <f t="shared" si="239"/>
        <v>35</v>
      </c>
      <c r="EF87" s="95" t="str">
        <f>LOOKUP(EH87,{1,7,10,14,19,24,30,37,48,61},{1,"1+6","2+8","4+10","1+6+12","2+8+14","4+10+16","1+6+12+18","3+9+15+21","1+6+12+18+24"})</f>
        <v>1+6</v>
      </c>
      <c r="EG87" s="127">
        <f t="shared" si="359"/>
        <v>5</v>
      </c>
      <c r="EH87" s="262">
        <f>VLOOKUP(EE87,各项系数!$B$87:$C$124,2,0)</f>
        <v>7</v>
      </c>
      <c r="EI87" s="127">
        <f>IF(EH87=0,0,VLOOKUP(EH87,各项系数!$D$142:$E$195,2,0))*1</f>
        <v>3</v>
      </c>
      <c r="EJ87" s="307">
        <f t="shared" si="409"/>
        <v>245.05464536043</v>
      </c>
      <c r="EK87" s="95">
        <f t="shared" si="332"/>
        <v>0</v>
      </c>
      <c r="EL87" s="95">
        <f t="shared" si="360"/>
        <v>0</v>
      </c>
      <c r="EM87" s="95">
        <f t="shared" si="443"/>
        <v>0</v>
      </c>
      <c r="EN87" s="95">
        <f>IF(EP87=0,0,LOOKUP(EP87,{1,7,10,14,19,24,30,37,48,61},{1,"1+6","2+8","4+10","1+6+12","2+8+14","4+10+16","1+6+12+18","3+9+15+21","1+6+12+18+24"}))</f>
        <v>0</v>
      </c>
      <c r="EO87" s="95">
        <f t="shared" si="334"/>
        <v>0</v>
      </c>
      <c r="EP87" s="95">
        <f>IF(EM87=0,0,IF(EM87&lt;10,1,IF(AND(EM87&gt;=10,EM87&lt;=35),7,LOOKUP(EM87,{50,70,95,120,150,185,240,300},{10,14,19,24,30,37,48,61})*1)))</f>
        <v>0</v>
      </c>
      <c r="EQ87" s="95">
        <f>IF(EP87=0,0,VLOOKUP(EP87,各项系数!$D$142:$E$195,2,0))*1</f>
        <v>0</v>
      </c>
      <c r="ER87" s="95">
        <f t="shared" si="335"/>
        <v>0</v>
      </c>
      <c r="ES87" s="304">
        <f t="shared" si="444"/>
        <v>5</v>
      </c>
      <c r="ET87" s="95">
        <f>VLOOKUP(ES87,各项系数!$D$142:$E$195,2,0)*1</f>
        <v>2.7</v>
      </c>
      <c r="EU87" s="311">
        <f>((各项系数!$F$76/4*$EJ87^2*$EG87*$EH87*1*10^-7)*(1-$H87)*AA87)*(VLOOKUP($EY$9,各项系数!$D$4:$F$143,3,0))*各项系数!$J$4</f>
        <v>1.47624963152169</v>
      </c>
      <c r="EV87" s="312">
        <f>EU87*(VLOOKUP($EY$9,各项系数!$D$4:$F$143,2,0))</f>
        <v>96.694350864671</v>
      </c>
      <c r="EW87" s="324">
        <f>(IF($EO87=0,0,(各项系数!$F$76/4*$ER87^2*$EO87*$EP87*1*10^-7))*(1-$K87)*$AF87)*(VLOOKUP($EY$9,各项系数!$D$4:$F$143,3,0))*各项系数!$J$4</f>
        <v>0</v>
      </c>
      <c r="EX87" s="325">
        <f>EW87*(VLOOKUP($EY$9,各项系数!$D$4:$F$143,2,0))</f>
        <v>0</v>
      </c>
      <c r="EY87" s="251">
        <f>((各项系数!$F$76/4*$EJ87^2*$EG87*$EH87*1*10^-7)*(1-$H87)*AA87+IF($EO87=0,0,(各项系数!$F$76/4*$ER87^2*$EO87*$EP87*1*10^-7))*(1-$K87)*$AF87)*(VLOOKUP($EY$9,各项系数!$D$4:$F$143,3,0))*各项系数!$J$4</f>
        <v>1.47624963152169</v>
      </c>
      <c r="EZ87" s="127">
        <v>1</v>
      </c>
      <c r="FA87" s="95">
        <f t="shared" si="445"/>
        <v>1.47624963152169</v>
      </c>
      <c r="FB87" s="314">
        <f>FA87*(VLOOKUP($EY$9,各项系数!$D$4:$F$143,2,0))</f>
        <v>96.694350864671</v>
      </c>
      <c r="FC87" s="329"/>
      <c r="FD87" s="304">
        <f>各项系数!$F$76/4*($MN87^2-MK87^2)*10^-2*(VLOOKUP(L87,各项系数!$D$1:$F$143,3,0))*10^-3*10^2*$EG87*各项系数!$J$4</f>
        <v>0.1276786819154</v>
      </c>
      <c r="FE87" s="341">
        <f>FD87*VLOOKUP(L87,各项系数!$D$1:$F$143,2,0)</f>
        <v>1.30232255553708</v>
      </c>
      <c r="FF87" s="127">
        <f>各项系数!$F$76/4*($MO87^2-ML87^2)*10^-2*(VLOOKUP(L87,各项系数!$D$1:$F$143,3,0))*10^-3*10^2*$EO87*各项系数!$J$4</f>
        <v>0</v>
      </c>
      <c r="FG87" s="341">
        <f>FF87*VLOOKUP(L87,各项系数!$D$1:$F$143,2,0)</f>
        <v>0</v>
      </c>
      <c r="FH87" s="304">
        <f t="shared" si="410"/>
        <v>0.1276786819154</v>
      </c>
      <c r="FI87" s="127">
        <v>1</v>
      </c>
      <c r="FJ87" s="95">
        <f t="shared" si="446"/>
        <v>0.1276786819154</v>
      </c>
      <c r="FK87" s="341">
        <f>FJ87*VLOOKUP(L87,各项系数!$D$1:$F$143,2,0)</f>
        <v>1.30232255553708</v>
      </c>
      <c r="FL87" s="304"/>
      <c r="FM87" s="127"/>
      <c r="FN87" s="95"/>
      <c r="FO87" s="341"/>
      <c r="FP87" s="371">
        <f t="shared" si="447"/>
        <v>0.1276786819154</v>
      </c>
      <c r="FQ87" s="371">
        <f t="shared" si="448"/>
        <v>1.30232255553708</v>
      </c>
      <c r="FR87" s="365">
        <f>各项系数!$F$76/4*($MQ87^2-$MN87^2*$EG87-$MO87^2*$EO87)*10^-2</f>
        <v>1.50634051883568</v>
      </c>
      <c r="FS87" s="366">
        <f t="shared" si="411"/>
        <v>1</v>
      </c>
      <c r="FT87" s="367">
        <f t="shared" si="361"/>
        <v>1.50634051883568</v>
      </c>
      <c r="FU87" s="395">
        <f>$FT87*(VLOOKUP($FT$9,各项系数!$D$1:$F$143,3,0))*10^-3*10^2*各项系数!$J$55</f>
        <v>0.17985705794898</v>
      </c>
      <c r="FV87" s="396">
        <v>1</v>
      </c>
      <c r="FW87" s="397">
        <f t="shared" si="449"/>
        <v>0.17985705794898</v>
      </c>
      <c r="FX87" s="372">
        <f>FW87*(VLOOKUP($FT$9,各项系数!$D$1:$F$143,2,0))</f>
        <v>0.539571173846941</v>
      </c>
      <c r="FY87" s="395">
        <f>IF($BK87&lt;&gt;$FY$9,0,各项系数!$F$76/4*($MS87^2-$MQ87^2)*10^-2*(VLOOKUP($FY$9,各项系数!$D$1:$F$143,3,0))*10^-3*10^2)*各项系数!$J$4</f>
        <v>0</v>
      </c>
      <c r="FZ87" s="396">
        <v>1</v>
      </c>
      <c r="GA87" s="397">
        <f t="shared" si="450"/>
        <v>0</v>
      </c>
      <c r="GB87" s="372">
        <f>GA87*(VLOOKUP($FY$9,各项系数!$D$1:$F$143,2,0))</f>
        <v>0</v>
      </c>
      <c r="GC87" s="395">
        <f>IF($BK87&lt;&gt;$GC$9,0,各项系数!$F$76/4*($MS87^2-$MQ87^2)*10^-2*(VLOOKUP($GC$9,各项系数!$D$1:$F$143,3,0))*10^-3*10^2)*各项系数!$J$4</f>
        <v>0.00675301053886948</v>
      </c>
      <c r="GD87" s="396">
        <v>1</v>
      </c>
      <c r="GE87" s="397">
        <f t="shared" si="451"/>
        <v>0.00675301053886948</v>
      </c>
      <c r="GF87" s="372">
        <f>GE87*(VLOOKUP($GC$9,各项系数!$D$1:$F$143,2,0))</f>
        <v>0.0871138359514163</v>
      </c>
      <c r="GG87" s="395">
        <f>IF($BK87&lt;&gt;$GG$9,0,各项系数!$F$76/4*($MS87^2-$MQ87^2)*10^-2*(VLOOKUP($GG$9,各项系数!$D$1:$F$143,3,0))*10^-3*10^2)*各项系数!$J$4</f>
        <v>0</v>
      </c>
      <c r="GH87" s="396">
        <v>1</v>
      </c>
      <c r="GI87" s="397">
        <f t="shared" si="452"/>
        <v>0</v>
      </c>
      <c r="GJ87" s="372">
        <f>GI87*(VLOOKUP($GG$9,各项系数!$D$1:$F$143,2,0))</f>
        <v>0</v>
      </c>
      <c r="GK87" s="395">
        <f>IF($BK87&lt;&gt;$GK$9,0,各项系数!$F$76/4*($MS87^2-$MQ87^2)*10^-2*(VLOOKUP($GK$9,各项系数!$D$1:$F$143,3,0))*10^-3*10^2)*各项系数!$J$4</f>
        <v>0</v>
      </c>
      <c r="GL87" s="396">
        <v>1</v>
      </c>
      <c r="GM87" s="397">
        <f t="shared" si="453"/>
        <v>0</v>
      </c>
      <c r="GN87" s="372">
        <f>GM87*(VLOOKUP($GK$9,各项系数!$D$1:$F$143,2,0))</f>
        <v>0</v>
      </c>
      <c r="GO87" s="397">
        <f t="shared" si="454"/>
        <v>0.00675301053886948</v>
      </c>
      <c r="GP87" s="397">
        <f t="shared" si="455"/>
        <v>0.0871138359514163</v>
      </c>
      <c r="GQ87" s="408">
        <f>各项系数!$F$76/4*($MU87^2-$MS87^2)*10^-2*(VLOOKUP($S87,各项系数!$D$1:$F$143,3,0))*10^-3*10^2*各项系数!$J$4</f>
        <v>0.184692928131811</v>
      </c>
      <c r="GR87" s="396">
        <v>1</v>
      </c>
      <c r="GS87" s="397">
        <f t="shared" si="456"/>
        <v>0.184692928131811</v>
      </c>
      <c r="GT87" s="397">
        <f t="shared" si="457"/>
        <v>0</v>
      </c>
      <c r="GU87" s="397">
        <f>ROUND($GS87*(VLOOKUP($S87,各项系数!$D$1:$F$143,2,0))+$E$3*GS87,GT87)</f>
        <v>1</v>
      </c>
      <c r="GV87" s="406">
        <f>各项系数!$F$76/4*($MT87^2-$MS87^2)*10^-2*(VLOOKUP($GV$9,各项系数!$D$1:$F$143,3,0))*10^-3*10^2*各项系数!$J$4*PI()/4*R87</f>
        <v>0.0348725379198452</v>
      </c>
      <c r="GW87" s="396">
        <v>1</v>
      </c>
      <c r="GX87" s="397">
        <f t="shared" si="458"/>
        <v>0.0348725379198452</v>
      </c>
      <c r="GY87" s="397">
        <f>$GX87*(VLOOKUP($GV$9,各项系数!$D$1:$F$143,2,0))</f>
        <v>2.35389630958955</v>
      </c>
      <c r="GZ87" s="408">
        <f>各项系数!$F$76/4*($MV87^2-$MS87^2)*10^-2*(VLOOKUP($GZ$9,各项系数!$D$1:$F$143,3,0))*10^-3*10^2*各项系数!$J$4</f>
        <v>0.230671063825397</v>
      </c>
      <c r="HA87" s="396">
        <v>1</v>
      </c>
      <c r="HB87" s="397">
        <f t="shared" si="412"/>
        <v>0.230671063825397</v>
      </c>
      <c r="HC87" s="397">
        <f>HB87*(VLOOKUP($GZ$9,各项系数!$D$1:$F$143,2,0))</f>
        <v>3.92140808503176</v>
      </c>
      <c r="HD87" s="408">
        <f>各项系数!$F$76/4*($MW87^2-$MT87^2)*10^-2*(VLOOKUP($HD$9,各项系数!$D$1:$F$143,3,0))*10^-3*10^2*各项系数!$J$4</f>
        <v>0.232048953796891</v>
      </c>
      <c r="HE87" s="396">
        <v>1</v>
      </c>
      <c r="HF87" s="397">
        <f t="shared" si="413"/>
        <v>0.232048953796891</v>
      </c>
      <c r="HG87" s="397">
        <f>HF87*(VLOOKUP($HD$9,各项系数!$D$1:$F$143,2,0))</f>
        <v>3.94483221454715</v>
      </c>
      <c r="HH87" s="408">
        <f>各项系数!$F$76/4*($MV87^2-$MS87^2)*10^-2*(VLOOKUP($HH$9,各项系数!$D$1:$F$143,3,0))*10^-3*10^2*各项系数!$J$4</f>
        <v>0.230671063825397</v>
      </c>
      <c r="HI87" s="397">
        <v>1</v>
      </c>
      <c r="HJ87" s="397">
        <f t="shared" si="414"/>
        <v>0.230671063825397</v>
      </c>
      <c r="HK87" s="397">
        <f>HJ87*(VLOOKUP($HH$9,各项系数!$D$1:$F$143,2,0))</f>
        <v>3.92140808503176</v>
      </c>
      <c r="HL87" s="408">
        <f>各项系数!$F$76/4*($MW87^2-$MT87^2)*10^-2*(VLOOKUP($HL$9,各项系数!$D$1:$F$143,3,0))*10^-3*10^2*各项系数!$J$4</f>
        <v>0.232048953796891</v>
      </c>
      <c r="HM87" s="397">
        <v>1</v>
      </c>
      <c r="HN87" s="397">
        <f t="shared" si="362"/>
        <v>0.232048953796891</v>
      </c>
      <c r="HO87" s="397">
        <f>HN87*(VLOOKUP($HL$9,各项系数!$D$1:$F$143,2,0))</f>
        <v>3.94483221454715</v>
      </c>
      <c r="HP87" s="408">
        <f>各项系数!$F$76/4*($MV87^2-$MS87^2)*10^-2*(VLOOKUP(AN87,各项系数!$D$1:$F$143,3,0))*10^-3*10^2*各项系数!$J$4</f>
        <v>0.233852733671265</v>
      </c>
      <c r="HQ87" s="396">
        <v>1</v>
      </c>
      <c r="HR87" s="397">
        <f t="shared" si="459"/>
        <v>0.233852733671265</v>
      </c>
      <c r="HS87" s="397">
        <f>HR87*(VLOOKUP(AN87,各项系数!$D$1:$F$143,2,0))</f>
        <v>2.33852733671265</v>
      </c>
      <c r="HT87" s="408">
        <f>各项系数!$F$76/4*($MW87^2-$MT87^2)*10^-2*(VLOOKUP(AN87,各项系数!$D$1:$F$143,3,0))*10^-3*10^2*各项系数!$J$4</f>
        <v>0.235249629021676</v>
      </c>
      <c r="HU87" s="396">
        <v>1</v>
      </c>
      <c r="HV87" s="397">
        <f t="shared" si="460"/>
        <v>0.235249629021676</v>
      </c>
      <c r="HW87" s="397">
        <f>HV87*(VLOOKUP(AN87,各项系数!$D$1:$F$143,2,0))</f>
        <v>2.35249629021676</v>
      </c>
      <c r="HX87" s="408">
        <f>各项系数!$F$76/4*($MV87^2-$MS87^2)*10^-2*(VLOOKUP($HX$9,各项系数!$D$1:$F$143,3,0))*10^-3*10^2*各项系数!$J$4</f>
        <v>0.233852733671265</v>
      </c>
      <c r="HY87" s="397">
        <v>1</v>
      </c>
      <c r="HZ87" s="397">
        <f t="shared" si="461"/>
        <v>0.233852733671265</v>
      </c>
      <c r="IA87" s="397">
        <f>HZ87*(VLOOKUP($HX$9,各项系数!$D$1:$F$143,2,0))</f>
        <v>2.57238007038391</v>
      </c>
      <c r="IB87" s="408">
        <f>各项系数!$F$76/4*($MW87^2-$MT87^2)*10^-2*(VLOOKUP($IB$9,各项系数!$D$1:$F$143,3,0))*10^-3*10^2*各项系数!$J$4</f>
        <v>0.235249629021676</v>
      </c>
      <c r="IC87" s="397">
        <v>1</v>
      </c>
      <c r="ID87" s="397">
        <f t="shared" si="462"/>
        <v>0.235249629021676</v>
      </c>
      <c r="IE87" s="397">
        <f>ID87*(VLOOKUP($IB$9,各项系数!$D$1:$F$143,2,0))</f>
        <v>2.58774591923844</v>
      </c>
      <c r="IF87" s="395"/>
      <c r="IG87" s="408">
        <f t="shared" si="415"/>
        <v>0.0538158201750657</v>
      </c>
      <c r="IH87" s="396">
        <v>1</v>
      </c>
      <c r="II87" s="397">
        <f t="shared" si="463"/>
        <v>0.0538158201750657</v>
      </c>
      <c r="IJ87" s="397">
        <f>II87*(VLOOKUP($IG$8,各项系数!$D$1:$F$143,2,0))</f>
        <v>1.34539550437664</v>
      </c>
      <c r="IK87" s="408">
        <f>(各项系数!$F$76/4*($MX87^2-$MK87^2)*$EG87)*10^-2*(VLOOKUP($IG$8,各项系数!$D$1:$F$143,3,0))*10^-3*10^2*各项系数!$J$4</f>
        <v>0.0538158201750657</v>
      </c>
      <c r="IL87" s="396">
        <f>IK87*(VLOOKUP($IG$8,各项系数!$D$1:$F$143,2,0))</f>
        <v>1.34539550437664</v>
      </c>
      <c r="IM87" s="397">
        <f>(各项系数!$F$76/4*(($MM87+3*$X87)^2-MM87^2)*$EO87)*10^-2*(VLOOKUP($IG$8,各项系数!$D$1:$F$143,3,0))*10^-3*10^2*各项系数!$J$4</f>
        <v>0</v>
      </c>
      <c r="IN87" s="396">
        <f>IM87*(VLOOKUP($IG$8,各项系数!$D$1:$F$143,2,0))</f>
        <v>0</v>
      </c>
      <c r="IO87" s="408">
        <f>各项系数!$F$76/4*($MZ87^2-$MX87^2)*10^-2*(VLOOKUP(L87,各项系数!$D$1:$F$143,3,0))*10^-3*10^2*$ES87*各项系数!$J$4</f>
        <v>0.136962559445656</v>
      </c>
      <c r="IP87" s="396">
        <v>1</v>
      </c>
      <c r="IQ87" s="397">
        <f t="shared" si="464"/>
        <v>0.136962559445656</v>
      </c>
      <c r="IR87" s="372">
        <f>IQ87*(VLOOKUP(L87,各项系数!$D$1:$F$143,2,0))</f>
        <v>1.39701810634569</v>
      </c>
      <c r="IS87" s="408">
        <f>IF($L87&lt;&gt;$IS$9,0,各项系数!$F$76/4*($MZ87^2-$MX87^2)*10^-2*各项系数!$F$12*10^-3*10^2)*$ES87*各项系数!$J$4</f>
        <v>0</v>
      </c>
      <c r="IT87" s="396">
        <v>1</v>
      </c>
      <c r="IU87" s="397">
        <f t="shared" si="465"/>
        <v>0</v>
      </c>
      <c r="IV87" s="372">
        <f>IU87*各项系数!$E$12</f>
        <v>0</v>
      </c>
      <c r="IW87" s="395">
        <f t="shared" si="466"/>
        <v>0.136962559445656</v>
      </c>
      <c r="IX87" s="395">
        <f t="shared" si="467"/>
        <v>1.39701810634569</v>
      </c>
      <c r="IY87" s="447">
        <f>各项系数!$F$76/4*($NB87^2-$MZ87^2*$EG87-$NA87^2*$EO87)*10^-2</f>
        <v>1.71033280809027</v>
      </c>
      <c r="IZ87" s="366">
        <f t="shared" si="487"/>
        <v>1</v>
      </c>
      <c r="JA87" s="367">
        <f t="shared" si="363"/>
        <v>1.71033280809027</v>
      </c>
      <c r="JB87" s="371">
        <f>IF($DE87&lt;&gt;$JB$9,0,$JA87*各项系数!$F$32*10^-3*10^2)*各项系数!$J$4</f>
        <v>0</v>
      </c>
      <c r="JC87" s="127">
        <v>1</v>
      </c>
      <c r="JD87" s="95">
        <f t="shared" si="468"/>
        <v>0</v>
      </c>
      <c r="JE87" s="341">
        <f>JD87*各项系数!$E$32</f>
        <v>0</v>
      </c>
      <c r="JF87" s="364">
        <f>IF($DE87&lt;&gt;$JF$9,0,$JA87*VLOOKUP($JF$9,各项系数!$D$4:$F$540,2,0)*10^-3*10^2)*各项系数!$J$4</f>
        <v>0.850890572024909</v>
      </c>
      <c r="JG87" s="123">
        <v>1</v>
      </c>
      <c r="JH87" s="251">
        <f t="shared" si="364"/>
        <v>0.850890572024909</v>
      </c>
      <c r="JI87" s="339">
        <f>JH87*VLOOKUP($JF$9,各项系数!$D$4:$F$540,3,0)</f>
        <v>1.02106868642989</v>
      </c>
      <c r="JJ87" s="371">
        <f t="shared" si="469"/>
        <v>0.850890572024909</v>
      </c>
      <c r="JK87" s="95">
        <f t="shared" si="470"/>
        <v>1.02106868642989</v>
      </c>
      <c r="JL87" s="371">
        <f>IF($DF87&lt;&gt;$JL$9,0,各项系数!$F$76/4*($NE87^2-$NC87^2)*10^-2*各项系数!$F$39*10^-3*10^2)*各项系数!$J$4</f>
        <v>0.00297640283697617</v>
      </c>
      <c r="JM87" s="127">
        <v>1</v>
      </c>
      <c r="JN87" s="95">
        <f t="shared" si="471"/>
        <v>0.00297640283697617</v>
      </c>
      <c r="JO87" s="341">
        <f>JN87*各项系数!$E$39</f>
        <v>0.0595280567395233</v>
      </c>
      <c r="JP87" s="371">
        <f>IF($DF87&lt;&gt;$JP$9,0,各项系数!$F$76/4*($NE87^2-$NC87^2)*10^-2*各项系数!$F$36*10^-3*10^2)*各项系数!$J$4</f>
        <v>0</v>
      </c>
      <c r="JQ87" s="127">
        <v>1</v>
      </c>
      <c r="JR87" s="95">
        <f t="shared" si="472"/>
        <v>0</v>
      </c>
      <c r="JS87" s="341">
        <f>JR87*各项系数!$E$36</f>
        <v>0</v>
      </c>
      <c r="JT87" s="371">
        <f>IF($DF87&lt;&gt;$JT$9,0,各项系数!$F$76/4*($NE87^2-$NC87^2)*10^-2*各项系数!$F$40*10^-3*10^2)*各项系数!$J$4</f>
        <v>0</v>
      </c>
      <c r="JU87" s="127">
        <v>1</v>
      </c>
      <c r="JV87" s="95">
        <f t="shared" si="473"/>
        <v>0</v>
      </c>
      <c r="JW87" s="341">
        <f>JV87*各项系数!$E$40</f>
        <v>0</v>
      </c>
      <c r="JX87" s="371">
        <f>IF($DF87&lt;&gt;$JX$9,0,各项系数!$F$76/4*($NE87^2-$NC87^2)*10^-2*各项系数!$F$38*10^-3*10^2)*各项系数!$J$4</f>
        <v>0</v>
      </c>
      <c r="JY87" s="127">
        <v>1</v>
      </c>
      <c r="JZ87" s="95">
        <f t="shared" si="474"/>
        <v>0</v>
      </c>
      <c r="KA87" s="341">
        <f>JZ87*各项系数!$E$38</f>
        <v>0</v>
      </c>
      <c r="KB87" s="371">
        <f>IF($DF87&lt;&gt;$KB$9,0,各项系数!$F$76/4*($NE87^2-$NC87^2)*10^-2*各项系数!$F$41*10^-3*10^2)*各项系数!$J$4</f>
        <v>0</v>
      </c>
      <c r="KC87" s="127">
        <v>1</v>
      </c>
      <c r="KD87" s="95">
        <f t="shared" si="475"/>
        <v>0</v>
      </c>
      <c r="KE87" s="341">
        <f>KD87*各项系数!$E$41</f>
        <v>0</v>
      </c>
      <c r="KF87" s="95">
        <f t="shared" si="476"/>
        <v>0.00297640283697617</v>
      </c>
      <c r="KG87" s="95">
        <f t="shared" si="477"/>
        <v>0.0595280567395233</v>
      </c>
      <c r="KH87" s="304">
        <f>各项系数!$F$76/4*($NG87^2-$NE87^2)*10^-2*各项系数!$F$44*10^-3*10^2*各项系数!$J$4*0.75*$U87</f>
        <v>0.295563372369023</v>
      </c>
      <c r="KI87" s="127">
        <v>1</v>
      </c>
      <c r="KJ87" s="95">
        <f t="shared" si="478"/>
        <v>0.295563372369023</v>
      </c>
      <c r="KK87" s="95">
        <f>ROUND(KJ87*各项系数!$E$43,GT87)</f>
        <v>2</v>
      </c>
      <c r="KL87" s="302">
        <f>各项系数!$F$76/4*($NF87^2-$NE87^2)*10^-2*各项系数!$F$46*10^-3*10^2*各项系数!$J$4*PI()/4*R87</f>
        <v>0.0372248051420807</v>
      </c>
      <c r="KM87" s="127">
        <v>1</v>
      </c>
      <c r="KN87" s="95">
        <f t="shared" si="479"/>
        <v>0.0372248051420807</v>
      </c>
      <c r="KO87" s="95">
        <f>KN87*各项系数!$E$46</f>
        <v>2.51267434709045</v>
      </c>
      <c r="KP87" s="304">
        <f>各项系数!$F$76/4*($NH87^2-$NE87^2)*10^-2*(VLOOKUP($KP$9,各项系数!$D$1:$F$143,3,0))*10^-3*10^2*各项系数!$J$4</f>
        <v>0.24517335577537</v>
      </c>
      <c r="KQ87" s="127">
        <v>1</v>
      </c>
      <c r="KR87" s="95">
        <f t="shared" si="416"/>
        <v>0.24517335577537</v>
      </c>
      <c r="KS87" s="95">
        <f>KR87*(VLOOKUP($KP$9,各项系数!$D$1:$F$143,2,0))</f>
        <v>4.1679470481813</v>
      </c>
      <c r="KT87" s="304">
        <f>各项系数!$F$76/4*($NI87^2-$NF87^2)*10^-2*(VLOOKUP($KT$9,各项系数!$D$1:$F$143,3,0))*10^-3*10^2*各项系数!$J$4</f>
        <v>0.246551245746864</v>
      </c>
      <c r="KU87" s="127">
        <v>1</v>
      </c>
      <c r="KV87" s="95">
        <f t="shared" si="417"/>
        <v>0.246551245746864</v>
      </c>
      <c r="KW87" s="95">
        <f>KV87*(VLOOKUP($KT$9,各项系数!$D$1:$F$143,2,0))</f>
        <v>4.19137117769669</v>
      </c>
      <c r="KX87" s="95">
        <f>各项系数!$F$76/4*($NH87^2-$NE87^2)*10^-2*(VLOOKUP($KX$9,各项系数!$D$1:$F$143,3,0))*10^-3*10^2*各项系数!$J$4</f>
        <v>0.24517335577537</v>
      </c>
      <c r="KY87" s="481">
        <v>1</v>
      </c>
      <c r="KZ87" s="95">
        <f t="shared" si="418"/>
        <v>0.24517335577537</v>
      </c>
      <c r="LA87" s="95">
        <f>KZ87*(VLOOKUP($KX$9,各项系数!$D$1:$F$143,2,0))</f>
        <v>4.1679470481813</v>
      </c>
      <c r="LB87" s="95">
        <f>各项系数!$F$76/4*($NI87^2-$NF87^2)*10^-2*(VLOOKUP($LB$9,各项系数!$D$1:$F$143,3,0))*10^-3*10^2*各项系数!$J$4</f>
        <v>0.246551245746864</v>
      </c>
      <c r="LC87" s="481">
        <v>1</v>
      </c>
      <c r="LD87" s="95">
        <f t="shared" si="419"/>
        <v>0.246551245746864</v>
      </c>
      <c r="LE87" s="95">
        <f>LD87*(VLOOKUP($LB$9,各项系数!$D$1:$F$143,2,0))</f>
        <v>4.19137117769669</v>
      </c>
      <c r="LF87" s="304">
        <f>各项系数!$F$76/4*($NH87^2-$NE87^2)*10^-2*(VLOOKUP(AN87,各项系数!$D$1:$F$143,3,0))*10^-3*10^2*各项系数!$J$4</f>
        <v>0.248555057234341</v>
      </c>
      <c r="LG87" s="127">
        <v>1</v>
      </c>
      <c r="LH87" s="95">
        <f t="shared" si="480"/>
        <v>0.248555057234341</v>
      </c>
      <c r="LI87" s="95">
        <f>LH87*(VLOOKUP(AN87,各项系数!$D$1:$F$143,2,0))</f>
        <v>2.48555057234341</v>
      </c>
      <c r="LJ87" s="304">
        <f>各项系数!$F$76/4*($NI87^2-$NF87^2)*10^-2*(VLOOKUP(AN87,各项系数!$D$1:$F$143,3,0))*10^-3*10^2*各项系数!$J$4</f>
        <v>0.249951952584752</v>
      </c>
      <c r="LK87" s="127">
        <v>1</v>
      </c>
      <c r="LL87" s="95">
        <f t="shared" si="481"/>
        <v>0.249951952584752</v>
      </c>
      <c r="LM87" s="95">
        <f>LL87*(VLOOKUP(AN87,各项系数!$D$1:$F$143,2,0))</f>
        <v>2.49951952584752</v>
      </c>
      <c r="LN87" s="95">
        <f>各项系数!$F$76/4*($NH87^2-$NE87^2)*10^-2*(VLOOKUP($LN$9,各项系数!$D$1:$F$143,3,0))*10^-3*10^2*各项系数!$J$4</f>
        <v>0.248555057234341</v>
      </c>
      <c r="LO87" s="481">
        <v>1</v>
      </c>
      <c r="LP87" s="95">
        <f t="shared" si="482"/>
        <v>0.248555057234341</v>
      </c>
      <c r="LQ87" s="95">
        <f>LP87*(VLOOKUP($LN$9,各项系数!$D$1:$F$143,2,0))</f>
        <v>2.73410562957775</v>
      </c>
      <c r="LR87" s="95">
        <f>各项系数!$F$76/4*($NI87^2-$NF87^2)*10^-2*(VLOOKUP($LR$9,各项系数!$D$1:$F$143,3,0))*10^-3*10^2*各项系数!$J$4</f>
        <v>0.249951952584752</v>
      </c>
      <c r="LS87" s="481">
        <v>1</v>
      </c>
      <c r="LT87" s="95">
        <f t="shared" si="483"/>
        <v>0.249951952584752</v>
      </c>
      <c r="LU87" s="95">
        <f>LT87*(VLOOKUP($LR$9,各项系数!$D$1:$F$143,2,0))</f>
        <v>2.74947147843227</v>
      </c>
      <c r="LV87" s="501">
        <f t="shared" si="420"/>
        <v>212.24050634</v>
      </c>
      <c r="LW87" s="501">
        <f t="shared" si="421"/>
        <v>165.07594937</v>
      </c>
      <c r="LX87" s="501">
        <f t="shared" si="422"/>
        <v>14.4976283102645</v>
      </c>
      <c r="LY87" s="519">
        <f t="shared" si="423"/>
        <v>47.16455697</v>
      </c>
      <c r="LZ87" s="516">
        <f t="shared" si="365"/>
        <v>1</v>
      </c>
      <c r="MA87" s="517">
        <f t="shared" si="366"/>
        <v>212.24050634</v>
      </c>
      <c r="MB87" s="501">
        <f t="shared" si="424"/>
        <v>7.35163935</v>
      </c>
      <c r="MC87" s="501">
        <f t="shared" si="425"/>
        <v>0</v>
      </c>
      <c r="MD87" s="501">
        <f t="shared" si="426"/>
        <v>0</v>
      </c>
      <c r="ME87" s="501">
        <f t="shared" si="427"/>
        <v>0</v>
      </c>
      <c r="MF87" s="501">
        <f t="shared" si="428"/>
        <v>0</v>
      </c>
      <c r="MG87" s="527">
        <f t="shared" si="429"/>
        <v>1</v>
      </c>
      <c r="MH87" s="517">
        <f t="shared" si="367"/>
        <v>0</v>
      </c>
      <c r="MI87" s="501">
        <f t="shared" si="430"/>
        <v>0</v>
      </c>
      <c r="MJ87" s="95">
        <f t="shared" si="368"/>
        <v>7.35163935</v>
      </c>
      <c r="MK87" s="95">
        <f t="shared" si="431"/>
        <v>7.35163935</v>
      </c>
      <c r="ML87" s="95">
        <f t="shared" si="484"/>
        <v>0</v>
      </c>
      <c r="MM87" s="95">
        <f t="shared" si="369"/>
        <v>0</v>
      </c>
      <c r="MN87" s="95">
        <f t="shared" si="370"/>
        <v>9.15163935</v>
      </c>
      <c r="MO87" s="251">
        <f t="shared" si="432"/>
        <v>0</v>
      </c>
      <c r="MP87" s="95">
        <f t="shared" si="433"/>
        <v>24.70942625</v>
      </c>
      <c r="MQ87" s="95">
        <f t="shared" si="485"/>
        <v>24.70942625</v>
      </c>
      <c r="MR87" s="314">
        <f t="shared" si="434"/>
        <v>24.70942625</v>
      </c>
      <c r="MS87" s="530">
        <f t="shared" si="371"/>
        <v>24.88542625</v>
      </c>
      <c r="MT87" s="532">
        <f t="shared" si="372"/>
        <v>25.04542625</v>
      </c>
      <c r="MU87" s="532">
        <f t="shared" si="373"/>
        <v>25.48542625</v>
      </c>
      <c r="MV87" s="532">
        <f t="shared" si="374"/>
        <v>28.68542625</v>
      </c>
      <c r="MW87" s="532">
        <f t="shared" si="375"/>
        <v>28.84542625</v>
      </c>
      <c r="MX87" s="314">
        <f t="shared" si="376"/>
        <v>7.95163935</v>
      </c>
      <c r="MY87" s="314">
        <f t="shared" si="377"/>
        <v>0</v>
      </c>
      <c r="MZ87" s="95">
        <f t="shared" si="378"/>
        <v>9.75163935</v>
      </c>
      <c r="NA87" s="95">
        <f t="shared" si="379"/>
        <v>0</v>
      </c>
      <c r="NB87" s="95">
        <f t="shared" si="435"/>
        <v>26.32942625</v>
      </c>
      <c r="NC87" s="314">
        <f t="shared" si="486"/>
        <v>26.32942625</v>
      </c>
      <c r="ND87" s="314">
        <f t="shared" si="436"/>
        <v>26.32942625</v>
      </c>
      <c r="NE87" s="537">
        <f t="shared" si="437"/>
        <v>26.56942625</v>
      </c>
      <c r="NF87" s="532">
        <f t="shared" si="380"/>
        <v>26.72942625</v>
      </c>
      <c r="NG87" s="180">
        <f t="shared" si="381"/>
        <v>27.16942625</v>
      </c>
      <c r="NH87" s="314">
        <f t="shared" si="382"/>
        <v>30.36942625</v>
      </c>
      <c r="NI87" s="532">
        <f t="shared" si="383"/>
        <v>30.52942625</v>
      </c>
      <c r="NK87" s="541">
        <f t="shared" si="384"/>
        <v>2.02439111559621</v>
      </c>
      <c r="NL87" s="541">
        <f t="shared" si="385"/>
        <v>100.961885766719</v>
      </c>
      <c r="NM87" s="541">
        <f t="shared" si="386"/>
        <v>2.02439111559621</v>
      </c>
      <c r="NN87" s="541">
        <f t="shared" si="387"/>
        <v>101.19573850039</v>
      </c>
      <c r="NO87" s="541">
        <f t="shared" si="388"/>
        <v>2.76945004323864</v>
      </c>
      <c r="NP87" s="541">
        <f t="shared" si="389"/>
        <v>103.002911790906</v>
      </c>
      <c r="NQ87" s="541">
        <f t="shared" si="390"/>
        <v>2.76945004323864</v>
      </c>
      <c r="NR87" s="541">
        <f t="shared" si="391"/>
        <v>103.25146684814</v>
      </c>
      <c r="NS87" s="541">
        <f t="shared" si="392"/>
        <v>2.05926365351605</v>
      </c>
      <c r="NT87" s="541">
        <f t="shared" si="393"/>
        <v>2.05926365351605</v>
      </c>
      <c r="NU87" s="541">
        <f t="shared" si="394"/>
        <v>2.80667484838072</v>
      </c>
      <c r="NV87" s="541">
        <f t="shared" si="395"/>
        <v>2.80667484838072</v>
      </c>
      <c r="NW87" s="11">
        <f t="shared" si="396"/>
        <v>2.20908404372802</v>
      </c>
      <c r="NX87" s="11">
        <f>各项系数!$M$9*NK87</f>
        <v>0.607317334678863</v>
      </c>
      <c r="NY87" s="11">
        <f t="shared" si="397"/>
        <v>2.05926365351605</v>
      </c>
    </row>
    <row r="88" s="11" customFormat="1" customHeight="1" spans="1:389">
      <c r="A88" s="81"/>
      <c r="B88" s="82"/>
      <c r="C88" s="83"/>
      <c r="D88" s="74" t="s">
        <v>180</v>
      </c>
      <c r="E88" s="70">
        <f t="shared" si="325"/>
        <v>35.34193314</v>
      </c>
      <c r="F88" s="84">
        <f>$F$24</f>
        <v>238.573455311777</v>
      </c>
      <c r="G88" s="74"/>
      <c r="H88" s="23"/>
      <c r="I88" s="78"/>
      <c r="J88" s="23"/>
      <c r="K88" s="23"/>
      <c r="L88" s="128" t="s">
        <v>467</v>
      </c>
      <c r="M88" s="119">
        <f t="shared" si="339"/>
        <v>1</v>
      </c>
      <c r="N88" s="119">
        <f t="shared" si="340"/>
        <v>0</v>
      </c>
      <c r="O88" s="74">
        <f t="shared" ref="O88:O97" si="488">$O$36</f>
        <v>0.08</v>
      </c>
      <c r="P88" s="120">
        <v>0.1</v>
      </c>
      <c r="Q88" s="165">
        <f t="shared" si="440"/>
        <v>0.1</v>
      </c>
      <c r="R88" s="182">
        <v>0.8</v>
      </c>
      <c r="S88" s="173" t="str">
        <f>各项系数!$D$43</f>
        <v>钢带</v>
      </c>
      <c r="T88" s="78">
        <v>0.5</v>
      </c>
      <c r="U88" s="78">
        <v>2</v>
      </c>
      <c r="V88" s="172"/>
      <c r="W88" s="174">
        <v>2</v>
      </c>
      <c r="X88" s="168">
        <f t="shared" si="441"/>
        <v>0.2</v>
      </c>
      <c r="Y88" s="221"/>
      <c r="Z88" s="222"/>
      <c r="AA88" s="223">
        <f>$AA$24</f>
        <v>1.011</v>
      </c>
      <c r="AB88" s="186">
        <f>PI()*EJ88*EJ88/4*EH88*(1-H88)*AA88*各项系数!$F$5*各项系数!$J$4*10^-7</f>
        <v>0.399769926055488</v>
      </c>
      <c r="AC88" s="224">
        <f t="shared" si="327"/>
        <v>238.573455311777</v>
      </c>
      <c r="AD88" s="186">
        <f t="shared" si="341"/>
        <v>45.1944679590854</v>
      </c>
      <c r="AE88" s="186">
        <f>POWER(4*EU88/PI()/EG88/10^-7/EH88/(1-H88)/各项系数!$F$5/各项系数!$J$4,0.5)</f>
        <v>239.882020603408</v>
      </c>
      <c r="AF88" s="225">
        <v>1</v>
      </c>
      <c r="AG88" s="23">
        <f>IF(EM88=0,0,PI()*ER88*ER88/4*EP88*(1-K88)*(1+AF88)*各项系数!$F$5*各项系数!$J$4*10^-7)</f>
        <v>0</v>
      </c>
      <c r="AH88" s="23">
        <f t="shared" si="328"/>
        <v>0</v>
      </c>
      <c r="AI88" s="85">
        <f t="shared" si="398"/>
        <v>0</v>
      </c>
      <c r="AJ88" s="85">
        <f>IF(OR(EP88="",EP88=0),0,POWER(4*EW88/PI()/EO88/10^-7/EP88/(1-K88)/各项系数!$F$5/各项系数!$J$4,0.5))</f>
        <v>0</v>
      </c>
      <c r="AK88" s="23" t="str">
        <f t="shared" si="342"/>
        <v>√</v>
      </c>
      <c r="AL88" s="23">
        <f t="shared" si="329"/>
        <v>141.171175377166</v>
      </c>
      <c r="AM88" s="127">
        <f t="shared" si="330"/>
        <v>50</v>
      </c>
      <c r="AN88" s="128" t="s">
        <v>486</v>
      </c>
      <c r="AO88" s="176">
        <f>AP88+各项系数!$M$9*$NK88</f>
        <v>138.403113114868</v>
      </c>
      <c r="AP88" s="176">
        <f>AQ88*(1+$BI88+(VLOOKUP($AM88,$A$12:$B$323,2,0))+各项系数!$J$6+各项系数!$M$5)*(1+$E$2)</f>
        <v>137.568763893694</v>
      </c>
      <c r="AQ88" s="262">
        <f>AR88+各项系数!$L$9*$NK88</f>
        <v>140.376289687443</v>
      </c>
      <c r="AR88" s="262">
        <f>AS88*(1+$BJ88+各项系数!$J$5+各项系数!$L$5)</f>
        <v>139.541940466269</v>
      </c>
      <c r="AS88" s="262">
        <f t="shared" si="399"/>
        <v>136.805823986538</v>
      </c>
      <c r="AT88" s="176">
        <f>AU88+各项系数!$M$9*$NM88</f>
        <v>140.47632196261</v>
      </c>
      <c r="AU88" s="176">
        <f>AV88*(1+$BI88+(VLOOKUP($AM88,$A$12:$B$323,2,0))+各项系数!$J$6+各项系数!$M$5)*(1+$E$2)</f>
        <v>139.641972741435</v>
      </c>
      <c r="AV88" s="262">
        <f>AW88+各项系数!$L$9*$NM88</f>
        <v>142.491808919832</v>
      </c>
      <c r="AW88" s="262">
        <f>AX88*(1+$BJ88+各项系数!$J$5+各项系数!$L$5)</f>
        <v>141.657459698658</v>
      </c>
      <c r="AX88" s="262">
        <f t="shared" si="400"/>
        <v>138.879862449665</v>
      </c>
      <c r="AY88" s="176">
        <f>AZ88+各项系数!$M$9*$NS88</f>
        <v>141.405353809652</v>
      </c>
      <c r="AZ88" s="176">
        <f>BA88*(1+$BI88+(VLOOKUP($AM88,$A$12:$B$214,2,0))+各项系数!$J$6+各项系数!$M$5)*(1+$E$2)</f>
        <v>140.557837228018</v>
      </c>
      <c r="BA88" s="262">
        <f>BB88+各项系数!$L$9*$NS88</f>
        <v>143.426364518385</v>
      </c>
      <c r="BB88" s="262">
        <f>BC88*(1+$BJ88+各项系数!$J$5+各项系数!$L$5)</f>
        <v>142.578847936751</v>
      </c>
      <c r="BC88" s="262">
        <f t="shared" si="401"/>
        <v>139.783184251717</v>
      </c>
      <c r="BD88" s="176">
        <f>BE88+各项系数!$M$9*$NS88</f>
        <v>143.488511493121</v>
      </c>
      <c r="BE88" s="176">
        <f>BF88*(1+$BI88+(VLOOKUP($AM88,$A$12:$B$214,2,0))+各项系数!$J$6+各项系数!$M$5)*(1+$E$2)</f>
        <v>142.640994911486</v>
      </c>
      <c r="BF88" s="262">
        <f>BG88+各项系数!$L$9*$NS88</f>
        <v>145.552035623965</v>
      </c>
      <c r="BG88" s="262">
        <f>BH88*(1+$BJ88+各项系数!$J$5+各项系数!$L$5)</f>
        <v>144.704519042331</v>
      </c>
      <c r="BH88" s="262">
        <f t="shared" si="402"/>
        <v>141.867175531697</v>
      </c>
      <c r="BI88" s="278"/>
      <c r="BJ88" s="279"/>
      <c r="BK88" s="95" t="s">
        <v>514</v>
      </c>
      <c r="BL88" s="176">
        <f>BM88+各项系数!$M$9*$NM88</f>
        <v>140.053106230568</v>
      </c>
      <c r="BM88" s="176">
        <f>BN88*(1+$CF88+(VLOOKUP($AM88,$A$12:$B$323,2,0))+各项系数!$J$6+各项系数!$M$5)*(1+$E$2)</f>
        <v>139.218757009393</v>
      </c>
      <c r="BN88" s="262">
        <f>BO88+各项系数!$L$9*$NM88</f>
        <v>142.059956132034</v>
      </c>
      <c r="BO88" s="262">
        <f>BP88*(1+$CG88+各项系数!$J$5+各项系数!$L$5)</f>
        <v>141.22560691086</v>
      </c>
      <c r="BP88" s="262">
        <f t="shared" si="403"/>
        <v>137.112239719281</v>
      </c>
      <c r="BQ88" s="176">
        <f>BR88+各项系数!$M$9*$NM88</f>
        <v>141.837344614616</v>
      </c>
      <c r="BR88" s="176">
        <f>BS88*(1+$CF88+(VLOOKUP($AM88,$A$12:$B$323,2,0))+各项系数!$J$6+各项系数!$M$5)*(1+$E$2)</f>
        <v>141.002995393442</v>
      </c>
      <c r="BS88" s="262">
        <f>BT88+各项系数!$L$9*$NM88</f>
        <v>143.880607544329</v>
      </c>
      <c r="BT88" s="262">
        <f>BU88*(1+$CG88+各项系数!$J$5+各项系数!$L$5)</f>
        <v>143.046258323155</v>
      </c>
      <c r="BU88" s="262">
        <f t="shared" si="404"/>
        <v>138.879862449665</v>
      </c>
      <c r="BV88" s="176">
        <f>BW88+各项系数!$M$9*$NT88</f>
        <v>142.26354117911</v>
      </c>
      <c r="BW88" s="176">
        <f>BX88*(1+$CF88+(VLOOKUP($AM88,$A$12:$B$214,2,0))+各项系数!$J$6+各项系数!$M$5)*(1+$E$2)</f>
        <v>141.416024597476</v>
      </c>
      <c r="BX88" s="262">
        <f>BY88+各项系数!$L$9*$NT$12</f>
        <v>144.302065915792</v>
      </c>
      <c r="BY88" s="262">
        <f>BZ88*(1+$CG88+各项系数!$J$5+各项系数!$L$5)</f>
        <v>144.293802512637</v>
      </c>
      <c r="BZ88" s="262">
        <f t="shared" si="343"/>
        <v>140.091070400618</v>
      </c>
      <c r="CA88" s="176">
        <f>CB88+各项系数!$M$9*$NT88</f>
        <v>144.056341698421</v>
      </c>
      <c r="CB88" s="176">
        <f>CC88*(1+$CF88+(VLOOKUP($AM88,$A$12:$B$214,2,0))+各项系数!$J$6+各项系数!$M$5)*(1+$E$2)</f>
        <v>143.208825116787</v>
      </c>
      <c r="CC88" s="262">
        <f>CD88+各项系数!$L$9*$NT$12</f>
        <v>146.131454200803</v>
      </c>
      <c r="CD88" s="262">
        <f>CE88*(1+$CG88+各项系数!$J$5+各项系数!$L$5)</f>
        <v>146.123190797648</v>
      </c>
      <c r="CE88" s="262">
        <f t="shared" si="405"/>
        <v>141.867175531697</v>
      </c>
      <c r="CF88" s="278">
        <f t="shared" si="406"/>
        <v>0</v>
      </c>
      <c r="CG88" s="278">
        <f t="shared" si="344"/>
        <v>0.01</v>
      </c>
      <c r="CH88" s="127"/>
      <c r="CI88" s="176">
        <f>CJ88+各项系数!$M$9*$NO88</f>
        <v>142.583509406648</v>
      </c>
      <c r="CJ88" s="176">
        <f>CK88*(1+$DC88+(VLOOKUP($AM88,$A$12:$B$323,2,0))+各项系数!$J$6+各项系数!$M$5)*(1+$E$2)+各项系数!$M$9*$NK88</f>
        <v>141.412125237148</v>
      </c>
      <c r="CK88" s="262">
        <f>CL88+各项系数!$L$9*$NO88</f>
        <v>143.446710220381</v>
      </c>
      <c r="CL88" s="262">
        <f>CM88*(1+$DD88+各项系数!$J$5+各项系数!$L$5)</f>
        <v>142.275326050881</v>
      </c>
      <c r="CM88" s="262">
        <f t="shared" si="345"/>
        <v>139.485613775373</v>
      </c>
      <c r="CN88" s="176">
        <f>CO88+各项系数!$M$9*$NO88</f>
        <v>144.502018858246</v>
      </c>
      <c r="CO88" s="176">
        <f>CP88*(1+$DC88+(VLOOKUP($AM88,$A$12:$B$323,2,0))+各项系数!$J$6+各项系数!$M$5)*(1+$E$2)+各项系数!$M$9*$NK88</f>
        <v>143.330634688745</v>
      </c>
      <c r="CP88" s="262">
        <f>CQ88+各项系数!$L$9*$NO88</f>
        <v>145.404372926093</v>
      </c>
      <c r="CQ88" s="262">
        <f>CR88*(1+$DD88+各项系数!$J$5+各项系数!$L$5)</f>
        <v>144.232988756592</v>
      </c>
      <c r="CR88" s="262">
        <f t="shared" si="346"/>
        <v>141.404890937836</v>
      </c>
      <c r="CS88" s="176">
        <f>CT88+各项系数!$M$9*$NU88</f>
        <v>144.911512653274</v>
      </c>
      <c r="CT88" s="176">
        <f t="shared" si="347"/>
        <v>143.726255443146</v>
      </c>
      <c r="CU88" s="262">
        <f>CV88+各项系数!$L$9*$NU88</f>
        <v>146.659444329741</v>
      </c>
      <c r="CV88" s="262">
        <f>CW88*(1+$DD88+各项系数!$J$5+各项系数!$L$5)</f>
        <v>145.474187119613</v>
      </c>
      <c r="CW88" s="262">
        <f t="shared" si="348"/>
        <v>142.621752078052</v>
      </c>
      <c r="CX88" s="176">
        <f>CY88+各项系数!$M$9*$NU88</f>
        <v>147.099381832771</v>
      </c>
      <c r="CY88" s="176">
        <f t="shared" si="349"/>
        <v>145.914124622644</v>
      </c>
      <c r="CZ88" s="262">
        <f>DA88+各项系数!$L$9*$NU88</f>
        <v>148.891963900657</v>
      </c>
      <c r="DA88" s="262">
        <f>DB88*(1+$DD88+各项系数!$J$5+各项系数!$L$5)</f>
        <v>147.706706690529</v>
      </c>
      <c r="DB88" s="262">
        <f t="shared" si="350"/>
        <v>144.810496755421</v>
      </c>
      <c r="DC88" s="278">
        <f t="shared" si="407"/>
        <v>0</v>
      </c>
      <c r="DD88" s="278">
        <f t="shared" si="351"/>
        <v>0</v>
      </c>
      <c r="DE88" s="95" t="s">
        <v>498</v>
      </c>
      <c r="DF88" s="95" t="s">
        <v>513</v>
      </c>
      <c r="DG88" s="176">
        <f>DH88+各项系数!$M$9*$NQ88</f>
        <v>144.275386067967</v>
      </c>
      <c r="DH88" s="176">
        <f>DI88*(1+$EA88+(VLOOKUP($AM88,$A$12:$B$323,2,0))+各项系数!$J$6+各项系数!$M$5)*(1+$E$2)+各项系数!$M$9*$NK88</f>
        <v>143.104001898466</v>
      </c>
      <c r="DI88" s="262">
        <f>DJ88+各项系数!$L$9*$NQ88</f>
        <v>145.173114976829</v>
      </c>
      <c r="DJ88" s="262">
        <f>DK88*(1+$EB88+各项系数!$J$5+各项系数!$L$5)</f>
        <v>144.001730807328</v>
      </c>
      <c r="DK88" s="262">
        <f t="shared" si="352"/>
        <v>139.807505638183</v>
      </c>
      <c r="DL88" s="176">
        <f>DM88+各项系数!$M$9*$NQ88</f>
        <v>146.14974092565</v>
      </c>
      <c r="DM88" s="176">
        <f>DN88*(1+$EA88+(VLOOKUP($AM88,$A$12:$B$323,2,0))+各项系数!$J$6+各项系数!$M$5)*(1+$E$2)+各项系数!$M$9*$NK88</f>
        <v>144.97835675615</v>
      </c>
      <c r="DN88" s="262">
        <f>DO88+各项系数!$L$9*$NQ88</f>
        <v>147.085721974465</v>
      </c>
      <c r="DO88" s="262">
        <f>DP88*(1+$EB88+各项系数!$J$5+各项系数!$L$5)</f>
        <v>145.914337804964</v>
      </c>
      <c r="DP88" s="262">
        <f t="shared" si="353"/>
        <v>141.664405635888</v>
      </c>
      <c r="DQ88" s="176">
        <f>DR88+各项系数!$M$9*$NV88</f>
        <v>146.635607708029</v>
      </c>
      <c r="DR88" s="176">
        <f t="shared" si="354"/>
        <v>145.450350497901</v>
      </c>
      <c r="DS88" s="262">
        <f>DT88+各项系数!$L$9*$NV88</f>
        <v>148.418724997859</v>
      </c>
      <c r="DT88" s="262">
        <f>DU88*(1+$EB88+各项系数!$J$5+各项系数!$L$5)</f>
        <v>147.233467787731</v>
      </c>
      <c r="DU88" s="262">
        <f t="shared" si="355"/>
        <v>142.94511435702</v>
      </c>
      <c r="DV88" s="176">
        <f>DW88+各项系数!$M$9*$NV88</f>
        <v>146.546107246942</v>
      </c>
      <c r="DW88" s="176">
        <f t="shared" si="356"/>
        <v>145.360850036814</v>
      </c>
      <c r="DX88" s="262">
        <f>DY88+各项系数!$L$9*$NV88</f>
        <v>148.327397996749</v>
      </c>
      <c r="DY88" s="262">
        <f>DZ88*(1+$EB88+各项系数!$J$5+各项系数!$L$5)</f>
        <v>147.142140786621</v>
      </c>
      <c r="DZ88" s="262">
        <f t="shared" si="357"/>
        <v>142.856447365652</v>
      </c>
      <c r="EA88" s="278">
        <f t="shared" si="439"/>
        <v>0</v>
      </c>
      <c r="EB88" s="278">
        <f t="shared" si="358"/>
        <v>0.01</v>
      </c>
      <c r="EC88" s="302">
        <f t="shared" si="408"/>
        <v>5</v>
      </c>
      <c r="ED88" s="304" t="str">
        <f t="shared" si="442"/>
        <v>5*50</v>
      </c>
      <c r="EE88" s="95">
        <f t="shared" si="239"/>
        <v>50</v>
      </c>
      <c r="EF88" s="95" t="str">
        <f>LOOKUP(EH88,{1,7,10,14,19,24,30,37,48,61},{1,"1+6","2+8","4+10","1+6+12","2+8+14","4+10+16","1+6+12+18","3+9+15+21","1+6+12+18+24"})</f>
        <v>2+8</v>
      </c>
      <c r="EG88" s="127">
        <f t="shared" si="359"/>
        <v>5</v>
      </c>
      <c r="EH88" s="262">
        <f>VLOOKUP(EE88,各项系数!$B$87:$C$124,2,0)</f>
        <v>10</v>
      </c>
      <c r="EI88" s="127">
        <f>IF(EH88=0,0,VLOOKUP(EH88,各项系数!$D$142:$E$195,2,0))*1</f>
        <v>4</v>
      </c>
      <c r="EJ88" s="307">
        <f t="shared" si="409"/>
        <v>238.573455311777</v>
      </c>
      <c r="EK88" s="95">
        <f t="shared" si="332"/>
        <v>0</v>
      </c>
      <c r="EL88" s="95">
        <f t="shared" si="360"/>
        <v>0</v>
      </c>
      <c r="EM88" s="95">
        <f t="shared" si="443"/>
        <v>0</v>
      </c>
      <c r="EN88" s="95">
        <f>IF(EP88=0,0,LOOKUP(EP88,{1,7,10,14,19,24,30,37,48,61},{1,"1+6","2+8","4+10","1+6+12","2+8+14","4+10+16","1+6+12+18","3+9+15+21","1+6+12+18+24"}))</f>
        <v>0</v>
      </c>
      <c r="EO88" s="95">
        <f t="shared" si="334"/>
        <v>0</v>
      </c>
      <c r="EP88" s="95">
        <f>IF(EM88=0,0,IF(EM88&lt;10,1,IF(AND(EM88&gt;=10,EM88&lt;=35),7,LOOKUP(EM88,{50,70,95,120,150,185,240,300},{10,14,19,24,30,37,48,61})*1)))</f>
        <v>0</v>
      </c>
      <c r="EQ88" s="95">
        <f>IF(EP88=0,0,VLOOKUP(EP88,各项系数!$D$142:$E$195,2,0))*1</f>
        <v>0</v>
      </c>
      <c r="ER88" s="95">
        <f t="shared" si="335"/>
        <v>0</v>
      </c>
      <c r="ES88" s="304">
        <f t="shared" si="444"/>
        <v>5</v>
      </c>
      <c r="ET88" s="95">
        <f>VLOOKUP(ES88,各项系数!$D$142:$E$195,2,0)*1</f>
        <v>2.7</v>
      </c>
      <c r="EU88" s="311">
        <f>((各项系数!$F$76/4*$EJ88^2*$EG88*$EH88*1*10^-7)*(1-$H88)*AA88)*(VLOOKUP($EY$9,各项系数!$D$4:$F$143,3,0))*各项系数!$J$4</f>
        <v>1.99884963027744</v>
      </c>
      <c r="EV88" s="312">
        <f>EU88*(VLOOKUP($EY$9,各项系数!$D$4:$F$143,2,0))</f>
        <v>130.924650783172</v>
      </c>
      <c r="EW88" s="324">
        <f>(IF($EO88=0,0,(各项系数!$F$76/4*$ER88^2*$EO88*$EP88*1*10^-7))*(1-$K88)*$AF88)*(VLOOKUP($EY$9,各项系数!$D$4:$F$143,3,0))*各项系数!$J$4</f>
        <v>0</v>
      </c>
      <c r="EX88" s="325">
        <f>EW88*(VLOOKUP($EY$9,各项系数!$D$4:$F$143,2,0))</f>
        <v>0</v>
      </c>
      <c r="EY88" s="251">
        <f>((各项系数!$F$76/4*$EJ88^2*$EG88*$EH88*1*10^-7)*(1-$H88)*AA88+IF($EO88=0,0,(各项系数!$F$76/4*$ER88^2*$EO88*$EP88*1*10^-7))*(1-$K88)*$AF88)*(VLOOKUP($EY$9,各项系数!$D$4:$F$143,3,0))*各项系数!$J$4</f>
        <v>1.99884963027744</v>
      </c>
      <c r="EZ88" s="127">
        <v>1</v>
      </c>
      <c r="FA88" s="95">
        <f t="shared" si="445"/>
        <v>1.99884963027744</v>
      </c>
      <c r="FB88" s="314">
        <f>FA88*(VLOOKUP($EY$9,各项系数!$D$4:$F$143,2,0))</f>
        <v>130.924650783172</v>
      </c>
      <c r="FC88" s="329"/>
      <c r="FD88" s="304">
        <f>各项系数!$F$76/4*($MN88^2-MK88^2)*10^-2*(VLOOKUP(L88,各项系数!$D$1:$F$143,3,0))*10^-3*10^2*$EG88*各项系数!$J$4</f>
        <v>0.181258050107141</v>
      </c>
      <c r="FE88" s="341">
        <f>FD88*VLOOKUP(L88,各项系数!$D$1:$F$143,2,0)</f>
        <v>1.84883211109284</v>
      </c>
      <c r="FF88" s="127">
        <f>各项系数!$F$76/4*($MO88^2-ML88^2)*10^-2*(VLOOKUP(L88,各项系数!$D$1:$F$143,3,0))*10^-3*10^2*$EO88*各项系数!$J$4</f>
        <v>0</v>
      </c>
      <c r="FG88" s="341">
        <f>FF88*VLOOKUP(L88,各项系数!$D$1:$F$143,2,0)</f>
        <v>0</v>
      </c>
      <c r="FH88" s="304">
        <f t="shared" si="410"/>
        <v>0.181258050107141</v>
      </c>
      <c r="FI88" s="127">
        <v>1</v>
      </c>
      <c r="FJ88" s="95">
        <f t="shared" si="446"/>
        <v>0.181258050107141</v>
      </c>
      <c r="FK88" s="341">
        <f>FJ88*VLOOKUP(L88,各项系数!$D$1:$F$143,2,0)</f>
        <v>1.84883211109284</v>
      </c>
      <c r="FL88" s="304"/>
      <c r="FM88" s="127"/>
      <c r="FN88" s="95"/>
      <c r="FO88" s="341"/>
      <c r="FP88" s="371">
        <f t="shared" si="447"/>
        <v>0.181258050107141</v>
      </c>
      <c r="FQ88" s="371">
        <f t="shared" si="448"/>
        <v>1.84883211109284</v>
      </c>
      <c r="FR88" s="365">
        <f>各项系数!$F$76/4*($MQ88^2-$MN88^2*$EG88-$MO88^2*$EO88)*10^-2</f>
        <v>2.39639334407666</v>
      </c>
      <c r="FS88" s="366">
        <f t="shared" si="411"/>
        <v>1</v>
      </c>
      <c r="FT88" s="367">
        <f t="shared" si="361"/>
        <v>2.39639334407666</v>
      </c>
      <c r="FU88" s="395">
        <f>$FT88*(VLOOKUP($FT$9,各项系数!$D$1:$F$143,3,0))*10^-3*10^2*各项系数!$J$55</f>
        <v>0.286129365282753</v>
      </c>
      <c r="FV88" s="396">
        <v>1</v>
      </c>
      <c r="FW88" s="397">
        <f t="shared" si="449"/>
        <v>0.286129365282753</v>
      </c>
      <c r="FX88" s="372">
        <f>FW88*(VLOOKUP($FT$9,各项系数!$D$1:$F$143,2,0))</f>
        <v>0.858388095848259</v>
      </c>
      <c r="FY88" s="395">
        <f>IF($BK88&lt;&gt;$FY$9,0,各项系数!$F$76/4*($MS88^2-$MQ88^2)*10^-2*(VLOOKUP($FY$9,各项系数!$D$1:$F$143,3,0))*10^-3*10^2)*各项系数!$J$4</f>
        <v>0</v>
      </c>
      <c r="FZ88" s="396">
        <v>1</v>
      </c>
      <c r="GA88" s="397">
        <f t="shared" si="450"/>
        <v>0</v>
      </c>
      <c r="GB88" s="372">
        <f>GA88*(VLOOKUP($FY$9,各项系数!$D$1:$F$143,2,0))</f>
        <v>0</v>
      </c>
      <c r="GC88" s="395">
        <f>IF($BK88&lt;&gt;$GC$9,0,各项系数!$F$76/4*($MS88^2-$MQ88^2)*10^-2*(VLOOKUP($GC$9,各项系数!$D$1:$F$143,3,0))*10^-3*10^2)*各项系数!$J$4</f>
        <v>0.00851129216990983</v>
      </c>
      <c r="GD88" s="396">
        <v>1</v>
      </c>
      <c r="GE88" s="397">
        <f t="shared" si="451"/>
        <v>0.00851129216990983</v>
      </c>
      <c r="GF88" s="372">
        <f>GE88*(VLOOKUP($GC$9,各项系数!$D$1:$F$143,2,0))</f>
        <v>0.109795668991837</v>
      </c>
      <c r="GG88" s="395">
        <f>IF($BK88&lt;&gt;$GG$9,0,各项系数!$F$76/4*($MS88^2-$MQ88^2)*10^-2*(VLOOKUP($GG$9,各项系数!$D$1:$F$143,3,0))*10^-3*10^2)*各项系数!$J$4</f>
        <v>0</v>
      </c>
      <c r="GH88" s="396">
        <v>1</v>
      </c>
      <c r="GI88" s="397">
        <f t="shared" si="452"/>
        <v>0</v>
      </c>
      <c r="GJ88" s="372">
        <f>GI88*(VLOOKUP($GG$9,各项系数!$D$1:$F$143,2,0))</f>
        <v>0</v>
      </c>
      <c r="GK88" s="395">
        <f>IF($BK88&lt;&gt;$GK$9,0,各项系数!$F$76/4*($MS88^2-$MQ88^2)*10^-2*(VLOOKUP($GK$9,各项系数!$D$1:$F$143,3,0))*10^-3*10^2)*各项系数!$J$4</f>
        <v>0</v>
      </c>
      <c r="GL88" s="396">
        <v>1</v>
      </c>
      <c r="GM88" s="397">
        <f t="shared" si="453"/>
        <v>0</v>
      </c>
      <c r="GN88" s="372">
        <f>GM88*(VLOOKUP($GK$9,各项系数!$D$1:$F$143,2,0))</f>
        <v>0</v>
      </c>
      <c r="GO88" s="397">
        <f t="shared" si="454"/>
        <v>0.00851129216990983</v>
      </c>
      <c r="GP88" s="397">
        <f t="shared" si="455"/>
        <v>0.109795668991837</v>
      </c>
      <c r="GQ88" s="408">
        <f>各项系数!$F$76/4*($MU88^2-$MS88^2)*10^-2*(VLOOKUP($S88,各项系数!$D$1:$F$143,3,0))*10^-3*10^2*各项系数!$J$4</f>
        <v>0.58835147777545</v>
      </c>
      <c r="GR88" s="396">
        <v>1</v>
      </c>
      <c r="GS88" s="397">
        <f t="shared" si="456"/>
        <v>0.58835147777545</v>
      </c>
      <c r="GT88" s="397">
        <f t="shared" si="457"/>
        <v>0</v>
      </c>
      <c r="GU88" s="397">
        <f>ROUND($GS88*(VLOOKUP($S88,各项系数!$D$1:$F$143,2,0))+$E$3*GS88,GT88)</f>
        <v>3</v>
      </c>
      <c r="GV88" s="406">
        <f>各项系数!$F$76/4*($MT88^2-$MS88^2)*10^-2*(VLOOKUP($GV$9,各项系数!$D$1:$F$143,3,0))*10^-3*10^2*各项系数!$J$4*PI()/4*R88</f>
        <v>0.0438912015347418</v>
      </c>
      <c r="GW88" s="396">
        <v>1</v>
      </c>
      <c r="GX88" s="397">
        <f t="shared" si="458"/>
        <v>0.0438912015347418</v>
      </c>
      <c r="GY88" s="397">
        <f>$GX88*(VLOOKUP($GV$9,各项系数!$D$1:$F$143,2,0))</f>
        <v>2.96265610359507</v>
      </c>
      <c r="GZ88" s="408">
        <f>各项系数!$F$76/4*($MV88^2-$MS88^2)*10^-2*(VLOOKUP($GZ$9,各项系数!$D$1:$F$143,3,0))*10^-3*10^2*各项系数!$J$4</f>
        <v>0.302246811209375</v>
      </c>
      <c r="HA88" s="396">
        <v>1</v>
      </c>
      <c r="HB88" s="397">
        <f t="shared" si="412"/>
        <v>0.302246811209375</v>
      </c>
      <c r="HC88" s="397">
        <f>HB88*(VLOOKUP($GZ$9,各项系数!$D$1:$F$143,2,0))</f>
        <v>5.13819579055937</v>
      </c>
      <c r="HD88" s="408">
        <f>各项系数!$F$76/4*($MW88^2-$MT88^2)*10^-2*(VLOOKUP($HD$9,各项系数!$D$1:$F$143,3,0))*10^-3*10^2*各项系数!$J$4</f>
        <v>0.303697221705684</v>
      </c>
      <c r="HE88" s="396">
        <v>1</v>
      </c>
      <c r="HF88" s="397">
        <f t="shared" si="413"/>
        <v>0.303697221705684</v>
      </c>
      <c r="HG88" s="397">
        <f>HF88*(VLOOKUP($HD$9,各项系数!$D$1:$F$143,2,0))</f>
        <v>5.16285276899664</v>
      </c>
      <c r="HH88" s="408">
        <f>各项系数!$F$76/4*($MV88^2-$MS88^2)*10^-2*(VLOOKUP($HH$9,各项系数!$D$1:$F$143,3,0))*10^-3*10^2*各项系数!$J$4</f>
        <v>0.302246811209375</v>
      </c>
      <c r="HI88" s="397">
        <v>1</v>
      </c>
      <c r="HJ88" s="397">
        <f t="shared" si="414"/>
        <v>0.302246811209375</v>
      </c>
      <c r="HK88" s="397">
        <f>HJ88*(VLOOKUP($HH$9,各项系数!$D$1:$F$143,2,0))</f>
        <v>5.13819579055937</v>
      </c>
      <c r="HL88" s="408">
        <f>各项系数!$F$76/4*($MW88^2-$MT88^2)*10^-2*(VLOOKUP($HL$9,各项系数!$D$1:$F$143,3,0))*10^-3*10^2*各项系数!$J$4</f>
        <v>0.303697221705684</v>
      </c>
      <c r="HM88" s="397">
        <v>1</v>
      </c>
      <c r="HN88" s="397">
        <f t="shared" si="362"/>
        <v>0.303697221705684</v>
      </c>
      <c r="HO88" s="397">
        <f>HN88*(VLOOKUP($HL$9,各项系数!$D$1:$F$143,2,0))</f>
        <v>5.16285276899664</v>
      </c>
      <c r="HP88" s="408">
        <f>各项系数!$F$76/4*($MV88^2-$MS88^2)*10^-2*(VLOOKUP(AN88,各项系数!$D$1:$F$143,3,0))*10^-3*10^2*各项系数!$J$4</f>
        <v>0.306415732743297</v>
      </c>
      <c r="HQ88" s="396">
        <v>1</v>
      </c>
      <c r="HR88" s="397">
        <f t="shared" si="459"/>
        <v>0.306415732743297</v>
      </c>
      <c r="HS88" s="397">
        <f>HR88*(VLOOKUP(AN88,各项系数!$D$1:$F$143,2,0))</f>
        <v>3.06415732743297</v>
      </c>
      <c r="HT88" s="408">
        <f>各项系数!$F$76/4*($MW88^2-$MT88^2)*10^-2*(VLOOKUP(AN88,各项系数!$D$1:$F$143,3,0))*10^-3*10^2*各项系数!$J$4</f>
        <v>0.307886148901625</v>
      </c>
      <c r="HU88" s="396">
        <v>1</v>
      </c>
      <c r="HV88" s="397">
        <f t="shared" si="460"/>
        <v>0.307886148901625</v>
      </c>
      <c r="HW88" s="397">
        <f>HV88*(VLOOKUP(AN88,各项系数!$D$1:$F$143,2,0))</f>
        <v>3.07886148901625</v>
      </c>
      <c r="HX88" s="408">
        <f>各项系数!$F$76/4*($MV88^2-$MS88^2)*10^-2*(VLOOKUP($HX$9,各项系数!$D$1:$F$143,3,0))*10^-3*10^2*各项系数!$J$4</f>
        <v>0.306415732743297</v>
      </c>
      <c r="HY88" s="397">
        <v>1</v>
      </c>
      <c r="HZ88" s="397">
        <f t="shared" si="461"/>
        <v>0.306415732743297</v>
      </c>
      <c r="IA88" s="397">
        <f>HZ88*(VLOOKUP($HX$9,各项系数!$D$1:$F$143,2,0))</f>
        <v>3.37057306017627</v>
      </c>
      <c r="IB88" s="408">
        <f>各项系数!$F$76/4*($MW88^2-$MT88^2)*10^-2*(VLOOKUP($IB$9,各项系数!$D$1:$F$143,3,0))*10^-3*10^2*各项系数!$J$4</f>
        <v>0.307886148901625</v>
      </c>
      <c r="IC88" s="397">
        <v>1</v>
      </c>
      <c r="ID88" s="397">
        <f t="shared" si="462"/>
        <v>0.307886148901625</v>
      </c>
      <c r="IE88" s="397">
        <f>ID88*(VLOOKUP($IB$9,各项系数!$D$1:$F$143,2,0))</f>
        <v>3.38674763791787</v>
      </c>
      <c r="IF88" s="395"/>
      <c r="IG88" s="408">
        <f t="shared" si="415"/>
        <v>0.069227752111119</v>
      </c>
      <c r="IH88" s="396">
        <v>1</v>
      </c>
      <c r="II88" s="397">
        <f t="shared" si="463"/>
        <v>0.069227752111119</v>
      </c>
      <c r="IJ88" s="397">
        <f>II88*(VLOOKUP($IG$8,各项系数!$D$1:$F$143,2,0))</f>
        <v>1.73069380277798</v>
      </c>
      <c r="IK88" s="408">
        <f>(各项系数!$F$76/4*($MX88^2-$MK88^2)*$EG88)*10^-2*(VLOOKUP($IG$8,各项系数!$D$1:$F$143,3,0))*10^-3*10^2*各项系数!$J$4</f>
        <v>0.069227752111119</v>
      </c>
      <c r="IL88" s="396">
        <f>IK88*(VLOOKUP($IG$8,各项系数!$D$1:$F$143,2,0))</f>
        <v>1.73069380277798</v>
      </c>
      <c r="IM88" s="397">
        <f>(各项系数!$F$76/4*(($MM88+3*$X88)^2-MM88^2)*$EO88)*10^-2*(VLOOKUP($IG$8,各项系数!$D$1:$F$143,3,0))*10^-3*10^2*各项系数!$J$4</f>
        <v>0</v>
      </c>
      <c r="IN88" s="396">
        <f>IM88*(VLOOKUP($IG$8,各项系数!$D$1:$F$143,2,0))</f>
        <v>0</v>
      </c>
      <c r="IO88" s="408">
        <f>各项系数!$F$76/4*($MZ88^2-$MX88^2)*10^-2*(VLOOKUP(L88,各项系数!$D$1:$F$143,3,0))*10^-3*10^2*$ES88*各项系数!$J$4</f>
        <v>0.191573469585203</v>
      </c>
      <c r="IP88" s="396">
        <v>1</v>
      </c>
      <c r="IQ88" s="397">
        <f t="shared" si="464"/>
        <v>0.191573469585203</v>
      </c>
      <c r="IR88" s="372">
        <f>IQ88*(VLOOKUP(L88,各项系数!$D$1:$F$143,2,0))</f>
        <v>1.95404938976907</v>
      </c>
      <c r="IS88" s="408">
        <f>IF($L88&lt;&gt;$IS$9,0,各项系数!$F$76/4*($MZ88^2-$MX88^2)*10^-2*各项系数!$F$12*10^-3*10^2)*$ES88*各项系数!$J$4</f>
        <v>0</v>
      </c>
      <c r="IT88" s="396">
        <v>1</v>
      </c>
      <c r="IU88" s="397">
        <f t="shared" si="465"/>
        <v>0</v>
      </c>
      <c r="IV88" s="372">
        <f>IU88*各项系数!$E$12</f>
        <v>0</v>
      </c>
      <c r="IW88" s="395">
        <f t="shared" si="466"/>
        <v>0.191573469585203</v>
      </c>
      <c r="IX88" s="395">
        <f t="shared" si="467"/>
        <v>1.95404938976907</v>
      </c>
      <c r="IY88" s="447">
        <f>各项系数!$F$76/4*($NB88^2-$MZ88^2*$EG88-$NA88^2*$EO88)*10^-2</f>
        <v>2.65199641820494</v>
      </c>
      <c r="IZ88" s="366">
        <f t="shared" si="487"/>
        <v>1</v>
      </c>
      <c r="JA88" s="367">
        <f t="shared" si="363"/>
        <v>2.65199641820494</v>
      </c>
      <c r="JB88" s="371">
        <f>IF($DE88&lt;&gt;$JB$9,0,$JA88*各项系数!$F$32*10^-3*10^2)*各项系数!$J$4</f>
        <v>0</v>
      </c>
      <c r="JC88" s="127">
        <v>1</v>
      </c>
      <c r="JD88" s="95">
        <f t="shared" si="468"/>
        <v>0</v>
      </c>
      <c r="JE88" s="341">
        <f>JD88*各项系数!$E$32</f>
        <v>0</v>
      </c>
      <c r="JF88" s="364">
        <f>IF($DE88&lt;&gt;$JF$9,0,$JA88*VLOOKUP($JF$9,各项系数!$D$4:$F$540,2,0)*10^-3*10^2)*各项系数!$J$4</f>
        <v>1.31936821805696</v>
      </c>
      <c r="JG88" s="123">
        <v>1</v>
      </c>
      <c r="JH88" s="251">
        <f t="shared" si="364"/>
        <v>1.31936821805696</v>
      </c>
      <c r="JI88" s="339">
        <f>JH88*VLOOKUP($JF$9,各项系数!$D$4:$F$540,3,0)</f>
        <v>1.58324186166835</v>
      </c>
      <c r="JJ88" s="371">
        <f t="shared" si="469"/>
        <v>1.31936821805696</v>
      </c>
      <c r="JK88" s="95">
        <f t="shared" si="470"/>
        <v>1.58324186166835</v>
      </c>
      <c r="JL88" s="371">
        <f>IF($DF88&lt;&gt;$JL$9,0,各项系数!$F$76/4*($NE88^2-$NC88^2)*10^-2*各项系数!$F$39*10^-3*10^2)*各项系数!$J$4</f>
        <v>0.00370296549443092</v>
      </c>
      <c r="JM88" s="127">
        <v>1</v>
      </c>
      <c r="JN88" s="95">
        <f t="shared" si="471"/>
        <v>0.00370296549443092</v>
      </c>
      <c r="JO88" s="341">
        <f>JN88*各项系数!$E$39</f>
        <v>0.0740593098886184</v>
      </c>
      <c r="JP88" s="371">
        <f>IF($DF88&lt;&gt;$JP$9,0,各项系数!$F$76/4*($NE88^2-$NC88^2)*10^-2*各项系数!$F$36*10^-3*10^2)*各项系数!$J$4</f>
        <v>0</v>
      </c>
      <c r="JQ88" s="127">
        <v>1</v>
      </c>
      <c r="JR88" s="95">
        <f t="shared" si="472"/>
        <v>0</v>
      </c>
      <c r="JS88" s="341">
        <f>JR88*各项系数!$E$36</f>
        <v>0</v>
      </c>
      <c r="JT88" s="371">
        <f>IF($DF88&lt;&gt;$JT$9,0,各项系数!$F$76/4*($NE88^2-$NC88^2)*10^-2*各项系数!$F$40*10^-3*10^2)*各项系数!$J$4</f>
        <v>0</v>
      </c>
      <c r="JU88" s="127">
        <v>1</v>
      </c>
      <c r="JV88" s="95">
        <f t="shared" si="473"/>
        <v>0</v>
      </c>
      <c r="JW88" s="341">
        <f>JV88*各项系数!$E$40</f>
        <v>0</v>
      </c>
      <c r="JX88" s="371">
        <f>IF($DF88&lt;&gt;$JX$9,0,各项系数!$F$76/4*($NE88^2-$NC88^2)*10^-2*各项系数!$F$38*10^-3*10^2)*各项系数!$J$4</f>
        <v>0</v>
      </c>
      <c r="JY88" s="127">
        <v>1</v>
      </c>
      <c r="JZ88" s="95">
        <f t="shared" si="474"/>
        <v>0</v>
      </c>
      <c r="KA88" s="341">
        <f>JZ88*各项系数!$E$38</f>
        <v>0</v>
      </c>
      <c r="KB88" s="371">
        <f>IF($DF88&lt;&gt;$KB$9,0,各项系数!$F$76/4*($NE88^2-$NC88^2)*10^-2*各项系数!$F$41*10^-3*10^2)*各项系数!$J$4</f>
        <v>0</v>
      </c>
      <c r="KC88" s="127">
        <v>1</v>
      </c>
      <c r="KD88" s="95">
        <f t="shared" si="475"/>
        <v>0</v>
      </c>
      <c r="KE88" s="341">
        <f>KD88*各项系数!$E$41</f>
        <v>0</v>
      </c>
      <c r="KF88" s="95">
        <f t="shared" si="476"/>
        <v>0.00370296549443092</v>
      </c>
      <c r="KG88" s="95">
        <f t="shared" si="477"/>
        <v>0.0740593098886184</v>
      </c>
      <c r="KH88" s="304">
        <f>各项系数!$F$76/4*($NG88^2-$NE88^2)*10^-2*各项系数!$F$44*10^-3*10^2*各项系数!$J$4*0.75*$U88</f>
        <v>0.928837167091448</v>
      </c>
      <c r="KI88" s="127">
        <v>1</v>
      </c>
      <c r="KJ88" s="95">
        <f t="shared" si="478"/>
        <v>0.928837167091448</v>
      </c>
      <c r="KK88" s="95">
        <f>ROUND(KJ88*各项系数!$E$43,GT88)</f>
        <v>5</v>
      </c>
      <c r="KL88" s="302">
        <f>各项系数!$F$76/4*($NF88^2-$NE88^2)*10^-2*各项系数!$F$46*10^-3*10^2*各项系数!$J$4*PI()/4*R88</f>
        <v>0.0462434687569763</v>
      </c>
      <c r="KM88" s="127">
        <v>1</v>
      </c>
      <c r="KN88" s="95">
        <f t="shared" si="479"/>
        <v>0.0462434687569763</v>
      </c>
      <c r="KO88" s="95">
        <f>KN88*各项系数!$E$46</f>
        <v>3.1214341410959</v>
      </c>
      <c r="KP88" s="304">
        <f>各项系数!$F$76/4*($NH88^2-$NE88^2)*10^-2*(VLOOKUP($KP$9,各项系数!$D$1:$F$143,3,0))*10^-3*10^2*各项系数!$J$4</f>
        <v>0.317512381683031</v>
      </c>
      <c r="KQ88" s="127">
        <v>1</v>
      </c>
      <c r="KR88" s="95">
        <f t="shared" si="416"/>
        <v>0.317512381683031</v>
      </c>
      <c r="KS88" s="95">
        <f>KR88*(VLOOKUP($KP$9,各项系数!$D$1:$F$143,2,0))</f>
        <v>5.39771048861152</v>
      </c>
      <c r="KT88" s="304">
        <f>各项系数!$F$76/4*($NI88^2-$NF88^2)*10^-2*(VLOOKUP($KT$9,各项系数!$D$1:$F$143,3,0))*10^-3*10^2*各项系数!$J$4</f>
        <v>0.31896279217934</v>
      </c>
      <c r="KU88" s="127">
        <v>1</v>
      </c>
      <c r="KV88" s="95">
        <f t="shared" si="417"/>
        <v>0.31896279217934</v>
      </c>
      <c r="KW88" s="95">
        <f>KV88*(VLOOKUP($KT$9,各项系数!$D$1:$F$143,2,0))</f>
        <v>5.42236746704878</v>
      </c>
      <c r="KX88" s="95">
        <f>各项系数!$F$76/4*($NH88^2-$NE88^2)*10^-2*(VLOOKUP($KX$9,各项系数!$D$1:$F$143,3,0))*10^-3*10^2*各项系数!$J$4</f>
        <v>0.317512381683031</v>
      </c>
      <c r="KY88" s="481">
        <v>1</v>
      </c>
      <c r="KZ88" s="95">
        <f t="shared" si="418"/>
        <v>0.317512381683031</v>
      </c>
      <c r="LA88" s="95">
        <f>KZ88*(VLOOKUP($KX$9,各项系数!$D$1:$F$143,2,0))</f>
        <v>5.39771048861152</v>
      </c>
      <c r="LB88" s="95">
        <f>各项系数!$F$76/4*($NI88^2-$NF88^2)*10^-2*(VLOOKUP($LB$9,各项系数!$D$1:$F$143,3,0))*10^-3*10^2*各项系数!$J$4</f>
        <v>0.31896279217934</v>
      </c>
      <c r="LC88" s="481">
        <v>1</v>
      </c>
      <c r="LD88" s="95">
        <f t="shared" si="419"/>
        <v>0.31896279217934</v>
      </c>
      <c r="LE88" s="95">
        <f>LD88*(VLOOKUP($LB$9,各项系数!$D$1:$F$143,2,0))</f>
        <v>5.42236746704878</v>
      </c>
      <c r="LF88" s="304">
        <f>各项系数!$F$76/4*($NH88^2-$NE88^2)*10^-2*(VLOOKUP(AN88,各项系数!$D$1:$F$143,3,0))*10^-3*10^2*各项系数!$J$4</f>
        <v>0.321891862809693</v>
      </c>
      <c r="LG88" s="127">
        <v>1</v>
      </c>
      <c r="LH88" s="95">
        <f t="shared" si="480"/>
        <v>0.321891862809693</v>
      </c>
      <c r="LI88" s="95">
        <f>LH88*(VLOOKUP(AN88,各项系数!$D$1:$F$143,2,0))</f>
        <v>3.21891862809693</v>
      </c>
      <c r="LJ88" s="304">
        <f>各项系数!$F$76/4*($NI88^2-$NF88^2)*10^-2*(VLOOKUP(AN88,各项系数!$D$1:$F$143,3,0))*10^-3*10^2*各项系数!$J$4</f>
        <v>0.323362278968021</v>
      </c>
      <c r="LK88" s="127">
        <v>1</v>
      </c>
      <c r="LL88" s="95">
        <f t="shared" si="481"/>
        <v>0.323362278968021</v>
      </c>
      <c r="LM88" s="95">
        <f>LL88*(VLOOKUP(AN88,各项系数!$D$1:$F$143,2,0))</f>
        <v>3.23362278968021</v>
      </c>
      <c r="LN88" s="95">
        <f>各项系数!$F$76/4*($NH88^2-$NE88^2)*10^-2*(VLOOKUP($LN$9,各项系数!$D$1:$F$143,3,0))*10^-3*10^2*各项系数!$J$4</f>
        <v>0.321891862809693</v>
      </c>
      <c r="LO88" s="481">
        <v>1</v>
      </c>
      <c r="LP88" s="95">
        <f t="shared" si="482"/>
        <v>0.321891862809693</v>
      </c>
      <c r="LQ88" s="95">
        <f>LP88*(VLOOKUP($LN$9,各项系数!$D$1:$F$143,2,0))</f>
        <v>3.54081049090663</v>
      </c>
      <c r="LR88" s="95">
        <f>各项系数!$F$76/4*($NI88^2-$NF88^2)*10^-2*(VLOOKUP($LR$9,各项系数!$D$1:$F$143,3,0))*10^-3*10^2*各项系数!$J$4</f>
        <v>0.323362278968021</v>
      </c>
      <c r="LS88" s="481">
        <v>1</v>
      </c>
      <c r="LT88" s="95">
        <f t="shared" si="483"/>
        <v>0.323362278968021</v>
      </c>
      <c r="LU88" s="95">
        <f>LT88*(VLOOKUP($LR$9,各项系数!$D$1:$F$143,2,0))</f>
        <v>3.55698506864823</v>
      </c>
      <c r="LV88" s="501">
        <f t="shared" si="420"/>
        <v>357.62190181</v>
      </c>
      <c r="LW88" s="501">
        <f t="shared" si="421"/>
        <v>223.51368863</v>
      </c>
      <c r="LX88" s="501">
        <f t="shared" si="422"/>
        <v>16.8696907841649</v>
      </c>
      <c r="LY88" s="519">
        <f t="shared" si="423"/>
        <v>134.10821318</v>
      </c>
      <c r="LZ88" s="516">
        <f t="shared" si="365"/>
        <v>1</v>
      </c>
      <c r="MA88" s="517">
        <f t="shared" si="366"/>
        <v>357.62190181</v>
      </c>
      <c r="MB88" s="501">
        <f t="shared" si="424"/>
        <v>9.5429382</v>
      </c>
      <c r="MC88" s="501">
        <f t="shared" si="425"/>
        <v>0</v>
      </c>
      <c r="MD88" s="501">
        <f t="shared" si="426"/>
        <v>0</v>
      </c>
      <c r="ME88" s="501">
        <f t="shared" si="427"/>
        <v>0</v>
      </c>
      <c r="MF88" s="501">
        <f t="shared" si="428"/>
        <v>0</v>
      </c>
      <c r="MG88" s="527">
        <f t="shared" si="429"/>
        <v>1</v>
      </c>
      <c r="MH88" s="517">
        <f t="shared" si="367"/>
        <v>0</v>
      </c>
      <c r="MI88" s="501">
        <f t="shared" si="430"/>
        <v>0</v>
      </c>
      <c r="MJ88" s="95">
        <f t="shared" si="368"/>
        <v>9.5429382</v>
      </c>
      <c r="MK88" s="95">
        <f t="shared" si="431"/>
        <v>9.5429382</v>
      </c>
      <c r="ML88" s="95">
        <f t="shared" si="484"/>
        <v>0</v>
      </c>
      <c r="MM88" s="95">
        <f t="shared" si="369"/>
        <v>0</v>
      </c>
      <c r="MN88" s="95">
        <f t="shared" si="370"/>
        <v>11.5429382</v>
      </c>
      <c r="MO88" s="251">
        <f t="shared" si="432"/>
        <v>0</v>
      </c>
      <c r="MP88" s="95">
        <f t="shared" si="433"/>
        <v>31.16593314</v>
      </c>
      <c r="MQ88" s="95">
        <f t="shared" si="485"/>
        <v>31.16593314</v>
      </c>
      <c r="MR88" s="314">
        <f t="shared" si="434"/>
        <v>31.16593314</v>
      </c>
      <c r="MS88" s="530">
        <f t="shared" si="371"/>
        <v>31.34193314</v>
      </c>
      <c r="MT88" s="532">
        <f t="shared" si="372"/>
        <v>31.50193314</v>
      </c>
      <c r="MU88" s="532">
        <f t="shared" si="373"/>
        <v>32.84193314</v>
      </c>
      <c r="MV88" s="532">
        <f t="shared" si="374"/>
        <v>35.34193314</v>
      </c>
      <c r="MW88" s="532">
        <f t="shared" si="375"/>
        <v>35.50193314</v>
      </c>
      <c r="MX88" s="314">
        <f t="shared" si="376"/>
        <v>10.1429382</v>
      </c>
      <c r="MY88" s="314">
        <f t="shared" si="377"/>
        <v>0</v>
      </c>
      <c r="MZ88" s="95">
        <f t="shared" si="378"/>
        <v>12.1429382</v>
      </c>
      <c r="NA88" s="95">
        <f t="shared" si="379"/>
        <v>0</v>
      </c>
      <c r="NB88" s="95">
        <f t="shared" si="435"/>
        <v>32.78593314</v>
      </c>
      <c r="NC88" s="314">
        <f t="shared" si="486"/>
        <v>32.78593314</v>
      </c>
      <c r="ND88" s="314">
        <f t="shared" si="436"/>
        <v>32.78593314</v>
      </c>
      <c r="NE88" s="537">
        <f t="shared" si="437"/>
        <v>33.02593314</v>
      </c>
      <c r="NF88" s="532">
        <f t="shared" si="380"/>
        <v>33.18593314</v>
      </c>
      <c r="NG88" s="180">
        <f t="shared" si="381"/>
        <v>34.52593314</v>
      </c>
      <c r="NH88" s="314">
        <f t="shared" si="382"/>
        <v>37.02593314</v>
      </c>
      <c r="NI88" s="532">
        <f t="shared" si="383"/>
        <v>37.18593314</v>
      </c>
      <c r="NK88" s="541">
        <f t="shared" si="384"/>
        <v>2.78116407058054</v>
      </c>
      <c r="NL88" s="541">
        <f t="shared" si="385"/>
        <v>136.805823986538</v>
      </c>
      <c r="NM88" s="541">
        <f t="shared" si="386"/>
        <v>2.78116407058054</v>
      </c>
      <c r="NN88" s="541">
        <f t="shared" si="387"/>
        <v>137.112239719281</v>
      </c>
      <c r="NO88" s="541">
        <f t="shared" si="388"/>
        <v>3.90461389833484</v>
      </c>
      <c r="NP88" s="541">
        <f t="shared" si="389"/>
        <v>139.485613775373</v>
      </c>
      <c r="NQ88" s="541">
        <f t="shared" si="390"/>
        <v>3.90461389833484</v>
      </c>
      <c r="NR88" s="541">
        <f t="shared" si="391"/>
        <v>139.807505638183</v>
      </c>
      <c r="NS88" s="541">
        <f t="shared" si="392"/>
        <v>2.82505527211528</v>
      </c>
      <c r="NT88" s="541">
        <f t="shared" si="393"/>
        <v>2.82505527211528</v>
      </c>
      <c r="NU88" s="541">
        <f t="shared" si="394"/>
        <v>3.95085736709182</v>
      </c>
      <c r="NV88" s="541">
        <f t="shared" si="395"/>
        <v>3.95085736709182</v>
      </c>
      <c r="NW88" s="11">
        <f t="shared" si="396"/>
        <v>3.36951554835599</v>
      </c>
      <c r="NX88" s="11">
        <f>各项系数!$M$9*NK88</f>
        <v>0.834349221174162</v>
      </c>
      <c r="NY88" s="11">
        <f t="shared" si="397"/>
        <v>2.82505527211528</v>
      </c>
    </row>
    <row r="89" s="13" customFormat="1" customHeight="1" spans="1:389">
      <c r="A89" s="551"/>
      <c r="B89" s="549"/>
      <c r="C89" s="552"/>
      <c r="D89" s="74" t="s">
        <v>193</v>
      </c>
      <c r="E89" s="70">
        <f t="shared" si="325"/>
        <v>39.36618102</v>
      </c>
      <c r="F89" s="84">
        <f>$F$25</f>
        <v>242.295968589101</v>
      </c>
      <c r="G89" s="74"/>
      <c r="H89" s="23"/>
      <c r="I89" s="78"/>
      <c r="J89" s="23"/>
      <c r="K89" s="23"/>
      <c r="L89" s="121" t="s">
        <v>467</v>
      </c>
      <c r="M89" s="119">
        <f t="shared" si="339"/>
        <v>1.1</v>
      </c>
      <c r="N89" s="119">
        <f t="shared" si="340"/>
        <v>0</v>
      </c>
      <c r="O89" s="74">
        <f t="shared" si="488"/>
        <v>0.08</v>
      </c>
      <c r="P89" s="120">
        <v>0.1</v>
      </c>
      <c r="Q89" s="165">
        <f t="shared" si="440"/>
        <v>0.1</v>
      </c>
      <c r="R89" s="182">
        <v>0.8</v>
      </c>
      <c r="S89" s="173" t="str">
        <f>各项系数!$D$43</f>
        <v>钢带</v>
      </c>
      <c r="T89" s="78">
        <v>0.5</v>
      </c>
      <c r="U89" s="78">
        <v>2</v>
      </c>
      <c r="V89" s="172"/>
      <c r="W89" s="174">
        <v>2.2</v>
      </c>
      <c r="X89" s="168">
        <f t="shared" si="441"/>
        <v>0.2</v>
      </c>
      <c r="Y89" s="221"/>
      <c r="Z89" s="222"/>
      <c r="AA89" s="223">
        <f>$AA$25</f>
        <v>1.013</v>
      </c>
      <c r="AB89" s="186">
        <f>PI()*EJ89*EJ89/4*EH89*(1-H89)*AA89*各项系数!$F$5*各项系数!$J$4*10^-7</f>
        <v>0.578421704096205</v>
      </c>
      <c r="AC89" s="224">
        <f t="shared" si="327"/>
        <v>242.295968589101</v>
      </c>
      <c r="AD89" s="186">
        <f t="shared" si="341"/>
        <v>65.3912649972251</v>
      </c>
      <c r="AE89" s="186">
        <f>POWER(4*EU89/PI()/EG89/10^-7/EH89/(1-H89)/各项系数!$F$5/各项系数!$J$4,0.5)</f>
        <v>243.865806884974</v>
      </c>
      <c r="AF89" s="225">
        <v>1</v>
      </c>
      <c r="AG89" s="23">
        <f>IF(EM89=0,0,PI()*ER89*ER89/4*EP89*(1-K89)*(1+AF89)*各项系数!$F$5*各项系数!$J$4*10^-7)</f>
        <v>0</v>
      </c>
      <c r="AH89" s="23">
        <f t="shared" si="328"/>
        <v>0</v>
      </c>
      <c r="AI89" s="85">
        <f t="shared" si="398"/>
        <v>0</v>
      </c>
      <c r="AJ89" s="85">
        <f>IF(OR(EP89="",EP89=0),0,POWER(4*EW89/PI()/EO89/10^-7/EP89/(1-K89)/各项系数!$F$5/各项系数!$J$4,0.5))</f>
        <v>0</v>
      </c>
      <c r="AK89" s="23" t="str">
        <f t="shared" si="342"/>
        <v>√</v>
      </c>
      <c r="AL89" s="23">
        <f t="shared" si="329"/>
        <v>202.845406713343</v>
      </c>
      <c r="AM89" s="78">
        <f t="shared" si="330"/>
        <v>70</v>
      </c>
      <c r="AN89" s="121" t="s">
        <v>486</v>
      </c>
      <c r="AO89" s="165">
        <f>AP89+各项系数!$M$9*$NK89</f>
        <v>198.868045797395</v>
      </c>
      <c r="AP89" s="165">
        <f>AQ89*(1+$BI89+(VLOOKUP($AM89,$A$12:$B$323,2,0))+各项系数!$J$6+各项系数!$M$5)*(1+$E$2)</f>
        <v>197.711021449596</v>
      </c>
      <c r="AQ89" s="261">
        <f>AR89+各项系数!$L$9*$NK89</f>
        <v>201.745940254689</v>
      </c>
      <c r="AR89" s="261">
        <f>AS89*(1+$BJ89+各项系数!$J$5+各项系数!$L$5)</f>
        <v>200.58891590689</v>
      </c>
      <c r="AS89" s="261">
        <f t="shared" si="399"/>
        <v>196.655799908715</v>
      </c>
      <c r="AT89" s="165">
        <f>AU89+各项系数!$M$9*$NM89</f>
        <v>201.410147375737</v>
      </c>
      <c r="AU89" s="165">
        <f>AV89*(1+$BI89+(VLOOKUP($AM89,$A$12:$B$323,2,0))+各项系数!$J$6+各项系数!$M$5)*(1+$E$2)</f>
        <v>200.253123027937</v>
      </c>
      <c r="AV89" s="261">
        <f>AW89+各项系数!$L$9*$NM89</f>
        <v>204.339921457079</v>
      </c>
      <c r="AW89" s="261">
        <f>AX89*(1+$BJ89+各项系数!$J$5+各项系数!$L$5)</f>
        <v>203.182897109279</v>
      </c>
      <c r="AX89" s="261">
        <f t="shared" si="400"/>
        <v>199.198918734587</v>
      </c>
      <c r="AY89" s="165">
        <f>AZ89+各项系数!$M$9*$NS89</f>
        <v>202.216343466202</v>
      </c>
      <c r="AZ89" s="165">
        <f>BA89*(1+$BI89+(VLOOKUP($AM89,$A$12:$B$214,2,0))+各项系数!$J$6+各项系数!$M$5)*(1+$E$2)</f>
        <v>201.044633016939</v>
      </c>
      <c r="BA89" s="261">
        <f>BB89+各项系数!$L$9*$NS89</f>
        <v>205.147584711162</v>
      </c>
      <c r="BB89" s="261">
        <f>BC89*(1+$BJ89+各项系数!$J$5+各项系数!$L$5)</f>
        <v>203.9758742619</v>
      </c>
      <c r="BC89" s="261">
        <f t="shared" si="401"/>
        <v>199.976347315588</v>
      </c>
      <c r="BD89" s="165">
        <f>BE89+各项系数!$M$9*$NS89</f>
        <v>204.769388763843</v>
      </c>
      <c r="BE89" s="165">
        <f>BF89*(1+$BI89+(VLOOKUP($AM89,$A$12:$B$214,2,0))+各项系数!$J$6+各项系数!$M$5)*(1+$E$2)</f>
        <v>203.597678314581</v>
      </c>
      <c r="BF89" s="261">
        <f>BG89+各项系数!$L$9*$NS89</f>
        <v>207.752732974062</v>
      </c>
      <c r="BG89" s="261">
        <f>BH89*(1+$BJ89+各项系数!$J$5+各项系数!$L$5)</f>
        <v>206.5810225248</v>
      </c>
      <c r="BH89" s="261">
        <f t="shared" si="402"/>
        <v>202.53041424</v>
      </c>
      <c r="BI89" s="288"/>
      <c r="BJ89" s="273"/>
      <c r="BK89" s="74" t="s">
        <v>514</v>
      </c>
      <c r="BL89" s="165">
        <f>BM89+各项系数!$M$9*$NM89</f>
        <v>201.174521429462</v>
      </c>
      <c r="BM89" s="165">
        <f>BN89*(1+$CF89+(VLOOKUP($AM89,$A$12:$B$323,2,0))+各项系数!$J$6+各项系数!$M$5)*(1+$E$2)</f>
        <v>200.017497081662</v>
      </c>
      <c r="BN89" s="261">
        <f>BO89+各项系数!$L$9*$NM89</f>
        <v>204.099486818023</v>
      </c>
      <c r="BO89" s="261">
        <f>BP89*(1+$CG89+各项系数!$J$5+各项系数!$L$5)</f>
        <v>202.942462470223</v>
      </c>
      <c r="BP89" s="261">
        <f t="shared" si="403"/>
        <v>197.031516961382</v>
      </c>
      <c r="BQ89" s="165">
        <f>BR89+各项系数!$M$9*$NM89</f>
        <v>203.362296779336</v>
      </c>
      <c r="BR89" s="165">
        <f>BS89*(1+$CF89+(VLOOKUP($AM89,$A$12:$B$323,2,0))+各项系数!$J$6+各项系数!$M$5)*(1+$E$2)</f>
        <v>202.205272431536</v>
      </c>
      <c r="BS89" s="261">
        <f>BT89+各项系数!$L$9*$NM89</f>
        <v>206.331910644425</v>
      </c>
      <c r="BT89" s="261">
        <f>BU89*(1+$CG89+各项系数!$J$5+各项系数!$L$5)</f>
        <v>205.174886296625</v>
      </c>
      <c r="BU89" s="261">
        <f t="shared" si="404"/>
        <v>199.198918734587</v>
      </c>
      <c r="BV89" s="165">
        <f>BW89+各项系数!$M$9*$NT89</f>
        <v>203.416815019548</v>
      </c>
      <c r="BW89" s="165">
        <f>BX89*(1+$CF89+(VLOOKUP($AM89,$A$12:$B$214,2,0))+各项系数!$J$6+各项系数!$M$5)*(1+$E$2)</f>
        <v>202.245104570285</v>
      </c>
      <c r="BX89" s="261">
        <f>BY89+各项系数!$L$9*$NT$12</f>
        <v>206.372555683965</v>
      </c>
      <c r="BY89" s="261">
        <f>BZ89*(1+$CG89+各项系数!$J$5+各项系数!$L$5)</f>
        <v>206.36429228081</v>
      </c>
      <c r="BZ89" s="261">
        <f t="shared" si="343"/>
        <v>200.353681826029</v>
      </c>
      <c r="CA89" s="165">
        <f>CB89+各项系数!$M$9*$NT89</f>
        <v>205.61400871821</v>
      </c>
      <c r="CB89" s="165">
        <f>CC89*(1+$CF89+(VLOOKUP($AM89,$A$12:$B$214,2,0))+各项系数!$J$6+各项系数!$M$5)*(1+$E$2)</f>
        <v>204.442298268947</v>
      </c>
      <c r="CC89" s="261">
        <f>CD89+各项系数!$L$9*$NT$12</f>
        <v>208.614590070355</v>
      </c>
      <c r="CD89" s="261">
        <f>CE89*(1+$CG89+各项系数!$J$5+各项系数!$L$5)</f>
        <v>208.6063266672</v>
      </c>
      <c r="CE89" s="261">
        <f t="shared" si="405"/>
        <v>202.53041424</v>
      </c>
      <c r="CF89" s="288">
        <f t="shared" si="406"/>
        <v>0</v>
      </c>
      <c r="CG89" s="288">
        <f t="shared" si="344"/>
        <v>0.01</v>
      </c>
      <c r="CH89" s="78"/>
      <c r="CI89" s="165">
        <f>CJ89+各项系数!$M$9*$NO89</f>
        <v>203.898346019961</v>
      </c>
      <c r="CJ89" s="165">
        <f>CK89*(1+$DC89+(VLOOKUP($AM89,$A$12:$B$323,2,0))+各项系数!$J$6+各项系数!$M$5)*(1+$E$2)+各项系数!$M$9*$NK89</f>
        <v>202.330056793422</v>
      </c>
      <c r="CK89" s="261">
        <f>CL89+各项系数!$L$9*$NO89</f>
        <v>205.278604536349</v>
      </c>
      <c r="CL89" s="261">
        <f>CM89*(1+$DD89+各项系数!$J$5+各项系数!$L$5)</f>
        <v>203.71031530981</v>
      </c>
      <c r="CM89" s="261">
        <f t="shared" si="345"/>
        <v>199.715995401775</v>
      </c>
      <c r="CN89" s="165">
        <f>CO89+各项系数!$M$9*$NO89</f>
        <v>206.270278262544</v>
      </c>
      <c r="CO89" s="165">
        <f>CP89*(1+$DC89+(VLOOKUP($AM89,$A$12:$B$323,2,0))+各项系数!$J$6+各项系数!$M$5)*(1+$E$2)+各项系数!$M$9*$NK89</f>
        <v>204.701989036005</v>
      </c>
      <c r="CP89" s="261">
        <f>CQ89+各项系数!$L$9*$NO89</f>
        <v>207.698943559394</v>
      </c>
      <c r="CQ89" s="261">
        <f>CR89*(1+$DD89+各项系数!$J$5+各项系数!$L$5)</f>
        <v>206.130654332855</v>
      </c>
      <c r="CR89" s="261">
        <f t="shared" si="346"/>
        <v>202.088876796917</v>
      </c>
      <c r="CS89" s="165">
        <f>CT89+各项系数!$M$9*$NU89</f>
        <v>206.249731113983</v>
      </c>
      <c r="CT89" s="165">
        <f t="shared" si="347"/>
        <v>204.666050105815</v>
      </c>
      <c r="CU89" s="261">
        <f>CV89+各项系数!$L$9*$NU89</f>
        <v>208.84290827124</v>
      </c>
      <c r="CV89" s="261">
        <f>CW89*(1+$DD89+各项系数!$J$5+各项系数!$L$5)</f>
        <v>207.259227263072</v>
      </c>
      <c r="CW89" s="261">
        <f t="shared" si="348"/>
        <v>203.195320846149</v>
      </c>
      <c r="CX89" s="165">
        <f>CY89+各项系数!$M$9*$NU89</f>
        <v>208.917959057257</v>
      </c>
      <c r="CY89" s="165">
        <f t="shared" si="349"/>
        <v>207.334278049089</v>
      </c>
      <c r="CZ89" s="261">
        <f>DA89+各项系数!$L$9*$NU89</f>
        <v>211.565589846009</v>
      </c>
      <c r="DA89" s="261">
        <f>DB89*(1+$DD89+各项系数!$J$5+各项系数!$L$5)</f>
        <v>209.981908837841</v>
      </c>
      <c r="DB89" s="261">
        <f t="shared" si="350"/>
        <v>205.864616507687</v>
      </c>
      <c r="DC89" s="288">
        <f t="shared" si="407"/>
        <v>0</v>
      </c>
      <c r="DD89" s="288">
        <f t="shared" si="351"/>
        <v>0</v>
      </c>
      <c r="DE89" s="74" t="s">
        <v>498</v>
      </c>
      <c r="DF89" s="74" t="s">
        <v>513</v>
      </c>
      <c r="DG89" s="165">
        <f>DH89+各项系数!$M$9*$NQ89</f>
        <v>206.251995334117</v>
      </c>
      <c r="DH89" s="165">
        <f>DI89*(1+$EA89+(VLOOKUP($AM89,$A$12:$B$323,2,0))+各项系数!$J$6+各项系数!$M$5)*(1+$E$2)+各项系数!$M$9*$NK89</f>
        <v>204.683706107579</v>
      </c>
      <c r="DI89" s="261">
        <f>DJ89+各项系数!$L$9*$NQ89</f>
        <v>207.680287509979</v>
      </c>
      <c r="DJ89" s="261">
        <f>DK89*(1+$EB89+各项系数!$J$5+各项系数!$L$5)</f>
        <v>206.11199828344</v>
      </c>
      <c r="DK89" s="261">
        <f t="shared" si="352"/>
        <v>200.108736197515</v>
      </c>
      <c r="DL89" s="165">
        <f>DM89+各项系数!$M$9*$NQ89</f>
        <v>208.538898804989</v>
      </c>
      <c r="DM89" s="165">
        <f>DN89*(1+$EA89+(VLOOKUP($AM89,$A$12:$B$323,2,0))+各项系数!$J$6+各项系数!$M$5)*(1+$E$2)+各项系数!$M$9*$NK89</f>
        <v>206.97060957845</v>
      </c>
      <c r="DN89" s="261">
        <f>DO89+各项系数!$L$9*$NQ89</f>
        <v>210.013862480256</v>
      </c>
      <c r="DO89" s="261">
        <f>DP89*(1+$EB89+各项系数!$J$5+各项系数!$L$5)</f>
        <v>208.445573253717</v>
      </c>
      <c r="DP89" s="261">
        <f t="shared" si="353"/>
        <v>202.374342964774</v>
      </c>
      <c r="DQ89" s="165">
        <f>DR89+各项系数!$M$9*$NV89</f>
        <v>208.639110479372</v>
      </c>
      <c r="DR89" s="165">
        <f t="shared" si="354"/>
        <v>207.055429471204</v>
      </c>
      <c r="DS89" s="261">
        <f>DT89+各项系数!$L$9*$NV89</f>
        <v>211.281050480821</v>
      </c>
      <c r="DT89" s="261">
        <f>DU89*(1+$EB89+各项系数!$J$5+各项系数!$L$5)</f>
        <v>209.697369472652</v>
      </c>
      <c r="DU89" s="261">
        <f t="shared" si="355"/>
        <v>203.589679099663</v>
      </c>
      <c r="DV89" s="165">
        <f>DW89+各项系数!$M$9*$NV89</f>
        <v>208.523880161181</v>
      </c>
      <c r="DW89" s="165">
        <f t="shared" si="356"/>
        <v>206.940199153013</v>
      </c>
      <c r="DX89" s="261">
        <f>DY89+各项系数!$L$9*$NV89</f>
        <v>211.163468523482</v>
      </c>
      <c r="DY89" s="261">
        <f>DZ89*(1+$EB89+各项系数!$J$5+各项系数!$L$5)</f>
        <v>209.579787515314</v>
      </c>
      <c r="DZ89" s="261">
        <f t="shared" si="357"/>
        <v>203.475521859528</v>
      </c>
      <c r="EA89" s="288">
        <f t="shared" si="439"/>
        <v>0</v>
      </c>
      <c r="EB89" s="288">
        <f t="shared" si="358"/>
        <v>0.01</v>
      </c>
      <c r="EC89" s="303">
        <f t="shared" si="408"/>
        <v>5</v>
      </c>
      <c r="ED89" s="303" t="str">
        <f t="shared" si="442"/>
        <v>5*70</v>
      </c>
      <c r="EE89" s="74">
        <f t="shared" si="239"/>
        <v>70</v>
      </c>
      <c r="EF89" s="74" t="str">
        <f>LOOKUP(EH89,{1,7,10,14,19,24,30,37,48,61},{1,"1+6","2+8","4+10","1+6+12","2+8+14","4+10+16","1+6+12+18","3+9+15+21","1+6+12+18+24"})</f>
        <v>4+10</v>
      </c>
      <c r="EG89" s="78">
        <f t="shared" si="359"/>
        <v>5</v>
      </c>
      <c r="EH89" s="261">
        <f>VLOOKUP(EE89,各项系数!$B$87:$C$124,2,0)</f>
        <v>14</v>
      </c>
      <c r="EI89" s="78">
        <f>IF(EH89=0,0,VLOOKUP(EH89,各项系数!$D$142:$E$195,2,0))*1</f>
        <v>4.41</v>
      </c>
      <c r="EJ89" s="306">
        <f t="shared" si="409"/>
        <v>242.295968589101</v>
      </c>
      <c r="EK89" s="74">
        <f t="shared" si="332"/>
        <v>0</v>
      </c>
      <c r="EL89" s="74">
        <f t="shared" si="360"/>
        <v>0</v>
      </c>
      <c r="EM89" s="74">
        <f t="shared" si="443"/>
        <v>0</v>
      </c>
      <c r="EN89" s="74">
        <f>IF(EP89=0,0,LOOKUP(EP89,{1,7,10,14,19,24,30,37,48,61},{1,"1+6","2+8","4+10","1+6+12","2+8+14","4+10+16","1+6+12+18","3+9+15+21","1+6+12+18+24"}))</f>
        <v>0</v>
      </c>
      <c r="EO89" s="74">
        <f t="shared" si="334"/>
        <v>0</v>
      </c>
      <c r="EP89" s="74">
        <f>IF(EM89=0,0,IF(EM89&lt;10,1,IF(AND(EM89&gt;=10,EM89&lt;=35),7,LOOKUP(EM89,{50,70,95,120,150,185,240,300},{10,14,19,24,30,37,48,61})*1)))</f>
        <v>0</v>
      </c>
      <c r="EQ89" s="74">
        <f>IF(EP89=0,0,VLOOKUP(EP89,各项系数!$D$142:$E$195,2,0))*1</f>
        <v>0</v>
      </c>
      <c r="ER89" s="74">
        <f t="shared" si="335"/>
        <v>0</v>
      </c>
      <c r="ES89" s="303">
        <f t="shared" si="444"/>
        <v>5</v>
      </c>
      <c r="ET89" s="74">
        <f>VLOOKUP(ES89,各项系数!$D$142:$E$195,2,0)*1</f>
        <v>2.7</v>
      </c>
      <c r="EU89" s="311">
        <f>((各项系数!$F$76/4*$EJ89^2*$EG89*$EH89*1*10^-7)*(1-$H89)*AA89)*(VLOOKUP($EY$9,各项系数!$D$4:$F$143,3,0))*各项系数!$J$4</f>
        <v>2.89210852048102</v>
      </c>
      <c r="EV89" s="313">
        <f>EU89*(VLOOKUP($EY$9,各项系数!$D$4:$F$143,2,0))</f>
        <v>189.433108091507</v>
      </c>
      <c r="EW89" s="324">
        <f>(IF($EO89=0,0,(各项系数!$F$76/4*$ER89^2*$EO89*$EP89*1*10^-7))*(1-$K89)*$AF89)*(VLOOKUP($EY$9,各项系数!$D$4:$F$143,3,0))*各项系数!$J$4</f>
        <v>0</v>
      </c>
      <c r="EX89" s="313">
        <f>EW89*(VLOOKUP($EY$9,各项系数!$D$4:$F$143,2,0))</f>
        <v>0</v>
      </c>
      <c r="EY89" s="251">
        <f>((各项系数!$F$76/4*$EJ89^2*$EG89*$EH89*1*10^-7)*(1-$H89)*AA89+IF($EO89=0,0,(各项系数!$F$76/4*$ER89^2*$EO89*$EP89*1*10^-7))*(1-$K89)*$AF89)*(VLOOKUP($EY$9,各项系数!$D$4:$F$143,3,0))*各项系数!$J$4</f>
        <v>2.89210852048102</v>
      </c>
      <c r="EZ89" s="78">
        <v>1</v>
      </c>
      <c r="FA89" s="74">
        <f t="shared" si="445"/>
        <v>2.89210852048102</v>
      </c>
      <c r="FB89" s="313">
        <f>FA89*(VLOOKUP($EY$9,各项系数!$D$4:$F$143,2,0))</f>
        <v>189.433108091507</v>
      </c>
      <c r="FC89" s="328"/>
      <c r="FD89" s="303">
        <f>各项系数!$F$76/4*($MN89^2-MK89^2)*10^-2*(VLOOKUP(L89,各项系数!$D$1:$F$143,3,0))*10^-3*10^2*$EG89*各项系数!$J$4</f>
        <v>0.222878004079897</v>
      </c>
      <c r="FE89" s="340">
        <f>FD89*VLOOKUP(L89,各项系数!$D$1:$F$143,2,0)</f>
        <v>2.27335564161495</v>
      </c>
      <c r="FF89" s="78">
        <f>各项系数!$F$76/4*($MO89^2-ML89^2)*10^-2*(VLOOKUP(L89,各项系数!$D$1:$F$143,3,0))*10^-3*10^2*$EO89*各项系数!$J$4</f>
        <v>0</v>
      </c>
      <c r="FG89" s="340">
        <f>FF89*VLOOKUP(L89,各项系数!$D$1:$F$143,2,0)</f>
        <v>0</v>
      </c>
      <c r="FH89" s="303">
        <f t="shared" si="410"/>
        <v>0.222878004079897</v>
      </c>
      <c r="FI89" s="78">
        <v>1</v>
      </c>
      <c r="FJ89" s="74">
        <f t="shared" si="446"/>
        <v>0.222878004079897</v>
      </c>
      <c r="FK89" s="340">
        <f>FJ89*VLOOKUP(L89,各项系数!$D$1:$F$143,2,0)</f>
        <v>2.27335564161495</v>
      </c>
      <c r="FL89" s="303"/>
      <c r="FM89" s="78"/>
      <c r="FN89" s="74"/>
      <c r="FO89" s="340"/>
      <c r="FP89" s="368">
        <f t="shared" si="447"/>
        <v>0.222878004079897</v>
      </c>
      <c r="FQ89" s="368">
        <f t="shared" si="448"/>
        <v>2.27335564161495</v>
      </c>
      <c r="FR89" s="369">
        <f>各项系数!$F$76/4*($MQ89^2-$MN89^2*$EG89-$MO89^2*$EO89)*10^-2</f>
        <v>2.98614720083841</v>
      </c>
      <c r="FS89" s="370">
        <f t="shared" si="411"/>
        <v>1</v>
      </c>
      <c r="FT89" s="367">
        <f t="shared" si="361"/>
        <v>2.98614720083841</v>
      </c>
      <c r="FU89" s="391">
        <f>$FT89*(VLOOKUP($FT$9,各项系数!$D$1:$F$143,3,0))*10^-3*10^2*各项系数!$J$55</f>
        <v>0.356545975780106</v>
      </c>
      <c r="FV89" s="392">
        <v>1</v>
      </c>
      <c r="FW89" s="393">
        <f t="shared" si="449"/>
        <v>0.356545975780106</v>
      </c>
      <c r="FX89" s="394">
        <f>FW89*(VLOOKUP($FT$9,各项系数!$D$1:$F$143,2,0))</f>
        <v>1.06963792734032</v>
      </c>
      <c r="FY89" s="391">
        <f>IF($BK89&lt;&gt;$FY$9,0,各项系数!$F$76/4*($MS89^2-$MQ89^2)*10^-2*(VLOOKUP($FY$9,各项系数!$D$1:$F$143,3,0))*10^-3*10^2)*各项系数!$J$4</f>
        <v>0</v>
      </c>
      <c r="FZ89" s="392">
        <v>1</v>
      </c>
      <c r="GA89" s="393">
        <f t="shared" si="450"/>
        <v>0</v>
      </c>
      <c r="GB89" s="394">
        <f>GA89*(VLOOKUP($FY$9,各项系数!$D$1:$F$143,2,0))</f>
        <v>0</v>
      </c>
      <c r="GC89" s="391">
        <f>IF($BK89&lt;&gt;$GC$9,0,各项系数!$F$76/4*($MS89^2-$MQ89^2)*10^-2*(VLOOKUP($GC$9,各项系数!$D$1:$F$143,3,0))*10^-3*10^2)*各项系数!$J$4</f>
        <v>0.00949827299132157</v>
      </c>
      <c r="GD89" s="392">
        <v>1</v>
      </c>
      <c r="GE89" s="393">
        <f t="shared" si="451"/>
        <v>0.00949827299132157</v>
      </c>
      <c r="GF89" s="394">
        <f>GE89*(VLOOKUP($GC$9,各项系数!$D$1:$F$143,2,0))</f>
        <v>0.122527721588048</v>
      </c>
      <c r="GG89" s="391">
        <f>IF($BK89&lt;&gt;$GG$9,0,各项系数!$F$76/4*($MS89^2-$MQ89^2)*10^-2*(VLOOKUP($GG$9,各项系数!$D$1:$F$143,3,0))*10^-3*10^2)*各项系数!$J$4</f>
        <v>0</v>
      </c>
      <c r="GH89" s="392">
        <v>1</v>
      </c>
      <c r="GI89" s="393">
        <f t="shared" si="452"/>
        <v>0</v>
      </c>
      <c r="GJ89" s="394">
        <f>GI89*(VLOOKUP($GG$9,各项系数!$D$1:$F$143,2,0))</f>
        <v>0</v>
      </c>
      <c r="GK89" s="391">
        <f>IF($BK89&lt;&gt;$GK$9,0,各项系数!$F$76/4*($MS89^2-$MQ89^2)*10^-2*(VLOOKUP($GK$9,各项系数!$D$1:$F$143,3,0))*10^-3*10^2)*各项系数!$J$4</f>
        <v>0</v>
      </c>
      <c r="GL89" s="392">
        <v>1</v>
      </c>
      <c r="GM89" s="393">
        <f t="shared" si="453"/>
        <v>0</v>
      </c>
      <c r="GN89" s="394">
        <f>GM89*(VLOOKUP($GK$9,各项系数!$D$1:$F$143,2,0))</f>
        <v>0</v>
      </c>
      <c r="GO89" s="393">
        <f t="shared" si="454"/>
        <v>0.00949827299132157</v>
      </c>
      <c r="GP89" s="393">
        <f t="shared" si="455"/>
        <v>0.122527721588048</v>
      </c>
      <c r="GQ89" s="407">
        <f>各项系数!$F$76/4*($MU89^2-$MS89^2)*10^-2*(VLOOKUP($S89,各项系数!$D$1:$F$143,3,0))*10^-3*10^2*各项系数!$J$4</f>
        <v>0.654795951117719</v>
      </c>
      <c r="GR89" s="392">
        <v>1</v>
      </c>
      <c r="GS89" s="393">
        <f t="shared" si="456"/>
        <v>0.654795951117719</v>
      </c>
      <c r="GT89" s="393">
        <f t="shared" si="457"/>
        <v>0</v>
      </c>
      <c r="GU89" s="393">
        <f>ROUND($GS89*(VLOOKUP($S89,各项系数!$D$1:$F$143,2,0))+$E$3*GS89,GT89)</f>
        <v>4</v>
      </c>
      <c r="GV89" s="406">
        <f>各项系数!$F$76/4*($MT89^2-$MS89^2)*10^-2*(VLOOKUP($GV$9,各项系数!$D$1:$F$143,3,0))*10^-3*10^2*各项系数!$J$4*PI()/4*R89</f>
        <v>0.0489536715426863</v>
      </c>
      <c r="GW89" s="392">
        <v>1</v>
      </c>
      <c r="GX89" s="393">
        <f t="shared" si="458"/>
        <v>0.0489536715426863</v>
      </c>
      <c r="GY89" s="393">
        <f>$GX89*(VLOOKUP($GV$9,各项系数!$D$1:$F$143,2,0))</f>
        <v>3.30437282913133</v>
      </c>
      <c r="GZ89" s="407">
        <f>各项系数!$F$76/4*($MV89^2-$MS89^2)*10^-2*(VLOOKUP($GZ$9,各项系数!$D$1:$F$143,3,0))*10^-3*10^2*各项系数!$J$4</f>
        <v>0.370605256031592</v>
      </c>
      <c r="HA89" s="392">
        <v>1</v>
      </c>
      <c r="HB89" s="393">
        <f t="shared" si="412"/>
        <v>0.370605256031592</v>
      </c>
      <c r="HC89" s="393">
        <f>HB89*(VLOOKUP($GZ$9,各项系数!$D$1:$F$143,2,0))</f>
        <v>6.30028935253707</v>
      </c>
      <c r="HD89" s="407">
        <f>各项系数!$F$76/4*($MW89^2-$MT89^2)*10^-2*(VLOOKUP($HD$9,各项系数!$D$1:$F$143,3,0))*10^-3*10^2*各项系数!$J$4</f>
        <v>0.372200707577533</v>
      </c>
      <c r="HE89" s="392">
        <v>1</v>
      </c>
      <c r="HF89" s="393">
        <f t="shared" si="413"/>
        <v>0.372200707577533</v>
      </c>
      <c r="HG89" s="393">
        <f>HF89*(VLOOKUP($HD$9,各项系数!$D$1:$F$143,2,0))</f>
        <v>6.32741202881806</v>
      </c>
      <c r="HH89" s="407">
        <f>各项系数!$F$76/4*($MV89^2-$MS89^2)*10^-2*(VLOOKUP($HH$9,各项系数!$D$1:$F$143,3,0))*10^-3*10^2*各项系数!$J$4</f>
        <v>0.370605256031592</v>
      </c>
      <c r="HI89" s="393">
        <v>1</v>
      </c>
      <c r="HJ89" s="393">
        <f t="shared" si="414"/>
        <v>0.370605256031592</v>
      </c>
      <c r="HK89" s="393">
        <f>HJ89*(VLOOKUP($HH$9,各项系数!$D$1:$F$143,2,0))</f>
        <v>6.30028935253707</v>
      </c>
      <c r="HL89" s="407">
        <f>各项系数!$F$76/4*($MW89^2-$MT89^2)*10^-2*(VLOOKUP($HL$9,各项系数!$D$1:$F$143,3,0))*10^-3*10^2*各项系数!$J$4</f>
        <v>0.372200707577533</v>
      </c>
      <c r="HM89" s="393">
        <v>1</v>
      </c>
      <c r="HN89" s="393">
        <f t="shared" si="362"/>
        <v>0.372200707577533</v>
      </c>
      <c r="HO89" s="393">
        <f>HN89*(VLOOKUP($HL$9,各项系数!$D$1:$F$143,2,0))</f>
        <v>6.32741202881806</v>
      </c>
      <c r="HP89" s="407">
        <f>各项系数!$F$76/4*($MV89^2-$MS89^2)*10^-2*(VLOOKUP(AN89,各项系数!$D$1:$F$143,3,0))*10^-3*10^2*各项系数!$J$4</f>
        <v>0.375717052666511</v>
      </c>
      <c r="HQ89" s="392">
        <v>1</v>
      </c>
      <c r="HR89" s="393">
        <f t="shared" si="459"/>
        <v>0.375717052666511</v>
      </c>
      <c r="HS89" s="393">
        <f>HR89*(VLOOKUP(AN89,各项系数!$D$1:$F$143,2,0))</f>
        <v>3.75717052666511</v>
      </c>
      <c r="HT89" s="407">
        <f>各项系数!$F$76/4*($MW89^2-$MT89^2)*10^-2*(VLOOKUP(AN89,各项系数!$D$1:$F$143,3,0))*10^-3*10^2*各项系数!$J$4</f>
        <v>0.377334510440671</v>
      </c>
      <c r="HU89" s="392">
        <v>1</v>
      </c>
      <c r="HV89" s="393">
        <f t="shared" si="460"/>
        <v>0.377334510440671</v>
      </c>
      <c r="HW89" s="393">
        <f>HV89*(VLOOKUP(AN89,各项系数!$D$1:$F$143,2,0))</f>
        <v>3.77334510440671</v>
      </c>
      <c r="HX89" s="407">
        <f>各项系数!$F$76/4*($MV89^2-$MS89^2)*10^-2*(VLOOKUP($HX$9,各项系数!$D$1:$F$143,3,0))*10^-3*10^2*各项系数!$J$4</f>
        <v>0.375717052666511</v>
      </c>
      <c r="HY89" s="393">
        <v>1</v>
      </c>
      <c r="HZ89" s="393">
        <f t="shared" si="461"/>
        <v>0.375717052666511</v>
      </c>
      <c r="IA89" s="393">
        <f>HZ89*(VLOOKUP($HX$9,各项系数!$D$1:$F$143,2,0))</f>
        <v>4.13288757933162</v>
      </c>
      <c r="IB89" s="407">
        <f>各项系数!$F$76/4*($MW89^2-$MT89^2)*10^-2*(VLOOKUP($IB$9,各项系数!$D$1:$F$143,3,0))*10^-3*10^2*各项系数!$J$4</f>
        <v>0.377334510440671</v>
      </c>
      <c r="IC89" s="393">
        <v>1</v>
      </c>
      <c r="ID89" s="393">
        <f t="shared" si="462"/>
        <v>0.377334510440671</v>
      </c>
      <c r="IE89" s="393">
        <f>ID89*(VLOOKUP($IB$9,各项系数!$D$1:$F$143,2,0))</f>
        <v>4.15067961484738</v>
      </c>
      <c r="IF89" s="391"/>
      <c r="IG89" s="407">
        <f t="shared" si="415"/>
        <v>0.0772619214714319</v>
      </c>
      <c r="IH89" s="392">
        <v>1</v>
      </c>
      <c r="II89" s="393">
        <f t="shared" si="463"/>
        <v>0.0772619214714319</v>
      </c>
      <c r="IJ89" s="393">
        <f>II89*(VLOOKUP($IG$8,各项系数!$D$1:$F$143,2,0))</f>
        <v>1.9315480367858</v>
      </c>
      <c r="IK89" s="407">
        <f>(各项系数!$F$76/4*($MX89^2-$MK89^2)*$EG89)*10^-2*(VLOOKUP($IG$8,各项系数!$D$1:$F$143,3,0))*10^-3*10^2*各项系数!$J$4</f>
        <v>0.0772619214714319</v>
      </c>
      <c r="IL89" s="392">
        <f>IK89*(VLOOKUP($IG$8,各项系数!$D$1:$F$143,2,0))</f>
        <v>1.9315480367858</v>
      </c>
      <c r="IM89" s="393">
        <f>(各项系数!$F$76/4*(($MM89+3*$X89)^2-MM89^2)*$EO89)*10^-2*(VLOOKUP($IG$8,各项系数!$D$1:$F$143,3,0))*10^-3*10^2*各项系数!$J$4</f>
        <v>0</v>
      </c>
      <c r="IN89" s="392">
        <f>IM89*(VLOOKUP($IG$8,各项系数!$D$1:$F$143,2,0))</f>
        <v>0</v>
      </c>
      <c r="IO89" s="407">
        <f>各项系数!$F$76/4*($MZ89^2-$MX89^2)*10^-2*(VLOOKUP(L89,各项系数!$D$1:$F$143,3,0))*10^-3*10^2*$ES89*各项系数!$J$4</f>
        <v>0.234224965505765</v>
      </c>
      <c r="IP89" s="392">
        <v>1</v>
      </c>
      <c r="IQ89" s="393">
        <f t="shared" si="464"/>
        <v>0.234224965505765</v>
      </c>
      <c r="IR89" s="394">
        <f>IQ89*(VLOOKUP(L89,各项系数!$D$1:$F$143,2,0))</f>
        <v>2.38909464815881</v>
      </c>
      <c r="IS89" s="407">
        <f>IF($L89&lt;&gt;$IS$9,0,各项系数!$F$76/4*($MZ89^2-$MX89^2)*10^-2*各项系数!$F$12*10^-3*10^2)*$ES89*各项系数!$J$4</f>
        <v>0</v>
      </c>
      <c r="IT89" s="392">
        <v>1</v>
      </c>
      <c r="IU89" s="393">
        <f t="shared" si="465"/>
        <v>0</v>
      </c>
      <c r="IV89" s="394">
        <f>IU89*各项系数!$E$12</f>
        <v>0</v>
      </c>
      <c r="IW89" s="391">
        <f t="shared" si="466"/>
        <v>0.234224965505765</v>
      </c>
      <c r="IX89" s="391">
        <f t="shared" si="467"/>
        <v>2.38909464815881</v>
      </c>
      <c r="IY89" s="448">
        <f>各项系数!$F$76/4*($NB89^2-$MZ89^2*$EG89-$NA89^2*$EO89)*10^-2</f>
        <v>3.27072109170305</v>
      </c>
      <c r="IZ89" s="370">
        <f t="shared" si="487"/>
        <v>1</v>
      </c>
      <c r="JA89" s="367">
        <f t="shared" si="363"/>
        <v>3.27072109170305</v>
      </c>
      <c r="JB89" s="368">
        <f>IF($DE89&lt;&gt;$JB$9,0,$JA89*各项系数!$F$32*10^-3*10^2)*各项系数!$J$4</f>
        <v>0</v>
      </c>
      <c r="JC89" s="78">
        <v>1</v>
      </c>
      <c r="JD89" s="74">
        <f t="shared" si="468"/>
        <v>0</v>
      </c>
      <c r="JE89" s="340">
        <f>JD89*各项系数!$E$32</f>
        <v>0</v>
      </c>
      <c r="JF89" s="364">
        <f>IF($DE89&lt;&gt;$JF$9,0,$JA89*VLOOKUP($JF$9,各项系数!$D$4:$F$540,2,0)*10^-3*10^2)*各项系数!$J$4</f>
        <v>1.62718374312227</v>
      </c>
      <c r="JG89" s="123">
        <v>1</v>
      </c>
      <c r="JH89" s="251">
        <f t="shared" si="364"/>
        <v>1.62718374312227</v>
      </c>
      <c r="JI89" s="339">
        <f>JH89*VLOOKUP($JF$9,各项系数!$D$4:$F$540,3,0)</f>
        <v>1.95262049174672</v>
      </c>
      <c r="JJ89" s="368">
        <f t="shared" si="469"/>
        <v>1.62718374312227</v>
      </c>
      <c r="JK89" s="74">
        <f t="shared" si="470"/>
        <v>1.95262049174672</v>
      </c>
      <c r="JL89" s="368">
        <f>IF($DF89&lt;&gt;$JL$9,0,各项系数!$F$76/4*($NE89^2-$NC89^2)*10^-2*各项系数!$F$39*10^-3*10^2)*各项系数!$J$4</f>
        <v>0.00411080880906372</v>
      </c>
      <c r="JM89" s="78">
        <v>1</v>
      </c>
      <c r="JN89" s="74">
        <f t="shared" si="471"/>
        <v>0.00411080880906372</v>
      </c>
      <c r="JO89" s="340">
        <f>JN89*各项系数!$E$39</f>
        <v>0.0822161761812744</v>
      </c>
      <c r="JP89" s="368">
        <f>IF($DF89&lt;&gt;$JP$9,0,各项系数!$F$76/4*($NE89^2-$NC89^2)*10^-2*各项系数!$F$36*10^-3*10^2)*各项系数!$J$4</f>
        <v>0</v>
      </c>
      <c r="JQ89" s="78">
        <v>1</v>
      </c>
      <c r="JR89" s="74">
        <f t="shared" si="472"/>
        <v>0</v>
      </c>
      <c r="JS89" s="340">
        <f>JR89*各项系数!$E$36</f>
        <v>0</v>
      </c>
      <c r="JT89" s="368">
        <f>IF($DF89&lt;&gt;$JT$9,0,各项系数!$F$76/4*($NE89^2-$NC89^2)*10^-2*各项系数!$F$40*10^-3*10^2)*各项系数!$J$4</f>
        <v>0</v>
      </c>
      <c r="JU89" s="78">
        <v>1</v>
      </c>
      <c r="JV89" s="74">
        <f t="shared" si="473"/>
        <v>0</v>
      </c>
      <c r="JW89" s="340">
        <f>JV89*各项系数!$E$40</f>
        <v>0</v>
      </c>
      <c r="JX89" s="368">
        <f>IF($DF89&lt;&gt;$JX$9,0,各项系数!$F$76/4*($NE89^2-$NC89^2)*10^-2*各项系数!$F$38*10^-3*10^2)*各项系数!$J$4</f>
        <v>0</v>
      </c>
      <c r="JY89" s="78">
        <v>1</v>
      </c>
      <c r="JZ89" s="74">
        <f t="shared" si="474"/>
        <v>0</v>
      </c>
      <c r="KA89" s="340">
        <f>JZ89*各项系数!$E$38</f>
        <v>0</v>
      </c>
      <c r="KB89" s="368">
        <f>IF($DF89&lt;&gt;$KB$9,0,各项系数!$F$76/4*($NE89^2-$NC89^2)*10^-2*各项系数!$F$41*10^-3*10^2)*各项系数!$J$4</f>
        <v>0</v>
      </c>
      <c r="KC89" s="78">
        <v>1</v>
      </c>
      <c r="KD89" s="74">
        <f t="shared" si="475"/>
        <v>0</v>
      </c>
      <c r="KE89" s="340">
        <f>KD89*各项系数!$E$41</f>
        <v>0</v>
      </c>
      <c r="KF89" s="74">
        <f t="shared" si="476"/>
        <v>0.00411080880906372</v>
      </c>
      <c r="KG89" s="74">
        <f t="shared" si="477"/>
        <v>0.0822161761812744</v>
      </c>
      <c r="KH89" s="303">
        <f>各项系数!$F$76/4*($NG89^2-$NE89^2)*10^-2*各项系数!$F$44*10^-3*10^2*各项系数!$J$4*0.75*$U89</f>
        <v>1.02850387710485</v>
      </c>
      <c r="KI89" s="78">
        <v>1</v>
      </c>
      <c r="KJ89" s="74">
        <f t="shared" si="478"/>
        <v>1.02850387710485</v>
      </c>
      <c r="KK89" s="74">
        <f>ROUND(KJ89*各项系数!$E$43,GT89)</f>
        <v>6</v>
      </c>
      <c r="KL89" s="302">
        <f>各项系数!$F$76/4*($NF89^2-$NE89^2)*10^-2*各项系数!$F$46*10^-3*10^2*各项系数!$J$4*PI()/4*R89</f>
        <v>0.0513059387649233</v>
      </c>
      <c r="KM89" s="78">
        <v>1</v>
      </c>
      <c r="KN89" s="74">
        <f t="shared" si="479"/>
        <v>0.0513059387649233</v>
      </c>
      <c r="KO89" s="74">
        <f>KN89*各项系数!$E$46</f>
        <v>3.46315086663232</v>
      </c>
      <c r="KP89" s="303">
        <f>各项系数!$F$76/4*($NH89^2-$NE89^2)*10^-2*(VLOOKUP($KP$9,各项系数!$D$1:$F$143,3,0))*10^-3*10^2*各项系数!$J$4</f>
        <v>0.387397383552614</v>
      </c>
      <c r="KQ89" s="78">
        <v>1</v>
      </c>
      <c r="KR89" s="74">
        <f t="shared" si="416"/>
        <v>0.387397383552614</v>
      </c>
      <c r="KS89" s="74">
        <f>KR89*(VLOOKUP($KP$9,各项系数!$D$1:$F$143,2,0))</f>
        <v>6.58575552039444</v>
      </c>
      <c r="KT89" s="303">
        <f>各项系数!$F$76/4*($NI89^2-$NF89^2)*10^-2*(VLOOKUP($KT$9,各项系数!$D$1:$F$143,3,0))*10^-3*10^2*各项系数!$J$4</f>
        <v>0.388992835098554</v>
      </c>
      <c r="KU89" s="78">
        <v>1</v>
      </c>
      <c r="KV89" s="74">
        <f t="shared" si="417"/>
        <v>0.388992835098554</v>
      </c>
      <c r="KW89" s="74">
        <f>KV89*(VLOOKUP($KT$9,各项系数!$D$1:$F$143,2,0))</f>
        <v>6.61287819667542</v>
      </c>
      <c r="KX89" s="74">
        <f>各项系数!$F$76/4*($NH89^2-$NE89^2)*10^-2*(VLOOKUP($KX$9,各项系数!$D$1:$F$143,3,0))*10^-3*10^2*各项系数!$J$4</f>
        <v>0.387397383552614</v>
      </c>
      <c r="KY89" s="480">
        <v>1</v>
      </c>
      <c r="KZ89" s="74">
        <f t="shared" si="418"/>
        <v>0.387397383552614</v>
      </c>
      <c r="LA89" s="74">
        <f>KZ89*(VLOOKUP($KX$9,各项系数!$D$1:$F$143,2,0))</f>
        <v>6.58575552039444</v>
      </c>
      <c r="LB89" s="74">
        <f>各项系数!$F$76/4*($NI89^2-$NF89^2)*10^-2*(VLOOKUP($LB$9,各项系数!$D$1:$F$143,3,0))*10^-3*10^2*各项系数!$J$4</f>
        <v>0.388992835098554</v>
      </c>
      <c r="LC89" s="480">
        <v>1</v>
      </c>
      <c r="LD89" s="74">
        <f t="shared" si="419"/>
        <v>0.388992835098554</v>
      </c>
      <c r="LE89" s="74">
        <f>LD89*(VLOOKUP($LB$9,各项系数!$D$1:$F$143,2,0))</f>
        <v>6.61287819667542</v>
      </c>
      <c r="LF89" s="303">
        <f>各项系数!$F$76/4*($NH89^2-$NE89^2)*10^-2*(VLOOKUP(AN89,各项系数!$D$1:$F$143,3,0))*10^-3*10^2*各项系数!$J$4</f>
        <v>0.392740795739547</v>
      </c>
      <c r="LG89" s="78">
        <v>1</v>
      </c>
      <c r="LH89" s="74">
        <f t="shared" si="480"/>
        <v>0.392740795739547</v>
      </c>
      <c r="LI89" s="74">
        <f>LH89*(VLOOKUP(AN89,各项系数!$D$1:$F$143,2,0))</f>
        <v>3.92740795739547</v>
      </c>
      <c r="LJ89" s="303">
        <f>各项系数!$F$76/4*($NI89^2-$NF89^2)*10^-2*(VLOOKUP(AN89,各项系数!$D$1:$F$143,3,0))*10^-3*10^2*各项系数!$J$4</f>
        <v>0.394358253513706</v>
      </c>
      <c r="LK89" s="78">
        <v>1</v>
      </c>
      <c r="LL89" s="74">
        <f t="shared" si="481"/>
        <v>0.394358253513706</v>
      </c>
      <c r="LM89" s="74">
        <f>LL89*(VLOOKUP(AN89,各项系数!$D$1:$F$143,2,0))</f>
        <v>3.94358253513706</v>
      </c>
      <c r="LN89" s="74">
        <f>各项系数!$F$76/4*($NH89^2-$NE89^2)*10^-2*(VLOOKUP($LN$9,各项系数!$D$1:$F$143,3,0))*10^-3*10^2*各项系数!$J$4</f>
        <v>0.392740795739547</v>
      </c>
      <c r="LO89" s="480">
        <v>1</v>
      </c>
      <c r="LP89" s="74">
        <f t="shared" si="482"/>
        <v>0.392740795739547</v>
      </c>
      <c r="LQ89" s="74">
        <f>LP89*(VLOOKUP($LN$9,各项系数!$D$1:$F$143,2,0))</f>
        <v>4.32014875313501</v>
      </c>
      <c r="LR89" s="74">
        <f>各项系数!$F$76/4*($NI89^2-$NF89^2)*10^-2*(VLOOKUP($LR$9,各项系数!$D$1:$F$143,3,0))*10^-3*10^2*各项系数!$J$4</f>
        <v>0.394358253513706</v>
      </c>
      <c r="LS89" s="480">
        <v>1</v>
      </c>
      <c r="LT89" s="74">
        <f t="shared" si="483"/>
        <v>0.394358253513706</v>
      </c>
      <c r="LU89" s="74">
        <f>LT89*(VLOOKUP($LR$9,各项系数!$D$1:$F$143,2,0))</f>
        <v>4.33794078865077</v>
      </c>
      <c r="LV89" s="500">
        <f t="shared" si="420"/>
        <v>448.3626655</v>
      </c>
      <c r="LW89" s="500">
        <f t="shared" si="421"/>
        <v>322.76044037</v>
      </c>
      <c r="LX89" s="500">
        <f t="shared" si="422"/>
        <v>20.271935185256</v>
      </c>
      <c r="LY89" s="518">
        <f t="shared" si="423"/>
        <v>125.60222513</v>
      </c>
      <c r="LZ89" s="516">
        <f t="shared" si="365"/>
        <v>1</v>
      </c>
      <c r="MA89" s="517">
        <f t="shared" si="366"/>
        <v>448.3626655</v>
      </c>
      <c r="MB89" s="500">
        <f t="shared" si="424"/>
        <v>10.68525223</v>
      </c>
      <c r="MC89" s="500">
        <f t="shared" si="425"/>
        <v>0</v>
      </c>
      <c r="MD89" s="500">
        <f t="shared" si="426"/>
        <v>0</v>
      </c>
      <c r="ME89" s="500">
        <f t="shared" si="427"/>
        <v>0</v>
      </c>
      <c r="MF89" s="500">
        <f t="shared" si="428"/>
        <v>0</v>
      </c>
      <c r="MG89" s="526">
        <f t="shared" si="429"/>
        <v>1</v>
      </c>
      <c r="MH89" s="517">
        <f t="shared" si="367"/>
        <v>0</v>
      </c>
      <c r="MI89" s="500">
        <f t="shared" si="430"/>
        <v>0</v>
      </c>
      <c r="MJ89" s="74">
        <f t="shared" si="368"/>
        <v>10.68525223</v>
      </c>
      <c r="MK89" s="74">
        <f t="shared" si="431"/>
        <v>10.68525223</v>
      </c>
      <c r="ML89" s="74">
        <f t="shared" si="484"/>
        <v>0</v>
      </c>
      <c r="MM89" s="74">
        <f t="shared" si="369"/>
        <v>0</v>
      </c>
      <c r="MN89" s="74">
        <f t="shared" si="370"/>
        <v>12.88525223</v>
      </c>
      <c r="MO89" s="74">
        <f t="shared" si="432"/>
        <v>0</v>
      </c>
      <c r="MP89" s="74">
        <f t="shared" si="433"/>
        <v>34.79018102</v>
      </c>
      <c r="MQ89" s="74">
        <f t="shared" si="485"/>
        <v>34.79018102</v>
      </c>
      <c r="MR89" s="313">
        <f t="shared" si="434"/>
        <v>34.79018102</v>
      </c>
      <c r="MS89" s="530">
        <f t="shared" si="371"/>
        <v>34.96618102</v>
      </c>
      <c r="MT89" s="531">
        <f t="shared" si="372"/>
        <v>35.12618102</v>
      </c>
      <c r="MU89" s="531">
        <f t="shared" si="373"/>
        <v>36.46618102</v>
      </c>
      <c r="MV89" s="531">
        <f t="shared" si="374"/>
        <v>39.36618102</v>
      </c>
      <c r="MW89" s="531">
        <f t="shared" si="375"/>
        <v>39.52618102</v>
      </c>
      <c r="MX89" s="313">
        <f t="shared" si="376"/>
        <v>11.28525223</v>
      </c>
      <c r="MY89" s="313">
        <f t="shared" si="377"/>
        <v>0</v>
      </c>
      <c r="MZ89" s="74">
        <f t="shared" si="378"/>
        <v>13.48525223</v>
      </c>
      <c r="NA89" s="74">
        <f t="shared" si="379"/>
        <v>0</v>
      </c>
      <c r="NB89" s="74">
        <f t="shared" si="435"/>
        <v>36.41018102</v>
      </c>
      <c r="NC89" s="313">
        <f t="shared" si="486"/>
        <v>36.41018102</v>
      </c>
      <c r="ND89" s="313">
        <f t="shared" si="436"/>
        <v>36.41018102</v>
      </c>
      <c r="NE89" s="555">
        <f t="shared" si="437"/>
        <v>36.65018102</v>
      </c>
      <c r="NF89" s="531">
        <f t="shared" si="380"/>
        <v>36.81018102</v>
      </c>
      <c r="NG89" s="168">
        <f t="shared" si="381"/>
        <v>38.15018102</v>
      </c>
      <c r="NH89" s="313">
        <f t="shared" si="382"/>
        <v>41.05018102</v>
      </c>
      <c r="NI89" s="531">
        <f t="shared" si="383"/>
        <v>41.21018102</v>
      </c>
      <c r="NK89" s="28">
        <f t="shared" si="384"/>
        <v>3.85674782599886</v>
      </c>
      <c r="NL89" s="28">
        <f t="shared" si="385"/>
        <v>196.655799908715</v>
      </c>
      <c r="NM89" s="28">
        <f t="shared" si="386"/>
        <v>3.85674782599886</v>
      </c>
      <c r="NN89" s="28">
        <f t="shared" si="387"/>
        <v>197.031516961382</v>
      </c>
      <c r="NO89" s="28">
        <f t="shared" si="388"/>
        <v>5.22763075512909</v>
      </c>
      <c r="NP89" s="28">
        <f t="shared" si="389"/>
        <v>199.715995401775</v>
      </c>
      <c r="NQ89" s="28">
        <f t="shared" si="390"/>
        <v>5.22763075512909</v>
      </c>
      <c r="NR89" s="28">
        <f t="shared" si="391"/>
        <v>200.108736197515</v>
      </c>
      <c r="NS89" s="28">
        <f t="shared" si="392"/>
        <v>3.90570149754154</v>
      </c>
      <c r="NT89" s="28">
        <f t="shared" si="393"/>
        <v>3.90570149754154</v>
      </c>
      <c r="NU89" s="28">
        <f t="shared" si="394"/>
        <v>5.27893669389402</v>
      </c>
      <c r="NV89" s="28">
        <f t="shared" si="395"/>
        <v>5.27893669389402</v>
      </c>
      <c r="NW89" s="13">
        <f t="shared" si="396"/>
        <v>4.51154377711658</v>
      </c>
      <c r="NX89" s="13">
        <f>各项系数!$M$9*NK89</f>
        <v>1.15702434779966</v>
      </c>
      <c r="NY89" s="13">
        <f t="shared" si="397"/>
        <v>3.90570149754154</v>
      </c>
    </row>
    <row r="90" s="11" customFormat="1" customHeight="1" spans="1:389">
      <c r="A90" s="81"/>
      <c r="B90" s="82"/>
      <c r="C90" s="83"/>
      <c r="D90" s="74" t="s">
        <v>203</v>
      </c>
      <c r="E90" s="70">
        <f t="shared" si="325"/>
        <v>44.0028877</v>
      </c>
      <c r="F90" s="84">
        <f>$F$26</f>
        <v>245.088056587712</v>
      </c>
      <c r="G90" s="74"/>
      <c r="H90" s="78"/>
      <c r="I90" s="78"/>
      <c r="J90" s="23"/>
      <c r="K90" s="78"/>
      <c r="L90" s="128" t="s">
        <v>467</v>
      </c>
      <c r="M90" s="119">
        <f t="shared" si="339"/>
        <v>1.1</v>
      </c>
      <c r="N90" s="119">
        <f t="shared" si="340"/>
        <v>0</v>
      </c>
      <c r="O90" s="74">
        <f t="shared" si="488"/>
        <v>0.08</v>
      </c>
      <c r="P90" s="120">
        <v>0.1</v>
      </c>
      <c r="Q90" s="165">
        <f t="shared" si="440"/>
        <v>0.1</v>
      </c>
      <c r="R90" s="182">
        <v>0.8</v>
      </c>
      <c r="S90" s="173" t="str">
        <f>各项系数!$D$43</f>
        <v>钢带</v>
      </c>
      <c r="T90" s="78">
        <v>0.5</v>
      </c>
      <c r="U90" s="78">
        <v>2</v>
      </c>
      <c r="V90" s="172"/>
      <c r="W90" s="174">
        <v>2.4</v>
      </c>
      <c r="X90" s="168">
        <f t="shared" si="441"/>
        <v>0.2</v>
      </c>
      <c r="Y90" s="221"/>
      <c r="Z90" s="222"/>
      <c r="AA90" s="223">
        <f>$AA$26</f>
        <v>1.013</v>
      </c>
      <c r="AB90" s="186">
        <f>PI()*EJ90*EJ90/4*EH90*(1-H90)*AA90*各项系数!$F$5*各项系数!$J$4*10^-7</f>
        <v>0.803196977708722</v>
      </c>
      <c r="AC90" s="224">
        <f t="shared" si="327"/>
        <v>245.088056587712</v>
      </c>
      <c r="AD90" s="186">
        <f t="shared" si="341"/>
        <v>90.8023783381159</v>
      </c>
      <c r="AE90" s="186">
        <f>POWER(4*EU90/PI()/EG90/10^-7/EH90/(1-H90)/各项系数!$F$5/各项系数!$J$4,0.5)</f>
        <v>246.675984853019</v>
      </c>
      <c r="AF90" s="225">
        <v>1</v>
      </c>
      <c r="AG90" s="23">
        <f>IF(EM90=0,0,PI()*ER90*ER90/4*EP90*(1-K90)*(1+AF90)*各项系数!$F$5*各项系数!$J$4*10^-7)</f>
        <v>0</v>
      </c>
      <c r="AH90" s="23">
        <f t="shared" si="328"/>
        <v>0</v>
      </c>
      <c r="AI90" s="85">
        <f t="shared" si="398"/>
        <v>0</v>
      </c>
      <c r="AJ90" s="85">
        <f>IF(OR(EP90="",EP90=0),0,POWER(4*EW90/PI()/EO90/10^-7/EP90/(1-K90)/各项系数!$F$5/各项系数!$J$4,0.5))</f>
        <v>0</v>
      </c>
      <c r="AK90" s="23" t="str">
        <f t="shared" si="342"/>
        <v>√</v>
      </c>
      <c r="AL90" s="23">
        <f t="shared" si="329"/>
        <v>280.160034958674</v>
      </c>
      <c r="AM90" s="127">
        <f t="shared" si="330"/>
        <v>95</v>
      </c>
      <c r="AN90" s="128" t="s">
        <v>486</v>
      </c>
      <c r="AO90" s="176">
        <f>AP90+各项系数!$M$9*$NK90</f>
        <v>274.666700939877</v>
      </c>
      <c r="AP90" s="176">
        <f>AQ90*(1+$BI90+(VLOOKUP($AM90,$A$12:$B$323,2,0))+各项系数!$J$6+各项系数!$M$5)*(1+$E$2)</f>
        <v>273.110701487315</v>
      </c>
      <c r="AQ90" s="262">
        <f>AR90+各项系数!$L$9*$NK90</f>
        <v>278.684389272771</v>
      </c>
      <c r="AR90" s="262">
        <f>AS90*(1+$BJ90+各项系数!$J$5+各项系数!$L$5)</f>
        <v>277.128389820209</v>
      </c>
      <c r="AS90" s="262">
        <f t="shared" si="399"/>
        <v>271.694499823734</v>
      </c>
      <c r="AT90" s="176">
        <f>AU90+各项系数!$M$9*$NM90</f>
        <v>277.770953156173</v>
      </c>
      <c r="AU90" s="176">
        <f>AV90*(1+$BI90+(VLOOKUP($AM90,$A$12:$B$323,2,0))+各项系数!$J$6+各项系数!$M$5)*(1+$E$2)</f>
        <v>276.214953703612</v>
      </c>
      <c r="AV90" s="262">
        <f>AW90+各项系数!$L$9*$NM90</f>
        <v>281.851993575114</v>
      </c>
      <c r="AW90" s="262">
        <f>AX90*(1+$BJ90+各项系数!$J$5+各项系数!$L$5)</f>
        <v>280.295994122553</v>
      </c>
      <c r="AX90" s="262">
        <f t="shared" si="400"/>
        <v>274.799994237797</v>
      </c>
      <c r="AY90" s="176">
        <f>AZ90+各项系数!$M$9*$NS90</f>
        <v>278.419287093613</v>
      </c>
      <c r="AZ90" s="176">
        <f>BA90*(1+$BI90+(VLOOKUP($AM90,$A$12:$B$214,2,0))+各项系数!$J$6+各项系数!$M$5)*(1+$E$2)</f>
        <v>276.846826147738</v>
      </c>
      <c r="BA90" s="262">
        <f>BB90+各项系数!$L$9*$NS90</f>
        <v>282.496761375243</v>
      </c>
      <c r="BB90" s="262">
        <f>BC90*(1+$BJ90+各项系数!$J$5+各项系数!$L$5)</f>
        <v>280.924300429368</v>
      </c>
      <c r="BC90" s="262">
        <f t="shared" si="401"/>
        <v>275.415980813106</v>
      </c>
      <c r="BD90" s="176">
        <f>BE90+各项系数!$M$9*$NS90</f>
        <v>281.535477912782</v>
      </c>
      <c r="BE90" s="176">
        <f>BF90*(1+$BI90+(VLOOKUP($AM90,$A$12:$B$214,2,0))+各项系数!$J$6+各项系数!$M$5)*(1+$E$2)</f>
        <v>279.963016966908</v>
      </c>
      <c r="BF90" s="262">
        <f>BG90+各项系数!$L$9*$NS90</f>
        <v>285.676547925416</v>
      </c>
      <c r="BG90" s="262">
        <f>BH90*(1+$BJ90+各项系数!$J$5+各项系数!$L$5)</f>
        <v>284.104086979541</v>
      </c>
      <c r="BH90" s="262">
        <f t="shared" si="402"/>
        <v>278.533418607393</v>
      </c>
      <c r="BI90" s="278"/>
      <c r="BJ90" s="279"/>
      <c r="BK90" s="95" t="s">
        <v>514</v>
      </c>
      <c r="BL90" s="176">
        <f>BM90+各项系数!$M$9*$NM90</f>
        <v>277.792421461313</v>
      </c>
      <c r="BM90" s="176">
        <f>BN90*(1+$CF90+(VLOOKUP($AM90,$A$12:$B$323,2,0))+各项系数!$J$6+各项系数!$M$5)*(1+$E$2)</f>
        <v>276.236422008752</v>
      </c>
      <c r="BN90" s="262">
        <f>BO90+各项系数!$L$9*$NM90</f>
        <v>281.873900008931</v>
      </c>
      <c r="BO90" s="262">
        <f>BP90*(1+$CG90+各项系数!$J$5+各项系数!$L$5)</f>
        <v>280.317900556369</v>
      </c>
      <c r="BP90" s="262">
        <f t="shared" si="403"/>
        <v>272.153301511038</v>
      </c>
      <c r="BQ90" s="176">
        <f>BR90+各项系数!$M$9*$NM90</f>
        <v>280.463993099704</v>
      </c>
      <c r="BR90" s="176">
        <f>BS90*(1+$CF90+(VLOOKUP($AM90,$A$12:$B$323,2,0))+各项系数!$J$6+各项系数!$M$5)*(1+$E$2)</f>
        <v>278.907993647142</v>
      </c>
      <c r="BS90" s="262">
        <f>BT90+各项系数!$L$9*$NM90</f>
        <v>284.599993517492</v>
      </c>
      <c r="BT90" s="262">
        <f>BU90*(1+$CG90+各项系数!$J$5+各项系数!$L$5)</f>
        <v>283.043994064931</v>
      </c>
      <c r="BU90" s="262">
        <f t="shared" si="404"/>
        <v>274.799994237797</v>
      </c>
      <c r="BV90" s="176">
        <f>BW90+各项系数!$M$9*$NT90</f>
        <v>280.050345622564</v>
      </c>
      <c r="BW90" s="176">
        <f>BX90*(1+$CF90+(VLOOKUP($AM90,$A$12:$B$214,2,0))+各项系数!$J$6+各项系数!$M$5)*(1+$E$2)</f>
        <v>278.47788467669</v>
      </c>
      <c r="BX90" s="262">
        <f>BY90+各项系数!$L$9*$NT$12</f>
        <v>284.161106812949</v>
      </c>
      <c r="BY90" s="262">
        <f>BZ90*(1+$CG90+各项系数!$J$5+各项系数!$L$5)</f>
        <v>284.152843409794</v>
      </c>
      <c r="BZ90" s="262">
        <f t="shared" si="343"/>
        <v>275.8765469998</v>
      </c>
      <c r="CA90" s="176">
        <f>CB90+各项系数!$M$9*$NT90</f>
        <v>282.732191823269</v>
      </c>
      <c r="CB90" s="176">
        <f>CC90*(1+$CF90+(VLOOKUP($AM90,$A$12:$B$214,2,0))+各项系数!$J$6+各项系数!$M$5)*(1+$E$2)</f>
        <v>281.159730877395</v>
      </c>
      <c r="CC90" s="262">
        <f>CD90+各项系数!$L$9*$NT$12</f>
        <v>286.89768456877</v>
      </c>
      <c r="CD90" s="262">
        <f>CE90*(1+$CG90+各项系数!$J$5+各项系数!$L$5)</f>
        <v>286.889421165615</v>
      </c>
      <c r="CE90" s="262">
        <f t="shared" si="405"/>
        <v>278.533418607393</v>
      </c>
      <c r="CF90" s="278">
        <f t="shared" si="406"/>
        <v>0</v>
      </c>
      <c r="CG90" s="278">
        <f t="shared" si="344"/>
        <v>0.01</v>
      </c>
      <c r="CH90" s="127"/>
      <c r="CI90" s="176">
        <f>CJ90+各项系数!$M$9*$NO90</f>
        <v>280.776657510437</v>
      </c>
      <c r="CJ90" s="176">
        <f>CK90*(1+$DC90+(VLOOKUP($AM90,$A$12:$B$323,2,0))+各项系数!$J$6+各项系数!$M$5)*(1+$E$2)+各项系数!$M$9*$NK90</f>
        <v>278.713245810709</v>
      </c>
      <c r="CK90" s="262">
        <f>CL90+各项系数!$L$9*$NO90</f>
        <v>282.813516691987</v>
      </c>
      <c r="CL90" s="262">
        <f>CM90*(1+$DD90+各项系数!$J$5+各项系数!$L$5)</f>
        <v>280.750104992258</v>
      </c>
      <c r="CM90" s="262">
        <f t="shared" si="345"/>
        <v>275.245200972802</v>
      </c>
      <c r="CN90" s="176">
        <f>CO90+各项系数!$M$9*$NO90</f>
        <v>283.695270451362</v>
      </c>
      <c r="CO90" s="176">
        <f>CP90*(1+$DC90+(VLOOKUP($AM90,$A$12:$B$323,2,0))+各项系数!$J$6+各项系数!$M$5)*(1+$E$2)+各项系数!$M$9*$NK90</f>
        <v>281.631858751633</v>
      </c>
      <c r="CP90" s="262">
        <f>CQ90+各项系数!$L$9*$NO90</f>
        <v>285.791693162318</v>
      </c>
      <c r="CQ90" s="262">
        <f>CR90*(1+$DD90+各项系数!$J$5+各项系数!$L$5)</f>
        <v>283.728281462589</v>
      </c>
      <c r="CR90" s="262">
        <f t="shared" si="346"/>
        <v>278.164981826068</v>
      </c>
      <c r="CS90" s="176">
        <f>CT90+各项系数!$M$9*$NU90</f>
        <v>283.133355984628</v>
      </c>
      <c r="CT90" s="176">
        <f t="shared" si="347"/>
        <v>281.052777111419</v>
      </c>
      <c r="CU90" s="262">
        <f>CV90+各项系数!$L$9*$NU90</f>
        <v>286.788548072877</v>
      </c>
      <c r="CV90" s="262">
        <f>CW90*(1+$DD90+各项系数!$J$5+各项系数!$L$5)</f>
        <v>284.707969199668</v>
      </c>
      <c r="CW90" s="262">
        <f t="shared" si="348"/>
        <v>279.125459999675</v>
      </c>
      <c r="CX90" s="176">
        <f>CY90+各项系数!$M$9*$NU90</f>
        <v>286.375200599033</v>
      </c>
      <c r="CY90" s="176">
        <f t="shared" si="349"/>
        <v>284.294621725824</v>
      </c>
      <c r="CZ90" s="262">
        <f>DA90+各项系数!$L$9*$NU90</f>
        <v>290.096552781453</v>
      </c>
      <c r="DA90" s="262">
        <f>DB90*(1+$DD90+各项系数!$J$5+各项系数!$L$5)</f>
        <v>288.015973908245</v>
      </c>
      <c r="DB90" s="262">
        <f t="shared" si="350"/>
        <v>282.368601870828</v>
      </c>
      <c r="DC90" s="278">
        <f t="shared" si="407"/>
        <v>0</v>
      </c>
      <c r="DD90" s="278">
        <f t="shared" si="351"/>
        <v>0</v>
      </c>
      <c r="DE90" s="95" t="s">
        <v>498</v>
      </c>
      <c r="DF90" s="95" t="s">
        <v>513</v>
      </c>
      <c r="DG90" s="176">
        <f>DH90+各项系数!$M$9*$NQ90</f>
        <v>283.955920829962</v>
      </c>
      <c r="DH90" s="176">
        <f>DI90*(1+$EA90+(VLOOKUP($AM90,$A$12:$B$323,2,0))+各项系数!$J$6+各项系数!$M$5)*(1+$E$2)+各项系数!$M$9*$NK90</f>
        <v>281.892509130233</v>
      </c>
      <c r="DI90" s="262">
        <f>DJ90+各项系数!$L$9*$NQ90</f>
        <v>286.0576629364</v>
      </c>
      <c r="DJ90" s="262">
        <f>DK90*(1+$EB90+各项系数!$J$5+各项系数!$L$5)</f>
        <v>283.994251236671</v>
      </c>
      <c r="DK90" s="262">
        <f t="shared" si="352"/>
        <v>275.722574016186</v>
      </c>
      <c r="DL90" s="176">
        <f>DM90+各项系数!$M$9*$NQ90</f>
        <v>286.735632236714</v>
      </c>
      <c r="DM90" s="176">
        <f>DN90*(1+$EA90+(VLOOKUP($AM90,$A$12:$B$323,2,0))+各项系数!$J$6+各项系数!$M$5)*(1+$E$2)+各项系数!$M$9*$NK90</f>
        <v>284.672220536985</v>
      </c>
      <c r="DN90" s="262">
        <f>DO90+各项系数!$L$9*$NQ90</f>
        <v>288.894103147371</v>
      </c>
      <c r="DO90" s="262">
        <f>DP90*(1+$EB90+各项系数!$J$5+各项系数!$L$5)</f>
        <v>286.830691447642</v>
      </c>
      <c r="DP90" s="262">
        <f t="shared" si="353"/>
        <v>278.476399463731</v>
      </c>
      <c r="DQ90" s="176">
        <f>DR90+各项系数!$M$9*$NV90</f>
        <v>286.3524269283</v>
      </c>
      <c r="DR90" s="176">
        <f t="shared" si="354"/>
        <v>284.271848055092</v>
      </c>
      <c r="DS90" s="262">
        <f>DT90+各项系数!$L$9*$NV90</f>
        <v>290.07331434193</v>
      </c>
      <c r="DT90" s="262">
        <f>DU90*(1+$EB90+各项系数!$J$5+各项系数!$L$5)</f>
        <v>287.992735468722</v>
      </c>
      <c r="DU90" s="262">
        <f t="shared" si="355"/>
        <v>279.604597542448</v>
      </c>
      <c r="DV90" s="176">
        <f>DW90+各项系数!$M$9*$NV90</f>
        <v>286.425328949424</v>
      </c>
      <c r="DW90" s="176">
        <f t="shared" si="356"/>
        <v>284.344750076215</v>
      </c>
      <c r="DX90" s="262">
        <f>DY90+各项系数!$L$9*$NV90</f>
        <v>290.147704159403</v>
      </c>
      <c r="DY90" s="262">
        <f>DZ90*(1+$EB90+各项系数!$J$5+各项系数!$L$5)</f>
        <v>288.067125286195</v>
      </c>
      <c r="DZ90" s="262">
        <f t="shared" si="357"/>
        <v>279.676820666208</v>
      </c>
      <c r="EA90" s="278">
        <f t="shared" si="439"/>
        <v>0</v>
      </c>
      <c r="EB90" s="278">
        <f t="shared" si="358"/>
        <v>0.01</v>
      </c>
      <c r="EC90" s="302">
        <f t="shared" si="408"/>
        <v>5</v>
      </c>
      <c r="ED90" s="304" t="str">
        <f t="shared" si="442"/>
        <v>5*95</v>
      </c>
      <c r="EE90" s="95">
        <f t="shared" si="239"/>
        <v>95</v>
      </c>
      <c r="EF90" s="95" t="str">
        <f>LOOKUP(EH90,{1,7,10,14,19,24,30,37,48,61},{1,"1+6","2+8","4+10","1+6+12","2+8+14","4+10+16","1+6+12+18","3+9+15+21","1+6+12+18+24"})</f>
        <v>1+6+12</v>
      </c>
      <c r="EG90" s="127">
        <f t="shared" si="359"/>
        <v>5</v>
      </c>
      <c r="EH90" s="262">
        <f>VLOOKUP(EE90,各项系数!$B$87:$C$124,2,0)</f>
        <v>19</v>
      </c>
      <c r="EI90" s="127">
        <f>IF(EH90=0,0,VLOOKUP(EH90,各项系数!$D$142:$E$195,2,0))*1</f>
        <v>5</v>
      </c>
      <c r="EJ90" s="307">
        <f t="shared" si="409"/>
        <v>245.088056587712</v>
      </c>
      <c r="EK90" s="95">
        <f t="shared" si="332"/>
        <v>0</v>
      </c>
      <c r="EL90" s="95">
        <f t="shared" si="360"/>
        <v>0</v>
      </c>
      <c r="EM90" s="95">
        <f t="shared" si="443"/>
        <v>0</v>
      </c>
      <c r="EN90" s="95">
        <f>IF(EP90=0,0,LOOKUP(EP90,{1,7,10,14,19,24,30,37,48,61},{1,"1+6","2+8","4+10","1+6+12","2+8+14","4+10+16","1+6+12+18","3+9+15+21","1+6+12+18+24"}))</f>
        <v>0</v>
      </c>
      <c r="EO90" s="95">
        <f t="shared" si="334"/>
        <v>0</v>
      </c>
      <c r="EP90" s="95">
        <f>IF(EM90=0,0,IF(EM90&lt;10,1,IF(AND(EM90&gt;=10,EM90&lt;=35),7,LOOKUP(EM90,{50,70,95,120,150,185,240,300},{10,14,19,24,30,37,48,61})*1)))</f>
        <v>0</v>
      </c>
      <c r="EQ90" s="95">
        <f>IF(EP90=0,0,VLOOKUP(EP90,各项系数!$D$142:$E$195,2,0))*1</f>
        <v>0</v>
      </c>
      <c r="ER90" s="95">
        <f t="shared" si="335"/>
        <v>0</v>
      </c>
      <c r="ES90" s="304">
        <f t="shared" si="444"/>
        <v>5</v>
      </c>
      <c r="ET90" s="95">
        <f>VLOOKUP(ES90,各项系数!$D$142:$E$195,2,0)*1</f>
        <v>2.7</v>
      </c>
      <c r="EU90" s="311">
        <f>((各项系数!$F$76/4*$EJ90^2*$EG90*$EH90*1*10^-7)*(1-$H90)*AA90)*(VLOOKUP($EY$9,各项系数!$D$4:$F$143,3,0))*各项系数!$J$4</f>
        <v>4.01598488854361</v>
      </c>
      <c r="EV90" s="312">
        <f>EU90*(VLOOKUP($EY$9,各项系数!$D$4:$F$143,2,0))</f>
        <v>263.047010199606</v>
      </c>
      <c r="EW90" s="324">
        <f>(IF($EO90=0,0,(各项系数!$F$76/4*$ER90^2*$EO90*$EP90*1*10^-7))*(1-$K90)*$AF90)*(VLOOKUP($EY$9,各项系数!$D$4:$F$143,3,0))*各项系数!$J$4</f>
        <v>0</v>
      </c>
      <c r="EX90" s="325">
        <f>EW90*(VLOOKUP($EY$9,各项系数!$D$4:$F$143,2,0))</f>
        <v>0</v>
      </c>
      <c r="EY90" s="251">
        <f>((各项系数!$F$76/4*$EJ90^2*$EG90*$EH90*1*10^-7)*(1-$H90)*AA90+IF($EO90=0,0,(各项系数!$F$76/4*$ER90^2*$EO90*$EP90*1*10^-7))*(1-$K90)*$AF90)*(VLOOKUP($EY$9,各项系数!$D$4:$F$143,3,0))*各项系数!$J$4</f>
        <v>4.01598488854361</v>
      </c>
      <c r="EZ90" s="127">
        <v>1</v>
      </c>
      <c r="FA90" s="95">
        <f t="shared" si="445"/>
        <v>4.01598488854361</v>
      </c>
      <c r="FB90" s="314">
        <f>FA90*(VLOOKUP($EY$9,各项系数!$D$4:$F$143,2,0))</f>
        <v>263.047010199606</v>
      </c>
      <c r="FC90" s="329"/>
      <c r="FD90" s="304">
        <f>各项系数!$F$76/4*($MN90^2-MK90^2)*10^-2*(VLOOKUP(L90,各项系数!$D$1:$F$143,3,0))*10^-3*10^2*$EG90*各项系数!$J$4</f>
        <v>0.252553156674092</v>
      </c>
      <c r="FE90" s="341">
        <f>FD90*VLOOKUP(L90,各项系数!$D$1:$F$143,2,0)</f>
        <v>2.57604219807574</v>
      </c>
      <c r="FF90" s="127">
        <f>各项系数!$F$76/4*($MO90^2-ML90^2)*10^-2*(VLOOKUP(L90,各项系数!$D$1:$F$143,3,0))*10^-3*10^2*$EO90*各项系数!$J$4</f>
        <v>0</v>
      </c>
      <c r="FG90" s="341">
        <f>FF90*VLOOKUP(L90,各项系数!$D$1:$F$143,2,0)</f>
        <v>0</v>
      </c>
      <c r="FH90" s="304">
        <f t="shared" si="410"/>
        <v>0.252553156674092</v>
      </c>
      <c r="FI90" s="127">
        <v>1</v>
      </c>
      <c r="FJ90" s="95">
        <f t="shared" si="446"/>
        <v>0.252553156674092</v>
      </c>
      <c r="FK90" s="341">
        <f>FJ90*VLOOKUP(L90,各项系数!$D$1:$F$143,2,0)</f>
        <v>2.57604219807574</v>
      </c>
      <c r="FL90" s="304"/>
      <c r="FM90" s="127"/>
      <c r="FN90" s="95"/>
      <c r="FO90" s="341"/>
      <c r="FP90" s="371">
        <f t="shared" si="447"/>
        <v>0.252553156674092</v>
      </c>
      <c r="FQ90" s="371">
        <f t="shared" si="448"/>
        <v>2.57604219807574</v>
      </c>
      <c r="FR90" s="365">
        <f>各项系数!$F$76/4*($MQ90^2-$MN90^2*$EG90-$MO90^2*$EO90)*10^-2</f>
        <v>3.75773087457388</v>
      </c>
      <c r="FS90" s="366">
        <f t="shared" si="411"/>
        <v>1</v>
      </c>
      <c r="FT90" s="367">
        <f t="shared" si="361"/>
        <v>3.75773087457388</v>
      </c>
      <c r="FU90" s="395">
        <f>$FT90*(VLOOKUP($FT$9,各项系数!$D$1:$F$143,3,0))*10^-3*10^2*各项系数!$J$55</f>
        <v>0.448673066424121</v>
      </c>
      <c r="FV90" s="396">
        <v>1</v>
      </c>
      <c r="FW90" s="397">
        <f t="shared" si="449"/>
        <v>0.448673066424121</v>
      </c>
      <c r="FX90" s="372">
        <f>FW90*(VLOOKUP($FT$9,各项系数!$D$1:$F$143,2,0))</f>
        <v>1.34601919927236</v>
      </c>
      <c r="FY90" s="395">
        <f>IF($BK90&lt;&gt;$FY$9,0,各项系数!$F$76/4*($MS90^2-$MQ90^2)*10^-2*(VLOOKUP($FY$9,各项系数!$D$1:$F$143,3,0))*10^-3*10^2)*各项系数!$J$4</f>
        <v>0</v>
      </c>
      <c r="FZ90" s="396">
        <v>1</v>
      </c>
      <c r="GA90" s="397">
        <f t="shared" si="450"/>
        <v>0</v>
      </c>
      <c r="GB90" s="372">
        <f>GA90*(VLOOKUP($FY$9,各项系数!$D$1:$F$143,2,0))</f>
        <v>0</v>
      </c>
      <c r="GC90" s="395">
        <f>IF($BK90&lt;&gt;$GC$9,0,各项系数!$F$76/4*($MS90^2-$MQ90^2)*10^-2*(VLOOKUP($GC$9,各项系数!$D$1:$F$143,3,0))*10^-3*10^2)*各项系数!$J$4</f>
        <v>0.0106520429258177</v>
      </c>
      <c r="GD90" s="396">
        <v>1</v>
      </c>
      <c r="GE90" s="397">
        <f t="shared" si="451"/>
        <v>0.0106520429258177</v>
      </c>
      <c r="GF90" s="372">
        <f>GE90*(VLOOKUP($GC$9,各项系数!$D$1:$F$143,2,0))</f>
        <v>0.137411353743048</v>
      </c>
      <c r="GG90" s="395">
        <f>IF($BK90&lt;&gt;$GG$9,0,各项系数!$F$76/4*($MS90^2-$MQ90^2)*10^-2*(VLOOKUP($GG$9,各项系数!$D$1:$F$143,3,0))*10^-3*10^2)*各项系数!$J$4</f>
        <v>0</v>
      </c>
      <c r="GH90" s="396">
        <v>1</v>
      </c>
      <c r="GI90" s="397">
        <f t="shared" si="452"/>
        <v>0</v>
      </c>
      <c r="GJ90" s="372">
        <f>GI90*(VLOOKUP($GG$9,各项系数!$D$1:$F$143,2,0))</f>
        <v>0</v>
      </c>
      <c r="GK90" s="395">
        <f>IF($BK90&lt;&gt;$GK$9,0,各项系数!$F$76/4*($MS90^2-$MQ90^2)*10^-2*(VLOOKUP($GK$9,各项系数!$D$1:$F$143,3,0))*10^-3*10^2)*各项系数!$J$4</f>
        <v>0</v>
      </c>
      <c r="GL90" s="396">
        <v>1</v>
      </c>
      <c r="GM90" s="397">
        <f t="shared" si="453"/>
        <v>0</v>
      </c>
      <c r="GN90" s="372">
        <f>GM90*(VLOOKUP($GK$9,各项系数!$D$1:$F$143,2,0))</f>
        <v>0</v>
      </c>
      <c r="GO90" s="397">
        <f t="shared" si="454"/>
        <v>0.0106520429258177</v>
      </c>
      <c r="GP90" s="397">
        <f t="shared" si="455"/>
        <v>0.137411353743048</v>
      </c>
      <c r="GQ90" s="408">
        <f>各项系数!$F$76/4*($MU90^2-$MS90^2)*10^-2*(VLOOKUP($S90,各项系数!$D$1:$F$143,3,0))*10^-3*10^2*各项系数!$J$4</f>
        <v>0.732468823774064</v>
      </c>
      <c r="GR90" s="396">
        <v>1</v>
      </c>
      <c r="GS90" s="397">
        <f t="shared" si="456"/>
        <v>0.732468823774064</v>
      </c>
      <c r="GT90" s="397">
        <f t="shared" si="457"/>
        <v>0</v>
      </c>
      <c r="GU90" s="397">
        <f>ROUND($GS90*(VLOOKUP($S90,各项系数!$D$1:$F$143,2,0))+$E$3*GS90,GT90)</f>
        <v>4</v>
      </c>
      <c r="GV90" s="406">
        <f>各项系数!$F$76/4*($MT90^2-$MS90^2)*10^-2*(VLOOKUP($GV$9,各项系数!$D$1:$F$143,3,0))*10^-3*10^2*各项系数!$J$4*PI()/4*R90</f>
        <v>0.054871644377361</v>
      </c>
      <c r="GW90" s="396">
        <v>1</v>
      </c>
      <c r="GX90" s="397">
        <f t="shared" si="458"/>
        <v>0.054871644377361</v>
      </c>
      <c r="GY90" s="397">
        <f>$GX90*(VLOOKUP($GV$9,各项系数!$D$1:$F$143,2,0))</f>
        <v>3.70383599547187</v>
      </c>
      <c r="GZ90" s="408">
        <f>各项系数!$F$76/4*($MV90^2-$MS90^2)*10^-2*(VLOOKUP($GZ$9,各项系数!$D$1:$F$143,3,0))*10^-3*10^2*各项系数!$J$4</f>
        <v>0.452559487476439</v>
      </c>
      <c r="HA90" s="396">
        <v>1</v>
      </c>
      <c r="HB90" s="397">
        <f t="shared" si="412"/>
        <v>0.452559487476439</v>
      </c>
      <c r="HC90" s="397">
        <f>HB90*(VLOOKUP($GZ$9,各项系数!$D$1:$F$143,2,0))</f>
        <v>7.69351128709946</v>
      </c>
      <c r="HD90" s="408">
        <f>各项系数!$F$76/4*($MW90^2-$MT90^2)*10^-2*(VLOOKUP($HD$9,各项系数!$D$1:$F$143,3,0))*10^-3*10^2*各项系数!$J$4</f>
        <v>0.45429998007201</v>
      </c>
      <c r="HE90" s="396">
        <v>1</v>
      </c>
      <c r="HF90" s="397">
        <f t="shared" si="413"/>
        <v>0.45429998007201</v>
      </c>
      <c r="HG90" s="397">
        <f>HF90*(VLOOKUP($HD$9,各项系数!$D$1:$F$143,2,0))</f>
        <v>7.72309966122416</v>
      </c>
      <c r="HH90" s="408">
        <f>各项系数!$F$76/4*($MV90^2-$MS90^2)*10^-2*(VLOOKUP($HH$9,各项系数!$D$1:$F$143,3,0))*10^-3*10^2*各项系数!$J$4</f>
        <v>0.452559487476439</v>
      </c>
      <c r="HI90" s="397">
        <v>1</v>
      </c>
      <c r="HJ90" s="397">
        <f t="shared" si="414"/>
        <v>0.452559487476439</v>
      </c>
      <c r="HK90" s="397">
        <f>HJ90*(VLOOKUP($HH$9,各项系数!$D$1:$F$143,2,0))</f>
        <v>7.69351128709946</v>
      </c>
      <c r="HL90" s="408">
        <f>各项系数!$F$76/4*($MW90^2-$MT90^2)*10^-2*(VLOOKUP($HL$9,各项系数!$D$1:$F$143,3,0))*10^-3*10^2*各项系数!$J$4</f>
        <v>0.45429998007201</v>
      </c>
      <c r="HM90" s="397">
        <v>1</v>
      </c>
      <c r="HN90" s="397">
        <f t="shared" si="362"/>
        <v>0.45429998007201</v>
      </c>
      <c r="HO90" s="397">
        <f>HN90*(VLOOKUP($HL$9,各项系数!$D$1:$F$143,2,0))</f>
        <v>7.72309966122416</v>
      </c>
      <c r="HP90" s="408">
        <f>各项系数!$F$76/4*($MV90^2-$MS90^2)*10^-2*(VLOOKUP(AN90,各项系数!$D$1:$F$143,3,0))*10^-3*10^2*各项系数!$J$4</f>
        <v>0.4588016873037</v>
      </c>
      <c r="HQ90" s="396">
        <v>1</v>
      </c>
      <c r="HR90" s="397">
        <f t="shared" si="459"/>
        <v>0.4588016873037</v>
      </c>
      <c r="HS90" s="397">
        <f>HR90*(VLOOKUP(AN90,各项系数!$D$1:$F$143,2,0))</f>
        <v>4.588016873037</v>
      </c>
      <c r="HT90" s="408">
        <f>各项系数!$F$76/4*($MW90^2-$MT90^2)*10^-2*(VLOOKUP(AN90,各项系数!$D$1:$F$143,3,0))*10^-3*10^2*各项系数!$J$4</f>
        <v>0.460566186693692</v>
      </c>
      <c r="HU90" s="396">
        <v>1</v>
      </c>
      <c r="HV90" s="397">
        <f t="shared" si="460"/>
        <v>0.460566186693692</v>
      </c>
      <c r="HW90" s="397">
        <f>HV90*(VLOOKUP(AN90,各项系数!$D$1:$F$143,2,0))</f>
        <v>4.60566186693692</v>
      </c>
      <c r="HX90" s="408">
        <f>各项系数!$F$76/4*($MV90^2-$MS90^2)*10^-2*(VLOOKUP($HX$9,各项系数!$D$1:$F$143,3,0))*10^-3*10^2*各项系数!$J$4</f>
        <v>0.4588016873037</v>
      </c>
      <c r="HY90" s="397">
        <v>1</v>
      </c>
      <c r="HZ90" s="397">
        <f t="shared" si="461"/>
        <v>0.4588016873037</v>
      </c>
      <c r="IA90" s="397">
        <f>HZ90*(VLOOKUP($HX$9,各项系数!$D$1:$F$143,2,0))</f>
        <v>5.0468185603407</v>
      </c>
      <c r="IB90" s="408">
        <f>各项系数!$F$76/4*($MW90^2-$MT90^2)*10^-2*(VLOOKUP($IB$9,各项系数!$D$1:$F$143,3,0))*10^-3*10^2*各项系数!$J$4</f>
        <v>0.460566186693692</v>
      </c>
      <c r="IC90" s="397">
        <v>1</v>
      </c>
      <c r="ID90" s="397">
        <f t="shared" si="462"/>
        <v>0.460566186693692</v>
      </c>
      <c r="IE90" s="397">
        <f>ID90*(VLOOKUP($IB$9,各项系数!$D$1:$F$143,2,0))</f>
        <v>5.06622805363062</v>
      </c>
      <c r="IF90" s="395"/>
      <c r="IG90" s="408">
        <f t="shared" si="415"/>
        <v>0.0882981352461327</v>
      </c>
      <c r="IH90" s="396">
        <v>1</v>
      </c>
      <c r="II90" s="397">
        <f t="shared" si="463"/>
        <v>0.0882981352461327</v>
      </c>
      <c r="IJ90" s="397">
        <f>II90*(VLOOKUP($IG$8,各项系数!$D$1:$F$143,2,0))</f>
        <v>2.20745338115332</v>
      </c>
      <c r="IK90" s="408">
        <f>(各项系数!$F$76/4*($MX90^2-$MK90^2)*$EG90)*10^-2*(VLOOKUP($IG$8,各项系数!$D$1:$F$143,3,0))*10^-3*10^2*各项系数!$J$4</f>
        <v>0.0882981352461327</v>
      </c>
      <c r="IL90" s="396">
        <f>IK90*(VLOOKUP($IG$8,各项系数!$D$1:$F$143,2,0))</f>
        <v>2.20745338115332</v>
      </c>
      <c r="IM90" s="397">
        <f>(各项系数!$F$76/4*(($MM90+3*$X90)^2-MM90^2)*$EO90)*10^-2*(VLOOKUP($IG$8,各项系数!$D$1:$F$143,3,0))*10^-3*10^2*各项系数!$J$4</f>
        <v>0</v>
      </c>
      <c r="IN90" s="396">
        <f>IM90*(VLOOKUP($IG$8,各项系数!$D$1:$F$143,2,0))</f>
        <v>0</v>
      </c>
      <c r="IO90" s="408">
        <f>各项系数!$F$76/4*($MZ90^2-$MX90^2)*10^-2*(VLOOKUP(L90,各项系数!$D$1:$F$143,3,0))*10^-3*10^2*$ES90*各项系数!$J$4</f>
        <v>0.263900118099961</v>
      </c>
      <c r="IP90" s="396">
        <v>1</v>
      </c>
      <c r="IQ90" s="397">
        <f t="shared" si="464"/>
        <v>0.263900118099961</v>
      </c>
      <c r="IR90" s="372">
        <f>IQ90*(VLOOKUP(L90,各项系数!$D$1:$F$143,2,0))</f>
        <v>2.6917812046196</v>
      </c>
      <c r="IS90" s="408">
        <f>IF($L90&lt;&gt;$IS$9,0,各项系数!$F$76/4*($MZ90^2-$MX90^2)*10^-2*各项系数!$F$12*10^-3*10^2)*$ES90*各项系数!$J$4</f>
        <v>0</v>
      </c>
      <c r="IT90" s="396">
        <v>1</v>
      </c>
      <c r="IU90" s="397">
        <f t="shared" si="465"/>
        <v>0</v>
      </c>
      <c r="IV90" s="372">
        <f>IU90*各项系数!$E$12</f>
        <v>0</v>
      </c>
      <c r="IW90" s="395">
        <f t="shared" si="466"/>
        <v>0.263900118099961</v>
      </c>
      <c r="IX90" s="395">
        <f t="shared" si="467"/>
        <v>2.6917812046196</v>
      </c>
      <c r="IY90" s="447">
        <f>各项系数!$F$76/4*($NB90^2-$MZ90^2*$EG90-$NA90^2*$EO90)*10^-2</f>
        <v>4.07617133784454</v>
      </c>
      <c r="IZ90" s="366">
        <f t="shared" si="487"/>
        <v>1</v>
      </c>
      <c r="JA90" s="367">
        <f t="shared" si="363"/>
        <v>4.07617133784454</v>
      </c>
      <c r="JB90" s="371">
        <f>IF($DE90&lt;&gt;$JB$9,0,$JA90*各项系数!$F$32*10^-3*10^2)*各项系数!$J$4</f>
        <v>0</v>
      </c>
      <c r="JC90" s="127">
        <v>1</v>
      </c>
      <c r="JD90" s="95">
        <f t="shared" si="468"/>
        <v>0</v>
      </c>
      <c r="JE90" s="341">
        <f>JD90*各项系数!$E$32</f>
        <v>0</v>
      </c>
      <c r="JF90" s="364">
        <f>IF($DE90&lt;&gt;$JF$9,0,$JA90*VLOOKUP($JF$9,各项系数!$D$4:$F$540,2,0)*10^-3*10^2)*各项系数!$J$4</f>
        <v>2.02789524057766</v>
      </c>
      <c r="JG90" s="123">
        <v>1</v>
      </c>
      <c r="JH90" s="251">
        <f t="shared" si="364"/>
        <v>2.02789524057766</v>
      </c>
      <c r="JI90" s="339">
        <f>JH90*VLOOKUP($JF$9,各项系数!$D$4:$F$540,3,0)</f>
        <v>2.43347428869319</v>
      </c>
      <c r="JJ90" s="371">
        <f t="shared" si="469"/>
        <v>2.02789524057766</v>
      </c>
      <c r="JK90" s="95">
        <f t="shared" si="470"/>
        <v>2.43347428869319</v>
      </c>
      <c r="JL90" s="371">
        <f>IF($DF90&lt;&gt;$JL$9,0,各项系数!$F$76/4*($NE90^2-$NC90^2)*10^-2*各项系数!$F$39*10^-3*10^2)*各项系数!$J$4</f>
        <v>0.00458757324480601</v>
      </c>
      <c r="JM90" s="127">
        <v>1</v>
      </c>
      <c r="JN90" s="95">
        <f t="shared" si="471"/>
        <v>0.00458757324480601</v>
      </c>
      <c r="JO90" s="341">
        <f>JN90*各项系数!$E$39</f>
        <v>0.0917514648961201</v>
      </c>
      <c r="JP90" s="371">
        <f>IF($DF90&lt;&gt;$JP$9,0,各项系数!$F$76/4*($NE90^2-$NC90^2)*10^-2*各项系数!$F$36*10^-3*10^2)*各项系数!$J$4</f>
        <v>0</v>
      </c>
      <c r="JQ90" s="127">
        <v>1</v>
      </c>
      <c r="JR90" s="95">
        <f t="shared" si="472"/>
        <v>0</v>
      </c>
      <c r="JS90" s="341">
        <f>JR90*各项系数!$E$36</f>
        <v>0</v>
      </c>
      <c r="JT90" s="371">
        <f>IF($DF90&lt;&gt;$JT$9,0,各项系数!$F$76/4*($NE90^2-$NC90^2)*10^-2*各项系数!$F$40*10^-3*10^2)*各项系数!$J$4</f>
        <v>0</v>
      </c>
      <c r="JU90" s="127">
        <v>1</v>
      </c>
      <c r="JV90" s="95">
        <f t="shared" si="473"/>
        <v>0</v>
      </c>
      <c r="JW90" s="341">
        <f>JV90*各项系数!$E$40</f>
        <v>0</v>
      </c>
      <c r="JX90" s="371">
        <f>IF($DF90&lt;&gt;$JX$9,0,各项系数!$F$76/4*($NE90^2-$NC90^2)*10^-2*各项系数!$F$38*10^-3*10^2)*各项系数!$J$4</f>
        <v>0</v>
      </c>
      <c r="JY90" s="127">
        <v>1</v>
      </c>
      <c r="JZ90" s="95">
        <f t="shared" si="474"/>
        <v>0</v>
      </c>
      <c r="KA90" s="341">
        <f>JZ90*各项系数!$E$38</f>
        <v>0</v>
      </c>
      <c r="KB90" s="371">
        <f>IF($DF90&lt;&gt;$KB$9,0,各项系数!$F$76/4*($NE90^2-$NC90^2)*10^-2*各项系数!$F$41*10^-3*10^2)*各项系数!$J$4</f>
        <v>0</v>
      </c>
      <c r="KC90" s="127">
        <v>1</v>
      </c>
      <c r="KD90" s="95">
        <f t="shared" si="475"/>
        <v>0</v>
      </c>
      <c r="KE90" s="341">
        <f>KD90*各项系数!$E$41</f>
        <v>0</v>
      </c>
      <c r="KF90" s="95">
        <f t="shared" si="476"/>
        <v>0.00458757324480601</v>
      </c>
      <c r="KG90" s="95">
        <f t="shared" si="477"/>
        <v>0.0917514648961201</v>
      </c>
      <c r="KH90" s="304">
        <f>各项系数!$F$76/4*($NG90^2-$NE90^2)*10^-2*各项系数!$F$44*10^-3*10^2*各项系数!$J$4*0.75*$U90</f>
        <v>1.14501318608937</v>
      </c>
      <c r="KI90" s="127">
        <v>1</v>
      </c>
      <c r="KJ90" s="95">
        <f t="shared" si="478"/>
        <v>1.14501318608937</v>
      </c>
      <c r="KK90" s="95">
        <f>ROUND(KJ90*各项系数!$E$43,GT90)</f>
        <v>7</v>
      </c>
      <c r="KL90" s="302">
        <f>各项系数!$F$76/4*($NF90^2-$NE90^2)*10^-2*各项系数!$F$46*10^-3*10^2*各项系数!$J$4*PI()/4*R90</f>
        <v>0.0572239115995971</v>
      </c>
      <c r="KM90" s="127">
        <v>1</v>
      </c>
      <c r="KN90" s="95">
        <f t="shared" si="479"/>
        <v>0.0572239115995971</v>
      </c>
      <c r="KO90" s="95">
        <f>KN90*各项系数!$E$46</f>
        <v>3.8626140329728</v>
      </c>
      <c r="KP90" s="304">
        <f>各项系数!$F$76/4*($NH90^2-$NE90^2)*10^-2*(VLOOKUP($KP$9,各项系数!$D$1:$F$143,3,0))*10^-3*10^2*各项系数!$J$4</f>
        <v>0.470878172044825</v>
      </c>
      <c r="KQ90" s="127">
        <v>1</v>
      </c>
      <c r="KR90" s="95">
        <f t="shared" si="416"/>
        <v>0.470878172044825</v>
      </c>
      <c r="KS90" s="95">
        <f>KR90*(VLOOKUP($KP$9,各项系数!$D$1:$F$143,2,0))</f>
        <v>8.00492892476203</v>
      </c>
      <c r="KT90" s="304">
        <f>各项系数!$F$76/4*($NI90^2-$NF90^2)*10^-2*(VLOOKUP($KT$9,各项系数!$D$1:$F$143,3,0))*10^-3*10^2*各项系数!$J$4</f>
        <v>0.472618664640396</v>
      </c>
      <c r="KU90" s="127">
        <v>1</v>
      </c>
      <c r="KV90" s="95">
        <f t="shared" si="417"/>
        <v>0.472618664640396</v>
      </c>
      <c r="KW90" s="95">
        <f>KV90*(VLOOKUP($KT$9,各项系数!$D$1:$F$143,2,0))</f>
        <v>8.03451729888674</v>
      </c>
      <c r="KX90" s="95">
        <f>各项系数!$F$76/4*($NH90^2-$NE90^2)*10^-2*(VLOOKUP($KX$9,各项系数!$D$1:$F$143,3,0))*10^-3*10^2*各项系数!$J$4</f>
        <v>0.470878172044825</v>
      </c>
      <c r="KY90" s="481">
        <v>1</v>
      </c>
      <c r="KZ90" s="95">
        <f t="shared" si="418"/>
        <v>0.470878172044825</v>
      </c>
      <c r="LA90" s="95">
        <f>KZ90*(VLOOKUP($KX$9,各项系数!$D$1:$F$143,2,0))</f>
        <v>8.00492892476203</v>
      </c>
      <c r="LB90" s="95">
        <f>各项系数!$F$76/4*($NI90^2-$NF90^2)*10^-2*(VLOOKUP($LB$9,各项系数!$D$1:$F$143,3,0))*10^-3*10^2*各项系数!$J$4</f>
        <v>0.472618664640396</v>
      </c>
      <c r="LC90" s="481">
        <v>1</v>
      </c>
      <c r="LD90" s="95">
        <f t="shared" si="419"/>
        <v>0.472618664640396</v>
      </c>
      <c r="LE90" s="95">
        <f>LD90*(VLOOKUP($LB$9,各项系数!$D$1:$F$143,2,0))</f>
        <v>8.03451729888674</v>
      </c>
      <c r="LF90" s="304">
        <f>各项系数!$F$76/4*($NH90^2-$NE90^2)*10^-2*(VLOOKUP(AN90,各项系数!$D$1:$F$143,3,0))*10^-3*10^2*各项系数!$J$4</f>
        <v>0.477373043383375</v>
      </c>
      <c r="LG90" s="127">
        <v>1</v>
      </c>
      <c r="LH90" s="95">
        <f t="shared" si="480"/>
        <v>0.477373043383375</v>
      </c>
      <c r="LI90" s="95">
        <f>LH90*(VLOOKUP(AN90,各项系数!$D$1:$F$143,2,0))</f>
        <v>4.77373043383375</v>
      </c>
      <c r="LJ90" s="304">
        <f>各项系数!$F$76/4*($NI90^2-$NF90^2)*10^-2*(VLOOKUP(AN90,各项系数!$D$1:$F$143,3,0))*10^-3*10^2*各项系数!$J$4</f>
        <v>0.479137542773367</v>
      </c>
      <c r="LK90" s="127">
        <v>1</v>
      </c>
      <c r="LL90" s="95">
        <f t="shared" si="481"/>
        <v>0.479137542773367</v>
      </c>
      <c r="LM90" s="95">
        <f>LL90*(VLOOKUP(AN90,各项系数!$D$1:$F$143,2,0))</f>
        <v>4.79137542773367</v>
      </c>
      <c r="LN90" s="95">
        <f>各项系数!$F$76/4*($NH90^2-$NE90^2)*10^-2*(VLOOKUP($LN$9,各项系数!$D$1:$F$143,3,0))*10^-3*10^2*各项系数!$J$4</f>
        <v>0.477373043383375</v>
      </c>
      <c r="LO90" s="481">
        <v>1</v>
      </c>
      <c r="LP90" s="95">
        <f t="shared" si="482"/>
        <v>0.477373043383375</v>
      </c>
      <c r="LQ90" s="95">
        <f>LP90*(VLOOKUP($LN$9,各项系数!$D$1:$F$143,2,0))</f>
        <v>5.25110347721712</v>
      </c>
      <c r="LR90" s="95">
        <f>各项系数!$F$76/4*($NI90^2-$NF90^2)*10^-2*(VLOOKUP($LR$9,各项系数!$D$1:$F$143,3,0))*10^-3*10^2*各项系数!$J$4</f>
        <v>0.479137542773367</v>
      </c>
      <c r="LS90" s="481">
        <v>1</v>
      </c>
      <c r="LT90" s="95">
        <f t="shared" si="483"/>
        <v>0.479137542773367</v>
      </c>
      <c r="LU90" s="95">
        <f>LT90*(VLOOKUP($LR$9,各项系数!$D$1:$F$143,2,0))</f>
        <v>5.27051297050704</v>
      </c>
      <c r="LV90" s="501">
        <f t="shared" si="420"/>
        <v>589.71773941</v>
      </c>
      <c r="LW90" s="501">
        <f t="shared" si="421"/>
        <v>448.18548195</v>
      </c>
      <c r="LX90" s="501">
        <f t="shared" si="422"/>
        <v>23.8882288794068</v>
      </c>
      <c r="LY90" s="519">
        <f t="shared" si="423"/>
        <v>141.53225746</v>
      </c>
      <c r="LZ90" s="516">
        <f t="shared" si="365"/>
        <v>1</v>
      </c>
      <c r="MA90" s="517">
        <f t="shared" si="366"/>
        <v>589.71773941</v>
      </c>
      <c r="MB90" s="501">
        <f t="shared" si="424"/>
        <v>12.25440285</v>
      </c>
      <c r="MC90" s="501">
        <f t="shared" si="425"/>
        <v>0</v>
      </c>
      <c r="MD90" s="501">
        <f t="shared" si="426"/>
        <v>0</v>
      </c>
      <c r="ME90" s="501">
        <f t="shared" si="427"/>
        <v>0</v>
      </c>
      <c r="MF90" s="501">
        <f t="shared" si="428"/>
        <v>0</v>
      </c>
      <c r="MG90" s="527">
        <f t="shared" si="429"/>
        <v>1</v>
      </c>
      <c r="MH90" s="517">
        <f t="shared" si="367"/>
        <v>0</v>
      </c>
      <c r="MI90" s="501">
        <f t="shared" si="430"/>
        <v>0</v>
      </c>
      <c r="MJ90" s="95">
        <f t="shared" si="368"/>
        <v>12.25440285</v>
      </c>
      <c r="MK90" s="95">
        <f t="shared" si="431"/>
        <v>12.25440285</v>
      </c>
      <c r="ML90" s="95">
        <f t="shared" si="484"/>
        <v>0</v>
      </c>
      <c r="MM90" s="95">
        <f t="shared" si="369"/>
        <v>0</v>
      </c>
      <c r="MN90" s="95">
        <f t="shared" si="370"/>
        <v>14.45440285</v>
      </c>
      <c r="MO90" s="251">
        <f t="shared" si="432"/>
        <v>0</v>
      </c>
      <c r="MP90" s="95">
        <f t="shared" si="433"/>
        <v>39.0268877</v>
      </c>
      <c r="MQ90" s="95">
        <f t="shared" si="485"/>
        <v>39.0268877</v>
      </c>
      <c r="MR90" s="314">
        <f t="shared" si="434"/>
        <v>39.0268877</v>
      </c>
      <c r="MS90" s="530">
        <f t="shared" si="371"/>
        <v>39.2028877</v>
      </c>
      <c r="MT90" s="532">
        <f t="shared" si="372"/>
        <v>39.3628877</v>
      </c>
      <c r="MU90" s="532">
        <f t="shared" si="373"/>
        <v>40.7028877</v>
      </c>
      <c r="MV90" s="532">
        <f t="shared" si="374"/>
        <v>44.0028877</v>
      </c>
      <c r="MW90" s="532">
        <f t="shared" si="375"/>
        <v>44.1628877</v>
      </c>
      <c r="MX90" s="314">
        <f t="shared" si="376"/>
        <v>12.85440285</v>
      </c>
      <c r="MY90" s="314">
        <f t="shared" si="377"/>
        <v>0</v>
      </c>
      <c r="MZ90" s="95">
        <f t="shared" si="378"/>
        <v>15.05440285</v>
      </c>
      <c r="NA90" s="95">
        <f t="shared" si="379"/>
        <v>0</v>
      </c>
      <c r="NB90" s="95">
        <f t="shared" si="435"/>
        <v>40.6468877</v>
      </c>
      <c r="NC90" s="314">
        <f t="shared" si="486"/>
        <v>40.6468877</v>
      </c>
      <c r="ND90" s="314">
        <f t="shared" si="436"/>
        <v>40.6468877</v>
      </c>
      <c r="NE90" s="537">
        <f t="shared" si="437"/>
        <v>40.8868877</v>
      </c>
      <c r="NF90" s="532">
        <f t="shared" si="380"/>
        <v>41.0468877</v>
      </c>
      <c r="NG90" s="180">
        <f t="shared" si="381"/>
        <v>42.3868877</v>
      </c>
      <c r="NH90" s="314">
        <f t="shared" si="382"/>
        <v>45.6868877</v>
      </c>
      <c r="NI90" s="532">
        <f t="shared" si="383"/>
        <v>45.8468877</v>
      </c>
      <c r="NK90" s="541">
        <f t="shared" si="384"/>
        <v>5.18666484187134</v>
      </c>
      <c r="NL90" s="541">
        <f t="shared" si="385"/>
        <v>271.694499823734</v>
      </c>
      <c r="NM90" s="541">
        <f t="shared" si="386"/>
        <v>5.18666484187134</v>
      </c>
      <c r="NN90" s="541">
        <f t="shared" si="387"/>
        <v>272.153301511038</v>
      </c>
      <c r="NO90" s="541">
        <f t="shared" si="388"/>
        <v>6.87803899909554</v>
      </c>
      <c r="NP90" s="541">
        <f t="shared" si="389"/>
        <v>275.245200972802</v>
      </c>
      <c r="NQ90" s="541">
        <f t="shared" si="390"/>
        <v>6.87803899909554</v>
      </c>
      <c r="NR90" s="541">
        <f t="shared" si="391"/>
        <v>275.722574016186</v>
      </c>
      <c r="NS90" s="541">
        <f t="shared" si="392"/>
        <v>5.2415364862487</v>
      </c>
      <c r="NT90" s="541">
        <f t="shared" si="393"/>
        <v>5.2415364862487</v>
      </c>
      <c r="NU90" s="541">
        <f t="shared" si="394"/>
        <v>6.93526291069514</v>
      </c>
      <c r="NV90" s="541">
        <f t="shared" si="395"/>
        <v>6.93526291069514</v>
      </c>
      <c r="NW90" s="11">
        <f t="shared" si="396"/>
        <v>5.9191336656454</v>
      </c>
      <c r="NX90" s="11">
        <f>各项系数!$M$9*NK90</f>
        <v>1.5559994525614</v>
      </c>
      <c r="NY90" s="11">
        <f t="shared" si="397"/>
        <v>5.2415364862487</v>
      </c>
    </row>
    <row r="91" s="11" customFormat="1" customHeight="1" spans="1:389">
      <c r="A91" s="81"/>
      <c r="B91" s="82"/>
      <c r="C91" s="83"/>
      <c r="D91" s="74" t="s">
        <v>216</v>
      </c>
      <c r="E91" s="70">
        <f t="shared" si="325"/>
        <v>51.33322419</v>
      </c>
      <c r="F91" s="84">
        <f>$F$27</f>
        <v>244.921136962963</v>
      </c>
      <c r="G91" s="74"/>
      <c r="H91" s="78"/>
      <c r="I91" s="78"/>
      <c r="J91" s="23"/>
      <c r="K91" s="78"/>
      <c r="L91" s="128" t="s">
        <v>467</v>
      </c>
      <c r="M91" s="119">
        <f t="shared" si="339"/>
        <v>1.2</v>
      </c>
      <c r="N91" s="119">
        <f t="shared" si="340"/>
        <v>0</v>
      </c>
      <c r="O91" s="74">
        <f t="shared" si="488"/>
        <v>0.08</v>
      </c>
      <c r="P91" s="120">
        <v>0.1</v>
      </c>
      <c r="Q91" s="165">
        <f t="shared" si="440"/>
        <v>0.1</v>
      </c>
      <c r="R91" s="182">
        <v>0.8</v>
      </c>
      <c r="S91" s="173" t="str">
        <f>各项系数!$D$43</f>
        <v>钢带</v>
      </c>
      <c r="T91" s="78">
        <v>0.5</v>
      </c>
      <c r="U91" s="78">
        <v>2</v>
      </c>
      <c r="V91" s="172"/>
      <c r="W91" s="174">
        <v>2.5</v>
      </c>
      <c r="X91" s="168">
        <f t="shared" si="441"/>
        <v>0.2</v>
      </c>
      <c r="Y91" s="221"/>
      <c r="Z91" s="222"/>
      <c r="AA91" s="223">
        <f>$AA$27</f>
        <v>1.013</v>
      </c>
      <c r="AB91" s="186">
        <f>PI()*EJ91*EJ91/4*EH91*(1-H91)*AA91*各项系数!$F$5*各项系数!$J$4*10^-7</f>
        <v>1.01318311567178</v>
      </c>
      <c r="AC91" s="224">
        <f t="shared" si="327"/>
        <v>244.921136962963</v>
      </c>
      <c r="AD91" s="186">
        <f t="shared" si="341"/>
        <v>114.541562217361</v>
      </c>
      <c r="AE91" s="186">
        <f>POWER(4*EU91/PI()/EG91/10^-7/EH91/(1-H91)/各项系数!$F$5/各项系数!$J$4,0.5)</f>
        <v>246.50798375415</v>
      </c>
      <c r="AF91" s="225">
        <v>1</v>
      </c>
      <c r="AG91" s="23">
        <f>IF(EM91=0,0,PI()*ER91*ER91/4*EP91*(1-K91)*(1+AF91)*各项系数!$F$5*各项系数!$J$4*10^-7)</f>
        <v>0</v>
      </c>
      <c r="AH91" s="23">
        <f t="shared" si="328"/>
        <v>0</v>
      </c>
      <c r="AI91" s="85">
        <f t="shared" si="398"/>
        <v>0</v>
      </c>
      <c r="AJ91" s="85">
        <f>IF(OR(EP91="",EP91=0),0,POWER(4*EW91/PI()/EO91/10^-7/EP91/(1-K91)/各项系数!$F$5/各项系数!$J$4,0.5))</f>
        <v>0</v>
      </c>
      <c r="AK91" s="23" t="str">
        <f t="shared" si="342"/>
        <v>√</v>
      </c>
      <c r="AL91" s="23">
        <f t="shared" si="329"/>
        <v>353.529684938697</v>
      </c>
      <c r="AM91" s="127">
        <f t="shared" si="330"/>
        <v>120</v>
      </c>
      <c r="AN91" s="128" t="s">
        <v>486</v>
      </c>
      <c r="AO91" s="176">
        <f>AP91+各项系数!$M$9*$NK91</f>
        <v>346.597730332056</v>
      </c>
      <c r="AP91" s="176">
        <f>AQ91*(1+$BI91+(VLOOKUP($AM91,$A$12:$B$323,2,0))+各项系数!$J$6+各项系数!$M$5)*(1+$E$2)</f>
        <v>344.619224956394</v>
      </c>
      <c r="AQ91" s="262">
        <f>AR91+各项系数!$L$9*$NK91</f>
        <v>351.652270363668</v>
      </c>
      <c r="AR91" s="262">
        <f>AS91*(1+$BJ91+各项系数!$J$5+各项系数!$L$5)</f>
        <v>349.673764988006</v>
      </c>
      <c r="AS91" s="262">
        <f t="shared" si="399"/>
        <v>342.817416654908</v>
      </c>
      <c r="AT91" s="176">
        <f>AU91+各项系数!$M$9*$NM91</f>
        <v>350.393306312509</v>
      </c>
      <c r="AU91" s="176">
        <f>AV91*(1+$BI91+(VLOOKUP($AM91,$A$12:$B$323,2,0))+各项系数!$J$6+各项系数!$M$5)*(1+$E$2)</f>
        <v>348.414800936847</v>
      </c>
      <c r="AV91" s="262">
        <f>AW91+各项系数!$L$9*$NM91</f>
        <v>355.525307078416</v>
      </c>
      <c r="AW91" s="262">
        <f>AX91*(1+$BJ91+各项系数!$J$5+各项系数!$L$5)</f>
        <v>353.546801702754</v>
      </c>
      <c r="AX91" s="262">
        <f t="shared" si="400"/>
        <v>346.614511473288</v>
      </c>
      <c r="AY91" s="176">
        <f>AZ91+各项系数!$M$9*$NS91</f>
        <v>351.028991315236</v>
      </c>
      <c r="AZ91" s="176">
        <f>BA91*(1+$BI91+(VLOOKUP($AM91,$A$12:$B$214,2,0))+各项系数!$J$6+各项系数!$M$5)*(1+$E$2)</f>
        <v>349.031036478896</v>
      </c>
      <c r="BA91" s="262">
        <f>BB91+各项系数!$L$9*$NS91</f>
        <v>356.154118856017</v>
      </c>
      <c r="BB91" s="262">
        <f>BC91*(1+$BJ91+各项系数!$J$5+各项系数!$L$5)</f>
        <v>354.156164019676</v>
      </c>
      <c r="BC91" s="262">
        <f t="shared" si="401"/>
        <v>347.211925509487</v>
      </c>
      <c r="BD91" s="176">
        <f>BE91+各项系数!$M$9*$NS91</f>
        <v>354.837003340348</v>
      </c>
      <c r="BE91" s="176">
        <f>BF91*(1+$BI91+(VLOOKUP($AM91,$A$12:$B$214,2,0))+各项系数!$J$6+各项系数!$M$5)*(1+$E$2)</f>
        <v>352.839048504008</v>
      </c>
      <c r="BF91" s="262">
        <f>BG91+各项系数!$L$9*$NS91</f>
        <v>360.039845412253</v>
      </c>
      <c r="BG91" s="262">
        <f>BH91*(1+$BJ91+各项系数!$J$5+各项系数!$L$5)</f>
        <v>358.041890575913</v>
      </c>
      <c r="BH91" s="262">
        <f t="shared" si="402"/>
        <v>351.021461348934</v>
      </c>
      <c r="BI91" s="278"/>
      <c r="BJ91" s="279"/>
      <c r="BK91" s="95" t="s">
        <v>514</v>
      </c>
      <c r="BL91" s="176">
        <f>BM91+各项系数!$M$9*$NM91</f>
        <v>350.523592034291</v>
      </c>
      <c r="BM91" s="176">
        <f>BN91*(1+$CF91+(VLOOKUP($AM91,$A$12:$B$323,2,0))+各项系数!$J$6+各项系数!$M$5)*(1+$E$2)</f>
        <v>348.54508665863</v>
      </c>
      <c r="BN91" s="262">
        <f>BO91+各项系数!$L$9*$NM91</f>
        <v>355.658251692479</v>
      </c>
      <c r="BO91" s="262">
        <f>BP91*(1+$CG91+各项系数!$J$5+各项系数!$L$5)</f>
        <v>353.679746316817</v>
      </c>
      <c r="BP91" s="262">
        <f t="shared" si="403"/>
        <v>343.378394482347</v>
      </c>
      <c r="BQ91" s="176">
        <f>BR91+各项系数!$M$9*$NM91</f>
        <v>353.790128524947</v>
      </c>
      <c r="BR91" s="176">
        <f>BS91*(1+$CF91+(VLOOKUP($AM91,$A$12:$B$323,2,0))+各项系数!$J$6+各项系数!$M$5)*(1+$E$2)</f>
        <v>351.811623149285</v>
      </c>
      <c r="BS91" s="262">
        <f>BT91+各项系数!$L$9*$NM91</f>
        <v>358.991452193148</v>
      </c>
      <c r="BT91" s="262">
        <f>BU91*(1+$CG91+各项系数!$J$5+各项系数!$L$5)</f>
        <v>357.012946817487</v>
      </c>
      <c r="BU91" s="262">
        <f t="shared" si="404"/>
        <v>346.614511473288</v>
      </c>
      <c r="BV91" s="176">
        <f>BW91+各项系数!$M$9*$NT91</f>
        <v>353.049876897313</v>
      </c>
      <c r="BW91" s="176">
        <f>BX91*(1+$CF91+(VLOOKUP($AM91,$A$12:$B$214,2,0))+各项系数!$J$6+各项系数!$M$5)*(1+$E$2)</f>
        <v>351.051922060972</v>
      </c>
      <c r="BX91" s="262">
        <f>BY91+各项系数!$L$9*$NT$12</f>
        <v>358.216247000992</v>
      </c>
      <c r="BY91" s="262">
        <f>BZ91*(1+$CG91+各项系数!$J$5+各项系数!$L$5)</f>
        <v>358.207983597837</v>
      </c>
      <c r="BZ91" s="262">
        <f t="shared" si="343"/>
        <v>347.774741357124</v>
      </c>
      <c r="CA91" s="176">
        <f>CB91+各项系数!$M$9*$NT91</f>
        <v>356.327116057046</v>
      </c>
      <c r="CB91" s="176">
        <f>CC91*(1+$CF91+(VLOOKUP($AM91,$A$12:$B$214,2,0))+各项系数!$J$6+各项系数!$M$5)*(1+$E$2)</f>
        <v>354.329161220706</v>
      </c>
      <c r="CC91" s="262">
        <f>CD91+各项系数!$L$9*$NT$12</f>
        <v>361.560368592557</v>
      </c>
      <c r="CD91" s="262">
        <f>CE91*(1+$CG91+各项系数!$J$5+各项系数!$L$5)</f>
        <v>361.552105189402</v>
      </c>
      <c r="CE91" s="262">
        <f t="shared" si="405"/>
        <v>351.021461348934</v>
      </c>
      <c r="CF91" s="278">
        <f t="shared" si="406"/>
        <v>0</v>
      </c>
      <c r="CG91" s="278">
        <f t="shared" si="344"/>
        <v>0.01</v>
      </c>
      <c r="CH91" s="127"/>
      <c r="CI91" s="176">
        <f>CJ91+各项系数!$M$9*$NO91</f>
        <v>354.324170325872</v>
      </c>
      <c r="CJ91" s="176">
        <f>CK91*(1+$DC91+(VLOOKUP($AM91,$A$12:$B$323,2,0))+各项系数!$J$6+各项系数!$M$5)*(1+$E$2)+各项系数!$M$9*$NK91</f>
        <v>351.654417283122</v>
      </c>
      <c r="CK91" s="262">
        <f>CL91+各项系数!$L$9*$NO91</f>
        <v>356.812155007612</v>
      </c>
      <c r="CL91" s="262">
        <f>CM91*(1+$DD91+各项系数!$J$5+各项系数!$L$5)</f>
        <v>354.142401964863</v>
      </c>
      <c r="CM91" s="262">
        <f t="shared" si="345"/>
        <v>347.198433298885</v>
      </c>
      <c r="CN91" s="176">
        <f>CO91+各项系数!$M$9*$NO91</f>
        <v>357.926372061145</v>
      </c>
      <c r="CO91" s="176">
        <f>CP91*(1+$DC91+(VLOOKUP($AM91,$A$12:$B$323,2,0))+各项系数!$J$6+各项系数!$M$5)*(1+$E$2)+各项系数!$M$9*$NK91</f>
        <v>355.256619018395</v>
      </c>
      <c r="CP91" s="262">
        <f>CQ91+各项系数!$L$9*$NO91</f>
        <v>360.487871064014</v>
      </c>
      <c r="CQ91" s="262">
        <f>CR91*(1+$DD91+各项系数!$J$5+各项系数!$L$5)</f>
        <v>357.818118021264</v>
      </c>
      <c r="CR91" s="262">
        <f t="shared" si="346"/>
        <v>350.802076491435</v>
      </c>
      <c r="CS91" s="176">
        <f>CT91+各项系数!$M$9*$NU91</f>
        <v>356.937037706406</v>
      </c>
      <c r="CT91" s="176">
        <f t="shared" si="347"/>
        <v>354.247129522811</v>
      </c>
      <c r="CU91" s="262">
        <f>CV91+各项系数!$L$9*$NU91</f>
        <v>361.476662778379</v>
      </c>
      <c r="CV91" s="262">
        <f>CW91*(1+$DD91+各项系数!$J$5+各项系数!$L$5)</f>
        <v>358.786754594784</v>
      </c>
      <c r="CW91" s="262">
        <f t="shared" si="348"/>
        <v>351.751720190965</v>
      </c>
      <c r="CX91" s="176">
        <f>CY91+各项系数!$M$9*$NU91</f>
        <v>360.875939101554</v>
      </c>
      <c r="CY91" s="176">
        <f t="shared" si="349"/>
        <v>358.186030917959</v>
      </c>
      <c r="CZ91" s="262">
        <f>DA91+各项系数!$L$9*$NU91</f>
        <v>365.495949916285</v>
      </c>
      <c r="DA91" s="262">
        <f>DB91*(1+$DD91+各项系数!$J$5+各项系数!$L$5)</f>
        <v>362.80604173269</v>
      </c>
      <c r="DB91" s="262">
        <f t="shared" si="350"/>
        <v>355.692197777147</v>
      </c>
      <c r="DC91" s="278">
        <f t="shared" si="407"/>
        <v>0</v>
      </c>
      <c r="DD91" s="278">
        <f t="shared" si="351"/>
        <v>0</v>
      </c>
      <c r="DE91" s="95" t="s">
        <v>498</v>
      </c>
      <c r="DF91" s="95" t="s">
        <v>513</v>
      </c>
      <c r="DG91" s="176">
        <f>DH91+各项系数!$M$9*$NQ91</f>
        <v>358.312492998329</v>
      </c>
      <c r="DH91" s="176">
        <f>DI91*(1+$EA91+(VLOOKUP($AM91,$A$12:$B$323,2,0))+各项系数!$J$6+各项系数!$M$5)*(1+$E$2)+各项系数!$M$9*$NK91</f>
        <v>355.642739955579</v>
      </c>
      <c r="DI91" s="262">
        <f>DJ91+各项系数!$L$9*$NQ91</f>
        <v>360.881872020324</v>
      </c>
      <c r="DJ91" s="262">
        <f>DK91*(1+$EB91+各项系数!$J$5+各项系数!$L$5)</f>
        <v>358.212118977574</v>
      </c>
      <c r="DK91" s="262">
        <f t="shared" si="352"/>
        <v>347.778756288907</v>
      </c>
      <c r="DL91" s="176">
        <f>DM91+各项系数!$M$9*$NQ91</f>
        <v>361.691675081028</v>
      </c>
      <c r="DM91" s="176">
        <f>DN91*(1+$EA91+(VLOOKUP($AM91,$A$12:$B$323,2,0))+各项系数!$J$6+各项系数!$M$5)*(1+$E$2)+各项系数!$M$9*$NK91</f>
        <v>359.021922038279</v>
      </c>
      <c r="DN91" s="262">
        <f>DO91+各项系数!$L$9*$NQ91</f>
        <v>364.33001700267</v>
      </c>
      <c r="DO91" s="262">
        <f>DP91*(1+$EB91+各项系数!$J$5+各项系数!$L$5)</f>
        <v>361.66026395992</v>
      </c>
      <c r="DP91" s="262">
        <f t="shared" si="353"/>
        <v>351.126469864</v>
      </c>
      <c r="DQ91" s="176">
        <f>DR91+各项系数!$M$9*$NV91</f>
        <v>360.971837887993</v>
      </c>
      <c r="DR91" s="176">
        <f t="shared" si="354"/>
        <v>358.281929704399</v>
      </c>
      <c r="DS91" s="262">
        <f>DT91+各项系数!$L$9*$NV91</f>
        <v>365.593805820815</v>
      </c>
      <c r="DT91" s="262">
        <f>DU91*(1+$EB91+各项系数!$J$5+各项系数!$L$5)</f>
        <v>362.90389763722</v>
      </c>
      <c r="DU91" s="262">
        <f t="shared" si="355"/>
        <v>352.333881201185</v>
      </c>
      <c r="DV91" s="176">
        <f>DW91+各项系数!$M$9*$NV91</f>
        <v>360.857919133501</v>
      </c>
      <c r="DW91" s="176">
        <f t="shared" si="356"/>
        <v>358.168010949906</v>
      </c>
      <c r="DX91" s="262">
        <f>DY91+各项系数!$L$9*$NV91</f>
        <v>365.477562193782</v>
      </c>
      <c r="DY91" s="262">
        <f>DZ91*(1+$EB91+各项系数!$J$5+各项系数!$L$5)</f>
        <v>362.787654010187</v>
      </c>
      <c r="DZ91" s="262">
        <f t="shared" si="357"/>
        <v>352.221023310862</v>
      </c>
      <c r="EA91" s="278">
        <f t="shared" si="439"/>
        <v>0</v>
      </c>
      <c r="EB91" s="278">
        <f t="shared" si="358"/>
        <v>0.01</v>
      </c>
      <c r="EC91" s="302">
        <f t="shared" si="408"/>
        <v>5</v>
      </c>
      <c r="ED91" s="304" t="str">
        <f t="shared" si="442"/>
        <v>5*120</v>
      </c>
      <c r="EE91" s="95">
        <f t="shared" si="239"/>
        <v>120</v>
      </c>
      <c r="EF91" s="95" t="str">
        <f>LOOKUP(EH91,{1,7,10,14,19,24,30,37,48,61},{1,"1+6","2+8","4+10","1+6+12","2+8+14","4+10+16","1+6+12+18","3+9+15+21","1+6+12+18+24"})</f>
        <v>2+8+14</v>
      </c>
      <c r="EG91" s="127">
        <f t="shared" si="359"/>
        <v>5</v>
      </c>
      <c r="EH91" s="262">
        <f>VLOOKUP(EE91,各项系数!$B$87:$C$124,2,0)</f>
        <v>24</v>
      </c>
      <c r="EI91" s="127">
        <f>IF(EH91=0,0,VLOOKUP(EH91,各项系数!$D$142:$E$195,2,0))*1</f>
        <v>6</v>
      </c>
      <c r="EJ91" s="307">
        <f t="shared" si="409"/>
        <v>244.921136962963</v>
      </c>
      <c r="EK91" s="95">
        <f t="shared" si="332"/>
        <v>0</v>
      </c>
      <c r="EL91" s="95">
        <f t="shared" si="360"/>
        <v>0</v>
      </c>
      <c r="EM91" s="95">
        <f t="shared" si="443"/>
        <v>0</v>
      </c>
      <c r="EN91" s="95">
        <f>IF(EP91=0,0,LOOKUP(EP91,{1,7,10,14,19,24,30,37,48,61},{1,"1+6","2+8","4+10","1+6+12","2+8+14","4+10+16","1+6+12+18","3+9+15+21","1+6+12+18+24"}))</f>
        <v>0</v>
      </c>
      <c r="EO91" s="95">
        <f t="shared" si="334"/>
        <v>0</v>
      </c>
      <c r="EP91" s="95">
        <f>IF(EM91=0,0,IF(EM91&lt;10,1,IF(AND(EM91&gt;=10,EM91&lt;=35),7,LOOKUP(EM91,{50,70,95,120,150,185,240,300},{10,14,19,24,30,37,48,61})*1)))</f>
        <v>0</v>
      </c>
      <c r="EQ91" s="95">
        <f>IF(EP91=0,0,VLOOKUP(EP91,各项系数!$D$142:$E$195,2,0))*1</f>
        <v>0</v>
      </c>
      <c r="ER91" s="95">
        <f t="shared" si="335"/>
        <v>0</v>
      </c>
      <c r="ES91" s="304">
        <f t="shared" si="444"/>
        <v>5</v>
      </c>
      <c r="ET91" s="95">
        <f>VLOOKUP(ES91,各项系数!$D$142:$E$195,2,0)*1</f>
        <v>2.7</v>
      </c>
      <c r="EU91" s="311">
        <f>((各项系数!$F$76/4*$EJ91^2*$EG91*$EH91*1*10^-7)*(1-$H91)*AA91)*(VLOOKUP($EY$9,各项系数!$D$4:$F$143,3,0))*各项系数!$J$4</f>
        <v>5.0659155783589</v>
      </c>
      <c r="EV91" s="312">
        <f>EU91*(VLOOKUP($EY$9,各项系数!$D$4:$F$143,2,0))</f>
        <v>331.817470382508</v>
      </c>
      <c r="EW91" s="324">
        <f>(IF($EO91=0,0,(各项系数!$F$76/4*$ER91^2*$EO91*$EP91*1*10^-7))*(1-$K91)*$AF91)*(VLOOKUP($EY$9,各项系数!$D$4:$F$143,3,0))*各项系数!$J$4</f>
        <v>0</v>
      </c>
      <c r="EX91" s="325">
        <f>EW91*(VLOOKUP($EY$9,各项系数!$D$4:$F$143,2,0))</f>
        <v>0</v>
      </c>
      <c r="EY91" s="251">
        <f>((各项系数!$F$76/4*$EJ91^2*$EG91*$EH91*1*10^-7)*(1-$H91)*AA91+IF($EO91=0,0,(各项系数!$F$76/4*$ER91^2*$EO91*$EP91*1*10^-7))*(1-$K91)*$AF91)*(VLOOKUP($EY$9,各项系数!$D$4:$F$143,3,0))*各项系数!$J$4</f>
        <v>5.0659155783589</v>
      </c>
      <c r="EZ91" s="127">
        <v>1</v>
      </c>
      <c r="FA91" s="95">
        <f t="shared" si="445"/>
        <v>5.0659155783589</v>
      </c>
      <c r="FB91" s="314">
        <f>FA91*(VLOOKUP($EY$9,各项系数!$D$4:$F$143,2,0))</f>
        <v>331.817470382508</v>
      </c>
      <c r="FC91" s="329"/>
      <c r="FD91" s="304">
        <f>各项系数!$F$76/4*($MN91^2-MK91^2)*10^-2*(VLOOKUP(L91,各项系数!$D$1:$F$143,3,0))*10^-3*10^2*$EG91*各项系数!$J$4</f>
        <v>0.327932718811218</v>
      </c>
      <c r="FE91" s="341">
        <f>FD91*VLOOKUP(L91,各项系数!$D$1:$F$143,2,0)</f>
        <v>3.34491373187443</v>
      </c>
      <c r="FF91" s="127">
        <f>各项系数!$F$76/4*($MO91^2-ML91^2)*10^-2*(VLOOKUP(L91,各项系数!$D$1:$F$143,3,0))*10^-3*10^2*$EO91*各项系数!$J$4</f>
        <v>0</v>
      </c>
      <c r="FG91" s="341">
        <f>FF91*VLOOKUP(L91,各项系数!$D$1:$F$143,2,0)</f>
        <v>0</v>
      </c>
      <c r="FH91" s="304">
        <f t="shared" si="410"/>
        <v>0.327932718811218</v>
      </c>
      <c r="FI91" s="127">
        <v>1</v>
      </c>
      <c r="FJ91" s="95">
        <f t="shared" si="446"/>
        <v>0.327932718811218</v>
      </c>
      <c r="FK91" s="341">
        <f>FJ91*VLOOKUP(L91,各项系数!$D$1:$F$143,2,0)</f>
        <v>3.34491373187443</v>
      </c>
      <c r="FL91" s="304"/>
      <c r="FM91" s="127"/>
      <c r="FN91" s="95"/>
      <c r="FO91" s="341"/>
      <c r="FP91" s="371">
        <f t="shared" si="447"/>
        <v>0.327932718811218</v>
      </c>
      <c r="FQ91" s="371">
        <f t="shared" si="448"/>
        <v>3.34491373187443</v>
      </c>
      <c r="FR91" s="365">
        <f>各项系数!$F$76/4*($MQ91^2-$MN91^2*$EG91-$MO91^2*$EO91)*10^-2</f>
        <v>5.25626438579094</v>
      </c>
      <c r="FS91" s="366">
        <f t="shared" si="411"/>
        <v>1</v>
      </c>
      <c r="FT91" s="367">
        <f t="shared" si="361"/>
        <v>5.25626438579094</v>
      </c>
      <c r="FU91" s="395">
        <f>$FT91*(VLOOKUP($FT$9,各项系数!$D$1:$F$143,3,0))*10^-3*10^2*各项系数!$J$55</f>
        <v>0.627597967663438</v>
      </c>
      <c r="FV91" s="396">
        <v>1</v>
      </c>
      <c r="FW91" s="397">
        <f t="shared" si="449"/>
        <v>0.627597967663438</v>
      </c>
      <c r="FX91" s="372">
        <f>FW91*(VLOOKUP($FT$9,各项系数!$D$1:$F$143,2,0))</f>
        <v>1.88279390299031</v>
      </c>
      <c r="FY91" s="395">
        <f>IF($BK91&lt;&gt;$FY$9,0,各项系数!$F$76/4*($MS91^2-$MQ91^2)*10^-2*(VLOOKUP($FY$9,各项系数!$D$1:$F$143,3,0))*10^-3*10^2)*各项系数!$J$4</f>
        <v>0</v>
      </c>
      <c r="FZ91" s="396">
        <v>1</v>
      </c>
      <c r="GA91" s="397">
        <f t="shared" si="450"/>
        <v>0</v>
      </c>
      <c r="GB91" s="372">
        <f>GA91*(VLOOKUP($FY$9,各项系数!$D$1:$F$143,2,0))</f>
        <v>0</v>
      </c>
      <c r="GC91" s="395">
        <f>IF($BK91&lt;&gt;$GC$9,0,各项系数!$F$76/4*($MS91^2-$MQ91^2)*10^-2*(VLOOKUP($GC$9,各项系数!$D$1:$F$143,3,0))*10^-3*10^2)*各项系数!$J$4</f>
        <v>0.0125938266003498</v>
      </c>
      <c r="GD91" s="396">
        <v>1</v>
      </c>
      <c r="GE91" s="397">
        <f t="shared" si="451"/>
        <v>0.0125938266003498</v>
      </c>
      <c r="GF91" s="372">
        <f>GE91*(VLOOKUP($GC$9,各项系数!$D$1:$F$143,2,0))</f>
        <v>0.162460363144512</v>
      </c>
      <c r="GG91" s="395">
        <f>IF($BK91&lt;&gt;$GG$9,0,各项系数!$F$76/4*($MS91^2-$MQ91^2)*10^-2*(VLOOKUP($GG$9,各项系数!$D$1:$F$143,3,0))*10^-3*10^2)*各项系数!$J$4</f>
        <v>0</v>
      </c>
      <c r="GH91" s="396">
        <v>1</v>
      </c>
      <c r="GI91" s="397">
        <f t="shared" si="452"/>
        <v>0</v>
      </c>
      <c r="GJ91" s="372">
        <f>GI91*(VLOOKUP($GG$9,各项系数!$D$1:$F$143,2,0))</f>
        <v>0</v>
      </c>
      <c r="GK91" s="395">
        <f>IF($BK91&lt;&gt;$GK$9,0,各项系数!$F$76/4*($MS91^2-$MQ91^2)*10^-2*(VLOOKUP($GK$9,各项系数!$D$1:$F$143,3,0))*10^-3*10^2)*各项系数!$J$4</f>
        <v>0</v>
      </c>
      <c r="GL91" s="396">
        <v>1</v>
      </c>
      <c r="GM91" s="397">
        <f t="shared" si="453"/>
        <v>0</v>
      </c>
      <c r="GN91" s="372">
        <f>GM91*(VLOOKUP($GK$9,各项系数!$D$1:$F$143,2,0))</f>
        <v>0</v>
      </c>
      <c r="GO91" s="397">
        <f t="shared" si="454"/>
        <v>0.0125938266003498</v>
      </c>
      <c r="GP91" s="397">
        <f t="shared" si="455"/>
        <v>0.162460363144512</v>
      </c>
      <c r="GQ91" s="408">
        <f>各项系数!$F$76/4*($MU91^2-$MS91^2)*10^-2*(VLOOKUP($S91,各项系数!$D$1:$F$143,3,0))*10^-3*10^2*各项系数!$J$4</f>
        <v>0.863191519494092</v>
      </c>
      <c r="GR91" s="396">
        <v>1</v>
      </c>
      <c r="GS91" s="397">
        <f t="shared" si="456"/>
        <v>0.863191519494092</v>
      </c>
      <c r="GT91" s="397">
        <f t="shared" si="457"/>
        <v>0</v>
      </c>
      <c r="GU91" s="397">
        <f>ROUND($GS91*(VLOOKUP($S91,各项系数!$D$1:$F$143,2,0))+$E$3*GS91,GT91)</f>
        <v>5</v>
      </c>
      <c r="GV91" s="406">
        <f>各项系数!$F$76/4*($MT91^2-$MS91^2)*10^-2*(VLOOKUP($GV$9,各项系数!$D$1:$F$143,3,0))*10^-3*10^2*各项系数!$J$4*PI()/4*R91</f>
        <v>0.0648315355940699</v>
      </c>
      <c r="GW91" s="396">
        <v>1</v>
      </c>
      <c r="GX91" s="397">
        <f t="shared" si="458"/>
        <v>0.0648315355940699</v>
      </c>
      <c r="GY91" s="397">
        <f>$GX91*(VLOOKUP($GV$9,各项系数!$D$1:$F$143,2,0))</f>
        <v>4.37612865259972</v>
      </c>
      <c r="GZ91" s="408">
        <f>各项系数!$F$76/4*($MV91^2-$MS91^2)*10^-2*(VLOOKUP($GZ$9,各项系数!$D$1:$F$143,3,0))*10^-3*10^2*各项系数!$J$4</f>
        <v>0.553345476045335</v>
      </c>
      <c r="HA91" s="396">
        <v>1</v>
      </c>
      <c r="HB91" s="397">
        <f t="shared" si="412"/>
        <v>0.553345476045335</v>
      </c>
      <c r="HC91" s="397">
        <f>HB91*(VLOOKUP($GZ$9,各项系数!$D$1:$F$143,2,0))</f>
        <v>9.4068730927707</v>
      </c>
      <c r="HD91" s="408">
        <f>各项系数!$F$76/4*($MW91^2-$MT91^2)*10^-2*(VLOOKUP($HD$9,各项系数!$D$1:$F$143,3,0))*10^-3*10^2*各项系数!$J$4</f>
        <v>0.555158489165722</v>
      </c>
      <c r="HE91" s="396">
        <v>1</v>
      </c>
      <c r="HF91" s="397">
        <f t="shared" si="413"/>
        <v>0.555158489165722</v>
      </c>
      <c r="HG91" s="397">
        <f>HF91*(VLOOKUP($HD$9,各项系数!$D$1:$F$143,2,0))</f>
        <v>9.43769431581727</v>
      </c>
      <c r="HH91" s="408">
        <f>各项系数!$F$76/4*($MV91^2-$MS91^2)*10^-2*(VLOOKUP($HH$9,各项系数!$D$1:$F$143,3,0))*10^-3*10^2*各项系数!$J$4</f>
        <v>0.553345476045335</v>
      </c>
      <c r="HI91" s="397">
        <v>1</v>
      </c>
      <c r="HJ91" s="397">
        <f t="shared" si="414"/>
        <v>0.553345476045335</v>
      </c>
      <c r="HK91" s="397">
        <f>HJ91*(VLOOKUP($HH$9,各项系数!$D$1:$F$143,2,0))</f>
        <v>9.4068730927707</v>
      </c>
      <c r="HL91" s="408">
        <f>各项系数!$F$76/4*($MW91^2-$MT91^2)*10^-2*(VLOOKUP($HL$9,各项系数!$D$1:$F$143,3,0))*10^-3*10^2*各项系数!$J$4</f>
        <v>0.555158489165722</v>
      </c>
      <c r="HM91" s="397">
        <v>1</v>
      </c>
      <c r="HN91" s="397">
        <f t="shared" si="362"/>
        <v>0.555158489165722</v>
      </c>
      <c r="HO91" s="397">
        <f>HN91*(VLOOKUP($HL$9,各项系数!$D$1:$F$143,2,0))</f>
        <v>9.43769431581727</v>
      </c>
      <c r="HP91" s="408">
        <f>各项系数!$F$76/4*($MV91^2-$MS91^2)*10^-2*(VLOOKUP(AN91,各项系数!$D$1:$F$143,3,0))*10^-3*10^2*各项系数!$J$4</f>
        <v>0.560977827439064</v>
      </c>
      <c r="HQ91" s="396">
        <v>1</v>
      </c>
      <c r="HR91" s="397">
        <f t="shared" si="459"/>
        <v>0.560977827439064</v>
      </c>
      <c r="HS91" s="397">
        <f>HR91*(VLOOKUP(AN91,各项系数!$D$1:$F$143,2,0))</f>
        <v>5.60977827439064</v>
      </c>
      <c r="HT91" s="408">
        <f>各项系数!$F$76/4*($MW91^2-$MT91^2)*10^-2*(VLOOKUP(AN91,各项系数!$D$1:$F$143,3,0))*10^-3*10^2*各项系数!$J$4</f>
        <v>0.562815847636973</v>
      </c>
      <c r="HU91" s="396">
        <v>1</v>
      </c>
      <c r="HV91" s="397">
        <f t="shared" si="460"/>
        <v>0.562815847636973</v>
      </c>
      <c r="HW91" s="397">
        <f>HV91*(VLOOKUP(AN91,各项系数!$D$1:$F$143,2,0))</f>
        <v>5.62815847636973</v>
      </c>
      <c r="HX91" s="408">
        <f>各项系数!$F$76/4*($MV91^2-$MS91^2)*10^-2*(VLOOKUP($HX$9,各项系数!$D$1:$F$143,3,0))*10^-3*10^2*各项系数!$J$4</f>
        <v>0.560977827439064</v>
      </c>
      <c r="HY91" s="397">
        <v>1</v>
      </c>
      <c r="HZ91" s="397">
        <f t="shared" si="461"/>
        <v>0.560977827439064</v>
      </c>
      <c r="IA91" s="397">
        <f>HZ91*(VLOOKUP($HX$9,各项系数!$D$1:$F$143,2,0))</f>
        <v>6.1707561018297</v>
      </c>
      <c r="IB91" s="408">
        <f>各项系数!$F$76/4*($MW91^2-$MT91^2)*10^-2*(VLOOKUP($IB$9,各项系数!$D$1:$F$143,3,0))*10^-3*10^2*各项系数!$J$4</f>
        <v>0.562815847636973</v>
      </c>
      <c r="IC91" s="397">
        <v>1</v>
      </c>
      <c r="ID91" s="397">
        <f t="shared" si="462"/>
        <v>0.562815847636973</v>
      </c>
      <c r="IE91" s="397">
        <f>ID91*(VLOOKUP($IB$9,各项系数!$D$1:$F$143,2,0))</f>
        <v>6.1909743240067</v>
      </c>
      <c r="IF91" s="395"/>
      <c r="IG91" s="408">
        <f t="shared" si="415"/>
        <v>0.105465328551377</v>
      </c>
      <c r="IH91" s="396">
        <v>1</v>
      </c>
      <c r="II91" s="397">
        <f t="shared" si="463"/>
        <v>0.105465328551377</v>
      </c>
      <c r="IJ91" s="397">
        <f>II91*(VLOOKUP($IG$8,各项系数!$D$1:$F$143,2,0))</f>
        <v>2.63663321378443</v>
      </c>
      <c r="IK91" s="408">
        <f>(各项系数!$F$76/4*($MX91^2-$MK91^2)*$EG91)*10^-2*(VLOOKUP($IG$8,各项系数!$D$1:$F$143,3,0))*10^-3*10^2*各项系数!$J$4</f>
        <v>0.105465328551377</v>
      </c>
      <c r="IL91" s="396">
        <f>IK91*(VLOOKUP($IG$8,各项系数!$D$1:$F$143,2,0))</f>
        <v>2.63663321378443</v>
      </c>
      <c r="IM91" s="397">
        <f>(各项系数!$F$76/4*(($MM91+3*$X91)^2-MM91^2)*$EO91)*10^-2*(VLOOKUP($IG$8,各项系数!$D$1:$F$143,3,0))*10^-3*10^2*各项系数!$J$4</f>
        <v>0</v>
      </c>
      <c r="IN91" s="396">
        <f>IM91*(VLOOKUP($IG$8,各项系数!$D$1:$F$143,2,0))</f>
        <v>0</v>
      </c>
      <c r="IO91" s="408">
        <f>各项系数!$F$76/4*($MZ91^2-$MX91^2)*10^-2*(VLOOKUP(L91,各项系数!$D$1:$F$143,3,0))*10^-3*10^2*$ES91*各项系数!$J$4</f>
        <v>0.340311222184892</v>
      </c>
      <c r="IP91" s="396">
        <v>1</v>
      </c>
      <c r="IQ91" s="397">
        <f t="shared" si="464"/>
        <v>0.340311222184892</v>
      </c>
      <c r="IR91" s="372">
        <f>IQ91*(VLOOKUP(L91,各项系数!$D$1:$F$143,2,0))</f>
        <v>3.4711744662859</v>
      </c>
      <c r="IS91" s="408">
        <f>IF($L91&lt;&gt;$IS$9,0,各项系数!$F$76/4*($MZ91^2-$MX91^2)*10^-2*各项系数!$F$12*10^-3*10^2)*$ES91*各项系数!$J$4</f>
        <v>0</v>
      </c>
      <c r="IT91" s="396">
        <v>1</v>
      </c>
      <c r="IU91" s="397">
        <f t="shared" si="465"/>
        <v>0</v>
      </c>
      <c r="IV91" s="372">
        <f>IU91*各项系数!$E$12</f>
        <v>0</v>
      </c>
      <c r="IW91" s="395">
        <f t="shared" si="466"/>
        <v>0.340311222184892</v>
      </c>
      <c r="IX91" s="395">
        <f t="shared" si="467"/>
        <v>3.4711744662859</v>
      </c>
      <c r="IY91" s="447">
        <f>各项系数!$F$76/4*($NB91^2-$MZ91^2*$EG91-$NA91^2*$EO91)*10^-2</f>
        <v>5.63170196352925</v>
      </c>
      <c r="IZ91" s="366">
        <f t="shared" si="487"/>
        <v>1</v>
      </c>
      <c r="JA91" s="367">
        <f t="shared" si="363"/>
        <v>5.63170196352925</v>
      </c>
      <c r="JB91" s="371">
        <f>IF($DE91&lt;&gt;$JB$9,0,$JA91*各项系数!$F$32*10^-3*10^2)*各项系数!$J$4</f>
        <v>0</v>
      </c>
      <c r="JC91" s="127">
        <v>1</v>
      </c>
      <c r="JD91" s="95">
        <f t="shared" si="468"/>
        <v>0</v>
      </c>
      <c r="JE91" s="341">
        <f>JD91*各项系数!$E$32</f>
        <v>0</v>
      </c>
      <c r="JF91" s="364">
        <f>IF($DE91&lt;&gt;$JF$9,0,$JA91*VLOOKUP($JF$9,各项系数!$D$4:$F$540,2,0)*10^-3*10^2)*各项系数!$J$4</f>
        <v>2.8017717268558</v>
      </c>
      <c r="JG91" s="123">
        <v>1</v>
      </c>
      <c r="JH91" s="251">
        <f t="shared" si="364"/>
        <v>2.8017717268558</v>
      </c>
      <c r="JI91" s="339">
        <f>JH91*VLOOKUP($JF$9,各项系数!$D$4:$F$540,3,0)</f>
        <v>3.36212607222696</v>
      </c>
      <c r="JJ91" s="371">
        <f t="shared" si="469"/>
        <v>2.8017717268558</v>
      </c>
      <c r="JK91" s="95">
        <f t="shared" si="470"/>
        <v>3.36212607222696</v>
      </c>
      <c r="JL91" s="371">
        <f>IF($DF91&lt;&gt;$JL$9,0,各项系数!$F$76/4*($NE91^2-$NC91^2)*10^-2*各项系数!$F$39*10^-3*10^2)*各项系数!$J$4</f>
        <v>0.00538996319295973</v>
      </c>
      <c r="JM91" s="127">
        <v>1</v>
      </c>
      <c r="JN91" s="95">
        <f t="shared" si="471"/>
        <v>0.00538996319295973</v>
      </c>
      <c r="JO91" s="341">
        <f>JN91*各项系数!$E$39</f>
        <v>0.107799263859195</v>
      </c>
      <c r="JP91" s="371">
        <f>IF($DF91&lt;&gt;$JP$9,0,各项系数!$F$76/4*($NE91^2-$NC91^2)*10^-2*各项系数!$F$36*10^-3*10^2)*各项系数!$J$4</f>
        <v>0</v>
      </c>
      <c r="JQ91" s="127">
        <v>1</v>
      </c>
      <c r="JR91" s="95">
        <f t="shared" si="472"/>
        <v>0</v>
      </c>
      <c r="JS91" s="341">
        <f>JR91*各项系数!$E$36</f>
        <v>0</v>
      </c>
      <c r="JT91" s="371">
        <f>IF($DF91&lt;&gt;$JT$9,0,各项系数!$F$76/4*($NE91^2-$NC91^2)*10^-2*各项系数!$F$40*10^-3*10^2)*各项系数!$J$4</f>
        <v>0</v>
      </c>
      <c r="JU91" s="127">
        <v>1</v>
      </c>
      <c r="JV91" s="95">
        <f t="shared" si="473"/>
        <v>0</v>
      </c>
      <c r="JW91" s="341">
        <f>JV91*各项系数!$E$40</f>
        <v>0</v>
      </c>
      <c r="JX91" s="371">
        <f>IF($DF91&lt;&gt;$JX$9,0,各项系数!$F$76/4*($NE91^2-$NC91^2)*10^-2*各项系数!$F$38*10^-3*10^2)*各项系数!$J$4</f>
        <v>0</v>
      </c>
      <c r="JY91" s="127">
        <v>1</v>
      </c>
      <c r="JZ91" s="95">
        <f t="shared" si="474"/>
        <v>0</v>
      </c>
      <c r="KA91" s="341">
        <f>JZ91*各项系数!$E$38</f>
        <v>0</v>
      </c>
      <c r="KB91" s="371">
        <f>IF($DF91&lt;&gt;$KB$9,0,各项系数!$F$76/4*($NE91^2-$NC91^2)*10^-2*各项系数!$F$41*10^-3*10^2)*各项系数!$J$4</f>
        <v>0</v>
      </c>
      <c r="KC91" s="127">
        <v>1</v>
      </c>
      <c r="KD91" s="95">
        <f t="shared" si="475"/>
        <v>0</v>
      </c>
      <c r="KE91" s="341">
        <f>KD91*各项系数!$E$41</f>
        <v>0</v>
      </c>
      <c r="KF91" s="95">
        <f t="shared" si="476"/>
        <v>0.00538996319295973</v>
      </c>
      <c r="KG91" s="95">
        <f t="shared" si="477"/>
        <v>0.107799263859195</v>
      </c>
      <c r="KH91" s="304">
        <f>各项系数!$F$76/4*($NG91^2-$NE91^2)*10^-2*各项系数!$F$44*10^-3*10^2*各项系数!$J$4*0.75*$U91</f>
        <v>1.34109722966941</v>
      </c>
      <c r="KI91" s="127">
        <v>1</v>
      </c>
      <c r="KJ91" s="95">
        <f t="shared" si="478"/>
        <v>1.34109722966941</v>
      </c>
      <c r="KK91" s="95">
        <f>ROUND(KJ91*各项系数!$E$43,GT91)</f>
        <v>8</v>
      </c>
      <c r="KL91" s="302">
        <f>各项系数!$F$76/4*($NF91^2-$NE91^2)*10^-2*各项系数!$F$46*10^-3*10^2*各项系数!$J$4*PI()/4*R91</f>
        <v>0.0671838028163059</v>
      </c>
      <c r="KM91" s="127">
        <v>1</v>
      </c>
      <c r="KN91" s="95">
        <f t="shared" si="479"/>
        <v>0.0671838028163059</v>
      </c>
      <c r="KO91" s="95">
        <f>KN91*各项系数!$E$46</f>
        <v>4.53490669010065</v>
      </c>
      <c r="KP91" s="304">
        <f>各项系数!$F$76/4*($NH91^2-$NE91^2)*10^-2*(VLOOKUP($KP$9,各项系数!$D$1:$F$143,3,0))*10^-3*10^2*各项系数!$J$4</f>
        <v>0.572427439137405</v>
      </c>
      <c r="KQ91" s="127">
        <v>1</v>
      </c>
      <c r="KR91" s="95">
        <f t="shared" si="416"/>
        <v>0.572427439137405</v>
      </c>
      <c r="KS91" s="95">
        <f>KR91*(VLOOKUP($KP$9,各项系数!$D$1:$F$143,2,0))</f>
        <v>9.73126646533588</v>
      </c>
      <c r="KT91" s="304">
        <f>各项系数!$F$76/4*($NI91^2-$NF91^2)*10^-2*(VLOOKUP($KT$9,各项系数!$D$1:$F$143,3,0))*10^-3*10^2*各项系数!$J$4</f>
        <v>0.574240452257791</v>
      </c>
      <c r="KU91" s="127">
        <v>1</v>
      </c>
      <c r="KV91" s="95">
        <f t="shared" si="417"/>
        <v>0.574240452257791</v>
      </c>
      <c r="KW91" s="95">
        <f>KV91*(VLOOKUP($KT$9,各项系数!$D$1:$F$143,2,0))</f>
        <v>9.76208768838245</v>
      </c>
      <c r="KX91" s="95">
        <f>各项系数!$F$76/4*($NH91^2-$NE91^2)*10^-2*(VLOOKUP($KX$9,各项系数!$D$1:$F$143,3,0))*10^-3*10^2*各项系数!$J$4</f>
        <v>0.572427439137405</v>
      </c>
      <c r="KY91" s="481">
        <v>1</v>
      </c>
      <c r="KZ91" s="95">
        <f t="shared" si="418"/>
        <v>0.572427439137405</v>
      </c>
      <c r="LA91" s="95">
        <f>KZ91*(VLOOKUP($KX$9,各项系数!$D$1:$F$143,2,0))</f>
        <v>9.73126646533588</v>
      </c>
      <c r="LB91" s="95">
        <f>各项系数!$F$76/4*($NI91^2-$NF91^2)*10^-2*(VLOOKUP($LB$9,各项系数!$D$1:$F$143,3,0))*10^-3*10^2*各项系数!$J$4</f>
        <v>0.574240452257791</v>
      </c>
      <c r="LC91" s="481">
        <v>1</v>
      </c>
      <c r="LD91" s="95">
        <f t="shared" si="419"/>
        <v>0.574240452257791</v>
      </c>
      <c r="LE91" s="95">
        <f>LD91*(VLOOKUP($LB$9,各项系数!$D$1:$F$143,2,0))</f>
        <v>9.76208768838245</v>
      </c>
      <c r="LF91" s="304">
        <f>各项系数!$F$76/4*($NH91^2-$NE91^2)*10^-2*(VLOOKUP(AN91,各项系数!$D$1:$F$143,3,0))*10^-3*10^2*各项系数!$J$4</f>
        <v>0.580322990022058</v>
      </c>
      <c r="LG91" s="127">
        <v>1</v>
      </c>
      <c r="LH91" s="95">
        <f t="shared" si="480"/>
        <v>0.580322990022058</v>
      </c>
      <c r="LI91" s="95">
        <f>LH91*(VLOOKUP(AN91,各项系数!$D$1:$F$143,2,0))</f>
        <v>5.80322990022058</v>
      </c>
      <c r="LJ91" s="304">
        <f>各项系数!$F$76/4*($NI91^2-$NF91^2)*10^-2*(VLOOKUP(AN91,各项系数!$D$1:$F$143,3,0))*10^-3*10^2*各项系数!$J$4</f>
        <v>0.582161010219967</v>
      </c>
      <c r="LK91" s="127">
        <v>1</v>
      </c>
      <c r="LL91" s="95">
        <f t="shared" si="481"/>
        <v>0.582161010219967</v>
      </c>
      <c r="LM91" s="95">
        <f>LL91*(VLOOKUP(AN91,各项系数!$D$1:$F$143,2,0))</f>
        <v>5.82161010219967</v>
      </c>
      <c r="LN91" s="95">
        <f>各项系数!$F$76/4*($NH91^2-$NE91^2)*10^-2*(VLOOKUP($LN$9,各项系数!$D$1:$F$143,3,0))*10^-3*10^2*各项系数!$J$4</f>
        <v>0.580322990022058</v>
      </c>
      <c r="LO91" s="481">
        <v>1</v>
      </c>
      <c r="LP91" s="95">
        <f t="shared" si="482"/>
        <v>0.580322990022058</v>
      </c>
      <c r="LQ91" s="95">
        <f>LP91*(VLOOKUP($LN$9,各项系数!$D$1:$F$143,2,0))</f>
        <v>6.38355289024264</v>
      </c>
      <c r="LR91" s="95">
        <f>各项系数!$F$76/4*($NI91^2-$NF91^2)*10^-2*(VLOOKUP($LR$9,各项系数!$D$1:$F$143,3,0))*10^-3*10^2*各项系数!$J$4</f>
        <v>0.582161010219967</v>
      </c>
      <c r="LS91" s="481">
        <v>1</v>
      </c>
      <c r="LT91" s="95">
        <f t="shared" si="483"/>
        <v>0.582161010219967</v>
      </c>
      <c r="LU91" s="95">
        <f>LT91*(VLOOKUP($LR$9,各项系数!$D$1:$F$143,2,0))</f>
        <v>6.40377111241964</v>
      </c>
      <c r="LV91" s="501">
        <f t="shared" si="420"/>
        <v>848.03723286</v>
      </c>
      <c r="LW91" s="501">
        <f t="shared" si="421"/>
        <v>565.35815524</v>
      </c>
      <c r="LX91" s="501">
        <f t="shared" si="422"/>
        <v>26.8297663088982</v>
      </c>
      <c r="LY91" s="519">
        <f t="shared" si="423"/>
        <v>282.67907762</v>
      </c>
      <c r="LZ91" s="516">
        <f t="shared" si="365"/>
        <v>1</v>
      </c>
      <c r="MA91" s="517">
        <f t="shared" si="366"/>
        <v>848.03723286</v>
      </c>
      <c r="MB91" s="501">
        <f t="shared" si="424"/>
        <v>14.69526822</v>
      </c>
      <c r="MC91" s="501">
        <f t="shared" si="425"/>
        <v>0</v>
      </c>
      <c r="MD91" s="501">
        <f t="shared" si="426"/>
        <v>0</v>
      </c>
      <c r="ME91" s="501">
        <f t="shared" si="427"/>
        <v>0</v>
      </c>
      <c r="MF91" s="501">
        <f t="shared" si="428"/>
        <v>0</v>
      </c>
      <c r="MG91" s="527">
        <f t="shared" si="429"/>
        <v>1</v>
      </c>
      <c r="MH91" s="517">
        <f t="shared" si="367"/>
        <v>0</v>
      </c>
      <c r="MI91" s="501">
        <f t="shared" si="430"/>
        <v>0</v>
      </c>
      <c r="MJ91" s="95">
        <f t="shared" si="368"/>
        <v>14.69526822</v>
      </c>
      <c r="MK91" s="95">
        <f t="shared" si="431"/>
        <v>14.69526822</v>
      </c>
      <c r="ML91" s="95">
        <f t="shared" si="484"/>
        <v>0</v>
      </c>
      <c r="MM91" s="95">
        <f t="shared" si="369"/>
        <v>0</v>
      </c>
      <c r="MN91" s="95">
        <f t="shared" si="370"/>
        <v>17.09526822</v>
      </c>
      <c r="MO91" s="251">
        <f t="shared" si="432"/>
        <v>0</v>
      </c>
      <c r="MP91" s="95">
        <f t="shared" si="433"/>
        <v>46.15722419</v>
      </c>
      <c r="MQ91" s="95">
        <f t="shared" si="485"/>
        <v>46.15722419</v>
      </c>
      <c r="MR91" s="314">
        <f t="shared" si="434"/>
        <v>46.15722419</v>
      </c>
      <c r="MS91" s="530">
        <f t="shared" si="371"/>
        <v>46.33322419</v>
      </c>
      <c r="MT91" s="532">
        <f t="shared" si="372"/>
        <v>46.49322419</v>
      </c>
      <c r="MU91" s="532">
        <f t="shared" si="373"/>
        <v>47.83322419</v>
      </c>
      <c r="MV91" s="532">
        <f t="shared" si="374"/>
        <v>51.33322419</v>
      </c>
      <c r="MW91" s="532">
        <f t="shared" si="375"/>
        <v>51.49322419</v>
      </c>
      <c r="MX91" s="314">
        <f t="shared" si="376"/>
        <v>15.29526822</v>
      </c>
      <c r="MY91" s="314">
        <f t="shared" si="377"/>
        <v>0</v>
      </c>
      <c r="MZ91" s="95">
        <f t="shared" si="378"/>
        <v>17.69526822</v>
      </c>
      <c r="NA91" s="95">
        <f t="shared" si="379"/>
        <v>0</v>
      </c>
      <c r="NB91" s="95">
        <f t="shared" si="435"/>
        <v>47.77722419</v>
      </c>
      <c r="NC91" s="314">
        <f t="shared" si="486"/>
        <v>47.77722419</v>
      </c>
      <c r="ND91" s="314">
        <f t="shared" si="436"/>
        <v>47.77722419</v>
      </c>
      <c r="NE91" s="537">
        <f t="shared" si="437"/>
        <v>48.01722419</v>
      </c>
      <c r="NF91" s="532">
        <f t="shared" si="380"/>
        <v>48.17722419</v>
      </c>
      <c r="NG91" s="180">
        <f t="shared" si="381"/>
        <v>49.51722419</v>
      </c>
      <c r="NH91" s="314">
        <f t="shared" si="382"/>
        <v>53.01722419</v>
      </c>
      <c r="NI91" s="532">
        <f t="shared" si="383"/>
        <v>53.17722419</v>
      </c>
      <c r="NK91" s="541">
        <f t="shared" si="384"/>
        <v>6.59501791887297</v>
      </c>
      <c r="NL91" s="541">
        <f t="shared" si="385"/>
        <v>342.817416654908</v>
      </c>
      <c r="NM91" s="541">
        <f t="shared" si="386"/>
        <v>6.59501791887297</v>
      </c>
      <c r="NN91" s="541">
        <f t="shared" si="387"/>
        <v>343.378394482347</v>
      </c>
      <c r="NO91" s="541">
        <f t="shared" si="388"/>
        <v>8.89917680916599</v>
      </c>
      <c r="NP91" s="541">
        <f t="shared" si="389"/>
        <v>347.198433298885</v>
      </c>
      <c r="NQ91" s="541">
        <f t="shared" si="390"/>
        <v>8.89917680916599</v>
      </c>
      <c r="NR91" s="541">
        <f t="shared" si="391"/>
        <v>347.778756288907</v>
      </c>
      <c r="NS91" s="541">
        <f t="shared" si="392"/>
        <v>6.65984945446704</v>
      </c>
      <c r="NT91" s="541">
        <f t="shared" si="393"/>
        <v>6.65984945446704</v>
      </c>
      <c r="NU91" s="541">
        <f t="shared" si="394"/>
        <v>8.9663606119823</v>
      </c>
      <c r="NV91" s="541">
        <f t="shared" si="395"/>
        <v>8.9663606119823</v>
      </c>
      <c r="NW91" s="11">
        <f t="shared" si="396"/>
        <v>7.45820943836706</v>
      </c>
      <c r="NX91" s="11">
        <f>各项系数!$M$9*NK91</f>
        <v>1.97850537566189</v>
      </c>
      <c r="NY91" s="11">
        <f t="shared" si="397"/>
        <v>6.65984945446704</v>
      </c>
    </row>
    <row r="92" s="11" customFormat="1" customHeight="1" spans="1:389">
      <c r="A92" s="81"/>
      <c r="B92" s="82"/>
      <c r="C92" s="83"/>
      <c r="D92" s="74" t="s">
        <v>227</v>
      </c>
      <c r="E92" s="70">
        <f t="shared" si="325"/>
        <v>55.25013903</v>
      </c>
      <c r="F92" s="84">
        <f>$F$28</f>
        <v>243.335870228497</v>
      </c>
      <c r="G92" s="74"/>
      <c r="H92" s="23"/>
      <c r="I92" s="78"/>
      <c r="J92" s="23"/>
      <c r="K92" s="23"/>
      <c r="L92" s="128" t="s">
        <v>467</v>
      </c>
      <c r="M92" s="119">
        <f t="shared" si="339"/>
        <v>1.4</v>
      </c>
      <c r="N92" s="119">
        <f t="shared" si="340"/>
        <v>0</v>
      </c>
      <c r="O92" s="74">
        <f t="shared" si="488"/>
        <v>0.08</v>
      </c>
      <c r="P92" s="120">
        <v>0.1</v>
      </c>
      <c r="Q92" s="165">
        <f t="shared" si="440"/>
        <v>0.1</v>
      </c>
      <c r="R92" s="182">
        <v>0.8</v>
      </c>
      <c r="S92" s="173" t="str">
        <f>各项系数!$D$43</f>
        <v>钢带</v>
      </c>
      <c r="T92" s="78">
        <v>0.5</v>
      </c>
      <c r="U92" s="78">
        <v>2</v>
      </c>
      <c r="V92" s="172"/>
      <c r="W92" s="174">
        <v>2.7</v>
      </c>
      <c r="X92" s="168">
        <f t="shared" si="441"/>
        <v>0.2</v>
      </c>
      <c r="Y92" s="221"/>
      <c r="Z92" s="222"/>
      <c r="AA92" s="223">
        <f>$AA$28</f>
        <v>1.015</v>
      </c>
      <c r="AB92" s="186">
        <f>PI()*EJ92*EJ92/4*EH92*(1-H92)*AA92*各项系数!$F$5*各项系数!$J$4*10^-7</f>
        <v>1.25260541945236</v>
      </c>
      <c r="AC92" s="224">
        <f t="shared" si="327"/>
        <v>243.335870228497</v>
      </c>
      <c r="AD92" s="186">
        <f t="shared" si="341"/>
        <v>141.608539825376</v>
      </c>
      <c r="AE92" s="186">
        <f>POWER(4*EU92/PI()/EG92/10^-7/EH92/(1-H92)/各项系数!$F$5/各项系数!$J$4,0.5)</f>
        <v>245.154096286311</v>
      </c>
      <c r="AF92" s="225">
        <v>1</v>
      </c>
      <c r="AG92" s="23">
        <f>IF(EM92=0,0,PI()*ER92*ER92/4*EP92*(1-K92)*(1+AF92)*各项系数!$F$5*各项系数!$J$4*10^-7)</f>
        <v>0</v>
      </c>
      <c r="AH92" s="23">
        <f t="shared" si="328"/>
        <v>0</v>
      </c>
      <c r="AI92" s="85">
        <f t="shared" si="398"/>
        <v>0</v>
      </c>
      <c r="AJ92" s="85">
        <f>IF(OR(EP92="",EP92=0),0,POWER(4*EW92/PI()/EO92/10^-7/EP92/(1-K92)/各项系数!$F$5/各项系数!$J$4,0.5))</f>
        <v>0</v>
      </c>
      <c r="AK92" s="23" t="str">
        <f t="shared" si="342"/>
        <v>√</v>
      </c>
      <c r="AL92" s="23">
        <f t="shared" si="329"/>
        <v>436.455507811095</v>
      </c>
      <c r="AM92" s="127">
        <f t="shared" si="330"/>
        <v>150</v>
      </c>
      <c r="AN92" s="128" t="s">
        <v>486</v>
      </c>
      <c r="AO92" s="176">
        <f>AP92+各项系数!$M$9*$NK92</f>
        <v>427.897556677544</v>
      </c>
      <c r="AP92" s="176">
        <f>AQ92*(1+$BI92+(VLOOKUP($AM92,$A$12:$B$323,2,0))+各项系数!$J$6+各项系数!$M$5)*(1+$E$2)</f>
        <v>425.478190048178</v>
      </c>
      <c r="AQ92" s="262">
        <f>AR92+各项系数!$L$9*$NK92</f>
        <v>434.161418416509</v>
      </c>
      <c r="AR92" s="262">
        <f>AS92*(1+$BJ92+各项系数!$J$5+各项系数!$L$5)</f>
        <v>431.742051787143</v>
      </c>
      <c r="AS92" s="262">
        <f t="shared" si="399"/>
        <v>423.276521359944</v>
      </c>
      <c r="AT92" s="176">
        <f>AU92+各项系数!$M$9*$NM92</f>
        <v>432.308788839306</v>
      </c>
      <c r="AU92" s="176">
        <f>AV92*(1+$BI92+(VLOOKUP($AM92,$A$12:$B$323,2,0))+各项系数!$J$6+各项系数!$M$5)*(1+$E$2)</f>
        <v>429.88942220994</v>
      </c>
      <c r="AV92" s="262">
        <f>AW92+各项系数!$L$9*$NM92</f>
        <v>438.662675724429</v>
      </c>
      <c r="AW92" s="262">
        <f>AX92*(1+$BJ92+各项系数!$J$5+各项系数!$L$5)</f>
        <v>436.243309095064</v>
      </c>
      <c r="AX92" s="262">
        <f t="shared" si="400"/>
        <v>427.689518720651</v>
      </c>
      <c r="AY92" s="176">
        <f>AZ92+各项系数!$M$9*$NS92</f>
        <v>432.664669597135</v>
      </c>
      <c r="AZ92" s="176">
        <f>BA92*(1+$BI92+(VLOOKUP($AM92,$A$12:$B$214,2,0))+各项系数!$J$6+各项系数!$M$5)*(1+$E$2)</f>
        <v>430.224379743997</v>
      </c>
      <c r="BA92" s="262">
        <f>BB92+各项系数!$L$9*$NS92</f>
        <v>439.004469126528</v>
      </c>
      <c r="BB92" s="262">
        <f>BC92*(1+$BJ92+各项系数!$J$5+各项系数!$L$5)</f>
        <v>436.56417927339</v>
      </c>
      <c r="BC92" s="262">
        <f t="shared" si="401"/>
        <v>428.004097326853</v>
      </c>
      <c r="BD92" s="176">
        <f>BE92+各项系数!$M$9*$NS92</f>
        <v>437.089332687129</v>
      </c>
      <c r="BE92" s="176">
        <f>BF92*(1+$BI92+(VLOOKUP($AM92,$A$12:$B$214,2,0))+各项系数!$J$6+各项系数!$M$5)*(1+$E$2)</f>
        <v>434.649042833991</v>
      </c>
      <c r="BF92" s="262">
        <f>BG92+各项系数!$L$9*$NS92</f>
        <v>443.519431463256</v>
      </c>
      <c r="BG92" s="262">
        <f>BH92*(1+$BJ92+各项系数!$J$5+各项系数!$L$5)</f>
        <v>441.079141610119</v>
      </c>
      <c r="BH92" s="262">
        <f t="shared" si="402"/>
        <v>432.430530990312</v>
      </c>
      <c r="BI92" s="278"/>
      <c r="BJ92" s="279"/>
      <c r="BK92" s="95" t="s">
        <v>514</v>
      </c>
      <c r="BL92" s="176">
        <f>BM92+各项系数!$M$9*$NM92</f>
        <v>432.703765573582</v>
      </c>
      <c r="BM92" s="176">
        <f>BN92*(1+$CF92+(VLOOKUP($AM92,$A$12:$B$323,2,0))+各项系数!$J$6+各项系数!$M$5)*(1+$E$2)</f>
        <v>430.284398944216</v>
      </c>
      <c r="BN92" s="262">
        <f>BO92+各项系数!$L$9*$NM92</f>
        <v>439.065713208384</v>
      </c>
      <c r="BO92" s="262">
        <f>BP92*(1+$CG92+各项系数!$J$5+各项系数!$L$5)</f>
        <v>436.646346579019</v>
      </c>
      <c r="BP92" s="262">
        <f t="shared" si="403"/>
        <v>423.92849182429</v>
      </c>
      <c r="BQ92" s="176">
        <f>BR92+各项系数!$M$9*$NM92</f>
        <v>436.500146122768</v>
      </c>
      <c r="BR92" s="176">
        <f>BS92*(1+$CF92+(VLOOKUP($AM92,$A$12:$B$323,2,0))+各项系数!$J$6+各项系数!$M$5)*(1+$E$2)</f>
        <v>434.080779493403</v>
      </c>
      <c r="BS92" s="262">
        <f>BT92+各项系数!$L$9*$NM92</f>
        <v>442.939570911635</v>
      </c>
      <c r="BT92" s="262">
        <f>BU92*(1+$CG92+各项系数!$J$5+各项系数!$L$5)</f>
        <v>440.52020428227</v>
      </c>
      <c r="BU92" s="262">
        <f t="shared" si="404"/>
        <v>427.689518720651</v>
      </c>
      <c r="BV92" s="176">
        <f>BW92+各项系数!$M$9*$NT92</f>
        <v>435.13582653806</v>
      </c>
      <c r="BW92" s="176">
        <f>BX92*(1+$CF92+(VLOOKUP($AM92,$A$12:$B$214,2,0))+各项系数!$J$6+各项系数!$M$5)*(1+$E$2)</f>
        <v>432.695536684923</v>
      </c>
      <c r="BX92" s="262">
        <f>BY92+各项系数!$L$9*$NT$12</f>
        <v>441.526057841758</v>
      </c>
      <c r="BY92" s="262">
        <f>BZ92*(1+$CG92+各项系数!$J$5+各项系数!$L$5)</f>
        <v>441.517794438603</v>
      </c>
      <c r="BZ92" s="262">
        <f t="shared" si="343"/>
        <v>428.658052853013</v>
      </c>
      <c r="CA92" s="176">
        <f>CB92+各项系数!$M$9*$NT92</f>
        <v>438.943765969851</v>
      </c>
      <c r="CB92" s="176">
        <f>CC92*(1+$CF92+(VLOOKUP($AM92,$A$12:$B$214,2,0))+各项系数!$J$6+各项系数!$M$5)*(1+$E$2)</f>
        <v>436.503476116713</v>
      </c>
      <c r="CC92" s="262">
        <f>CD92+各项系数!$L$9*$NT$12</f>
        <v>445.411710323177</v>
      </c>
      <c r="CD92" s="262">
        <f>CE92*(1+$CG92+各项系数!$J$5+各项系数!$L$5)</f>
        <v>445.403446920022</v>
      </c>
      <c r="CE92" s="262">
        <f t="shared" si="405"/>
        <v>432.430530990312</v>
      </c>
      <c r="CF92" s="278">
        <f t="shared" si="406"/>
        <v>0</v>
      </c>
      <c r="CG92" s="278">
        <f t="shared" si="344"/>
        <v>0.01</v>
      </c>
      <c r="CH92" s="127"/>
      <c r="CI92" s="176">
        <f>CJ92+各项系数!$M$9*$NO92</f>
        <v>436.671460803308</v>
      </c>
      <c r="CJ92" s="176">
        <f>CK92*(1+$DC92+(VLOOKUP($AM92,$A$12:$B$323,2,0))+各项系数!$J$6+各项系数!$M$5)*(1+$E$2)+各项系数!$M$9*$NK92</f>
        <v>433.459513520868</v>
      </c>
      <c r="CK92" s="262">
        <f>CL92+各项系数!$L$9*$NO92</f>
        <v>439.836884583166</v>
      </c>
      <c r="CL92" s="262">
        <f>CM92*(1+$DD92+各项系数!$J$5+各项系数!$L$5)</f>
        <v>436.624937300727</v>
      </c>
      <c r="CM92" s="262">
        <f t="shared" si="345"/>
        <v>428.063664020321</v>
      </c>
      <c r="CN92" s="176">
        <f>CO92+各项系数!$M$9*$NO92</f>
        <v>440.873848780275</v>
      </c>
      <c r="CO92" s="176">
        <f>CP92*(1+$DC92+(VLOOKUP($AM92,$A$12:$B$323,2,0))+各项系数!$J$6+各项系数!$M$5)*(1+$E$2)+各项系数!$M$9*$NK92</f>
        <v>437.661901497836</v>
      </c>
      <c r="CP92" s="262">
        <f>CQ92+各项系数!$L$9*$NO92</f>
        <v>444.125035580072</v>
      </c>
      <c r="CQ92" s="262">
        <f>CR92*(1+$DD92+各项系数!$J$5+各项系数!$L$5)</f>
        <v>440.913088297633</v>
      </c>
      <c r="CR92" s="262">
        <f t="shared" si="346"/>
        <v>432.26773362513</v>
      </c>
      <c r="CS92" s="176">
        <f>CT92+各项系数!$M$9*$NU92</f>
        <v>439.179318866549</v>
      </c>
      <c r="CT92" s="176">
        <f t="shared" si="347"/>
        <v>435.945742680171</v>
      </c>
      <c r="CU92" s="262">
        <f>CV92+各项系数!$L$9*$NU92</f>
        <v>444.842594571603</v>
      </c>
      <c r="CV92" s="262">
        <f>CW92*(1+$DD92+各项系数!$J$5+各项系数!$L$5)</f>
        <v>441.609018385225</v>
      </c>
      <c r="CW92" s="262">
        <f t="shared" si="348"/>
        <v>432.95001802473</v>
      </c>
      <c r="CX92" s="176">
        <f>CY92+各项系数!$M$9*$NU92</f>
        <v>443.745342476182</v>
      </c>
      <c r="CY92" s="176">
        <f t="shared" si="349"/>
        <v>440.511766289804</v>
      </c>
      <c r="CZ92" s="262">
        <f>DA92+各项系数!$L$9*$NU92</f>
        <v>449.501802336535</v>
      </c>
      <c r="DA92" s="262">
        <f>DB92*(1+$DD92+各项系数!$J$5+各项系数!$L$5)</f>
        <v>446.268226150157</v>
      </c>
      <c r="DB92" s="262">
        <f t="shared" si="350"/>
        <v>437.517868774663</v>
      </c>
      <c r="DC92" s="278">
        <f t="shared" si="407"/>
        <v>0</v>
      </c>
      <c r="DD92" s="278">
        <f t="shared" si="351"/>
        <v>0</v>
      </c>
      <c r="DE92" s="95" t="s">
        <v>498</v>
      </c>
      <c r="DF92" s="95" t="s">
        <v>513</v>
      </c>
      <c r="DG92" s="176">
        <f>DH92+各项系数!$M$9*$NQ92</f>
        <v>441.545672865097</v>
      </c>
      <c r="DH92" s="176">
        <f>DI92*(1+$EA92+(VLOOKUP($AM92,$A$12:$B$323,2,0))+各项系数!$J$6+各项系数!$M$5)*(1+$E$2)+各项系数!$M$9*$NK92</f>
        <v>438.333725582658</v>
      </c>
      <c r="DI92" s="262">
        <f>DJ92+各项系数!$L$9*$NQ92</f>
        <v>444.810570360503</v>
      </c>
      <c r="DJ92" s="262">
        <f>DK92*(1+$EB92+各项系数!$J$5+各项系数!$L$5)</f>
        <v>441.598623078064</v>
      </c>
      <c r="DK92" s="262">
        <f t="shared" si="352"/>
        <v>428.736527260256</v>
      </c>
      <c r="DL92" s="176">
        <f>DM92+各项系数!$M$9*$NQ92</f>
        <v>445.46371065369</v>
      </c>
      <c r="DM92" s="176">
        <f>DN92*(1+$EA92+(VLOOKUP($AM92,$A$12:$B$323,2,0))+各项系数!$J$6+各项系数!$M$5)*(1+$E$2)+各项系数!$M$9*$NK92</f>
        <v>442.251763371251</v>
      </c>
      <c r="DN92" s="262">
        <f>DO92+各项系数!$L$9*$NQ92</f>
        <v>448.808568103965</v>
      </c>
      <c r="DO92" s="262">
        <f>DP92*(1+$EB92+各项系数!$J$5+各项系数!$L$5)</f>
        <v>445.596620821526</v>
      </c>
      <c r="DP92" s="262">
        <f t="shared" si="353"/>
        <v>432.618078467501</v>
      </c>
      <c r="DQ92" s="176">
        <f>DR92+各项系数!$M$9*$NV92</f>
        <v>444.103420918977</v>
      </c>
      <c r="DR92" s="176">
        <f t="shared" si="354"/>
        <v>440.869844732599</v>
      </c>
      <c r="DS92" s="262">
        <f>DT92+各项系数!$L$9*$NV92</f>
        <v>449.867188502652</v>
      </c>
      <c r="DT92" s="262">
        <f>DU92*(1+$EB92+各项系数!$J$5+各项系数!$L$5)</f>
        <v>446.633612316274</v>
      </c>
      <c r="DU92" s="262">
        <f t="shared" si="355"/>
        <v>433.624866326479</v>
      </c>
      <c r="DV92" s="176">
        <f>DW92+各项系数!$M$9*$NV92</f>
        <v>443.672015942751</v>
      </c>
      <c r="DW92" s="176">
        <f t="shared" si="356"/>
        <v>440.438439756373</v>
      </c>
      <c r="DX92" s="262">
        <f>DY92+各项系数!$L$9*$NV92</f>
        <v>449.426979343238</v>
      </c>
      <c r="DY92" s="262">
        <f>DZ92*(1+$EB92+各项系数!$J$5+各项系数!$L$5)</f>
        <v>446.193403156859</v>
      </c>
      <c r="DZ92" s="262">
        <f t="shared" si="357"/>
        <v>433.197478793067</v>
      </c>
      <c r="EA92" s="278">
        <f t="shared" si="439"/>
        <v>0</v>
      </c>
      <c r="EB92" s="278">
        <f t="shared" si="358"/>
        <v>0.01</v>
      </c>
      <c r="EC92" s="302">
        <f t="shared" si="408"/>
        <v>5</v>
      </c>
      <c r="ED92" s="304" t="str">
        <f t="shared" si="442"/>
        <v>5*150</v>
      </c>
      <c r="EE92" s="95">
        <f>IF($D92="",0,IF(COUNTIF($D92,"*+*")&gt;0,MID($D92,FIND("*",$D92)+1,FIND("+",$D92)-FIND("*",$D92)-1),RIGHT($D92,(LEN($D92)-FIND("*",$D92)))))*1</f>
        <v>150</v>
      </c>
      <c r="EF92" s="95" t="str">
        <f>LOOKUP(EH92,{1,7,10,14,19,24,30,37,48,61},{1,"1+6","2+8","4+10","1+6+12","2+8+14","4+10+16","1+6+12+18","3+9+15+21","1+6+12+18+24"})</f>
        <v>4+10+16</v>
      </c>
      <c r="EG92" s="127">
        <f t="shared" si="359"/>
        <v>5</v>
      </c>
      <c r="EH92" s="262">
        <f>VLOOKUP(EE92,各项系数!$B$87:$C$124,2,0)</f>
        <v>30</v>
      </c>
      <c r="EI92" s="127">
        <f>IF(EH92=0,0,VLOOKUP(EH92,各项系数!$D$142:$E$195,2,0))*1</f>
        <v>6.41</v>
      </c>
      <c r="EJ92" s="307">
        <f t="shared" si="409"/>
        <v>243.335870228497</v>
      </c>
      <c r="EK92" s="95">
        <f t="shared" si="332"/>
        <v>0</v>
      </c>
      <c r="EL92" s="95">
        <f t="shared" si="360"/>
        <v>0</v>
      </c>
      <c r="EM92" s="95">
        <f t="shared" si="443"/>
        <v>0</v>
      </c>
      <c r="EN92" s="95">
        <f>IF(EP92=0,0,LOOKUP(EP92,{1,7,10,14,19,24,30,37,48,61},{1,"1+6","2+8","4+10","1+6+12","2+8+14","4+10+16","1+6+12+18","3+9+15+21","1+6+12+18+24"}))</f>
        <v>0</v>
      </c>
      <c r="EO92" s="95">
        <f t="shared" si="334"/>
        <v>0</v>
      </c>
      <c r="EP92" s="95">
        <f>IF(EM92=0,0,IF(EM92&lt;10,1,IF(AND(EM92&gt;=10,EM92&lt;=35),7,LOOKUP(EM92,{50,70,95,120,150,185,240,300},{10,14,19,24,30,37,48,61})*1)))</f>
        <v>0</v>
      </c>
      <c r="EQ92" s="95">
        <f>IF(EP92=0,0,VLOOKUP(EP92,各项系数!$D$142:$E$195,2,0))*1</f>
        <v>0</v>
      </c>
      <c r="ER92" s="95">
        <f t="shared" si="335"/>
        <v>0</v>
      </c>
      <c r="ES92" s="304">
        <f t="shared" si="444"/>
        <v>5</v>
      </c>
      <c r="ET92" s="95">
        <f>VLOOKUP(ES92,各项系数!$D$142:$E$195,2,0)*1</f>
        <v>2.7</v>
      </c>
      <c r="EU92" s="311">
        <f>((各项系数!$F$76/4*$EJ92^2*$EG92*$EH92*1*10^-7)*(1-$H92)*AA92)*(VLOOKUP($EY$9,各项系数!$D$4:$F$143,3,0))*各项系数!$J$4</f>
        <v>6.26302709726179</v>
      </c>
      <c r="EV92" s="312">
        <f>EU92*(VLOOKUP($EY$9,各项系数!$D$4:$F$143,2,0))</f>
        <v>410.228274870647</v>
      </c>
      <c r="EW92" s="324">
        <f>(IF($EO92=0,0,(各项系数!$F$76/4*$ER92^2*$EO92*$EP92*1*10^-7))*(1-$K92)*$AF92)*(VLOOKUP($EY$9,各项系数!$D$4:$F$143,3,0))*各项系数!$J$4</f>
        <v>0</v>
      </c>
      <c r="EX92" s="325">
        <f>EW92*(VLOOKUP($EY$9,各项系数!$D$4:$F$143,2,0))</f>
        <v>0</v>
      </c>
      <c r="EY92" s="251">
        <f>((各项系数!$F$76/4*$EJ92^2*$EG92*$EH92*1*10^-7)*(1-$H92)*AA92+IF($EO92=0,0,(各项系数!$F$76/4*$ER92^2*$EO92*$EP92*1*10^-7))*(1-$K92)*$AF92)*(VLOOKUP($EY$9,各项系数!$D$4:$F$143,3,0))*各项系数!$J$4</f>
        <v>6.26302709726179</v>
      </c>
      <c r="EZ92" s="127">
        <v>1</v>
      </c>
      <c r="FA92" s="95">
        <f t="shared" si="445"/>
        <v>6.26302709726179</v>
      </c>
      <c r="FB92" s="314">
        <f>FA92*(VLOOKUP($EY$9,各项系数!$D$4:$F$143,2,0))</f>
        <v>410.228274870647</v>
      </c>
      <c r="FC92" s="329"/>
      <c r="FD92" s="304">
        <f>各项系数!$F$76/4*($MN92^2-MK92^2)*10^-2*(VLOOKUP(L92,各项系数!$D$1:$F$143,3,0))*10^-3*10^2*$EG92*各项系数!$J$4</f>
        <v>0.40912605798524</v>
      </c>
      <c r="FE92" s="341">
        <f>FD92*VLOOKUP(L92,各项系数!$D$1:$F$143,2,0)</f>
        <v>4.17308579144945</v>
      </c>
      <c r="FF92" s="127">
        <f>各项系数!$F$76/4*($MO92^2-ML92^2)*10^-2*(VLOOKUP(L92,各项系数!$D$1:$F$143,3,0))*10^-3*10^2*$EO92*各项系数!$J$4</f>
        <v>0</v>
      </c>
      <c r="FG92" s="341">
        <f>FF92*VLOOKUP(L92,各项系数!$D$1:$F$143,2,0)</f>
        <v>0</v>
      </c>
      <c r="FH92" s="304">
        <f t="shared" si="410"/>
        <v>0.40912605798524</v>
      </c>
      <c r="FI92" s="127">
        <v>1</v>
      </c>
      <c r="FJ92" s="95">
        <f t="shared" si="446"/>
        <v>0.40912605798524</v>
      </c>
      <c r="FK92" s="341">
        <f>FJ92*VLOOKUP(L92,各项系数!$D$1:$F$143,2,0)</f>
        <v>4.17308579144945</v>
      </c>
      <c r="FL92" s="304"/>
      <c r="FM92" s="127"/>
      <c r="FN92" s="95"/>
      <c r="FO92" s="341"/>
      <c r="FP92" s="371">
        <f t="shared" si="447"/>
        <v>0.40912605798524</v>
      </c>
      <c r="FQ92" s="371">
        <f t="shared" si="448"/>
        <v>4.17308579144945</v>
      </c>
      <c r="FR92" s="365">
        <f>各项系数!$F$76/4*($MQ92^2-$MN92^2*$EG92-$MO92^2*$EO92)*10^-2</f>
        <v>6.08777415323409</v>
      </c>
      <c r="FS92" s="366">
        <f t="shared" si="411"/>
        <v>1</v>
      </c>
      <c r="FT92" s="367">
        <f t="shared" si="361"/>
        <v>6.08777415323409</v>
      </c>
      <c r="FU92" s="395">
        <f>$FT92*(VLOOKUP($FT$9,各项系数!$D$1:$F$143,3,0))*10^-3*10^2*各项系数!$J$55</f>
        <v>0.72688023389615</v>
      </c>
      <c r="FV92" s="396">
        <v>1</v>
      </c>
      <c r="FW92" s="397">
        <f t="shared" si="449"/>
        <v>0.72688023389615</v>
      </c>
      <c r="FX92" s="372">
        <f>FW92*(VLOOKUP($FT$9,各项系数!$D$1:$F$143,2,0))</f>
        <v>2.18064070168845</v>
      </c>
      <c r="FY92" s="395">
        <f>IF($BK92&lt;&gt;$FY$9,0,各项系数!$F$76/4*($MS92^2-$MQ92^2)*10^-2*(VLOOKUP($FY$9,各项系数!$D$1:$F$143,3,0))*10^-3*10^2)*各项系数!$J$4</f>
        <v>0</v>
      </c>
      <c r="FZ92" s="396">
        <v>1</v>
      </c>
      <c r="GA92" s="397">
        <f t="shared" si="450"/>
        <v>0</v>
      </c>
      <c r="GB92" s="372">
        <f>GA92*(VLOOKUP($FY$9,各项系数!$D$1:$F$143,2,0))</f>
        <v>0</v>
      </c>
      <c r="GC92" s="395">
        <f>IF($BK92&lt;&gt;$GC$9,0,各项系数!$F$76/4*($MS92^2-$MQ92^2)*10^-2*(VLOOKUP($GC$9,各项系数!$D$1:$F$143,3,0))*10^-3*10^2)*各项系数!$J$4</f>
        <v>0.0135515777290106</v>
      </c>
      <c r="GD92" s="396">
        <v>1</v>
      </c>
      <c r="GE92" s="397">
        <f t="shared" si="451"/>
        <v>0.0135515777290106</v>
      </c>
      <c r="GF92" s="372">
        <f>GE92*(VLOOKUP($GC$9,各项系数!$D$1:$F$143,2,0))</f>
        <v>0.174815352704237</v>
      </c>
      <c r="GG92" s="395">
        <f>IF($BK92&lt;&gt;$GG$9,0,各项系数!$F$76/4*($MS92^2-$MQ92^2)*10^-2*(VLOOKUP($GG$9,各项系数!$D$1:$F$143,3,0))*10^-3*10^2)*各项系数!$J$4</f>
        <v>0</v>
      </c>
      <c r="GH92" s="396">
        <v>1</v>
      </c>
      <c r="GI92" s="397">
        <f t="shared" si="452"/>
        <v>0</v>
      </c>
      <c r="GJ92" s="372">
        <f>GI92*(VLOOKUP($GG$9,各项系数!$D$1:$F$143,2,0))</f>
        <v>0</v>
      </c>
      <c r="GK92" s="395">
        <f>IF($BK92&lt;&gt;$GK$9,0,各项系数!$F$76/4*($MS92^2-$MQ92^2)*10^-2*(VLOOKUP($GK$9,各项系数!$D$1:$F$143,3,0))*10^-3*10^2)*各项系数!$J$4</f>
        <v>0</v>
      </c>
      <c r="GL92" s="396">
        <v>1</v>
      </c>
      <c r="GM92" s="397">
        <f t="shared" si="453"/>
        <v>0</v>
      </c>
      <c r="GN92" s="372">
        <f>GM92*(VLOOKUP($GK$9,各项系数!$D$1:$F$143,2,0))</f>
        <v>0</v>
      </c>
      <c r="GO92" s="397">
        <f t="shared" si="454"/>
        <v>0.0135515777290106</v>
      </c>
      <c r="GP92" s="397">
        <f t="shared" si="455"/>
        <v>0.174815352704237</v>
      </c>
      <c r="GQ92" s="408">
        <f>各项系数!$F$76/4*($MU92^2-$MS92^2)*10^-2*(VLOOKUP($S92,各项系数!$D$1:$F$143,3,0))*10^-3*10^2*各项系数!$J$4</f>
        <v>0.927668222542727</v>
      </c>
      <c r="GR92" s="396">
        <v>1</v>
      </c>
      <c r="GS92" s="397">
        <f t="shared" si="456"/>
        <v>0.927668222542727</v>
      </c>
      <c r="GT92" s="397">
        <f t="shared" si="457"/>
        <v>0</v>
      </c>
      <c r="GU92" s="397">
        <f>ROUND($GS92*(VLOOKUP($S92,各项系数!$D$1:$F$143,2,0))+$E$3*GS92,GT92)</f>
        <v>5</v>
      </c>
      <c r="GV92" s="406">
        <f>各项系数!$F$76/4*($MT92^2-$MS92^2)*10^-2*(VLOOKUP($GV$9,各项系数!$D$1:$F$143,3,0))*10^-3*10^2*各项系数!$J$4*PI()/4*R92</f>
        <v>0.0697440792410573</v>
      </c>
      <c r="GW92" s="396">
        <v>1</v>
      </c>
      <c r="GX92" s="397">
        <f t="shared" si="458"/>
        <v>0.0697440792410573</v>
      </c>
      <c r="GY92" s="397">
        <f>$GX92*(VLOOKUP($GV$9,各项系数!$D$1:$F$143,2,0))</f>
        <v>4.70772534877137</v>
      </c>
      <c r="GZ92" s="408">
        <f>各项系数!$F$76/4*($MV92^2-$MS92^2)*10^-2*(VLOOKUP($GZ$9,各项系数!$D$1:$F$143,3,0))*10^-3*10^2*各项系数!$J$4</f>
        <v>0.643100117891851</v>
      </c>
      <c r="HA92" s="396">
        <v>1</v>
      </c>
      <c r="HB92" s="397">
        <f t="shared" si="412"/>
        <v>0.643100117891851</v>
      </c>
      <c r="HC92" s="397">
        <f>HB92*(VLOOKUP($GZ$9,各项系数!$D$1:$F$143,2,0))</f>
        <v>10.9327020041615</v>
      </c>
      <c r="HD92" s="408">
        <f>各项系数!$F$76/4*($MW92^2-$MT92^2)*10^-2*(VLOOKUP($HD$9,各项系数!$D$1:$F$143,3,0))*10^-3*10^2*各项系数!$J$4</f>
        <v>0.645058172061869</v>
      </c>
      <c r="HE92" s="396">
        <v>1</v>
      </c>
      <c r="HF92" s="397">
        <f t="shared" si="413"/>
        <v>0.645058172061869</v>
      </c>
      <c r="HG92" s="397">
        <f>HF92*(VLOOKUP($HD$9,各项系数!$D$1:$F$143,2,0))</f>
        <v>10.9659889250518</v>
      </c>
      <c r="HH92" s="408">
        <f>各项系数!$F$76/4*($MV92^2-$MS92^2)*10^-2*(VLOOKUP($HH$9,各项系数!$D$1:$F$143,3,0))*10^-3*10^2*各项系数!$J$4</f>
        <v>0.643100117891851</v>
      </c>
      <c r="HI92" s="397">
        <v>1</v>
      </c>
      <c r="HJ92" s="397">
        <f t="shared" si="414"/>
        <v>0.643100117891851</v>
      </c>
      <c r="HK92" s="397">
        <f>HJ92*(VLOOKUP($HH$9,各项系数!$D$1:$F$143,2,0))</f>
        <v>10.9327020041615</v>
      </c>
      <c r="HL92" s="408">
        <f>各项系数!$F$76/4*($MW92^2-$MT92^2)*10^-2*(VLOOKUP($HL$9,各项系数!$D$1:$F$143,3,0))*10^-3*10^2*各项系数!$J$4</f>
        <v>0.645058172061869</v>
      </c>
      <c r="HM92" s="397">
        <v>1</v>
      </c>
      <c r="HN92" s="397">
        <f t="shared" si="362"/>
        <v>0.645058172061869</v>
      </c>
      <c r="HO92" s="397">
        <f>HN92*(VLOOKUP($HL$9,各项系数!$D$1:$F$143,2,0))</f>
        <v>10.9659889250518</v>
      </c>
      <c r="HP92" s="408">
        <f>各项系数!$F$76/4*($MV92^2-$MS92^2)*10^-2*(VLOOKUP(AN92,各项系数!$D$1:$F$143,3,0))*10^-3*10^2*各项系数!$J$4</f>
        <v>0.651970464345532</v>
      </c>
      <c r="HQ92" s="396">
        <v>1</v>
      </c>
      <c r="HR92" s="397">
        <f t="shared" si="459"/>
        <v>0.651970464345532</v>
      </c>
      <c r="HS92" s="397">
        <f>HR92*(VLOOKUP(AN92,各项系数!$D$1:$F$143,2,0))</f>
        <v>6.51970464345531</v>
      </c>
      <c r="HT92" s="408">
        <f>各项系数!$F$76/4*($MW92^2-$MT92^2)*10^-2*(VLOOKUP(AN92,各项系数!$D$1:$F$143,3,0))*10^-3*10^2*各项系数!$J$4</f>
        <v>0.653955526159274</v>
      </c>
      <c r="HU92" s="396">
        <v>1</v>
      </c>
      <c r="HV92" s="397">
        <f t="shared" si="460"/>
        <v>0.653955526159274</v>
      </c>
      <c r="HW92" s="397">
        <f>HV92*(VLOOKUP(AN92,各项系数!$D$1:$F$143,2,0))</f>
        <v>6.53955526159274</v>
      </c>
      <c r="HX92" s="408">
        <f>各项系数!$F$76/4*($MV92^2-$MS92^2)*10^-2*(VLOOKUP($HX$9,各项系数!$D$1:$F$143,3,0))*10^-3*10^2*各项系数!$J$4</f>
        <v>0.651970464345532</v>
      </c>
      <c r="HY92" s="397">
        <v>1</v>
      </c>
      <c r="HZ92" s="397">
        <f t="shared" si="461"/>
        <v>0.651970464345532</v>
      </c>
      <c r="IA92" s="397">
        <f>HZ92*(VLOOKUP($HX$9,各项系数!$D$1:$F$143,2,0))</f>
        <v>7.17167510780085</v>
      </c>
      <c r="IB92" s="408">
        <f>各项系数!$F$76/4*($MW92^2-$MT92^2)*10^-2*(VLOOKUP($IB$9,各项系数!$D$1:$F$143,3,0))*10^-3*10^2*各项系数!$J$4</f>
        <v>0.653955526159274</v>
      </c>
      <c r="IC92" s="397">
        <v>1</v>
      </c>
      <c r="ID92" s="397">
        <f t="shared" si="462"/>
        <v>0.653955526159274</v>
      </c>
      <c r="IE92" s="397">
        <f>ID92*(VLOOKUP($IB$9,各项系数!$D$1:$F$143,2,0))</f>
        <v>7.19351078775201</v>
      </c>
      <c r="IF92" s="395"/>
      <c r="IG92" s="408">
        <f t="shared" si="415"/>
        <v>0.111813257529998</v>
      </c>
      <c r="IH92" s="396">
        <v>1</v>
      </c>
      <c r="II92" s="397">
        <f t="shared" si="463"/>
        <v>0.111813257529998</v>
      </c>
      <c r="IJ92" s="397">
        <f>II92*(VLOOKUP($IG$8,各项系数!$D$1:$F$143,2,0))</f>
        <v>2.79533143824995</v>
      </c>
      <c r="IK92" s="408">
        <f>(各项系数!$F$76/4*($MX92^2-$MK92^2)*$EG92)*10^-2*(VLOOKUP($IG$8,各项系数!$D$1:$F$143,3,0))*10^-3*10^2*各项系数!$J$4</f>
        <v>0.111813257529998</v>
      </c>
      <c r="IL92" s="396">
        <f>IK92*(VLOOKUP($IG$8,各项系数!$D$1:$F$143,2,0))</f>
        <v>2.79533143824995</v>
      </c>
      <c r="IM92" s="397">
        <f>(各项系数!$F$76/4*(($MM92+3*$X92)^2-MM92^2)*$EO92)*10^-2*(VLOOKUP($IG$8,各项系数!$D$1:$F$143,3,0))*10^-3*10^2*各项系数!$J$4</f>
        <v>0</v>
      </c>
      <c r="IN92" s="396">
        <f>IM92*(VLOOKUP($IG$8,各项系数!$D$1:$F$143,2,0))</f>
        <v>0</v>
      </c>
      <c r="IO92" s="408">
        <f>各项系数!$F$76/4*($MZ92^2-$MX92^2)*10^-2*(VLOOKUP(L92,各项系数!$D$1:$F$143,3,0))*10^-3*10^2*$ES92*各项系数!$J$4</f>
        <v>0.423567645254528</v>
      </c>
      <c r="IP92" s="396">
        <v>1</v>
      </c>
      <c r="IQ92" s="397">
        <f t="shared" si="464"/>
        <v>0.423567645254528</v>
      </c>
      <c r="IR92" s="372">
        <f>IQ92*(VLOOKUP(L92,各项系数!$D$1:$F$143,2,0))</f>
        <v>4.32038998159618</v>
      </c>
      <c r="IS92" s="408">
        <f>IF($L92&lt;&gt;$IS$9,0,各项系数!$F$76/4*($MZ92^2-$MX92^2)*10^-2*各项系数!$F$12*10^-3*10^2)*$ES92*各项系数!$J$4</f>
        <v>0</v>
      </c>
      <c r="IT92" s="396">
        <v>1</v>
      </c>
      <c r="IU92" s="397">
        <f t="shared" si="465"/>
        <v>0</v>
      </c>
      <c r="IV92" s="372">
        <f>IU92*各项系数!$E$12</f>
        <v>0</v>
      </c>
      <c r="IW92" s="395">
        <f t="shared" si="466"/>
        <v>0.423567645254528</v>
      </c>
      <c r="IX92" s="395">
        <f t="shared" si="467"/>
        <v>4.32038998159618</v>
      </c>
      <c r="IY92" s="447">
        <f>各项系数!$F$76/4*($NB92^2-$MZ92^2*$EG92-$NA92^2*$EO92)*10^-2</f>
        <v>6.49132456956903</v>
      </c>
      <c r="IZ92" s="366">
        <f t="shared" si="487"/>
        <v>1</v>
      </c>
      <c r="JA92" s="367">
        <f t="shared" si="363"/>
        <v>6.49132456956903</v>
      </c>
      <c r="JB92" s="371">
        <f>IF($DE92&lt;&gt;$JB$9,0,$JA92*各项系数!$F$32*10^-3*10^2)*各项系数!$J$4</f>
        <v>0</v>
      </c>
      <c r="JC92" s="127">
        <v>1</v>
      </c>
      <c r="JD92" s="95">
        <f t="shared" si="468"/>
        <v>0</v>
      </c>
      <c r="JE92" s="341">
        <f>JD92*各项系数!$E$32</f>
        <v>0</v>
      </c>
      <c r="JF92" s="364">
        <f>IF($DE92&lt;&gt;$JF$9,0,$JA92*VLOOKUP($JF$9,各项系数!$D$4:$F$540,2,0)*10^-3*10^2)*各项系数!$J$4</f>
        <v>3.22943397336059</v>
      </c>
      <c r="JG92" s="123">
        <v>1</v>
      </c>
      <c r="JH92" s="251">
        <f t="shared" si="364"/>
        <v>3.22943397336059</v>
      </c>
      <c r="JI92" s="339">
        <f>JH92*VLOOKUP($JF$9,各项系数!$D$4:$F$540,3,0)</f>
        <v>3.87532076803271</v>
      </c>
      <c r="JJ92" s="371">
        <f t="shared" si="469"/>
        <v>3.22943397336059</v>
      </c>
      <c r="JK92" s="95">
        <f t="shared" si="470"/>
        <v>3.87532076803271</v>
      </c>
      <c r="JL92" s="371">
        <f>IF($DF92&lt;&gt;$JL$9,0,各项系数!$F$76/4*($NE92^2-$NC92^2)*10^-2*各项系数!$F$39*10^-3*10^2)*各项系数!$J$4</f>
        <v>0.00578572812215842</v>
      </c>
      <c r="JM92" s="127">
        <v>1</v>
      </c>
      <c r="JN92" s="95">
        <f t="shared" si="471"/>
        <v>0.00578572812215842</v>
      </c>
      <c r="JO92" s="341">
        <f>JN92*各项系数!$E$39</f>
        <v>0.115714562443168</v>
      </c>
      <c r="JP92" s="371">
        <f>IF($DF92&lt;&gt;$JP$9,0,各项系数!$F$76/4*($NE92^2-$NC92^2)*10^-2*各项系数!$F$36*10^-3*10^2)*各项系数!$J$4</f>
        <v>0</v>
      </c>
      <c r="JQ92" s="127">
        <v>1</v>
      </c>
      <c r="JR92" s="95">
        <f t="shared" si="472"/>
        <v>0</v>
      </c>
      <c r="JS92" s="341">
        <f>JR92*各项系数!$E$36</f>
        <v>0</v>
      </c>
      <c r="JT92" s="371">
        <f>IF($DF92&lt;&gt;$JT$9,0,各项系数!$F$76/4*($NE92^2-$NC92^2)*10^-2*各项系数!$F$40*10^-3*10^2)*各项系数!$J$4</f>
        <v>0</v>
      </c>
      <c r="JU92" s="127">
        <v>1</v>
      </c>
      <c r="JV92" s="95">
        <f t="shared" si="473"/>
        <v>0</v>
      </c>
      <c r="JW92" s="341">
        <f>JV92*各项系数!$E$40</f>
        <v>0</v>
      </c>
      <c r="JX92" s="371">
        <f>IF($DF92&lt;&gt;$JX$9,0,各项系数!$F$76/4*($NE92^2-$NC92^2)*10^-2*各项系数!$F$38*10^-3*10^2)*各项系数!$J$4</f>
        <v>0</v>
      </c>
      <c r="JY92" s="127">
        <v>1</v>
      </c>
      <c r="JZ92" s="95">
        <f t="shared" si="474"/>
        <v>0</v>
      </c>
      <c r="KA92" s="341">
        <f>JZ92*各项系数!$E$38</f>
        <v>0</v>
      </c>
      <c r="KB92" s="371">
        <f>IF($DF92&lt;&gt;$KB$9,0,各项系数!$F$76/4*($NE92^2-$NC92^2)*10^-2*各项系数!$F$41*10^-3*10^2)*各项系数!$J$4</f>
        <v>0</v>
      </c>
      <c r="KC92" s="127">
        <v>1</v>
      </c>
      <c r="KD92" s="95">
        <f t="shared" si="475"/>
        <v>0</v>
      </c>
      <c r="KE92" s="341">
        <f>KD92*各项系数!$E$41</f>
        <v>0</v>
      </c>
      <c r="KF92" s="95">
        <f t="shared" si="476"/>
        <v>0.00578572812215842</v>
      </c>
      <c r="KG92" s="95">
        <f t="shared" si="477"/>
        <v>0.115714562443168</v>
      </c>
      <c r="KH92" s="304">
        <f>各项系数!$F$76/4*($NG92^2-$NE92^2)*10^-2*各项系数!$F$44*10^-3*10^2*各项系数!$J$4*0.75*$U92</f>
        <v>1.43781228424236</v>
      </c>
      <c r="KI92" s="127">
        <v>1</v>
      </c>
      <c r="KJ92" s="95">
        <f t="shared" si="478"/>
        <v>1.43781228424236</v>
      </c>
      <c r="KK92" s="95">
        <f>ROUND(KJ92*各项系数!$E$43,GT92)</f>
        <v>8</v>
      </c>
      <c r="KL92" s="302">
        <f>各项系数!$F$76/4*($NF92^2-$NE92^2)*10^-2*各项系数!$F$46*10^-3*10^2*各项系数!$J$4*PI()/4*R92</f>
        <v>0.0720963464632933</v>
      </c>
      <c r="KM92" s="127">
        <v>1</v>
      </c>
      <c r="KN92" s="95">
        <f t="shared" si="479"/>
        <v>0.0720963464632933</v>
      </c>
      <c r="KO92" s="95">
        <f>KN92*各项系数!$E$46</f>
        <v>4.8665033862723</v>
      </c>
      <c r="KP92" s="304">
        <f>各项系数!$F$76/4*($NH92^2-$NE92^2)*10^-2*(VLOOKUP($KP$9,各项系数!$D$1:$F$143,3,0))*10^-3*10^2*各项系数!$J$4</f>
        <v>0.663708638031286</v>
      </c>
      <c r="KQ92" s="127">
        <v>1</v>
      </c>
      <c r="KR92" s="95">
        <f t="shared" si="416"/>
        <v>0.663708638031286</v>
      </c>
      <c r="KS92" s="95">
        <f>KR92*(VLOOKUP($KP$9,各项系数!$D$1:$F$143,2,0))</f>
        <v>11.2830468465319</v>
      </c>
      <c r="KT92" s="304">
        <f>各项系数!$F$76/4*($NI92^2-$NF92^2)*10^-2*(VLOOKUP($KT$9,各项系数!$D$1:$F$143,3,0))*10^-3*10^2*各项系数!$J$4</f>
        <v>0.665666692201304</v>
      </c>
      <c r="KU92" s="127">
        <v>1</v>
      </c>
      <c r="KV92" s="95">
        <f t="shared" si="417"/>
        <v>0.665666692201304</v>
      </c>
      <c r="KW92" s="95">
        <f>KV92*(VLOOKUP($KT$9,各项系数!$D$1:$F$143,2,0))</f>
        <v>11.3163337674222</v>
      </c>
      <c r="KX92" s="95">
        <f>各项系数!$F$76/4*($NH92^2-$NE92^2)*10^-2*(VLOOKUP($KX$9,各项系数!$D$1:$F$143,3,0))*10^-3*10^2*各项系数!$J$4</f>
        <v>0.663708638031286</v>
      </c>
      <c r="KY92" s="481">
        <v>1</v>
      </c>
      <c r="KZ92" s="95">
        <f t="shared" si="418"/>
        <v>0.663708638031286</v>
      </c>
      <c r="LA92" s="95">
        <f>KZ92*(VLOOKUP($KX$9,各项系数!$D$1:$F$143,2,0))</f>
        <v>11.2830468465319</v>
      </c>
      <c r="LB92" s="95">
        <f>各项系数!$F$76/4*($NI92^2-$NF92^2)*10^-2*(VLOOKUP($LB$9,各项系数!$D$1:$F$143,3,0))*10^-3*10^2*各项系数!$J$4</f>
        <v>0.665666692201304</v>
      </c>
      <c r="LC92" s="481">
        <v>1</v>
      </c>
      <c r="LD92" s="95">
        <f t="shared" si="419"/>
        <v>0.665666692201304</v>
      </c>
      <c r="LE92" s="95">
        <f>LD92*(VLOOKUP($LB$9,各项系数!$D$1:$F$143,2,0))</f>
        <v>11.3163337674222</v>
      </c>
      <c r="LF92" s="304">
        <f>各项系数!$F$76/4*($NH92^2-$NE92^2)*10^-2*(VLOOKUP(AN92,各项系数!$D$1:$F$143,3,0))*10^-3*10^2*各项系数!$J$4</f>
        <v>0.672863239935166</v>
      </c>
      <c r="LG92" s="127">
        <v>1</v>
      </c>
      <c r="LH92" s="95">
        <f t="shared" si="480"/>
        <v>0.672863239935166</v>
      </c>
      <c r="LI92" s="95">
        <f>LH92*(VLOOKUP(AN92,各项系数!$D$1:$F$143,2,0))</f>
        <v>6.72863239935166</v>
      </c>
      <c r="LJ92" s="304">
        <f>各项系数!$F$76/4*($NI92^2-$NF92^2)*10^-2*(VLOOKUP(AN92,各项系数!$D$1:$F$143,3,0))*10^-3*10^2*各项系数!$J$4</f>
        <v>0.674848301748908</v>
      </c>
      <c r="LK92" s="127">
        <v>1</v>
      </c>
      <c r="LL92" s="95">
        <f t="shared" si="481"/>
        <v>0.674848301748908</v>
      </c>
      <c r="LM92" s="95">
        <f>LL92*(VLOOKUP(AN92,各项系数!$D$1:$F$143,2,0))</f>
        <v>6.74848301748908</v>
      </c>
      <c r="LN92" s="95">
        <f>各项系数!$F$76/4*($NH92^2-$NE92^2)*10^-2*(VLOOKUP($LN$9,各项系数!$D$1:$F$143,3,0))*10^-3*10^2*各项系数!$J$4</f>
        <v>0.672863239935166</v>
      </c>
      <c r="LO92" s="481">
        <v>1</v>
      </c>
      <c r="LP92" s="95">
        <f t="shared" si="482"/>
        <v>0.672863239935166</v>
      </c>
      <c r="LQ92" s="95">
        <f>LP92*(VLOOKUP($LN$9,各项系数!$D$1:$F$143,2,0))</f>
        <v>7.40149563928683</v>
      </c>
      <c r="LR92" s="95">
        <f>各项系数!$F$76/4*($NI92^2-$NF92^2)*10^-2*(VLOOKUP($LR$9,各项系数!$D$1:$F$143,3,0))*10^-3*10^2*各项系数!$J$4</f>
        <v>0.674848301748908</v>
      </c>
      <c r="LS92" s="481">
        <v>1</v>
      </c>
      <c r="LT92" s="95">
        <f t="shared" si="483"/>
        <v>0.674848301748908</v>
      </c>
      <c r="LU92" s="95">
        <f>LT92*(VLOOKUP($LR$9,各项系数!$D$1:$F$143,2,0))</f>
        <v>7.42333131923799</v>
      </c>
      <c r="LV92" s="501">
        <f t="shared" si="420"/>
        <v>955.4065413</v>
      </c>
      <c r="LW92" s="501">
        <f t="shared" si="421"/>
        <v>697.57901261</v>
      </c>
      <c r="LX92" s="501">
        <f t="shared" si="422"/>
        <v>29.8024358808531</v>
      </c>
      <c r="LY92" s="519">
        <f t="shared" si="423"/>
        <v>257.82752869</v>
      </c>
      <c r="LZ92" s="516">
        <f t="shared" si="365"/>
        <v>1</v>
      </c>
      <c r="MA92" s="517">
        <f t="shared" si="366"/>
        <v>955.4065413</v>
      </c>
      <c r="MB92" s="501">
        <f t="shared" si="424"/>
        <v>15.59782927</v>
      </c>
      <c r="MC92" s="501">
        <f t="shared" si="425"/>
        <v>0</v>
      </c>
      <c r="MD92" s="501">
        <f t="shared" si="426"/>
        <v>0</v>
      </c>
      <c r="ME92" s="501">
        <f t="shared" si="427"/>
        <v>0</v>
      </c>
      <c r="MF92" s="501">
        <f t="shared" si="428"/>
        <v>0</v>
      </c>
      <c r="MG92" s="527">
        <f t="shared" si="429"/>
        <v>1</v>
      </c>
      <c r="MH92" s="517">
        <f t="shared" si="367"/>
        <v>0</v>
      </c>
      <c r="MI92" s="501">
        <f t="shared" si="430"/>
        <v>0</v>
      </c>
      <c r="MJ92" s="95">
        <f t="shared" si="368"/>
        <v>15.59782927</v>
      </c>
      <c r="MK92" s="95">
        <f t="shared" si="431"/>
        <v>15.59782927</v>
      </c>
      <c r="ML92" s="95">
        <f t="shared" si="484"/>
        <v>0</v>
      </c>
      <c r="MM92" s="95">
        <f t="shared" si="369"/>
        <v>0</v>
      </c>
      <c r="MN92" s="95">
        <f t="shared" si="370"/>
        <v>18.39782927</v>
      </c>
      <c r="MO92" s="251">
        <f t="shared" si="432"/>
        <v>0</v>
      </c>
      <c r="MP92" s="95">
        <f t="shared" si="433"/>
        <v>49.67413903</v>
      </c>
      <c r="MQ92" s="95">
        <f t="shared" si="485"/>
        <v>49.67413903</v>
      </c>
      <c r="MR92" s="314">
        <f t="shared" si="434"/>
        <v>49.67413903</v>
      </c>
      <c r="MS92" s="530">
        <f t="shared" si="371"/>
        <v>49.85013903</v>
      </c>
      <c r="MT92" s="532">
        <f t="shared" si="372"/>
        <v>50.01013903</v>
      </c>
      <c r="MU92" s="532">
        <f t="shared" si="373"/>
        <v>51.35013903</v>
      </c>
      <c r="MV92" s="532">
        <f t="shared" si="374"/>
        <v>55.25013903</v>
      </c>
      <c r="MW92" s="532">
        <f t="shared" si="375"/>
        <v>55.41013903</v>
      </c>
      <c r="MX92" s="314">
        <f t="shared" si="376"/>
        <v>16.19782927</v>
      </c>
      <c r="MY92" s="314">
        <f t="shared" si="377"/>
        <v>0</v>
      </c>
      <c r="MZ92" s="95">
        <f t="shared" si="378"/>
        <v>18.99782927</v>
      </c>
      <c r="NA92" s="95">
        <f t="shared" si="379"/>
        <v>0</v>
      </c>
      <c r="NB92" s="95">
        <f t="shared" si="435"/>
        <v>51.29413903</v>
      </c>
      <c r="NC92" s="314">
        <f t="shared" si="486"/>
        <v>51.29413903</v>
      </c>
      <c r="ND92" s="314">
        <f t="shared" si="436"/>
        <v>51.29413903</v>
      </c>
      <c r="NE92" s="537">
        <f t="shared" si="437"/>
        <v>51.53413903</v>
      </c>
      <c r="NF92" s="532">
        <f t="shared" si="380"/>
        <v>51.69413903</v>
      </c>
      <c r="NG92" s="180">
        <f t="shared" si="381"/>
        <v>53.03413903</v>
      </c>
      <c r="NH92" s="314">
        <f t="shared" si="382"/>
        <v>56.93413903</v>
      </c>
      <c r="NI92" s="532">
        <f t="shared" si="383"/>
        <v>57.09413903</v>
      </c>
      <c r="NK92" s="541">
        <f t="shared" si="384"/>
        <v>8.06455543121772</v>
      </c>
      <c r="NL92" s="541">
        <f t="shared" si="385"/>
        <v>423.276521359944</v>
      </c>
      <c r="NM92" s="541">
        <f t="shared" si="386"/>
        <v>8.06455543121772</v>
      </c>
      <c r="NN92" s="541">
        <f t="shared" si="387"/>
        <v>423.92849182429</v>
      </c>
      <c r="NO92" s="541">
        <f t="shared" si="388"/>
        <v>10.7064909414642</v>
      </c>
      <c r="NP92" s="541">
        <f t="shared" si="389"/>
        <v>428.063664020321</v>
      </c>
      <c r="NQ92" s="541">
        <f t="shared" si="390"/>
        <v>10.7064909414642</v>
      </c>
      <c r="NR92" s="541">
        <f t="shared" si="391"/>
        <v>428.736527260256</v>
      </c>
      <c r="NS92" s="541">
        <f t="shared" si="392"/>
        <v>8.13429951045878</v>
      </c>
      <c r="NT92" s="541">
        <f t="shared" si="393"/>
        <v>8.13429951045878</v>
      </c>
      <c r="NU92" s="541">
        <f t="shared" si="394"/>
        <v>10.7785872879275</v>
      </c>
      <c r="NV92" s="541">
        <f t="shared" si="395"/>
        <v>10.7785872879275</v>
      </c>
      <c r="NW92" s="11">
        <f t="shared" si="396"/>
        <v>8.99222365376045</v>
      </c>
      <c r="NX92" s="11">
        <f>各项系数!$M$9*NK92</f>
        <v>2.41936662936532</v>
      </c>
      <c r="NY92" s="11">
        <f t="shared" si="397"/>
        <v>8.13429951045878</v>
      </c>
    </row>
    <row r="93" s="11" customFormat="1" customHeight="1" spans="1:389">
      <c r="A93" s="81"/>
      <c r="B93" s="82"/>
      <c r="C93" s="83"/>
      <c r="D93" s="74" t="s">
        <v>924</v>
      </c>
      <c r="E93" s="550">
        <f t="shared" si="325"/>
        <v>60.93953769</v>
      </c>
      <c r="F93" s="84">
        <f>$F$29</f>
        <v>245.09808262108</v>
      </c>
      <c r="G93" s="74"/>
      <c r="H93" s="23"/>
      <c r="I93" s="78"/>
      <c r="J93" s="23"/>
      <c r="K93" s="23"/>
      <c r="L93" s="128" t="s">
        <v>467</v>
      </c>
      <c r="M93" s="119">
        <f t="shared" si="339"/>
        <v>1.6</v>
      </c>
      <c r="N93" s="119">
        <f t="shared" si="340"/>
        <v>0</v>
      </c>
      <c r="O93" s="74">
        <f t="shared" si="488"/>
        <v>0.08</v>
      </c>
      <c r="P93" s="120">
        <v>0.1</v>
      </c>
      <c r="Q93" s="165">
        <f t="shared" si="440"/>
        <v>0.1</v>
      </c>
      <c r="R93" s="182">
        <v>0.8</v>
      </c>
      <c r="S93" s="173" t="str">
        <f>各项系数!$D$43</f>
        <v>钢带</v>
      </c>
      <c r="T93" s="78">
        <v>0.5</v>
      </c>
      <c r="U93" s="78">
        <v>2</v>
      </c>
      <c r="V93" s="172"/>
      <c r="W93" s="174">
        <v>2.9</v>
      </c>
      <c r="X93" s="168">
        <f t="shared" si="441"/>
        <v>0.2</v>
      </c>
      <c r="Y93" s="221"/>
      <c r="Z93" s="222"/>
      <c r="AA93" s="223">
        <f>$AA$29</f>
        <v>1.015</v>
      </c>
      <c r="AB93" s="186">
        <f>PI()*EJ93*EJ93/4*EH93*(1-H93)*AA93*各项系数!$F$5*各项系数!$J$4*10^-7</f>
        <v>1.56733675087884</v>
      </c>
      <c r="AC93" s="224">
        <f t="shared" si="327"/>
        <v>245.09808262108</v>
      </c>
      <c r="AD93" s="186">
        <f t="shared" si="341"/>
        <v>177.189293020653</v>
      </c>
      <c r="AE93" s="186">
        <f>POWER(4*EU93/PI()/EG93/10^-7/EH93/(1-H93)/各项系数!$F$5/各项系数!$J$4,0.5)</f>
        <v>246.929476077883</v>
      </c>
      <c r="AF93" s="225">
        <v>1</v>
      </c>
      <c r="AG93" s="23">
        <f>IF(EM93=0,0,PI()*ER93*ER93/4*EP93*(1-K93)*(1+AF93)*各项系数!$F$5*各项系数!$J$4*10^-7)</f>
        <v>0</v>
      </c>
      <c r="AH93" s="23">
        <f t="shared" si="328"/>
        <v>0</v>
      </c>
      <c r="AI93" s="85">
        <f t="shared" si="398"/>
        <v>0</v>
      </c>
      <c r="AJ93" s="85">
        <f>IF(OR(EP93="",EP93=0),0,POWER(4*EW93/PI()/EO93/10^-7/EP93/(1-K93)/各项系数!$F$5/各项系数!$J$4,0.5))</f>
        <v>0</v>
      </c>
      <c r="AK93" s="23" t="str">
        <f t="shared" si="342"/>
        <v>√</v>
      </c>
      <c r="AL93" s="23">
        <f t="shared" si="329"/>
        <v>545.607804260349</v>
      </c>
      <c r="AM93" s="127">
        <f t="shared" si="330"/>
        <v>185</v>
      </c>
      <c r="AN93" s="128" t="s">
        <v>486</v>
      </c>
      <c r="AO93" s="176">
        <f>AP93+各项系数!$M$9*$NK93</f>
        <v>534.90961201995</v>
      </c>
      <c r="AP93" s="176">
        <f>AQ93*(1+$BI93+(VLOOKUP($AM93,$A$12:$B$323,2,0))+各项系数!$J$6+各项系数!$M$5)*(1+$E$2)</f>
        <v>531.900320688887</v>
      </c>
      <c r="AQ93" s="262">
        <f>AR93+各项系数!$L$9*$NK93</f>
        <v>542.755429274374</v>
      </c>
      <c r="AR93" s="262">
        <f>AS93*(1+$BJ93+各项系数!$J$5+各项系数!$L$5)</f>
        <v>539.746137943312</v>
      </c>
      <c r="AS93" s="262">
        <f t="shared" si="399"/>
        <v>529.16288033658</v>
      </c>
      <c r="AT93" s="176">
        <f>AU93+各项系数!$M$9*$NM93</f>
        <v>540.142533569552</v>
      </c>
      <c r="AU93" s="176">
        <f>AV93*(1+$BI93+(VLOOKUP($AM93,$A$12:$B$323,2,0))+各项系数!$J$6+各项系数!$M$5)*(1+$E$2)</f>
        <v>537.133242238489</v>
      </c>
      <c r="AV93" s="262">
        <f>AW93+各项系数!$L$9*$NM93</f>
        <v>548.095145141315</v>
      </c>
      <c r="AW93" s="262">
        <f>AX93*(1+$BJ93+各项系数!$J$5+各项系数!$L$5)</f>
        <v>545.085853810252</v>
      </c>
      <c r="AX93" s="262">
        <f t="shared" si="400"/>
        <v>534.397895892404</v>
      </c>
      <c r="AY93" s="176">
        <f>AZ93+各项系数!$M$9*$NS93</f>
        <v>540.181101535728</v>
      </c>
      <c r="AZ93" s="176">
        <f>BA93*(1+$BI93+(VLOOKUP($AM93,$A$12:$B$214,2,0))+各项系数!$J$6+各项系数!$M$5)*(1+$E$2)</f>
        <v>537.148670458489</v>
      </c>
      <c r="BA93" s="262">
        <f>BB93+各项系数!$L$9*$NS93</f>
        <v>548.110888222948</v>
      </c>
      <c r="BB93" s="262">
        <f>BC93*(1+$BJ93+各项系数!$J$5+各项系数!$L$5)</f>
        <v>545.078457145709</v>
      </c>
      <c r="BC93" s="262">
        <f t="shared" si="401"/>
        <v>534.390644260499</v>
      </c>
      <c r="BD93" s="176">
        <f>BE93+各项系数!$M$9*$NS93</f>
        <v>545.428448897134</v>
      </c>
      <c r="BE93" s="176">
        <f>BF93*(1+$BI93+(VLOOKUP($AM93,$A$12:$B$214,2,0))+各项系数!$J$6+各项系数!$M$5)*(1+$E$2)</f>
        <v>542.396017819895</v>
      </c>
      <c r="BF93" s="262">
        <f>BG93+各项系数!$L$9*$NS93</f>
        <v>553.465324306016</v>
      </c>
      <c r="BG93" s="262">
        <f>BH93*(1+$BJ93+各项系数!$J$5+各项系数!$L$5)</f>
        <v>550.432893228777</v>
      </c>
      <c r="BH93" s="262">
        <f t="shared" si="402"/>
        <v>539.640091400761</v>
      </c>
      <c r="BI93" s="278"/>
      <c r="BJ93" s="279"/>
      <c r="BK93" s="95" t="s">
        <v>514</v>
      </c>
      <c r="BL93" s="176">
        <f>BM93+各项系数!$M$9*$NM93</f>
        <v>540.876092700717</v>
      </c>
      <c r="BM93" s="176">
        <f>BN93*(1+$CF93+(VLOOKUP($AM93,$A$12:$B$323,2,0))+各项系数!$J$6+各项系数!$M$5)*(1+$E$2)</f>
        <v>537.866801369654</v>
      </c>
      <c r="BN93" s="262">
        <f>BO93+各项系数!$L$9*$NM93</f>
        <v>548.843674866994</v>
      </c>
      <c r="BO93" s="262">
        <f>BP93*(1+$CG93+各项系数!$J$5+各项系数!$L$5)</f>
        <v>545.834383535931</v>
      </c>
      <c r="BP93" s="262">
        <f t="shared" si="403"/>
        <v>529.936294695079</v>
      </c>
      <c r="BQ93" s="176">
        <f>BR93+各项系数!$M$9*$NM93</f>
        <v>545.379632949297</v>
      </c>
      <c r="BR93" s="176">
        <f>BS93*(1+$CF93+(VLOOKUP($AM93,$A$12:$B$323,2,0))+各项系数!$J$6+各项系数!$M$5)*(1+$E$2)</f>
        <v>542.370341618234</v>
      </c>
      <c r="BS93" s="262">
        <f>BT93+各项系数!$L$9*$NM93</f>
        <v>553.439124100239</v>
      </c>
      <c r="BT93" s="262">
        <f>BU93*(1+$CG93+各项系数!$J$5+各项系数!$L$5)</f>
        <v>550.429832769176</v>
      </c>
      <c r="BU93" s="262">
        <f t="shared" si="404"/>
        <v>534.397895892404</v>
      </c>
      <c r="BV93" s="176">
        <f>BW93+各项系数!$M$9*$NT93</f>
        <v>543.237282127549</v>
      </c>
      <c r="BW93" s="176">
        <f>BX93*(1+$CF93+(VLOOKUP($AM93,$A$12:$B$214,2,0))+各项系数!$J$6+各项系数!$M$5)*(1+$E$2)</f>
        <v>540.20485105031</v>
      </c>
      <c r="BX93" s="262">
        <f>BY93+各项系数!$L$9*$NT$12</f>
        <v>551.229439847255</v>
      </c>
      <c r="BY93" s="262">
        <f>BZ93*(1+$CG93+各项系数!$J$5+各项系数!$L$5)</f>
        <v>551.2211764441</v>
      </c>
      <c r="BZ93" s="262">
        <f t="shared" si="343"/>
        <v>535.166190722427</v>
      </c>
      <c r="CA93" s="176">
        <f>CB93+各项系数!$M$9*$NT93</f>
        <v>547.753237472259</v>
      </c>
      <c r="CB93" s="176">
        <f>CC93*(1+$CF93+(VLOOKUP($AM93,$A$12:$B$214,2,0))+各项系数!$J$6+各项系数!$M$5)*(1+$E$2)</f>
        <v>544.72080639502</v>
      </c>
      <c r="CC93" s="262">
        <f>CD93+各项系数!$L$9*$NT$12</f>
        <v>555.837557545939</v>
      </c>
      <c r="CD93" s="262">
        <f>CE93*(1+$CG93+各项系数!$J$5+各项系数!$L$5)</f>
        <v>555.829294142784</v>
      </c>
      <c r="CE93" s="262">
        <f t="shared" si="405"/>
        <v>539.640091400761</v>
      </c>
      <c r="CF93" s="278">
        <f t="shared" si="406"/>
        <v>0</v>
      </c>
      <c r="CG93" s="278">
        <f t="shared" si="344"/>
        <v>0.01</v>
      </c>
      <c r="CH93" s="127"/>
      <c r="CI93" s="176">
        <f>CJ93+各项系数!$M$9*$NO93</f>
        <v>545.255802478551</v>
      </c>
      <c r="CJ93" s="176">
        <f>CK93*(1+$DC93+(VLOOKUP($AM93,$A$12:$B$323,2,0))+各项系数!$J$6+各项系数!$M$5)*(1+$E$2)+各项系数!$M$9*$NK93</f>
        <v>541.288611981305</v>
      </c>
      <c r="CK93" s="262">
        <f>CL93+各项系数!$L$9*$NO93</f>
        <v>549.26461290841</v>
      </c>
      <c r="CL93" s="262">
        <f>CM93*(1+$DD93+各项系数!$J$5+各项系数!$L$5)</f>
        <v>545.297422411164</v>
      </c>
      <c r="CM93" s="262">
        <f t="shared" si="345"/>
        <v>534.605316089377</v>
      </c>
      <c r="CN93" s="176">
        <f>CO93+各项系数!$M$9*$NO93</f>
        <v>550.264409903744</v>
      </c>
      <c r="CO93" s="176">
        <f>CP93*(1+$DC93+(VLOOKUP($AM93,$A$12:$B$323,2,0))+各项系数!$J$6+各项系数!$M$5)*(1+$E$2)+各项系数!$M$9*$NK93</f>
        <v>546.297219406498</v>
      </c>
      <c r="CP93" s="262">
        <f>CQ93+各项系数!$L$9*$NO93</f>
        <v>554.375436811669</v>
      </c>
      <c r="CQ93" s="262">
        <f>CR93*(1+$DD93+各项系数!$J$5+各项系数!$L$5)</f>
        <v>550.408246314423</v>
      </c>
      <c r="CR93" s="262">
        <f t="shared" si="346"/>
        <v>539.615927759238</v>
      </c>
      <c r="CS93" s="176">
        <f>CT93+各项系数!$M$9*$NU93</f>
        <v>547.678112436282</v>
      </c>
      <c r="CT93" s="176">
        <f t="shared" si="347"/>
        <v>543.687076512693</v>
      </c>
      <c r="CU93" s="262">
        <f>CV93+各项系数!$L$9*$NU93</f>
        <v>554.782731135401</v>
      </c>
      <c r="CV93" s="262">
        <f>CW93*(1+$DD93+各项系数!$J$5+各项系数!$L$5)</f>
        <v>550.791695211812</v>
      </c>
      <c r="CW93" s="262">
        <f t="shared" si="348"/>
        <v>539.991858050796</v>
      </c>
      <c r="CX93" s="176">
        <f>CY93+各项系数!$M$9*$NU93</f>
        <v>553.07729146693</v>
      </c>
      <c r="CY93" s="176">
        <f t="shared" si="349"/>
        <v>549.086255543342</v>
      </c>
      <c r="CZ93" s="262">
        <f>DA93+各项系数!$L$9*$NU93</f>
        <v>560.292097493206</v>
      </c>
      <c r="DA93" s="262">
        <f>DB93*(1+$DD93+各项系数!$J$5+各项系数!$L$5)</f>
        <v>556.301061569617</v>
      </c>
      <c r="DB93" s="262">
        <f t="shared" si="350"/>
        <v>545.393197617272</v>
      </c>
      <c r="DC93" s="278">
        <f t="shared" si="407"/>
        <v>0</v>
      </c>
      <c r="DD93" s="278">
        <f t="shared" si="351"/>
        <v>0</v>
      </c>
      <c r="DE93" s="95" t="s">
        <v>498</v>
      </c>
      <c r="DF93" s="95" t="s">
        <v>513</v>
      </c>
      <c r="DG93" s="176">
        <f>DH93+各项系数!$M$9*$NQ93</f>
        <v>551.298270357944</v>
      </c>
      <c r="DH93" s="176">
        <f>DI93*(1+$EA93+(VLOOKUP($AM93,$A$12:$B$323,2,0))+各项系数!$J$6+各项系数!$M$5)*(1+$E$2)+各项系数!$M$9*$NK93</f>
        <v>547.331079860698</v>
      </c>
      <c r="DI93" s="262">
        <f>DJ93+各项系数!$L$9*$NQ93</f>
        <v>555.430396458811</v>
      </c>
      <c r="DJ93" s="262">
        <f>DK93*(1+$EB93+各项系数!$J$5+各项系数!$L$5)</f>
        <v>551.463205961565</v>
      </c>
      <c r="DK93" s="262">
        <f t="shared" si="352"/>
        <v>535.401170836471</v>
      </c>
      <c r="DL93" s="176">
        <f>DM93+各项系数!$M$9*$NQ93</f>
        <v>555.932479493295</v>
      </c>
      <c r="DM93" s="176">
        <f>DN93*(1+$EA93+(VLOOKUP($AM93,$A$12:$B$323,2,0))+各项系数!$J$6+各项系数!$M$5)*(1+$E$2)+各项系数!$M$9*$NK93</f>
        <v>551.965288996049</v>
      </c>
      <c r="DN93" s="262">
        <f>DO93+各项系数!$L$9*$NQ93</f>
        <v>560.159181290802</v>
      </c>
      <c r="DO93" s="262">
        <f>DP93*(1+$EB93+各项系数!$J$5+各项系数!$L$5)</f>
        <v>556.191990793556</v>
      </c>
      <c r="DP93" s="262">
        <f t="shared" si="353"/>
        <v>539.992224071413</v>
      </c>
      <c r="DQ93" s="176">
        <f>DR93+各项系数!$M$9*$NV93</f>
        <v>553.775520572099</v>
      </c>
      <c r="DR93" s="176">
        <f t="shared" si="354"/>
        <v>549.78448464851</v>
      </c>
      <c r="DS93" s="262">
        <f>DT93+各项系数!$L$9*$NV93</f>
        <v>561.004576171949</v>
      </c>
      <c r="DT93" s="262">
        <f>DU93*(1+$EB93+各项系数!$J$5+各项系数!$L$5)</f>
        <v>557.013540248361</v>
      </c>
      <c r="DU93" s="262">
        <f t="shared" si="355"/>
        <v>540.789844901321</v>
      </c>
      <c r="DV93" s="176">
        <f>DW93+各项系数!$M$9*$NV93</f>
        <v>552.939954121913</v>
      </c>
      <c r="DW93" s="176">
        <f t="shared" si="356"/>
        <v>548.948918198324</v>
      </c>
      <c r="DX93" s="262">
        <f>DY93+各项系数!$L$9*$NV93</f>
        <v>560.151957345229</v>
      </c>
      <c r="DY93" s="262">
        <f>DZ93*(1+$EB93+各项系数!$J$5+各项系数!$L$5)</f>
        <v>556.16092142164</v>
      </c>
      <c r="DZ93" s="262">
        <f t="shared" si="357"/>
        <v>539.96205963266</v>
      </c>
      <c r="EA93" s="278">
        <f t="shared" si="439"/>
        <v>0</v>
      </c>
      <c r="EB93" s="278">
        <f t="shared" si="358"/>
        <v>0.01</v>
      </c>
      <c r="EC93" s="302">
        <f t="shared" si="408"/>
        <v>5</v>
      </c>
      <c r="ED93" s="304" t="str">
        <f t="shared" si="442"/>
        <v>5*185</v>
      </c>
      <c r="EE93" s="95">
        <f>IF($D93="",0,IF(COUNTIF($D93,"*+*")&gt;0,MID($D93,FIND("*",$D93)+1,FIND("+",$D93)-FIND("*",$D93)-1),RIGHT($D93,(LEN($D93)-FIND("*",$D93)))))*1</f>
        <v>185</v>
      </c>
      <c r="EF93" s="95" t="str">
        <f>LOOKUP(EH93,{1,7,10,14,19,24,30,37,48,61},{1,"1+6","2+8","4+10","1+6+12","2+8+14","4+10+16","1+6+12+18","3+9+15+21","1+6+12+18+24"})</f>
        <v>1+6+12+18</v>
      </c>
      <c r="EG93" s="127">
        <f t="shared" si="359"/>
        <v>5</v>
      </c>
      <c r="EH93" s="262">
        <f>VLOOKUP(EE93,各项系数!$B$87:$C$124,2,0)</f>
        <v>37</v>
      </c>
      <c r="EI93" s="127">
        <f>IF(EH93=0,0,VLOOKUP(EH93,各项系数!$D$142:$E$195,2,0))*1</f>
        <v>7</v>
      </c>
      <c r="EJ93" s="307">
        <f t="shared" si="409"/>
        <v>245.09808262108</v>
      </c>
      <c r="EK93" s="95">
        <f t="shared" si="332"/>
        <v>0</v>
      </c>
      <c r="EL93" s="95">
        <f t="shared" si="360"/>
        <v>0</v>
      </c>
      <c r="EM93" s="95">
        <f t="shared" si="443"/>
        <v>0</v>
      </c>
      <c r="EN93" s="95">
        <f>IF(EP93=0,0,LOOKUP(EP93,{1,7,10,14,19,24,30,37,48,61},{1,"1+6","2+8","4+10","1+6+12","2+8+14","4+10+16","1+6+12+18","3+9+15+21","1+6+12+18+24"}))</f>
        <v>0</v>
      </c>
      <c r="EO93" s="95">
        <f t="shared" si="334"/>
        <v>0</v>
      </c>
      <c r="EP93" s="95">
        <f>IF(EM93=0,0,IF(EM93&lt;10,1,IF(AND(EM93&gt;=10,EM93&lt;=35),7,LOOKUP(EM93,{50,70,95,120,150,185,240,300},{10,14,19,24,30,37,48,61})*1)))</f>
        <v>0</v>
      </c>
      <c r="EQ93" s="95">
        <f>IF(EP93=0,0,VLOOKUP(EP93,各项系数!$D$142:$E$195,2,0))*1</f>
        <v>0</v>
      </c>
      <c r="ER93" s="95">
        <f t="shared" si="335"/>
        <v>0</v>
      </c>
      <c r="ES93" s="304">
        <f t="shared" si="444"/>
        <v>5</v>
      </c>
      <c r="ET93" s="95">
        <f>VLOOKUP(ES93,各项系数!$D$142:$E$195,2,0)*1</f>
        <v>2.7</v>
      </c>
      <c r="EU93" s="311">
        <f>((各项系数!$F$76/4*$EJ93^2*$EG93*$EH93*1*10^-7)*(1-$H93)*AA93)*(VLOOKUP($EY$9,各项系数!$D$4:$F$143,3,0))*各项系数!$J$4</f>
        <v>7.83668375439418</v>
      </c>
      <c r="EV93" s="312">
        <f>EU93*(VLOOKUP($EY$9,各项系数!$D$4:$F$143,2,0))</f>
        <v>513.302785912819</v>
      </c>
      <c r="EW93" s="324">
        <f>(IF($EO93=0,0,(各项系数!$F$76/4*$ER93^2*$EO93*$EP93*1*10^-7))*(1-$K93)*$AF93)*(VLOOKUP($EY$9,各项系数!$D$4:$F$143,3,0))*各项系数!$J$4</f>
        <v>0</v>
      </c>
      <c r="EX93" s="325">
        <f>EW93*(VLOOKUP($EY$9,各项系数!$D$4:$F$143,2,0))</f>
        <v>0</v>
      </c>
      <c r="EY93" s="251">
        <f>((各项系数!$F$76/4*$EJ93^2*$EG93*$EH93*1*10^-7)*(1-$H93)*AA93+IF($EO93=0,0,(各项系数!$F$76/4*$ER93^2*$EO93*$EP93*1*10^-7))*(1-$K93)*$AF93)*(VLOOKUP($EY$9,各项系数!$D$4:$F$143,3,0))*各项系数!$J$4</f>
        <v>7.83668375439418</v>
      </c>
      <c r="EZ93" s="127">
        <v>1</v>
      </c>
      <c r="FA93" s="95">
        <f t="shared" si="445"/>
        <v>7.83668375439418</v>
      </c>
      <c r="FB93" s="314">
        <f>FA93*(VLOOKUP($EY$9,各项系数!$D$4:$F$143,2,0))</f>
        <v>513.302785912819</v>
      </c>
      <c r="FC93" s="329"/>
      <c r="FD93" s="304">
        <f>各项系数!$F$76/4*($MN93^2-MK93^2)*10^-2*(VLOOKUP(L93,各项系数!$D$1:$F$143,3,0))*10^-3*10^2*$EG93*各项系数!$J$4</f>
        <v>0.515959837130321</v>
      </c>
      <c r="FE93" s="341">
        <f>FD93*VLOOKUP(L93,各项系数!$D$1:$F$143,2,0)</f>
        <v>5.26279033872928</v>
      </c>
      <c r="FF93" s="127">
        <f>各项系数!$F$76/4*($MO93^2-ML93^2)*10^-2*(VLOOKUP(L93,各项系数!$D$1:$F$143,3,0))*10^-3*10^2*$EO93*各项系数!$J$4</f>
        <v>0</v>
      </c>
      <c r="FG93" s="341">
        <f>FF93*VLOOKUP(L93,各项系数!$D$1:$F$143,2,0)</f>
        <v>0</v>
      </c>
      <c r="FH93" s="304">
        <f t="shared" si="410"/>
        <v>0.515959837130321</v>
      </c>
      <c r="FI93" s="127">
        <v>1</v>
      </c>
      <c r="FJ93" s="95">
        <f t="shared" si="446"/>
        <v>0.515959837130321</v>
      </c>
      <c r="FK93" s="341">
        <f>FJ93*VLOOKUP(L93,各项系数!$D$1:$F$143,2,0)</f>
        <v>5.26279033872928</v>
      </c>
      <c r="FL93" s="304"/>
      <c r="FM93" s="127"/>
      <c r="FN93" s="95"/>
      <c r="FO93" s="341"/>
      <c r="FP93" s="371">
        <f t="shared" si="447"/>
        <v>0.515959837130321</v>
      </c>
      <c r="FQ93" s="371">
        <f t="shared" si="448"/>
        <v>5.26279033872928</v>
      </c>
      <c r="FR93" s="365">
        <f>各项系数!$F$76/4*($MQ93^2-$MN93^2*$EG93-$MO93^2*$EO93)*10^-2</f>
        <v>7.45327579002981</v>
      </c>
      <c r="FS93" s="366">
        <f t="shared" si="411"/>
        <v>1</v>
      </c>
      <c r="FT93" s="367">
        <f t="shared" si="361"/>
        <v>7.45327579002981</v>
      </c>
      <c r="FU93" s="395">
        <f>$FT93*(VLOOKUP($FT$9,各项系数!$D$1:$F$143,3,0))*10^-3*10^2*各项系数!$J$55</f>
        <v>0.889921129329559</v>
      </c>
      <c r="FV93" s="396">
        <v>1</v>
      </c>
      <c r="FW93" s="397">
        <f t="shared" si="449"/>
        <v>0.889921129329559</v>
      </c>
      <c r="FX93" s="372">
        <f>FW93*(VLOOKUP($FT$9,各项系数!$D$1:$F$143,2,0))</f>
        <v>2.66976338798868</v>
      </c>
      <c r="FY93" s="395">
        <f>IF($BK93&lt;&gt;$FY$9,0,各项系数!$F$76/4*($MS93^2-$MQ93^2)*10^-2*(VLOOKUP($FY$9,各项系数!$D$1:$F$143,3,0))*10^-3*10^2)*各项系数!$J$4</f>
        <v>0</v>
      </c>
      <c r="FZ93" s="396">
        <v>1</v>
      </c>
      <c r="GA93" s="397">
        <f t="shared" si="450"/>
        <v>0</v>
      </c>
      <c r="GB93" s="372">
        <f>GA93*(VLOOKUP($FY$9,各项系数!$D$1:$F$143,2,0))</f>
        <v>0</v>
      </c>
      <c r="GC93" s="395">
        <f>IF($BK93&lt;&gt;$GC$9,0,各项系数!$F$76/4*($MS93^2-$MQ93^2)*10^-2*(VLOOKUP($GC$9,各项系数!$D$1:$F$143,3,0))*10^-3*10^2)*各项系数!$J$4</f>
        <v>0.0149920241904759</v>
      </c>
      <c r="GD93" s="396">
        <v>1</v>
      </c>
      <c r="GE93" s="397">
        <f t="shared" si="451"/>
        <v>0.0149920241904759</v>
      </c>
      <c r="GF93" s="372">
        <f>GE93*(VLOOKUP($GC$9,各项系数!$D$1:$F$143,2,0))</f>
        <v>0.193397112057139</v>
      </c>
      <c r="GG93" s="395">
        <f>IF($BK93&lt;&gt;$GG$9,0,各项系数!$F$76/4*($MS93^2-$MQ93^2)*10^-2*(VLOOKUP($GG$9,各项系数!$D$1:$F$143,3,0))*10^-3*10^2)*各项系数!$J$4</f>
        <v>0</v>
      </c>
      <c r="GH93" s="396">
        <v>1</v>
      </c>
      <c r="GI93" s="397">
        <f t="shared" si="452"/>
        <v>0</v>
      </c>
      <c r="GJ93" s="372">
        <f>GI93*(VLOOKUP($GG$9,各项系数!$D$1:$F$143,2,0))</f>
        <v>0</v>
      </c>
      <c r="GK93" s="395">
        <f>IF($BK93&lt;&gt;$GK$9,0,各项系数!$F$76/4*($MS93^2-$MQ93^2)*10^-2*(VLOOKUP($GK$9,各项系数!$D$1:$F$143,3,0))*10^-3*10^2)*各项系数!$J$4</f>
        <v>0</v>
      </c>
      <c r="GL93" s="396">
        <v>1</v>
      </c>
      <c r="GM93" s="397">
        <f t="shared" si="453"/>
        <v>0</v>
      </c>
      <c r="GN93" s="372">
        <f>GM93*(VLOOKUP($GK$9,各项系数!$D$1:$F$143,2,0))</f>
        <v>0</v>
      </c>
      <c r="GO93" s="397">
        <f t="shared" si="454"/>
        <v>0.0149920241904759</v>
      </c>
      <c r="GP93" s="397">
        <f t="shared" si="455"/>
        <v>0.193397112057139</v>
      </c>
      <c r="GQ93" s="408">
        <f>各项系数!$F$76/4*($MU93^2-$MS93^2)*10^-2*(VLOOKUP($S93,各项系数!$D$1:$F$143,3,0))*10^-3*10^2*各项系数!$J$4</f>
        <v>1.02464042750708</v>
      </c>
      <c r="GR93" s="396">
        <v>1</v>
      </c>
      <c r="GS93" s="397">
        <f t="shared" si="456"/>
        <v>1.02464042750708</v>
      </c>
      <c r="GT93" s="397">
        <f t="shared" si="457"/>
        <v>0</v>
      </c>
      <c r="GU93" s="397">
        <f>ROUND($GS93*(VLOOKUP($S93,各项系数!$D$1:$F$143,2,0))+$E$3*GS93,GT93)</f>
        <v>6</v>
      </c>
      <c r="GV93" s="406">
        <f>各项系数!$F$76/4*($MT93^2-$MS93^2)*10^-2*(VLOOKUP($GV$9,各项系数!$D$1:$F$143,3,0))*10^-3*10^2*各项系数!$J$4*PI()/4*R93</f>
        <v>0.077132487253679</v>
      </c>
      <c r="GW93" s="396">
        <v>1</v>
      </c>
      <c r="GX93" s="397">
        <f t="shared" si="458"/>
        <v>0.077132487253679</v>
      </c>
      <c r="GY93" s="397">
        <f>$GX93*(VLOOKUP($GV$9,各项系数!$D$1:$F$143,2,0))</f>
        <v>5.20644288962334</v>
      </c>
      <c r="GZ93" s="408">
        <f>各项系数!$F$76/4*($MV93^2-$MS93^2)*10^-2*(VLOOKUP($GZ$9,各项系数!$D$1:$F$143,3,0))*10^-3*10^2*各项系数!$J$4</f>
        <v>0.762891714165312</v>
      </c>
      <c r="HA93" s="396">
        <v>1</v>
      </c>
      <c r="HB93" s="397">
        <f t="shared" si="412"/>
        <v>0.762891714165312</v>
      </c>
      <c r="HC93" s="397">
        <f>HB93*(VLOOKUP($GZ$9,各项系数!$D$1:$F$143,2,0))</f>
        <v>12.9691591408103</v>
      </c>
      <c r="HD93" s="408">
        <f>各项系数!$F$76/4*($MW93^2-$MT93^2)*10^-2*(VLOOKUP($HD$9,各项系数!$D$1:$F$143,3,0))*10^-3*10^2*各项系数!$J$4</f>
        <v>0.76499480938496</v>
      </c>
      <c r="HE93" s="396">
        <v>1</v>
      </c>
      <c r="HF93" s="397">
        <f t="shared" si="413"/>
        <v>0.76499480938496</v>
      </c>
      <c r="HG93" s="397">
        <f>HF93*(VLOOKUP($HD$9,各项系数!$D$1:$F$143,2,0))</f>
        <v>13.0049117595443</v>
      </c>
      <c r="HH93" s="408">
        <f>各项系数!$F$76/4*($MV93^2-$MS93^2)*10^-2*(VLOOKUP($HH$9,各项系数!$D$1:$F$143,3,0))*10^-3*10^2*各项系数!$J$4</f>
        <v>0.762891714165312</v>
      </c>
      <c r="HI93" s="397">
        <v>1</v>
      </c>
      <c r="HJ93" s="397">
        <f t="shared" si="414"/>
        <v>0.762891714165312</v>
      </c>
      <c r="HK93" s="397">
        <f>HJ93*(VLOOKUP($HH$9,各项系数!$D$1:$F$143,2,0))</f>
        <v>12.9691591408103</v>
      </c>
      <c r="HL93" s="408">
        <f>各项系数!$F$76/4*($MW93^2-$MT93^2)*10^-2*(VLOOKUP($HL$9,各项系数!$D$1:$F$143,3,0))*10^-3*10^2*各项系数!$J$4</f>
        <v>0.76499480938496</v>
      </c>
      <c r="HM93" s="397">
        <v>1</v>
      </c>
      <c r="HN93" s="397">
        <f t="shared" si="362"/>
        <v>0.76499480938496</v>
      </c>
      <c r="HO93" s="397">
        <f>HN93*(VLOOKUP($HL$9,各项系数!$D$1:$F$143,2,0))</f>
        <v>13.0049117595443</v>
      </c>
      <c r="HP93" s="408">
        <f>各项系数!$F$76/4*($MV93^2-$MS93^2)*10^-2*(VLOOKUP(AN93,各项系数!$D$1:$F$143,3,0))*10^-3*10^2*各项系数!$J$4</f>
        <v>0.773414358498627</v>
      </c>
      <c r="HQ93" s="396">
        <v>1</v>
      </c>
      <c r="HR93" s="397">
        <f t="shared" si="459"/>
        <v>0.773414358498627</v>
      </c>
      <c r="HS93" s="397">
        <f>HR93*(VLOOKUP(AN93,各项系数!$D$1:$F$143,2,0))</f>
        <v>7.73414358498627</v>
      </c>
      <c r="HT93" s="408">
        <f>各项系数!$F$76/4*($MW93^2-$MT93^2)*10^-2*(VLOOKUP(AN93,各项系数!$D$1:$F$143,3,0))*10^-3*10^2*各项系数!$J$4</f>
        <v>0.775546461928201</v>
      </c>
      <c r="HU93" s="396">
        <v>1</v>
      </c>
      <c r="HV93" s="397">
        <f t="shared" si="460"/>
        <v>0.775546461928201</v>
      </c>
      <c r="HW93" s="397">
        <f>HV93*(VLOOKUP(AN93,各项系数!$D$1:$F$143,2,0))</f>
        <v>7.75546461928201</v>
      </c>
      <c r="HX93" s="408">
        <f>各项系数!$F$76/4*($MV93^2-$MS93^2)*10^-2*(VLOOKUP($HX$9,各项系数!$D$1:$F$143,3,0))*10^-3*10^2*各项系数!$J$4</f>
        <v>0.773414358498627</v>
      </c>
      <c r="HY93" s="397">
        <v>1</v>
      </c>
      <c r="HZ93" s="397">
        <f t="shared" si="461"/>
        <v>0.773414358498627</v>
      </c>
      <c r="IA93" s="397">
        <f>HZ93*(VLOOKUP($HX$9,各项系数!$D$1:$F$143,2,0))</f>
        <v>8.5075579434849</v>
      </c>
      <c r="IB93" s="408">
        <f>各项系数!$F$76/4*($MW93^2-$MT93^2)*10^-2*(VLOOKUP($IB$9,各项系数!$D$1:$F$143,3,0))*10^-3*10^2*各项系数!$J$4</f>
        <v>0.775546461928201</v>
      </c>
      <c r="IC93" s="397">
        <v>1</v>
      </c>
      <c r="ID93" s="397">
        <f t="shared" si="462"/>
        <v>0.775546461928201</v>
      </c>
      <c r="IE93" s="397">
        <f>ID93*(VLOOKUP($IB$9,各项系数!$D$1:$F$143,2,0))</f>
        <v>8.53101108121021</v>
      </c>
      <c r="IF93" s="395"/>
      <c r="IG93" s="408">
        <f t="shared" si="415"/>
        <v>0.122778336547084</v>
      </c>
      <c r="IH93" s="396">
        <v>1</v>
      </c>
      <c r="II93" s="397">
        <f t="shared" si="463"/>
        <v>0.122778336547084</v>
      </c>
      <c r="IJ93" s="397">
        <f>II93*(VLOOKUP($IG$8,各项系数!$D$1:$F$143,2,0))</f>
        <v>3.0694584136771</v>
      </c>
      <c r="IK93" s="408">
        <f>(各项系数!$F$76/4*($MX93^2-$MK93^2)*$EG93)*10^-2*(VLOOKUP($IG$8,各项系数!$D$1:$F$143,3,0))*10^-3*10^2*各项系数!$J$4</f>
        <v>0.122778336547084</v>
      </c>
      <c r="IL93" s="396">
        <f>IK93*(VLOOKUP($IG$8,各项系数!$D$1:$F$143,2,0))</f>
        <v>3.0694584136771</v>
      </c>
      <c r="IM93" s="397">
        <f>(各项系数!$F$76/4*(($MM93+3*$X93)^2-MM93^2)*$EO93)*10^-2*(VLOOKUP($IG$8,各项系数!$D$1:$F$143,3,0))*10^-3*10^2*各项系数!$J$4</f>
        <v>0</v>
      </c>
      <c r="IN93" s="396">
        <f>IM93*(VLOOKUP($IG$8,各项系数!$D$1:$F$143,2,0))</f>
        <v>0</v>
      </c>
      <c r="IO93" s="408">
        <f>各项系数!$F$76/4*($MZ93^2-$MX93^2)*10^-2*(VLOOKUP(L93,各项系数!$D$1:$F$143,3,0))*10^-3*10^2*$ES93*各项系数!$J$4</f>
        <v>0.532464508295221</v>
      </c>
      <c r="IP93" s="396">
        <v>1</v>
      </c>
      <c r="IQ93" s="397">
        <f t="shared" si="464"/>
        <v>0.532464508295221</v>
      </c>
      <c r="IR93" s="372">
        <f>IQ93*(VLOOKUP(L93,各项系数!$D$1:$F$143,2,0))</f>
        <v>5.43113798461125</v>
      </c>
      <c r="IS93" s="408">
        <f>IF($L93&lt;&gt;$IS$9,0,各项系数!$F$76/4*($MZ93^2-$MX93^2)*10^-2*各项系数!$F$12*10^-3*10^2)*$ES93*各项系数!$J$4</f>
        <v>0</v>
      </c>
      <c r="IT93" s="396">
        <v>1</v>
      </c>
      <c r="IU93" s="397">
        <f t="shared" si="465"/>
        <v>0</v>
      </c>
      <c r="IV93" s="372">
        <f>IU93*各项系数!$E$12</f>
        <v>0</v>
      </c>
      <c r="IW93" s="395">
        <f t="shared" si="466"/>
        <v>0.532464508295221</v>
      </c>
      <c r="IX93" s="395">
        <f t="shared" si="467"/>
        <v>5.43113798461125</v>
      </c>
      <c r="IY93" s="447">
        <f>各项系数!$F$76/4*($NB93^2-$MZ93^2*$EG93-$NA93^2*$EO93)*10^-2</f>
        <v>7.89910758570661</v>
      </c>
      <c r="IZ93" s="366">
        <f t="shared" si="487"/>
        <v>1</v>
      </c>
      <c r="JA93" s="367">
        <f t="shared" si="363"/>
        <v>7.89910758570661</v>
      </c>
      <c r="JB93" s="371">
        <f>IF($DE93&lt;&gt;$JB$9,0,$JA93*各项系数!$F$32*10^-3*10^2)*各项系数!$J$4</f>
        <v>0</v>
      </c>
      <c r="JC93" s="127">
        <v>1</v>
      </c>
      <c r="JD93" s="95">
        <f t="shared" si="468"/>
        <v>0</v>
      </c>
      <c r="JE93" s="341">
        <f>JD93*各项系数!$E$32</f>
        <v>0</v>
      </c>
      <c r="JF93" s="364">
        <f>IF($DE93&lt;&gt;$JF$9,0,$JA93*VLOOKUP($JF$9,各项系数!$D$4:$F$540,2,0)*10^-3*10^2)*各项系数!$J$4</f>
        <v>3.92980602388904</v>
      </c>
      <c r="JG93" s="123">
        <v>1</v>
      </c>
      <c r="JH93" s="251">
        <f t="shared" si="364"/>
        <v>3.92980602388904</v>
      </c>
      <c r="JI93" s="339">
        <f>JH93*VLOOKUP($JF$9,各项系数!$D$4:$F$540,3,0)</f>
        <v>4.71576722866684</v>
      </c>
      <c r="JJ93" s="371">
        <f t="shared" si="469"/>
        <v>3.92980602388904</v>
      </c>
      <c r="JK93" s="95">
        <f t="shared" si="470"/>
        <v>4.71576722866684</v>
      </c>
      <c r="JL93" s="371">
        <f>IF($DF93&lt;&gt;$JL$9,0,各项系数!$F$76/4*($NE93^2-$NC93^2)*10^-2*各项系数!$F$39*10^-3*10^2)*各项系数!$J$4</f>
        <v>0.0063809539326814</v>
      </c>
      <c r="JM93" s="127">
        <v>1</v>
      </c>
      <c r="JN93" s="95">
        <f t="shared" si="471"/>
        <v>0.0063809539326814</v>
      </c>
      <c r="JO93" s="341">
        <f>JN93*各项系数!$E$39</f>
        <v>0.127619078653628</v>
      </c>
      <c r="JP93" s="371">
        <f>IF($DF93&lt;&gt;$JP$9,0,各项系数!$F$76/4*($NE93^2-$NC93^2)*10^-2*各项系数!$F$36*10^-3*10^2)*各项系数!$J$4</f>
        <v>0</v>
      </c>
      <c r="JQ93" s="127">
        <v>1</v>
      </c>
      <c r="JR93" s="95">
        <f t="shared" si="472"/>
        <v>0</v>
      </c>
      <c r="JS93" s="341">
        <f>JR93*各项系数!$E$36</f>
        <v>0</v>
      </c>
      <c r="JT93" s="371">
        <f>IF($DF93&lt;&gt;$JT$9,0,各项系数!$F$76/4*($NE93^2-$NC93^2)*10^-2*各项系数!$F$40*10^-3*10^2)*各项系数!$J$4</f>
        <v>0</v>
      </c>
      <c r="JU93" s="127">
        <v>1</v>
      </c>
      <c r="JV93" s="95">
        <f t="shared" si="473"/>
        <v>0</v>
      </c>
      <c r="JW93" s="341">
        <f>JV93*各项系数!$E$40</f>
        <v>0</v>
      </c>
      <c r="JX93" s="371">
        <f>IF($DF93&lt;&gt;$JX$9,0,各项系数!$F$76/4*($NE93^2-$NC93^2)*10^-2*各项系数!$F$38*10^-3*10^2)*各项系数!$J$4</f>
        <v>0</v>
      </c>
      <c r="JY93" s="127">
        <v>1</v>
      </c>
      <c r="JZ93" s="95">
        <f t="shared" si="474"/>
        <v>0</v>
      </c>
      <c r="KA93" s="341">
        <f>JZ93*各项系数!$E$38</f>
        <v>0</v>
      </c>
      <c r="KB93" s="371">
        <f>IF($DF93&lt;&gt;$KB$9,0,各项系数!$F$76/4*($NE93^2-$NC93^2)*10^-2*各项系数!$F$41*10^-3*10^2)*各项系数!$J$4</f>
        <v>0</v>
      </c>
      <c r="KC93" s="127">
        <v>1</v>
      </c>
      <c r="KD93" s="95">
        <f t="shared" si="475"/>
        <v>0</v>
      </c>
      <c r="KE93" s="341">
        <f>KD93*各项系数!$E$41</f>
        <v>0</v>
      </c>
      <c r="KF93" s="95">
        <f t="shared" si="476"/>
        <v>0.0063809539326814</v>
      </c>
      <c r="KG93" s="95">
        <f t="shared" si="477"/>
        <v>0.127619078653628</v>
      </c>
      <c r="KH93" s="304">
        <f>各项系数!$F$76/4*($NG93^2-$NE93^2)*10^-2*各项系数!$F$44*10^-3*10^2*各项系数!$J$4*0.75*$U93</f>
        <v>1.58327059168889</v>
      </c>
      <c r="KI93" s="127">
        <v>1</v>
      </c>
      <c r="KJ93" s="95">
        <f t="shared" si="478"/>
        <v>1.58327059168889</v>
      </c>
      <c r="KK93" s="95">
        <f>ROUND(KJ93*各项系数!$E$43,GT93)</f>
        <v>9</v>
      </c>
      <c r="KL93" s="302">
        <f>各项系数!$F$76/4*($NF93^2-$NE93^2)*10^-2*各项系数!$F$46*10^-3*10^2*各项系数!$J$4*PI()/4*R93</f>
        <v>0.0794847544759131</v>
      </c>
      <c r="KM93" s="127">
        <v>1</v>
      </c>
      <c r="KN93" s="95">
        <f t="shared" si="479"/>
        <v>0.0794847544759131</v>
      </c>
      <c r="KO93" s="95">
        <f>KN93*各项系数!$E$46</f>
        <v>5.36522092712413</v>
      </c>
      <c r="KP93" s="304">
        <f>各项系数!$F$76/4*($NH93^2-$NE93^2)*10^-2*(VLOOKUP($KP$9,各项系数!$D$1:$F$143,3,0))*10^-3*10^2*各项系数!$J$4</f>
        <v>0.785026791352113</v>
      </c>
      <c r="KQ93" s="127">
        <v>1</v>
      </c>
      <c r="KR93" s="95">
        <f t="shared" si="416"/>
        <v>0.785026791352113</v>
      </c>
      <c r="KS93" s="95">
        <f>KR93*(VLOOKUP($KP$9,各项系数!$D$1:$F$143,2,0))</f>
        <v>13.3454554529859</v>
      </c>
      <c r="KT93" s="304">
        <f>各项系数!$F$76/4*($NI93^2-$NF93^2)*10^-2*(VLOOKUP($KT$9,各项系数!$D$1:$F$143,3,0))*10^-3*10^2*各项系数!$J$4</f>
        <v>0.787129886571761</v>
      </c>
      <c r="KU93" s="127">
        <v>1</v>
      </c>
      <c r="KV93" s="95">
        <f t="shared" si="417"/>
        <v>0.787129886571761</v>
      </c>
      <c r="KW93" s="95">
        <f>KV93*(VLOOKUP($KT$9,各项系数!$D$1:$F$143,2,0))</f>
        <v>13.3812080717199</v>
      </c>
      <c r="KX93" s="95">
        <f>各项系数!$F$76/4*($NH93^2-$NE93^2)*10^-2*(VLOOKUP($KX$9,各项系数!$D$1:$F$143,3,0))*10^-3*10^2*各项系数!$J$4</f>
        <v>0.785026791352113</v>
      </c>
      <c r="KY93" s="481">
        <v>1</v>
      </c>
      <c r="KZ93" s="95">
        <f t="shared" si="418"/>
        <v>0.785026791352113</v>
      </c>
      <c r="LA93" s="95">
        <f>KZ93*(VLOOKUP($KX$9,各项系数!$D$1:$F$143,2,0))</f>
        <v>13.3454554529859</v>
      </c>
      <c r="LB93" s="95">
        <f>各项系数!$F$76/4*($NI93^2-$NF93^2)*10^-2*(VLOOKUP($LB$9,各项系数!$D$1:$F$143,3,0))*10^-3*10^2*各项系数!$J$4</f>
        <v>0.787129886571761</v>
      </c>
      <c r="LC93" s="481">
        <v>1</v>
      </c>
      <c r="LD93" s="95">
        <f t="shared" si="419"/>
        <v>0.787129886571761</v>
      </c>
      <c r="LE93" s="95">
        <f>LD93*(VLOOKUP($LB$9,各项系数!$D$1:$F$143,2,0))</f>
        <v>13.3812080717199</v>
      </c>
      <c r="LF93" s="304">
        <f>各项系数!$F$76/4*($NH93^2-$NE93^2)*10^-2*(VLOOKUP(AN93,各项系数!$D$1:$F$143,3,0))*10^-3*10^2*各项系数!$J$4</f>
        <v>0.7958547470949</v>
      </c>
      <c r="LG93" s="127">
        <v>1</v>
      </c>
      <c r="LH93" s="95">
        <f t="shared" si="480"/>
        <v>0.7958547470949</v>
      </c>
      <c r="LI93" s="95">
        <f>LH93*(VLOOKUP(AN93,各项系数!$D$1:$F$143,2,0))</f>
        <v>7.958547470949</v>
      </c>
      <c r="LJ93" s="304">
        <f>各项系数!$F$76/4*($NI93^2-$NF93^2)*10^-2*(VLOOKUP(AN93,各项系数!$D$1:$F$143,3,0))*10^-3*10^2*各项系数!$J$4</f>
        <v>0.797986850524475</v>
      </c>
      <c r="LK93" s="127">
        <v>1</v>
      </c>
      <c r="LL93" s="95">
        <f t="shared" si="481"/>
        <v>0.797986850524475</v>
      </c>
      <c r="LM93" s="95">
        <f>LL93*(VLOOKUP(AN93,各项系数!$D$1:$F$143,2,0))</f>
        <v>7.97986850524475</v>
      </c>
      <c r="LN93" s="95">
        <f>各项系数!$F$76/4*($NH93^2-$NE93^2)*10^-2*(VLOOKUP($LN$9,各项系数!$D$1:$F$143,3,0))*10^-3*10^2*各项系数!$J$4</f>
        <v>0.7958547470949</v>
      </c>
      <c r="LO93" s="481">
        <v>1</v>
      </c>
      <c r="LP93" s="95">
        <f t="shared" si="482"/>
        <v>0.7958547470949</v>
      </c>
      <c r="LQ93" s="95">
        <f>LP93*(VLOOKUP($LN$9,各项系数!$D$1:$F$143,2,0))</f>
        <v>8.7544022180439</v>
      </c>
      <c r="LR93" s="95">
        <f>各项系数!$F$76/4*($NI93^2-$NF93^2)*10^-2*(VLOOKUP($LR$9,各项系数!$D$1:$F$143,3,0))*10^-3*10^2*各项系数!$J$4</f>
        <v>0.797986850524475</v>
      </c>
      <c r="LS93" s="481">
        <v>1</v>
      </c>
      <c r="LT93" s="95">
        <f t="shared" si="483"/>
        <v>0.797986850524475</v>
      </c>
      <c r="LU93" s="95">
        <f>LT93*(VLOOKUP($LR$9,各项系数!$D$1:$F$143,2,0))</f>
        <v>8.77785535576923</v>
      </c>
      <c r="LV93" s="501">
        <f t="shared" si="420"/>
        <v>1155.94133735</v>
      </c>
      <c r="LW93" s="501">
        <f t="shared" si="421"/>
        <v>872.8536629</v>
      </c>
      <c r="LX93" s="501">
        <f t="shared" si="422"/>
        <v>33.3369434767379</v>
      </c>
      <c r="LY93" s="519">
        <f t="shared" si="423"/>
        <v>283.08767445</v>
      </c>
      <c r="LZ93" s="516">
        <f t="shared" si="365"/>
        <v>1</v>
      </c>
      <c r="MA93" s="517">
        <f t="shared" si="366"/>
        <v>1155.94133735</v>
      </c>
      <c r="MB93" s="501">
        <f t="shared" si="424"/>
        <v>17.15686581</v>
      </c>
      <c r="MC93" s="501">
        <f t="shared" si="425"/>
        <v>0</v>
      </c>
      <c r="MD93" s="501">
        <f t="shared" si="426"/>
        <v>0</v>
      </c>
      <c r="ME93" s="501">
        <f t="shared" si="427"/>
        <v>0</v>
      </c>
      <c r="MF93" s="501">
        <f t="shared" si="428"/>
        <v>0</v>
      </c>
      <c r="MG93" s="527">
        <f t="shared" si="429"/>
        <v>1</v>
      </c>
      <c r="MH93" s="517">
        <f t="shared" si="367"/>
        <v>0</v>
      </c>
      <c r="MI93" s="501">
        <f t="shared" si="430"/>
        <v>0</v>
      </c>
      <c r="MJ93" s="95">
        <f t="shared" si="368"/>
        <v>17.15686581</v>
      </c>
      <c r="MK93" s="95">
        <f t="shared" si="431"/>
        <v>17.15686581</v>
      </c>
      <c r="ML93" s="95">
        <f t="shared" si="484"/>
        <v>0</v>
      </c>
      <c r="MM93" s="95">
        <f t="shared" si="369"/>
        <v>0</v>
      </c>
      <c r="MN93" s="95">
        <f t="shared" si="370"/>
        <v>20.35686581</v>
      </c>
      <c r="MO93" s="251">
        <f t="shared" si="432"/>
        <v>0</v>
      </c>
      <c r="MP93" s="95">
        <f t="shared" si="433"/>
        <v>54.96353769</v>
      </c>
      <c r="MQ93" s="95">
        <f t="shared" si="485"/>
        <v>54.96353769</v>
      </c>
      <c r="MR93" s="314">
        <f t="shared" si="434"/>
        <v>54.96353769</v>
      </c>
      <c r="MS93" s="530">
        <f t="shared" si="371"/>
        <v>55.13953769</v>
      </c>
      <c r="MT93" s="532">
        <f t="shared" si="372"/>
        <v>55.29953769</v>
      </c>
      <c r="MU93" s="532">
        <f t="shared" si="373"/>
        <v>56.63953769</v>
      </c>
      <c r="MV93" s="532">
        <f t="shared" si="374"/>
        <v>60.93953769</v>
      </c>
      <c r="MW93" s="532">
        <f t="shared" si="375"/>
        <v>61.09953769</v>
      </c>
      <c r="MX93" s="314">
        <f t="shared" si="376"/>
        <v>17.75686581</v>
      </c>
      <c r="MY93" s="314">
        <f t="shared" si="377"/>
        <v>0</v>
      </c>
      <c r="MZ93" s="95">
        <f t="shared" si="378"/>
        <v>20.95686581</v>
      </c>
      <c r="NA93" s="95">
        <f t="shared" si="379"/>
        <v>0</v>
      </c>
      <c r="NB93" s="95">
        <f t="shared" si="435"/>
        <v>56.58353769</v>
      </c>
      <c r="NC93" s="314">
        <f t="shared" si="486"/>
        <v>56.58353769</v>
      </c>
      <c r="ND93" s="314">
        <f t="shared" si="436"/>
        <v>56.58353769</v>
      </c>
      <c r="NE93" s="537">
        <f t="shared" si="437"/>
        <v>56.82353769</v>
      </c>
      <c r="NF93" s="532">
        <f t="shared" si="380"/>
        <v>56.98353769</v>
      </c>
      <c r="NG93" s="180">
        <f t="shared" si="381"/>
        <v>58.32353769</v>
      </c>
      <c r="NH93" s="314">
        <f t="shared" si="382"/>
        <v>62.62353769</v>
      </c>
      <c r="NI93" s="532">
        <f t="shared" si="383"/>
        <v>62.78353769</v>
      </c>
      <c r="NK93" s="541">
        <f t="shared" si="384"/>
        <v>10.0309711035432</v>
      </c>
      <c r="NL93" s="541">
        <f t="shared" si="385"/>
        <v>529.16288033658</v>
      </c>
      <c r="NM93" s="541">
        <f t="shared" si="386"/>
        <v>10.0309711035432</v>
      </c>
      <c r="NN93" s="541">
        <f t="shared" si="387"/>
        <v>529.936294695079</v>
      </c>
      <c r="NO93" s="541">
        <f t="shared" si="388"/>
        <v>13.2239683241531</v>
      </c>
      <c r="NP93" s="541">
        <f t="shared" si="389"/>
        <v>534.605316089376</v>
      </c>
      <c r="NQ93" s="541">
        <f t="shared" si="390"/>
        <v>13.2239683241531</v>
      </c>
      <c r="NR93" s="541">
        <f t="shared" si="391"/>
        <v>535.401170836471</v>
      </c>
      <c r="NS93" s="541">
        <f t="shared" si="392"/>
        <v>10.1081035907968</v>
      </c>
      <c r="NT93" s="541">
        <f t="shared" si="393"/>
        <v>10.1081035907968</v>
      </c>
      <c r="NU93" s="541">
        <f t="shared" si="394"/>
        <v>13.303453078629</v>
      </c>
      <c r="NV93" s="541">
        <f t="shared" si="395"/>
        <v>13.303453078629</v>
      </c>
      <c r="NW93" s="11">
        <f t="shared" si="396"/>
        <v>11.0556115310502</v>
      </c>
      <c r="NX93" s="11">
        <f>各项系数!$M$9*NK93</f>
        <v>3.00929133106295</v>
      </c>
      <c r="NY93" s="11">
        <f t="shared" si="397"/>
        <v>10.1081035907968</v>
      </c>
    </row>
    <row r="94" s="11" customFormat="1" customHeight="1" spans="1:389">
      <c r="A94" s="81"/>
      <c r="B94" s="82"/>
      <c r="C94" s="83"/>
      <c r="D94" s="74" t="s">
        <v>925</v>
      </c>
      <c r="E94" s="550">
        <f t="shared" si="325"/>
        <v>69.84260522</v>
      </c>
      <c r="F94" s="84">
        <f>$F$30</f>
        <v>246.701228113631</v>
      </c>
      <c r="G94" s="74"/>
      <c r="H94" s="23"/>
      <c r="I94" s="78"/>
      <c r="J94" s="23"/>
      <c r="K94" s="23"/>
      <c r="L94" s="128" t="s">
        <v>467</v>
      </c>
      <c r="M94" s="119">
        <f t="shared" si="339"/>
        <v>1.7</v>
      </c>
      <c r="N94" s="119">
        <f t="shared" si="340"/>
        <v>0</v>
      </c>
      <c r="O94" s="74">
        <f t="shared" si="488"/>
        <v>0.08</v>
      </c>
      <c r="P94" s="120">
        <v>0.1</v>
      </c>
      <c r="Q94" s="165">
        <f t="shared" ref="Q94:Q103" si="489">$Q$12</f>
        <v>0.1</v>
      </c>
      <c r="R94" s="182">
        <v>0.8</v>
      </c>
      <c r="S94" s="173" t="str">
        <f>各项系数!$D$43</f>
        <v>钢带</v>
      </c>
      <c r="T94" s="78">
        <v>0.5</v>
      </c>
      <c r="U94" s="78">
        <v>2</v>
      </c>
      <c r="V94" s="172"/>
      <c r="W94" s="174">
        <v>3.1</v>
      </c>
      <c r="X94" s="168">
        <f t="shared" ref="X94:X103" si="490">$X$12</f>
        <v>0.2</v>
      </c>
      <c r="Y94" s="221"/>
      <c r="Z94" s="222"/>
      <c r="AA94" s="223">
        <f>$AA$30</f>
        <v>1.015</v>
      </c>
      <c r="AB94" s="186">
        <f>PI()*EJ94*EJ94/4*EH94*(1-H94)*AA94*各项系数!$F$5*各项系数!$J$4*10^-7</f>
        <v>2.05998769246807</v>
      </c>
      <c r="AC94" s="224">
        <f t="shared" si="327"/>
        <v>246.701228113631</v>
      </c>
      <c r="AD94" s="186">
        <f t="shared" si="341"/>
        <v>232.884070800354</v>
      </c>
      <c r="AE94" s="186">
        <f>POWER(4*EU94/PI()/EG94/10^-7/EH94/(1-H94)/各项系数!$F$5/各项系数!$J$4,0.5)</f>
        <v>248.544600408187</v>
      </c>
      <c r="AF94" s="225">
        <v>1</v>
      </c>
      <c r="AG94" s="23">
        <f>IF(EM94=0,0,PI()*ER94*ER94/4*EP94*(1-K94)*(1+AF94)*各项系数!$F$5*各项系数!$J$4*10^-7)</f>
        <v>0</v>
      </c>
      <c r="AH94" s="23">
        <f t="shared" si="328"/>
        <v>0</v>
      </c>
      <c r="AI94" s="85">
        <f t="shared" si="398"/>
        <v>0</v>
      </c>
      <c r="AJ94" s="85">
        <f>IF(OR(EP94="",EP94=0),0,POWER(4*EW94/PI()/EO94/10^-7/EP94/(1-K94)/各项系数!$F$5/各项系数!$J$4,0.5))</f>
        <v>0</v>
      </c>
      <c r="AK94" s="23" t="str">
        <f t="shared" si="342"/>
        <v>√</v>
      </c>
      <c r="AL94" s="23">
        <f t="shared" si="329"/>
        <v>715.974461380975</v>
      </c>
      <c r="AM94" s="127">
        <f t="shared" si="330"/>
        <v>240</v>
      </c>
      <c r="AN94" s="128" t="s">
        <v>486</v>
      </c>
      <c r="AO94" s="176">
        <f>AP94+各项系数!$M$9*$NK94</f>
        <v>701.935746451937</v>
      </c>
      <c r="AP94" s="176">
        <f>AQ94*(1+$BI94+(VLOOKUP($AM94,$A$12:$B$323,2,0))+各项系数!$J$6+各项系数!$M$5)*(1+$E$2)</f>
        <v>698.008185871731</v>
      </c>
      <c r="AQ94" s="262">
        <f>AR94+各项系数!$L$9*$NK94</f>
        <v>712.253250889521</v>
      </c>
      <c r="AR94" s="262">
        <f>AS94*(1+$BJ94+各项系数!$J$5+各项系数!$L$5)</f>
        <v>708.325690309315</v>
      </c>
      <c r="AS94" s="262">
        <f t="shared" si="399"/>
        <v>694.436951283642</v>
      </c>
      <c r="AT94" s="176">
        <f>AU94+各项系数!$M$9*$NM94</f>
        <v>708.368355100562</v>
      </c>
      <c r="AU94" s="176">
        <f>AV94*(1+$BI94+(VLOOKUP($AM94,$A$12:$B$323,2,0))+各项系数!$J$6+各项系数!$M$5)*(1+$E$2)</f>
        <v>704.440794520357</v>
      </c>
      <c r="AV94" s="262">
        <f>AW94+各项系数!$L$9*$NM94</f>
        <v>718.81713726567</v>
      </c>
      <c r="AW94" s="262">
        <f>AX94*(1+$BJ94+各项系数!$J$5+各项系数!$L$5)</f>
        <v>714.889576685464</v>
      </c>
      <c r="AX94" s="262">
        <f t="shared" si="400"/>
        <v>700.872134005357</v>
      </c>
      <c r="AY94" s="176">
        <f>AZ94+各项系数!$M$9*$NS94</f>
        <v>708.017162576171</v>
      </c>
      <c r="AZ94" s="176">
        <f>BA94*(1+$BI94+(VLOOKUP($AM94,$A$12:$B$214,2,0))+各项系数!$J$6+各项系数!$M$5)*(1+$E$2)</f>
        <v>704.062899039509</v>
      </c>
      <c r="BA94" s="262">
        <f>BB94+各项系数!$L$9*$NS94</f>
        <v>718.431529632152</v>
      </c>
      <c r="BB94" s="262">
        <f>BC94*(1+$BJ94+各项系数!$J$5+各项系数!$L$5)</f>
        <v>714.47726609549</v>
      </c>
      <c r="BC94" s="262">
        <f t="shared" si="401"/>
        <v>700.467907936755</v>
      </c>
      <c r="BD94" s="176">
        <f>BE94+各项系数!$M$9*$NS94</f>
        <v>714.465191920174</v>
      </c>
      <c r="BE94" s="176">
        <f>BF94*(1+$BI94+(VLOOKUP($AM94,$A$12:$B$214,2,0))+各项系数!$J$6+各项系数!$M$5)*(1+$E$2)</f>
        <v>710.510928383512</v>
      </c>
      <c r="BF94" s="262">
        <f>BG94+各项系数!$L$9*$NS94</f>
        <v>725.011151411747</v>
      </c>
      <c r="BG94" s="262">
        <f>BH94*(1+$BJ94+各项系数!$J$5+各项系数!$L$5)</f>
        <v>721.056887875085</v>
      </c>
      <c r="BH94" s="262">
        <f t="shared" si="402"/>
        <v>706.918517524593</v>
      </c>
      <c r="BI94" s="278"/>
      <c r="BJ94" s="279"/>
      <c r="BK94" s="95" t="s">
        <v>514</v>
      </c>
      <c r="BL94" s="176">
        <f>BM94+各项系数!$M$9*$NM94</f>
        <v>709.700890881629</v>
      </c>
      <c r="BM94" s="176">
        <f>BN94*(1+$CF94+(VLOOKUP($AM94,$A$12:$B$323,2,0))+各项系数!$J$6+各项系数!$M$5)*(1+$E$2)</f>
        <v>705.773330301423</v>
      </c>
      <c r="BN94" s="262">
        <f>BO94+各项系数!$L$9*$NM94</f>
        <v>720.176867654513</v>
      </c>
      <c r="BO94" s="262">
        <f>BP94*(1+$CG94+各项系数!$J$5+各项系数!$L$5)</f>
        <v>716.249307074307</v>
      </c>
      <c r="BP94" s="262">
        <f t="shared" si="403"/>
        <v>695.387676771172</v>
      </c>
      <c r="BQ94" s="176">
        <f>BR94+各项系数!$M$9*$NM94</f>
        <v>715.236902013815</v>
      </c>
      <c r="BR94" s="176">
        <f>BS94*(1+$CF94+(VLOOKUP($AM94,$A$12:$B$323,2,0))+各项系数!$J$6+各项系数!$M$5)*(1+$E$2)</f>
        <v>711.309341433609</v>
      </c>
      <c r="BS94" s="262">
        <f>BT94+各项系数!$L$9*$NM94</f>
        <v>725.825858605724</v>
      </c>
      <c r="BT94" s="262">
        <f>BU94*(1+$CG94+各项系数!$J$5+各项系数!$L$5)</f>
        <v>721.898298025518</v>
      </c>
      <c r="BU94" s="262">
        <f t="shared" si="404"/>
        <v>700.872134005357</v>
      </c>
      <c r="BV94" s="176">
        <f>BW94+各项系数!$M$9*$NT94</f>
        <v>711.976630819236</v>
      </c>
      <c r="BW94" s="176">
        <f>BX94*(1+$CF94+(VLOOKUP($AM94,$A$12:$B$214,2,0))+各项系数!$J$6+各项系数!$M$5)*(1+$E$2)</f>
        <v>708.022367282574</v>
      </c>
      <c r="BX94" s="262">
        <f>BY94+各项系数!$L$9*$NT$12</f>
        <v>722.471803349565</v>
      </c>
      <c r="BY94" s="262">
        <f>BZ94*(1+$CG94+各项系数!$J$5+各项系数!$L$5)</f>
        <v>722.46353994641</v>
      </c>
      <c r="BZ94" s="262">
        <f t="shared" si="343"/>
        <v>701.42091256933</v>
      </c>
      <c r="CA94" s="176">
        <f>CB94+各项系数!$M$9*$NT94</f>
        <v>717.525913261078</v>
      </c>
      <c r="CB94" s="176">
        <f>CC94*(1+$CF94+(VLOOKUP($AM94,$A$12:$B$214,2,0))+各项系数!$J$6+各项系数!$M$5)*(1+$E$2)</f>
        <v>713.571649724416</v>
      </c>
      <c r="CC94" s="262">
        <f>CD94+各项系数!$L$9*$NT$12</f>
        <v>728.134336453486</v>
      </c>
      <c r="CD94" s="262">
        <f>CE94*(1+$CG94+各项系数!$J$5+各项系数!$L$5)</f>
        <v>728.126073050331</v>
      </c>
      <c r="CE94" s="262">
        <f t="shared" si="405"/>
        <v>706.918517524593</v>
      </c>
      <c r="CF94" s="278">
        <f t="shared" si="406"/>
        <v>0</v>
      </c>
      <c r="CG94" s="278">
        <f t="shared" si="344"/>
        <v>0.01</v>
      </c>
      <c r="CH94" s="127"/>
      <c r="CI94" s="176">
        <f>CJ94+各项系数!$M$9*$NO94</f>
        <v>714.958576372828</v>
      </c>
      <c r="CJ94" s="176">
        <f>CK94*(1+$DC94+(VLOOKUP($AM94,$A$12:$B$323,2,0))+各项系数!$J$6+各项系数!$M$5)*(1+$E$2)+各项系数!$M$9*$NK94</f>
        <v>709.774568342487</v>
      </c>
      <c r="CK94" s="262">
        <f>CL94+各项系数!$L$9*$NO94</f>
        <v>720.252048737022</v>
      </c>
      <c r="CL94" s="262">
        <f>CM94*(1+$DD94+各项系数!$J$5+各项系数!$L$5)</f>
        <v>715.068040706682</v>
      </c>
      <c r="CM94" s="262">
        <f t="shared" si="345"/>
        <v>701.047098732041</v>
      </c>
      <c r="CN94" s="176">
        <f>CO94+各项系数!$M$9*$NO94</f>
        <v>721.151400957431</v>
      </c>
      <c r="CO94" s="176">
        <f>CP94*(1+$DC94+(VLOOKUP($AM94,$A$12:$B$323,2,0))+各项系数!$J$6+各项系数!$M$5)*(1+$E$2)+各项系数!$M$9*$NK94</f>
        <v>715.967392927091</v>
      </c>
      <c r="CP94" s="262">
        <f>CQ94+各项系数!$L$9*$NO94</f>
        <v>726.571257496821</v>
      </c>
      <c r="CQ94" s="262">
        <f>CR94*(1+$DD94+各项系数!$J$5+各项系数!$L$5)</f>
        <v>721.387249466481</v>
      </c>
      <c r="CR94" s="262">
        <f t="shared" si="346"/>
        <v>707.242401437726</v>
      </c>
      <c r="CS94" s="176">
        <f>CT94+各项系数!$M$9*$NU94</f>
        <v>717.272543689873</v>
      </c>
      <c r="CT94" s="176">
        <f t="shared" si="347"/>
        <v>712.061127022909</v>
      </c>
      <c r="CU94" s="262">
        <f>CV94+各项系数!$L$9*$NU94</f>
        <v>726.592986758071</v>
      </c>
      <c r="CV94" s="262">
        <f>CW94*(1+$DD94+各项系数!$J$5+各项系数!$L$5)</f>
        <v>721.381570091107</v>
      </c>
      <c r="CW94" s="262">
        <f t="shared" si="348"/>
        <v>707.236833422654</v>
      </c>
      <c r="CX94" s="176">
        <f>CY94+各项系数!$M$9*$NU94</f>
        <v>723.882875852721</v>
      </c>
      <c r="CY94" s="176">
        <f t="shared" si="349"/>
        <v>718.671459185758</v>
      </c>
      <c r="CZ94" s="262">
        <f>DA94+各项系数!$L$9*$NU94</f>
        <v>733.338223658937</v>
      </c>
      <c r="DA94" s="262">
        <f>DB94*(1+$DD94+各项系数!$J$5+各项系数!$L$5)</f>
        <v>728.126806991973</v>
      </c>
      <c r="DB94" s="262">
        <f t="shared" si="350"/>
        <v>713.849810776444</v>
      </c>
      <c r="DC94" s="278">
        <f t="shared" si="407"/>
        <v>0</v>
      </c>
      <c r="DD94" s="278">
        <f t="shared" si="351"/>
        <v>0</v>
      </c>
      <c r="DE94" s="95" t="s">
        <v>498</v>
      </c>
      <c r="DF94" s="95" t="s">
        <v>513</v>
      </c>
      <c r="DG94" s="176">
        <f>DH94+各项系数!$M$9*$NQ94</f>
        <v>722.812713736333</v>
      </c>
      <c r="DH94" s="176">
        <f>DI94*(1+$EA94+(VLOOKUP($AM94,$A$12:$B$323,2,0))+各项系数!$J$6+各项系数!$M$5)*(1+$E$2)+各项系数!$M$9*$NK94</f>
        <v>717.628705705992</v>
      </c>
      <c r="DI94" s="262">
        <f>DJ94+各项系数!$L$9*$NQ94</f>
        <v>728.266474618149</v>
      </c>
      <c r="DJ94" s="262">
        <f>DK94*(1+$EB94+各项系数!$J$5+各项系数!$L$5)</f>
        <v>723.082466587809</v>
      </c>
      <c r="DK94" s="262">
        <f t="shared" si="352"/>
        <v>702.021812221173</v>
      </c>
      <c r="DL94" s="176">
        <f>DM94+各项系数!$M$9*$NQ94</f>
        <v>728.488405402652</v>
      </c>
      <c r="DM94" s="176">
        <f>DN94*(1+$EA94+(VLOOKUP($AM94,$A$12:$B$323,2,0))+各项系数!$J$6+各项系数!$M$5)*(1+$E$2)+各项系数!$M$9*$NK94</f>
        <v>723.304397372312</v>
      </c>
      <c r="DN94" s="262">
        <f>DO94+各项系数!$L$9*$NQ94</f>
        <v>734.057996726639</v>
      </c>
      <c r="DO94" s="262">
        <f>DP94*(1+$EB94+各项系数!$J$5+各项系数!$L$5)</f>
        <v>728.873988696298</v>
      </c>
      <c r="DP94" s="262">
        <f t="shared" si="353"/>
        <v>707.644649219707</v>
      </c>
      <c r="DQ94" s="176">
        <f>DR94+各项系数!$M$9*$NV94</f>
        <v>725.189641022354</v>
      </c>
      <c r="DR94" s="176">
        <f t="shared" si="354"/>
        <v>719.978224355391</v>
      </c>
      <c r="DS94" s="262">
        <f>DT94+各项系数!$L$9*$NV94</f>
        <v>734.671657505501</v>
      </c>
      <c r="DT94" s="262">
        <f>DU94*(1+$EB94+各项系数!$J$5+各项系数!$L$5)</f>
        <v>729.460240838537</v>
      </c>
      <c r="DU94" s="262">
        <f t="shared" si="355"/>
        <v>708.213826056832</v>
      </c>
      <c r="DV94" s="176">
        <f>DW94+各项系数!$M$9*$NV94</f>
        <v>724.136192150232</v>
      </c>
      <c r="DW94" s="176">
        <f t="shared" si="356"/>
        <v>718.924775483269</v>
      </c>
      <c r="DX94" s="262">
        <f>DY94+各项系数!$L$9*$NV94</f>
        <v>733.596709676805</v>
      </c>
      <c r="DY94" s="262">
        <f>DZ94*(1+$EB94+各项系数!$J$5+各项系数!$L$5)</f>
        <v>728.385293009842</v>
      </c>
      <c r="DZ94" s="262">
        <f t="shared" si="357"/>
        <v>707.170187388196</v>
      </c>
      <c r="EA94" s="278">
        <f t="shared" si="439"/>
        <v>0</v>
      </c>
      <c r="EB94" s="278">
        <f t="shared" si="358"/>
        <v>0.01</v>
      </c>
      <c r="EC94" s="302">
        <f t="shared" si="408"/>
        <v>5</v>
      </c>
      <c r="ED94" s="304" t="str">
        <f t="shared" si="442"/>
        <v>5*240</v>
      </c>
      <c r="EE94" s="95">
        <f t="shared" ref="EE94:EE99" si="491">IF($D94="",0,IF(COUNTIF($D94,"*+*")&gt;0,MID($D94,FIND("*",$D94)+1,FIND("+",$D94)-FIND("*",$D94)-1),RIGHT($D94,(LEN($D94)-FIND("*",$D94)))))*1</f>
        <v>240</v>
      </c>
      <c r="EF94" s="95" t="str">
        <f>LOOKUP(EH94,{1,7,10,14,19,24,30,37,48,61},{1,"1+6","2+8","4+10","1+6+12","2+8+14","4+10+16","1+6+12+18","3+9+15+21","1+6+12+18+24"})</f>
        <v>3+9+15+21</v>
      </c>
      <c r="EG94" s="127">
        <f t="shared" si="359"/>
        <v>5</v>
      </c>
      <c r="EH94" s="262">
        <f>VLOOKUP(EE94,各项系数!$B$87:$C$124,2,0)</f>
        <v>48</v>
      </c>
      <c r="EI94" s="127">
        <f>IF(EH94=0,0,VLOOKUP(EH94,各项系数!$D$142:$E$195,2,0))*1</f>
        <v>8.15</v>
      </c>
      <c r="EJ94" s="307">
        <f t="shared" si="409"/>
        <v>246.701228113631</v>
      </c>
      <c r="EK94" s="95">
        <f t="shared" si="332"/>
        <v>0</v>
      </c>
      <c r="EL94" s="95">
        <f t="shared" si="360"/>
        <v>0</v>
      </c>
      <c r="EM94" s="95">
        <f t="shared" si="443"/>
        <v>0</v>
      </c>
      <c r="EN94" s="95">
        <f>IF(EP94=0,0,LOOKUP(EP94,{1,7,10,14,19,24,30,37,48,61},{1,"1+6","2+8","4+10","1+6+12","2+8+14","4+10+16","1+6+12+18","3+9+15+21","1+6+12+18+24"}))</f>
        <v>0</v>
      </c>
      <c r="EO94" s="95">
        <f t="shared" si="334"/>
        <v>0</v>
      </c>
      <c r="EP94" s="95">
        <f>IF(EM94=0,0,IF(EM94&lt;10,1,IF(AND(EM94&gt;=10,EM94&lt;=35),7,LOOKUP(EM94,{50,70,95,120,150,185,240,300},{10,14,19,24,30,37,48,61})*1)))</f>
        <v>0</v>
      </c>
      <c r="EQ94" s="95">
        <f>IF(EP94=0,0,VLOOKUP(EP94,各项系数!$D$142:$E$195,2,0))*1</f>
        <v>0</v>
      </c>
      <c r="ER94" s="95">
        <f t="shared" si="335"/>
        <v>0</v>
      </c>
      <c r="ES94" s="304">
        <f t="shared" si="444"/>
        <v>5</v>
      </c>
      <c r="ET94" s="95">
        <f>VLOOKUP(ES94,各项系数!$D$142:$E$195,2,0)*1</f>
        <v>2.7</v>
      </c>
      <c r="EU94" s="311">
        <f>((各项系数!$F$76/4*$EJ94^2*$EG94*$EH94*1*10^-7)*(1-$H94)*AA94)*(VLOOKUP($EY$9,各项系数!$D$4:$F$143,3,0))*各项系数!$J$4</f>
        <v>10.2999384623403</v>
      </c>
      <c r="EV94" s="312">
        <f>EU94*(VLOOKUP($EY$9,各项系数!$D$4:$F$143,2,0))</f>
        <v>674.645969283292</v>
      </c>
      <c r="EW94" s="324">
        <f>(IF($EO94=0,0,(各项系数!$F$76/4*$ER94^2*$EO94*$EP94*1*10^-7))*(1-$K94)*$AF94)*(VLOOKUP($EY$9,各项系数!$D$4:$F$143,3,0))*各项系数!$J$4</f>
        <v>0</v>
      </c>
      <c r="EX94" s="325">
        <f>EW94*(VLOOKUP($EY$9,各项系数!$D$4:$F$143,2,0))</f>
        <v>0</v>
      </c>
      <c r="EY94" s="251">
        <f>((各项系数!$F$76/4*$EJ94^2*$EG94*$EH94*1*10^-7)*(1-$H94)*AA94+IF($EO94=0,0,(各项系数!$F$76/4*$ER94^2*$EO94*$EP94*1*10^-7))*(1-$K94)*$AF94)*(VLOOKUP($EY$9,各项系数!$D$4:$F$143,3,0))*各项系数!$J$4</f>
        <v>10.2999384623403</v>
      </c>
      <c r="EZ94" s="127">
        <v>1</v>
      </c>
      <c r="FA94" s="95">
        <f t="shared" si="445"/>
        <v>10.2999384623403</v>
      </c>
      <c r="FB94" s="314">
        <f>FA94*(VLOOKUP($EY$9,各项系数!$D$4:$F$143,2,0))</f>
        <v>674.645969283292</v>
      </c>
      <c r="FC94" s="329"/>
      <c r="FD94" s="304">
        <f>各项系数!$F$76/4*($MN94^2-MK94^2)*10^-2*(VLOOKUP(L94,各项系数!$D$1:$F$143,3,0))*10^-3*10^2*$EG94*各项系数!$J$4</f>
        <v>0.637328824950868</v>
      </c>
      <c r="FE94" s="341">
        <f>FD94*VLOOKUP(L94,各项系数!$D$1:$F$143,2,0)</f>
        <v>6.50075401449886</v>
      </c>
      <c r="FF94" s="127">
        <f>各项系数!$F$76/4*($MO94^2-ML94^2)*10^-2*(VLOOKUP(L94,各项系数!$D$1:$F$143,3,0))*10^-3*10^2*$EO94*各项系数!$J$4</f>
        <v>0</v>
      </c>
      <c r="FG94" s="341">
        <f>FF94*VLOOKUP(L94,各项系数!$D$1:$F$143,2,0)</f>
        <v>0</v>
      </c>
      <c r="FH94" s="304">
        <f t="shared" si="410"/>
        <v>0.637328824950868</v>
      </c>
      <c r="FI94" s="127">
        <v>1</v>
      </c>
      <c r="FJ94" s="95">
        <f t="shared" si="446"/>
        <v>0.637328824950868</v>
      </c>
      <c r="FK94" s="341">
        <f>FJ94*VLOOKUP(L94,各项系数!$D$1:$F$143,2,0)</f>
        <v>6.50075401449886</v>
      </c>
      <c r="FL94" s="304"/>
      <c r="FM94" s="127"/>
      <c r="FN94" s="95"/>
      <c r="FO94" s="341"/>
      <c r="FP94" s="371">
        <f t="shared" si="447"/>
        <v>0.637328824950868</v>
      </c>
      <c r="FQ94" s="371">
        <f t="shared" si="448"/>
        <v>6.50075401449886</v>
      </c>
      <c r="FR94" s="365">
        <f>各项系数!$F$76/4*($MQ94^2-$MN94^2*$EG94-$MO94^2*$EO94)*10^-2</f>
        <v>9.93775700311837</v>
      </c>
      <c r="FS94" s="366">
        <f t="shared" si="411"/>
        <v>1</v>
      </c>
      <c r="FT94" s="367">
        <f t="shared" si="361"/>
        <v>9.93775700311837</v>
      </c>
      <c r="FU94" s="395">
        <f>$FT94*(VLOOKUP($FT$9,各项系数!$D$1:$F$143,3,0))*10^-3*10^2*各项系数!$J$55</f>
        <v>1.18656818617233</v>
      </c>
      <c r="FV94" s="396">
        <v>1</v>
      </c>
      <c r="FW94" s="397">
        <f t="shared" si="449"/>
        <v>1.18656818617233</v>
      </c>
      <c r="FX94" s="372">
        <f>FW94*(VLOOKUP($FT$9,各项系数!$D$1:$F$143,2,0))</f>
        <v>3.559704558517</v>
      </c>
      <c r="FY94" s="395">
        <f>IF($BK94&lt;&gt;$FY$9,0,各项系数!$F$76/4*($MS94^2-$MQ94^2)*10^-2*(VLOOKUP($FY$9,各项系数!$D$1:$F$143,3,0))*10^-3*10^2)*各项系数!$J$4</f>
        <v>0</v>
      </c>
      <c r="FZ94" s="396">
        <v>1</v>
      </c>
      <c r="GA94" s="397">
        <f t="shared" si="450"/>
        <v>0</v>
      </c>
      <c r="GB94" s="372">
        <f>GA94*(VLOOKUP($FY$9,各项系数!$D$1:$F$143,2,0))</f>
        <v>0</v>
      </c>
      <c r="GC94" s="395">
        <f>IF($BK94&lt;&gt;$GC$9,0,各项系数!$F$76/4*($MS94^2-$MQ94^2)*10^-2*(VLOOKUP($GC$9,各项系数!$D$1:$F$143,3,0))*10^-3*10^2)*各项系数!$J$4</f>
        <v>0.0173076396928235</v>
      </c>
      <c r="GD94" s="396">
        <v>1</v>
      </c>
      <c r="GE94" s="397">
        <f t="shared" si="451"/>
        <v>0.0173076396928235</v>
      </c>
      <c r="GF94" s="372">
        <f>GE94*(VLOOKUP($GC$9,各项系数!$D$1:$F$143,2,0))</f>
        <v>0.223268552037423</v>
      </c>
      <c r="GG94" s="395">
        <f>IF($BK94&lt;&gt;$GG$9,0,各项系数!$F$76/4*($MS94^2-$MQ94^2)*10^-2*(VLOOKUP($GG$9,各项系数!$D$1:$F$143,3,0))*10^-3*10^2)*各项系数!$J$4</f>
        <v>0</v>
      </c>
      <c r="GH94" s="396">
        <v>1</v>
      </c>
      <c r="GI94" s="397">
        <f t="shared" si="452"/>
        <v>0</v>
      </c>
      <c r="GJ94" s="372">
        <f>GI94*(VLOOKUP($GG$9,各项系数!$D$1:$F$143,2,0))</f>
        <v>0</v>
      </c>
      <c r="GK94" s="395">
        <f>IF($BK94&lt;&gt;$GK$9,0,各项系数!$F$76/4*($MS94^2-$MQ94^2)*10^-2*(VLOOKUP($GK$9,各项系数!$D$1:$F$143,3,0))*10^-3*10^2)*各项系数!$J$4</f>
        <v>0</v>
      </c>
      <c r="GL94" s="396">
        <v>1</v>
      </c>
      <c r="GM94" s="397">
        <f t="shared" si="453"/>
        <v>0</v>
      </c>
      <c r="GN94" s="372">
        <f>GM94*(VLOOKUP($GK$9,各项系数!$D$1:$F$143,2,0))</f>
        <v>0</v>
      </c>
      <c r="GO94" s="397">
        <f t="shared" si="454"/>
        <v>0.0173076396928235</v>
      </c>
      <c r="GP94" s="397">
        <f t="shared" si="455"/>
        <v>0.223268552037423</v>
      </c>
      <c r="GQ94" s="408">
        <f>各项系数!$F$76/4*($MU94^2-$MS94^2)*10^-2*(VLOOKUP($S94,各项系数!$D$1:$F$143,3,0))*10^-3*10^2*各项系数!$J$4</f>
        <v>1.18052983202116</v>
      </c>
      <c r="GR94" s="396">
        <v>1</v>
      </c>
      <c r="GS94" s="397">
        <f t="shared" si="456"/>
        <v>1.18052983202116</v>
      </c>
      <c r="GT94" s="397">
        <f t="shared" si="457"/>
        <v>0</v>
      </c>
      <c r="GU94" s="397">
        <f>ROUND($GS94*(VLOOKUP($S94,各项系数!$D$1:$F$143,2,0))+$E$3*GS94,GT94)</f>
        <v>7</v>
      </c>
      <c r="GV94" s="406">
        <f>各项系数!$F$76/4*($MT94^2-$MS94^2)*10^-2*(VLOOKUP($GV$9,各项系数!$D$1:$F$143,3,0))*10^-3*10^2*各项系数!$J$4*PI()/4*R94</f>
        <v>0.0890098548541979</v>
      </c>
      <c r="GW94" s="396">
        <v>1</v>
      </c>
      <c r="GX94" s="397">
        <f t="shared" si="458"/>
        <v>0.0890098548541979</v>
      </c>
      <c r="GY94" s="397">
        <f>$GX94*(VLOOKUP($GV$9,各项系数!$D$1:$F$143,2,0))</f>
        <v>6.00816520265836</v>
      </c>
      <c r="GZ94" s="408">
        <f>各项系数!$F$76/4*($MV94^2-$MS94^2)*10^-2*(VLOOKUP($GZ$9,各项系数!$D$1:$F$143,3,0))*10^-3*10^2*各项系数!$J$4</f>
        <v>0.937790446883019</v>
      </c>
      <c r="HA94" s="396">
        <v>1</v>
      </c>
      <c r="HB94" s="397">
        <f t="shared" si="412"/>
        <v>0.937790446883019</v>
      </c>
      <c r="HC94" s="397">
        <f>HB94*(VLOOKUP($GZ$9,各项系数!$D$1:$F$143,2,0))</f>
        <v>15.9424375970113</v>
      </c>
      <c r="HD94" s="408">
        <f>各项系数!$F$76/4*($MW94^2-$MT94^2)*10^-2*(VLOOKUP($HD$9,各项系数!$D$1:$F$143,3,0))*10^-3*10^2*各项系数!$J$4</f>
        <v>0.940038583152299</v>
      </c>
      <c r="HE94" s="396">
        <v>1</v>
      </c>
      <c r="HF94" s="397">
        <f t="shared" si="413"/>
        <v>0.940038583152299</v>
      </c>
      <c r="HG94" s="397">
        <f>HF94*(VLOOKUP($HD$9,各项系数!$D$1:$F$143,2,0))</f>
        <v>15.9806559135891</v>
      </c>
      <c r="HH94" s="408">
        <f>各项系数!$F$76/4*($MV94^2-$MS94^2)*10^-2*(VLOOKUP($HH$9,各项系数!$D$1:$F$143,3,0))*10^-3*10^2*各项系数!$J$4</f>
        <v>0.937790446883019</v>
      </c>
      <c r="HI94" s="397">
        <v>1</v>
      </c>
      <c r="HJ94" s="397">
        <f t="shared" si="414"/>
        <v>0.937790446883019</v>
      </c>
      <c r="HK94" s="397">
        <f>HJ94*(VLOOKUP($HH$9,各项系数!$D$1:$F$143,2,0))</f>
        <v>15.9424375970113</v>
      </c>
      <c r="HL94" s="408">
        <f>各项系数!$F$76/4*($MW94^2-$MT94^2)*10^-2*(VLOOKUP($HL$9,各项系数!$D$1:$F$143,3,0))*10^-3*10^2*各项系数!$J$4</f>
        <v>0.940038583152299</v>
      </c>
      <c r="HM94" s="397">
        <v>1</v>
      </c>
      <c r="HN94" s="397">
        <f t="shared" si="362"/>
        <v>0.940038583152299</v>
      </c>
      <c r="HO94" s="397">
        <f>HN94*(VLOOKUP($HL$9,各项系数!$D$1:$F$143,2,0))</f>
        <v>15.9806559135891</v>
      </c>
      <c r="HP94" s="408">
        <f>各项系数!$F$76/4*($MV94^2-$MS94^2)*10^-2*(VLOOKUP(AN94,各项系数!$D$1:$F$143,3,0))*10^-3*10^2*各项系数!$J$4</f>
        <v>0.950725487529681</v>
      </c>
      <c r="HQ94" s="396">
        <v>1</v>
      </c>
      <c r="HR94" s="397">
        <f t="shared" si="459"/>
        <v>0.950725487529681</v>
      </c>
      <c r="HS94" s="397">
        <f>HR94*(VLOOKUP(AN94,各项系数!$D$1:$F$143,2,0))</f>
        <v>9.50725487529681</v>
      </c>
      <c r="HT94" s="408">
        <f>各项系数!$F$76/4*($MW94^2-$MT94^2)*10^-2*(VLOOKUP(AN94,各项系数!$D$1:$F$143,3,0))*10^-3*10^2*各项系数!$J$4</f>
        <v>0.953004632575089</v>
      </c>
      <c r="HU94" s="396">
        <v>1</v>
      </c>
      <c r="HV94" s="397">
        <f t="shared" si="460"/>
        <v>0.953004632575089</v>
      </c>
      <c r="HW94" s="397">
        <f>HV94*(VLOOKUP(AN94,各项系数!$D$1:$F$143,2,0))</f>
        <v>9.53004632575089</v>
      </c>
      <c r="HX94" s="408">
        <f>各项系数!$F$76/4*($MV94^2-$MS94^2)*10^-2*(VLOOKUP($HX$9,各项系数!$D$1:$F$143,3,0))*10^-3*10^2*各项系数!$J$4</f>
        <v>0.950725487529681</v>
      </c>
      <c r="HY94" s="397">
        <v>1</v>
      </c>
      <c r="HZ94" s="397">
        <f t="shared" si="461"/>
        <v>0.950725487529681</v>
      </c>
      <c r="IA94" s="397">
        <f>HZ94*(VLOOKUP($HX$9,各项系数!$D$1:$F$143,2,0))</f>
        <v>10.4579803628265</v>
      </c>
      <c r="IB94" s="408">
        <f>各项系数!$F$76/4*($MW94^2-$MT94^2)*10^-2*(VLOOKUP($IB$9,各项系数!$D$1:$F$143,3,0))*10^-3*10^2*各项系数!$J$4</f>
        <v>0.953004632575089</v>
      </c>
      <c r="IC94" s="397">
        <v>1</v>
      </c>
      <c r="ID94" s="397">
        <f t="shared" si="462"/>
        <v>0.953004632575089</v>
      </c>
      <c r="IE94" s="397">
        <f>ID94*(VLOOKUP($IB$9,各项系数!$D$1:$F$143,2,0))</f>
        <v>10.483050958326</v>
      </c>
      <c r="IF94" s="395"/>
      <c r="IG94" s="408">
        <f t="shared" si="415"/>
        <v>0.143521362277835</v>
      </c>
      <c r="IH94" s="396">
        <v>1</v>
      </c>
      <c r="II94" s="397">
        <f t="shared" si="463"/>
        <v>0.143521362277835</v>
      </c>
      <c r="IJ94" s="397">
        <f>II94*(VLOOKUP($IG$8,各项系数!$D$1:$F$143,2,0))</f>
        <v>3.58803405694587</v>
      </c>
      <c r="IK94" s="408">
        <f>(各项系数!$F$76/4*($MX94^2-$MK94^2)*$EG94)*10^-2*(VLOOKUP($IG$8,各项系数!$D$1:$F$143,3,0))*10^-3*10^2*各项系数!$J$4</f>
        <v>0.143521362277835</v>
      </c>
      <c r="IL94" s="396">
        <f>IK94*(VLOOKUP($IG$8,各项系数!$D$1:$F$143,2,0))</f>
        <v>3.58803405694587</v>
      </c>
      <c r="IM94" s="397">
        <f>(各项系数!$F$76/4*(($MM94+3*$X94)^2-MM94^2)*$EO94)*10^-2*(VLOOKUP($IG$8,各项系数!$D$1:$F$143,3,0))*10^-3*10^2*各项系数!$J$4</f>
        <v>0</v>
      </c>
      <c r="IN94" s="396">
        <f>IM94*(VLOOKUP($IG$8,各项系数!$D$1:$F$143,2,0))</f>
        <v>0</v>
      </c>
      <c r="IO94" s="408">
        <f>各项系数!$F$76/4*($MZ94^2-$MX94^2)*10^-2*(VLOOKUP(L94,各项系数!$D$1:$F$143,3,0))*10^-3*10^2*$ES94*各项系数!$J$4</f>
        <v>0.654865038063573</v>
      </c>
      <c r="IP94" s="396">
        <v>1</v>
      </c>
      <c r="IQ94" s="397">
        <f t="shared" si="464"/>
        <v>0.654865038063573</v>
      </c>
      <c r="IR94" s="372">
        <f>IQ94*(VLOOKUP(L94,各项系数!$D$1:$F$143,2,0))</f>
        <v>6.67962338824845</v>
      </c>
      <c r="IS94" s="408">
        <f>IF($L94&lt;&gt;$IS$9,0,各项系数!$F$76/4*($MZ94^2-$MX94^2)*10^-2*各项系数!$F$12*10^-3*10^2)*$ES94*各项系数!$J$4</f>
        <v>0</v>
      </c>
      <c r="IT94" s="396">
        <v>1</v>
      </c>
      <c r="IU94" s="397">
        <f t="shared" si="465"/>
        <v>0</v>
      </c>
      <c r="IV94" s="372">
        <f>IU94*各项系数!$E$12</f>
        <v>0</v>
      </c>
      <c r="IW94" s="395">
        <f t="shared" si="466"/>
        <v>0.654865038063573</v>
      </c>
      <c r="IX94" s="395">
        <f t="shared" si="467"/>
        <v>6.67962338824845</v>
      </c>
      <c r="IY94" s="447">
        <f>各项系数!$F$76/4*($NB94^2-$MZ94^2*$EG94-$NA94^2*$EO94)*10^-2</f>
        <v>10.451558987225</v>
      </c>
      <c r="IZ94" s="366">
        <f t="shared" si="487"/>
        <v>1</v>
      </c>
      <c r="JA94" s="367">
        <f t="shared" si="363"/>
        <v>10.451558987225</v>
      </c>
      <c r="JB94" s="371">
        <f>IF($DE94&lt;&gt;$JB$9,0,$JA94*各项系数!$F$32*10^-3*10^2)*各项系数!$J$4</f>
        <v>0</v>
      </c>
      <c r="JC94" s="127">
        <v>1</v>
      </c>
      <c r="JD94" s="95">
        <f t="shared" si="468"/>
        <v>0</v>
      </c>
      <c r="JE94" s="341">
        <f>JD94*各项系数!$E$32</f>
        <v>0</v>
      </c>
      <c r="JF94" s="364">
        <f>IF($DE94&lt;&gt;$JF$9,0,$JA94*VLOOKUP($JF$9,各项系数!$D$4:$F$540,2,0)*10^-3*10^2)*各项系数!$J$4</f>
        <v>5.19965059614445</v>
      </c>
      <c r="JG94" s="123">
        <v>1</v>
      </c>
      <c r="JH94" s="251">
        <f t="shared" si="364"/>
        <v>5.19965059614445</v>
      </c>
      <c r="JI94" s="339">
        <f>JH94*VLOOKUP($JF$9,各项系数!$D$4:$F$540,3,0)</f>
        <v>6.23958071537334</v>
      </c>
      <c r="JJ94" s="371">
        <f t="shared" si="469"/>
        <v>5.19965059614445</v>
      </c>
      <c r="JK94" s="95">
        <f t="shared" si="470"/>
        <v>6.23958071537334</v>
      </c>
      <c r="JL94" s="371">
        <f>IF($DF94&lt;&gt;$JL$9,0,各项系数!$F$76/4*($NE94^2-$NC94^2)*10^-2*各项系数!$F$39*10^-3*10^2)*各项系数!$J$4</f>
        <v>0.00733781984274192</v>
      </c>
      <c r="JM94" s="127">
        <v>1</v>
      </c>
      <c r="JN94" s="95">
        <f t="shared" si="471"/>
        <v>0.00733781984274192</v>
      </c>
      <c r="JO94" s="341">
        <f>JN94*各项系数!$E$39</f>
        <v>0.146756396854838</v>
      </c>
      <c r="JP94" s="371">
        <f>IF($DF94&lt;&gt;$JP$9,0,各项系数!$F$76/4*($NE94^2-$NC94^2)*10^-2*各项系数!$F$36*10^-3*10^2)*各项系数!$J$4</f>
        <v>0</v>
      </c>
      <c r="JQ94" s="127">
        <v>1</v>
      </c>
      <c r="JR94" s="95">
        <f t="shared" si="472"/>
        <v>0</v>
      </c>
      <c r="JS94" s="341">
        <f>JR94*各项系数!$E$36</f>
        <v>0</v>
      </c>
      <c r="JT94" s="371">
        <f>IF($DF94&lt;&gt;$JT$9,0,各项系数!$F$76/4*($NE94^2-$NC94^2)*10^-2*各项系数!$F$40*10^-3*10^2)*各项系数!$J$4</f>
        <v>0</v>
      </c>
      <c r="JU94" s="127">
        <v>1</v>
      </c>
      <c r="JV94" s="95">
        <f t="shared" si="473"/>
        <v>0</v>
      </c>
      <c r="JW94" s="341">
        <f>JV94*各项系数!$E$40</f>
        <v>0</v>
      </c>
      <c r="JX94" s="371">
        <f>IF($DF94&lt;&gt;$JX$9,0,各项系数!$F$76/4*($NE94^2-$NC94^2)*10^-2*各项系数!$F$38*10^-3*10^2)*各项系数!$J$4</f>
        <v>0</v>
      </c>
      <c r="JY94" s="127">
        <v>1</v>
      </c>
      <c r="JZ94" s="95">
        <f t="shared" si="474"/>
        <v>0</v>
      </c>
      <c r="KA94" s="341">
        <f>JZ94*各项系数!$E$38</f>
        <v>0</v>
      </c>
      <c r="KB94" s="371">
        <f>IF($DF94&lt;&gt;$KB$9,0,各项系数!$F$76/4*($NE94^2-$NC94^2)*10^-2*各项系数!$F$41*10^-3*10^2)*各项系数!$J$4</f>
        <v>0</v>
      </c>
      <c r="KC94" s="127">
        <v>1</v>
      </c>
      <c r="KD94" s="95">
        <f t="shared" si="475"/>
        <v>0</v>
      </c>
      <c r="KE94" s="341">
        <f>KD94*各项系数!$E$41</f>
        <v>0</v>
      </c>
      <c r="KF94" s="95">
        <f t="shared" si="476"/>
        <v>0.00733781984274192</v>
      </c>
      <c r="KG94" s="95">
        <f t="shared" si="477"/>
        <v>0.146756396854838</v>
      </c>
      <c r="KH94" s="304">
        <f>各项系数!$F$76/4*($NG94^2-$NE94^2)*10^-2*各项系数!$F$44*10^-3*10^2*各项系数!$J$4*0.75*$U94</f>
        <v>1.81710469846</v>
      </c>
      <c r="KI94" s="127">
        <v>1</v>
      </c>
      <c r="KJ94" s="95">
        <f t="shared" si="478"/>
        <v>1.81710469846</v>
      </c>
      <c r="KK94" s="95">
        <f>ROUND(KJ94*各项系数!$E$43,GT94)</f>
        <v>11</v>
      </c>
      <c r="KL94" s="302">
        <f>各项系数!$F$76/4*($NF94^2-$NE94^2)*10^-2*各项系数!$F$46*10^-3*10^2*各项系数!$J$4*PI()/4*R94</f>
        <v>0.0913621220764359</v>
      </c>
      <c r="KM94" s="127">
        <v>1</v>
      </c>
      <c r="KN94" s="95">
        <f t="shared" si="479"/>
        <v>0.0913621220764359</v>
      </c>
      <c r="KO94" s="95">
        <f>KN94*各项系数!$E$46</f>
        <v>6.16694324015942</v>
      </c>
      <c r="KP94" s="304">
        <f>各项系数!$F$76/4*($NH94^2-$NE94^2)*10^-2*(VLOOKUP($KP$9,各项系数!$D$1:$F$143,3,0))*10^-3*10^2*各项系数!$J$4</f>
        <v>0.961452081117187</v>
      </c>
      <c r="KQ94" s="127">
        <v>1</v>
      </c>
      <c r="KR94" s="95">
        <f t="shared" si="416"/>
        <v>0.961452081117187</v>
      </c>
      <c r="KS94" s="95">
        <f>KR94*(VLOOKUP($KP$9,各项系数!$D$1:$F$143,2,0))</f>
        <v>16.3446853789922</v>
      </c>
      <c r="KT94" s="304">
        <f>各项系数!$F$76/4*($NI94^2-$NF94^2)*10^-2*(VLOOKUP($KT$9,各项系数!$D$1:$F$143,3,0))*10^-3*10^2*各项系数!$J$4</f>
        <v>0.963700217386466</v>
      </c>
      <c r="KU94" s="127">
        <v>1</v>
      </c>
      <c r="KV94" s="95">
        <f t="shared" si="417"/>
        <v>0.963700217386466</v>
      </c>
      <c r="KW94" s="95">
        <f>KV94*(VLOOKUP($KT$9,各项系数!$D$1:$F$143,2,0))</f>
        <v>16.3829036955699</v>
      </c>
      <c r="KX94" s="95">
        <f>各项系数!$F$76/4*($NH94^2-$NE94^2)*10^-2*(VLOOKUP($KX$9,各项系数!$D$1:$F$143,3,0))*10^-3*10^2*各项系数!$J$4</f>
        <v>0.961452081117187</v>
      </c>
      <c r="KY94" s="481">
        <v>1</v>
      </c>
      <c r="KZ94" s="95">
        <f t="shared" si="418"/>
        <v>0.961452081117187</v>
      </c>
      <c r="LA94" s="95">
        <f>KZ94*(VLOOKUP($KX$9,各项系数!$D$1:$F$143,2,0))</f>
        <v>16.3446853789922</v>
      </c>
      <c r="LB94" s="95">
        <f>各项系数!$F$76/4*($NI94^2-$NF94^2)*10^-2*(VLOOKUP($LB$9,各项系数!$D$1:$F$143,3,0))*10^-3*10^2*各项系数!$J$4</f>
        <v>0.963700217386466</v>
      </c>
      <c r="LC94" s="481">
        <v>1</v>
      </c>
      <c r="LD94" s="95">
        <f t="shared" si="419"/>
        <v>0.963700217386466</v>
      </c>
      <c r="LE94" s="95">
        <f>LD94*(VLOOKUP($LB$9,各项系数!$D$1:$F$143,2,0))</f>
        <v>16.3829036955699</v>
      </c>
      <c r="LF94" s="304">
        <f>各项系数!$F$76/4*($NH94^2-$NE94^2)*10^-2*(VLOOKUP(AN94,各项系数!$D$1:$F$143,3,0))*10^-3*10^2*各项系数!$J$4</f>
        <v>0.974713489132596</v>
      </c>
      <c r="LG94" s="127">
        <v>1</v>
      </c>
      <c r="LH94" s="95">
        <f t="shared" si="480"/>
        <v>0.974713489132596</v>
      </c>
      <c r="LI94" s="95">
        <f>LH94*(VLOOKUP(AN94,各项系数!$D$1:$F$143,2,0))</f>
        <v>9.74713489132596</v>
      </c>
      <c r="LJ94" s="304">
        <f>各项系数!$F$76/4*($NI94^2-$NF94^2)*10^-2*(VLOOKUP(AN94,各项系数!$D$1:$F$143,3,0))*10^-3*10^2*各项系数!$J$4</f>
        <v>0.976992634178003</v>
      </c>
      <c r="LK94" s="127">
        <v>1</v>
      </c>
      <c r="LL94" s="95">
        <f t="shared" si="481"/>
        <v>0.976992634178003</v>
      </c>
      <c r="LM94" s="95">
        <f>LL94*(VLOOKUP(AN94,各项系数!$D$1:$F$143,2,0))</f>
        <v>9.76992634178003</v>
      </c>
      <c r="LN94" s="95">
        <f>各项系数!$F$76/4*($NH94^2-$NE94^2)*10^-2*(VLOOKUP($LN$9,各项系数!$D$1:$F$143,3,0))*10^-3*10^2*各项系数!$J$4</f>
        <v>0.974713489132596</v>
      </c>
      <c r="LO94" s="481">
        <v>1</v>
      </c>
      <c r="LP94" s="95">
        <f t="shared" si="482"/>
        <v>0.974713489132596</v>
      </c>
      <c r="LQ94" s="95">
        <f>LP94*(VLOOKUP($LN$9,各项系数!$D$1:$F$143,2,0))</f>
        <v>10.7218483804586</v>
      </c>
      <c r="LR94" s="95">
        <f>各项系数!$F$76/4*($NI94^2-$NF94^2)*10^-2*(VLOOKUP($LR$9,各项系数!$D$1:$F$143,3,0))*10^-3*10^2*各项系数!$J$4</f>
        <v>0.976992634178003</v>
      </c>
      <c r="LS94" s="481">
        <v>1</v>
      </c>
      <c r="LT94" s="95">
        <f t="shared" si="483"/>
        <v>0.976992634178003</v>
      </c>
      <c r="LU94" s="95">
        <f>LT94*(VLOOKUP($LR$9,各项系数!$D$1:$F$143,2,0))</f>
        <v>10.746918975958</v>
      </c>
      <c r="LV94" s="501">
        <f t="shared" si="420"/>
        <v>1587.51459107</v>
      </c>
      <c r="LW94" s="501">
        <f t="shared" si="421"/>
        <v>1147.21217037</v>
      </c>
      <c r="LX94" s="501">
        <f t="shared" si="422"/>
        <v>38.2187899012585</v>
      </c>
      <c r="LY94" s="519">
        <f t="shared" si="423"/>
        <v>440.3024207</v>
      </c>
      <c r="LZ94" s="516">
        <f t="shared" si="365"/>
        <v>1</v>
      </c>
      <c r="MA94" s="517">
        <f t="shared" si="366"/>
        <v>1587.51459107</v>
      </c>
      <c r="MB94" s="501">
        <f t="shared" si="424"/>
        <v>20.10615008</v>
      </c>
      <c r="MC94" s="501">
        <f t="shared" si="425"/>
        <v>0</v>
      </c>
      <c r="MD94" s="501">
        <f t="shared" si="426"/>
        <v>0</v>
      </c>
      <c r="ME94" s="501">
        <f t="shared" si="427"/>
        <v>0</v>
      </c>
      <c r="MF94" s="501">
        <f t="shared" si="428"/>
        <v>0</v>
      </c>
      <c r="MG94" s="527">
        <f t="shared" si="429"/>
        <v>1</v>
      </c>
      <c r="MH94" s="517">
        <f t="shared" si="367"/>
        <v>0</v>
      </c>
      <c r="MI94" s="501">
        <f t="shared" si="430"/>
        <v>0</v>
      </c>
      <c r="MJ94" s="95">
        <f t="shared" si="368"/>
        <v>20.10615008</v>
      </c>
      <c r="MK94" s="95">
        <f t="shared" si="431"/>
        <v>20.10615008</v>
      </c>
      <c r="ML94" s="95">
        <f t="shared" si="484"/>
        <v>0</v>
      </c>
      <c r="MM94" s="95">
        <f t="shared" si="369"/>
        <v>0</v>
      </c>
      <c r="MN94" s="95">
        <f t="shared" si="370"/>
        <v>23.50615008</v>
      </c>
      <c r="MO94" s="251">
        <f t="shared" si="432"/>
        <v>0</v>
      </c>
      <c r="MP94" s="95">
        <f t="shared" si="433"/>
        <v>63.46660522</v>
      </c>
      <c r="MQ94" s="95">
        <f t="shared" si="485"/>
        <v>63.46660522</v>
      </c>
      <c r="MR94" s="314">
        <f t="shared" si="434"/>
        <v>63.46660522</v>
      </c>
      <c r="MS94" s="530">
        <f t="shared" si="371"/>
        <v>63.64260522</v>
      </c>
      <c r="MT94" s="532">
        <f t="shared" si="372"/>
        <v>63.80260522</v>
      </c>
      <c r="MU94" s="532">
        <f t="shared" si="373"/>
        <v>65.14260522</v>
      </c>
      <c r="MV94" s="532">
        <f t="shared" si="374"/>
        <v>69.84260522</v>
      </c>
      <c r="MW94" s="532">
        <f t="shared" si="375"/>
        <v>70.00260522</v>
      </c>
      <c r="MX94" s="314">
        <f t="shared" si="376"/>
        <v>20.70615008</v>
      </c>
      <c r="MY94" s="314">
        <f t="shared" si="377"/>
        <v>0</v>
      </c>
      <c r="MZ94" s="95">
        <f t="shared" si="378"/>
        <v>24.10615008</v>
      </c>
      <c r="NA94" s="95">
        <f t="shared" si="379"/>
        <v>0</v>
      </c>
      <c r="NB94" s="95">
        <f t="shared" si="435"/>
        <v>65.08660522</v>
      </c>
      <c r="NC94" s="314">
        <f t="shared" si="486"/>
        <v>65.08660522</v>
      </c>
      <c r="ND94" s="314">
        <f t="shared" si="436"/>
        <v>65.08660522</v>
      </c>
      <c r="NE94" s="537">
        <f t="shared" si="437"/>
        <v>65.32660522</v>
      </c>
      <c r="NF94" s="532">
        <f t="shared" si="380"/>
        <v>65.48660522</v>
      </c>
      <c r="NG94" s="180">
        <f t="shared" si="381"/>
        <v>66.82660522</v>
      </c>
      <c r="NH94" s="314">
        <f t="shared" si="382"/>
        <v>71.52660522</v>
      </c>
      <c r="NI94" s="532">
        <f t="shared" si="383"/>
        <v>71.68660522</v>
      </c>
      <c r="NK94" s="541">
        <f t="shared" si="384"/>
        <v>13.091868600686</v>
      </c>
      <c r="NL94" s="541">
        <f t="shared" si="385"/>
        <v>694.436951283642</v>
      </c>
      <c r="NM94" s="541">
        <f t="shared" si="386"/>
        <v>13.091868600686</v>
      </c>
      <c r="NN94" s="541">
        <f t="shared" si="387"/>
        <v>695.387676771172</v>
      </c>
      <c r="NO94" s="541">
        <f t="shared" si="388"/>
        <v>17.2800267678015</v>
      </c>
      <c r="NP94" s="541">
        <f t="shared" si="389"/>
        <v>701.047098732041</v>
      </c>
      <c r="NQ94" s="541">
        <f t="shared" si="390"/>
        <v>17.2800267678015</v>
      </c>
      <c r="NR94" s="541">
        <f t="shared" si="391"/>
        <v>702.021812221173</v>
      </c>
      <c r="NS94" s="541">
        <f t="shared" si="392"/>
        <v>13.1808784555402</v>
      </c>
      <c r="NT94" s="541">
        <f t="shared" si="393"/>
        <v>13.1808784555402</v>
      </c>
      <c r="NU94" s="541">
        <f t="shared" si="394"/>
        <v>17.371388889878</v>
      </c>
      <c r="NV94" s="541">
        <f t="shared" si="395"/>
        <v>17.371388889878</v>
      </c>
      <c r="NW94" s="11">
        <f t="shared" si="396"/>
        <v>14.2723984327072</v>
      </c>
      <c r="NX94" s="11">
        <f>各项系数!$M$9*NK94</f>
        <v>3.92756058020581</v>
      </c>
      <c r="NY94" s="11">
        <f t="shared" si="397"/>
        <v>13.1808784555402</v>
      </c>
    </row>
    <row r="95" s="11" customFormat="1" customHeight="1" spans="1:389">
      <c r="A95" s="81"/>
      <c r="B95" s="82"/>
      <c r="C95" s="83"/>
      <c r="D95" s="74" t="s">
        <v>926</v>
      </c>
      <c r="E95" s="550">
        <f t="shared" si="325"/>
        <v>76.25970753</v>
      </c>
      <c r="F95" s="84">
        <f>$F$31</f>
        <v>245.118138379664</v>
      </c>
      <c r="G95" s="74"/>
      <c r="H95" s="23"/>
      <c r="I95" s="78"/>
      <c r="J95" s="23"/>
      <c r="K95" s="23"/>
      <c r="L95" s="128" t="s">
        <v>467</v>
      </c>
      <c r="M95" s="119">
        <f t="shared" si="339"/>
        <v>1.8</v>
      </c>
      <c r="N95" s="119">
        <f t="shared" si="340"/>
        <v>0</v>
      </c>
      <c r="O95" s="74">
        <f t="shared" si="488"/>
        <v>0.08</v>
      </c>
      <c r="P95" s="120">
        <v>0.1</v>
      </c>
      <c r="Q95" s="165">
        <f t="shared" si="489"/>
        <v>0.1</v>
      </c>
      <c r="R95" s="182">
        <v>0.8</v>
      </c>
      <c r="S95" s="173" t="str">
        <f>各项系数!$D$43</f>
        <v>钢带</v>
      </c>
      <c r="T95" s="78">
        <v>0.5</v>
      </c>
      <c r="U95" s="78">
        <v>2</v>
      </c>
      <c r="V95" s="172"/>
      <c r="W95" s="174">
        <v>3.4</v>
      </c>
      <c r="X95" s="168">
        <f t="shared" si="490"/>
        <v>0.2</v>
      </c>
      <c r="Y95" s="221"/>
      <c r="Z95" s="222"/>
      <c r="AA95" s="223">
        <f>$AA$31</f>
        <v>1.02</v>
      </c>
      <c r="AB95" s="186">
        <f>PI()*EJ95*EJ95/4*EH95*(1-H95)*AA95*各项系数!$F$5*各项系数!$J$4*10^-7</f>
        <v>2.59714160229395</v>
      </c>
      <c r="AC95" s="224">
        <f t="shared" si="327"/>
        <v>245.118138379664</v>
      </c>
      <c r="AD95" s="186">
        <f t="shared" si="341"/>
        <v>293.609962330657</v>
      </c>
      <c r="AE95" s="186">
        <f>POWER(4*EU95/PI()/EG95/10^-7/EH95/(1-H95)/各项系数!$F$5/各项系数!$J$4,0.5)</f>
        <v>247.557184904753</v>
      </c>
      <c r="AF95" s="225">
        <v>1</v>
      </c>
      <c r="AG95" s="23">
        <f>IF(EM95=0,0,PI()*ER95*ER95/4*EP95*(1-K95)*(1+AF95)*各项系数!$F$5*各项系数!$J$4*10^-7)</f>
        <v>0</v>
      </c>
      <c r="AH95" s="23">
        <f t="shared" si="328"/>
        <v>0</v>
      </c>
      <c r="AI95" s="85">
        <f t="shared" si="398"/>
        <v>0</v>
      </c>
      <c r="AJ95" s="85">
        <f>IF(OR(EP95="",EP95=0),0,POWER(4*EW95/PI()/EO95/10^-7/EP95/(1-K95)/各项系数!$F$5/各项系数!$J$4,0.5))</f>
        <v>0</v>
      </c>
      <c r="AK95" s="23" t="str">
        <f t="shared" si="342"/>
        <v>√</v>
      </c>
      <c r="AL95" s="23">
        <f t="shared" si="329"/>
        <v>900.960109008632</v>
      </c>
      <c r="AM95" s="127">
        <f t="shared" si="330"/>
        <v>300</v>
      </c>
      <c r="AN95" s="128" t="s">
        <v>486</v>
      </c>
      <c r="AO95" s="176">
        <f>AP95+各项系数!$M$9*$NK95</f>
        <v>883.294224518266</v>
      </c>
      <c r="AP95" s="176">
        <f>AQ95*(1+$BI95+(VLOOKUP($AM95,$A$12:$B$323,2,0))+各项系数!$J$6+各项系数!$M$5)*(1+$E$2)</f>
        <v>878.405620827717</v>
      </c>
      <c r="AQ95" s="262">
        <f>AR95+各项系数!$L$9*$NK95</f>
        <v>896.332266150731</v>
      </c>
      <c r="AR95" s="262">
        <f>AS95*(1+$BJ95+各项系数!$J$5+各项系数!$L$5)</f>
        <v>891.443662460182</v>
      </c>
      <c r="AS95" s="262">
        <f t="shared" si="399"/>
        <v>873.964374960963</v>
      </c>
      <c r="AT95" s="176">
        <f>AU95+各项系数!$M$9*$NM95</f>
        <v>890.99596042012</v>
      </c>
      <c r="AU95" s="176">
        <f>AV95*(1+$BI95+(VLOOKUP($AM95,$A$12:$B$323,2,0))+各项系数!$J$6+各项系数!$M$5)*(1+$E$2)</f>
        <v>886.107356729571</v>
      </c>
      <c r="AV95" s="262">
        <f>AW95+各项系数!$L$9*$NM95</f>
        <v>904.191180336297</v>
      </c>
      <c r="AW95" s="262">
        <f>AX95*(1+$BJ95+各项系数!$J$5+各项系数!$L$5)</f>
        <v>899.302576645747</v>
      </c>
      <c r="AX95" s="262">
        <f t="shared" si="400"/>
        <v>881.669192789948</v>
      </c>
      <c r="AY95" s="176">
        <f>AZ95+各项系数!$M$9*$NS95</f>
        <v>889.93092529225</v>
      </c>
      <c r="AZ95" s="176">
        <f>BA95*(1+$BI95+(VLOOKUP($AM95,$A$12:$B$214,2,0))+各项系数!$J$6+各项系数!$M$5)*(1+$E$2)</f>
        <v>885.013180988636</v>
      </c>
      <c r="BA95" s="262">
        <f>BB95+各项系数!$L$9*$NS95</f>
        <v>903.0746744782</v>
      </c>
      <c r="BB95" s="262">
        <f>BC95*(1+$BJ95+各项系数!$J$5+各项系数!$L$5)</f>
        <v>898.156930174586</v>
      </c>
      <c r="BC95" s="262">
        <f t="shared" si="401"/>
        <v>880.546009975084</v>
      </c>
      <c r="BD95" s="176">
        <f>BE95+各项系数!$M$9*$NS95</f>
        <v>897.64957421484</v>
      </c>
      <c r="BE95" s="176">
        <f>BF95*(1+$BI95+(VLOOKUP($AM95,$A$12:$B$214,2,0))+各项系数!$J$6+各项系数!$M$5)*(1+$E$2)</f>
        <v>892.731829911226</v>
      </c>
      <c r="BF95" s="262">
        <f>BG95+各项系数!$L$9*$NS95</f>
        <v>910.95084684819</v>
      </c>
      <c r="BG95" s="262">
        <f>BH95*(1+$BJ95+各项系数!$J$5+各项系数!$L$5)</f>
        <v>906.033102544576</v>
      </c>
      <c r="BH95" s="262">
        <f t="shared" si="402"/>
        <v>888.267747592722</v>
      </c>
      <c r="BI95" s="278"/>
      <c r="BJ95" s="279"/>
      <c r="BK95" s="95" t="s">
        <v>514</v>
      </c>
      <c r="BL95" s="176">
        <f>BM95+各项系数!$M$9*$NM95</f>
        <v>893.008075129705</v>
      </c>
      <c r="BM95" s="176">
        <f>BN95*(1+$CF95+(VLOOKUP($AM95,$A$12:$B$323,2,0))+各项系数!$J$6+各项系数!$M$5)*(1+$E$2)</f>
        <v>888.119471439155</v>
      </c>
      <c r="BN95" s="262">
        <f>BO95+各项系数!$L$9*$NM95</f>
        <v>906.244358611383</v>
      </c>
      <c r="BO95" s="262">
        <f>BP95*(1+$CG95+各项系数!$J$5+各项系数!$L$5)</f>
        <v>901.355754920833</v>
      </c>
      <c r="BP95" s="262">
        <f t="shared" si="403"/>
        <v>875.102674680421</v>
      </c>
      <c r="BQ95" s="176">
        <f>BR95+各项系数!$M$9*$NM95</f>
        <v>899.636318509462</v>
      </c>
      <c r="BR95" s="176">
        <f>BS95*(1+$CF95+(VLOOKUP($AM95,$A$12:$B$323,2,0))+各项系数!$J$6+各项系数!$M$5)*(1+$E$2)</f>
        <v>894.747714818912</v>
      </c>
      <c r="BS95" s="262">
        <f>BT95+各项系数!$L$9*$NM95</f>
        <v>913.007872264196</v>
      </c>
      <c r="BT95" s="262">
        <f>BU95*(1+$CG95+各项系数!$J$5+各项系数!$L$5)</f>
        <v>908.119268573646</v>
      </c>
      <c r="BU95" s="262">
        <f t="shared" si="404"/>
        <v>881.669192789948</v>
      </c>
      <c r="BV95" s="176">
        <f>BW95+各项系数!$M$9*$NT95</f>
        <v>894.900507849096</v>
      </c>
      <c r="BW95" s="176">
        <f>BX95*(1+$CF95+(VLOOKUP($AM95,$A$12:$B$214,2,0))+各项系数!$J$6+各项系数!$M$5)*(1+$E$2)</f>
        <v>889.982763545483</v>
      </c>
      <c r="BX95" s="262">
        <f>BY95+各项系数!$L$9*$NT$12</f>
        <v>908.145677087227</v>
      </c>
      <c r="BY95" s="262">
        <f>BZ95*(1+$CG95+各项系数!$J$5+各项系数!$L$5)</f>
        <v>908.137413684072</v>
      </c>
      <c r="BZ95" s="262">
        <f t="shared" si="343"/>
        <v>881.686809402012</v>
      </c>
      <c r="CA95" s="176">
        <f>CB95+各项系数!$M$9*$NT95</f>
        <v>901.543306858799</v>
      </c>
      <c r="CB95" s="176">
        <f>CC95*(1+$CF95+(VLOOKUP($AM95,$A$12:$B$214,2,0))+各项系数!$J$6+各项系数!$M$5)*(1+$E$2)</f>
        <v>896.625562555185</v>
      </c>
      <c r="CC95" s="262">
        <f>CD95+各项系数!$L$9*$NT$12</f>
        <v>914.924043423658</v>
      </c>
      <c r="CD95" s="262">
        <f>CE95*(1+$CG95+各项系数!$J$5+各项系数!$L$5)</f>
        <v>914.915780020503</v>
      </c>
      <c r="CE95" s="262">
        <f t="shared" si="405"/>
        <v>888.267747592722</v>
      </c>
      <c r="CF95" s="278">
        <f t="shared" si="406"/>
        <v>0</v>
      </c>
      <c r="CG95" s="278">
        <f t="shared" si="344"/>
        <v>0.01</v>
      </c>
      <c r="CH95" s="127"/>
      <c r="CI95" s="176">
        <f>CJ95+各项系数!$M$9*$NO95</f>
        <v>898.581766339753</v>
      </c>
      <c r="CJ95" s="176">
        <f>CK95*(1+$DC95+(VLOOKUP($AM95,$A$12:$B$323,2,0))+各项系数!$J$6+各项系数!$M$5)*(1+$E$2)+各项系数!$M$9*$NK95</f>
        <v>892.208817604968</v>
      </c>
      <c r="CK95" s="262">
        <f>CL95+各项系数!$L$9*$NO95</f>
        <v>905.42878970859</v>
      </c>
      <c r="CL95" s="262">
        <f>CM95*(1+$DD95+各项系数!$J$5+各项系数!$L$5)</f>
        <v>899.055840973804</v>
      </c>
      <c r="CM95" s="262">
        <f t="shared" si="345"/>
        <v>881.427295072357</v>
      </c>
      <c r="CN95" s="176">
        <f>CO95+各项系数!$M$9*$NO95</f>
        <v>906.020513268162</v>
      </c>
      <c r="CO95" s="176">
        <f>CP95*(1+$DC95+(VLOOKUP($AM95,$A$12:$B$323,2,0))+各项系数!$J$6+各项系数!$M$5)*(1+$E$2)+各项系数!$M$9*$NK95</f>
        <v>899.647564533377</v>
      </c>
      <c r="CP95" s="262">
        <f>CQ95+各项系数!$L$9*$NO95</f>
        <v>913.019347798803</v>
      </c>
      <c r="CQ95" s="262">
        <f>CR95*(1+$DD95+各项系数!$J$5+各项系数!$L$5)</f>
        <v>906.646399064018</v>
      </c>
      <c r="CR95" s="262">
        <f t="shared" si="346"/>
        <v>888.869018690214</v>
      </c>
      <c r="CS95" s="176">
        <f>CT95+各项系数!$M$9*$NU95</f>
        <v>900.489975196202</v>
      </c>
      <c r="CT95" s="176">
        <f t="shared" si="347"/>
        <v>894.087180168186</v>
      </c>
      <c r="CU95" s="262">
        <f>CV95+各项系数!$L$9*$NU95</f>
        <v>912.333857314475</v>
      </c>
      <c r="CV95" s="262">
        <f>CW95*(1+$DD95+各项系数!$J$5+各项系数!$L$5)</f>
        <v>905.93106228646</v>
      </c>
      <c r="CW95" s="262">
        <f t="shared" si="348"/>
        <v>888.16770812398</v>
      </c>
      <c r="CX95" s="176">
        <f>CY95+各项系数!$M$9*$NU95</f>
        <v>908.386633662042</v>
      </c>
      <c r="CY95" s="176">
        <f t="shared" si="349"/>
        <v>901.983838634026</v>
      </c>
      <c r="CZ95" s="262">
        <f>DA95+各项系数!$L$9*$NU95</f>
        <v>920.391672075537</v>
      </c>
      <c r="DA95" s="262">
        <f>DB95*(1+$DD95+各项系数!$J$5+各项系数!$L$5)</f>
        <v>913.988877047521</v>
      </c>
      <c r="DB95" s="262">
        <f t="shared" si="350"/>
        <v>896.067526517177</v>
      </c>
      <c r="DC95" s="278">
        <f t="shared" si="407"/>
        <v>0</v>
      </c>
      <c r="DD95" s="278">
        <f t="shared" si="351"/>
        <v>0</v>
      </c>
      <c r="DE95" s="95" t="s">
        <v>498</v>
      </c>
      <c r="DF95" s="95" t="s">
        <v>513</v>
      </c>
      <c r="DG95" s="176">
        <f>DH95+各项系数!$M$9*$NQ95</f>
        <v>908.395310297954</v>
      </c>
      <c r="DH95" s="176">
        <f>DI95*(1+$EA95+(VLOOKUP($AM95,$A$12:$B$323,2,0))+各项系数!$J$6+各项系数!$M$5)*(1+$E$2)+各项系数!$M$9*$NK95</f>
        <v>902.022361563169</v>
      </c>
      <c r="DI95" s="262">
        <f>DJ95+各项系数!$L$9*$NQ95</f>
        <v>915.442610074101</v>
      </c>
      <c r="DJ95" s="262">
        <f>DK95*(1+$EB95+各项系数!$J$5+各项系数!$L$5)</f>
        <v>909.069661339316</v>
      </c>
      <c r="DK95" s="262">
        <f t="shared" si="352"/>
        <v>882.591904212928</v>
      </c>
      <c r="DL95" s="176">
        <f>DM95+各项系数!$M$9*$NQ95</f>
        <v>915.17675168289</v>
      </c>
      <c r="DM95" s="176">
        <f>DN95*(1+$EA95+(VLOOKUP($AM95,$A$12:$B$323,2,0))+各项系数!$J$6+各项系数!$M$5)*(1+$E$2)+各项系数!$M$9*$NK95</f>
        <v>908.803802948105</v>
      </c>
      <c r="DN95" s="262">
        <f>DO95+各项系数!$L$9*$NQ95</f>
        <v>922.362448221995</v>
      </c>
      <c r="DO95" s="262">
        <f>DP95*(1+$EB95+各项系数!$J$5+各项系数!$L$5)</f>
        <v>915.98949948721</v>
      </c>
      <c r="DP95" s="262">
        <f t="shared" si="353"/>
        <v>889.310193676903</v>
      </c>
      <c r="DQ95" s="176">
        <f>DR95+各项系数!$M$9*$NV95</f>
        <v>910.372098407029</v>
      </c>
      <c r="DR95" s="176">
        <f t="shared" si="354"/>
        <v>903.969303379013</v>
      </c>
      <c r="DS95" s="262">
        <f>DT95+各项系数!$L$9*$NV95</f>
        <v>922.417656509197</v>
      </c>
      <c r="DT95" s="262">
        <f>DU95*(1+$EB95+各项系数!$J$5+各项系数!$L$5)</f>
        <v>916.014861481181</v>
      </c>
      <c r="DU95" s="262">
        <f t="shared" si="355"/>
        <v>889.33481697202</v>
      </c>
      <c r="DV95" s="176">
        <f>DW95+各项系数!$M$9*$NV95</f>
        <v>909.374474078896</v>
      </c>
      <c r="DW95" s="176">
        <f t="shared" si="356"/>
        <v>902.97167905088</v>
      </c>
      <c r="DX95" s="262">
        <f>DY95+各项系数!$L$9*$NV95</f>
        <v>921.399672500898</v>
      </c>
      <c r="DY95" s="262">
        <f>DZ95*(1+$EB95+各项系数!$J$5+各项系数!$L$5)</f>
        <v>914.996877472882</v>
      </c>
      <c r="DZ95" s="262">
        <f t="shared" si="357"/>
        <v>888.346482983381</v>
      </c>
      <c r="EA95" s="278">
        <f t="shared" si="439"/>
        <v>0</v>
      </c>
      <c r="EB95" s="278">
        <f t="shared" si="358"/>
        <v>0.01</v>
      </c>
      <c r="EC95" s="302">
        <f t="shared" si="408"/>
        <v>5</v>
      </c>
      <c r="ED95" s="304" t="str">
        <f t="shared" si="442"/>
        <v>5*300</v>
      </c>
      <c r="EE95" s="95">
        <f t="shared" si="491"/>
        <v>300</v>
      </c>
      <c r="EF95" s="95" t="str">
        <f>LOOKUP(EH95,{1,7,10,14,19,24,30,37,48,61},{1,"1+6","2+8","4+10","1+6+12","2+8+14","4+10+16","1+6+12+18","3+9+15+21","1+6+12+18+24"})</f>
        <v>1+6+12+18+24</v>
      </c>
      <c r="EG95" s="127">
        <f t="shared" si="359"/>
        <v>5</v>
      </c>
      <c r="EH95" s="262">
        <f>VLOOKUP(EE95,各项系数!$B$87:$C$124,2,0)</f>
        <v>61</v>
      </c>
      <c r="EI95" s="127">
        <f>IF(EH95=0,0,VLOOKUP(EH95,各项系数!$D$142:$E$195,2,0))*1</f>
        <v>9</v>
      </c>
      <c r="EJ95" s="307">
        <f t="shared" si="409"/>
        <v>245.118138379664</v>
      </c>
      <c r="EK95" s="95">
        <f t="shared" si="332"/>
        <v>0</v>
      </c>
      <c r="EL95" s="95">
        <f t="shared" si="360"/>
        <v>0</v>
      </c>
      <c r="EM95" s="95">
        <f t="shared" si="443"/>
        <v>0</v>
      </c>
      <c r="EN95" s="95">
        <f>IF(EP95=0,0,LOOKUP(EP95,{1,7,10,14,19,24,30,37,48,61},{1,"1+6","2+8","4+10","1+6+12","2+8+14","4+10+16","1+6+12+18","3+9+15+21","1+6+12+18+24"}))</f>
        <v>0</v>
      </c>
      <c r="EO95" s="95">
        <f t="shared" si="334"/>
        <v>0</v>
      </c>
      <c r="EP95" s="95">
        <f>IF(EM95=0,0,IF(EM95&lt;10,1,IF(AND(EM95&gt;=10,EM95&lt;=35),7,LOOKUP(EM95,{50,70,95,120,150,185,240,300},{10,14,19,24,30,37,48,61})*1)))</f>
        <v>0</v>
      </c>
      <c r="EQ95" s="95">
        <f>IF(EP95=0,0,VLOOKUP(EP95,各项系数!$D$142:$E$195,2,0))*1</f>
        <v>0</v>
      </c>
      <c r="ER95" s="95">
        <f t="shared" si="335"/>
        <v>0</v>
      </c>
      <c r="ES95" s="304">
        <f t="shared" si="444"/>
        <v>5</v>
      </c>
      <c r="ET95" s="95">
        <f>VLOOKUP(ES95,各项系数!$D$142:$E$195,2,0)*1</f>
        <v>2.7</v>
      </c>
      <c r="EU95" s="311">
        <f>((各项系数!$F$76/4*$EJ95^2*$EG95*$EH95*1*10^-7)*(1-$H95)*AA95)*(VLOOKUP($EY$9,各项系数!$D$4:$F$143,3,0))*各项系数!$J$4</f>
        <v>12.9857080114697</v>
      </c>
      <c r="EV95" s="312">
        <f>EU95*(VLOOKUP($EY$9,各项系数!$D$4:$F$143,2,0))</f>
        <v>850.563874751267</v>
      </c>
      <c r="EW95" s="324">
        <f>(IF($EO95=0,0,(各项系数!$F$76/4*$ER95^2*$EO95*$EP95*1*10^-7))*(1-$K95)*$AF95)*(VLOOKUP($EY$9,各项系数!$D$4:$F$143,3,0))*各项系数!$J$4</f>
        <v>0</v>
      </c>
      <c r="EX95" s="325">
        <f>EW95*(VLOOKUP($EY$9,各项系数!$D$4:$F$143,2,0))</f>
        <v>0</v>
      </c>
      <c r="EY95" s="251">
        <f>((各项系数!$F$76/4*$EJ95^2*$EG95*$EH95*1*10^-7)*(1-$H95)*AA95+IF($EO95=0,0,(各项系数!$F$76/4*$ER95^2*$EO95*$EP95*1*10^-7))*(1-$K95)*$AF95)*(VLOOKUP($EY$9,各项系数!$D$4:$F$143,3,0))*各项系数!$J$4</f>
        <v>12.9857080114697</v>
      </c>
      <c r="EZ95" s="127">
        <v>1</v>
      </c>
      <c r="FA95" s="95">
        <f t="shared" si="445"/>
        <v>12.9857080114697</v>
      </c>
      <c r="FB95" s="314">
        <f>FA95*(VLOOKUP($EY$9,各项系数!$D$4:$F$143,2,0))</f>
        <v>850.563874751267</v>
      </c>
      <c r="FC95" s="329"/>
      <c r="FD95" s="304">
        <f>各项系数!$F$76/4*($MN95^2-MK95^2)*10^-2*(VLOOKUP(L95,各项系数!$D$1:$F$143,3,0))*10^-3*10^2*$EG95*各项系数!$J$4</f>
        <v>0.738397297272442</v>
      </c>
      <c r="FE95" s="341">
        <f>FD95*VLOOKUP(L95,各项系数!$D$1:$F$143,2,0)</f>
        <v>7.53165243217891</v>
      </c>
      <c r="FF95" s="127">
        <f>各项系数!$F$76/4*($MO95^2-ML95^2)*10^-2*(VLOOKUP(L95,各项系数!$D$1:$F$143,3,0))*10^-3*10^2*$EO95*各项系数!$J$4</f>
        <v>0</v>
      </c>
      <c r="FG95" s="341">
        <f>FF95*VLOOKUP(L95,各项系数!$D$1:$F$143,2,0)</f>
        <v>0</v>
      </c>
      <c r="FH95" s="304">
        <f t="shared" si="410"/>
        <v>0.738397297272442</v>
      </c>
      <c r="FI95" s="127">
        <v>1</v>
      </c>
      <c r="FJ95" s="95">
        <f t="shared" si="446"/>
        <v>0.738397297272442</v>
      </c>
      <c r="FK95" s="341">
        <f>FJ95*VLOOKUP(L95,各项系数!$D$1:$F$143,2,0)</f>
        <v>7.53165243217891</v>
      </c>
      <c r="FL95" s="304"/>
      <c r="FM95" s="127"/>
      <c r="FN95" s="95"/>
      <c r="FO95" s="341"/>
      <c r="FP95" s="371">
        <f t="shared" si="447"/>
        <v>0.738397297272442</v>
      </c>
      <c r="FQ95" s="371">
        <f t="shared" si="448"/>
        <v>7.53165243217891</v>
      </c>
      <c r="FR95" s="365">
        <f>各项系数!$F$76/4*($MQ95^2-$MN95^2*$EG95-$MO95^2*$EO95)*10^-2</f>
        <v>11.8429548812392</v>
      </c>
      <c r="FS95" s="366">
        <f t="shared" si="411"/>
        <v>1</v>
      </c>
      <c r="FT95" s="367">
        <f t="shared" si="361"/>
        <v>11.8429548812392</v>
      </c>
      <c r="FU95" s="395">
        <f>$FT95*(VLOOKUP($FT$9,各项系数!$D$1:$F$143,3,0))*10^-3*10^2*各项系数!$J$55</f>
        <v>1.41404881281996</v>
      </c>
      <c r="FV95" s="396">
        <v>1</v>
      </c>
      <c r="FW95" s="397">
        <f t="shared" si="449"/>
        <v>1.41404881281996</v>
      </c>
      <c r="FX95" s="372">
        <f>FW95*(VLOOKUP($FT$9,各项系数!$D$1:$F$143,2,0))</f>
        <v>4.24214643845988</v>
      </c>
      <c r="FY95" s="395">
        <f>IF($BK95&lt;&gt;$FY$9,0,各项系数!$F$76/4*($MS95^2-$MQ95^2)*10^-2*(VLOOKUP($FY$9,各项系数!$D$1:$F$143,3,0))*10^-3*10^2)*各项系数!$J$4</f>
        <v>0</v>
      </c>
      <c r="FZ95" s="396">
        <v>1</v>
      </c>
      <c r="GA95" s="397">
        <f t="shared" si="450"/>
        <v>0</v>
      </c>
      <c r="GB95" s="372">
        <f>GA95*(VLOOKUP($FY$9,各项系数!$D$1:$F$143,2,0))</f>
        <v>0</v>
      </c>
      <c r="GC95" s="395">
        <f>IF($BK95&lt;&gt;$GC$9,0,各项系数!$F$76/4*($MS95^2-$MQ95^2)*10^-2*(VLOOKUP($GC$9,各项系数!$D$1:$F$143,3,0))*10^-3*10^2)*各项系数!$J$4</f>
        <v>0.0188917941453489</v>
      </c>
      <c r="GD95" s="396">
        <v>1</v>
      </c>
      <c r="GE95" s="397">
        <f t="shared" si="451"/>
        <v>0.0188917941453489</v>
      </c>
      <c r="GF95" s="372">
        <f>GE95*(VLOOKUP($GC$9,各项系数!$D$1:$F$143,2,0))</f>
        <v>0.243704144475001</v>
      </c>
      <c r="GG95" s="395">
        <f>IF($BK95&lt;&gt;$GG$9,0,各项系数!$F$76/4*($MS95^2-$MQ95^2)*10^-2*(VLOOKUP($GG$9,各项系数!$D$1:$F$143,3,0))*10^-3*10^2)*各项系数!$J$4</f>
        <v>0</v>
      </c>
      <c r="GH95" s="396">
        <v>1</v>
      </c>
      <c r="GI95" s="397">
        <f t="shared" si="452"/>
        <v>0</v>
      </c>
      <c r="GJ95" s="372">
        <f>GI95*(VLOOKUP($GG$9,各项系数!$D$1:$F$143,2,0))</f>
        <v>0</v>
      </c>
      <c r="GK95" s="395">
        <f>IF($BK95&lt;&gt;$GK$9,0,各项系数!$F$76/4*($MS95^2-$MQ95^2)*10^-2*(VLOOKUP($GK$9,各项系数!$D$1:$F$143,3,0))*10^-3*10^2)*各项系数!$J$4</f>
        <v>0</v>
      </c>
      <c r="GL95" s="396">
        <v>1</v>
      </c>
      <c r="GM95" s="397">
        <f t="shared" si="453"/>
        <v>0</v>
      </c>
      <c r="GN95" s="372">
        <f>GM95*(VLOOKUP($GK$9,各项系数!$D$1:$F$143,2,0))</f>
        <v>0</v>
      </c>
      <c r="GO95" s="397">
        <f t="shared" si="454"/>
        <v>0.0188917941453489</v>
      </c>
      <c r="GP95" s="397">
        <f t="shared" si="455"/>
        <v>0.243704144475001</v>
      </c>
      <c r="GQ95" s="408">
        <f>各项系数!$F$76/4*($MU95^2-$MS95^2)*10^-2*(VLOOKUP($S95,各项系数!$D$1:$F$143,3,0))*10^-3*10^2*各项系数!$J$4</f>
        <v>1.2871765935462</v>
      </c>
      <c r="GR95" s="396">
        <v>1</v>
      </c>
      <c r="GS95" s="397">
        <f t="shared" si="456"/>
        <v>1.2871765935462</v>
      </c>
      <c r="GT95" s="397">
        <f t="shared" si="457"/>
        <v>0</v>
      </c>
      <c r="GU95" s="397">
        <f>ROUND($GS95*(VLOOKUP($S95,各项系数!$D$1:$F$143,2,0))+$E$3*GS95,GT95)</f>
        <v>7</v>
      </c>
      <c r="GV95" s="406">
        <f>各项系数!$F$76/4*($MT95^2-$MS95^2)*10^-2*(VLOOKUP($GV$9,各项系数!$D$1:$F$143,3,0))*10^-3*10^2*各项系数!$J$4*PI()/4*R95</f>
        <v>0.097135376880448</v>
      </c>
      <c r="GW95" s="396">
        <v>1</v>
      </c>
      <c r="GX95" s="397">
        <f t="shared" si="458"/>
        <v>0.097135376880448</v>
      </c>
      <c r="GY95" s="397">
        <f>$GX95*(VLOOKUP($GV$9,各项系数!$D$1:$F$143,2,0))</f>
        <v>6.55663793943024</v>
      </c>
      <c r="GZ95" s="408">
        <f>各项系数!$F$76/4*($MV95^2-$MS95^2)*10^-2*(VLOOKUP($GZ$9,各项系数!$D$1:$F$143,3,0))*10^-3*10^2*各项系数!$J$4</f>
        <v>1.12281264844511</v>
      </c>
      <c r="HA95" s="396">
        <v>1</v>
      </c>
      <c r="HB95" s="397">
        <f t="shared" si="412"/>
        <v>1.12281264844511</v>
      </c>
      <c r="HC95" s="397">
        <f>HB95*(VLOOKUP($GZ$9,各项系数!$D$1:$F$143,2,0))</f>
        <v>19.087815023567</v>
      </c>
      <c r="HD95" s="408">
        <f>各项系数!$F$76/4*($MW95^2-$MT95^2)*10^-2*(VLOOKUP($HD$9,各项系数!$D$1:$F$143,3,0))*10^-3*10^2*各项系数!$J$4</f>
        <v>1.12527834628884</v>
      </c>
      <c r="HE95" s="396">
        <v>1</v>
      </c>
      <c r="HF95" s="397">
        <f t="shared" si="413"/>
        <v>1.12527834628884</v>
      </c>
      <c r="HG95" s="397">
        <f>HF95*(VLOOKUP($HD$9,各项系数!$D$1:$F$143,2,0))</f>
        <v>19.1297318869103</v>
      </c>
      <c r="HH95" s="408">
        <f>各项系数!$F$76/4*($MV95^2-$MS95^2)*10^-2*(VLOOKUP($HH$9,各项系数!$D$1:$F$143,3,0))*10^-3*10^2*各项系数!$J$4</f>
        <v>1.12281264844511</v>
      </c>
      <c r="HI95" s="397">
        <v>1</v>
      </c>
      <c r="HJ95" s="397">
        <f t="shared" si="414"/>
        <v>1.12281264844511</v>
      </c>
      <c r="HK95" s="397">
        <f>HJ95*(VLOOKUP($HH$9,各项系数!$D$1:$F$143,2,0))</f>
        <v>19.087815023567</v>
      </c>
      <c r="HL95" s="408">
        <f>各项系数!$F$76/4*($MW95^2-$MT95^2)*10^-2*(VLOOKUP($HL$9,各项系数!$D$1:$F$143,3,0))*10^-3*10^2*各项系数!$J$4</f>
        <v>1.12527834628884</v>
      </c>
      <c r="HM95" s="397">
        <v>1</v>
      </c>
      <c r="HN95" s="397">
        <f t="shared" si="362"/>
        <v>1.12527834628884</v>
      </c>
      <c r="HO95" s="397">
        <f>HN95*(VLOOKUP($HL$9,各项系数!$D$1:$F$143,2,0))</f>
        <v>19.1297318869103</v>
      </c>
      <c r="HP95" s="408">
        <f>各项系数!$F$76/4*($MV95^2-$MS95^2)*10^-2*(VLOOKUP(AN95,各项系数!$D$1:$F$143,3,0))*10^-3*10^2*各项系数!$J$4</f>
        <v>1.13829971945815</v>
      </c>
      <c r="HQ95" s="396">
        <v>1</v>
      </c>
      <c r="HR95" s="397">
        <f t="shared" si="459"/>
        <v>1.13829971945815</v>
      </c>
      <c r="HS95" s="397">
        <f>HR95*(VLOOKUP(AN95,各项系数!$D$1:$F$143,2,0))</f>
        <v>11.3829971945815</v>
      </c>
      <c r="HT95" s="408">
        <f>各项系数!$F$76/4*($MW95^2-$MT95^2)*10^-2*(VLOOKUP(AN95,各项系数!$D$1:$F$143,3,0))*10^-3*10^2*各项系数!$J$4</f>
        <v>1.14079942692731</v>
      </c>
      <c r="HU95" s="396">
        <v>1</v>
      </c>
      <c r="HV95" s="397">
        <f t="shared" si="460"/>
        <v>1.14079942692731</v>
      </c>
      <c r="HW95" s="397">
        <f>HV95*(VLOOKUP(AN95,各项系数!$D$1:$F$143,2,0))</f>
        <v>11.4079942692731</v>
      </c>
      <c r="HX95" s="408">
        <f>各项系数!$F$76/4*($MV95^2-$MS95^2)*10^-2*(VLOOKUP($HX$9,各项系数!$D$1:$F$143,3,0))*10^-3*10^2*各项系数!$J$4</f>
        <v>1.13829971945815</v>
      </c>
      <c r="HY95" s="397">
        <v>1</v>
      </c>
      <c r="HZ95" s="397">
        <f t="shared" si="461"/>
        <v>1.13829971945815</v>
      </c>
      <c r="IA95" s="397">
        <f>HZ95*(VLOOKUP($HX$9,各项系数!$D$1:$F$143,2,0))</f>
        <v>12.5212969140397</v>
      </c>
      <c r="IB95" s="408">
        <f>各项系数!$F$76/4*($MW95^2-$MT95^2)*10^-2*(VLOOKUP($IB$9,各项系数!$D$1:$F$143,3,0))*10^-3*10^2*各项系数!$J$4</f>
        <v>1.14079942692731</v>
      </c>
      <c r="IC95" s="397">
        <v>1</v>
      </c>
      <c r="ID95" s="397">
        <f t="shared" si="462"/>
        <v>1.14079942692731</v>
      </c>
      <c r="IE95" s="397">
        <f>ID95*(VLOOKUP($IB$9,各项系数!$D$1:$F$143,2,0))</f>
        <v>12.5487936962004</v>
      </c>
      <c r="IF95" s="395"/>
      <c r="IG95" s="408">
        <f t="shared" si="415"/>
        <v>0.157267706732082</v>
      </c>
      <c r="IH95" s="396">
        <v>1</v>
      </c>
      <c r="II95" s="397">
        <f t="shared" si="463"/>
        <v>0.157267706732082</v>
      </c>
      <c r="IJ95" s="397">
        <f>II95*(VLOOKUP($IG$8,各项系数!$D$1:$F$143,2,0))</f>
        <v>3.93169266830206</v>
      </c>
      <c r="IK95" s="408">
        <f>(各项系数!$F$76/4*($MX95^2-$MK95^2)*$EG95)*10^-2*(VLOOKUP($IG$8,各项系数!$D$1:$F$143,3,0))*10^-3*10^2*各项系数!$J$4</f>
        <v>0.157267706732082</v>
      </c>
      <c r="IL95" s="396">
        <f>IK95*(VLOOKUP($IG$8,各项系数!$D$1:$F$143,2,0))</f>
        <v>3.93169266830206</v>
      </c>
      <c r="IM95" s="397">
        <f>(各项系数!$F$76/4*(($MM95+3*$X95)^2-MM95^2)*$EO95)*10^-2*(VLOOKUP($IG$8,各项系数!$D$1:$F$143,3,0))*10^-3*10^2*各项系数!$J$4</f>
        <v>0</v>
      </c>
      <c r="IN95" s="396">
        <f>IM95*(VLOOKUP($IG$8,各项系数!$D$1:$F$143,2,0))</f>
        <v>0</v>
      </c>
      <c r="IO95" s="408">
        <f>各项系数!$F$76/4*($MZ95^2-$MX95^2)*10^-2*(VLOOKUP(L95,各项系数!$D$1:$F$143,3,0))*10^-3*10^2*$ES95*各项系数!$J$4</f>
        <v>0.756965052332955</v>
      </c>
      <c r="IP95" s="396">
        <v>1</v>
      </c>
      <c r="IQ95" s="397">
        <f t="shared" si="464"/>
        <v>0.756965052332955</v>
      </c>
      <c r="IR95" s="372">
        <f>IQ95*(VLOOKUP(L95,各项系数!$D$1:$F$143,2,0))</f>
        <v>7.72104353379614</v>
      </c>
      <c r="IS95" s="408">
        <f>IF($L95&lt;&gt;$IS$9,0,各项系数!$F$76/4*($MZ95^2-$MX95^2)*10^-2*各项系数!$F$12*10^-3*10^2)*$ES95*各项系数!$J$4</f>
        <v>0</v>
      </c>
      <c r="IT95" s="396">
        <v>1</v>
      </c>
      <c r="IU95" s="397">
        <f t="shared" si="465"/>
        <v>0</v>
      </c>
      <c r="IV95" s="372">
        <f>IU95*各项系数!$E$12</f>
        <v>0</v>
      </c>
      <c r="IW95" s="395">
        <f t="shared" si="466"/>
        <v>0.756965052332955</v>
      </c>
      <c r="IX95" s="395">
        <f t="shared" si="467"/>
        <v>7.72104353379614</v>
      </c>
      <c r="IY95" s="447">
        <f>各项系数!$F$76/4*($NB95^2-$MZ95^2*$EG95-$NA95^2*$EO95)*10^-2</f>
        <v>12.4032565006178</v>
      </c>
      <c r="IZ95" s="366">
        <f t="shared" si="487"/>
        <v>1</v>
      </c>
      <c r="JA95" s="367">
        <f t="shared" si="363"/>
        <v>12.4032565006178</v>
      </c>
      <c r="JB95" s="371">
        <f>IF($DE95&lt;&gt;$JB$9,0,$JA95*各项系数!$F$32*10^-3*10^2)*各项系数!$J$4</f>
        <v>0</v>
      </c>
      <c r="JC95" s="127">
        <v>1</v>
      </c>
      <c r="JD95" s="95">
        <f t="shared" si="468"/>
        <v>0</v>
      </c>
      <c r="JE95" s="341">
        <f>JD95*各项系数!$E$32</f>
        <v>0</v>
      </c>
      <c r="JF95" s="364">
        <f>IF($DE95&lt;&gt;$JF$9,0,$JA95*VLOOKUP($JF$9,各项系数!$D$4:$F$540,2,0)*10^-3*10^2)*各项系数!$J$4</f>
        <v>6.17062010905734</v>
      </c>
      <c r="JG95" s="123">
        <v>1</v>
      </c>
      <c r="JH95" s="251">
        <f t="shared" si="364"/>
        <v>6.17062010905734</v>
      </c>
      <c r="JI95" s="339">
        <f>JH95*VLOOKUP($JF$9,各项系数!$D$4:$F$540,3,0)</f>
        <v>7.4047441308688</v>
      </c>
      <c r="JJ95" s="371">
        <f t="shared" si="469"/>
        <v>6.17062010905734</v>
      </c>
      <c r="JK95" s="95">
        <f t="shared" si="470"/>
        <v>7.4047441308688</v>
      </c>
      <c r="JL95" s="371">
        <f>IF($DF95&lt;&gt;$JL$9,0,各项系数!$F$76/4*($NE95^2-$NC95^2)*10^-2*各项系数!$F$39*10^-3*10^2)*各项系数!$J$4</f>
        <v>0.00799242912064513</v>
      </c>
      <c r="JM95" s="127">
        <v>1</v>
      </c>
      <c r="JN95" s="95">
        <f t="shared" si="471"/>
        <v>0.00799242912064513</v>
      </c>
      <c r="JO95" s="341">
        <f>JN95*各项系数!$E$39</f>
        <v>0.159848582412903</v>
      </c>
      <c r="JP95" s="371">
        <f>IF($DF95&lt;&gt;$JP$9,0,各项系数!$F$76/4*($NE95^2-$NC95^2)*10^-2*各项系数!$F$36*10^-3*10^2)*各项系数!$J$4</f>
        <v>0</v>
      </c>
      <c r="JQ95" s="127">
        <v>1</v>
      </c>
      <c r="JR95" s="95">
        <f t="shared" si="472"/>
        <v>0</v>
      </c>
      <c r="JS95" s="341">
        <f>JR95*各项系数!$E$36</f>
        <v>0</v>
      </c>
      <c r="JT95" s="371">
        <f>IF($DF95&lt;&gt;$JT$9,0,各项系数!$F$76/4*($NE95^2-$NC95^2)*10^-2*各项系数!$F$40*10^-3*10^2)*各项系数!$J$4</f>
        <v>0</v>
      </c>
      <c r="JU95" s="127">
        <v>1</v>
      </c>
      <c r="JV95" s="95">
        <f t="shared" si="473"/>
        <v>0</v>
      </c>
      <c r="JW95" s="341">
        <f>JV95*各项系数!$E$40</f>
        <v>0</v>
      </c>
      <c r="JX95" s="371">
        <f>IF($DF95&lt;&gt;$JX$9,0,各项系数!$F$76/4*($NE95^2-$NC95^2)*10^-2*各项系数!$F$38*10^-3*10^2)*各项系数!$J$4</f>
        <v>0</v>
      </c>
      <c r="JY95" s="127">
        <v>1</v>
      </c>
      <c r="JZ95" s="95">
        <f t="shared" si="474"/>
        <v>0</v>
      </c>
      <c r="KA95" s="341">
        <f>JZ95*各项系数!$E$38</f>
        <v>0</v>
      </c>
      <c r="KB95" s="371">
        <f>IF($DF95&lt;&gt;$KB$9,0,各项系数!$F$76/4*($NE95^2-$NC95^2)*10^-2*各项系数!$F$41*10^-3*10^2)*各项系数!$J$4</f>
        <v>0</v>
      </c>
      <c r="KC95" s="127">
        <v>1</v>
      </c>
      <c r="KD95" s="95">
        <f t="shared" si="475"/>
        <v>0</v>
      </c>
      <c r="KE95" s="341">
        <f>KD95*各项系数!$E$41</f>
        <v>0</v>
      </c>
      <c r="KF95" s="95">
        <f t="shared" si="476"/>
        <v>0.00799242912064513</v>
      </c>
      <c r="KG95" s="95">
        <f t="shared" si="477"/>
        <v>0.159848582412903</v>
      </c>
      <c r="KH95" s="304">
        <f>各项系数!$F$76/4*($NG95^2-$NE95^2)*10^-2*各项系数!$F$44*10^-3*10^2*各项系数!$J$4*0.75*$U95</f>
        <v>1.97707484074758</v>
      </c>
      <c r="KI95" s="127">
        <v>1</v>
      </c>
      <c r="KJ95" s="95">
        <f t="shared" si="478"/>
        <v>1.97707484074758</v>
      </c>
      <c r="KK95" s="95">
        <f>ROUND(KJ95*各项系数!$E$43,GT95)</f>
        <v>11</v>
      </c>
      <c r="KL95" s="302">
        <f>各项系数!$F$76/4*($NF95^2-$NE95^2)*10^-2*各项系数!$F$46*10^-3*10^2*各项系数!$J$4*PI()/4*R95</f>
        <v>0.099487644102684</v>
      </c>
      <c r="KM95" s="127">
        <v>1</v>
      </c>
      <c r="KN95" s="95">
        <f t="shared" si="479"/>
        <v>0.099487644102684</v>
      </c>
      <c r="KO95" s="95">
        <f>KN95*各项系数!$E$46</f>
        <v>6.71541597693117</v>
      </c>
      <c r="KP95" s="304">
        <f>各项系数!$F$76/4*($NH95^2-$NE95^2)*10^-2*(VLOOKUP($KP$9,各项系数!$D$1:$F$143,3,0))*10^-3*10^2*各项系数!$J$4</f>
        <v>1.14876411825033</v>
      </c>
      <c r="KQ95" s="127">
        <v>1</v>
      </c>
      <c r="KR95" s="95">
        <f t="shared" si="416"/>
        <v>1.14876411825033</v>
      </c>
      <c r="KS95" s="95">
        <f>KR95*(VLOOKUP($KP$9,各项系数!$D$1:$F$143,2,0))</f>
        <v>19.5289900102556</v>
      </c>
      <c r="KT95" s="304">
        <f>各项系数!$F$76/4*($NI95^2-$NF95^2)*10^-2*(VLOOKUP($KT$9,各项系数!$D$1:$F$143,3,0))*10^-3*10^2*各项系数!$J$4</f>
        <v>1.15122981609406</v>
      </c>
      <c r="KU95" s="127">
        <v>1</v>
      </c>
      <c r="KV95" s="95">
        <f t="shared" si="417"/>
        <v>1.15122981609406</v>
      </c>
      <c r="KW95" s="95">
        <f>KV95*(VLOOKUP($KT$9,各项系数!$D$1:$F$143,2,0))</f>
        <v>19.5709068735989</v>
      </c>
      <c r="KX95" s="95">
        <f>各项系数!$F$76/4*($NH95^2-$NE95^2)*10^-2*(VLOOKUP($KX$9,各项系数!$D$1:$F$143,3,0))*10^-3*10^2*各项系数!$J$4</f>
        <v>1.14876411825033</v>
      </c>
      <c r="KY95" s="481">
        <v>1</v>
      </c>
      <c r="KZ95" s="95">
        <f t="shared" si="418"/>
        <v>1.14876411825033</v>
      </c>
      <c r="LA95" s="95">
        <f>KZ95*(VLOOKUP($KX$9,各项系数!$D$1:$F$143,2,0))</f>
        <v>19.5289900102556</v>
      </c>
      <c r="LB95" s="95">
        <f>各项系数!$F$76/4*($NI95^2-$NF95^2)*10^-2*(VLOOKUP($LB$9,各项系数!$D$1:$F$143,3,0))*10^-3*10^2*各项系数!$J$4</f>
        <v>1.15122981609406</v>
      </c>
      <c r="LC95" s="481">
        <v>1</v>
      </c>
      <c r="LD95" s="95">
        <f t="shared" si="419"/>
        <v>1.15122981609406</v>
      </c>
      <c r="LE95" s="95">
        <f>LD95*(VLOOKUP($LB$9,各项系数!$D$1:$F$143,2,0))</f>
        <v>19.5709068735989</v>
      </c>
      <c r="LF95" s="304">
        <f>各项系数!$F$76/4*($NH95^2-$NE95^2)*10^-2*(VLOOKUP(AN95,各项系数!$D$1:$F$143,3,0))*10^-3*10^2*各项系数!$J$4</f>
        <v>1.16460914057102</v>
      </c>
      <c r="LG95" s="127">
        <v>1</v>
      </c>
      <c r="LH95" s="95">
        <f t="shared" si="480"/>
        <v>1.16460914057102</v>
      </c>
      <c r="LI95" s="95">
        <f>LH95*(VLOOKUP(AN95,各项系数!$D$1:$F$143,2,0))</f>
        <v>11.6460914057102</v>
      </c>
      <c r="LJ95" s="304">
        <f>各项系数!$F$76/4*($NI95^2-$NF95^2)*10^-2*(VLOOKUP(AN95,各项系数!$D$1:$F$143,3,0))*10^-3*10^2*各项系数!$J$4</f>
        <v>1.16710884804018</v>
      </c>
      <c r="LK95" s="127">
        <v>1</v>
      </c>
      <c r="LL95" s="95">
        <f t="shared" si="481"/>
        <v>1.16710884804018</v>
      </c>
      <c r="LM95" s="95">
        <f>LL95*(VLOOKUP(AN95,各项系数!$D$1:$F$143,2,0))</f>
        <v>11.6710884804018</v>
      </c>
      <c r="LN95" s="95">
        <f>各项系数!$F$76/4*($NH95^2-$NE95^2)*10^-2*(VLOOKUP($LN$9,各项系数!$D$1:$F$143,3,0))*10^-3*10^2*各项系数!$J$4</f>
        <v>1.16460914057102</v>
      </c>
      <c r="LO95" s="481">
        <v>1</v>
      </c>
      <c r="LP95" s="95">
        <f t="shared" si="482"/>
        <v>1.16460914057102</v>
      </c>
      <c r="LQ95" s="95">
        <f>LP95*(VLOOKUP($LN$9,各项系数!$D$1:$F$143,2,0))</f>
        <v>12.8107005462813</v>
      </c>
      <c r="LR95" s="95">
        <f>各项系数!$F$76/4*($NI95^2-$NF95^2)*10^-2*(VLOOKUP($LR$9,各项系数!$D$1:$F$143,3,0))*10^-3*10^2*各项系数!$J$4</f>
        <v>1.16710884804018</v>
      </c>
      <c r="LS95" s="481">
        <v>1</v>
      </c>
      <c r="LT95" s="95">
        <f t="shared" si="483"/>
        <v>1.16710884804018</v>
      </c>
      <c r="LU95" s="95">
        <f>LT95*(VLOOKUP($LR$9,各项系数!$D$1:$F$143,2,0))</f>
        <v>12.838197328442</v>
      </c>
      <c r="LV95" s="501">
        <f t="shared" si="420"/>
        <v>1911.15452227</v>
      </c>
      <c r="LW95" s="501">
        <f t="shared" si="421"/>
        <v>1439.26451677</v>
      </c>
      <c r="LX95" s="501">
        <f t="shared" si="422"/>
        <v>42.8080424463174</v>
      </c>
      <c r="LY95" s="519">
        <f t="shared" si="423"/>
        <v>471.8900055</v>
      </c>
      <c r="LZ95" s="516">
        <f t="shared" si="365"/>
        <v>1</v>
      </c>
      <c r="MA95" s="517">
        <f t="shared" si="366"/>
        <v>1911.15452227</v>
      </c>
      <c r="MB95" s="501">
        <f t="shared" si="424"/>
        <v>22.06063242</v>
      </c>
      <c r="MC95" s="501">
        <f t="shared" si="425"/>
        <v>0</v>
      </c>
      <c r="MD95" s="501">
        <f t="shared" si="426"/>
        <v>0</v>
      </c>
      <c r="ME95" s="501">
        <f t="shared" si="427"/>
        <v>0</v>
      </c>
      <c r="MF95" s="501">
        <f t="shared" si="428"/>
        <v>0</v>
      </c>
      <c r="MG95" s="527">
        <f t="shared" si="429"/>
        <v>1</v>
      </c>
      <c r="MH95" s="517">
        <f t="shared" si="367"/>
        <v>0</v>
      </c>
      <c r="MI95" s="501">
        <f t="shared" si="430"/>
        <v>0</v>
      </c>
      <c r="MJ95" s="95">
        <f t="shared" si="368"/>
        <v>22.06063242</v>
      </c>
      <c r="MK95" s="95">
        <f t="shared" si="431"/>
        <v>22.06063242</v>
      </c>
      <c r="ML95" s="95">
        <f t="shared" si="484"/>
        <v>0</v>
      </c>
      <c r="MM95" s="95">
        <f t="shared" si="369"/>
        <v>0</v>
      </c>
      <c r="MN95" s="95">
        <f t="shared" si="370"/>
        <v>25.66063242</v>
      </c>
      <c r="MO95" s="251">
        <f t="shared" si="432"/>
        <v>0</v>
      </c>
      <c r="MP95" s="95">
        <f t="shared" si="433"/>
        <v>69.28370753</v>
      </c>
      <c r="MQ95" s="95">
        <f t="shared" si="485"/>
        <v>69.28370753</v>
      </c>
      <c r="MR95" s="314">
        <f t="shared" si="434"/>
        <v>69.28370753</v>
      </c>
      <c r="MS95" s="530">
        <f t="shared" si="371"/>
        <v>69.45970753</v>
      </c>
      <c r="MT95" s="532">
        <f t="shared" si="372"/>
        <v>69.61970753</v>
      </c>
      <c r="MU95" s="532">
        <f t="shared" si="373"/>
        <v>70.95970753</v>
      </c>
      <c r="MV95" s="532">
        <f t="shared" si="374"/>
        <v>76.25970753</v>
      </c>
      <c r="MW95" s="532">
        <f t="shared" si="375"/>
        <v>76.41970753</v>
      </c>
      <c r="MX95" s="314">
        <f t="shared" si="376"/>
        <v>22.66063242</v>
      </c>
      <c r="MY95" s="314">
        <f t="shared" si="377"/>
        <v>0</v>
      </c>
      <c r="MZ95" s="95">
        <f t="shared" si="378"/>
        <v>26.26063242</v>
      </c>
      <c r="NA95" s="95">
        <f t="shared" si="379"/>
        <v>0</v>
      </c>
      <c r="NB95" s="95">
        <f t="shared" si="435"/>
        <v>70.90370753</v>
      </c>
      <c r="NC95" s="314">
        <f t="shared" si="486"/>
        <v>70.90370753</v>
      </c>
      <c r="ND95" s="314">
        <f t="shared" si="436"/>
        <v>70.90370753</v>
      </c>
      <c r="NE95" s="537">
        <f t="shared" si="437"/>
        <v>71.14370753</v>
      </c>
      <c r="NF95" s="532">
        <f t="shared" si="380"/>
        <v>71.30370753</v>
      </c>
      <c r="NG95" s="180">
        <f t="shared" si="381"/>
        <v>72.64370753</v>
      </c>
      <c r="NH95" s="314">
        <f t="shared" si="382"/>
        <v>77.94370753</v>
      </c>
      <c r="NI95" s="532">
        <f t="shared" si="383"/>
        <v>78.10370753</v>
      </c>
      <c r="NK95" s="541">
        <f t="shared" si="384"/>
        <v>16.2953456351656</v>
      </c>
      <c r="NL95" s="541">
        <f t="shared" si="385"/>
        <v>873.964374960963</v>
      </c>
      <c r="NM95" s="541">
        <f t="shared" si="386"/>
        <v>16.2953456351656</v>
      </c>
      <c r="NN95" s="541">
        <f t="shared" si="387"/>
        <v>875.102674680421</v>
      </c>
      <c r="NO95" s="541">
        <f t="shared" si="388"/>
        <v>21.2431624492838</v>
      </c>
      <c r="NP95" s="541">
        <f t="shared" si="389"/>
        <v>881.427295072357</v>
      </c>
      <c r="NQ95" s="541">
        <f t="shared" si="390"/>
        <v>21.2431624492838</v>
      </c>
      <c r="NR95" s="541">
        <f t="shared" si="391"/>
        <v>882.591904212928</v>
      </c>
      <c r="NS95" s="541">
        <f t="shared" si="392"/>
        <v>16.3924810120461</v>
      </c>
      <c r="NT95" s="541">
        <f t="shared" si="393"/>
        <v>16.3924810120461</v>
      </c>
      <c r="NU95" s="541">
        <f t="shared" si="394"/>
        <v>21.3426500933865</v>
      </c>
      <c r="NV95" s="541">
        <f t="shared" si="395"/>
        <v>21.3426500933865</v>
      </c>
      <c r="NW95" s="11">
        <f t="shared" si="396"/>
        <v>17.5825222287118</v>
      </c>
      <c r="NX95" s="11">
        <f>各项系数!$M$9*NK95</f>
        <v>4.88860369054969</v>
      </c>
      <c r="NY95" s="11">
        <f t="shared" si="397"/>
        <v>16.3924810120461</v>
      </c>
    </row>
    <row r="96" s="11" customFormat="1" customHeight="1" spans="1:389">
      <c r="A96" s="81"/>
      <c r="B96" s="82"/>
      <c r="C96" s="83"/>
      <c r="D96" s="74" t="s">
        <v>927</v>
      </c>
      <c r="E96" s="550">
        <f t="shared" si="325"/>
        <v>85.93102941</v>
      </c>
      <c r="F96" s="84">
        <f>$F$32</f>
        <v>277.181191063812</v>
      </c>
      <c r="G96" s="74"/>
      <c r="H96" s="23"/>
      <c r="I96" s="78"/>
      <c r="J96" s="23"/>
      <c r="K96" s="23"/>
      <c r="L96" s="128" t="s">
        <v>467</v>
      </c>
      <c r="M96" s="119">
        <f t="shared" si="339"/>
        <v>2</v>
      </c>
      <c r="N96" s="119">
        <f t="shared" si="340"/>
        <v>0</v>
      </c>
      <c r="O96" s="74">
        <f t="shared" si="488"/>
        <v>0.08</v>
      </c>
      <c r="P96" s="120">
        <v>0.1</v>
      </c>
      <c r="Q96" s="165">
        <f t="shared" si="489"/>
        <v>0.1</v>
      </c>
      <c r="R96" s="182">
        <v>0.8</v>
      </c>
      <c r="S96" s="173" t="str">
        <f>各项系数!$D$43</f>
        <v>钢带</v>
      </c>
      <c r="T96" s="78">
        <v>0.5</v>
      </c>
      <c r="U96" s="78">
        <v>2</v>
      </c>
      <c r="V96" s="172"/>
      <c r="W96" s="174">
        <v>3.8</v>
      </c>
      <c r="X96" s="168">
        <f t="shared" si="490"/>
        <v>0.2</v>
      </c>
      <c r="Y96" s="221"/>
      <c r="Z96" s="222"/>
      <c r="AA96" s="223">
        <f>$AA$32</f>
        <v>1.02</v>
      </c>
      <c r="AB96" s="186">
        <f>PI()*EJ96*EJ96/4*EH96*(1-H96)*AA96*各项系数!$F$5*各项系数!$J$4*10^-7</f>
        <v>3.32102575101844</v>
      </c>
      <c r="AC96" s="224">
        <f t="shared" si="327"/>
        <v>277.181191063812</v>
      </c>
      <c r="AD96" s="186">
        <f t="shared" si="341"/>
        <v>375.445930554736</v>
      </c>
      <c r="AE96" s="186">
        <f>POWER(4*EU96/PI()/EG96/10^-7/EH96/(1-H96)/各项系数!$F$5/各项系数!$J$4,0.5)</f>
        <v>279.939280797005</v>
      </c>
      <c r="AF96" s="225">
        <v>1</v>
      </c>
      <c r="AG96" s="23">
        <f>IF(EM96=0,0,PI()*ER96*ER96/4*EP96*(1-K96)*(1+AF96)*各项系数!$F$5*各项系数!$J$4*10^-7)</f>
        <v>0</v>
      </c>
      <c r="AH96" s="23">
        <f t="shared" si="328"/>
        <v>0</v>
      </c>
      <c r="AI96" s="85">
        <f t="shared" si="398"/>
        <v>0</v>
      </c>
      <c r="AJ96" s="85">
        <f>IF(OR(EP96="",EP96=0),0,POWER(4*EW96/PI()/EO96/10^-7/EP96/(1-K96)/各项系数!$F$5/各项系数!$J$4,0.5))</f>
        <v>0</v>
      </c>
      <c r="AK96" s="23" t="str">
        <f t="shared" si="342"/>
        <v>√</v>
      </c>
      <c r="AL96" s="23">
        <f t="shared" si="329"/>
        <v>1151.58095880409</v>
      </c>
      <c r="AM96" s="127">
        <f t="shared" si="330"/>
        <v>400</v>
      </c>
      <c r="AN96" s="128" t="s">
        <v>486</v>
      </c>
      <c r="AO96" s="176">
        <f>AP96+各项系数!$M$9*$NK96</f>
        <v>1129.00094000401</v>
      </c>
      <c r="AP96" s="176">
        <f>AQ96*(1+$BI96+(VLOOKUP($AM96,$A$12:$B$323,2,0))+各项系数!$J$6+各项系数!$M$5)*(1+$E$2)</f>
        <v>1122.76500944086</v>
      </c>
      <c r="AQ96" s="262">
        <f>AR96+各项系数!$L$9*$NK96</f>
        <v>1145.6785810621</v>
      </c>
      <c r="AR96" s="262">
        <f>AS96*(1+$BJ96+各项系数!$J$5+各项系数!$L$5)</f>
        <v>1139.44265049896</v>
      </c>
      <c r="AS96" s="262">
        <f t="shared" si="399"/>
        <v>1117.10063774407</v>
      </c>
      <c r="AT96" s="176">
        <f>AU96+各项系数!$M$9*$NM96</f>
        <v>1138.70409892556</v>
      </c>
      <c r="AU96" s="176">
        <f>AV96*(1+$BI96+(VLOOKUP($AM96,$A$12:$B$323,2,0))+各项系数!$J$6+各项系数!$M$5)*(1+$E$2)</f>
        <v>1132.46816836241</v>
      </c>
      <c r="AV96" s="262">
        <f>AW96+各项系数!$L$9*$NM96</f>
        <v>1155.57976363511</v>
      </c>
      <c r="AW96" s="262">
        <f>AX96*(1+$BJ96+各项系数!$J$5+各项系数!$L$5)</f>
        <v>1149.34383307197</v>
      </c>
      <c r="AX96" s="262">
        <f t="shared" si="400"/>
        <v>1126.80767948232</v>
      </c>
      <c r="AY96" s="176">
        <f>AZ96+各项系数!$M$9*$NS96</f>
        <v>1136.4840501936</v>
      </c>
      <c r="AZ96" s="176">
        <f>BA96*(1+$BI96+(VLOOKUP($AM96,$A$12:$B$214,2,0))+各项系数!$J$6+各项系数!$M$5)*(1+$E$2)</f>
        <v>1130.21526149013</v>
      </c>
      <c r="BA96" s="262">
        <f>BB96+各项系数!$L$9*$NS96</f>
        <v>1153.28087907156</v>
      </c>
      <c r="BB96" s="262">
        <f>BC96*(1+$BJ96+各项系数!$J$5+各项系数!$L$5)</f>
        <v>1147.01209036809</v>
      </c>
      <c r="BC96" s="262">
        <f t="shared" si="401"/>
        <v>1124.52165722362</v>
      </c>
      <c r="BD96" s="176">
        <f>BE96+各项系数!$M$9*$NS96</f>
        <v>1146.20611190303</v>
      </c>
      <c r="BE96" s="176">
        <f>BF96*(1+$BI96+(VLOOKUP($AM96,$A$12:$B$214,2,0))+各项系数!$J$6+各项系数!$M$5)*(1+$E$2)</f>
        <v>1139.93732319956</v>
      </c>
      <c r="BF96" s="262">
        <f>BG96+各项系数!$L$9*$NS96</f>
        <v>1163.20135020363</v>
      </c>
      <c r="BG96" s="262">
        <f>BH96*(1+$BJ96+各项系数!$J$5+各项系数!$L$5)</f>
        <v>1156.93256150016</v>
      </c>
      <c r="BH96" s="262">
        <f t="shared" si="402"/>
        <v>1134.24760931388</v>
      </c>
      <c r="BI96" s="278"/>
      <c r="BJ96" s="279"/>
      <c r="BK96" s="95" t="s">
        <v>514</v>
      </c>
      <c r="BL96" s="176">
        <f>BM96+各项系数!$M$9*$NM96</f>
        <v>1141.39611251098</v>
      </c>
      <c r="BM96" s="176">
        <f>BN96*(1+$CF96+(VLOOKUP($AM96,$A$12:$B$323,2,0))+各项系数!$J$6+各项系数!$M$5)*(1+$E$2)</f>
        <v>1135.16018194784</v>
      </c>
      <c r="BN96" s="262">
        <f>BO96+各项系数!$L$9*$NM96</f>
        <v>1158.3267162733</v>
      </c>
      <c r="BO96" s="262">
        <f>BP96*(1+$CG96+各项系数!$J$5+各项系数!$L$5)</f>
        <v>1152.09078571015</v>
      </c>
      <c r="BP96" s="262">
        <f t="shared" si="403"/>
        <v>1118.53474340792</v>
      </c>
      <c r="BQ96" s="176">
        <f>BR96+各项系数!$M$9*$NM96</f>
        <v>1149.74681418449</v>
      </c>
      <c r="BR96" s="176">
        <f>BS96*(1+$CF96+(VLOOKUP($AM96,$A$12:$B$323,2,0))+各项系数!$J$6+各项系数!$M$5)*(1+$E$2)</f>
        <v>1143.51088362134</v>
      </c>
      <c r="BS96" s="262">
        <f>BT96+各项系数!$L$9*$NM96</f>
        <v>1166.84784042994</v>
      </c>
      <c r="BT96" s="262">
        <f>BU96*(1+$CG96+各项系数!$J$5+各项系数!$L$5)</f>
        <v>1160.61190986679</v>
      </c>
      <c r="BU96" s="262">
        <f t="shared" si="404"/>
        <v>1126.80767948232</v>
      </c>
      <c r="BV96" s="176">
        <f>BW96+各项系数!$M$9*$NT96</f>
        <v>1142.8194539495</v>
      </c>
      <c r="BW96" s="176">
        <f>BX96*(1+$CF96+(VLOOKUP($AM96,$A$12:$B$214,2,0))+各项系数!$J$6+各项系数!$M$5)*(1+$E$2)</f>
        <v>1136.55066524602</v>
      </c>
      <c r="BX96" s="262">
        <f>BY96+各项系数!$L$9*$NT$12</f>
        <v>1159.74557678166</v>
      </c>
      <c r="BY96" s="262">
        <f>BZ96*(1+$CG96+各项系数!$J$5+各项系数!$L$5)</f>
        <v>1159.7373133785</v>
      </c>
      <c r="BZ96" s="262">
        <f t="shared" si="343"/>
        <v>1125.95855667816</v>
      </c>
      <c r="CA96" s="176">
        <f>CB96+各项系数!$M$9*$NT96</f>
        <v>1151.18642368</v>
      </c>
      <c r="CB96" s="176">
        <f>CC96*(1+$CF96+(VLOOKUP($AM96,$A$12:$B$214,2,0))+各项系数!$J$6+各项系数!$M$5)*(1+$E$2)</f>
        <v>1144.91763497653</v>
      </c>
      <c r="CC96" s="262">
        <f>CD96+各项系数!$L$9*$NT$12</f>
        <v>1168.28330099646</v>
      </c>
      <c r="CD96" s="262">
        <f>CE96*(1+$CG96+各项系数!$J$5+各项系数!$L$5)</f>
        <v>1168.2750375933</v>
      </c>
      <c r="CE96" s="262">
        <f t="shared" si="405"/>
        <v>1134.24760931388</v>
      </c>
      <c r="CF96" s="278">
        <f t="shared" si="406"/>
        <v>0</v>
      </c>
      <c r="CG96" s="278">
        <f t="shared" si="344"/>
        <v>0.01</v>
      </c>
      <c r="CH96" s="127"/>
      <c r="CI96" s="176">
        <f>CJ96+各项系数!$M$9*$NO96</f>
        <v>1147.75638131984</v>
      </c>
      <c r="CJ96" s="176">
        <f>CK96*(1+$DC96+(VLOOKUP($AM96,$A$12:$B$323,2,0))+各项系数!$J$6+各项系数!$M$5)*(1+$E$2)+各项系数!$M$9*$NK96</f>
        <v>1139.65227330337</v>
      </c>
      <c r="CK96" s="262">
        <f>CL96+各项系数!$L$9*$NO96</f>
        <v>1156.54728851043</v>
      </c>
      <c r="CL96" s="262">
        <f>CM96*(1+$DD96+各项系数!$J$5+各项系数!$L$5)</f>
        <v>1148.44318049396</v>
      </c>
      <c r="CM96" s="262">
        <f t="shared" si="345"/>
        <v>1125.92468675878</v>
      </c>
      <c r="CN96" s="176">
        <f>CO96+各项系数!$M$9*$NO96</f>
        <v>1157.16561138872</v>
      </c>
      <c r="CO96" s="176">
        <f>CP96*(1+$DC96+(VLOOKUP($AM96,$A$12:$B$323,2,0))+各项系数!$J$6+各项系数!$M$5)*(1+$E$2)+各项系数!$M$9*$NK96</f>
        <v>1149.06150337224</v>
      </c>
      <c r="CP96" s="262">
        <f>CQ96+各项系数!$L$9*$NO96</f>
        <v>1166.14854368275</v>
      </c>
      <c r="CQ96" s="262">
        <f>CR96*(1+$DD96+各项系数!$J$5+各项系数!$L$5)</f>
        <v>1158.04443566628</v>
      </c>
      <c r="CR96" s="262">
        <f t="shared" si="346"/>
        <v>1135.33768202576</v>
      </c>
      <c r="CS96" s="176">
        <f>CT96+各项系数!$M$9*$NU96</f>
        <v>1149.16367271929</v>
      </c>
      <c r="CT96" s="176">
        <f t="shared" si="347"/>
        <v>1141.02600088233</v>
      </c>
      <c r="CU96" s="262">
        <f>CV96+各项系数!$L$9*$NU96</f>
        <v>1164.3122457983</v>
      </c>
      <c r="CV96" s="262">
        <f>CW96*(1+$DD96+各项系数!$J$5+各项系数!$L$5)</f>
        <v>1156.17457396134</v>
      </c>
      <c r="CW96" s="262">
        <f t="shared" si="348"/>
        <v>1133.50448427582</v>
      </c>
      <c r="CX96" s="176">
        <f>CY96+各项系数!$M$9*$NU96</f>
        <v>1159.08468627118</v>
      </c>
      <c r="CY96" s="176">
        <f t="shared" si="349"/>
        <v>1150.94701443422</v>
      </c>
      <c r="CZ96" s="262">
        <f>DA96+各项系数!$L$9*$NU96</f>
        <v>1174.43572901451</v>
      </c>
      <c r="DA96" s="262">
        <f>DB96*(1+$DD96+各项系数!$J$5+各项系数!$L$5)</f>
        <v>1166.29805717755</v>
      </c>
      <c r="DB96" s="262">
        <f t="shared" si="350"/>
        <v>1143.42946782113</v>
      </c>
      <c r="DC96" s="278">
        <f t="shared" si="407"/>
        <v>0</v>
      </c>
      <c r="DD96" s="278">
        <f t="shared" si="351"/>
        <v>0</v>
      </c>
      <c r="DE96" s="95" t="s">
        <v>498</v>
      </c>
      <c r="DF96" s="95" t="s">
        <v>513</v>
      </c>
      <c r="DG96" s="176">
        <f>DH96+各项系数!$M$9*$NQ96</f>
        <v>1160.26771055797</v>
      </c>
      <c r="DH96" s="176">
        <f>DI96*(1+$EA96+(VLOOKUP($AM96,$A$12:$B$323,2,0))+各项系数!$J$6+各项系数!$M$5)*(1+$E$2)+各项系数!$M$9*$NK96</f>
        <v>1152.16360254149</v>
      </c>
      <c r="DI96" s="262">
        <f>DJ96+各项系数!$L$9*$NQ96</f>
        <v>1169.31395099831</v>
      </c>
      <c r="DJ96" s="262">
        <f>DK96*(1+$EB96+各项系数!$J$5+各项系数!$L$5)</f>
        <v>1161.20984298184</v>
      </c>
      <c r="DK96" s="262">
        <f t="shared" si="352"/>
        <v>1127.38819706975</v>
      </c>
      <c r="DL96" s="176">
        <f>DM96+各项系数!$M$9*$NQ96</f>
        <v>1168.78963353137</v>
      </c>
      <c r="DM96" s="176">
        <f>DN96*(1+$EA96+(VLOOKUP($AM96,$A$12:$B$323,2,0))+各项系数!$J$6+各项系数!$M$5)*(1+$E$2)+各项系数!$M$9*$NK96</f>
        <v>1160.6855255149</v>
      </c>
      <c r="DN96" s="262">
        <f>DO96+各项系数!$L$9*$NQ96</f>
        <v>1178.0097907671</v>
      </c>
      <c r="DO96" s="262">
        <f>DP96*(1+$EB96+各项系数!$J$5+各项系数!$L$5)</f>
        <v>1169.90568275063</v>
      </c>
      <c r="DP96" s="262">
        <f t="shared" si="353"/>
        <v>1135.83075995206</v>
      </c>
      <c r="DQ96" s="176">
        <f>DR96+各项系数!$M$9*$NV96</f>
        <v>1161.75210402542</v>
      </c>
      <c r="DR96" s="176">
        <f t="shared" si="354"/>
        <v>1153.61443218846</v>
      </c>
      <c r="DS96" s="262">
        <f>DT96+各项系数!$L$9*$NV96</f>
        <v>1177.15758386578</v>
      </c>
      <c r="DT96" s="262">
        <f>DU96*(1+$EB96+各项系数!$J$5+各项系数!$L$5)</f>
        <v>1169.01991202882</v>
      </c>
      <c r="DU96" s="262">
        <f t="shared" si="355"/>
        <v>1134.97078837749</v>
      </c>
      <c r="DV96" s="176">
        <f>DW96+各项系数!$M$9*$NV96</f>
        <v>1160.53832190108</v>
      </c>
      <c r="DW96" s="176">
        <f t="shared" si="356"/>
        <v>1152.40065006412</v>
      </c>
      <c r="DX96" s="262">
        <f>DY96+各项系数!$L$9*$NV96</f>
        <v>1175.91903067767</v>
      </c>
      <c r="DY96" s="262">
        <f>DZ96*(1+$EB96+各项系数!$J$5+各项系数!$L$5)</f>
        <v>1167.78135884071</v>
      </c>
      <c r="DZ96" s="262">
        <f t="shared" si="357"/>
        <v>1133.76830955409</v>
      </c>
      <c r="EA96" s="278">
        <f t="shared" si="439"/>
        <v>0</v>
      </c>
      <c r="EB96" s="278">
        <f t="shared" si="358"/>
        <v>0.01</v>
      </c>
      <c r="EC96" s="302">
        <f t="shared" si="408"/>
        <v>5</v>
      </c>
      <c r="ED96" s="304" t="str">
        <f t="shared" si="442"/>
        <v>5*400</v>
      </c>
      <c r="EE96" s="95">
        <f t="shared" si="491"/>
        <v>400</v>
      </c>
      <c r="EF96" s="95" t="str">
        <f>LOOKUP(EH96,{1,7,10,14,19,24,30,37,48,61},{1,"1+6","2+8","4+10","1+6+12","2+8+14","4+10+16","1+6+12+18","3+9+15+21","1+6+12+18+24"})</f>
        <v>1+6+12+18+24</v>
      </c>
      <c r="EG96" s="127">
        <f t="shared" si="359"/>
        <v>5</v>
      </c>
      <c r="EH96" s="262">
        <f>VLOOKUP(EE96,各项系数!$B$87:$C$124,2,0)</f>
        <v>61</v>
      </c>
      <c r="EI96" s="127">
        <f>IF(EH96=0,0,VLOOKUP(EH96,各项系数!$D$142:$E$195,2,0))*1</f>
        <v>9</v>
      </c>
      <c r="EJ96" s="307">
        <f t="shared" si="409"/>
        <v>277.181191063812</v>
      </c>
      <c r="EK96" s="95">
        <f t="shared" si="332"/>
        <v>0</v>
      </c>
      <c r="EL96" s="95">
        <f t="shared" si="360"/>
        <v>0</v>
      </c>
      <c r="EM96" s="95">
        <f t="shared" si="443"/>
        <v>0</v>
      </c>
      <c r="EN96" s="95">
        <f>IF(EP96=0,0,LOOKUP(EP96,{1,7,10,14,19,24,30,37,48,61},{1,"1+6","2+8","4+10","1+6+12","2+8+14","4+10+16","1+6+12+18","3+9+15+21","1+6+12+18+24"}))</f>
        <v>0</v>
      </c>
      <c r="EO96" s="95">
        <f t="shared" si="334"/>
        <v>0</v>
      </c>
      <c r="EP96" s="95">
        <f>IF(EM96=0,0,IF(EM96&lt;10,1,IF(AND(EM96&gt;=10,EM96&lt;=35),7,LOOKUP(EM96,{50,70,95,120,150,185,240,300},{10,14,19,24,30,37,48,61})*1)))</f>
        <v>0</v>
      </c>
      <c r="EQ96" s="95">
        <f>IF(EP96=0,0,VLOOKUP(EP96,各项系数!$D$142:$E$195,2,0))*1</f>
        <v>0</v>
      </c>
      <c r="ER96" s="95">
        <f t="shared" si="335"/>
        <v>0</v>
      </c>
      <c r="ES96" s="304">
        <f t="shared" si="444"/>
        <v>5</v>
      </c>
      <c r="ET96" s="95">
        <f>VLOOKUP(ES96,各项系数!$D$142:$E$195,2,0)*1</f>
        <v>2.7</v>
      </c>
      <c r="EU96" s="311">
        <f>((各项系数!$F$76/4*$EJ96^2*$EG96*$EH96*1*10^-7)*(1-$H96)*AA96)*(VLOOKUP($EY$9,各项系数!$D$4:$F$143,3,0))*各项系数!$J$4</f>
        <v>16.6051287550922</v>
      </c>
      <c r="EV96" s="312">
        <f>EU96*(VLOOKUP($EY$9,各项系数!$D$4:$F$143,2,0))</f>
        <v>1087.63593345854</v>
      </c>
      <c r="EW96" s="324">
        <f>(IF($EO96=0,0,(各项系数!$F$76/4*$ER96^2*$EO96*$EP96*1*10^-7))*(1-$K96)*$AF96)*(VLOOKUP($EY$9,各项系数!$D$4:$F$143,3,0))*各项系数!$J$4</f>
        <v>0</v>
      </c>
      <c r="EX96" s="325">
        <f>EW96*(VLOOKUP($EY$9,各项系数!$D$4:$F$143,2,0))</f>
        <v>0</v>
      </c>
      <c r="EY96" s="251">
        <f>((各项系数!$F$76/4*$EJ96^2*$EG96*$EH96*1*10^-7)*(1-$H96)*AA96+IF($EO96=0,0,(各项系数!$F$76/4*$ER96^2*$EO96*$EP96*1*10^-7))*(1-$K96)*$AF96)*(VLOOKUP($EY$9,各项系数!$D$4:$F$143,3,0))*各项系数!$J$4</f>
        <v>16.6051287550922</v>
      </c>
      <c r="EZ96" s="127">
        <v>1</v>
      </c>
      <c r="FA96" s="95">
        <f t="shared" si="445"/>
        <v>16.6051287550922</v>
      </c>
      <c r="FB96" s="314">
        <f>FA96*(VLOOKUP($EY$9,各项系数!$D$4:$F$143,2,0))</f>
        <v>1087.63593345854</v>
      </c>
      <c r="FC96" s="329"/>
      <c r="FD96" s="304">
        <f>各项系数!$F$76/4*($MN96^2-MK96^2)*10^-2*(VLOOKUP(L96,各项系数!$D$1:$F$143,3,0))*10^-3*10^2*$EG96*各项系数!$J$4</f>
        <v>0.926541540165234</v>
      </c>
      <c r="FE96" s="341">
        <f>FD96*VLOOKUP(L96,各项系数!$D$1:$F$143,2,0)</f>
        <v>9.45072370968538</v>
      </c>
      <c r="FF96" s="127">
        <f>各项系数!$F$76/4*($MO96^2-ML96^2)*10^-2*(VLOOKUP(L96,各项系数!$D$1:$F$143,3,0))*10^-3*10^2*$EO96*各项系数!$J$4</f>
        <v>0</v>
      </c>
      <c r="FG96" s="341">
        <f>FF96*VLOOKUP(L96,各项系数!$D$1:$F$143,2,0)</f>
        <v>0</v>
      </c>
      <c r="FH96" s="304">
        <f t="shared" si="410"/>
        <v>0.926541540165234</v>
      </c>
      <c r="FI96" s="127">
        <v>1</v>
      </c>
      <c r="FJ96" s="95">
        <f t="shared" si="446"/>
        <v>0.926541540165234</v>
      </c>
      <c r="FK96" s="341">
        <f>FJ96*VLOOKUP(L96,各项系数!$D$1:$F$143,2,0)</f>
        <v>9.45072370968538</v>
      </c>
      <c r="FL96" s="304"/>
      <c r="FM96" s="127"/>
      <c r="FN96" s="95"/>
      <c r="FO96" s="341"/>
      <c r="FP96" s="371">
        <f t="shared" si="447"/>
        <v>0.926541540165234</v>
      </c>
      <c r="FQ96" s="371">
        <f t="shared" si="448"/>
        <v>9.45072370968538</v>
      </c>
      <c r="FR96" s="365">
        <f>各项系数!$F$76/4*($MQ96^2-$MN96^2*$EG96-$MO96^2*$EO96)*10^-2</f>
        <v>15.0699460311519</v>
      </c>
      <c r="FS96" s="366">
        <f t="shared" si="411"/>
        <v>1</v>
      </c>
      <c r="FT96" s="367">
        <f t="shared" si="361"/>
        <v>15.0699460311519</v>
      </c>
      <c r="FU96" s="395">
        <f>$FT96*(VLOOKUP($FT$9,各项系数!$D$1:$F$143,3,0))*10^-3*10^2*各项系数!$J$55</f>
        <v>1.79935155611954</v>
      </c>
      <c r="FV96" s="396">
        <v>1</v>
      </c>
      <c r="FW96" s="397">
        <f t="shared" si="449"/>
        <v>1.79935155611954</v>
      </c>
      <c r="FX96" s="372">
        <f>FW96*(VLOOKUP($FT$9,各项系数!$D$1:$F$143,2,0))</f>
        <v>5.39805466835861</v>
      </c>
      <c r="FY96" s="395">
        <f>IF($BK96&lt;&gt;$FY$9,0,各项系数!$F$76/4*($MS96^2-$MQ96^2)*10^-2*(VLOOKUP($FY$9,各项系数!$D$1:$F$143,3,0))*10^-3*10^2)*各项系数!$J$4</f>
        <v>0</v>
      </c>
      <c r="FZ96" s="396">
        <v>1</v>
      </c>
      <c r="GA96" s="397">
        <f t="shared" si="450"/>
        <v>0</v>
      </c>
      <c r="GB96" s="372">
        <f>GA96*(VLOOKUP($FY$9,各项系数!$D$1:$F$143,2,0))</f>
        <v>0</v>
      </c>
      <c r="GC96" s="395">
        <f>IF($BK96&lt;&gt;$GC$9,0,各项系数!$F$76/4*($MS96^2-$MQ96^2)*10^-2*(VLOOKUP($GC$9,各项系数!$D$1:$F$143,3,0))*10^-3*10^2)*各项系数!$J$4</f>
        <v>0.0213076952774007</v>
      </c>
      <c r="GD96" s="396">
        <v>1</v>
      </c>
      <c r="GE96" s="397">
        <f t="shared" si="451"/>
        <v>0.0213076952774007</v>
      </c>
      <c r="GF96" s="372">
        <f>GE96*(VLOOKUP($GC$9,各项系数!$D$1:$F$143,2,0))</f>
        <v>0.274869269078469</v>
      </c>
      <c r="GG96" s="395">
        <f>IF($BK96&lt;&gt;$GG$9,0,各项系数!$F$76/4*($MS96^2-$MQ96^2)*10^-2*(VLOOKUP($GG$9,各项系数!$D$1:$F$143,3,0))*10^-3*10^2)*各项系数!$J$4</f>
        <v>0</v>
      </c>
      <c r="GH96" s="396">
        <v>1</v>
      </c>
      <c r="GI96" s="397">
        <f t="shared" si="452"/>
        <v>0</v>
      </c>
      <c r="GJ96" s="372">
        <f>GI96*(VLOOKUP($GG$9,各项系数!$D$1:$F$143,2,0))</f>
        <v>0</v>
      </c>
      <c r="GK96" s="395">
        <f>IF($BK96&lt;&gt;$GK$9,0,各项系数!$F$76/4*($MS96^2-$MQ96^2)*10^-2*(VLOOKUP($GK$9,各项系数!$D$1:$F$143,3,0))*10^-3*10^2)*各项系数!$J$4</f>
        <v>0</v>
      </c>
      <c r="GL96" s="396">
        <v>1</v>
      </c>
      <c r="GM96" s="397">
        <f t="shared" si="453"/>
        <v>0</v>
      </c>
      <c r="GN96" s="372">
        <f>GM96*(VLOOKUP($GK$9,各项系数!$D$1:$F$143,2,0))</f>
        <v>0</v>
      </c>
      <c r="GO96" s="397">
        <f t="shared" si="454"/>
        <v>0.0213076952774007</v>
      </c>
      <c r="GP96" s="397">
        <f t="shared" si="455"/>
        <v>0.274869269078469</v>
      </c>
      <c r="GQ96" s="408">
        <f>各项系数!$F$76/4*($MU96^2-$MS96^2)*10^-2*(VLOOKUP($S96,各项系数!$D$1:$F$143,3,0))*10^-3*10^2*各项系数!$J$4</f>
        <v>1.44981732058343</v>
      </c>
      <c r="GR96" s="396">
        <v>1</v>
      </c>
      <c r="GS96" s="397">
        <f t="shared" si="456"/>
        <v>1.44981732058343</v>
      </c>
      <c r="GT96" s="397">
        <f t="shared" si="457"/>
        <v>0</v>
      </c>
      <c r="GU96" s="397">
        <f>ROUND($GS96*(VLOOKUP($S96,各项系数!$D$1:$F$143,2,0))+$E$3*GS96,GT96)</f>
        <v>8</v>
      </c>
      <c r="GV96" s="406">
        <f>各项系数!$F$76/4*($MT96^2-$MS96^2)*10^-2*(VLOOKUP($GV$9,各项系数!$D$1:$F$143,3,0))*10^-3*10^2*各项系数!$J$4*PI()/4*R96</f>
        <v>0.109527134407898</v>
      </c>
      <c r="GW96" s="396">
        <v>1</v>
      </c>
      <c r="GX96" s="397">
        <f t="shared" si="458"/>
        <v>0.109527134407898</v>
      </c>
      <c r="GY96" s="397">
        <f>$GX96*(VLOOKUP($GV$9,各项系数!$D$1:$F$143,2,0))</f>
        <v>7.39308157253311</v>
      </c>
      <c r="GZ96" s="408">
        <f>各项系数!$F$76/4*($MV96^2-$MS96^2)*10^-2*(VLOOKUP($GZ$9,各项系数!$D$1:$F$143,3,0))*10^-3*10^2*各项系数!$J$4</f>
        <v>1.41459402215634</v>
      </c>
      <c r="HA96" s="396">
        <v>1</v>
      </c>
      <c r="HB96" s="397">
        <f t="shared" si="412"/>
        <v>1.41459402215634</v>
      </c>
      <c r="HC96" s="397">
        <f>HB96*(VLOOKUP($GZ$9,各项系数!$D$1:$F$143,2,0))</f>
        <v>24.0480983766577</v>
      </c>
      <c r="HD96" s="408">
        <f>各项系数!$F$76/4*($MW96^2-$MT96^2)*10^-2*(VLOOKUP($HD$9,各项系数!$D$1:$F$143,3,0))*10^-3*10^2*各项系数!$J$4</f>
        <v>1.41734980209932</v>
      </c>
      <c r="HE96" s="396">
        <v>1</v>
      </c>
      <c r="HF96" s="397">
        <f t="shared" si="413"/>
        <v>1.41734980209932</v>
      </c>
      <c r="HG96" s="397">
        <f>HF96*(VLOOKUP($HD$9,各项系数!$D$1:$F$143,2,0))</f>
        <v>24.0949466356885</v>
      </c>
      <c r="HH96" s="408">
        <f>各项系数!$F$76/4*($MV96^2-$MS96^2)*10^-2*(VLOOKUP($HH$9,各项系数!$D$1:$F$143,3,0))*10^-3*10^2*各项系数!$J$4</f>
        <v>1.41459402215634</v>
      </c>
      <c r="HI96" s="397">
        <v>1</v>
      </c>
      <c r="HJ96" s="397">
        <f t="shared" si="414"/>
        <v>1.41459402215634</v>
      </c>
      <c r="HK96" s="397">
        <f>HJ96*(VLOOKUP($HH$9,各项系数!$D$1:$F$143,2,0))</f>
        <v>24.0480983766577</v>
      </c>
      <c r="HL96" s="408">
        <f>各项系数!$F$76/4*($MW96^2-$MT96^2)*10^-2*(VLOOKUP($HL$9,各项系数!$D$1:$F$143,3,0))*10^-3*10^2*各项系数!$J$4</f>
        <v>1.41734980209932</v>
      </c>
      <c r="HM96" s="397">
        <v>1</v>
      </c>
      <c r="HN96" s="397">
        <f t="shared" si="362"/>
        <v>1.41734980209932</v>
      </c>
      <c r="HO96" s="397">
        <f>HN96*(VLOOKUP($HL$9,各项系数!$D$1:$F$143,2,0))</f>
        <v>24.0949466356885</v>
      </c>
      <c r="HP96" s="408">
        <f>各项系数!$F$76/4*($MV96^2-$MS96^2)*10^-2*(VLOOKUP(AN96,各项系数!$D$1:$F$143,3,0))*10^-3*10^2*各项系数!$J$4</f>
        <v>1.43410566384125</v>
      </c>
      <c r="HQ96" s="396">
        <v>1</v>
      </c>
      <c r="HR96" s="397">
        <f t="shared" si="459"/>
        <v>1.43410566384125</v>
      </c>
      <c r="HS96" s="397">
        <f>HR96*(VLOOKUP(AN96,各项系数!$D$1:$F$143,2,0))</f>
        <v>14.3410566384125</v>
      </c>
      <c r="HT96" s="408">
        <f>各项系数!$F$76/4*($MW96^2-$MT96^2)*10^-2*(VLOOKUP(AN96,各项系数!$D$1:$F$143,3,0))*10^-3*10^2*各项系数!$J$4</f>
        <v>1.43689945454207</v>
      </c>
      <c r="HU96" s="396">
        <v>1</v>
      </c>
      <c r="HV96" s="397">
        <f t="shared" si="460"/>
        <v>1.43689945454207</v>
      </c>
      <c r="HW96" s="397">
        <f>HV96*(VLOOKUP(AN96,各项系数!$D$1:$F$143,2,0))</f>
        <v>14.3689945454207</v>
      </c>
      <c r="HX96" s="408">
        <f>各项系数!$F$76/4*($MV96^2-$MS96^2)*10^-2*(VLOOKUP($HX$9,各项系数!$D$1:$F$143,3,0))*10^-3*10^2*各项系数!$J$4</f>
        <v>1.43410566384125</v>
      </c>
      <c r="HY96" s="397">
        <v>1</v>
      </c>
      <c r="HZ96" s="397">
        <f t="shared" si="461"/>
        <v>1.43410566384125</v>
      </c>
      <c r="IA96" s="397">
        <f>HZ96*(VLOOKUP($HX$9,各项系数!$D$1:$F$143,2,0))</f>
        <v>15.7751623022537</v>
      </c>
      <c r="IB96" s="408">
        <f>各项系数!$F$76/4*($MW96^2-$MT96^2)*10^-2*(VLOOKUP($IB$9,各项系数!$D$1:$F$143,3,0))*10^-3*10^2*各项系数!$J$4</f>
        <v>1.43689945454207</v>
      </c>
      <c r="IC96" s="397">
        <v>1</v>
      </c>
      <c r="ID96" s="397">
        <f t="shared" si="462"/>
        <v>1.43689945454207</v>
      </c>
      <c r="IE96" s="397">
        <f>ID96*(VLOOKUP($IB$9,各项系数!$D$1:$F$143,2,0))</f>
        <v>15.8058939999628</v>
      </c>
      <c r="IF96" s="395"/>
      <c r="IG96" s="408">
        <f t="shared" si="415"/>
        <v>0.177563351547863</v>
      </c>
      <c r="IH96" s="396">
        <v>1</v>
      </c>
      <c r="II96" s="397">
        <f t="shared" si="463"/>
        <v>0.177563351547863</v>
      </c>
      <c r="IJ96" s="397">
        <f>II96*(VLOOKUP($IG$8,各项系数!$D$1:$F$143,2,0))</f>
        <v>4.43908378869657</v>
      </c>
      <c r="IK96" s="408">
        <f>(各项系数!$F$76/4*($MX96^2-$MK96^2)*$EG96)*10^-2*(VLOOKUP($IG$8,各项系数!$D$1:$F$143,3,0))*10^-3*10^2*各项系数!$J$4</f>
        <v>0.177563351547863</v>
      </c>
      <c r="IL96" s="396">
        <f>IK96*(VLOOKUP($IG$8,各项系数!$D$1:$F$143,2,0))</f>
        <v>4.43908378869657</v>
      </c>
      <c r="IM96" s="397">
        <f>(各项系数!$F$76/4*(($MM96+3*$X96)^2-MM96^2)*$EO96)*10^-2*(VLOOKUP($IG$8,各项系数!$D$1:$F$143,3,0))*10^-3*10^2*各项系数!$J$4</f>
        <v>0</v>
      </c>
      <c r="IN96" s="396">
        <f>IM96*(VLOOKUP($IG$8,各项系数!$D$1:$F$143,2,0))</f>
        <v>0</v>
      </c>
      <c r="IO96" s="408">
        <f>各项系数!$F$76/4*($MZ96^2-$MX96^2)*10^-2*(VLOOKUP(L96,各项系数!$D$1:$F$143,3,0))*10^-3*10^2*$ES96*各项系数!$J$4</f>
        <v>0.947172379121358</v>
      </c>
      <c r="IP96" s="396">
        <v>1</v>
      </c>
      <c r="IQ96" s="397">
        <f t="shared" si="464"/>
        <v>0.947172379121358</v>
      </c>
      <c r="IR96" s="372">
        <f>IQ96*(VLOOKUP(L96,各项系数!$D$1:$F$143,2,0))</f>
        <v>9.66115826703785</v>
      </c>
      <c r="IS96" s="408">
        <f>IF($L96&lt;&gt;$IS$9,0,各项系数!$F$76/4*($MZ96^2-$MX96^2)*10^-2*各项系数!$F$12*10^-3*10^2)*$ES96*各项系数!$J$4</f>
        <v>0</v>
      </c>
      <c r="IT96" s="396">
        <v>1</v>
      </c>
      <c r="IU96" s="397">
        <f t="shared" si="465"/>
        <v>0</v>
      </c>
      <c r="IV96" s="372">
        <f>IU96*各项系数!$E$12</f>
        <v>0</v>
      </c>
      <c r="IW96" s="395">
        <f t="shared" si="466"/>
        <v>0.947172379121358</v>
      </c>
      <c r="IX96" s="395">
        <f t="shared" si="467"/>
        <v>9.66115826703785</v>
      </c>
      <c r="IY96" s="447">
        <f>各项系数!$F$76/4*($NB96^2-$MZ96^2*$EG96-$NA96^2*$EO96)*10^-2</f>
        <v>15.7011615198691</v>
      </c>
      <c r="IZ96" s="366">
        <f t="shared" si="487"/>
        <v>1</v>
      </c>
      <c r="JA96" s="367">
        <f t="shared" si="363"/>
        <v>15.7011615198691</v>
      </c>
      <c r="JB96" s="371">
        <f>IF($DE96&lt;&gt;$JB$9,0,$JA96*各项系数!$F$32*10^-3*10^2)*各项系数!$J$4</f>
        <v>0</v>
      </c>
      <c r="JC96" s="127">
        <v>1</v>
      </c>
      <c r="JD96" s="95">
        <f t="shared" si="468"/>
        <v>0</v>
      </c>
      <c r="JE96" s="341">
        <f>JD96*各项系数!$E$32</f>
        <v>0</v>
      </c>
      <c r="JF96" s="364">
        <f>IF($DE96&lt;&gt;$JF$9,0,$JA96*VLOOKUP($JF$9,各项系数!$D$4:$F$540,2,0)*10^-3*10^2)*各项系数!$J$4</f>
        <v>7.81132785613486</v>
      </c>
      <c r="JG96" s="123">
        <v>1</v>
      </c>
      <c r="JH96" s="251">
        <f t="shared" si="364"/>
        <v>7.81132785613486</v>
      </c>
      <c r="JI96" s="339">
        <f>JH96*VLOOKUP($JF$9,各项系数!$D$4:$F$540,3,0)</f>
        <v>9.37359342736183</v>
      </c>
      <c r="JJ96" s="371">
        <f t="shared" si="469"/>
        <v>7.81132785613486</v>
      </c>
      <c r="JK96" s="95">
        <f t="shared" si="470"/>
        <v>9.37359342736183</v>
      </c>
      <c r="JL96" s="371">
        <f>IF($DF96&lt;&gt;$JL$9,0,各项系数!$F$76/4*($NE96^2-$NC96^2)*10^-2*各项系数!$F$39*10^-3*10^2)*各项系数!$J$4</f>
        <v>0.0089907353735589</v>
      </c>
      <c r="JM96" s="127">
        <v>1</v>
      </c>
      <c r="JN96" s="95">
        <f t="shared" si="471"/>
        <v>0.0089907353735589</v>
      </c>
      <c r="JO96" s="341">
        <f>JN96*各项系数!$E$39</f>
        <v>0.179814707471178</v>
      </c>
      <c r="JP96" s="371">
        <f>IF($DF96&lt;&gt;$JP$9,0,各项系数!$F$76/4*($NE96^2-$NC96^2)*10^-2*各项系数!$F$36*10^-3*10^2)*各项系数!$J$4</f>
        <v>0</v>
      </c>
      <c r="JQ96" s="127">
        <v>1</v>
      </c>
      <c r="JR96" s="95">
        <f t="shared" si="472"/>
        <v>0</v>
      </c>
      <c r="JS96" s="341">
        <f>JR96*各项系数!$E$36</f>
        <v>0</v>
      </c>
      <c r="JT96" s="371">
        <f>IF($DF96&lt;&gt;$JT$9,0,各项系数!$F$76/4*($NE96^2-$NC96^2)*10^-2*各项系数!$F$40*10^-3*10^2)*各项系数!$J$4</f>
        <v>0</v>
      </c>
      <c r="JU96" s="127">
        <v>1</v>
      </c>
      <c r="JV96" s="95">
        <f t="shared" si="473"/>
        <v>0</v>
      </c>
      <c r="JW96" s="341">
        <f>JV96*各项系数!$E$40</f>
        <v>0</v>
      </c>
      <c r="JX96" s="371">
        <f>IF($DF96&lt;&gt;$JX$9,0,各项系数!$F$76/4*($NE96^2-$NC96^2)*10^-2*各项系数!$F$38*10^-3*10^2)*各项系数!$J$4</f>
        <v>0</v>
      </c>
      <c r="JY96" s="127">
        <v>1</v>
      </c>
      <c r="JZ96" s="95">
        <f t="shared" si="474"/>
        <v>0</v>
      </c>
      <c r="KA96" s="341">
        <f>JZ96*各项系数!$E$38</f>
        <v>0</v>
      </c>
      <c r="KB96" s="371">
        <f>IF($DF96&lt;&gt;$KB$9,0,各项系数!$F$76/4*($NE96^2-$NC96^2)*10^-2*各项系数!$F$41*10^-3*10^2)*各项系数!$J$4</f>
        <v>0</v>
      </c>
      <c r="KC96" s="127">
        <v>1</v>
      </c>
      <c r="KD96" s="95">
        <f t="shared" si="475"/>
        <v>0</v>
      </c>
      <c r="KE96" s="341">
        <f>KD96*各项系数!$E$41</f>
        <v>0</v>
      </c>
      <c r="KF96" s="95">
        <f t="shared" si="476"/>
        <v>0.0089907353735589</v>
      </c>
      <c r="KG96" s="95">
        <f t="shared" si="477"/>
        <v>0.179814707471178</v>
      </c>
      <c r="KH96" s="304">
        <f>各项系数!$F$76/4*($NG96^2-$NE96^2)*10^-2*各项系数!$F$44*10^-3*10^2*各项系数!$J$4*0.75*$U96</f>
        <v>2.22103593130342</v>
      </c>
      <c r="KI96" s="127">
        <v>1</v>
      </c>
      <c r="KJ96" s="95">
        <f t="shared" si="478"/>
        <v>2.22103593130342</v>
      </c>
      <c r="KK96" s="95">
        <f>ROUND(KJ96*各项系数!$E$43,GT96)</f>
        <v>13</v>
      </c>
      <c r="KL96" s="302">
        <f>各项系数!$F$76/4*($NF96^2-$NE96^2)*10^-2*各项系数!$F$46*10^-3*10^2*各项系数!$J$4*PI()/4*R96</f>
        <v>0.111879401630134</v>
      </c>
      <c r="KM96" s="127">
        <v>1</v>
      </c>
      <c r="KN96" s="95">
        <f t="shared" si="479"/>
        <v>0.111879401630134</v>
      </c>
      <c r="KO96" s="95">
        <f>KN96*各项系数!$E$46</f>
        <v>7.55185961003404</v>
      </c>
      <c r="KP96" s="304">
        <f>各项系数!$F$76/4*($NH96^2-$NE96^2)*10^-2*(VLOOKUP($KP$9,各项系数!$D$1:$F$143,3,0))*10^-3*10^2*各项系数!$J$4</f>
        <v>1.44359860605628</v>
      </c>
      <c r="KQ96" s="127">
        <v>1</v>
      </c>
      <c r="KR96" s="95">
        <f t="shared" si="416"/>
        <v>1.44359860605628</v>
      </c>
      <c r="KS96" s="95">
        <f>KR96*(VLOOKUP($KP$9,各项系数!$D$1:$F$143,2,0))</f>
        <v>24.5411763029568</v>
      </c>
      <c r="KT96" s="304">
        <f>各项系数!$F$76/4*($NI96^2-$NF96^2)*10^-2*(VLOOKUP($KT$9,各项系数!$D$1:$F$143,3,0))*10^-3*10^2*各项系数!$J$4</f>
        <v>1.44635438599927</v>
      </c>
      <c r="KU96" s="127">
        <v>1</v>
      </c>
      <c r="KV96" s="95">
        <f t="shared" si="417"/>
        <v>1.44635438599927</v>
      </c>
      <c r="KW96" s="95">
        <f>KV96*(VLOOKUP($KT$9,各项系数!$D$1:$F$143,2,0))</f>
        <v>24.5880245619876</v>
      </c>
      <c r="KX96" s="95">
        <f>各项系数!$F$76/4*($NH96^2-$NE96^2)*10^-2*(VLOOKUP($KX$9,各项系数!$D$1:$F$143,3,0))*10^-3*10^2*各项系数!$J$4</f>
        <v>1.44359860605628</v>
      </c>
      <c r="KY96" s="481">
        <v>1</v>
      </c>
      <c r="KZ96" s="95">
        <f t="shared" si="418"/>
        <v>1.44359860605628</v>
      </c>
      <c r="LA96" s="95">
        <f>KZ96*(VLOOKUP($KX$9,各项系数!$D$1:$F$143,2,0))</f>
        <v>24.5411763029568</v>
      </c>
      <c r="LB96" s="95">
        <f>各项系数!$F$76/4*($NI96^2-$NF96^2)*10^-2*(VLOOKUP($LB$9,各项系数!$D$1:$F$143,3,0))*10^-3*10^2*各项系数!$J$4</f>
        <v>1.44635438599927</v>
      </c>
      <c r="LC96" s="481">
        <v>1</v>
      </c>
      <c r="LD96" s="95">
        <f t="shared" si="419"/>
        <v>1.44635438599927</v>
      </c>
      <c r="LE96" s="95">
        <f>LD96*(VLOOKUP($LB$9,各项系数!$D$1:$F$143,2,0))</f>
        <v>24.5880245619876</v>
      </c>
      <c r="LF96" s="304">
        <f>各项系数!$F$76/4*($NH96^2-$NE96^2)*10^-2*(VLOOKUP(AN96,各项系数!$D$1:$F$143,3,0))*10^-3*10^2*各项系数!$J$4</f>
        <v>1.4635103109674</v>
      </c>
      <c r="LG96" s="127">
        <v>1</v>
      </c>
      <c r="LH96" s="95">
        <f t="shared" si="480"/>
        <v>1.4635103109674</v>
      </c>
      <c r="LI96" s="95">
        <f>LH96*(VLOOKUP(AN96,各项系数!$D$1:$F$143,2,0))</f>
        <v>14.635103109674</v>
      </c>
      <c r="LJ96" s="304">
        <f>各项系数!$F$76/4*($NI96^2-$NF96^2)*10^-2*(VLOOKUP(AN96,各项系数!$D$1:$F$143,3,0))*10^-3*10^2*各项系数!$J$4</f>
        <v>1.46630410166822</v>
      </c>
      <c r="LK96" s="127">
        <v>1</v>
      </c>
      <c r="LL96" s="95">
        <f t="shared" si="481"/>
        <v>1.46630410166822</v>
      </c>
      <c r="LM96" s="95">
        <f>LL96*(VLOOKUP(AN96,各项系数!$D$1:$F$143,2,0))</f>
        <v>14.6630410166822</v>
      </c>
      <c r="LN96" s="95">
        <f>各项系数!$F$76/4*($NH96^2-$NE96^2)*10^-2*(VLOOKUP($LN$9,各项系数!$D$1:$F$143,3,0))*10^-3*10^2*各项系数!$J$4</f>
        <v>1.4635103109674</v>
      </c>
      <c r="LO96" s="481">
        <v>1</v>
      </c>
      <c r="LP96" s="95">
        <f t="shared" si="482"/>
        <v>1.4635103109674</v>
      </c>
      <c r="LQ96" s="95">
        <f>LP96*(VLOOKUP($LN$9,各项系数!$D$1:$F$143,2,0))</f>
        <v>16.0986134206414</v>
      </c>
      <c r="LR96" s="95">
        <f>各项系数!$F$76/4*($NI96^2-$NF96^2)*10^-2*(VLOOKUP($LR$9,各项系数!$D$1:$F$143,3,0))*10^-3*10^2*各项系数!$J$4</f>
        <v>1.46630410166822</v>
      </c>
      <c r="LS96" s="481">
        <v>1</v>
      </c>
      <c r="LT96" s="95">
        <f t="shared" si="483"/>
        <v>1.46630410166822</v>
      </c>
      <c r="LU96" s="95">
        <f>LT96*(VLOOKUP($LR$9,各项系数!$D$1:$F$143,2,0))</f>
        <v>16.1293451183505</v>
      </c>
      <c r="LV96" s="501">
        <f t="shared" si="420"/>
        <v>2443.83802322</v>
      </c>
      <c r="LW96" s="501">
        <f t="shared" si="421"/>
        <v>1840.42122736</v>
      </c>
      <c r="LX96" s="501">
        <f t="shared" si="422"/>
        <v>48.4076139222414</v>
      </c>
      <c r="LY96" s="519">
        <f t="shared" si="423"/>
        <v>603.41679586</v>
      </c>
      <c r="LZ96" s="516">
        <f t="shared" si="365"/>
        <v>1</v>
      </c>
      <c r="MA96" s="517">
        <f t="shared" si="366"/>
        <v>2443.83802322</v>
      </c>
      <c r="MB96" s="501">
        <f t="shared" si="424"/>
        <v>24.94630719</v>
      </c>
      <c r="MC96" s="501">
        <f t="shared" si="425"/>
        <v>0</v>
      </c>
      <c r="MD96" s="501">
        <f t="shared" si="426"/>
        <v>0</v>
      </c>
      <c r="ME96" s="501">
        <f t="shared" si="427"/>
        <v>0</v>
      </c>
      <c r="MF96" s="501">
        <f t="shared" si="428"/>
        <v>0</v>
      </c>
      <c r="MG96" s="527">
        <f t="shared" si="429"/>
        <v>1</v>
      </c>
      <c r="MH96" s="517">
        <f t="shared" si="367"/>
        <v>0</v>
      </c>
      <c r="MI96" s="501">
        <f t="shared" si="430"/>
        <v>0</v>
      </c>
      <c r="MJ96" s="95">
        <f t="shared" si="368"/>
        <v>24.94630719</v>
      </c>
      <c r="MK96" s="95">
        <f t="shared" si="431"/>
        <v>24.94630719</v>
      </c>
      <c r="ML96" s="95">
        <f t="shared" si="484"/>
        <v>0</v>
      </c>
      <c r="MM96" s="95">
        <f t="shared" si="369"/>
        <v>0</v>
      </c>
      <c r="MN96" s="95">
        <f t="shared" si="370"/>
        <v>28.94630719</v>
      </c>
      <c r="MO96" s="251">
        <f t="shared" si="432"/>
        <v>0</v>
      </c>
      <c r="MP96" s="95">
        <f t="shared" si="433"/>
        <v>78.15502941</v>
      </c>
      <c r="MQ96" s="95">
        <f t="shared" si="485"/>
        <v>78.15502941</v>
      </c>
      <c r="MR96" s="314">
        <f t="shared" si="434"/>
        <v>78.15502941</v>
      </c>
      <c r="MS96" s="530">
        <f t="shared" si="371"/>
        <v>78.33102941</v>
      </c>
      <c r="MT96" s="532">
        <f t="shared" si="372"/>
        <v>78.49102941</v>
      </c>
      <c r="MU96" s="532">
        <f t="shared" si="373"/>
        <v>79.83102941</v>
      </c>
      <c r="MV96" s="532">
        <f t="shared" si="374"/>
        <v>85.93102941</v>
      </c>
      <c r="MW96" s="532">
        <f t="shared" si="375"/>
        <v>86.09102941</v>
      </c>
      <c r="MX96" s="314">
        <f t="shared" si="376"/>
        <v>25.54630719</v>
      </c>
      <c r="MY96" s="314">
        <f t="shared" si="377"/>
        <v>0</v>
      </c>
      <c r="MZ96" s="95">
        <f t="shared" si="378"/>
        <v>29.54630719</v>
      </c>
      <c r="NA96" s="95">
        <f t="shared" si="379"/>
        <v>0</v>
      </c>
      <c r="NB96" s="95">
        <f t="shared" si="435"/>
        <v>79.77502941</v>
      </c>
      <c r="NC96" s="314">
        <f t="shared" si="486"/>
        <v>79.77502941</v>
      </c>
      <c r="ND96" s="314">
        <f t="shared" si="436"/>
        <v>79.77502941</v>
      </c>
      <c r="NE96" s="537">
        <f t="shared" si="437"/>
        <v>80.01502941</v>
      </c>
      <c r="NF96" s="532">
        <f t="shared" si="380"/>
        <v>80.17502941</v>
      </c>
      <c r="NG96" s="180">
        <f t="shared" si="381"/>
        <v>81.51502941</v>
      </c>
      <c r="NH96" s="314">
        <f t="shared" si="382"/>
        <v>87.61502941</v>
      </c>
      <c r="NI96" s="532">
        <f t="shared" si="383"/>
        <v>87.77502941</v>
      </c>
      <c r="NK96" s="541">
        <f t="shared" si="384"/>
        <v>20.7864352104956</v>
      </c>
      <c r="NL96" s="541">
        <f t="shared" si="385"/>
        <v>1117.10063774407</v>
      </c>
      <c r="NM96" s="541">
        <f t="shared" si="386"/>
        <v>20.7864352104956</v>
      </c>
      <c r="NN96" s="541">
        <f t="shared" si="387"/>
        <v>1118.53474340792</v>
      </c>
      <c r="NO96" s="541">
        <f t="shared" si="388"/>
        <v>27.0136933882373</v>
      </c>
      <c r="NP96" s="541">
        <f t="shared" si="389"/>
        <v>1125.92468675878</v>
      </c>
      <c r="NQ96" s="541">
        <f t="shared" si="390"/>
        <v>27.0136933882373</v>
      </c>
      <c r="NR96" s="541">
        <f t="shared" si="391"/>
        <v>1127.38819706975</v>
      </c>
      <c r="NS96" s="541">
        <f t="shared" si="392"/>
        <v>20.8959623449035</v>
      </c>
      <c r="NT96" s="541">
        <f t="shared" si="393"/>
        <v>20.8959623449035</v>
      </c>
      <c r="NU96" s="541">
        <f t="shared" si="394"/>
        <v>27.1255727898674</v>
      </c>
      <c r="NV96" s="541">
        <f t="shared" si="395"/>
        <v>27.1255727898674</v>
      </c>
      <c r="NW96" s="11">
        <f t="shared" si="396"/>
        <v>22.2362525310791</v>
      </c>
      <c r="NX96" s="11">
        <f>各项系数!$M$9*NK96</f>
        <v>6.23593056314869</v>
      </c>
      <c r="NY96" s="11">
        <f t="shared" si="397"/>
        <v>20.8959623449035</v>
      </c>
    </row>
    <row r="97" s="11" customFormat="1" customHeight="1" spans="1:389">
      <c r="A97" s="81"/>
      <c r="B97" s="82"/>
      <c r="C97" s="83"/>
      <c r="D97" s="74" t="s">
        <v>928</v>
      </c>
      <c r="E97" s="550">
        <f t="shared" si="325"/>
        <v>96.38303921</v>
      </c>
      <c r="F97" s="84">
        <f>$F$33</f>
        <v>314.103042329295</v>
      </c>
      <c r="G97" s="74"/>
      <c r="H97" s="23"/>
      <c r="I97" s="78"/>
      <c r="J97" s="23"/>
      <c r="K97" s="23"/>
      <c r="L97" s="128" t="s">
        <v>467</v>
      </c>
      <c r="M97" s="119">
        <f t="shared" si="339"/>
        <v>2.2</v>
      </c>
      <c r="N97" s="119">
        <f t="shared" si="340"/>
        <v>0</v>
      </c>
      <c r="O97" s="74">
        <f t="shared" si="488"/>
        <v>0.08</v>
      </c>
      <c r="P97" s="120">
        <v>0.1</v>
      </c>
      <c r="Q97" s="165">
        <f t="shared" si="489"/>
        <v>0.1</v>
      </c>
      <c r="R97" s="182">
        <v>0.8</v>
      </c>
      <c r="S97" s="173" t="str">
        <f>各项系数!$D$43</f>
        <v>钢带</v>
      </c>
      <c r="T97" s="78">
        <v>0.5</v>
      </c>
      <c r="U97" s="78">
        <v>2</v>
      </c>
      <c r="V97" s="172"/>
      <c r="W97" s="174">
        <v>4</v>
      </c>
      <c r="X97" s="168">
        <f t="shared" si="490"/>
        <v>0.2</v>
      </c>
      <c r="Y97" s="221"/>
      <c r="Z97" s="222"/>
      <c r="AA97" s="223">
        <f>$AA$33</f>
        <v>1.02</v>
      </c>
      <c r="AB97" s="186">
        <f>PI()*EJ97*EJ97/4*EH97*(1-H97)*AA97*各项系数!$F$5*各项系数!$J$4*10^-7</f>
        <v>4.26470519939525</v>
      </c>
      <c r="AC97" s="224">
        <f t="shared" si="327"/>
        <v>314.103042329295</v>
      </c>
      <c r="AD97" s="186">
        <f t="shared" si="341"/>
        <v>482.13002011127</v>
      </c>
      <c r="AE97" s="186">
        <f>POWER(4*EU97/PI()/EG97/10^-7/EH97/(1-H97)/各项系数!$F$5/各项系数!$J$4,0.5)</f>
        <v>317.228522715927</v>
      </c>
      <c r="AF97" s="225">
        <v>1</v>
      </c>
      <c r="AG97" s="23">
        <f>IF(EM97=0,0,PI()*ER97*ER97/4*EP97*(1-K97)*(1+AF97)*各项系数!$F$5*各项系数!$J$4*10^-7)</f>
        <v>0</v>
      </c>
      <c r="AH97" s="23">
        <f t="shared" si="328"/>
        <v>0</v>
      </c>
      <c r="AI97" s="85">
        <f t="shared" si="398"/>
        <v>0</v>
      </c>
      <c r="AJ97" s="85">
        <f>IF(OR(EP97="",EP97=0),0,POWER(4*EW97/PI()/EO97/10^-7/EP97/(1-K97)/各项系数!$F$5/各项系数!$J$4,0.5))</f>
        <v>0</v>
      </c>
      <c r="AK97" s="23" t="str">
        <f t="shared" si="342"/>
        <v>√</v>
      </c>
      <c r="AL97" s="23">
        <f t="shared" si="329"/>
        <v>1476.72967616173</v>
      </c>
      <c r="AM97" s="127">
        <f t="shared" si="330"/>
        <v>500</v>
      </c>
      <c r="AN97" s="128" t="s">
        <v>486</v>
      </c>
      <c r="AO97" s="176">
        <f>AP97+各项系数!$M$9*$NK97</f>
        <v>1447.77419231542</v>
      </c>
      <c r="AP97" s="176">
        <f>AQ97*(1+$BI97+(VLOOKUP($AM97,$A$12:$B$323,2,0))+各项系数!$J$6+各项系数!$M$5)*(1+$E$2)</f>
        <v>1439.82719106606</v>
      </c>
      <c r="AQ97" s="262">
        <f>AR97+各项系数!$L$9*$NK97</f>
        <v>1469.21141945516</v>
      </c>
      <c r="AR97" s="262">
        <f>AS97*(1+$BJ97+各项系数!$J$5+各项系数!$L$5)</f>
        <v>1461.26441820581</v>
      </c>
      <c r="AS97" s="262">
        <f t="shared" si="399"/>
        <v>1432.61217471158</v>
      </c>
      <c r="AT97" s="176">
        <f>AU97+各项系数!$M$9*$NM97</f>
        <v>1459.26298832897</v>
      </c>
      <c r="AU97" s="176">
        <f>AV97*(1+$BI97+(VLOOKUP($AM97,$A$12:$B$323,2,0))+各项系数!$J$6+各项系数!$M$5)*(1+$E$2)</f>
        <v>1451.31598707961</v>
      </c>
      <c r="AV97" s="262">
        <f>AW97+各项系数!$L$9*$NM97</f>
        <v>1480.93468069348</v>
      </c>
      <c r="AW97" s="262">
        <f>AX97*(1+$BJ97+各项系数!$J$5+各项系数!$L$5)</f>
        <v>1472.98767944412</v>
      </c>
      <c r="AX97" s="262">
        <f t="shared" si="400"/>
        <v>1444.10556808247</v>
      </c>
      <c r="AY97" s="176">
        <f>AZ97+各项系数!$M$9*$NS97</f>
        <v>1456.21449983386</v>
      </c>
      <c r="AZ97" s="176">
        <f>BA97*(1+$BI97+(VLOOKUP($AM97,$A$12:$B$214,2,0))+各项系数!$J$6+各项系数!$M$5)*(1+$E$2)</f>
        <v>1448.23042814967</v>
      </c>
      <c r="BA97" s="262">
        <f>BB97+各项系数!$L$9*$NS97</f>
        <v>1477.78615117314</v>
      </c>
      <c r="BB97" s="262">
        <f>BC97*(1+$BJ97+各项系数!$J$5+各项系数!$L$5)</f>
        <v>1469.80207948895</v>
      </c>
      <c r="BC97" s="262">
        <f t="shared" si="401"/>
        <v>1440.98243087152</v>
      </c>
      <c r="BD97" s="176">
        <f>BE97+各项系数!$M$9*$NS97</f>
        <v>1467.72319351886</v>
      </c>
      <c r="BE97" s="176">
        <f>BF97*(1+$BI97+(VLOOKUP($AM97,$A$12:$B$214,2,0))+各项系数!$J$6+各项系数!$M$5)*(1+$E$2)</f>
        <v>1459.73912183467</v>
      </c>
      <c r="BF97" s="262">
        <f>BG97+各项系数!$L$9*$NS97</f>
        <v>1489.52971615783</v>
      </c>
      <c r="BG97" s="262">
        <f>BH97*(1+$BJ97+各项系数!$J$5+各项系数!$L$5)</f>
        <v>1481.54564447364</v>
      </c>
      <c r="BH97" s="262">
        <f t="shared" si="402"/>
        <v>1452.49572987612</v>
      </c>
      <c r="BI97" s="278"/>
      <c r="BJ97" s="279"/>
      <c r="BK97" s="95" t="s">
        <v>514</v>
      </c>
      <c r="BL97" s="176">
        <f>BM97+各项系数!$M$9*$NM97</f>
        <v>1463.52777192556</v>
      </c>
      <c r="BM97" s="176">
        <f>BN97*(1+$CF97+(VLOOKUP($AM97,$A$12:$B$323,2,0))+各项系数!$J$6+各项系数!$M$5)*(1+$E$2)</f>
        <v>1455.58077067621</v>
      </c>
      <c r="BN97" s="262">
        <f>BO97+各项系数!$L$9*$NM97</f>
        <v>1485.28650069001</v>
      </c>
      <c r="BO97" s="262">
        <f>BP97*(1+$CG97+各项系数!$J$5+各项系数!$L$5)</f>
        <v>1477.33949944065</v>
      </c>
      <c r="BP97" s="262">
        <f t="shared" si="403"/>
        <v>1434.3101936317</v>
      </c>
      <c r="BQ97" s="176">
        <f>BR97+各项系数!$M$9*$NM97</f>
        <v>1473.41522289617</v>
      </c>
      <c r="BR97" s="176">
        <f>BS97*(1+$CF97+(VLOOKUP($AM97,$A$12:$B$323,2,0))+各项系数!$J$6+各项系数!$M$5)*(1+$E$2)</f>
        <v>1465.46822164682</v>
      </c>
      <c r="BS97" s="262">
        <f>BT97+各项系数!$L$9*$NM97</f>
        <v>1495.3757363743</v>
      </c>
      <c r="BT97" s="262">
        <f>BU97*(1+$CG97+各项系数!$J$5+各项系数!$L$5)</f>
        <v>1487.42873512495</v>
      </c>
      <c r="BU97" s="262">
        <f t="shared" si="404"/>
        <v>1444.10556808247</v>
      </c>
      <c r="BV97" s="176">
        <f>BW97+各项系数!$M$9*$NT97</f>
        <v>1464.2367843151</v>
      </c>
      <c r="BW97" s="176">
        <f>BX97*(1+$CF97+(VLOOKUP($AM97,$A$12:$B$214,2,0))+各项系数!$J$6+各项系数!$M$5)*(1+$E$2)</f>
        <v>1456.25271263091</v>
      </c>
      <c r="BX97" s="262">
        <f>BY97+各项系数!$L$9*$NT$12</f>
        <v>1485.97215574583</v>
      </c>
      <c r="BY97" s="262">
        <f>BZ97*(1+$CG97+各项系数!$J$5+各项系数!$L$5)</f>
        <v>1485.96389234268</v>
      </c>
      <c r="BZ97" s="262">
        <f t="shared" si="343"/>
        <v>1442.68339062396</v>
      </c>
      <c r="CA97" s="176">
        <f>CB97+各项系数!$M$9*$NT97</f>
        <v>1474.14135955624</v>
      </c>
      <c r="CB97" s="176">
        <f>CC97*(1+$CF97+(VLOOKUP($AM97,$A$12:$B$214,2,0))+各项系数!$J$6+各项系数!$M$5)*(1+$E$2)</f>
        <v>1466.15728787205</v>
      </c>
      <c r="CC97" s="262">
        <f>CD97+各项系数!$L$9*$NT$12</f>
        <v>1496.07886517556</v>
      </c>
      <c r="CD97" s="262">
        <f>CE97*(1+$CG97+各项系数!$J$5+各项系数!$L$5)</f>
        <v>1496.0706017724</v>
      </c>
      <c r="CE97" s="262">
        <f t="shared" si="405"/>
        <v>1452.49572987612</v>
      </c>
      <c r="CF97" s="278">
        <f t="shared" si="406"/>
        <v>0</v>
      </c>
      <c r="CG97" s="278">
        <f t="shared" si="344"/>
        <v>0.01</v>
      </c>
      <c r="CH97" s="127"/>
      <c r="CI97" s="176">
        <f>CJ97+各项系数!$M$9*$NO97</f>
        <v>1470.84679333523</v>
      </c>
      <c r="CJ97" s="176">
        <f>CK97*(1+$DC97+(VLOOKUP($AM97,$A$12:$B$323,2,0))+各项系数!$J$6+各项系数!$M$5)*(1+$E$2)+各项系数!$M$9*$NK97</f>
        <v>1460.54402329369</v>
      </c>
      <c r="CK97" s="262">
        <f>CL97+各项系数!$L$9*$NO97</f>
        <v>1482.24185922892</v>
      </c>
      <c r="CL97" s="262">
        <f>CM97*(1+$DD97+各项系数!$J$5+各项系数!$L$5)</f>
        <v>1471.93908918738</v>
      </c>
      <c r="CM97" s="262">
        <f t="shared" si="345"/>
        <v>1443.077538419</v>
      </c>
      <c r="CN97" s="176">
        <f>CO97+各项系数!$M$9*$NO97</f>
        <v>1482.02619055649</v>
      </c>
      <c r="CO97" s="176">
        <f>CP97*(1+$DC97+(VLOOKUP($AM97,$A$12:$B$323,2,0))+各项系数!$J$6+各项系数!$M$5)*(1+$E$2)+各项系数!$M$9*$NK97</f>
        <v>1471.72342051495</v>
      </c>
      <c r="CP97" s="262">
        <f>CQ97+各项系数!$L$9*$NO97</f>
        <v>1493.64940741387</v>
      </c>
      <c r="CQ97" s="262">
        <f>CR97*(1+$DD97+各项系数!$J$5+各项系数!$L$5)</f>
        <v>1483.34663737234</v>
      </c>
      <c r="CR97" s="262">
        <f t="shared" si="346"/>
        <v>1454.26140918857</v>
      </c>
      <c r="CS97" s="176">
        <f>CT97+各项系数!$M$9*$NU97</f>
        <v>1471.50021137733</v>
      </c>
      <c r="CT97" s="176">
        <f t="shared" si="347"/>
        <v>1461.1596652208</v>
      </c>
      <c r="CU97" s="262">
        <f>CV97+各项系数!$L$9*$NU97</f>
        <v>1490.9792502253</v>
      </c>
      <c r="CV97" s="262">
        <f>CW97*(1+$DD97+各项系数!$J$5+各项系数!$L$5)</f>
        <v>1480.63870406877</v>
      </c>
      <c r="CW97" s="262">
        <f t="shared" si="348"/>
        <v>1451.60657261644</v>
      </c>
      <c r="CX97" s="176">
        <f>CY97+各项系数!$M$9*$NU97</f>
        <v>1483.21832805439</v>
      </c>
      <c r="CY97" s="176">
        <f t="shared" si="349"/>
        <v>1472.87778189786</v>
      </c>
      <c r="CZ97" s="262">
        <f>DA97+各项系数!$L$9*$NU97</f>
        <v>1502.93651214067</v>
      </c>
      <c r="DA97" s="262">
        <f>DB97*(1+$DD97+各项系数!$J$5+各项系数!$L$5)</f>
        <v>1492.59596598414</v>
      </c>
      <c r="DB97" s="262">
        <f t="shared" si="350"/>
        <v>1463.32937841582</v>
      </c>
      <c r="DC97" s="278">
        <f t="shared" si="407"/>
        <v>0</v>
      </c>
      <c r="DD97" s="278">
        <f t="shared" si="351"/>
        <v>0</v>
      </c>
      <c r="DE97" s="95" t="s">
        <v>498</v>
      </c>
      <c r="DF97" s="95" t="s">
        <v>513</v>
      </c>
      <c r="DG97" s="176">
        <f>DH97+各项系数!$M$9*$NQ97</f>
        <v>1486.73417672108</v>
      </c>
      <c r="DH97" s="176">
        <f>DI97*(1+$EA97+(VLOOKUP($AM97,$A$12:$B$323,2,0))+各项系数!$J$6+各项系数!$M$5)*(1+$E$2)+各项系数!$M$9*$NK97</f>
        <v>1476.43140667955</v>
      </c>
      <c r="DI97" s="262">
        <f>DJ97+各项系数!$L$9*$NQ97</f>
        <v>1498.45347492877</v>
      </c>
      <c r="DJ97" s="262">
        <f>DK97*(1+$EB97+各项系数!$J$5+各项系数!$L$5)</f>
        <v>1488.15070488723</v>
      </c>
      <c r="DK97" s="262">
        <f t="shared" si="352"/>
        <v>1444.80650959926</v>
      </c>
      <c r="DL97" s="176">
        <f>DM97+各项系数!$M$9*$NQ97</f>
        <v>1496.80186063896</v>
      </c>
      <c r="DM97" s="176">
        <f>DN97*(1+$EA97+(VLOOKUP($AM97,$A$12:$B$323,2,0))+各项系数!$J$6+各项系数!$M$5)*(1+$E$2)+各项系数!$M$9*$NK97</f>
        <v>1486.49909059743</v>
      </c>
      <c r="DN97" s="262">
        <f>DO97+各项系数!$L$9*$NQ97</f>
        <v>1508.72662178375</v>
      </c>
      <c r="DO97" s="262">
        <f>DP97*(1+$EB97+各项系数!$J$5+各项系数!$L$5)</f>
        <v>1498.42385174221</v>
      </c>
      <c r="DP97" s="262">
        <f t="shared" si="353"/>
        <v>1454.78043858467</v>
      </c>
      <c r="DQ97" s="176">
        <f>DR97+各项系数!$M$9*$NV97</f>
        <v>1487.47414777446</v>
      </c>
      <c r="DR97" s="176">
        <f t="shared" si="354"/>
        <v>1477.13360161793</v>
      </c>
      <c r="DS97" s="262">
        <f>DT97+各项系数!$L$9*$NV97</f>
        <v>1507.27918532442</v>
      </c>
      <c r="DT97" s="262">
        <f>DU97*(1+$EB97+各项系数!$J$5+各项系数!$L$5)</f>
        <v>1496.93863916789</v>
      </c>
      <c r="DU97" s="262">
        <f t="shared" si="355"/>
        <v>1453.33848462902</v>
      </c>
      <c r="DV97" s="176">
        <f>DW97+各项系数!$M$9*$NV97</f>
        <v>1485.45986064946</v>
      </c>
      <c r="DW97" s="176">
        <f t="shared" si="356"/>
        <v>1475.11931449293</v>
      </c>
      <c r="DX97" s="262">
        <f>DY97+各项系数!$L$9*$NV97</f>
        <v>1505.22379029891</v>
      </c>
      <c r="DY97" s="262">
        <f>DZ97*(1+$EB97+各项系数!$J$5+各项系数!$L$5)</f>
        <v>1494.88324414238</v>
      </c>
      <c r="DZ97" s="262">
        <f t="shared" si="357"/>
        <v>1451.34295547804</v>
      </c>
      <c r="EA97" s="278">
        <f t="shared" ref="EA97:EA110" si="492">BI97+$EA$2</f>
        <v>0</v>
      </c>
      <c r="EB97" s="278">
        <f t="shared" si="358"/>
        <v>0.01</v>
      </c>
      <c r="EC97" s="302">
        <f t="shared" si="408"/>
        <v>5</v>
      </c>
      <c r="ED97" s="304" t="str">
        <f t="shared" si="442"/>
        <v>5*500</v>
      </c>
      <c r="EE97" s="95">
        <f t="shared" si="491"/>
        <v>500</v>
      </c>
      <c r="EF97" s="95" t="str">
        <f>LOOKUP(EH97,{1,7,10,14,19,24,30,37,48,61},{1,"1+6","2+8","4+10","1+6+12","2+8+14","4+10+16","1+6+12+18","3+9+15+21","1+6+12+18+24"})</f>
        <v>1+6+12+18+24</v>
      </c>
      <c r="EG97" s="127">
        <f t="shared" si="359"/>
        <v>5</v>
      </c>
      <c r="EH97" s="262">
        <f>VLOOKUP(EE97,各项系数!$B$87:$C$124,2,0)</f>
        <v>61</v>
      </c>
      <c r="EI97" s="127">
        <f>IF(EH97=0,0,VLOOKUP(EH97,各项系数!$D$142:$E$195,2,0))*1</f>
        <v>9</v>
      </c>
      <c r="EJ97" s="307">
        <f t="shared" si="409"/>
        <v>314.103042329295</v>
      </c>
      <c r="EK97" s="95">
        <f t="shared" si="332"/>
        <v>0</v>
      </c>
      <c r="EL97" s="95">
        <f t="shared" si="360"/>
        <v>0</v>
      </c>
      <c r="EM97" s="95">
        <f t="shared" si="443"/>
        <v>0</v>
      </c>
      <c r="EN97" s="95">
        <f>IF(EP97=0,0,LOOKUP(EP97,{1,7,10,14,19,24,30,37,48,61},{1,"1+6","2+8","4+10","1+6+12","2+8+14","4+10+16","1+6+12+18","3+9+15+21","1+6+12+18+24"}))</f>
        <v>0</v>
      </c>
      <c r="EO97" s="95">
        <f t="shared" si="334"/>
        <v>0</v>
      </c>
      <c r="EP97" s="95">
        <f>IF(EM97=0,0,IF(EM97&lt;10,1,IF(AND(EM97&gt;=10,EM97&lt;=35),7,LOOKUP(EM97,{50,70,95,120,150,185,240,300},{10,14,19,24,30,37,48,61})*1)))</f>
        <v>0</v>
      </c>
      <c r="EQ97" s="95">
        <f>IF(EP97=0,0,VLOOKUP(EP97,各项系数!$D$142:$E$195,2,0))*1</f>
        <v>0</v>
      </c>
      <c r="ER97" s="95">
        <f t="shared" si="335"/>
        <v>0</v>
      </c>
      <c r="ES97" s="304">
        <f t="shared" si="444"/>
        <v>5</v>
      </c>
      <c r="ET97" s="95">
        <f>VLOOKUP(ES97,各项系数!$D$142:$E$195,2,0)*1</f>
        <v>2.7</v>
      </c>
      <c r="EU97" s="311">
        <f>((各项系数!$F$76/4*$EJ97^2*$EG97*$EH97*1*10^-7)*(1-$H97)*AA97)*(VLOOKUP($EY$9,各项系数!$D$4:$F$143,3,0))*各项系数!$J$4</f>
        <v>21.3235259969762</v>
      </c>
      <c r="EV97" s="312">
        <f>EU97*(VLOOKUP($EY$9,各项系数!$D$4:$F$143,2,0))</f>
        <v>1396.69095280194</v>
      </c>
      <c r="EW97" s="324">
        <f>(IF($EO97=0,0,(各项系数!$F$76/4*$ER97^2*$EO97*$EP97*1*10^-7))*(1-$K97)*$AF97)*(VLOOKUP($EY$9,各项系数!$D$4:$F$143,3,0))*各项系数!$J$4</f>
        <v>0</v>
      </c>
      <c r="EX97" s="325">
        <f>EW97*(VLOOKUP($EY$9,各项系数!$D$4:$F$143,2,0))</f>
        <v>0</v>
      </c>
      <c r="EY97" s="251">
        <f>((各项系数!$F$76/4*$EJ97^2*$EG97*$EH97*1*10^-7)*(1-$H97)*AA97+IF($EO97=0,0,(各项系数!$F$76/4*$ER97^2*$EO97*$EP97*1*10^-7))*(1-$K97)*$AF97)*(VLOOKUP($EY$9,各项系数!$D$4:$F$143,3,0))*各项系数!$J$4</f>
        <v>21.3235259969762</v>
      </c>
      <c r="EZ97" s="127">
        <v>1</v>
      </c>
      <c r="FA97" s="95">
        <f t="shared" si="445"/>
        <v>21.3235259969762</v>
      </c>
      <c r="FB97" s="314">
        <f>FA97*(VLOOKUP($EY$9,各项系数!$D$4:$F$143,2,0))</f>
        <v>1396.69095280194</v>
      </c>
      <c r="FC97" s="329"/>
      <c r="FD97" s="304">
        <f>各项系数!$F$76/4*($MN97^2-MK97^2)*10^-2*(VLOOKUP(L97,各项系数!$D$1:$F$143,3,0))*10^-3*10^2*$EG97*各项系数!$J$4</f>
        <v>1.15244558085293</v>
      </c>
      <c r="FE97" s="341">
        <f>FD97*VLOOKUP(L97,各项系数!$D$1:$F$143,2,0)</f>
        <v>11.7549449246999</v>
      </c>
      <c r="FF97" s="127">
        <f>各项系数!$F$76/4*($MO97^2-ML97^2)*10^-2*(VLOOKUP(L97,各项系数!$D$1:$F$143,3,0))*10^-3*10^2*$EO97*各项系数!$J$4</f>
        <v>0</v>
      </c>
      <c r="FG97" s="341">
        <f>FF97*VLOOKUP(L97,各项系数!$D$1:$F$143,2,0)</f>
        <v>0</v>
      </c>
      <c r="FH97" s="304">
        <f t="shared" si="410"/>
        <v>1.15244558085293</v>
      </c>
      <c r="FI97" s="127">
        <v>1</v>
      </c>
      <c r="FJ97" s="95">
        <f t="shared" si="446"/>
        <v>1.15244558085293</v>
      </c>
      <c r="FK97" s="341">
        <f>FJ97*VLOOKUP(L97,各项系数!$D$1:$F$143,2,0)</f>
        <v>11.7549449246999</v>
      </c>
      <c r="FL97" s="304"/>
      <c r="FM97" s="127"/>
      <c r="FN97" s="95"/>
      <c r="FO97" s="341"/>
      <c r="FP97" s="371">
        <f t="shared" si="447"/>
        <v>1.15244558085293</v>
      </c>
      <c r="FQ97" s="371">
        <f t="shared" si="448"/>
        <v>11.7549449246999</v>
      </c>
      <c r="FR97" s="365">
        <f>各项系数!$F$76/4*($MQ97^2-$MN97^2*$EG97-$MO97^2*$EO97)*10^-2</f>
        <v>19.1957163892508</v>
      </c>
      <c r="FS97" s="366">
        <f t="shared" si="411"/>
        <v>1</v>
      </c>
      <c r="FT97" s="367">
        <f t="shared" si="361"/>
        <v>19.1957163892508</v>
      </c>
      <c r="FU97" s="395">
        <f>$FT97*(VLOOKUP($FT$9,各项系数!$D$1:$F$143,3,0))*10^-3*10^2*各项系数!$J$55</f>
        <v>2.29196853687655</v>
      </c>
      <c r="FV97" s="396">
        <v>1</v>
      </c>
      <c r="FW97" s="397">
        <f t="shared" si="449"/>
        <v>2.29196853687655</v>
      </c>
      <c r="FX97" s="372">
        <f>FW97*(VLOOKUP($FT$9,各项系数!$D$1:$F$143,2,0))</f>
        <v>6.87590561062964</v>
      </c>
      <c r="FY97" s="395">
        <f>IF($BK97&lt;&gt;$FY$9,0,各项系数!$F$76/4*($MS97^2-$MQ97^2)*10^-2*(VLOOKUP($FY$9,各项系数!$D$1:$F$143,3,0))*10^-3*10^2)*各项系数!$J$4</f>
        <v>0</v>
      </c>
      <c r="FZ97" s="396">
        <v>1</v>
      </c>
      <c r="GA97" s="397">
        <f t="shared" si="450"/>
        <v>0</v>
      </c>
      <c r="GB97" s="372">
        <f>GA97*(VLOOKUP($FY$9,各项系数!$D$1:$F$143,2,0))</f>
        <v>0</v>
      </c>
      <c r="GC97" s="395">
        <f>IF($BK97&lt;&gt;$GC$9,0,各项系数!$F$76/4*($MS97^2-$MQ97^2)*10^-2*(VLOOKUP($GC$9,各项系数!$D$1:$F$143,3,0))*10^-3*10^2)*各项系数!$J$4</f>
        <v>0.0240451296962741</v>
      </c>
      <c r="GD97" s="396">
        <v>1</v>
      </c>
      <c r="GE97" s="397">
        <f t="shared" si="451"/>
        <v>0.0240451296962741</v>
      </c>
      <c r="GF97" s="372">
        <f>GE97*(VLOOKUP($GC$9,各项系数!$D$1:$F$143,2,0))</f>
        <v>0.310182173081936</v>
      </c>
      <c r="GG97" s="395">
        <f>IF($BK97&lt;&gt;$GG$9,0,各项系数!$F$76/4*($MS97^2-$MQ97^2)*10^-2*(VLOOKUP($GG$9,各项系数!$D$1:$F$143,3,0))*10^-3*10^2)*各项系数!$J$4</f>
        <v>0</v>
      </c>
      <c r="GH97" s="396">
        <v>1</v>
      </c>
      <c r="GI97" s="397">
        <f t="shared" si="452"/>
        <v>0</v>
      </c>
      <c r="GJ97" s="372">
        <f>GI97*(VLOOKUP($GG$9,各项系数!$D$1:$F$143,2,0))</f>
        <v>0</v>
      </c>
      <c r="GK97" s="395">
        <f>IF($BK97&lt;&gt;$GK$9,0,各项系数!$F$76/4*($MS97^2-$MQ97^2)*10^-2*(VLOOKUP($GK$9,各项系数!$D$1:$F$143,3,0))*10^-3*10^2)*各项系数!$J$4</f>
        <v>0</v>
      </c>
      <c r="GL97" s="396">
        <v>1</v>
      </c>
      <c r="GM97" s="397">
        <f t="shared" si="453"/>
        <v>0</v>
      </c>
      <c r="GN97" s="372">
        <f>GM97*(VLOOKUP($GK$9,各项系数!$D$1:$F$143,2,0))</f>
        <v>0</v>
      </c>
      <c r="GO97" s="397">
        <f t="shared" si="454"/>
        <v>0.0240451296962741</v>
      </c>
      <c r="GP97" s="397">
        <f t="shared" si="455"/>
        <v>0.310182173081936</v>
      </c>
      <c r="GQ97" s="408">
        <f>各项系数!$F$76/4*($MU97^2-$MS97^2)*10^-2*(VLOOKUP($S97,各项系数!$D$1:$F$143,3,0))*10^-3*10^2*各项系数!$J$4</f>
        <v>1.63410396965014</v>
      </c>
      <c r="GR97" s="396">
        <v>1</v>
      </c>
      <c r="GS97" s="397">
        <f t="shared" si="456"/>
        <v>1.63410396965014</v>
      </c>
      <c r="GT97" s="397">
        <f t="shared" si="457"/>
        <v>0</v>
      </c>
      <c r="GU97" s="397">
        <f>ROUND($GS97*(VLOOKUP($S97,各项系数!$D$1:$F$143,2,0))+$E$3*GS97,GT97)</f>
        <v>9</v>
      </c>
      <c r="GV97" s="406">
        <f>各项系数!$F$76/4*($MT97^2-$MS97^2)*10^-2*(VLOOKUP($GV$9,各项系数!$D$1:$F$143,3,0))*10^-3*10^2*各项系数!$J$4*PI()/4*R97</f>
        <v>0.123568116100376</v>
      </c>
      <c r="GW97" s="396">
        <v>1</v>
      </c>
      <c r="GX97" s="397">
        <f t="shared" si="458"/>
        <v>0.123568116100376</v>
      </c>
      <c r="GY97" s="397">
        <f>$GX97*(VLOOKUP($GV$9,各项系数!$D$1:$F$143,2,0))</f>
        <v>8.3408478367754</v>
      </c>
      <c r="GZ97" s="408">
        <f>各项系数!$F$76/4*($MV97^2-$MS97^2)*10^-2*(VLOOKUP($GZ$9,各项系数!$D$1:$F$143,3,0))*10^-3*10^2*各项系数!$J$4</f>
        <v>1.67491662188926</v>
      </c>
      <c r="HA97" s="396">
        <v>1</v>
      </c>
      <c r="HB97" s="397">
        <f t="shared" si="412"/>
        <v>1.67491662188926</v>
      </c>
      <c r="HC97" s="397">
        <f>HB97*(VLOOKUP($GZ$9,各项系数!$D$1:$F$143,2,0))</f>
        <v>28.4735825721174</v>
      </c>
      <c r="HD97" s="408">
        <f>各项系数!$F$76/4*($MW97^2-$MT97^2)*10^-2*(VLOOKUP($HD$9,各项系数!$D$1:$F$143,3,0))*10^-3*10^2*各项系数!$J$4</f>
        <v>1.67781744288188</v>
      </c>
      <c r="HE97" s="396">
        <v>1</v>
      </c>
      <c r="HF97" s="397">
        <f t="shared" si="413"/>
        <v>1.67781744288188</v>
      </c>
      <c r="HG97" s="397">
        <f>HF97*(VLOOKUP($HD$9,各项系数!$D$1:$F$143,2,0))</f>
        <v>28.5228965289919</v>
      </c>
      <c r="HH97" s="408">
        <f>各项系数!$F$76/4*($MV97^2-$MS97^2)*10^-2*(VLOOKUP($HH$9,各项系数!$D$1:$F$143,3,0))*10^-3*10^2*各项系数!$J$4</f>
        <v>1.67491662188926</v>
      </c>
      <c r="HI97" s="397">
        <v>1</v>
      </c>
      <c r="HJ97" s="397">
        <f t="shared" si="414"/>
        <v>1.67491662188926</v>
      </c>
      <c r="HK97" s="397">
        <f>HJ97*(VLOOKUP($HH$9,各项系数!$D$1:$F$143,2,0))</f>
        <v>28.4735825721174</v>
      </c>
      <c r="HL97" s="408">
        <f>各项系数!$F$76/4*($MW97^2-$MT97^2)*10^-2*(VLOOKUP($HL$9,各项系数!$D$1:$F$143,3,0))*10^-3*10^2*各项系数!$J$4</f>
        <v>1.67781744288188</v>
      </c>
      <c r="HM97" s="397">
        <v>1</v>
      </c>
      <c r="HN97" s="397">
        <f t="shared" si="362"/>
        <v>1.67781744288188</v>
      </c>
      <c r="HO97" s="397">
        <f>HN97*(VLOOKUP($HL$9,各项系数!$D$1:$F$143,2,0))</f>
        <v>28.5228965289919</v>
      </c>
      <c r="HP97" s="408">
        <f>各项系数!$F$76/4*($MV97^2-$MS97^2)*10^-2*(VLOOKUP(AN97,各项系数!$D$1:$F$143,3,0))*10^-3*10^2*各项系数!$J$4</f>
        <v>1.69801892012222</v>
      </c>
      <c r="HQ97" s="396">
        <v>1</v>
      </c>
      <c r="HR97" s="397">
        <f t="shared" si="459"/>
        <v>1.69801892012222</v>
      </c>
      <c r="HS97" s="397">
        <f>HR97*(VLOOKUP(AN97,各项系数!$D$1:$F$143,2,0))</f>
        <v>16.9801892012222</v>
      </c>
      <c r="HT97" s="408">
        <f>各项系数!$F$76/4*($MW97^2-$MT97^2)*10^-2*(VLOOKUP(AN97,各项系数!$D$1:$F$143,3,0))*10^-3*10^2*各项系数!$J$4</f>
        <v>1.70095975243887</v>
      </c>
      <c r="HU97" s="396">
        <v>1</v>
      </c>
      <c r="HV97" s="397">
        <f t="shared" si="460"/>
        <v>1.70095975243887</v>
      </c>
      <c r="HW97" s="397">
        <f>HV97*(VLOOKUP(AN97,各项系数!$D$1:$F$143,2,0))</f>
        <v>17.0095975243887</v>
      </c>
      <c r="HX97" s="408">
        <f>各项系数!$F$76/4*($MV97^2-$MS97^2)*10^-2*(VLOOKUP($HX$9,各项系数!$D$1:$F$143,3,0))*10^-3*10^2*各项系数!$J$4</f>
        <v>1.69801892012222</v>
      </c>
      <c r="HY97" s="397">
        <v>1</v>
      </c>
      <c r="HZ97" s="397">
        <f t="shared" si="461"/>
        <v>1.69801892012222</v>
      </c>
      <c r="IA97" s="397">
        <f>HZ97*(VLOOKUP($HX$9,各项系数!$D$1:$F$143,2,0))</f>
        <v>18.6782081213444</v>
      </c>
      <c r="IB97" s="408">
        <f>各项系数!$F$76/4*($MW97^2-$MT97^2)*10^-2*(VLOOKUP($IB$9,各项系数!$D$1:$F$143,3,0))*10^-3*10^2*各项系数!$J$4</f>
        <v>1.70095975243887</v>
      </c>
      <c r="IC97" s="397">
        <v>1</v>
      </c>
      <c r="ID97" s="397">
        <f t="shared" si="462"/>
        <v>1.70095975243887</v>
      </c>
      <c r="IE97" s="397">
        <f>ID97*(VLOOKUP($IB$9,各项系数!$D$1:$F$143,2,0))</f>
        <v>18.7105572768276</v>
      </c>
      <c r="IF97" s="395"/>
      <c r="IG97" s="408">
        <f t="shared" si="415"/>
        <v>0.200934574925659</v>
      </c>
      <c r="IH97" s="396">
        <v>1</v>
      </c>
      <c r="II97" s="397">
        <f t="shared" si="463"/>
        <v>0.200934574925659</v>
      </c>
      <c r="IJ97" s="397">
        <f>II97*(VLOOKUP($IG$8,各项系数!$D$1:$F$143,2,0))</f>
        <v>5.02336437314149</v>
      </c>
      <c r="IK97" s="408">
        <f>(各项系数!$F$76/4*($MX97^2-$MK97^2)*$EG97)*10^-2*(VLOOKUP($IG$8,各项系数!$D$1:$F$143,3,0))*10^-3*10^2*各项系数!$J$4</f>
        <v>0.200934574925659</v>
      </c>
      <c r="IL97" s="396">
        <f>IK97*(VLOOKUP($IG$8,各项系数!$D$1:$F$143,2,0))</f>
        <v>5.02336437314149</v>
      </c>
      <c r="IM97" s="397">
        <f>(各项系数!$F$76/4*(($MM97+3*$X97)^2-MM97^2)*$EO97)*10^-2*(VLOOKUP($IG$8,各项系数!$D$1:$F$143,3,0))*10^-3*10^2*各项系数!$J$4</f>
        <v>0</v>
      </c>
      <c r="IN97" s="396">
        <f>IM97*(VLOOKUP($IG$8,各项系数!$D$1:$F$143,2,0))</f>
        <v>0</v>
      </c>
      <c r="IO97" s="408">
        <f>各项系数!$F$76/4*($MZ97^2-$MX97^2)*10^-2*(VLOOKUP(L97,各项系数!$D$1:$F$143,3,0))*10^-3*10^2*$ES97*各项系数!$J$4</f>
        <v>1.17513950370467</v>
      </c>
      <c r="IP97" s="396">
        <v>1</v>
      </c>
      <c r="IQ97" s="397">
        <f t="shared" si="464"/>
        <v>1.17513950370467</v>
      </c>
      <c r="IR97" s="372">
        <f>IQ97*(VLOOKUP(L97,各项系数!$D$1:$F$143,2,0))</f>
        <v>11.9864229377876</v>
      </c>
      <c r="IS97" s="408">
        <f>IF($L97&lt;&gt;$IS$9,0,各项系数!$F$76/4*($MZ97^2-$MX97^2)*10^-2*各项系数!$F$12*10^-3*10^2)*$ES97*各项系数!$J$4</f>
        <v>0</v>
      </c>
      <c r="IT97" s="396">
        <v>1</v>
      </c>
      <c r="IU97" s="397">
        <f t="shared" si="465"/>
        <v>0</v>
      </c>
      <c r="IV97" s="372">
        <f>IU97*各项系数!$E$12</f>
        <v>0</v>
      </c>
      <c r="IW97" s="395">
        <f t="shared" si="466"/>
        <v>1.17513950370467</v>
      </c>
      <c r="IX97" s="395">
        <f t="shared" si="467"/>
        <v>11.9864229377876</v>
      </c>
      <c r="IY97" s="447">
        <f>各项系数!$F$76/4*($NB97^2-$MZ97^2*$EG97-$NA97^2*$EO97)*10^-2</f>
        <v>19.9072837037835</v>
      </c>
      <c r="IZ97" s="366">
        <f t="shared" si="487"/>
        <v>1</v>
      </c>
      <c r="JA97" s="367">
        <f t="shared" si="363"/>
        <v>19.9072837037835</v>
      </c>
      <c r="JB97" s="371">
        <f>IF($DE97&lt;&gt;$JB$9,0,$JA97*各项系数!$F$32*10^-3*10^2)*各项系数!$J$4</f>
        <v>0</v>
      </c>
      <c r="JC97" s="127">
        <v>1</v>
      </c>
      <c r="JD97" s="95">
        <f t="shared" si="468"/>
        <v>0</v>
      </c>
      <c r="JE97" s="341">
        <f>JD97*各项系数!$E$32</f>
        <v>0</v>
      </c>
      <c r="JF97" s="364">
        <f>IF($DE97&lt;&gt;$JF$9,0,$JA97*VLOOKUP($JF$9,各项系数!$D$4:$F$540,2,0)*10^-3*10^2)*各项系数!$J$4</f>
        <v>9.90387364263227</v>
      </c>
      <c r="JG97" s="123">
        <v>1</v>
      </c>
      <c r="JH97" s="251">
        <f t="shared" si="364"/>
        <v>9.90387364263227</v>
      </c>
      <c r="JI97" s="339">
        <f>JH97*VLOOKUP($JF$9,各项系数!$D$4:$F$540,3,0)</f>
        <v>11.8846483711587</v>
      </c>
      <c r="JJ97" s="371">
        <f t="shared" si="469"/>
        <v>9.90387364263227</v>
      </c>
      <c r="JK97" s="95">
        <f t="shared" si="470"/>
        <v>11.8846483711587</v>
      </c>
      <c r="JL97" s="371">
        <f>IF($DF97&lt;&gt;$JL$9,0,各项系数!$F$76/4*($NE97^2-$NC97^2)*10^-2*各项系数!$F$39*10^-3*10^2)*各项系数!$J$4</f>
        <v>0.0101219066210272</v>
      </c>
      <c r="JM97" s="127">
        <v>1</v>
      </c>
      <c r="JN97" s="95">
        <f t="shared" si="471"/>
        <v>0.0101219066210272</v>
      </c>
      <c r="JO97" s="341">
        <f>JN97*各项系数!$E$39</f>
        <v>0.202438132420544</v>
      </c>
      <c r="JP97" s="371">
        <f>IF($DF97&lt;&gt;$JP$9,0,各项系数!$F$76/4*($NE97^2-$NC97^2)*10^-2*各项系数!$F$36*10^-3*10^2)*各项系数!$J$4</f>
        <v>0</v>
      </c>
      <c r="JQ97" s="127">
        <v>1</v>
      </c>
      <c r="JR97" s="95">
        <f t="shared" si="472"/>
        <v>0</v>
      </c>
      <c r="JS97" s="341">
        <f>JR97*各项系数!$E$36</f>
        <v>0</v>
      </c>
      <c r="JT97" s="371">
        <f>IF($DF97&lt;&gt;$JT$9,0,各项系数!$F$76/4*($NE97^2-$NC97^2)*10^-2*各项系数!$F$40*10^-3*10^2)*各项系数!$J$4</f>
        <v>0</v>
      </c>
      <c r="JU97" s="127">
        <v>1</v>
      </c>
      <c r="JV97" s="95">
        <f t="shared" si="473"/>
        <v>0</v>
      </c>
      <c r="JW97" s="341">
        <f>JV97*各项系数!$E$40</f>
        <v>0</v>
      </c>
      <c r="JX97" s="371">
        <f>IF($DF97&lt;&gt;$JX$9,0,各项系数!$F$76/4*($NE97^2-$NC97^2)*10^-2*各项系数!$F$38*10^-3*10^2)*各项系数!$J$4</f>
        <v>0</v>
      </c>
      <c r="JY97" s="127">
        <v>1</v>
      </c>
      <c r="JZ97" s="95">
        <f t="shared" si="474"/>
        <v>0</v>
      </c>
      <c r="KA97" s="341">
        <f>JZ97*各项系数!$E$38</f>
        <v>0</v>
      </c>
      <c r="KB97" s="371">
        <f>IF($DF97&lt;&gt;$KB$9,0,各项系数!$F$76/4*($NE97^2-$NC97^2)*10^-2*各项系数!$F$41*10^-3*10^2)*各项系数!$J$4</f>
        <v>0</v>
      </c>
      <c r="KC97" s="127">
        <v>1</v>
      </c>
      <c r="KD97" s="95">
        <f t="shared" si="475"/>
        <v>0</v>
      </c>
      <c r="KE97" s="341">
        <f>KD97*各项系数!$E$41</f>
        <v>0</v>
      </c>
      <c r="KF97" s="95">
        <f t="shared" si="476"/>
        <v>0.0101219066210272</v>
      </c>
      <c r="KG97" s="95">
        <f t="shared" si="477"/>
        <v>0.202438132420544</v>
      </c>
      <c r="KH97" s="304">
        <f>各项系数!$F$76/4*($NG97^2-$NE97^2)*10^-2*各项系数!$F$44*10^-3*10^2*各项系数!$J$4*0.75*$U97</f>
        <v>2.49746590490347</v>
      </c>
      <c r="KI97" s="127">
        <v>1</v>
      </c>
      <c r="KJ97" s="95">
        <f t="shared" si="478"/>
        <v>2.49746590490347</v>
      </c>
      <c r="KK97" s="95">
        <f>ROUND(KJ97*各项系数!$E$43,GT97)</f>
        <v>14</v>
      </c>
      <c r="KL97" s="302">
        <f>各项系数!$F$76/4*($NF97^2-$NE97^2)*10^-2*各项系数!$F$46*10^-3*10^2*各项系数!$J$4*PI()/4*R97</f>
        <v>0.125920383322612</v>
      </c>
      <c r="KM97" s="127">
        <v>1</v>
      </c>
      <c r="KN97" s="95">
        <f t="shared" si="479"/>
        <v>0.125920383322612</v>
      </c>
      <c r="KO97" s="95">
        <f>KN97*各项系数!$E$46</f>
        <v>8.49962587427633</v>
      </c>
      <c r="KP97" s="304">
        <f>各项系数!$F$76/4*($NH97^2-$NE97^2)*10^-2*(VLOOKUP($KP$9,各项系数!$D$1:$F$143,3,0))*10^-3*10^2*各项系数!$J$4</f>
        <v>1.70544776283657</v>
      </c>
      <c r="KQ97" s="127">
        <v>1</v>
      </c>
      <c r="KR97" s="95">
        <f t="shared" si="416"/>
        <v>1.70544776283657</v>
      </c>
      <c r="KS97" s="95">
        <f>KR97*(VLOOKUP($KP$9,各项系数!$D$1:$F$143,2,0))</f>
        <v>28.9926119682217</v>
      </c>
      <c r="KT97" s="304">
        <f>各项系数!$F$76/4*($NI97^2-$NF97^2)*10^-2*(VLOOKUP($KT$9,各项系数!$D$1:$F$143,3,0))*10^-3*10^2*各项系数!$J$4</f>
        <v>1.70834858382919</v>
      </c>
      <c r="KU97" s="127">
        <v>1</v>
      </c>
      <c r="KV97" s="95">
        <f t="shared" si="417"/>
        <v>1.70834858382919</v>
      </c>
      <c r="KW97" s="95">
        <f>KV97*(VLOOKUP($KT$9,各项系数!$D$1:$F$143,2,0))</f>
        <v>29.0419259250962</v>
      </c>
      <c r="KX97" s="95">
        <f>各项系数!$F$76/4*($NH97^2-$NE97^2)*10^-2*(VLOOKUP($KX$9,各项系数!$D$1:$F$143,3,0))*10^-3*10^2*各项系数!$J$4</f>
        <v>1.70544776283657</v>
      </c>
      <c r="KY97" s="481">
        <v>1</v>
      </c>
      <c r="KZ97" s="95">
        <f t="shared" si="418"/>
        <v>1.70544776283657</v>
      </c>
      <c r="LA97" s="95">
        <f>KZ97*(VLOOKUP($KX$9,各项系数!$D$1:$F$143,2,0))</f>
        <v>28.9926119682217</v>
      </c>
      <c r="LB97" s="95">
        <f>各项系数!$F$76/4*($NI97^2-$NF97^2)*10^-2*(VLOOKUP($LB$9,各项系数!$D$1:$F$143,3,0))*10^-3*10^2*各项系数!$J$4</f>
        <v>1.70834858382919</v>
      </c>
      <c r="LC97" s="481">
        <v>1</v>
      </c>
      <c r="LD97" s="95">
        <f t="shared" si="419"/>
        <v>1.70834858382919</v>
      </c>
      <c r="LE97" s="95">
        <f>LD97*(VLOOKUP($LB$9,各项系数!$D$1:$F$143,2,0))</f>
        <v>29.0419259250962</v>
      </c>
      <c r="LF97" s="304">
        <f>各项系数!$F$76/4*($NH97^2-$NE97^2)*10^-2*(VLOOKUP(AN97,各项系数!$D$1:$F$143,3,0))*10^-3*10^2*各项系数!$J$4</f>
        <v>1.72897118025501</v>
      </c>
      <c r="LG97" s="127">
        <v>1</v>
      </c>
      <c r="LH97" s="95">
        <f t="shared" si="480"/>
        <v>1.72897118025501</v>
      </c>
      <c r="LI97" s="95">
        <f>LH97*(VLOOKUP(AN97,各项系数!$D$1:$F$143,2,0))</f>
        <v>17.2897118025501</v>
      </c>
      <c r="LJ97" s="304">
        <f>各项系数!$F$76/4*($NI97^2-$NF97^2)*10^-2*(VLOOKUP(AN97,各项系数!$D$1:$F$143,3,0))*10^-3*10^2*各项系数!$J$4</f>
        <v>1.73191201257166</v>
      </c>
      <c r="LK97" s="127">
        <v>1</v>
      </c>
      <c r="LL97" s="95">
        <f t="shared" si="481"/>
        <v>1.73191201257166</v>
      </c>
      <c r="LM97" s="95">
        <f>LL97*(VLOOKUP(AN97,各项系数!$D$1:$F$143,2,0))</f>
        <v>17.3191201257166</v>
      </c>
      <c r="LN97" s="95">
        <f>各项系数!$F$76/4*($NH97^2-$NE97^2)*10^-2*(VLOOKUP($LN$9,各项系数!$D$1:$F$143,3,0))*10^-3*10^2*各项系数!$J$4</f>
        <v>1.72897118025501</v>
      </c>
      <c r="LO97" s="481">
        <v>1</v>
      </c>
      <c r="LP97" s="95">
        <f t="shared" si="482"/>
        <v>1.72897118025501</v>
      </c>
      <c r="LQ97" s="95">
        <f>LP97*(VLOOKUP($LN$9,各项系数!$D$1:$F$143,2,0))</f>
        <v>19.0186829828051</v>
      </c>
      <c r="LR97" s="95">
        <f>各项系数!$F$76/4*($NI97^2-$NF97^2)*10^-2*(VLOOKUP($LR$9,各项系数!$D$1:$F$143,3,0))*10^-3*10^2*各项系数!$J$4</f>
        <v>1.73191201257166</v>
      </c>
      <c r="LS97" s="481">
        <v>1</v>
      </c>
      <c r="LT97" s="95">
        <f t="shared" si="483"/>
        <v>1.73191201257166</v>
      </c>
      <c r="LU97" s="95">
        <f>LT97*(VLOOKUP($LR$9,各项系数!$D$1:$F$143,2,0))</f>
        <v>19.0510321382883</v>
      </c>
      <c r="LV97" s="501">
        <f t="shared" si="420"/>
        <v>3138.26193725</v>
      </c>
      <c r="LW97" s="501">
        <f t="shared" si="421"/>
        <v>2363.38244657</v>
      </c>
      <c r="LX97" s="501">
        <f t="shared" si="422"/>
        <v>54.855737988891</v>
      </c>
      <c r="LY97" s="519">
        <f t="shared" si="423"/>
        <v>774.87949068</v>
      </c>
      <c r="LZ97" s="516">
        <f t="shared" si="365"/>
        <v>1</v>
      </c>
      <c r="MA97" s="517">
        <f t="shared" si="366"/>
        <v>3138.26193725</v>
      </c>
      <c r="MB97" s="501">
        <f t="shared" si="424"/>
        <v>28.26927378</v>
      </c>
      <c r="MC97" s="501">
        <f t="shared" si="425"/>
        <v>0</v>
      </c>
      <c r="MD97" s="501">
        <f t="shared" si="426"/>
        <v>0</v>
      </c>
      <c r="ME97" s="501">
        <f t="shared" si="427"/>
        <v>0</v>
      </c>
      <c r="MF97" s="501">
        <f t="shared" si="428"/>
        <v>0</v>
      </c>
      <c r="MG97" s="527">
        <f t="shared" si="429"/>
        <v>1</v>
      </c>
      <c r="MH97" s="517">
        <f t="shared" si="367"/>
        <v>0</v>
      </c>
      <c r="MI97" s="501">
        <f t="shared" si="430"/>
        <v>0</v>
      </c>
      <c r="MJ97" s="95">
        <f t="shared" si="368"/>
        <v>28.26927378</v>
      </c>
      <c r="MK97" s="95">
        <f t="shared" si="431"/>
        <v>28.26927378</v>
      </c>
      <c r="ML97" s="95">
        <f t="shared" si="484"/>
        <v>0</v>
      </c>
      <c r="MM97" s="95">
        <f t="shared" si="369"/>
        <v>0</v>
      </c>
      <c r="MN97" s="95">
        <f t="shared" si="370"/>
        <v>32.66927378</v>
      </c>
      <c r="MO97" s="251">
        <f t="shared" si="432"/>
        <v>0</v>
      </c>
      <c r="MP97" s="95">
        <f t="shared" si="433"/>
        <v>88.20703921</v>
      </c>
      <c r="MQ97" s="95">
        <f t="shared" si="485"/>
        <v>88.20703921</v>
      </c>
      <c r="MR97" s="314">
        <f t="shared" si="434"/>
        <v>88.20703921</v>
      </c>
      <c r="MS97" s="530">
        <f t="shared" si="371"/>
        <v>88.38303921</v>
      </c>
      <c r="MT97" s="532">
        <f t="shared" si="372"/>
        <v>88.54303921</v>
      </c>
      <c r="MU97" s="532">
        <f t="shared" si="373"/>
        <v>89.88303921</v>
      </c>
      <c r="MV97" s="532">
        <f t="shared" si="374"/>
        <v>96.38303921</v>
      </c>
      <c r="MW97" s="532">
        <f t="shared" si="375"/>
        <v>96.54303921</v>
      </c>
      <c r="MX97" s="314">
        <f t="shared" si="376"/>
        <v>28.86927378</v>
      </c>
      <c r="MY97" s="314">
        <f t="shared" si="377"/>
        <v>0</v>
      </c>
      <c r="MZ97" s="95">
        <f t="shared" si="378"/>
        <v>33.26927378</v>
      </c>
      <c r="NA97" s="95">
        <f t="shared" si="379"/>
        <v>0</v>
      </c>
      <c r="NB97" s="95">
        <f t="shared" si="435"/>
        <v>89.82703921</v>
      </c>
      <c r="NC97" s="314">
        <f t="shared" si="486"/>
        <v>89.82703921</v>
      </c>
      <c r="ND97" s="314">
        <f t="shared" si="436"/>
        <v>89.82703921</v>
      </c>
      <c r="NE97" s="537">
        <f t="shared" si="437"/>
        <v>90.06703921</v>
      </c>
      <c r="NF97" s="532">
        <f t="shared" si="380"/>
        <v>90.22703921</v>
      </c>
      <c r="NG97" s="180">
        <f t="shared" si="381"/>
        <v>91.56703921</v>
      </c>
      <c r="NH97" s="314">
        <f t="shared" si="382"/>
        <v>98.06703921</v>
      </c>
      <c r="NI97" s="532">
        <f t="shared" si="383"/>
        <v>98.22703921</v>
      </c>
      <c r="NK97" s="541">
        <f t="shared" si="384"/>
        <v>26.4900041645242</v>
      </c>
      <c r="NL97" s="541">
        <f t="shared" si="385"/>
        <v>1432.61217471158</v>
      </c>
      <c r="NM97" s="541">
        <f t="shared" si="386"/>
        <v>26.4900041645242</v>
      </c>
      <c r="NN97" s="541">
        <f t="shared" si="387"/>
        <v>1434.3101936317</v>
      </c>
      <c r="NO97" s="541">
        <f t="shared" si="388"/>
        <v>34.3425668051148</v>
      </c>
      <c r="NP97" s="541">
        <f t="shared" si="389"/>
        <v>1443.077538419</v>
      </c>
      <c r="NQ97" s="541">
        <f t="shared" si="390"/>
        <v>34.3425668051148</v>
      </c>
      <c r="NR97" s="541">
        <f t="shared" si="391"/>
        <v>1444.80650959926</v>
      </c>
      <c r="NS97" s="541">
        <f t="shared" si="392"/>
        <v>26.6135722806246</v>
      </c>
      <c r="NT97" s="541">
        <f t="shared" si="393"/>
        <v>26.6135722806246</v>
      </c>
      <c r="NU97" s="541">
        <f t="shared" si="394"/>
        <v>34.4684871884375</v>
      </c>
      <c r="NV97" s="541">
        <f t="shared" si="395"/>
        <v>34.4684871884375</v>
      </c>
      <c r="NW97" s="11">
        <f t="shared" si="396"/>
        <v>28.1241081341743</v>
      </c>
      <c r="NX97" s="11">
        <f>各项系数!$M$9*NK97</f>
        <v>7.94700124935725</v>
      </c>
      <c r="NY97" s="11">
        <f t="shared" si="397"/>
        <v>26.6135722806246</v>
      </c>
    </row>
    <row r="98" s="11" customFormat="1" customHeight="1" spans="1:389">
      <c r="A98" s="81"/>
      <c r="B98" s="82"/>
      <c r="C98" s="83"/>
      <c r="D98" s="74" t="s">
        <v>929</v>
      </c>
      <c r="E98" s="550">
        <f t="shared" si="325"/>
        <v>108.33720234</v>
      </c>
      <c r="F98" s="84">
        <f>$F$34</f>
        <v>357.206594414564</v>
      </c>
      <c r="G98" s="74"/>
      <c r="H98" s="23"/>
      <c r="I98" s="78"/>
      <c r="J98" s="23"/>
      <c r="K98" s="23"/>
      <c r="L98" s="128" t="s">
        <v>467</v>
      </c>
      <c r="M98" s="119">
        <f t="shared" si="339"/>
        <v>2.4</v>
      </c>
      <c r="N98" s="119">
        <f t="shared" si="340"/>
        <v>0</v>
      </c>
      <c r="O98" s="74">
        <f t="shared" ref="O98:O107" si="493">$O$36</f>
        <v>0.08</v>
      </c>
      <c r="P98" s="120">
        <v>0.1</v>
      </c>
      <c r="Q98" s="165">
        <f t="shared" si="489"/>
        <v>0.1</v>
      </c>
      <c r="R98" s="182">
        <v>0.8</v>
      </c>
      <c r="S98" s="173" t="str">
        <f>各项系数!$D$43</f>
        <v>钢带</v>
      </c>
      <c r="T98" s="78">
        <v>0.5</v>
      </c>
      <c r="U98" s="78">
        <v>2</v>
      </c>
      <c r="V98" s="172"/>
      <c r="W98" s="174">
        <v>4.2</v>
      </c>
      <c r="X98" s="168">
        <f t="shared" si="490"/>
        <v>0.2</v>
      </c>
      <c r="Y98" s="221"/>
      <c r="Z98" s="222"/>
      <c r="AA98" s="223">
        <f>$AA$34</f>
        <v>1.03</v>
      </c>
      <c r="AB98" s="186">
        <f>PI()*EJ98*EJ98/4*EH98*(1-H98)*AA98*各项系数!$F$5*各项系数!$J$4*10^-7</f>
        <v>5.56955783990862</v>
      </c>
      <c r="AC98" s="224">
        <f t="shared" si="327"/>
        <v>357.206594414564</v>
      </c>
      <c r="AD98" s="186">
        <f t="shared" si="341"/>
        <v>629.645170725237</v>
      </c>
      <c r="AE98" s="186">
        <f>POWER(4*EU98/PI()/EG98/10^-7/EH98/(1-H98)/各项系数!$F$5/各项系数!$J$4,0.5)</f>
        <v>362.525099304928</v>
      </c>
      <c r="AF98" s="225">
        <v>1</v>
      </c>
      <c r="AG98" s="23">
        <f>IF(EM98=0,0,PI()*ER98*ER98/4*EP98*(1-K98)*(1+AF98)*各项系数!$F$5*各项系数!$J$4*10^-7)</f>
        <v>0</v>
      </c>
      <c r="AH98" s="23">
        <f t="shared" si="328"/>
        <v>0</v>
      </c>
      <c r="AI98" s="85">
        <f t="shared" si="398"/>
        <v>0</v>
      </c>
      <c r="AJ98" s="85">
        <f>IF(OR(EP98="",EP98=0),0,POWER(4*EW98/PI()/EO98/10^-7/EP98/(1-K98)/各项系数!$F$5/各项系数!$J$4,0.5))</f>
        <v>0</v>
      </c>
      <c r="AK98" s="23" t="str">
        <f t="shared" si="342"/>
        <v>√</v>
      </c>
      <c r="AL98" s="23">
        <f t="shared" si="329"/>
        <v>1925.15505396921</v>
      </c>
      <c r="AM98" s="127">
        <f t="shared" si="330"/>
        <v>630</v>
      </c>
      <c r="AN98" s="128" t="s">
        <v>486</v>
      </c>
      <c r="AO98" s="176">
        <f>AP98+各项系数!$M$9*$NK98</f>
        <v>1887.40691565609</v>
      </c>
      <c r="AP98" s="176">
        <f>AQ98*(1+$BI98+(VLOOKUP($AM98,$A$12:$B$323,2,0))+各项系数!$J$6+各项系数!$M$5)*(1+$E$2)</f>
        <v>1877.13430961761</v>
      </c>
      <c r="AQ98" s="262">
        <f>AR98+各项系数!$L$9*$NK98</f>
        <v>1915.4431730792</v>
      </c>
      <c r="AR98" s="262">
        <f>AS98*(1+$BJ98+各项系数!$J$5+各项系数!$L$5)</f>
        <v>1905.17056704072</v>
      </c>
      <c r="AS98" s="262">
        <f t="shared" si="399"/>
        <v>1867.81428141247</v>
      </c>
      <c r="AT98" s="176">
        <f>AU98+各项系数!$M$9*$NM98</f>
        <v>1901.00499209526</v>
      </c>
      <c r="AU98" s="176">
        <f>AV98*(1+$BI98+(VLOOKUP($AM98,$A$12:$B$323,2,0))+各项系数!$J$6+各项系数!$M$5)*(1+$E$2)</f>
        <v>1890.73238605679</v>
      </c>
      <c r="AV98" s="262">
        <f>AW98+各项系数!$L$9*$NM98</f>
        <v>1929.31876128244</v>
      </c>
      <c r="AW98" s="262">
        <f>AX98*(1+$BJ98+各项系数!$J$5+各项系数!$L$5)</f>
        <v>1919.04615524396</v>
      </c>
      <c r="AX98" s="262">
        <f t="shared" si="400"/>
        <v>1881.41779925879</v>
      </c>
      <c r="AY98" s="176">
        <f>AZ98+各项系数!$M$9*$NS98</f>
        <v>1896.94724261324</v>
      </c>
      <c r="AZ98" s="176">
        <f>BA98*(1+$BI98+(VLOOKUP($AM98,$A$12:$B$214,2,0))+各项系数!$J$6+各项系数!$M$5)*(1+$E$2)</f>
        <v>1886.63272436811</v>
      </c>
      <c r="BA98" s="262">
        <f>BB98+各项系数!$L$9*$NS98</f>
        <v>1925.13543302868</v>
      </c>
      <c r="BB98" s="262">
        <f>BC98*(1+$BJ98+各项系数!$J$5+各项系数!$L$5)</f>
        <v>1914.82091478355</v>
      </c>
      <c r="BC98" s="262">
        <f t="shared" si="401"/>
        <v>1877.27540665054</v>
      </c>
      <c r="BD98" s="176">
        <f>BE98+各项系数!$M$9*$NS98</f>
        <v>1910.56621160745</v>
      </c>
      <c r="BE98" s="176">
        <f>BF98*(1+$BI98+(VLOOKUP($AM98,$A$12:$B$214,2,0))+各项系数!$J$6+各项系数!$M$5)*(1+$E$2)</f>
        <v>1900.25169336231</v>
      </c>
      <c r="BF98" s="262">
        <f>BG98+各项系数!$L$9*$NS98</f>
        <v>1939.03234016562</v>
      </c>
      <c r="BG98" s="262">
        <f>BH98*(1+$BJ98+各项系数!$J$5+各项系数!$L$5)</f>
        <v>1928.71782192049</v>
      </c>
      <c r="BH98" s="262">
        <f t="shared" si="402"/>
        <v>1890.89982541224</v>
      </c>
      <c r="BI98" s="278"/>
      <c r="BJ98" s="279"/>
      <c r="BK98" s="95" t="s">
        <v>514</v>
      </c>
      <c r="BL98" s="176">
        <f>BM98+各项系数!$M$9*$NM98</f>
        <v>1907.74015336706</v>
      </c>
      <c r="BM98" s="176">
        <f>BN98*(1+$CF98+(VLOOKUP($AM98,$A$12:$B$323,2,0))+各项系数!$J$6+各项系数!$M$5)*(1+$E$2)</f>
        <v>1897.46754732859</v>
      </c>
      <c r="BN98" s="262">
        <f>BO98+各项系数!$L$9*$NM98</f>
        <v>1936.19137482509</v>
      </c>
      <c r="BO98" s="262">
        <f>BP98*(1+$CG98+各项系数!$J$5+各项系数!$L$5)</f>
        <v>1925.91876878661</v>
      </c>
      <c r="BP98" s="262">
        <f t="shared" si="403"/>
        <v>1869.82404736565</v>
      </c>
      <c r="BQ98" s="176">
        <f>BR98+各项系数!$M$9*$NM98</f>
        <v>1919.442886528</v>
      </c>
      <c r="BR98" s="176">
        <f>BS98*(1+$CF98+(VLOOKUP($AM98,$A$12:$B$323,2,0))+各项系数!$J$6+各项系数!$M$5)*(1+$E$2)</f>
        <v>1909.17028048952</v>
      </c>
      <c r="BS98" s="262">
        <f>BT98+各项系数!$L$9*$NM98</f>
        <v>1948.13293927502</v>
      </c>
      <c r="BT98" s="262">
        <f>BU98*(1+$CG98+各项系数!$J$5+各项系数!$L$5)</f>
        <v>1937.86033323655</v>
      </c>
      <c r="BU98" s="262">
        <f t="shared" si="404"/>
        <v>1881.41779925879</v>
      </c>
      <c r="BV98" s="176">
        <f>BW98+各项系数!$M$9*$NT98</f>
        <v>1907.27618650636</v>
      </c>
      <c r="BW98" s="176">
        <f>BX98*(1+$CF98+(VLOOKUP($AM98,$A$12:$B$214,2,0))+各项系数!$J$6+各项系数!$M$5)*(1+$E$2)</f>
        <v>1896.96166826122</v>
      </c>
      <c r="BX98" s="262">
        <f>BY98+各项系数!$L$9*$NT$12</f>
        <v>1935.67517169513</v>
      </c>
      <c r="BY98" s="262">
        <f>BZ98*(1+$CG98+各项系数!$J$5+各项系数!$L$5)</f>
        <v>1935.66690829197</v>
      </c>
      <c r="BZ98" s="262">
        <f t="shared" si="343"/>
        <v>1879.28826047764</v>
      </c>
      <c r="CA98" s="176">
        <f>CB98+各项系数!$M$9*$NT98</f>
        <v>1918.99690015135</v>
      </c>
      <c r="CB98" s="176">
        <f>CC98*(1+$CF98+(VLOOKUP($AM98,$A$12:$B$214,2,0))+各项系数!$J$6+各项系数!$M$5)*(1+$E$2)</f>
        <v>1908.68238190621</v>
      </c>
      <c r="CC98" s="262">
        <f>CD98+各项系数!$L$9*$NT$12</f>
        <v>1947.63508357777</v>
      </c>
      <c r="CD98" s="262">
        <f>CE98*(1+$CG98+各项系数!$J$5+各项系数!$L$5)</f>
        <v>1947.62682017461</v>
      </c>
      <c r="CE98" s="262">
        <f t="shared" si="405"/>
        <v>1890.89982541224</v>
      </c>
      <c r="CF98" s="278">
        <f t="shared" si="406"/>
        <v>0</v>
      </c>
      <c r="CG98" s="278">
        <f t="shared" si="344"/>
        <v>0.01</v>
      </c>
      <c r="CH98" s="127"/>
      <c r="CI98" s="176">
        <f>CJ98+各项系数!$M$9*$NO98</f>
        <v>1916.0909861544</v>
      </c>
      <c r="CJ98" s="176">
        <f>CK98*(1+$DC98+(VLOOKUP($AM98,$A$12:$B$323,2,0))+各项系数!$J$6+各项系数!$M$5)*(1+$E$2)+各项系数!$M$9*$NK98</f>
        <v>1902.83232883142</v>
      </c>
      <c r="CK98" s="262">
        <f>CL98+各项系数!$L$9*$NO98</f>
        <v>1931.18339060505</v>
      </c>
      <c r="CL98" s="262">
        <f>CM98*(1+$DD98+各项系数!$J$5+各项系数!$L$5)</f>
        <v>1917.92473328207</v>
      </c>
      <c r="CM98" s="262">
        <f t="shared" si="345"/>
        <v>1880.31836596281</v>
      </c>
      <c r="CN98" s="176">
        <f>CO98+各项系数!$M$9*$NO98</f>
        <v>1929.36419386167</v>
      </c>
      <c r="CO98" s="176">
        <f>CP98*(1+$DC98+(VLOOKUP($AM98,$A$12:$B$323,2,0))+各项系数!$J$6+各项系数!$M$5)*(1+$E$2)+各项系数!$M$9*$NK98</f>
        <v>1916.10553653869</v>
      </c>
      <c r="CP98" s="262">
        <f>CQ98+各项系数!$L$9*$NO98</f>
        <v>1944.72748010226</v>
      </c>
      <c r="CQ98" s="262">
        <f>CR98*(1+$DD98+各项系数!$J$5+各项系数!$L$5)</f>
        <v>1931.46882277929</v>
      </c>
      <c r="CR98" s="262">
        <f t="shared" si="346"/>
        <v>1893.59688507773</v>
      </c>
      <c r="CS98" s="176">
        <f>CT98+各项系数!$M$9*$NU98</f>
        <v>1915.51881884609</v>
      </c>
      <c r="CT98" s="176">
        <f t="shared" si="347"/>
        <v>1902.21754363629</v>
      </c>
      <c r="CU98" s="262">
        <f>CV98+各项系数!$L$9*$NU98</f>
        <v>1941.03830983295</v>
      </c>
      <c r="CV98" s="262">
        <f>CW98*(1+$DD98+各项系数!$J$5+各项系数!$L$5)</f>
        <v>1927.73703462315</v>
      </c>
      <c r="CW98" s="262">
        <f t="shared" si="348"/>
        <v>1889.93826923838</v>
      </c>
      <c r="CX98" s="176">
        <f>CY98+各项系数!$M$9*$NU98</f>
        <v>1929.35768198196</v>
      </c>
      <c r="CY98" s="176">
        <f t="shared" si="349"/>
        <v>1916.05640677216</v>
      </c>
      <c r="CZ98" s="262">
        <f>DA98+各项系数!$L$9*$NU98</f>
        <v>1955.1595987471</v>
      </c>
      <c r="DA98" s="262">
        <f>DB98*(1+$DD98+各项系数!$J$5+各项系数!$L$5)</f>
        <v>1941.85832353729</v>
      </c>
      <c r="DB98" s="262">
        <f t="shared" si="350"/>
        <v>1903.7826701346</v>
      </c>
      <c r="DC98" s="278">
        <f t="shared" si="407"/>
        <v>0</v>
      </c>
      <c r="DD98" s="278">
        <f t="shared" si="351"/>
        <v>0</v>
      </c>
      <c r="DE98" s="95" t="s">
        <v>498</v>
      </c>
      <c r="DF98" s="95" t="s">
        <v>513</v>
      </c>
      <c r="DG98" s="176">
        <f>DH98+各项系数!$M$9*$NQ98</f>
        <v>1936.57956926591</v>
      </c>
      <c r="DH98" s="176">
        <f>DI98*(1+$EA98+(VLOOKUP($AM98,$A$12:$B$323,2,0))+各项系数!$J$6+各项系数!$M$5)*(1+$E$2)+各项系数!$M$9*$NK98</f>
        <v>1923.32091194294</v>
      </c>
      <c r="DI98" s="262">
        <f>DJ98+各项系数!$L$9*$NQ98</f>
        <v>1952.09010806578</v>
      </c>
      <c r="DJ98" s="262">
        <f>DK98*(1+$EB98+各项系数!$J$5+各项系数!$L$5)</f>
        <v>1938.8314507428</v>
      </c>
      <c r="DK98" s="262">
        <f t="shared" si="352"/>
        <v>1882.36063178913</v>
      </c>
      <c r="DL98" s="176">
        <f>DM98+各项系数!$M$9*$NQ98</f>
        <v>1948.47154702148</v>
      </c>
      <c r="DM98" s="176">
        <f>DN98*(1+$EA98+(VLOOKUP($AM98,$A$12:$B$323,2,0))+各项系数!$J$6+各项系数!$M$5)*(1+$E$2)+各项系数!$M$9*$NK98</f>
        <v>1935.21288969851</v>
      </c>
      <c r="DN98" s="262">
        <f>DO98+各项系数!$L$9*$NQ98</f>
        <v>1964.22477924493</v>
      </c>
      <c r="DO98" s="262">
        <f>DP98*(1+$EB98+各项系数!$J$5+各项系数!$L$5)</f>
        <v>1950.96612192195</v>
      </c>
      <c r="DP98" s="262">
        <f t="shared" si="353"/>
        <v>1894.14186594364</v>
      </c>
      <c r="DQ98" s="176">
        <f>DR98+各项系数!$M$9*$NV98</f>
        <v>1936.10479390966</v>
      </c>
      <c r="DR98" s="176">
        <f t="shared" si="354"/>
        <v>1922.80351869986</v>
      </c>
      <c r="DS98" s="262">
        <f>DT98+各项系数!$L$9*$NV98</f>
        <v>1962.04440683659</v>
      </c>
      <c r="DT98" s="262">
        <f>DU98*(1+$EB98+各项系数!$J$5+各项系数!$L$5)</f>
        <v>1948.74313162678</v>
      </c>
      <c r="DU98" s="262">
        <f t="shared" si="355"/>
        <v>1891.98362293862</v>
      </c>
      <c r="DV98" s="176">
        <f>DW98+各项系数!$M$9*$NV98</f>
        <v>1933.08274093697</v>
      </c>
      <c r="DW98" s="176">
        <f t="shared" si="356"/>
        <v>1919.78146572716</v>
      </c>
      <c r="DX98" s="262">
        <f>DY98+各项系数!$L$9*$NV98</f>
        <v>1958.96067931343</v>
      </c>
      <c r="DY98" s="262">
        <f>DZ98*(1+$EB98+各项系数!$J$5+各项系数!$L$5)</f>
        <v>1945.65940410363</v>
      </c>
      <c r="DZ98" s="262">
        <f t="shared" si="357"/>
        <v>1888.98971272197</v>
      </c>
      <c r="EA98" s="278">
        <f t="shared" si="492"/>
        <v>0</v>
      </c>
      <c r="EB98" s="278">
        <f t="shared" si="358"/>
        <v>0.01</v>
      </c>
      <c r="EC98" s="302">
        <f t="shared" si="408"/>
        <v>5</v>
      </c>
      <c r="ED98" s="304" t="str">
        <f t="shared" si="442"/>
        <v>5*630</v>
      </c>
      <c r="EE98" s="95">
        <f t="shared" si="491"/>
        <v>630</v>
      </c>
      <c r="EF98" s="95" t="str">
        <f>LOOKUP(EH98,{1,7,10,14,19,24,30,37,48,61},{1,"1+6","2+8","4+10","1+6+12","2+8+14","4+10+16","1+6+12+18","3+9+15+21","1+6+12+18+24"})</f>
        <v>1+6+12+18+24</v>
      </c>
      <c r="EG98" s="127">
        <f t="shared" si="359"/>
        <v>5</v>
      </c>
      <c r="EH98" s="262">
        <f>VLOOKUP(EE98,各项系数!$B$87:$C$124,2,0)</f>
        <v>61</v>
      </c>
      <c r="EI98" s="127">
        <f>IF(EH98=0,0,VLOOKUP(EH98,各项系数!$D$142:$E$195,2,0))*1</f>
        <v>9</v>
      </c>
      <c r="EJ98" s="307">
        <f t="shared" si="409"/>
        <v>357.206594414564</v>
      </c>
      <c r="EK98" s="95">
        <f t="shared" si="332"/>
        <v>0</v>
      </c>
      <c r="EL98" s="95">
        <f t="shared" si="360"/>
        <v>0</v>
      </c>
      <c r="EM98" s="95">
        <f t="shared" si="443"/>
        <v>0</v>
      </c>
      <c r="EN98" s="95">
        <f>IF(EP98=0,0,LOOKUP(EP98,{1,7,10,14,19,24,30,37,48,61},{1,"1+6","2+8","4+10","1+6+12","2+8+14","4+10+16","1+6+12+18","3+9+15+21","1+6+12+18+24"}))</f>
        <v>0</v>
      </c>
      <c r="EO98" s="95">
        <f t="shared" si="334"/>
        <v>0</v>
      </c>
      <c r="EP98" s="95">
        <f>IF(EM98=0,0,IF(EM98&lt;10,1,IF(AND(EM98&gt;=10,EM98&lt;=35),7,LOOKUP(EM98,{50,70,95,120,150,185,240,300},{10,14,19,24,30,37,48,61})*1)))</f>
        <v>0</v>
      </c>
      <c r="EQ98" s="95">
        <f>IF(EP98=0,0,VLOOKUP(EP98,各项系数!$D$142:$E$195,2,0))*1</f>
        <v>0</v>
      </c>
      <c r="ER98" s="95">
        <f t="shared" si="335"/>
        <v>0</v>
      </c>
      <c r="ES98" s="304">
        <f t="shared" si="444"/>
        <v>5</v>
      </c>
      <c r="ET98" s="95">
        <f>VLOOKUP(ES98,各项系数!$D$142:$E$195,2,0)*1</f>
        <v>2.7</v>
      </c>
      <c r="EU98" s="311">
        <f>((各项系数!$F$76/4*$EJ98^2*$EG98*$EH98*1*10^-7)*(1-$H98)*AA98)*(VLOOKUP($EY$9,各项系数!$D$4:$F$143,3,0))*各项系数!$J$4</f>
        <v>27.8477891995431</v>
      </c>
      <c r="EV98" s="312">
        <f>EU98*(VLOOKUP($EY$9,各项系数!$D$4:$F$143,2,0))</f>
        <v>1824.03019257007</v>
      </c>
      <c r="EW98" s="324">
        <f>(IF($EO98=0,0,(各项系数!$F$76/4*$ER98^2*$EO98*$EP98*1*10^-7))*(1-$K98)*$AF98)*(VLOOKUP($EY$9,各项系数!$D$4:$F$143,3,0))*各项系数!$J$4</f>
        <v>0</v>
      </c>
      <c r="EX98" s="325">
        <f>EW98*(VLOOKUP($EY$9,各项系数!$D$4:$F$143,2,0))</f>
        <v>0</v>
      </c>
      <c r="EY98" s="251">
        <f>((各项系数!$F$76/4*$EJ98^2*$EG98*$EH98*1*10^-7)*(1-$H98)*AA98+IF($EO98=0,0,(各项系数!$F$76/4*$ER98^2*$EO98*$EP98*1*10^-7))*(1-$K98)*$AF98)*(VLOOKUP($EY$9,各项系数!$D$4:$F$143,3,0))*各项系数!$J$4</f>
        <v>27.8477891995431</v>
      </c>
      <c r="EZ98" s="127">
        <v>1</v>
      </c>
      <c r="FA98" s="95">
        <f t="shared" si="445"/>
        <v>27.8477891995431</v>
      </c>
      <c r="FB98" s="314">
        <f>FA98*(VLOOKUP($EY$9,各项系数!$D$4:$F$143,2,0))</f>
        <v>1824.03019257007</v>
      </c>
      <c r="FC98" s="329"/>
      <c r="FD98" s="304">
        <f>各项系数!$F$76/4*($MN98^2-MK98^2)*10^-2*(VLOOKUP(L98,各项系数!$D$1:$F$143,3,0))*10^-3*10^2*$EG98*各项系数!$J$4</f>
        <v>1.42553293566773</v>
      </c>
      <c r="FE98" s="341">
        <f>FD98*VLOOKUP(L98,各项系数!$D$1:$F$143,2,0)</f>
        <v>14.5404359438108</v>
      </c>
      <c r="FF98" s="127">
        <f>各项系数!$F$76/4*($MO98^2-ML98^2)*10^-2*(VLOOKUP(L98,各项系数!$D$1:$F$143,3,0))*10^-3*10^2*$EO98*各项系数!$J$4</f>
        <v>0</v>
      </c>
      <c r="FG98" s="341">
        <f>FF98*VLOOKUP(L98,各项系数!$D$1:$F$143,2,0)</f>
        <v>0</v>
      </c>
      <c r="FH98" s="304">
        <f t="shared" si="410"/>
        <v>1.42553293566773</v>
      </c>
      <c r="FI98" s="127">
        <v>1</v>
      </c>
      <c r="FJ98" s="95">
        <f t="shared" si="446"/>
        <v>1.42553293566773</v>
      </c>
      <c r="FK98" s="341">
        <f>FJ98*VLOOKUP(L98,各项系数!$D$1:$F$143,2,0)</f>
        <v>14.5404359438108</v>
      </c>
      <c r="FL98" s="304"/>
      <c r="FM98" s="127"/>
      <c r="FN98" s="95"/>
      <c r="FO98" s="341"/>
      <c r="FP98" s="371">
        <f t="shared" si="447"/>
        <v>1.42553293566773</v>
      </c>
      <c r="FQ98" s="371">
        <f t="shared" si="448"/>
        <v>14.5404359438108</v>
      </c>
      <c r="FR98" s="365">
        <f>各项系数!$F$76/4*($MQ98^2-$MN98^2*$EG98-$MO98^2*$EO98)*10^-2</f>
        <v>24.5539396878451</v>
      </c>
      <c r="FS98" s="366">
        <f t="shared" si="411"/>
        <v>1</v>
      </c>
      <c r="FT98" s="367">
        <f t="shared" si="361"/>
        <v>24.5539396878451</v>
      </c>
      <c r="FU98" s="395">
        <f>$FT98*(VLOOKUP($FT$9,各项系数!$D$1:$F$143,3,0))*10^-3*10^2*各项系数!$J$55</f>
        <v>2.9317403987287</v>
      </c>
      <c r="FV98" s="396">
        <v>1</v>
      </c>
      <c r="FW98" s="397">
        <f t="shared" si="449"/>
        <v>2.9317403987287</v>
      </c>
      <c r="FX98" s="372">
        <f>FW98*(VLOOKUP($FT$9,各项系数!$D$1:$F$143,2,0))</f>
        <v>8.79522119618611</v>
      </c>
      <c r="FY98" s="395">
        <f>IF($BK98&lt;&gt;$FY$9,0,各项系数!$F$76/4*($MS98^2-$MQ98^2)*10^-2*(VLOOKUP($FY$9,各项系数!$D$1:$F$143,3,0))*10^-3*10^2)*各项系数!$J$4</f>
        <v>0</v>
      </c>
      <c r="FZ98" s="396">
        <v>1</v>
      </c>
      <c r="GA98" s="397">
        <f t="shared" si="450"/>
        <v>0</v>
      </c>
      <c r="GB98" s="372">
        <f>GA98*(VLOOKUP($FY$9,各项系数!$D$1:$F$143,2,0))</f>
        <v>0</v>
      </c>
      <c r="GC98" s="395">
        <f>IF($BK98&lt;&gt;$GC$9,0,各项系数!$F$76/4*($MS98^2-$MQ98^2)*10^-2*(VLOOKUP($GC$9,各项系数!$D$1:$F$143,3,0))*10^-3*10^2)*各项系数!$J$4</f>
        <v>0.0271916411365367</v>
      </c>
      <c r="GD98" s="396">
        <v>1</v>
      </c>
      <c r="GE98" s="397">
        <f t="shared" si="451"/>
        <v>0.0271916411365367</v>
      </c>
      <c r="GF98" s="372">
        <f>GE98*(VLOOKUP($GC$9,各项系数!$D$1:$F$143,2,0))</f>
        <v>0.350772170661324</v>
      </c>
      <c r="GG98" s="395">
        <f>IF($BK98&lt;&gt;$GG$9,0,各项系数!$F$76/4*($MS98^2-$MQ98^2)*10^-2*(VLOOKUP($GG$9,各项系数!$D$1:$F$143,3,0))*10^-3*10^2)*各项系数!$J$4</f>
        <v>0</v>
      </c>
      <c r="GH98" s="396">
        <v>1</v>
      </c>
      <c r="GI98" s="397">
        <f t="shared" si="452"/>
        <v>0</v>
      </c>
      <c r="GJ98" s="372">
        <f>GI98*(VLOOKUP($GG$9,各项系数!$D$1:$F$143,2,0))</f>
        <v>0</v>
      </c>
      <c r="GK98" s="395">
        <f>IF($BK98&lt;&gt;$GK$9,0,各项系数!$F$76/4*($MS98^2-$MQ98^2)*10^-2*(VLOOKUP($GK$9,各项系数!$D$1:$F$143,3,0))*10^-3*10^2)*各项系数!$J$4</f>
        <v>0</v>
      </c>
      <c r="GL98" s="396">
        <v>1</v>
      </c>
      <c r="GM98" s="397">
        <f t="shared" si="453"/>
        <v>0</v>
      </c>
      <c r="GN98" s="372">
        <f>GM98*(VLOOKUP($GK$9,各项系数!$D$1:$F$143,2,0))</f>
        <v>0</v>
      </c>
      <c r="GO98" s="397">
        <f t="shared" si="454"/>
        <v>0.0271916411365367</v>
      </c>
      <c r="GP98" s="397">
        <f t="shared" si="455"/>
        <v>0.350772170661324</v>
      </c>
      <c r="GQ98" s="408">
        <f>各项系数!$F$76/4*($MU98^2-$MS98^2)*10^-2*(VLOOKUP($S98,各项系数!$D$1:$F$143,3,0))*10^-3*10^2*各项系数!$J$4</f>
        <v>1.84593006695436</v>
      </c>
      <c r="GR98" s="396">
        <v>1</v>
      </c>
      <c r="GS98" s="397">
        <f t="shared" si="456"/>
        <v>1.84593006695436</v>
      </c>
      <c r="GT98" s="397">
        <f t="shared" si="457"/>
        <v>0</v>
      </c>
      <c r="GU98" s="397">
        <f>ROUND($GS98*(VLOOKUP($S98,各项系数!$D$1:$F$143,2,0))+$E$3*GS98,GT98)</f>
        <v>11</v>
      </c>
      <c r="GV98" s="406">
        <f>各项系数!$F$76/4*($MT98^2-$MS98^2)*10^-2*(VLOOKUP($GV$9,各项系数!$D$1:$F$143,3,0))*10^-3*10^2*各项系数!$J$4*PI()/4*R98</f>
        <v>0.13970735553688</v>
      </c>
      <c r="GW98" s="396">
        <v>1</v>
      </c>
      <c r="GX98" s="397">
        <f t="shared" si="458"/>
        <v>0.13970735553688</v>
      </c>
      <c r="GY98" s="397">
        <f>$GX98*(VLOOKUP($GV$9,各项系数!$D$1:$F$143,2,0))</f>
        <v>9.43024649873937</v>
      </c>
      <c r="GZ98" s="408">
        <f>各项系数!$F$76/4*($MV98^2-$MS98^2)*10^-2*(VLOOKUP($GZ$9,各项系数!$D$1:$F$143,3,0))*10^-3*10^2*各项系数!$J$4</f>
        <v>1.9824221987092</v>
      </c>
      <c r="HA98" s="396">
        <v>1</v>
      </c>
      <c r="HB98" s="397">
        <f t="shared" si="412"/>
        <v>1.9824221987092</v>
      </c>
      <c r="HC98" s="397">
        <f>HB98*(VLOOKUP($GZ$9,各项系数!$D$1:$F$143,2,0))</f>
        <v>33.7011773780565</v>
      </c>
      <c r="HD98" s="408">
        <f>各项系数!$F$76/4*($MW98^2-$MT98^2)*10^-2*(VLOOKUP($HD$9,各项系数!$D$1:$F$143,3,0))*10^-3*10^2*各项系数!$J$4</f>
        <v>1.98546806075145</v>
      </c>
      <c r="HE98" s="396">
        <v>1</v>
      </c>
      <c r="HF98" s="397">
        <f t="shared" si="413"/>
        <v>1.98546806075145</v>
      </c>
      <c r="HG98" s="397">
        <f>HF98*(VLOOKUP($HD$9,各项系数!$D$1:$F$143,2,0))</f>
        <v>33.7529570327747</v>
      </c>
      <c r="HH98" s="408">
        <f>各项系数!$F$76/4*($MV98^2-$MS98^2)*10^-2*(VLOOKUP($HH$9,各项系数!$D$1:$F$143,3,0))*10^-3*10^2*各项系数!$J$4</f>
        <v>1.9824221987092</v>
      </c>
      <c r="HI98" s="397">
        <v>1</v>
      </c>
      <c r="HJ98" s="397">
        <f t="shared" si="414"/>
        <v>1.9824221987092</v>
      </c>
      <c r="HK98" s="397">
        <f>HJ98*(VLOOKUP($HH$9,各项系数!$D$1:$F$143,2,0))</f>
        <v>33.7011773780565</v>
      </c>
      <c r="HL98" s="408">
        <f>各项系数!$F$76/4*($MW98^2-$MT98^2)*10^-2*(VLOOKUP($HL$9,各项系数!$D$1:$F$143,3,0))*10^-3*10^2*各项系数!$J$4</f>
        <v>1.98546806075145</v>
      </c>
      <c r="HM98" s="397">
        <v>1</v>
      </c>
      <c r="HN98" s="397">
        <f t="shared" si="362"/>
        <v>1.98546806075145</v>
      </c>
      <c r="HO98" s="397">
        <f>HN98*(VLOOKUP($HL$9,各项系数!$D$1:$F$143,2,0))</f>
        <v>33.7529570327747</v>
      </c>
      <c r="HP98" s="408">
        <f>各项系数!$F$76/4*($MV98^2-$MS98^2)*10^-2*(VLOOKUP(AN98,各项系数!$D$1:$F$143,3,0))*10^-3*10^2*各项系数!$J$4</f>
        <v>2.00976595317416</v>
      </c>
      <c r="HQ98" s="396">
        <v>1</v>
      </c>
      <c r="HR98" s="397">
        <f t="shared" si="459"/>
        <v>2.00976595317416</v>
      </c>
      <c r="HS98" s="397">
        <f>HR98*(VLOOKUP(AN98,各项系数!$D$1:$F$143,2,0))</f>
        <v>20.0976595317416</v>
      </c>
      <c r="HT98" s="408">
        <f>各项系数!$F$76/4*($MW98^2-$MT98^2)*10^-2*(VLOOKUP(AN98,各项系数!$D$1:$F$143,3,0))*10^-3*10^2*各项系数!$J$4</f>
        <v>2.01285382710665</v>
      </c>
      <c r="HU98" s="396">
        <v>1</v>
      </c>
      <c r="HV98" s="397">
        <f t="shared" si="460"/>
        <v>2.01285382710665</v>
      </c>
      <c r="HW98" s="397">
        <f>HV98*(VLOOKUP(AN98,各项系数!$D$1:$F$143,2,0))</f>
        <v>20.1285382710665</v>
      </c>
      <c r="HX98" s="408">
        <f>各项系数!$F$76/4*($MV98^2-$MS98^2)*10^-2*(VLOOKUP($HX$9,各项系数!$D$1:$F$143,3,0))*10^-3*10^2*各项系数!$J$4</f>
        <v>2.00976595317416</v>
      </c>
      <c r="HY98" s="397">
        <v>1</v>
      </c>
      <c r="HZ98" s="397">
        <f t="shared" si="461"/>
        <v>2.00976595317416</v>
      </c>
      <c r="IA98" s="397">
        <f>HZ98*(VLOOKUP($HX$9,各项系数!$D$1:$F$143,2,0))</f>
        <v>22.1074254849157</v>
      </c>
      <c r="IB98" s="408">
        <f>各项系数!$F$76/4*($MW98^2-$MT98^2)*10^-2*(VLOOKUP($IB$9,各项系数!$D$1:$F$143,3,0))*10^-3*10^2*各项系数!$J$4</f>
        <v>2.01285382710665</v>
      </c>
      <c r="IC98" s="397">
        <v>1</v>
      </c>
      <c r="ID98" s="397">
        <f t="shared" si="462"/>
        <v>2.01285382710665</v>
      </c>
      <c r="IE98" s="397">
        <f>ID98*(VLOOKUP($IB$9,各项系数!$D$1:$F$143,2,0))</f>
        <v>22.1413920981731</v>
      </c>
      <c r="IF98" s="395"/>
      <c r="IG98" s="408">
        <f t="shared" si="415"/>
        <v>0.228218763417957</v>
      </c>
      <c r="IH98" s="396">
        <v>1</v>
      </c>
      <c r="II98" s="397">
        <f t="shared" si="463"/>
        <v>0.228218763417957</v>
      </c>
      <c r="IJ98" s="397">
        <f>II98*(VLOOKUP($IG$8,各项系数!$D$1:$F$143,2,0))</f>
        <v>5.70546908544892</v>
      </c>
      <c r="IK98" s="408">
        <f>(各项系数!$F$76/4*($MX98^2-$MK98^2)*$EG98)*10^-2*(VLOOKUP($IG$8,各项系数!$D$1:$F$143,3,0))*10^-3*10^2*各项系数!$J$4</f>
        <v>0.228218763417957</v>
      </c>
      <c r="IL98" s="396">
        <f>IK98*(VLOOKUP($IG$8,各项系数!$D$1:$F$143,2,0))</f>
        <v>5.70546908544892</v>
      </c>
      <c r="IM98" s="397">
        <f>(各项系数!$F$76/4*(($MM98+3*$X98)^2-MM98^2)*$EO98)*10^-2*(VLOOKUP($IG$8,各项系数!$D$1:$F$143,3,0))*10^-3*10^2*各项系数!$J$4</f>
        <v>0</v>
      </c>
      <c r="IN98" s="396">
        <f>IM98*(VLOOKUP($IG$8,各项系数!$D$1:$F$143,2,0))</f>
        <v>0</v>
      </c>
      <c r="IO98" s="408">
        <f>各项系数!$F$76/4*($MZ98^2-$MX98^2)*10^-2*(VLOOKUP(L98,各项系数!$D$1:$F$143,3,0))*10^-3*10^2*$ES98*各项系数!$J$4</f>
        <v>1.45028994241508</v>
      </c>
      <c r="IP98" s="396">
        <v>1</v>
      </c>
      <c r="IQ98" s="397">
        <f t="shared" si="464"/>
        <v>1.45028994241508</v>
      </c>
      <c r="IR98" s="372">
        <f>IQ98*(VLOOKUP(L98,各项系数!$D$1:$F$143,2,0))</f>
        <v>14.7929574126338</v>
      </c>
      <c r="IS98" s="408">
        <f>IF($L98&lt;&gt;$IS$9,0,各项系数!$F$76/4*($MZ98^2-$MX98^2)*10^-2*各项系数!$F$12*10^-3*10^2)*$ES98*各项系数!$J$4</f>
        <v>0</v>
      </c>
      <c r="IT98" s="396">
        <v>1</v>
      </c>
      <c r="IU98" s="397">
        <f t="shared" si="465"/>
        <v>0</v>
      </c>
      <c r="IV98" s="372">
        <f>IU98*各项系数!$E$12</f>
        <v>0</v>
      </c>
      <c r="IW98" s="395">
        <f t="shared" si="466"/>
        <v>1.45028994241508</v>
      </c>
      <c r="IX98" s="395">
        <f t="shared" si="467"/>
        <v>14.7929574126338</v>
      </c>
      <c r="IY98" s="447">
        <f>各项系数!$F$76/4*($NB98^2-$MZ98^2*$EG98-$NA98^2*$EO98)*10^-2</f>
        <v>25.3578664528034</v>
      </c>
      <c r="IZ98" s="366">
        <f t="shared" si="487"/>
        <v>1</v>
      </c>
      <c r="JA98" s="367">
        <f t="shared" si="363"/>
        <v>25.3578664528034</v>
      </c>
      <c r="JB98" s="371">
        <f>IF($DE98&lt;&gt;$JB$9,0,$JA98*各项系数!$F$32*10^-3*10^2)*各项系数!$J$4</f>
        <v>0</v>
      </c>
      <c r="JC98" s="127">
        <v>1</v>
      </c>
      <c r="JD98" s="95">
        <f t="shared" si="468"/>
        <v>0</v>
      </c>
      <c r="JE98" s="341">
        <f>JD98*各项系数!$E$32</f>
        <v>0</v>
      </c>
      <c r="JF98" s="364">
        <f>IF($DE98&lt;&gt;$JF$9,0,$JA98*VLOOKUP($JF$9,各项系数!$D$4:$F$540,2,0)*10^-3*10^2)*各项系数!$J$4</f>
        <v>12.6155385602697</v>
      </c>
      <c r="JG98" s="123">
        <v>1</v>
      </c>
      <c r="JH98" s="251">
        <f t="shared" si="364"/>
        <v>12.6155385602697</v>
      </c>
      <c r="JI98" s="339">
        <f>JH98*VLOOKUP($JF$9,各项系数!$D$4:$F$540,3,0)</f>
        <v>15.1386462723236</v>
      </c>
      <c r="JJ98" s="371">
        <f t="shared" si="469"/>
        <v>12.6155385602697</v>
      </c>
      <c r="JK98" s="95">
        <f t="shared" si="470"/>
        <v>15.1386462723236</v>
      </c>
      <c r="JL98" s="371">
        <f>IF($DF98&lt;&gt;$JL$9,0,各项系数!$F$76/4*($NE98^2-$NC98^2)*10^-2*各项系数!$F$39*10^-3*10^2)*各项系数!$J$4</f>
        <v>0.0114221179599788</v>
      </c>
      <c r="JM98" s="127">
        <v>1</v>
      </c>
      <c r="JN98" s="95">
        <f t="shared" si="471"/>
        <v>0.0114221179599788</v>
      </c>
      <c r="JO98" s="341">
        <f>JN98*各项系数!$E$39</f>
        <v>0.228442359199576</v>
      </c>
      <c r="JP98" s="371">
        <f>IF($DF98&lt;&gt;$JP$9,0,各项系数!$F$76/4*($NE98^2-$NC98^2)*10^-2*各项系数!$F$36*10^-3*10^2)*各项系数!$J$4</f>
        <v>0</v>
      </c>
      <c r="JQ98" s="127">
        <v>1</v>
      </c>
      <c r="JR98" s="95">
        <f t="shared" si="472"/>
        <v>0</v>
      </c>
      <c r="JS98" s="341">
        <f>JR98*各项系数!$E$36</f>
        <v>0</v>
      </c>
      <c r="JT98" s="371">
        <f>IF($DF98&lt;&gt;$JT$9,0,各项系数!$F$76/4*($NE98^2-$NC98^2)*10^-2*各项系数!$F$40*10^-3*10^2)*各项系数!$J$4</f>
        <v>0</v>
      </c>
      <c r="JU98" s="127">
        <v>1</v>
      </c>
      <c r="JV98" s="95">
        <f t="shared" si="473"/>
        <v>0</v>
      </c>
      <c r="JW98" s="341">
        <f>JV98*各项系数!$E$40</f>
        <v>0</v>
      </c>
      <c r="JX98" s="371">
        <f>IF($DF98&lt;&gt;$JX$9,0,各项系数!$F$76/4*($NE98^2-$NC98^2)*10^-2*各项系数!$F$38*10^-3*10^2)*各项系数!$J$4</f>
        <v>0</v>
      </c>
      <c r="JY98" s="127">
        <v>1</v>
      </c>
      <c r="JZ98" s="95">
        <f t="shared" si="474"/>
        <v>0</v>
      </c>
      <c r="KA98" s="341">
        <f>JZ98*各项系数!$E$38</f>
        <v>0</v>
      </c>
      <c r="KB98" s="371">
        <f>IF($DF98&lt;&gt;$KB$9,0,各项系数!$F$76/4*($NE98^2-$NC98^2)*10^-2*各项系数!$F$41*10^-3*10^2)*各项系数!$J$4</f>
        <v>0</v>
      </c>
      <c r="KC98" s="127">
        <v>1</v>
      </c>
      <c r="KD98" s="95">
        <f t="shared" si="475"/>
        <v>0</v>
      </c>
      <c r="KE98" s="341">
        <f>KD98*各项系数!$E$41</f>
        <v>0</v>
      </c>
      <c r="KF98" s="95">
        <f t="shared" si="476"/>
        <v>0.0114221179599788</v>
      </c>
      <c r="KG98" s="95">
        <f t="shared" si="477"/>
        <v>0.228442359199576</v>
      </c>
      <c r="KH98" s="304">
        <f>各项系数!$F$76/4*($NG98^2-$NE98^2)*10^-2*各项系数!$F$44*10^-3*10^2*各项系数!$J$4*0.75*$U98</f>
        <v>2.81520505085982</v>
      </c>
      <c r="KI98" s="127">
        <v>1</v>
      </c>
      <c r="KJ98" s="95">
        <f t="shared" si="478"/>
        <v>2.81520505085982</v>
      </c>
      <c r="KK98" s="95">
        <f>ROUND(KJ98*各项系数!$E$43,GT98)</f>
        <v>16</v>
      </c>
      <c r="KL98" s="302">
        <f>各项系数!$F$76/4*($NF98^2-$NE98^2)*10^-2*各项系数!$F$46*10^-3*10^2*各项系数!$J$4*PI()/4*R98</f>
        <v>0.142059622759116</v>
      </c>
      <c r="KM98" s="127">
        <v>1</v>
      </c>
      <c r="KN98" s="95">
        <f t="shared" si="479"/>
        <v>0.142059622759116</v>
      </c>
      <c r="KO98" s="95">
        <f>KN98*各项系数!$E$46</f>
        <v>9.5890245362403</v>
      </c>
      <c r="KP98" s="304">
        <f>各项系数!$F$76/4*($NH98^2-$NE98^2)*10^-2*(VLOOKUP($KP$9,各项系数!$D$1:$F$143,3,0))*10^-3*10^2*各项系数!$J$4</f>
        <v>2.01447989670388</v>
      </c>
      <c r="KQ98" s="127">
        <v>1</v>
      </c>
      <c r="KR98" s="95">
        <f t="shared" si="416"/>
        <v>2.01447989670388</v>
      </c>
      <c r="KS98" s="95">
        <f>KR98*(VLOOKUP($KP$9,各项系数!$D$1:$F$143,2,0))</f>
        <v>34.246158243966</v>
      </c>
      <c r="KT98" s="304">
        <f>各项系数!$F$76/4*($NI98^2-$NF98^2)*10^-2*(VLOOKUP($KT$9,各项系数!$D$1:$F$143,3,0))*10^-3*10^2*各项系数!$J$4</f>
        <v>2.01752575874613</v>
      </c>
      <c r="KU98" s="127">
        <v>1</v>
      </c>
      <c r="KV98" s="95">
        <f t="shared" si="417"/>
        <v>2.01752575874613</v>
      </c>
      <c r="KW98" s="95">
        <f>KV98*(VLOOKUP($KT$9,各项系数!$D$1:$F$143,2,0))</f>
        <v>34.2979378986842</v>
      </c>
      <c r="KX98" s="95">
        <f>各项系数!$F$76/4*($NH98^2-$NE98^2)*10^-2*(VLOOKUP($KX$9,各项系数!$D$1:$F$143,3,0))*10^-3*10^2*各项系数!$J$4</f>
        <v>2.01447989670388</v>
      </c>
      <c r="KY98" s="481">
        <v>1</v>
      </c>
      <c r="KZ98" s="95">
        <f t="shared" si="418"/>
        <v>2.01447989670388</v>
      </c>
      <c r="LA98" s="95">
        <f>KZ98*(VLOOKUP($KX$9,各项系数!$D$1:$F$143,2,0))</f>
        <v>34.246158243966</v>
      </c>
      <c r="LB98" s="95">
        <f>各项系数!$F$76/4*($NI98^2-$NF98^2)*10^-2*(VLOOKUP($LB$9,各项系数!$D$1:$F$143,3,0))*10^-3*10^2*各项系数!$J$4</f>
        <v>2.01752575874613</v>
      </c>
      <c r="LC98" s="481">
        <v>1</v>
      </c>
      <c r="LD98" s="95">
        <f t="shared" si="419"/>
        <v>2.01752575874613</v>
      </c>
      <c r="LE98" s="95">
        <f>LD98*(VLOOKUP($LB$9,各项系数!$D$1:$F$143,2,0))</f>
        <v>34.2979378986842</v>
      </c>
      <c r="LF98" s="304">
        <f>各项系数!$F$76/4*($NH98^2-$NE98^2)*10^-2*(VLOOKUP(AN98,各项系数!$D$1:$F$143,3,0))*10^-3*10^2*各项系数!$J$4</f>
        <v>2.04226582631359</v>
      </c>
      <c r="LG98" s="127">
        <v>1</v>
      </c>
      <c r="LH98" s="95">
        <f t="shared" si="480"/>
        <v>2.04226582631359</v>
      </c>
      <c r="LI98" s="95">
        <f>LH98*(VLOOKUP(AN98,各项系数!$D$1:$F$143,2,0))</f>
        <v>20.4226582631359</v>
      </c>
      <c r="LJ98" s="304">
        <f>各项系数!$F$76/4*($NI98^2-$NF98^2)*10^-2*(VLOOKUP(AN98,各项系数!$D$1:$F$143,3,0))*10^-3*10^2*各项系数!$J$4</f>
        <v>2.04535370024608</v>
      </c>
      <c r="LK98" s="127">
        <v>1</v>
      </c>
      <c r="LL98" s="95">
        <f t="shared" si="481"/>
        <v>2.04535370024608</v>
      </c>
      <c r="LM98" s="95">
        <f>LL98*(VLOOKUP(AN98,各项系数!$D$1:$F$143,2,0))</f>
        <v>20.4535370024608</v>
      </c>
      <c r="LN98" s="95">
        <f>各项系数!$F$76/4*($NH98^2-$NE98^2)*10^-2*(VLOOKUP($LN$9,各项系数!$D$1:$F$143,3,0))*10^-3*10^2*各项系数!$J$4</f>
        <v>2.04226582631359</v>
      </c>
      <c r="LO98" s="481">
        <v>1</v>
      </c>
      <c r="LP98" s="95">
        <f t="shared" si="482"/>
        <v>2.04226582631359</v>
      </c>
      <c r="LQ98" s="95">
        <f>LP98*(VLOOKUP($LN$9,各项系数!$D$1:$F$143,2,0))</f>
        <v>22.4649240894495</v>
      </c>
      <c r="LR98" s="95">
        <f>各项系数!$F$76/4*($NI98^2-$NF98^2)*10^-2*(VLOOKUP($LR$9,各项系数!$D$1:$F$143,3,0))*10^-3*10^2*各项系数!$J$4</f>
        <v>2.04535370024608</v>
      </c>
      <c r="LS98" s="481">
        <v>1</v>
      </c>
      <c r="LT98" s="95">
        <f t="shared" si="483"/>
        <v>2.04535370024608</v>
      </c>
      <c r="LU98" s="95">
        <f>LT98*(VLOOKUP($LR$9,各项系数!$D$1:$F$143,2,0))</f>
        <v>22.4988907027068</v>
      </c>
      <c r="LV98" s="501">
        <f t="shared" si="420"/>
        <v>4058.6709144</v>
      </c>
      <c r="LW98" s="501">
        <f t="shared" si="421"/>
        <v>3056.52994788</v>
      </c>
      <c r="LX98" s="501">
        <f t="shared" si="422"/>
        <v>62.3834497227279</v>
      </c>
      <c r="LY98" s="519">
        <f t="shared" si="423"/>
        <v>1002.14096652</v>
      </c>
      <c r="LZ98" s="516">
        <f t="shared" si="365"/>
        <v>1</v>
      </c>
      <c r="MA98" s="517">
        <f t="shared" si="366"/>
        <v>4058.6709144</v>
      </c>
      <c r="MB98" s="501">
        <f t="shared" si="424"/>
        <v>32.14859346</v>
      </c>
      <c r="MC98" s="501">
        <f t="shared" si="425"/>
        <v>0</v>
      </c>
      <c r="MD98" s="501">
        <f t="shared" si="426"/>
        <v>0</v>
      </c>
      <c r="ME98" s="501">
        <f t="shared" si="427"/>
        <v>0</v>
      </c>
      <c r="MF98" s="501">
        <f t="shared" si="428"/>
        <v>0</v>
      </c>
      <c r="MG98" s="527">
        <f t="shared" si="429"/>
        <v>1</v>
      </c>
      <c r="MH98" s="517">
        <f t="shared" si="367"/>
        <v>0</v>
      </c>
      <c r="MI98" s="501">
        <f t="shared" si="430"/>
        <v>0</v>
      </c>
      <c r="MJ98" s="95">
        <f t="shared" si="368"/>
        <v>32.14859346</v>
      </c>
      <c r="MK98" s="95">
        <f t="shared" si="431"/>
        <v>32.14859346</v>
      </c>
      <c r="ML98" s="95">
        <f t="shared" si="484"/>
        <v>0</v>
      </c>
      <c r="MM98" s="95">
        <f t="shared" si="369"/>
        <v>0</v>
      </c>
      <c r="MN98" s="95">
        <f t="shared" si="370"/>
        <v>36.94859346</v>
      </c>
      <c r="MO98" s="251">
        <f t="shared" si="432"/>
        <v>0</v>
      </c>
      <c r="MP98" s="95">
        <f t="shared" si="433"/>
        <v>99.76120234</v>
      </c>
      <c r="MQ98" s="95">
        <f t="shared" si="485"/>
        <v>99.76120234</v>
      </c>
      <c r="MR98" s="314">
        <f t="shared" si="434"/>
        <v>99.76120234</v>
      </c>
      <c r="MS98" s="530">
        <f t="shared" si="371"/>
        <v>99.93720234</v>
      </c>
      <c r="MT98" s="532">
        <f t="shared" si="372"/>
        <v>100.09720234</v>
      </c>
      <c r="MU98" s="532">
        <f t="shared" si="373"/>
        <v>101.43720234</v>
      </c>
      <c r="MV98" s="532">
        <f t="shared" si="374"/>
        <v>108.33720234</v>
      </c>
      <c r="MW98" s="532">
        <f t="shared" si="375"/>
        <v>108.49720234</v>
      </c>
      <c r="MX98" s="314">
        <f t="shared" si="376"/>
        <v>32.74859346</v>
      </c>
      <c r="MY98" s="314">
        <f t="shared" si="377"/>
        <v>0</v>
      </c>
      <c r="MZ98" s="95">
        <f t="shared" si="378"/>
        <v>37.54859346</v>
      </c>
      <c r="NA98" s="95">
        <f t="shared" si="379"/>
        <v>0</v>
      </c>
      <c r="NB98" s="95">
        <f t="shared" si="435"/>
        <v>101.38120234</v>
      </c>
      <c r="NC98" s="314">
        <f t="shared" si="486"/>
        <v>101.38120234</v>
      </c>
      <c r="ND98" s="314">
        <f t="shared" si="436"/>
        <v>101.38120234</v>
      </c>
      <c r="NE98" s="537">
        <f t="shared" si="437"/>
        <v>101.62120234</v>
      </c>
      <c r="NF98" s="532">
        <f t="shared" si="380"/>
        <v>101.78120234</v>
      </c>
      <c r="NG98" s="180">
        <f t="shared" si="381"/>
        <v>103.12120234</v>
      </c>
      <c r="NH98" s="314">
        <f t="shared" si="382"/>
        <v>110.02120234</v>
      </c>
      <c r="NI98" s="532">
        <f t="shared" si="383"/>
        <v>110.18120234</v>
      </c>
      <c r="NK98" s="541">
        <f t="shared" si="384"/>
        <v>34.2420201282502</v>
      </c>
      <c r="NL98" s="541">
        <f t="shared" si="385"/>
        <v>1867.81428141247</v>
      </c>
      <c r="NM98" s="541">
        <f t="shared" si="386"/>
        <v>34.2420201282502</v>
      </c>
      <c r="NN98" s="541">
        <f t="shared" si="387"/>
        <v>1869.82404736565</v>
      </c>
      <c r="NO98" s="541">
        <f t="shared" si="388"/>
        <v>44.1955244099194</v>
      </c>
      <c r="NP98" s="541">
        <f t="shared" si="389"/>
        <v>1880.31836596281</v>
      </c>
      <c r="NQ98" s="541">
        <f t="shared" si="390"/>
        <v>44.1955244099194</v>
      </c>
      <c r="NR98" s="541">
        <f t="shared" si="391"/>
        <v>1882.36063178913</v>
      </c>
      <c r="NS98" s="541">
        <f t="shared" si="392"/>
        <v>34.3817274837871</v>
      </c>
      <c r="NT98" s="541">
        <f t="shared" si="393"/>
        <v>34.3817274837871</v>
      </c>
      <c r="NU98" s="541">
        <f t="shared" si="394"/>
        <v>44.3375840326785</v>
      </c>
      <c r="NV98" s="541">
        <f t="shared" si="395"/>
        <v>44.3375840326785</v>
      </c>
      <c r="NW98" s="11">
        <f t="shared" si="396"/>
        <v>36.0879501952046</v>
      </c>
      <c r="NX98" s="11">
        <f>各项系数!$M$9*NK98</f>
        <v>10.2726060384751</v>
      </c>
      <c r="NY98" s="11">
        <f t="shared" si="397"/>
        <v>34.3817274837871</v>
      </c>
    </row>
    <row r="99" s="11" customFormat="1" customHeight="1" spans="1:389">
      <c r="A99" s="81"/>
      <c r="B99" s="82"/>
      <c r="C99" s="83"/>
      <c r="D99" s="74" t="s">
        <v>930</v>
      </c>
      <c r="E99" s="550">
        <f t="shared" si="325"/>
        <v>121.24117763</v>
      </c>
      <c r="F99" s="84">
        <f>$F$35</f>
        <v>404.218837505781</v>
      </c>
      <c r="G99" s="74"/>
      <c r="H99" s="23"/>
      <c r="I99" s="78"/>
      <c r="J99" s="23"/>
      <c r="K99" s="23"/>
      <c r="L99" s="128" t="s">
        <v>467</v>
      </c>
      <c r="M99" s="119">
        <f t="shared" si="339"/>
        <v>2.6</v>
      </c>
      <c r="N99" s="119">
        <f t="shared" si="340"/>
        <v>0</v>
      </c>
      <c r="O99" s="74">
        <f t="shared" si="493"/>
        <v>0.08</v>
      </c>
      <c r="P99" s="120">
        <v>0.1</v>
      </c>
      <c r="Q99" s="165">
        <f t="shared" si="489"/>
        <v>0.1</v>
      </c>
      <c r="R99" s="182">
        <v>0.8</v>
      </c>
      <c r="S99" s="173" t="str">
        <f>各项系数!$D$43</f>
        <v>钢带</v>
      </c>
      <c r="T99" s="78">
        <v>0.5</v>
      </c>
      <c r="U99" s="78">
        <v>2</v>
      </c>
      <c r="V99" s="172"/>
      <c r="W99" s="174">
        <v>4.4</v>
      </c>
      <c r="X99" s="168">
        <f t="shared" si="490"/>
        <v>0.2</v>
      </c>
      <c r="Y99" s="221"/>
      <c r="Z99" s="222"/>
      <c r="AA99" s="223">
        <f>$AA$35</f>
        <v>1.03</v>
      </c>
      <c r="AB99" s="186">
        <f>PI()*EJ99*EJ99/4*EH99*(1-H99)*AA99*各项系数!$F$5*各项系数!$J$4*10^-7</f>
        <v>7.13205822938526</v>
      </c>
      <c r="AC99" s="224">
        <f t="shared" si="327"/>
        <v>404.218837505781</v>
      </c>
      <c r="AD99" s="186">
        <f t="shared" si="341"/>
        <v>806.287707308788</v>
      </c>
      <c r="AE99" s="186">
        <f>POWER(4*EU99/PI()/EG99/10^-7/EH99/(1-H99)/各项系数!$F$5/各项系数!$J$4,0.5)</f>
        <v>410.23731504138</v>
      </c>
      <c r="AF99" s="225">
        <v>1</v>
      </c>
      <c r="AG99" s="23">
        <f>IF(EM99=0,0,PI()*ER99*ER99/4*EP99*(1-K99)*(1+AF99)*各项系数!$F$5*各项系数!$J$4*10^-7)</f>
        <v>0</v>
      </c>
      <c r="AH99" s="23">
        <f t="shared" si="328"/>
        <v>0</v>
      </c>
      <c r="AI99" s="85">
        <f t="shared" si="398"/>
        <v>0</v>
      </c>
      <c r="AJ99" s="85">
        <f>IF(OR(EP99="",EP99=0),0,POWER(4*EW99/PI()/EO99/10^-7/EP99/(1-K99)/各项系数!$F$5/各项系数!$J$4,0.5))</f>
        <v>0</v>
      </c>
      <c r="AK99" s="23" t="str">
        <f t="shared" si="342"/>
        <v>√</v>
      </c>
      <c r="AL99" s="23">
        <f t="shared" si="329"/>
        <v>2461.83740020571</v>
      </c>
      <c r="AM99" s="127">
        <f t="shared" si="330"/>
        <v>800</v>
      </c>
      <c r="AN99" s="128" t="s">
        <v>486</v>
      </c>
      <c r="AO99" s="176">
        <f>AP99+各项系数!$M$9*$NK99</f>
        <v>2413.56607863304</v>
      </c>
      <c r="AP99" s="176">
        <f>AQ99*(1+$BI99+(VLOOKUP($AM99,$A$12:$B$323,2,0))+各项系数!$J$6+各项系数!$M$5)*(1+$E$2)</f>
        <v>2400.5135802393</v>
      </c>
      <c r="AQ99" s="262">
        <f>AR99+各项系数!$L$9*$NK99</f>
        <v>2449.50365330541</v>
      </c>
      <c r="AR99" s="262">
        <f>AS99*(1+$BJ99+各项系数!$J$5+各项系数!$L$5)</f>
        <v>2436.45115491166</v>
      </c>
      <c r="AS99" s="262">
        <f t="shared" si="399"/>
        <v>2388.67760285457</v>
      </c>
      <c r="AT99" s="176">
        <f>AU99+各项系数!$M$9*$NM99</f>
        <v>2429.5495417663</v>
      </c>
      <c r="AU99" s="176">
        <f>AV99*(1+$BI99+(VLOOKUP($AM99,$A$12:$B$323,2,0))+各项系数!$J$6+各项系数!$M$5)*(1+$E$2)</f>
        <v>2416.49704337256</v>
      </c>
      <c r="AV99" s="262">
        <f>AW99+各项系数!$L$9*$NM99</f>
        <v>2465.81330956383</v>
      </c>
      <c r="AW99" s="262">
        <f>AX99*(1+$BJ99+各项系数!$J$5+各项系数!$L$5)</f>
        <v>2452.76081117009</v>
      </c>
      <c r="AX99" s="262">
        <f t="shared" si="400"/>
        <v>2404.66746193146</v>
      </c>
      <c r="AY99" s="176">
        <f>AZ99+各项系数!$M$9*$NS99</f>
        <v>2424.29673150693</v>
      </c>
      <c r="AZ99" s="176">
        <f>BA99*(1+$BI99+(VLOOKUP($AM99,$A$12:$B$214,2,0))+各项系数!$J$6+各项系数!$M$5)*(1+$E$2)</f>
        <v>2411.19708111593</v>
      </c>
      <c r="BA99" s="262">
        <f>BB99+各项系数!$L$9*$NS99</f>
        <v>2460.40518481217</v>
      </c>
      <c r="BB99" s="262">
        <f>BC99*(1+$BJ99+各项系数!$J$5+各项系数!$L$5)</f>
        <v>2447.30553442117</v>
      </c>
      <c r="BC99" s="262">
        <f t="shared" si="401"/>
        <v>2399.3191513933</v>
      </c>
      <c r="BD99" s="176">
        <f>BE99+各项系数!$M$9*$NS99</f>
        <v>2440.30208207878</v>
      </c>
      <c r="BE99" s="176">
        <f>BF99*(1+$BI99+(VLOOKUP($AM99,$A$12:$B$214,2,0))+各项系数!$J$6+各项系数!$M$5)*(1+$E$2)</f>
        <v>2427.20243168778</v>
      </c>
      <c r="BF99" s="262">
        <f>BG99+各项系数!$L$9*$NS99</f>
        <v>2476.73717519161</v>
      </c>
      <c r="BG99" s="262">
        <f>BH99*(1+$BJ99+各项系数!$J$5+各项系数!$L$5)</f>
        <v>2463.63752480061</v>
      </c>
      <c r="BH99" s="262">
        <f t="shared" si="402"/>
        <v>2415.33090666726</v>
      </c>
      <c r="BI99" s="278"/>
      <c r="BJ99" s="279"/>
      <c r="BK99" s="95" t="s">
        <v>514</v>
      </c>
      <c r="BL99" s="176">
        <f>BM99+各项系数!$M$9*$NM99</f>
        <v>2439.35964584612</v>
      </c>
      <c r="BM99" s="176">
        <f>BN99*(1+$CF99+(VLOOKUP($AM99,$A$12:$B$323,2,0))+各项系数!$J$6+各项系数!$M$5)*(1+$E$2)</f>
        <v>2426.30714745237</v>
      </c>
      <c r="BN99" s="262">
        <f>BO99+各项系数!$L$9*$NM99</f>
        <v>2475.82361984936</v>
      </c>
      <c r="BO99" s="262">
        <f>BP99*(1+$CG99+各项系数!$J$5+各项系数!$L$5)</f>
        <v>2462.77112145562</v>
      </c>
      <c r="BP99" s="262">
        <f t="shared" si="403"/>
        <v>2391.03992374332</v>
      </c>
      <c r="BQ99" s="176">
        <f>BR99+各项系数!$M$9*$NM99</f>
        <v>2453.11528289323</v>
      </c>
      <c r="BR99" s="176">
        <f>BS99*(1+$CF99+(VLOOKUP($AM99,$A$12:$B$323,2,0))+各项系数!$J$6+各项系数!$M$5)*(1+$E$2)</f>
        <v>2440.06278449948</v>
      </c>
      <c r="BS99" s="262">
        <f>BT99+各项系数!$L$9*$NM99</f>
        <v>2489.85998418315</v>
      </c>
      <c r="BT99" s="262">
        <f>BU99*(1+$CG99+各项系数!$J$5+各项系数!$L$5)</f>
        <v>2476.8074857894</v>
      </c>
      <c r="BU99" s="262">
        <f t="shared" si="404"/>
        <v>2404.66746193146</v>
      </c>
      <c r="BV99" s="176">
        <f>BW99+各项系数!$M$9*$NT99</f>
        <v>2437.36829197135</v>
      </c>
      <c r="BW99" s="176">
        <f>BX99*(1+$CF99+(VLOOKUP($AM99,$A$12:$B$214,2,0))+各项系数!$J$6+各项系数!$M$5)*(1+$E$2)</f>
        <v>2424.26864158034</v>
      </c>
      <c r="BX99" s="262">
        <f>BY99+各项系数!$L$9*$NT$12</f>
        <v>2473.74351181668</v>
      </c>
      <c r="BY99" s="262">
        <f>BZ99*(1+$CG99+各项系数!$J$5+各项系数!$L$5)</f>
        <v>2473.73524841352</v>
      </c>
      <c r="BZ99" s="262">
        <f t="shared" si="343"/>
        <v>2401.68470719759</v>
      </c>
      <c r="CA99" s="176">
        <f>CB99+各项系数!$M$9*$NT99</f>
        <v>2451.14276571603</v>
      </c>
      <c r="CB99" s="176">
        <f>CC99*(1+$CF99+(VLOOKUP($AM99,$A$12:$B$214,2,0))+各项系数!$J$6+各项系数!$M$5)*(1+$E$2)</f>
        <v>2438.04311532503</v>
      </c>
      <c r="CC99" s="262">
        <f>CD99+各项系数!$L$9*$NT$12</f>
        <v>2487.79909727044</v>
      </c>
      <c r="CD99" s="262">
        <f>CE99*(1+$CG99+各项系数!$J$5+各项系数!$L$5)</f>
        <v>2487.79083386728</v>
      </c>
      <c r="CE99" s="262">
        <f t="shared" si="405"/>
        <v>2415.33090666726</v>
      </c>
      <c r="CF99" s="278">
        <f t="shared" si="406"/>
        <v>0</v>
      </c>
      <c r="CG99" s="278">
        <f t="shared" si="344"/>
        <v>0.01</v>
      </c>
      <c r="CH99" s="127"/>
      <c r="CI99" s="176">
        <f>CJ99+各项系数!$M$9*$NO99</f>
        <v>2448.93260876308</v>
      </c>
      <c r="CJ99" s="176">
        <f>CK99*(1+$DC99+(VLOOKUP($AM99,$A$12:$B$323,2,0))+各项系数!$J$6+各项系数!$M$5)*(1+$E$2)+各项系数!$M$9*$NK99</f>
        <v>2432.12779853781</v>
      </c>
      <c r="CK99" s="262">
        <f>CL99+各项系数!$L$9*$NO99</f>
        <v>2468.44418382048</v>
      </c>
      <c r="CL99" s="262">
        <f>CM99*(1+$DD99+各项系数!$J$5+各项系数!$L$5)</f>
        <v>2451.63937359521</v>
      </c>
      <c r="CM99" s="262">
        <f t="shared" si="345"/>
        <v>2403.56801332864</v>
      </c>
      <c r="CN99" s="176">
        <f>CO99+各项系数!$M$9*$NO99</f>
        <v>2464.57573322482</v>
      </c>
      <c r="CO99" s="176">
        <f>CP99*(1+$DC99+(VLOOKUP($AM99,$A$12:$B$323,2,0))+各项系数!$J$6+各项系数!$M$5)*(1+$E$2)+各项系数!$M$9*$NK99</f>
        <v>2447.77092299955</v>
      </c>
      <c r="CP99" s="262">
        <f>CQ99+各项系数!$L$9*$NO99</f>
        <v>2484.40655572021</v>
      </c>
      <c r="CQ99" s="262">
        <f>CR99*(1+$DD99+各项系数!$J$5+各项系数!$L$5)</f>
        <v>2467.60174549494</v>
      </c>
      <c r="CR99" s="262">
        <f t="shared" si="346"/>
        <v>2419.21739754406</v>
      </c>
      <c r="CS99" s="176">
        <f>CT99+各项系数!$M$9*$NU99</f>
        <v>2446.77087501624</v>
      </c>
      <c r="CT99" s="176">
        <f t="shared" si="347"/>
        <v>2429.91820711354</v>
      </c>
      <c r="CU99" s="262">
        <f>CV99+各项系数!$L$9*$NU99</f>
        <v>2479.50837460566</v>
      </c>
      <c r="CV99" s="262">
        <f>CW99*(1+$DD99+各项系数!$J$5+各项系数!$L$5)</f>
        <v>2462.65570670296</v>
      </c>
      <c r="CW99" s="262">
        <f t="shared" si="348"/>
        <v>2414.36833990486</v>
      </c>
      <c r="CX99" s="176">
        <f>CY99+各项系数!$M$9*$NU99</f>
        <v>2463.00659087936</v>
      </c>
      <c r="CY99" s="176">
        <f t="shared" si="349"/>
        <v>2446.15392297666</v>
      </c>
      <c r="CZ99" s="262">
        <f>DA99+各项系数!$L$9*$NU99</f>
        <v>2496.07543160884</v>
      </c>
      <c r="DA99" s="262">
        <f>DB99*(1+$DD99+各项系数!$J$5+各项系数!$L$5)</f>
        <v>2479.22276370614</v>
      </c>
      <c r="DB99" s="262">
        <f t="shared" si="350"/>
        <v>2430.61055265308</v>
      </c>
      <c r="DC99" s="278">
        <f t="shared" si="407"/>
        <v>0</v>
      </c>
      <c r="DD99" s="278">
        <f t="shared" si="351"/>
        <v>0</v>
      </c>
      <c r="DE99" s="95" t="s">
        <v>498</v>
      </c>
      <c r="DF99" s="95" t="s">
        <v>513</v>
      </c>
      <c r="DG99" s="176">
        <f>DH99+各项系数!$M$9*$NQ99</f>
        <v>2474.90646953132</v>
      </c>
      <c r="DH99" s="176">
        <f>DI99*(1+$EA99+(VLOOKUP($AM99,$A$12:$B$323,2,0))+各项系数!$J$6+各项系数!$M$5)*(1+$E$2)+各项系数!$M$9*$NK99</f>
        <v>2458.10165930605</v>
      </c>
      <c r="DI99" s="262">
        <f>DJ99+各项系数!$L$9*$NQ99</f>
        <v>2494.9481233799</v>
      </c>
      <c r="DJ99" s="262">
        <f>DK99*(1+$EB99+各项系数!$J$5+各项系数!$L$5)</f>
        <v>2478.14331315463</v>
      </c>
      <c r="DK99" s="262">
        <f t="shared" si="352"/>
        <v>2405.96438170353</v>
      </c>
      <c r="DL99" s="176">
        <f>DM99+各项系数!$M$9*$NQ99</f>
        <v>2488.86036282042</v>
      </c>
      <c r="DM99" s="176">
        <f>DN99*(1+$EA99+(VLOOKUP($AM99,$A$12:$B$323,2,0))+各项系数!$J$6+各项系数!$M$5)*(1+$E$2)+各项系数!$M$9*$NK99</f>
        <v>2472.05555259515</v>
      </c>
      <c r="DN99" s="262">
        <f>DO99+各项系数!$L$9*$NQ99</f>
        <v>2509.18679000144</v>
      </c>
      <c r="DO99" s="262">
        <f>DP99*(1+$EB99+各项系数!$J$5+各项系数!$L$5)</f>
        <v>2492.38197977617</v>
      </c>
      <c r="DP99" s="262">
        <f t="shared" si="353"/>
        <v>2419.78832987977</v>
      </c>
      <c r="DQ99" s="176">
        <f>DR99+各项系数!$M$9*$NV99</f>
        <v>2472.85384430868</v>
      </c>
      <c r="DR99" s="176">
        <f t="shared" si="354"/>
        <v>2456.00117640598</v>
      </c>
      <c r="DS99" s="262">
        <f>DT99+各项系数!$L$9*$NV99</f>
        <v>2506.12364939386</v>
      </c>
      <c r="DT99" s="262">
        <f>DU99*(1+$EB99+各项系数!$J$5+各项系数!$L$5)</f>
        <v>2489.27098149116</v>
      </c>
      <c r="DU99" s="262">
        <f t="shared" si="355"/>
        <v>2416.7679431953</v>
      </c>
      <c r="DV99" s="176">
        <f>DW99+各项系数!$M$9*$NV99</f>
        <v>2468.61091431921</v>
      </c>
      <c r="DW99" s="176">
        <f t="shared" si="356"/>
        <v>2451.75824641651</v>
      </c>
      <c r="DX99" s="262">
        <f>DY99+各项系数!$L$9*$NV99</f>
        <v>2501.79412899644</v>
      </c>
      <c r="DY99" s="262">
        <f>DZ99*(1+$EB99+各项系数!$J$5+各项系数!$L$5)</f>
        <v>2484.94146109375</v>
      </c>
      <c r="DZ99" s="262">
        <f t="shared" si="357"/>
        <v>2412.56452533373</v>
      </c>
      <c r="EA99" s="278">
        <f t="shared" si="492"/>
        <v>0</v>
      </c>
      <c r="EB99" s="278">
        <f t="shared" si="358"/>
        <v>0.01</v>
      </c>
      <c r="EC99" s="302">
        <f t="shared" si="408"/>
        <v>5</v>
      </c>
      <c r="ED99" s="304" t="str">
        <f t="shared" si="442"/>
        <v>5*800</v>
      </c>
      <c r="EE99" s="95">
        <f t="shared" si="491"/>
        <v>800</v>
      </c>
      <c r="EF99" s="95" t="str">
        <f>LOOKUP(EH99,{1,7,10,14,19,24,30,37,48,61},{1,"1+6","2+8","4+10","1+6+12","2+8+14","4+10+16","1+6+12+18","3+9+15+21","1+6+12+18+24"})</f>
        <v>1+6+12+18+24</v>
      </c>
      <c r="EG99" s="127">
        <f t="shared" si="359"/>
        <v>5</v>
      </c>
      <c r="EH99" s="262">
        <f>VLOOKUP(EE99,各项系数!$B$87:$C$124,2,0)</f>
        <v>61</v>
      </c>
      <c r="EI99" s="127">
        <f>IF(EH99=0,0,VLOOKUP(EH99,各项系数!$D$142:$E$195,2,0))*1</f>
        <v>9</v>
      </c>
      <c r="EJ99" s="307">
        <f t="shared" si="409"/>
        <v>404.218837505781</v>
      </c>
      <c r="EK99" s="95">
        <f t="shared" si="332"/>
        <v>0</v>
      </c>
      <c r="EL99" s="95">
        <f t="shared" si="360"/>
        <v>0</v>
      </c>
      <c r="EM99" s="95">
        <f t="shared" si="443"/>
        <v>0</v>
      </c>
      <c r="EN99" s="95">
        <f>IF(EP99=0,0,LOOKUP(EP99,{1,7,10,14,19,24,30,37,48,61},{1,"1+6","2+8","4+10","1+6+12","2+8+14","4+10+16","1+6+12+18","3+9+15+21","1+6+12+18+24"}))</f>
        <v>0</v>
      </c>
      <c r="EO99" s="95">
        <f t="shared" si="334"/>
        <v>0</v>
      </c>
      <c r="EP99" s="95">
        <f>IF(EM99=0,0,IF(EM99&lt;10,1,IF(AND(EM99&gt;=10,EM99&lt;=35),7,LOOKUP(EM99,{50,70,95,120,150,185,240,300},{10,14,19,24,30,37,48,61})*1)))</f>
        <v>0</v>
      </c>
      <c r="EQ99" s="95">
        <f>IF(EP99=0,0,VLOOKUP(EP99,各项系数!$D$142:$E$195,2,0))*1</f>
        <v>0</v>
      </c>
      <c r="ER99" s="95">
        <f t="shared" si="335"/>
        <v>0</v>
      </c>
      <c r="ES99" s="304">
        <f t="shared" si="444"/>
        <v>5</v>
      </c>
      <c r="ET99" s="95">
        <f>VLOOKUP(ES99,各项系数!$D$142:$E$195,2,0)*1</f>
        <v>2.7</v>
      </c>
      <c r="EU99" s="311">
        <f>((各项系数!$F$76/4*$EJ99^2*$EG99*$EH99*1*10^-7)*(1-$H99)*AA99)*(VLOOKUP($EY$9,各项系数!$D$4:$F$143,3,0))*各项系数!$J$4</f>
        <v>35.6602911469263</v>
      </c>
      <c r="EV99" s="312">
        <f>EU99*(VLOOKUP($EY$9,各项系数!$D$4:$F$143,2,0))</f>
        <v>2335.74907012367</v>
      </c>
      <c r="EW99" s="324">
        <f>(IF($EO99=0,0,(各项系数!$F$76/4*$ER99^2*$EO99*$EP99*1*10^-7))*(1-$K99)*$AF99)*(VLOOKUP($EY$9,各项系数!$D$4:$F$143,3,0))*各项系数!$J$4</f>
        <v>0</v>
      </c>
      <c r="EX99" s="325">
        <f>EW99*(VLOOKUP($EY$9,各项系数!$D$4:$F$143,2,0))</f>
        <v>0</v>
      </c>
      <c r="EY99" s="251">
        <f>((各项系数!$F$76/4*$EJ99^2*$EG99*$EH99*1*10^-7)*(1-$H99)*AA99+IF($EO99=0,0,(各项系数!$F$76/4*$ER99^2*$EO99*$EP99*1*10^-7))*(1-$K99)*$AF99)*(VLOOKUP($EY$9,各项系数!$D$4:$F$143,3,0))*各项系数!$J$4</f>
        <v>35.6602911469263</v>
      </c>
      <c r="EZ99" s="127">
        <v>1</v>
      </c>
      <c r="FA99" s="95">
        <f t="shared" si="445"/>
        <v>35.6602911469263</v>
      </c>
      <c r="FB99" s="314">
        <f>FA99*(VLOOKUP($EY$9,各项系数!$D$4:$F$143,2,0))</f>
        <v>2335.74907012367</v>
      </c>
      <c r="FC99" s="329"/>
      <c r="FD99" s="304">
        <f>各项系数!$F$76/4*($MN99^2-MK99^2)*10^-2*(VLOOKUP(L99,各项系数!$D$1:$F$143,3,0))*10^-3*10^2*$EG99*各项系数!$J$4</f>
        <v>1.74239827399905</v>
      </c>
      <c r="FE99" s="341">
        <f>FD99*VLOOKUP(L99,各项系数!$D$1:$F$143,2,0)</f>
        <v>17.7724623947903</v>
      </c>
      <c r="FF99" s="127">
        <f>各项系数!$F$76/4*($MO99^2-ML99^2)*10^-2*(VLOOKUP(L99,各项系数!$D$1:$F$143,3,0))*10^-3*10^2*$EO99*各项系数!$J$4</f>
        <v>0</v>
      </c>
      <c r="FG99" s="341">
        <f>FF99*VLOOKUP(L99,各项系数!$D$1:$F$143,2,0)</f>
        <v>0</v>
      </c>
      <c r="FH99" s="304">
        <f t="shared" si="410"/>
        <v>1.74239827399905</v>
      </c>
      <c r="FI99" s="127">
        <v>1</v>
      </c>
      <c r="FJ99" s="95">
        <f t="shared" si="446"/>
        <v>1.74239827399905</v>
      </c>
      <c r="FK99" s="341">
        <f>FJ99*VLOOKUP(L99,各项系数!$D$1:$F$143,2,0)</f>
        <v>17.7724623947903</v>
      </c>
      <c r="FL99" s="304"/>
      <c r="FM99" s="127"/>
      <c r="FN99" s="95"/>
      <c r="FO99" s="341"/>
      <c r="FP99" s="371">
        <f t="shared" si="447"/>
        <v>1.74239827399905</v>
      </c>
      <c r="FQ99" s="371">
        <f t="shared" si="448"/>
        <v>17.7724623947903</v>
      </c>
      <c r="FR99" s="365">
        <f>各项系数!$F$76/4*($MQ99^2-$MN99^2*$EG99-$MO99^2*$EO99)*10^-2</f>
        <v>31.0948145505417</v>
      </c>
      <c r="FS99" s="366">
        <f t="shared" si="411"/>
        <v>1</v>
      </c>
      <c r="FT99" s="367">
        <f t="shared" si="361"/>
        <v>31.0948145505417</v>
      </c>
      <c r="FU99" s="395">
        <f>$FT99*(VLOOKUP($FT$9,各项系数!$D$1:$F$143,3,0))*10^-3*10^2*各项系数!$J$55</f>
        <v>3.71272085733468</v>
      </c>
      <c r="FV99" s="396">
        <v>1</v>
      </c>
      <c r="FW99" s="397">
        <f t="shared" si="449"/>
        <v>3.71272085733468</v>
      </c>
      <c r="FX99" s="372">
        <f>FW99*(VLOOKUP($FT$9,各项系数!$D$1:$F$143,2,0))</f>
        <v>11.138162572004</v>
      </c>
      <c r="FY99" s="395">
        <f>IF($BK99&lt;&gt;$FY$9,0,各项系数!$F$76/4*($MS99^2-$MQ99^2)*10^-2*(VLOOKUP($FY$9,各项系数!$D$1:$F$143,3,0))*10^-3*10^2)*各项系数!$J$4</f>
        <v>0</v>
      </c>
      <c r="FZ99" s="396">
        <v>1</v>
      </c>
      <c r="GA99" s="397">
        <f t="shared" si="450"/>
        <v>0</v>
      </c>
      <c r="GB99" s="372">
        <f>GA99*(VLOOKUP($FY$9,各项系数!$D$1:$F$143,2,0))</f>
        <v>0</v>
      </c>
      <c r="GC99" s="395">
        <f>IF($BK99&lt;&gt;$GC$9,0,各项系数!$F$76/4*($MS99^2-$MQ99^2)*10^-2*(VLOOKUP($GC$9,各项系数!$D$1:$F$143,3,0))*10^-3*10^2)*各项系数!$J$4</f>
        <v>0.030596812143392</v>
      </c>
      <c r="GD99" s="396">
        <v>1</v>
      </c>
      <c r="GE99" s="397">
        <f t="shared" si="451"/>
        <v>0.030596812143392</v>
      </c>
      <c r="GF99" s="372">
        <f>GE99*(VLOOKUP($GC$9,各项系数!$D$1:$F$143,2,0))</f>
        <v>0.394698876649757</v>
      </c>
      <c r="GG99" s="395">
        <f>IF($BK99&lt;&gt;$GG$9,0,各项系数!$F$76/4*($MS99^2-$MQ99^2)*10^-2*(VLOOKUP($GG$9,各项系数!$D$1:$F$143,3,0))*10^-3*10^2)*各项系数!$J$4</f>
        <v>0</v>
      </c>
      <c r="GH99" s="396">
        <v>1</v>
      </c>
      <c r="GI99" s="397">
        <f t="shared" si="452"/>
        <v>0</v>
      </c>
      <c r="GJ99" s="372">
        <f>GI99*(VLOOKUP($GG$9,各项系数!$D$1:$F$143,2,0))</f>
        <v>0</v>
      </c>
      <c r="GK99" s="395">
        <f>IF($BK99&lt;&gt;$GK$9,0,各项系数!$F$76/4*($MS99^2-$MQ99^2)*10^-2*(VLOOKUP($GK$9,各项系数!$D$1:$F$143,3,0))*10^-3*10^2)*各项系数!$J$4</f>
        <v>0</v>
      </c>
      <c r="GL99" s="396">
        <v>1</v>
      </c>
      <c r="GM99" s="397">
        <f t="shared" si="453"/>
        <v>0</v>
      </c>
      <c r="GN99" s="372">
        <f>GM99*(VLOOKUP($GK$9,各项系数!$D$1:$F$143,2,0))</f>
        <v>0</v>
      </c>
      <c r="GO99" s="397">
        <f t="shared" si="454"/>
        <v>0.030596812143392</v>
      </c>
      <c r="GP99" s="397">
        <f t="shared" si="455"/>
        <v>0.394698876649757</v>
      </c>
      <c r="GQ99" s="408">
        <f>各项系数!$F$76/4*($MU99^2-$MS99^2)*10^-2*(VLOOKUP($S99,各项系数!$D$1:$F$143,3,0))*10^-3*10^2*各项系数!$J$4</f>
        <v>2.07516936855223</v>
      </c>
      <c r="GR99" s="396">
        <v>1</v>
      </c>
      <c r="GS99" s="397">
        <f t="shared" si="456"/>
        <v>2.07516936855223</v>
      </c>
      <c r="GT99" s="397">
        <f t="shared" si="457"/>
        <v>0</v>
      </c>
      <c r="GU99" s="397">
        <f>ROUND($GS99*(VLOOKUP($S99,各项系数!$D$1:$F$143,2,0))+$E$3*GS99,GT99)</f>
        <v>12</v>
      </c>
      <c r="GV99" s="406">
        <f>各项系数!$F$76/4*($MT99^2-$MS99^2)*10^-2*(VLOOKUP($GV$9,各项系数!$D$1:$F$143,3,0))*10^-3*10^2*各项系数!$J$4*PI()/4*R99</f>
        <v>0.157173324196205</v>
      </c>
      <c r="GW99" s="396">
        <v>1</v>
      </c>
      <c r="GX99" s="397">
        <f t="shared" si="458"/>
        <v>0.157173324196205</v>
      </c>
      <c r="GY99" s="397">
        <f>$GX99*(VLOOKUP($GV$9,各项系数!$D$1:$F$143,2,0))</f>
        <v>10.6091993832439</v>
      </c>
      <c r="GZ99" s="408">
        <f>各项系数!$F$76/4*($MV99^2-$MS99^2)*10^-2*(VLOOKUP($GZ$9,各项系数!$D$1:$F$143,3,0))*10^-3*10^2*各项系数!$J$4</f>
        <v>2.33018046849081</v>
      </c>
      <c r="HA99" s="396">
        <v>1</v>
      </c>
      <c r="HB99" s="397">
        <f t="shared" si="412"/>
        <v>2.33018046849081</v>
      </c>
      <c r="HC99" s="397">
        <f>HB99*(VLOOKUP($GZ$9,各项系数!$D$1:$F$143,2,0))</f>
        <v>39.6130679643438</v>
      </c>
      <c r="HD99" s="408">
        <f>各项系数!$F$76/4*($MW99^2-$MT99^2)*10^-2*(VLOOKUP($HD$9,各项系数!$D$1:$F$143,3,0))*10^-3*10^2*各项系数!$J$4</f>
        <v>2.33337137158269</v>
      </c>
      <c r="HE99" s="396">
        <v>1</v>
      </c>
      <c r="HF99" s="397">
        <f t="shared" si="413"/>
        <v>2.33337137158269</v>
      </c>
      <c r="HG99" s="397">
        <f>HF99*(VLOOKUP($HD$9,各项系数!$D$1:$F$143,2,0))</f>
        <v>39.6673133169057</v>
      </c>
      <c r="HH99" s="408">
        <f>各项系数!$F$76/4*($MV99^2-$MS99^2)*10^-2*(VLOOKUP($HH$9,各项系数!$D$1:$F$143,3,0))*10^-3*10^2*各项系数!$J$4</f>
        <v>2.33018046849081</v>
      </c>
      <c r="HI99" s="397">
        <v>1</v>
      </c>
      <c r="HJ99" s="397">
        <f t="shared" si="414"/>
        <v>2.33018046849081</v>
      </c>
      <c r="HK99" s="397">
        <f>HJ99*(VLOOKUP($HH$9,各项系数!$D$1:$F$143,2,0))</f>
        <v>39.6130679643438</v>
      </c>
      <c r="HL99" s="408">
        <f>各项系数!$F$76/4*($MW99^2-$MT99^2)*10^-2*(VLOOKUP($HL$9,各项系数!$D$1:$F$143,3,0))*10^-3*10^2*各项系数!$J$4</f>
        <v>2.33337137158269</v>
      </c>
      <c r="HM99" s="397">
        <v>1</v>
      </c>
      <c r="HN99" s="397">
        <f t="shared" si="362"/>
        <v>2.33337137158269</v>
      </c>
      <c r="HO99" s="397">
        <f>HN99*(VLOOKUP($HL$9,各项系数!$D$1:$F$143,2,0))</f>
        <v>39.6673133169057</v>
      </c>
      <c r="HP99" s="408">
        <f>各项系数!$F$76/4*($MV99^2-$MS99^2)*10^-2*(VLOOKUP(AN99,各项系数!$D$1:$F$143,3,0))*10^-3*10^2*各项系数!$J$4</f>
        <v>2.36232088874586</v>
      </c>
      <c r="HQ99" s="396">
        <v>1</v>
      </c>
      <c r="HR99" s="397">
        <f t="shared" si="459"/>
        <v>2.36232088874586</v>
      </c>
      <c r="HS99" s="397">
        <f>HR99*(VLOOKUP(AN99,各项系数!$D$1:$F$143,2,0))</f>
        <v>23.6232088874586</v>
      </c>
      <c r="HT99" s="408">
        <f>各项系数!$F$76/4*($MW99^2-$MT99^2)*10^-2*(VLOOKUP(AN99,各项系数!$D$1:$F$143,3,0))*10^-3*10^2*各项系数!$J$4</f>
        <v>2.36555580429417</v>
      </c>
      <c r="HU99" s="396">
        <v>1</v>
      </c>
      <c r="HV99" s="397">
        <f t="shared" si="460"/>
        <v>2.36555580429417</v>
      </c>
      <c r="HW99" s="397">
        <f>HV99*(VLOOKUP(AN99,各项系数!$D$1:$F$143,2,0))</f>
        <v>23.6555580429417</v>
      </c>
      <c r="HX99" s="408">
        <f>各项系数!$F$76/4*($MV99^2-$MS99^2)*10^-2*(VLOOKUP($HX$9,各项系数!$D$1:$F$143,3,0))*10^-3*10^2*各项系数!$J$4</f>
        <v>2.36232088874586</v>
      </c>
      <c r="HY99" s="397">
        <v>1</v>
      </c>
      <c r="HZ99" s="397">
        <f t="shared" si="461"/>
        <v>2.36232088874586</v>
      </c>
      <c r="IA99" s="397">
        <f>HZ99*(VLOOKUP($HX$9,各项系数!$D$1:$F$143,2,0))</f>
        <v>25.9855297762044</v>
      </c>
      <c r="IB99" s="408">
        <f>各项系数!$F$76/4*($MW99^2-$MT99^2)*10^-2*(VLOOKUP($IB$9,各项系数!$D$1:$F$143,3,0))*10^-3*10^2*各项系数!$J$4</f>
        <v>2.36555580429417</v>
      </c>
      <c r="IC99" s="397">
        <v>1</v>
      </c>
      <c r="ID99" s="397">
        <f t="shared" si="462"/>
        <v>2.36555580429417</v>
      </c>
      <c r="IE99" s="397">
        <f>ID99*(VLOOKUP($IB$9,各项系数!$D$1:$F$143,2,0))</f>
        <v>26.0211138472359</v>
      </c>
      <c r="IF99" s="395"/>
      <c r="IG99" s="408">
        <f t="shared" si="415"/>
        <v>0.257977121307855</v>
      </c>
      <c r="IH99" s="396">
        <v>1</v>
      </c>
      <c r="II99" s="397">
        <f t="shared" si="463"/>
        <v>0.257977121307855</v>
      </c>
      <c r="IJ99" s="397">
        <f>II99*(VLOOKUP($IG$8,各项系数!$D$1:$F$143,2,0))</f>
        <v>6.44942803269638</v>
      </c>
      <c r="IK99" s="408">
        <f>(各项系数!$F$76/4*($MX99^2-$MK99^2)*$EG99)*10^-2*(VLOOKUP($IG$8,各项系数!$D$1:$F$143,3,0))*10^-3*10^2*各项系数!$J$4</f>
        <v>0.257977121307855</v>
      </c>
      <c r="IL99" s="396">
        <f>IK99*(VLOOKUP($IG$8,各项系数!$D$1:$F$143,2,0))</f>
        <v>6.44942803269638</v>
      </c>
      <c r="IM99" s="397">
        <f>(各项系数!$F$76/4*(($MM99+3*$X99)^2-MM99^2)*$EO99)*10^-2*(VLOOKUP($IG$8,各项系数!$D$1:$F$143,3,0))*10^-3*10^2*各项系数!$J$4</f>
        <v>0</v>
      </c>
      <c r="IN99" s="396">
        <f>IM99*(VLOOKUP($IG$8,各项系数!$D$1:$F$143,2,0))</f>
        <v>0</v>
      </c>
      <c r="IO99" s="408">
        <f>各项系数!$F$76/4*($MZ99^2-$MX99^2)*10^-2*(VLOOKUP(L99,各项系数!$D$1:$F$143,3,0))*10^-3*10^2*$ES99*各项系数!$J$4</f>
        <v>1.76921836464201</v>
      </c>
      <c r="IP99" s="396">
        <v>1</v>
      </c>
      <c r="IQ99" s="397">
        <f t="shared" si="464"/>
        <v>1.76921836464201</v>
      </c>
      <c r="IR99" s="372">
        <f>IQ99*(VLOOKUP(L99,各项系数!$D$1:$F$143,2,0))</f>
        <v>18.0460273193485</v>
      </c>
      <c r="IS99" s="408">
        <f>IF($L99&lt;&gt;$IS$9,0,各项系数!$F$76/4*($MZ99^2-$MX99^2)*10^-2*各项系数!$F$12*10^-3*10^2)*$ES99*各项系数!$J$4</f>
        <v>0</v>
      </c>
      <c r="IT99" s="396">
        <v>1</v>
      </c>
      <c r="IU99" s="397">
        <f t="shared" si="465"/>
        <v>0</v>
      </c>
      <c r="IV99" s="372">
        <f>IU99*各项系数!$E$12</f>
        <v>0</v>
      </c>
      <c r="IW99" s="395">
        <f t="shared" si="466"/>
        <v>1.76921836464201</v>
      </c>
      <c r="IX99" s="395">
        <f t="shared" si="467"/>
        <v>18.0460273193485</v>
      </c>
      <c r="IY99" s="447">
        <f>各项系数!$F$76/4*($NB99^2-$MZ99^2*$EG99-$NA99^2*$EO99)*10^-2</f>
        <v>31.9986931920517</v>
      </c>
      <c r="IZ99" s="366">
        <f t="shared" si="487"/>
        <v>1</v>
      </c>
      <c r="JA99" s="367">
        <f t="shared" si="363"/>
        <v>31.9986931920517</v>
      </c>
      <c r="JB99" s="371">
        <f>IF($DE99&lt;&gt;$JB$9,0,$JA99*各项系数!$F$32*10^-3*10^2)*各项系数!$J$4</f>
        <v>0</v>
      </c>
      <c r="JC99" s="127">
        <v>1</v>
      </c>
      <c r="JD99" s="95">
        <f t="shared" si="468"/>
        <v>0</v>
      </c>
      <c r="JE99" s="341">
        <f>JD99*各项系数!$E$32</f>
        <v>0</v>
      </c>
      <c r="JF99" s="364">
        <f>IF($DE99&lt;&gt;$JF$9,0,$JA99*VLOOKUP($JF$9,各项系数!$D$4:$F$540,2,0)*10^-3*10^2)*各项系数!$J$4</f>
        <v>15.9193498630457</v>
      </c>
      <c r="JG99" s="123">
        <v>1</v>
      </c>
      <c r="JH99" s="251">
        <f t="shared" si="364"/>
        <v>15.9193498630457</v>
      </c>
      <c r="JI99" s="339">
        <f>JH99*VLOOKUP($JF$9,各项系数!$D$4:$F$540,3,0)</f>
        <v>19.1032198356549</v>
      </c>
      <c r="JJ99" s="371">
        <f t="shared" si="469"/>
        <v>15.9193498630457</v>
      </c>
      <c r="JK99" s="95">
        <f t="shared" si="470"/>
        <v>19.1032198356549</v>
      </c>
      <c r="JL99" s="371">
        <f>IF($DF99&lt;&gt;$JL$9,0,各项系数!$F$76/4*($NE99^2-$NC99^2)*10^-2*各项系数!$F$39*10^-3*10^2)*各项系数!$J$4</f>
        <v>0.0128292134173571</v>
      </c>
      <c r="JM99" s="127">
        <v>1</v>
      </c>
      <c r="JN99" s="95">
        <f t="shared" si="471"/>
        <v>0.0128292134173571</v>
      </c>
      <c r="JO99" s="341">
        <f>JN99*各项系数!$E$39</f>
        <v>0.256584268347141</v>
      </c>
      <c r="JP99" s="371">
        <f>IF($DF99&lt;&gt;$JP$9,0,各项系数!$F$76/4*($NE99^2-$NC99^2)*10^-2*各项系数!$F$36*10^-3*10^2)*各项系数!$J$4</f>
        <v>0</v>
      </c>
      <c r="JQ99" s="127">
        <v>1</v>
      </c>
      <c r="JR99" s="95">
        <f t="shared" si="472"/>
        <v>0</v>
      </c>
      <c r="JS99" s="341">
        <f>JR99*各项系数!$E$36</f>
        <v>0</v>
      </c>
      <c r="JT99" s="371">
        <f>IF($DF99&lt;&gt;$JT$9,0,各项系数!$F$76/4*($NE99^2-$NC99^2)*10^-2*各项系数!$F$40*10^-3*10^2)*各项系数!$J$4</f>
        <v>0</v>
      </c>
      <c r="JU99" s="127">
        <v>1</v>
      </c>
      <c r="JV99" s="95">
        <f t="shared" si="473"/>
        <v>0</v>
      </c>
      <c r="JW99" s="341">
        <f>JV99*各项系数!$E$40</f>
        <v>0</v>
      </c>
      <c r="JX99" s="371">
        <f>IF($DF99&lt;&gt;$JX$9,0,各项系数!$F$76/4*($NE99^2-$NC99^2)*10^-2*各项系数!$F$38*10^-3*10^2)*各项系数!$J$4</f>
        <v>0</v>
      </c>
      <c r="JY99" s="127">
        <v>1</v>
      </c>
      <c r="JZ99" s="95">
        <f t="shared" si="474"/>
        <v>0</v>
      </c>
      <c r="KA99" s="341">
        <f>JZ99*各项系数!$E$38</f>
        <v>0</v>
      </c>
      <c r="KB99" s="371">
        <f>IF($DF99&lt;&gt;$KB$9,0,各项系数!$F$76/4*($NE99^2-$NC99^2)*10^-2*各项系数!$F$41*10^-3*10^2)*各项系数!$J$4</f>
        <v>0</v>
      </c>
      <c r="KC99" s="127">
        <v>1</v>
      </c>
      <c r="KD99" s="95">
        <f t="shared" si="475"/>
        <v>0</v>
      </c>
      <c r="KE99" s="341">
        <f>KD99*各项系数!$E$41</f>
        <v>0</v>
      </c>
      <c r="KF99" s="95">
        <f t="shared" si="476"/>
        <v>0.0128292134173571</v>
      </c>
      <c r="KG99" s="95">
        <f t="shared" si="477"/>
        <v>0.256584268347141</v>
      </c>
      <c r="KH99" s="304">
        <f>各项系数!$F$76/4*($NG99^2-$NE99^2)*10^-2*各项系数!$F$44*10^-3*10^2*各项系数!$J$4*0.75*$U99</f>
        <v>3.15906400325662</v>
      </c>
      <c r="KI99" s="127">
        <v>1</v>
      </c>
      <c r="KJ99" s="95">
        <f t="shared" si="478"/>
        <v>3.15906400325662</v>
      </c>
      <c r="KK99" s="95">
        <f>ROUND(KJ99*各项系数!$E$43,GT99)</f>
        <v>18</v>
      </c>
      <c r="KL99" s="302">
        <f>各项系数!$F$76/4*($NF99^2-$NE99^2)*10^-2*各项系数!$F$46*10^-3*10^2*各项系数!$J$4*PI()/4*R99</f>
        <v>0.159525591418441</v>
      </c>
      <c r="KM99" s="127">
        <v>1</v>
      </c>
      <c r="KN99" s="95">
        <f t="shared" si="479"/>
        <v>0.159525591418441</v>
      </c>
      <c r="KO99" s="95">
        <f>KN99*各项系数!$E$46</f>
        <v>10.7679774207448</v>
      </c>
      <c r="KP99" s="304">
        <f>各项系数!$F$76/4*($NH99^2-$NE99^2)*10^-2*(VLOOKUP($KP$9,各项系数!$D$1:$F$143,3,0))*10^-3*10^2*各项系数!$J$4</f>
        <v>2.36376472353285</v>
      </c>
      <c r="KQ99" s="127">
        <v>1</v>
      </c>
      <c r="KR99" s="95">
        <f t="shared" si="416"/>
        <v>2.36376472353285</v>
      </c>
      <c r="KS99" s="95">
        <f>KR99*(VLOOKUP($KP$9,各项系数!$D$1:$F$143,2,0))</f>
        <v>40.1840003000585</v>
      </c>
      <c r="KT99" s="304">
        <f>各项系数!$F$76/4*($NI99^2-$NF99^2)*10^-2*(VLOOKUP($KT$9,各项系数!$D$1:$F$143,3,0))*10^-3*10^2*各项系数!$J$4</f>
        <v>2.36695562662473</v>
      </c>
      <c r="KU99" s="127">
        <v>1</v>
      </c>
      <c r="KV99" s="95">
        <f t="shared" si="417"/>
        <v>2.36695562662473</v>
      </c>
      <c r="KW99" s="95">
        <f>KV99*(VLOOKUP($KT$9,各项系数!$D$1:$F$143,2,0))</f>
        <v>40.2382456526205</v>
      </c>
      <c r="KX99" s="95">
        <f>各项系数!$F$76/4*($NH99^2-$NE99^2)*10^-2*(VLOOKUP($KX$9,各项系数!$D$1:$F$143,3,0))*10^-3*10^2*各项系数!$J$4</f>
        <v>2.36376472353285</v>
      </c>
      <c r="KY99" s="481">
        <v>1</v>
      </c>
      <c r="KZ99" s="95">
        <f t="shared" si="418"/>
        <v>2.36376472353285</v>
      </c>
      <c r="LA99" s="95">
        <f>KZ99*(VLOOKUP($KX$9,各项系数!$D$1:$F$143,2,0))</f>
        <v>40.1840003000585</v>
      </c>
      <c r="LB99" s="95">
        <f>各项系数!$F$76/4*($NI99^2-$NF99^2)*10^-2*(VLOOKUP($LB$9,各项系数!$D$1:$F$143,3,0))*10^-3*10^2*各项系数!$J$4</f>
        <v>2.36695562662473</v>
      </c>
      <c r="LC99" s="481">
        <v>1</v>
      </c>
      <c r="LD99" s="95">
        <f t="shared" si="419"/>
        <v>2.36695562662473</v>
      </c>
      <c r="LE99" s="95">
        <f>LD99*(VLOOKUP($LB$9,各项系数!$D$1:$F$143,2,0))</f>
        <v>40.2382456526205</v>
      </c>
      <c r="LF99" s="304">
        <f>各项系数!$F$76/4*($NH99^2-$NE99^2)*10^-2*(VLOOKUP(AN99,各项系数!$D$1:$F$143,3,0))*10^-3*10^2*各项系数!$J$4</f>
        <v>2.39636837489193</v>
      </c>
      <c r="LG99" s="127">
        <v>1</v>
      </c>
      <c r="LH99" s="95">
        <f t="shared" si="480"/>
        <v>2.39636837489193</v>
      </c>
      <c r="LI99" s="95">
        <f>LH99*(VLOOKUP(AN99,各项系数!$D$1:$F$143,2,0))</f>
        <v>23.9636837489193</v>
      </c>
      <c r="LJ99" s="304">
        <f>各项系数!$F$76/4*($NI99^2-$NF99^2)*10^-2*(VLOOKUP(AN99,各项系数!$D$1:$F$143,3,0))*10^-3*10^2*各项系数!$J$4</f>
        <v>2.39960329044025</v>
      </c>
      <c r="LK99" s="127">
        <v>1</v>
      </c>
      <c r="LL99" s="95">
        <f t="shared" si="481"/>
        <v>2.39960329044025</v>
      </c>
      <c r="LM99" s="95">
        <f>LL99*(VLOOKUP(AN99,各项系数!$D$1:$F$143,2,0))</f>
        <v>23.9960329044025</v>
      </c>
      <c r="LN99" s="95">
        <f>各项系数!$F$76/4*($NH99^2-$NE99^2)*10^-2*(VLOOKUP($LN$9,各项系数!$D$1:$F$143,3,0))*10^-3*10^2*各项系数!$J$4</f>
        <v>2.39636837489193</v>
      </c>
      <c r="LO99" s="481">
        <v>1</v>
      </c>
      <c r="LP99" s="95">
        <f t="shared" si="482"/>
        <v>2.39636837489193</v>
      </c>
      <c r="LQ99" s="95">
        <f>LP99*(VLOOKUP($LN$9,各项系数!$D$1:$F$143,2,0))</f>
        <v>26.3600521238112</v>
      </c>
      <c r="LR99" s="95">
        <f>各项系数!$F$76/4*($NI99^2-$NF99^2)*10^-2*(VLOOKUP($LR$9,各项系数!$D$1:$F$143,3,0))*10^-3*10^2*各项系数!$J$4</f>
        <v>2.39960329044025</v>
      </c>
      <c r="LS99" s="481">
        <v>1</v>
      </c>
      <c r="LT99" s="95">
        <f t="shared" si="483"/>
        <v>2.39960329044025</v>
      </c>
      <c r="LU99" s="95">
        <f>LT99*(VLOOKUP($LR$9,各项系数!$D$1:$F$143,2,0))</f>
        <v>26.3956361948427</v>
      </c>
      <c r="LV99" s="501">
        <f t="shared" si="420"/>
        <v>5197.30259842</v>
      </c>
      <c r="LW99" s="501">
        <f t="shared" si="421"/>
        <v>3914.01800622</v>
      </c>
      <c r="LX99" s="501">
        <f t="shared" si="422"/>
        <v>70.5937851678516</v>
      </c>
      <c r="LY99" s="519">
        <f t="shared" si="423"/>
        <v>1283.2845922</v>
      </c>
      <c r="LZ99" s="516">
        <f t="shared" si="365"/>
        <v>1</v>
      </c>
      <c r="MA99" s="517">
        <f t="shared" si="366"/>
        <v>5197.30259842</v>
      </c>
      <c r="MB99" s="501">
        <f t="shared" si="424"/>
        <v>36.37969542</v>
      </c>
      <c r="MC99" s="501">
        <f t="shared" si="425"/>
        <v>0</v>
      </c>
      <c r="MD99" s="501">
        <f t="shared" si="426"/>
        <v>0</v>
      </c>
      <c r="ME99" s="501">
        <f t="shared" si="427"/>
        <v>0</v>
      </c>
      <c r="MF99" s="501">
        <f t="shared" si="428"/>
        <v>0</v>
      </c>
      <c r="MG99" s="527">
        <f t="shared" si="429"/>
        <v>1</v>
      </c>
      <c r="MH99" s="517">
        <f t="shared" si="367"/>
        <v>0</v>
      </c>
      <c r="MI99" s="501">
        <f t="shared" si="430"/>
        <v>0</v>
      </c>
      <c r="MJ99" s="95">
        <f t="shared" si="368"/>
        <v>36.37969542</v>
      </c>
      <c r="MK99" s="95">
        <f t="shared" si="431"/>
        <v>36.37969542</v>
      </c>
      <c r="ML99" s="95">
        <f t="shared" si="484"/>
        <v>0</v>
      </c>
      <c r="MM99" s="95">
        <f t="shared" si="369"/>
        <v>0</v>
      </c>
      <c r="MN99" s="95">
        <f t="shared" si="370"/>
        <v>41.57969542</v>
      </c>
      <c r="MO99" s="251">
        <f t="shared" si="432"/>
        <v>0</v>
      </c>
      <c r="MP99" s="95">
        <f t="shared" si="433"/>
        <v>112.26517763</v>
      </c>
      <c r="MQ99" s="95">
        <f t="shared" si="485"/>
        <v>112.26517763</v>
      </c>
      <c r="MR99" s="314">
        <f t="shared" si="434"/>
        <v>112.26517763</v>
      </c>
      <c r="MS99" s="530">
        <f t="shared" si="371"/>
        <v>112.44117763</v>
      </c>
      <c r="MT99" s="532">
        <f t="shared" si="372"/>
        <v>112.60117763</v>
      </c>
      <c r="MU99" s="532">
        <f t="shared" si="373"/>
        <v>113.94117763</v>
      </c>
      <c r="MV99" s="532">
        <f t="shared" si="374"/>
        <v>121.24117763</v>
      </c>
      <c r="MW99" s="532">
        <f t="shared" si="375"/>
        <v>121.40117763</v>
      </c>
      <c r="MX99" s="314">
        <f t="shared" si="376"/>
        <v>36.97969542</v>
      </c>
      <c r="MY99" s="314">
        <f t="shared" si="377"/>
        <v>0</v>
      </c>
      <c r="MZ99" s="95">
        <f t="shared" si="378"/>
        <v>42.17969542</v>
      </c>
      <c r="NA99" s="95">
        <f t="shared" si="379"/>
        <v>0</v>
      </c>
      <c r="NB99" s="95">
        <f t="shared" si="435"/>
        <v>113.88517763</v>
      </c>
      <c r="NC99" s="314">
        <f t="shared" si="486"/>
        <v>113.88517763</v>
      </c>
      <c r="ND99" s="314">
        <f t="shared" si="436"/>
        <v>113.88517763</v>
      </c>
      <c r="NE99" s="537">
        <f t="shared" si="437"/>
        <v>114.12517763</v>
      </c>
      <c r="NF99" s="532">
        <f t="shared" si="380"/>
        <v>114.28517763</v>
      </c>
      <c r="NG99" s="180">
        <f t="shared" si="381"/>
        <v>115.62517763</v>
      </c>
      <c r="NH99" s="314">
        <f t="shared" si="382"/>
        <v>122.92517763</v>
      </c>
      <c r="NI99" s="532">
        <f t="shared" si="383"/>
        <v>123.08517763</v>
      </c>
      <c r="NK99" s="541">
        <f t="shared" si="384"/>
        <v>43.5083279791492</v>
      </c>
      <c r="NL99" s="541">
        <f t="shared" si="385"/>
        <v>2388.67760285457</v>
      </c>
      <c r="NM99" s="541">
        <f t="shared" si="386"/>
        <v>43.5083279791492</v>
      </c>
      <c r="NN99" s="541">
        <f t="shared" si="387"/>
        <v>2391.03992374332</v>
      </c>
      <c r="NO99" s="541">
        <f t="shared" si="388"/>
        <v>56.0160340842311</v>
      </c>
      <c r="NP99" s="541">
        <f t="shared" si="389"/>
        <v>2403.56801332864</v>
      </c>
      <c r="NQ99" s="541">
        <f t="shared" si="390"/>
        <v>56.0160340842311</v>
      </c>
      <c r="NR99" s="541">
        <f t="shared" si="391"/>
        <v>2405.96438170353</v>
      </c>
      <c r="NS99" s="541">
        <f t="shared" si="392"/>
        <v>43.6655013033454</v>
      </c>
      <c r="NT99" s="541">
        <f t="shared" si="393"/>
        <v>43.6655013033454</v>
      </c>
      <c r="NU99" s="541">
        <f t="shared" si="394"/>
        <v>56.1755596756496</v>
      </c>
      <c r="NV99" s="541">
        <f t="shared" si="395"/>
        <v>56.1755596756496</v>
      </c>
      <c r="NW99" s="11">
        <f t="shared" si="396"/>
        <v>45.5834973477015</v>
      </c>
      <c r="NX99" s="11">
        <f>各项系数!$M$9*NK99</f>
        <v>13.0524983937448</v>
      </c>
      <c r="NY99" s="11">
        <f t="shared" si="397"/>
        <v>43.6655013033454</v>
      </c>
    </row>
    <row r="100" s="11" customFormat="1" customHeight="1" spans="1:389">
      <c r="A100" s="81"/>
      <c r="B100" s="82"/>
      <c r="C100" s="83"/>
      <c r="D100" s="74" t="s">
        <v>299</v>
      </c>
      <c r="E100" s="550">
        <f t="shared" si="325"/>
        <v>15.92196671</v>
      </c>
      <c r="F100" s="84">
        <f>$F$20</f>
        <v>131.130294998433</v>
      </c>
      <c r="G100" s="74"/>
      <c r="H100" s="78"/>
      <c r="I100" s="174">
        <f>$F$203</f>
        <v>267.425148012862</v>
      </c>
      <c r="J100" s="78"/>
      <c r="K100" s="78"/>
      <c r="L100" s="128" t="s">
        <v>467</v>
      </c>
      <c r="M100" s="119">
        <f t="shared" si="339"/>
        <v>0.7</v>
      </c>
      <c r="N100" s="119">
        <f t="shared" si="340"/>
        <v>0.7</v>
      </c>
      <c r="O100" s="74">
        <f t="shared" si="493"/>
        <v>0.08</v>
      </c>
      <c r="P100" s="120">
        <v>0.1</v>
      </c>
      <c r="Q100" s="165">
        <f t="shared" si="489"/>
        <v>0.1</v>
      </c>
      <c r="R100" s="182">
        <v>0.8</v>
      </c>
      <c r="S100" s="173" t="str">
        <f>各项系数!$D$43</f>
        <v>钢带</v>
      </c>
      <c r="T100" s="78">
        <v>0.2</v>
      </c>
      <c r="U100" s="78">
        <v>2</v>
      </c>
      <c r="V100" s="181"/>
      <c r="W100" s="119">
        <v>1.8</v>
      </c>
      <c r="X100" s="168">
        <f t="shared" si="490"/>
        <v>0.2</v>
      </c>
      <c r="Y100" s="221"/>
      <c r="Z100" s="222"/>
      <c r="AA100" s="223">
        <f>$AA$20</f>
        <v>1.011</v>
      </c>
      <c r="AB100" s="186">
        <f>PI()*EJ100*EJ100/4*EH100*(1-H100)*AA100*各项系数!$F$5*各项系数!$J$4*10^-7</f>
        <v>0.0845415089527171</v>
      </c>
      <c r="AC100" s="224">
        <f t="shared" si="327"/>
        <v>131.130294998433</v>
      </c>
      <c r="AD100" s="186">
        <f t="shared" si="341"/>
        <v>9.55751863397041</v>
      </c>
      <c r="AE100" s="186">
        <f>POWER(4*EU100/PI()/EG100/10^-7/EH100/(1-H100)/各项系数!$F$5/各项系数!$J$4,0.5)</f>
        <v>131.849539109191</v>
      </c>
      <c r="AF100" s="225">
        <f>$AA$203</f>
        <v>1</v>
      </c>
      <c r="AG100" s="23">
        <f>IF(EM100=0,0,PI()*ER100*ER100/4*EP100*(1-K100)*(1+AF100)*各项系数!$F$5*各项系数!$J$4*10^-7)</f>
        <v>0.0993686085420593</v>
      </c>
      <c r="AH100" s="23">
        <f t="shared" si="328"/>
        <v>267.425148012862</v>
      </c>
      <c r="AI100" s="85">
        <f t="shared" si="398"/>
        <v>5.61686998219778</v>
      </c>
      <c r="AJ100" s="85">
        <f>IF(OR(EP100="",EP100=0),0,POWER(4*EW100/PI()/EO100/10^-7/EP100/(1-K100)/各项系数!$F$5/各项系数!$J$4,0.5))</f>
        <v>267.425148012862</v>
      </c>
      <c r="AK100" s="23">
        <f t="shared" si="342"/>
        <v>0.303308831129181</v>
      </c>
      <c r="AL100" s="23">
        <f t="shared" si="329"/>
        <v>22.366436999385</v>
      </c>
      <c r="AM100" s="127">
        <f t="shared" si="330"/>
        <v>10</v>
      </c>
      <c r="AN100" s="128" t="s">
        <v>486</v>
      </c>
      <c r="AO100" s="176">
        <f>AP100+各项系数!$M$9*$NK100</f>
        <v>21.9278794111617</v>
      </c>
      <c r="AP100" s="176">
        <f>AQ100*(1+$BI100+(VLOOKUP($AM100,$A$12:$B$323,2,0))+各项系数!$J$6+各项系数!$M$5)*(1+$E$2)</f>
        <v>21.7731138441209</v>
      </c>
      <c r="AQ100" s="262">
        <f>AR100+各项系数!$L$9*$NK100</f>
        <v>22.2174631062458</v>
      </c>
      <c r="AR100" s="262">
        <f>AS100*(1+$BJ100+各项系数!$J$5+各项系数!$L$5)</f>
        <v>22.0626975392049</v>
      </c>
      <c r="AS100" s="262">
        <f t="shared" si="399"/>
        <v>21.6300956266715</v>
      </c>
      <c r="AT100" s="176">
        <f>AU100+各项系数!$M$9*$NM100</f>
        <v>22.7181757502183</v>
      </c>
      <c r="AU100" s="176">
        <f>AV100*(1+$BI100+(VLOOKUP($AM100,$A$12:$B$323,2,0))+各项系数!$J$6+各项系数!$M$5)*(1+$E$2)</f>
        <v>22.5634101831774</v>
      </c>
      <c r="AV100" s="262">
        <f>AW100+各项系数!$L$9*$NM100</f>
        <v>23.0238879420178</v>
      </c>
      <c r="AW100" s="262">
        <f>AX100*(1+$BJ100+各项系数!$J$5+各项系数!$L$5)</f>
        <v>22.8691223749769</v>
      </c>
      <c r="AX100" s="262">
        <f t="shared" si="400"/>
        <v>22.4207082107617</v>
      </c>
      <c r="AY100" s="176">
        <f>AZ100+各项系数!$M$9*$NS100</f>
        <v>23.1202651545508</v>
      </c>
      <c r="AZ100" s="176">
        <f>BA100*(1+$BI100+(VLOOKUP($AM100,$A$12:$B$214,2,0))+各项系数!$J$6+各项系数!$M$5)*(1+$E$2)</f>
        <v>22.9603025436056</v>
      </c>
      <c r="BA100" s="262">
        <f>BB100+各项系数!$L$9*$NS100</f>
        <v>23.4288801465363</v>
      </c>
      <c r="BB100" s="262">
        <f>BC100*(1+$BJ100+各项系数!$J$5+各项系数!$L$5)</f>
        <v>23.2689175355911</v>
      </c>
      <c r="BC100" s="262">
        <f t="shared" si="401"/>
        <v>22.8126642505795</v>
      </c>
      <c r="BD100" s="176">
        <f>BE100+各项系数!$M$9*$NS100</f>
        <v>23.9195154457619</v>
      </c>
      <c r="BE100" s="176">
        <f>BF100*(1+$BI100+(VLOOKUP($AM100,$A$12:$B$214,2,0))+各项系数!$J$6+各项系数!$M$5)*(1+$E$2)</f>
        <v>23.7595528348167</v>
      </c>
      <c r="BF100" s="262">
        <f>BG100+各项系数!$L$9*$NS100</f>
        <v>24.2444416681803</v>
      </c>
      <c r="BG100" s="262">
        <f>BH100*(1+$BJ100+各项系数!$J$5+各项系数!$L$5)</f>
        <v>24.084479057235</v>
      </c>
      <c r="BH100" s="262">
        <f t="shared" si="402"/>
        <v>23.6122343698383</v>
      </c>
      <c r="BI100" s="278"/>
      <c r="BJ100" s="279"/>
      <c r="BK100" s="95" t="s">
        <v>514</v>
      </c>
      <c r="BL100" s="176">
        <f>BM100+各项系数!$M$9*$NM100</f>
        <v>22.2577563767754</v>
      </c>
      <c r="BM100" s="176">
        <f>BN100*(1+$CF100+(VLOOKUP($AM100,$A$12:$B$323,2,0))+各项系数!$J$6+各项系数!$M$5)*(1+$E$2)</f>
        <v>22.1029908097346</v>
      </c>
      <c r="BN100" s="262">
        <f>BO100+各项系数!$L$9*$NM100</f>
        <v>22.5540722548312</v>
      </c>
      <c r="BO100" s="262">
        <f>BP100*(1+$CG100+各项系数!$J$5+各项系数!$L$5)</f>
        <v>22.3993066877903</v>
      </c>
      <c r="BP100" s="262">
        <f t="shared" si="403"/>
        <v>21.7468996968838</v>
      </c>
      <c r="BQ100" s="176">
        <f>BR100+各项系数!$M$9*$NM100</f>
        <v>22.9378986906837</v>
      </c>
      <c r="BR100" s="176">
        <f>BS100*(1+$CF100+(VLOOKUP($AM100,$A$12:$B$323,2,0))+各项系数!$J$6+各项系数!$M$5)*(1+$E$2)</f>
        <v>22.7831331236429</v>
      </c>
      <c r="BS100" s="262">
        <f>BT100+各项系数!$L$9*$NM100</f>
        <v>23.2480950241254</v>
      </c>
      <c r="BT100" s="262">
        <f>BU100*(1+$CG100+各项系数!$J$5+各项系数!$L$5)</f>
        <v>23.0933294570845</v>
      </c>
      <c r="BU100" s="262">
        <f t="shared" si="404"/>
        <v>22.4207082107617</v>
      </c>
      <c r="BV100" s="176">
        <f>BW100+各项系数!$M$9*$NT100</f>
        <v>23.3144018833076</v>
      </c>
      <c r="BW100" s="176">
        <f>BX100*(1+$CF100+(VLOOKUP($AM100,$A$12:$B$214,2,0))+各项系数!$J$6+各项系数!$M$5)*(1+$E$2)</f>
        <v>23.1544392723623</v>
      </c>
      <c r="BX100" s="262">
        <f>BY100+各项系数!$L$9*$NT$12</f>
        <v>23.6269788493493</v>
      </c>
      <c r="BY100" s="262">
        <f>BZ100*(1+$CG100+各项系数!$J$5+各项系数!$L$5)</f>
        <v>23.6187154461943</v>
      </c>
      <c r="BZ100" s="262">
        <f t="shared" si="343"/>
        <v>22.9307916953343</v>
      </c>
      <c r="CA100" s="176">
        <f>CB100+各项系数!$M$9*$NT100</f>
        <v>24.0022501189519</v>
      </c>
      <c r="CB100" s="176">
        <f>CC100*(1+$CF100+(VLOOKUP($AM100,$A$12:$B$214,2,0))+各项系数!$J$6+各项系数!$M$5)*(1+$E$2)</f>
        <v>23.8422875080066</v>
      </c>
      <c r="CC100" s="262">
        <f>CD100+各项系数!$L$9*$NT$12</f>
        <v>24.3288648040884</v>
      </c>
      <c r="CD100" s="262">
        <f>CE100*(1+$CG100+各项系数!$J$5+各项系数!$L$5)</f>
        <v>24.3206014009334</v>
      </c>
      <c r="CE100" s="262">
        <f t="shared" si="405"/>
        <v>23.6122343698383</v>
      </c>
      <c r="CF100" s="278">
        <f t="shared" si="406"/>
        <v>0</v>
      </c>
      <c r="CG100" s="278">
        <f t="shared" si="344"/>
        <v>0.01</v>
      </c>
      <c r="CH100" s="127"/>
      <c r="CI100" s="176">
        <f>CJ100+各项系数!$M$9*$NO100</f>
        <v>23.1079831596944</v>
      </c>
      <c r="CJ100" s="176">
        <f>CK100*(1+$DC100+(VLOOKUP($AM100,$A$12:$B$323,2,0))+各项系数!$J$6+各项系数!$M$5)*(1+$E$2)+各项系数!$M$9*$NK100</f>
        <v>22.8874262529698</v>
      </c>
      <c r="CK100" s="262">
        <f>CL100+各项系数!$L$9*$NO100</f>
        <v>23.1965925366622</v>
      </c>
      <c r="CL100" s="262">
        <f>CM100*(1+$DD100+各项系数!$J$5+各项系数!$L$5)</f>
        <v>22.9760356299377</v>
      </c>
      <c r="CM100" s="262">
        <f t="shared" si="345"/>
        <v>22.5255251273899</v>
      </c>
      <c r="CN100" s="176">
        <f>CO100+各项系数!$M$9*$NO100</f>
        <v>23.7729399167447</v>
      </c>
      <c r="CO100" s="176">
        <f>CP100*(1+$DC100+(VLOOKUP($AM100,$A$12:$B$323,2,0))+各项系数!$J$6+各项系数!$M$5)*(1+$E$2)+各项系数!$M$9*$NK100</f>
        <v>23.5523830100202</v>
      </c>
      <c r="CP100" s="262">
        <f>CQ100+各项系数!$L$9*$NO100</f>
        <v>23.8751198397748</v>
      </c>
      <c r="CQ100" s="262">
        <f>CR100*(1+$DD100+各项系数!$J$5+各项系数!$L$5)</f>
        <v>23.6545629330503</v>
      </c>
      <c r="CR100" s="262">
        <f t="shared" si="346"/>
        <v>23.1907479735787</v>
      </c>
      <c r="CS100" s="176">
        <f>CT100+各项系数!$M$9*$NU100</f>
        <v>24.2897419630569</v>
      </c>
      <c r="CT100" s="176">
        <f t="shared" si="347"/>
        <v>24.063352732658</v>
      </c>
      <c r="CU100" s="262">
        <f>CV100+各项系数!$L$9*$NU100</f>
        <v>24.5544415639368</v>
      </c>
      <c r="CV100" s="262">
        <f>CW100*(1+$DD100+各项系数!$J$5+各项系数!$L$5)</f>
        <v>24.3280523335379</v>
      </c>
      <c r="CW100" s="262">
        <f t="shared" si="348"/>
        <v>23.8510316995469</v>
      </c>
      <c r="CX100" s="176">
        <f>CY100+各项系数!$M$9*$NU100</f>
        <v>25.1738309509321</v>
      </c>
      <c r="CY100" s="176">
        <f t="shared" si="349"/>
        <v>24.9474417205332</v>
      </c>
      <c r="CZ100" s="262">
        <f>DA100+各项系数!$L$9*$NU100</f>
        <v>25.4565731842175</v>
      </c>
      <c r="DA100" s="262">
        <f>DB100*(1+$DD100+各项系数!$J$5+各项系数!$L$5)</f>
        <v>25.2301839538186</v>
      </c>
      <c r="DB100" s="262">
        <f t="shared" si="350"/>
        <v>24.7354744645281</v>
      </c>
      <c r="DC100" s="278">
        <f t="shared" si="407"/>
        <v>0</v>
      </c>
      <c r="DD100" s="278">
        <f t="shared" si="351"/>
        <v>0</v>
      </c>
      <c r="DE100" s="95" t="s">
        <v>498</v>
      </c>
      <c r="DF100" s="95" t="s">
        <v>513</v>
      </c>
      <c r="DG100" s="176">
        <f>DH100+各项系数!$M$9*$NQ100</f>
        <v>23.4592921745589</v>
      </c>
      <c r="DH100" s="176">
        <f>DI100*(1+$EA100+(VLOOKUP($AM100,$A$12:$B$323,2,0))+各项系数!$J$6+各项系数!$M$5)*(1+$E$2)+各项系数!$M$9*$NK100</f>
        <v>23.2387352678343</v>
      </c>
      <c r="DI100" s="262">
        <f>DJ100+各项系数!$L$9*$NQ100</f>
        <v>23.5550711232587</v>
      </c>
      <c r="DJ100" s="262">
        <f>DK100*(1+$EB100+各项系数!$J$5+各项系数!$L$5)</f>
        <v>23.3345142165341</v>
      </c>
      <c r="DK100" s="262">
        <f t="shared" si="352"/>
        <v>22.6548681713924</v>
      </c>
      <c r="DL100" s="176">
        <f>DM100+各项系数!$M$9*$NQ100</f>
        <v>24.2124480969156</v>
      </c>
      <c r="DM100" s="176">
        <f>DN100*(1+$EA100+(VLOOKUP($AM100,$A$12:$B$323,2,0))+各项系数!$J$6+各项系数!$M$5)*(1+$E$2)+各项系数!$M$9*$NK100</f>
        <v>23.991891190191</v>
      </c>
      <c r="DN100" s="262">
        <f>DO100+各项系数!$L$9*$NQ100</f>
        <v>24.323597574643</v>
      </c>
      <c r="DO100" s="262">
        <f>DP100*(1+$EB100+各项系数!$J$5+各项系数!$L$5)</f>
        <v>24.1030406679185</v>
      </c>
      <c r="DP100" s="262">
        <f t="shared" si="353"/>
        <v>23.4010103572024</v>
      </c>
      <c r="DQ100" s="176">
        <f>DR100+各项系数!$M$9*$NV100</f>
        <v>24.6553767565918</v>
      </c>
      <c r="DR100" s="176">
        <f t="shared" si="354"/>
        <v>24.4289875261929</v>
      </c>
      <c r="DS100" s="262">
        <f>DT100+各项系数!$L$9*$NV100</f>
        <v>24.9275382920335</v>
      </c>
      <c r="DT100" s="262">
        <f>DU100*(1+$EB100+各项系数!$J$5+各项系数!$L$5)</f>
        <v>24.7011490616346</v>
      </c>
      <c r="DU100" s="262">
        <f t="shared" si="355"/>
        <v>23.9816981180919</v>
      </c>
      <c r="DV100" s="176">
        <f>DW100+各项系数!$M$9*$NV100</f>
        <v>24.8974226770359</v>
      </c>
      <c r="DW100" s="176">
        <f t="shared" si="356"/>
        <v>24.671033446637</v>
      </c>
      <c r="DX100" s="262">
        <f>DY100+各项系数!$L$9*$NV100</f>
        <v>25.1745239251398</v>
      </c>
      <c r="DY100" s="262">
        <f>DZ100*(1+$EB100+各项系数!$J$5+各项系数!$L$5)</f>
        <v>24.9481346947409</v>
      </c>
      <c r="DZ100" s="262">
        <f t="shared" si="357"/>
        <v>24.221489994894</v>
      </c>
      <c r="EA100" s="278">
        <f t="shared" si="492"/>
        <v>0</v>
      </c>
      <c r="EB100" s="278">
        <f t="shared" si="358"/>
        <v>0.01</v>
      </c>
      <c r="EC100" s="302" t="str">
        <f t="shared" si="408"/>
        <v>3+1</v>
      </c>
      <c r="ED100" s="304" t="str">
        <f t="shared" ref="ED100:ED125" si="494">IF(COUNTIF($D100,"*+*")&gt;0,MID($D100,1,FIND("+",$D100)-1),MID($D100,1,LEN($D100)))</f>
        <v>3*10</v>
      </c>
      <c r="EE100" s="95">
        <f t="shared" ref="EE100:EE157" si="495">IF($D100="",0,IF(COUNTIF($D100,"*+*")&gt;0,MID($D100,FIND("*",$D100)+1,FIND("+",$D100)-FIND("*",$D100)-1),RIGHT($D100,(LEN($D100)-FIND("*",$D100)))))*1</f>
        <v>10</v>
      </c>
      <c r="EF100" s="95" t="str">
        <f>LOOKUP(EH100,{1,7,10,14,19,24,30,37,48,61},{1,"1+6","2+8","4+10","1+6+12","2+8+14","4+10+16","1+6+12+18","3+9+15+21","1+6+12+18+24"})</f>
        <v>1+6</v>
      </c>
      <c r="EG100" s="127">
        <f t="shared" si="359"/>
        <v>3</v>
      </c>
      <c r="EH100" s="262">
        <f>VLOOKUP(EE100,各项系数!$B$87:$C$124,2,0)</f>
        <v>7</v>
      </c>
      <c r="EI100" s="127">
        <f>IF(EH100=0,0,VLOOKUP(EH100,各项系数!$D$142:$E$195,2,0))*1</f>
        <v>3</v>
      </c>
      <c r="EJ100" s="307">
        <f t="shared" si="409"/>
        <v>131.130294998433</v>
      </c>
      <c r="EK100" s="95" t="str">
        <f t="shared" si="332"/>
        <v>1*6</v>
      </c>
      <c r="EL100" s="95" t="str">
        <f t="shared" si="360"/>
        <v>6</v>
      </c>
      <c r="EM100" s="95">
        <f t="shared" ref="EM100:EM125" si="496">EL100/1</f>
        <v>6</v>
      </c>
      <c r="EN100" s="95">
        <f>IF(EP100=0,0,LOOKUP(EP100,{1,7,10,14,19,24,30,37,48,61},{1,"1+6","2+8","4+10","1+6+12","2+8+14","4+10+16","1+6+12+18","3+9+15+21","1+6+12+18+24"}))</f>
        <v>1</v>
      </c>
      <c r="EO100" s="95" t="str">
        <f t="shared" si="334"/>
        <v>1</v>
      </c>
      <c r="EP100" s="95">
        <f>IF(EM100=0,0,IF(EM100&lt;10,1,IF(AND(EM100&gt;=10,EM100&lt;=35),7,LOOKUP(EM100,{50,70,95,120,150,185,240,300},{10,14,19,24,30,37,48,61})*1)))</f>
        <v>1</v>
      </c>
      <c r="EQ100" s="95">
        <f>IF(EP100=0,0,VLOOKUP(EP100,各项系数!$D$142:$E$195,2,0))*1</f>
        <v>1</v>
      </c>
      <c r="ER100" s="95">
        <f t="shared" si="335"/>
        <v>267.425148012862</v>
      </c>
      <c r="ES100" s="304">
        <f t="shared" ref="ES100:ES125" si="497">EO100+EG100</f>
        <v>4</v>
      </c>
      <c r="ET100" s="95">
        <f>VLOOKUP(ES100,各项系数!$D$142:$E$195,2,0)*1</f>
        <v>2.42</v>
      </c>
      <c r="EU100" s="311">
        <f>((各项系数!$F$76/4*$EJ100^2*$EG100*$EH100*1*10^-7)*(1-$H100)*AA100)*(VLOOKUP($EY$9,各项系数!$D$4:$F$143,3,0))*各项系数!$J$4</f>
        <v>0.253624526858151</v>
      </c>
      <c r="EV100" s="312">
        <f>EU100*(VLOOKUP($EY$9,各项系数!$D$4:$F$143,2,0))</f>
        <v>16.6124065092089</v>
      </c>
      <c r="EW100" s="324">
        <f>(IF($EO100=0,0,(各项系数!$F$76/4*$ER100^2*$EO100*$EP100*1*10^-7))*(1-$K100)*$AF100)*(VLOOKUP($EY$9,各项系数!$D$4:$F$143,3,0))*各项系数!$J$4</f>
        <v>0.0496843042710296</v>
      </c>
      <c r="EX100" s="325">
        <f>EW100*(VLOOKUP($EY$9,各项系数!$D$4:$F$143,2,0))</f>
        <v>3.25432192975244</v>
      </c>
      <c r="EY100" s="251">
        <f>((各项系数!$F$76/4*$EJ100^2*$EG100*$EH100*1*10^-7)*(1-$H100)*AA100+IF($EO100=0,0,(各项系数!$F$76/4*$ER100^2*$EO100*$EP100*1*10^-7))*(1-$K100)*$AF100)*(VLOOKUP($EY$9,各项系数!$D$4:$F$143,3,0))*各项系数!$J$4</f>
        <v>0.303308831129181</v>
      </c>
      <c r="EZ100" s="127">
        <v>1</v>
      </c>
      <c r="FA100" s="95">
        <f t="shared" si="445"/>
        <v>0.303308831129181</v>
      </c>
      <c r="FB100" s="314">
        <f>FA100*(VLOOKUP($EY$9,各项系数!$D$4:$F$143,2,0))</f>
        <v>19.8667284389613</v>
      </c>
      <c r="FC100" s="329"/>
      <c r="FD100" s="304">
        <f>各项系数!$F$76/4*($MN100^2-MK100^2)*10^-2*(VLOOKUP(L100,各项系数!$D$1:$F$143,3,0))*10^-3*10^2*$EG100*各项系数!$J$4</f>
        <v>0.033460499527598</v>
      </c>
      <c r="FE100" s="341">
        <f>FD100*VLOOKUP(L100,各项系数!$D$1:$F$143,2,0)</f>
        <v>0.341297095181499</v>
      </c>
      <c r="FF100" s="127">
        <f>各项系数!$F$76/4*($MO100^2-ML100^2)*10^-2*(VLOOKUP(L100,各项系数!$D$1:$F$143,3,0))*10^-3*10^2*$EO100*各项系数!$J$4</f>
        <v>0.00812159119946819</v>
      </c>
      <c r="FG100" s="341">
        <f>FF100*VLOOKUP(L100,各项系数!$D$1:$F$143,2,0)</f>
        <v>0.0828402302345755</v>
      </c>
      <c r="FH100" s="304">
        <f t="shared" si="410"/>
        <v>0.0415820907270662</v>
      </c>
      <c r="FI100" s="127">
        <v>1</v>
      </c>
      <c r="FJ100" s="95">
        <f t="shared" si="446"/>
        <v>0.0415820907270662</v>
      </c>
      <c r="FK100" s="341">
        <f>FJ100*VLOOKUP(L100,各项系数!$D$1:$F$143,2,0)</f>
        <v>0.424137325416075</v>
      </c>
      <c r="FL100" s="304"/>
      <c r="FM100" s="127"/>
      <c r="FN100" s="95"/>
      <c r="FO100" s="341"/>
      <c r="FP100" s="371">
        <f t="shared" si="447"/>
        <v>0.0415820907270662</v>
      </c>
      <c r="FQ100" s="371">
        <f t="shared" si="448"/>
        <v>0.424137325416075</v>
      </c>
      <c r="FR100" s="365">
        <f>各项系数!$F$76/4*($MQ100^2-$MN100^2*$EG100-$MO100^2*$EO100)*10^-2</f>
        <v>0.357931321953369</v>
      </c>
      <c r="FS100" s="366">
        <f t="shared" si="411"/>
        <v>1</v>
      </c>
      <c r="FT100" s="367">
        <f t="shared" si="361"/>
        <v>0.357931321953369</v>
      </c>
      <c r="FU100" s="395">
        <f>$FT100*(VLOOKUP($FT$9,各项系数!$D$1:$F$143,3,0))*10^-3*10^2*各项系数!$J$55</f>
        <v>0.0427369998412323</v>
      </c>
      <c r="FV100" s="396">
        <v>1</v>
      </c>
      <c r="FW100" s="397">
        <f t="shared" si="449"/>
        <v>0.0427369998412323</v>
      </c>
      <c r="FX100" s="372">
        <f>FW100*(VLOOKUP($FT$9,各项系数!$D$1:$F$143,2,0))</f>
        <v>0.128210999523697</v>
      </c>
      <c r="FY100" s="395">
        <f>IF($BK100&lt;&gt;$FY$9,0,各项系数!$F$76/4*($MS100^2-$MQ100^2)*10^-2*(VLOOKUP($FY$9,各项系数!$D$1:$F$143,3,0))*10^-3*10^2)*各项系数!$J$4</f>
        <v>0</v>
      </c>
      <c r="FZ100" s="396">
        <v>1</v>
      </c>
      <c r="GA100" s="397">
        <f t="shared" si="450"/>
        <v>0</v>
      </c>
      <c r="GB100" s="372">
        <f>GA100*(VLOOKUP($FY$9,各项系数!$D$1:$F$143,2,0))</f>
        <v>0</v>
      </c>
      <c r="GC100" s="395">
        <f>IF($BK100&lt;&gt;$GC$9,0,各项系数!$F$76/4*($MS100^2-$MQ100^2)*10^-2*(VLOOKUP($GC$9,各项系数!$D$1:$F$143,3,0))*10^-3*10^2)*各项系数!$J$4</f>
        <v>0.00333164036024943</v>
      </c>
      <c r="GD100" s="396">
        <v>1</v>
      </c>
      <c r="GE100" s="397">
        <f t="shared" si="451"/>
        <v>0.00333164036024943</v>
      </c>
      <c r="GF100" s="372">
        <f>GE100*(VLOOKUP($GC$9,各项系数!$D$1:$F$143,2,0))</f>
        <v>0.0429781606472177</v>
      </c>
      <c r="GG100" s="395">
        <f>IF($BK100&lt;&gt;$GG$9,0,各项系数!$F$76/4*($MS100^2-$MQ100^2)*10^-2*(VLOOKUP($GG$9,各项系数!$D$1:$F$143,3,0))*10^-3*10^2)*各项系数!$J$4</f>
        <v>0</v>
      </c>
      <c r="GH100" s="396">
        <v>1</v>
      </c>
      <c r="GI100" s="397">
        <f t="shared" si="452"/>
        <v>0</v>
      </c>
      <c r="GJ100" s="372">
        <f>GI100*(VLOOKUP($GG$9,各项系数!$D$1:$F$143,2,0))</f>
        <v>0</v>
      </c>
      <c r="GK100" s="395">
        <f>IF($BK100&lt;&gt;$GK$9,0,各项系数!$F$76/4*($MS100^2-$MQ100^2)*10^-2*(VLOOKUP($GK$9,各项系数!$D$1:$F$143,3,0))*10^-3*10^2)*各项系数!$J$4</f>
        <v>0</v>
      </c>
      <c r="GL100" s="396">
        <v>1</v>
      </c>
      <c r="GM100" s="397">
        <f t="shared" si="453"/>
        <v>0</v>
      </c>
      <c r="GN100" s="372">
        <f>GM100*(VLOOKUP($GK$9,各项系数!$D$1:$F$143,2,0))</f>
        <v>0</v>
      </c>
      <c r="GO100" s="397">
        <f t="shared" si="454"/>
        <v>0.00333164036024943</v>
      </c>
      <c r="GP100" s="397">
        <f t="shared" si="455"/>
        <v>0.0429781606472177</v>
      </c>
      <c r="GQ100" s="408">
        <f>各项系数!$F$76/4*($MU100^2-$MS100^2)*10^-2*(VLOOKUP($S100,各项系数!$D$1:$F$143,3,0))*10^-3*10^2*各项系数!$J$4</f>
        <v>0.0925609901262691</v>
      </c>
      <c r="GR100" s="396">
        <v>1</v>
      </c>
      <c r="GS100" s="397">
        <f t="shared" si="456"/>
        <v>0.0925609901262691</v>
      </c>
      <c r="GT100" s="397">
        <f t="shared" si="457"/>
        <v>0</v>
      </c>
      <c r="GU100" s="397">
        <f>ROUND($GS100*(VLOOKUP($S100,各项系数!$D$1:$F$143,2,0))+$E$3*GS100,GT100)</f>
        <v>1</v>
      </c>
      <c r="GV100" s="406">
        <f>各项系数!$F$76/4*($MT100^2-$MS100^2)*10^-2*(VLOOKUP($GV$9,各项系数!$D$1:$F$143,3,0))*10^-3*10^2*各项系数!$J$4*PI()/4*R100</f>
        <v>0.0173234796812304</v>
      </c>
      <c r="GW100" s="396">
        <v>1</v>
      </c>
      <c r="GX100" s="397">
        <f t="shared" si="458"/>
        <v>0.0173234796812304</v>
      </c>
      <c r="GY100" s="397">
        <f>$GX100*(VLOOKUP($GV$9,各项系数!$D$1:$F$143,2,0))</f>
        <v>1.16933487848305</v>
      </c>
      <c r="GZ100" s="408">
        <f>各项系数!$F$76/4*($MV100^2-$MS100^2)*10^-2*(VLOOKUP($GZ$9,各项系数!$D$1:$F$143,3,0))*10^-3*10^2*各项系数!$J$4</f>
        <v>0.115214899189022</v>
      </c>
      <c r="HA100" s="396">
        <v>1</v>
      </c>
      <c r="HB100" s="397">
        <f t="shared" si="412"/>
        <v>0.115214899189022</v>
      </c>
      <c r="HC100" s="397">
        <f>HB100*(VLOOKUP($GZ$9,各项系数!$D$1:$F$143,2,0))</f>
        <v>1.95865328621337</v>
      </c>
      <c r="HD100" s="408">
        <f>各项系数!$F$76/4*($MW100^2-$MT100^2)*10^-2*(VLOOKUP($HD$9,各项系数!$D$1:$F$143,3,0))*10^-3*10^2*各项系数!$J$4</f>
        <v>0.1165202686357</v>
      </c>
      <c r="HE100" s="396">
        <v>1</v>
      </c>
      <c r="HF100" s="397">
        <f t="shared" si="413"/>
        <v>0.1165202686357</v>
      </c>
      <c r="HG100" s="397">
        <f>HF100*(VLOOKUP($HD$9,各项系数!$D$1:$F$143,2,0))</f>
        <v>1.9808445668069</v>
      </c>
      <c r="HH100" s="408">
        <f>各项系数!$F$76/4*($MV100^2-$MS100^2)*10^-2*(VLOOKUP($HH$9,各项系数!$D$1:$F$143,3,0))*10^-3*10^2*各项系数!$J$4</f>
        <v>0.115214899189022</v>
      </c>
      <c r="HI100" s="397">
        <v>1</v>
      </c>
      <c r="HJ100" s="397">
        <f t="shared" si="414"/>
        <v>0.115214899189022</v>
      </c>
      <c r="HK100" s="397">
        <f>HJ100*(VLOOKUP($HH$9,各项系数!$D$1:$F$143,2,0))</f>
        <v>1.95865328621337</v>
      </c>
      <c r="HL100" s="408">
        <f>各项系数!$F$76/4*($MW100^2-$MT100^2)*10^-2*(VLOOKUP($HL$9,各项系数!$D$1:$F$143,3,0))*10^-3*10^2*各项系数!$J$4</f>
        <v>0.1165202686357</v>
      </c>
      <c r="HM100" s="397">
        <v>1</v>
      </c>
      <c r="HN100" s="397">
        <f t="shared" si="362"/>
        <v>0.1165202686357</v>
      </c>
      <c r="HO100" s="397">
        <f>HN100*(VLOOKUP($HL$9,各项系数!$D$1:$F$143,2,0))</f>
        <v>1.9808445668069</v>
      </c>
      <c r="HP100" s="408">
        <f>各项系数!$F$76/4*($MV100^2-$MS100^2)*10^-2*(VLOOKUP(AN100,各项系数!$D$1:$F$143,3,0))*10^-3*10^2*各项系数!$J$4</f>
        <v>0.116804070212319</v>
      </c>
      <c r="HQ100" s="396">
        <v>1</v>
      </c>
      <c r="HR100" s="397">
        <f t="shared" si="459"/>
        <v>0.116804070212319</v>
      </c>
      <c r="HS100" s="397">
        <f>HR100*(VLOOKUP(AN100,各项系数!$D$1:$F$143,2,0))</f>
        <v>1.16804070212319</v>
      </c>
      <c r="HT100" s="408">
        <f>各项系数!$F$76/4*($MW100^2-$MT100^2)*10^-2*(VLOOKUP(AN100,各项系数!$D$1:$F$143,3,0))*10^-3*10^2*各项系数!$J$4</f>
        <v>0.118127444754813</v>
      </c>
      <c r="HU100" s="396">
        <v>1</v>
      </c>
      <c r="HV100" s="397">
        <f t="shared" si="460"/>
        <v>0.118127444754813</v>
      </c>
      <c r="HW100" s="397">
        <f>HV100*(VLOOKUP(AN100,各项系数!$D$1:$F$143,2,0))</f>
        <v>1.18127444754813</v>
      </c>
      <c r="HX100" s="408">
        <f>各项系数!$F$76/4*($MV100^2-$MS100^2)*10^-2*(VLOOKUP($HX$9,各项系数!$D$1:$F$143,3,0))*10^-3*10^2*各项系数!$J$4</f>
        <v>0.116804070212319</v>
      </c>
      <c r="HY100" s="397">
        <v>1</v>
      </c>
      <c r="HZ100" s="397">
        <f t="shared" si="461"/>
        <v>0.116804070212319</v>
      </c>
      <c r="IA100" s="397">
        <f>HZ100*(VLOOKUP($HX$9,各项系数!$D$1:$F$143,2,0))</f>
        <v>1.28484477233551</v>
      </c>
      <c r="IB100" s="408">
        <f>各项系数!$F$76/4*($MW100^2-$MT100^2)*10^-2*(VLOOKUP($IB$9,各项系数!$D$1:$F$143,3,0))*10^-3*10^2*各项系数!$J$4</f>
        <v>0.118127444754813</v>
      </c>
      <c r="IC100" s="397">
        <v>1</v>
      </c>
      <c r="ID100" s="397">
        <f t="shared" si="462"/>
        <v>0.118127444754813</v>
      </c>
      <c r="IE100" s="397">
        <f>ID100*(VLOOKUP($IB$9,各项系数!$D$1:$F$143,2,0))</f>
        <v>1.29940189230295</v>
      </c>
      <c r="IF100" s="395"/>
      <c r="IG100" s="408">
        <f t="shared" si="415"/>
        <v>0.0220505848778543</v>
      </c>
      <c r="IH100" s="396">
        <v>1</v>
      </c>
      <c r="II100" s="397">
        <f t="shared" si="463"/>
        <v>0.0220505848778543</v>
      </c>
      <c r="IJ100" s="397">
        <f>II100*(VLOOKUP($IG$8,各项系数!$D$1:$F$143,2,0))</f>
        <v>0.551264621946357</v>
      </c>
      <c r="IK100" s="408">
        <f>(各项系数!$F$76/4*($MX100^2-$MK100^2)*$EG100)*10^-2*(VLOOKUP($IG$8,各项系数!$D$1:$F$143,3,0))*10^-3*10^2*各项系数!$J$4</f>
        <v>0.0178668596534847</v>
      </c>
      <c r="IL100" s="396">
        <f>IK100*(VLOOKUP($IG$8,各项系数!$D$1:$F$143,2,0))</f>
        <v>0.446671491337119</v>
      </c>
      <c r="IM100" s="397">
        <f>(各项系数!$F$76/4*(($MM100+3*$X100)^2-MM100^2)*$EO100)*10^-2*(VLOOKUP($IG$8,各项系数!$D$1:$F$143,3,0))*10^-3*10^2*各项系数!$J$4</f>
        <v>0.00418372522436955</v>
      </c>
      <c r="IN100" s="396">
        <f>IM100*(VLOOKUP($IG$8,各项系数!$D$1:$F$143,2,0))</f>
        <v>0.104593130609239</v>
      </c>
      <c r="IO100" s="408">
        <f>各项系数!$F$76/4*($MZ100^2-$MX100^2)*10^-2*(VLOOKUP(L100,各项系数!$D$1:$F$143,3,0))*10^-3*10^2*$ES100*各项系数!$J$4</f>
        <v>0.0503906342778454</v>
      </c>
      <c r="IP100" s="396">
        <v>1</v>
      </c>
      <c r="IQ100" s="397">
        <f t="shared" si="464"/>
        <v>0.0503906342778454</v>
      </c>
      <c r="IR100" s="372">
        <f>IQ100*(VLOOKUP(L100,各项系数!$D$1:$F$143,2,0))</f>
        <v>0.513984469634023</v>
      </c>
      <c r="IS100" s="408">
        <f>IF($L100&lt;&gt;$IS$9,0,各项系数!$F$76/4*($MZ100^2-$MX100^2)*10^-2*各项系数!$F$12*10^-3*10^2)*$ES100*各项系数!$J$4</f>
        <v>0</v>
      </c>
      <c r="IT100" s="396">
        <v>1</v>
      </c>
      <c r="IU100" s="397">
        <f t="shared" si="465"/>
        <v>0</v>
      </c>
      <c r="IV100" s="372">
        <f>IU100*各项系数!$E$12</f>
        <v>0</v>
      </c>
      <c r="IW100" s="395">
        <f t="shared" si="466"/>
        <v>0.0503906342778454</v>
      </c>
      <c r="IX100" s="395">
        <f t="shared" si="467"/>
        <v>0.513984469634023</v>
      </c>
      <c r="IY100" s="447">
        <f>各项系数!$F$76/4*($NB100^2-$MZ100^2*$EG100-$NA100^2*$EO100)*10^-2</f>
        <v>0.45099328927373</v>
      </c>
      <c r="IZ100" s="366">
        <f t="shared" si="487"/>
        <v>1</v>
      </c>
      <c r="JA100" s="367">
        <f t="shared" si="363"/>
        <v>0.45099328927373</v>
      </c>
      <c r="JB100" s="371">
        <f>IF($DE100&lt;&gt;$JB$9,0,$JA100*各项系数!$F$32*10^-3*10^2)*各项系数!$J$4</f>
        <v>0</v>
      </c>
      <c r="JC100" s="127">
        <v>1</v>
      </c>
      <c r="JD100" s="95">
        <f t="shared" si="468"/>
        <v>0</v>
      </c>
      <c r="JE100" s="341">
        <f>JD100*各项系数!$E$32</f>
        <v>0</v>
      </c>
      <c r="JF100" s="364">
        <f>IF($DE100&lt;&gt;$JF$9,0,$JA100*VLOOKUP($JF$9,各项系数!$D$4:$F$540,2,0)*10^-3*10^2)*各项系数!$J$4</f>
        <v>0.224369161413681</v>
      </c>
      <c r="JG100" s="123">
        <v>1</v>
      </c>
      <c r="JH100" s="251">
        <f t="shared" si="364"/>
        <v>0.224369161413681</v>
      </c>
      <c r="JI100" s="339">
        <f>JH100*VLOOKUP($JF$9,各项系数!$D$4:$F$540,3,0)</f>
        <v>0.269242993696417</v>
      </c>
      <c r="JJ100" s="371">
        <f t="shared" si="469"/>
        <v>0.224369161413681</v>
      </c>
      <c r="JK100" s="95">
        <f t="shared" si="470"/>
        <v>0.269242993696417</v>
      </c>
      <c r="JL100" s="371">
        <f>IF($DF100&lt;&gt;$JL$9,0,各项系数!$F$76/4*($NE100^2-$NC100^2)*10^-2*各项系数!$F$39*10^-3*10^2)*各项系数!$J$4</f>
        <v>0.00154370815636082</v>
      </c>
      <c r="JM100" s="127">
        <v>1</v>
      </c>
      <c r="JN100" s="95">
        <f t="shared" si="471"/>
        <v>0.00154370815636082</v>
      </c>
      <c r="JO100" s="341">
        <f>JN100*各项系数!$E$39</f>
        <v>0.0308741631272163</v>
      </c>
      <c r="JP100" s="371">
        <f>IF($DF100&lt;&gt;$JP$9,0,各项系数!$F$76/4*($NE100^2-$NC100^2)*10^-2*各项系数!$F$36*10^-3*10^2)*各项系数!$J$4</f>
        <v>0</v>
      </c>
      <c r="JQ100" s="127">
        <v>1</v>
      </c>
      <c r="JR100" s="95">
        <f t="shared" si="472"/>
        <v>0</v>
      </c>
      <c r="JS100" s="341">
        <f>JR100*各项系数!$E$36</f>
        <v>0</v>
      </c>
      <c r="JT100" s="371">
        <f>IF($DF100&lt;&gt;$JT$9,0,各项系数!$F$76/4*($NE100^2-$NC100^2)*10^-2*各项系数!$F$40*10^-3*10^2)*各项系数!$J$4</f>
        <v>0</v>
      </c>
      <c r="JU100" s="127">
        <v>1</v>
      </c>
      <c r="JV100" s="95">
        <f t="shared" si="473"/>
        <v>0</v>
      </c>
      <c r="JW100" s="341">
        <f>JV100*各项系数!$E$40</f>
        <v>0</v>
      </c>
      <c r="JX100" s="371">
        <f>IF($DF100&lt;&gt;$JX$9,0,各项系数!$F$76/4*($NE100^2-$NC100^2)*10^-2*各项系数!$F$38*10^-3*10^2)*各项系数!$J$4</f>
        <v>0</v>
      </c>
      <c r="JY100" s="127">
        <v>1</v>
      </c>
      <c r="JZ100" s="95">
        <f t="shared" si="474"/>
        <v>0</v>
      </c>
      <c r="KA100" s="341">
        <f>JZ100*各项系数!$E$38</f>
        <v>0</v>
      </c>
      <c r="KB100" s="371">
        <f>IF($DF100&lt;&gt;$KB$9,0,各项系数!$F$76/4*($NE100^2-$NC100^2)*10^-2*各项系数!$F$41*10^-3*10^2)*各项系数!$J$4</f>
        <v>0</v>
      </c>
      <c r="KC100" s="127">
        <v>1</v>
      </c>
      <c r="KD100" s="95">
        <f t="shared" si="475"/>
        <v>0</v>
      </c>
      <c r="KE100" s="341">
        <f>KD100*各项系数!$E$41</f>
        <v>0</v>
      </c>
      <c r="KF100" s="95">
        <f t="shared" si="476"/>
        <v>0.00154370815636082</v>
      </c>
      <c r="KG100" s="95">
        <f t="shared" si="477"/>
        <v>0.0308741631272163</v>
      </c>
      <c r="KH100" s="304">
        <f>各项系数!$F$76/4*($NG100^2-$NE100^2)*10^-2*各项系数!$F$44*10^-3*10^2*各项系数!$J$4*0.75*$U100</f>
        <v>0.155517467338871</v>
      </c>
      <c r="KI100" s="127">
        <v>1</v>
      </c>
      <c r="KJ100" s="95">
        <f t="shared" si="478"/>
        <v>0.155517467338871</v>
      </c>
      <c r="KK100" s="95">
        <f>ROUND(KJ100*各项系数!$E$43,GT100)</f>
        <v>1</v>
      </c>
      <c r="KL100" s="302">
        <f>各项系数!$F$76/4*($NF100^2-$NE100^2)*10^-2*各项系数!$F$46*10^-3*10^2*各项系数!$J$4*PI()/4*R100</f>
        <v>0.0194410789145495</v>
      </c>
      <c r="KM100" s="127">
        <v>1</v>
      </c>
      <c r="KN100" s="95">
        <f t="shared" si="479"/>
        <v>0.0194410789145495</v>
      </c>
      <c r="KO100" s="95">
        <f>KN100*各项系数!$E$46</f>
        <v>1.31227282673209</v>
      </c>
      <c r="KP100" s="304">
        <f>各项系数!$F$76/4*($NH100^2-$NE100^2)*10^-2*(VLOOKUP($KP$9,各项系数!$D$1:$F$143,3,0))*10^-3*10^2*各项系数!$J$4</f>
        <v>0.1275832746963</v>
      </c>
      <c r="KQ100" s="127">
        <v>1</v>
      </c>
      <c r="KR100" s="95">
        <f t="shared" si="416"/>
        <v>0.1275832746963</v>
      </c>
      <c r="KS100" s="95">
        <f>KR100*(VLOOKUP($KP$9,各项系数!$D$1:$F$143,2,0))</f>
        <v>2.1689156698371</v>
      </c>
      <c r="KT100" s="304">
        <f>各项系数!$F$76/4*($NI100^2-$NF100^2)*10^-2*(VLOOKUP($KT$9,各项系数!$D$1:$F$143,3,0))*10^-3*10^2*各项系数!$J$4</f>
        <v>0.128888644142978</v>
      </c>
      <c r="KU100" s="127">
        <v>1</v>
      </c>
      <c r="KV100" s="95">
        <f t="shared" si="417"/>
        <v>0.128888644142978</v>
      </c>
      <c r="KW100" s="95">
        <f>KV100*(VLOOKUP($KT$9,各项系数!$D$1:$F$143,2,0))</f>
        <v>2.19110695043063</v>
      </c>
      <c r="KX100" s="95">
        <f>各项系数!$F$76/4*($NH100^2-$NE100^2)*10^-2*(VLOOKUP($KX$9,各项系数!$D$1:$F$143,3,0))*10^-3*10^2*各项系数!$J$4</f>
        <v>0.1275832746963</v>
      </c>
      <c r="KY100" s="481">
        <v>1</v>
      </c>
      <c r="KZ100" s="95">
        <f t="shared" si="418"/>
        <v>0.1275832746963</v>
      </c>
      <c r="LA100" s="95">
        <f>KZ100*(VLOOKUP($KX$9,各项系数!$D$1:$F$143,2,0))</f>
        <v>2.1689156698371</v>
      </c>
      <c r="LB100" s="95">
        <f>各项系数!$F$76/4*($NI100^2-$NF100^2)*10^-2*(VLOOKUP($LB$9,各项系数!$D$1:$F$143,3,0))*10^-3*10^2*各项系数!$J$4</f>
        <v>0.128888644142978</v>
      </c>
      <c r="LC100" s="481">
        <v>1</v>
      </c>
      <c r="LD100" s="95">
        <f t="shared" si="419"/>
        <v>0.128888644142978</v>
      </c>
      <c r="LE100" s="95">
        <f>LD100*(VLOOKUP($LB$9,各项系数!$D$1:$F$143,2,0))</f>
        <v>2.19110695043063</v>
      </c>
      <c r="LF100" s="304">
        <f>各项系数!$F$76/4*($NH100^2-$NE100^2)*10^-2*(VLOOKUP(AN100,各项系数!$D$1:$F$143,3,0))*10^-3*10^2*各项系数!$J$4</f>
        <v>0.129343044002456</v>
      </c>
      <c r="LG100" s="127">
        <v>1</v>
      </c>
      <c r="LH100" s="95">
        <f t="shared" si="480"/>
        <v>0.129343044002456</v>
      </c>
      <c r="LI100" s="95">
        <f>LH100*(VLOOKUP(AN100,各项系数!$D$1:$F$143,2,0))</f>
        <v>1.29343044002456</v>
      </c>
      <c r="LJ100" s="304">
        <f>各项系数!$F$76/4*($NI100^2-$NF100^2)*10^-2*(VLOOKUP(AN100,各项系数!$D$1:$F$143,3,0))*10^-3*10^2*各项系数!$J$4</f>
        <v>0.13066641854495</v>
      </c>
      <c r="LK100" s="127">
        <v>1</v>
      </c>
      <c r="LL100" s="95">
        <f t="shared" si="481"/>
        <v>0.13066641854495</v>
      </c>
      <c r="LM100" s="95">
        <f>LL100*(VLOOKUP(AN100,各项系数!$D$1:$F$143,2,0))</f>
        <v>1.3066641854495</v>
      </c>
      <c r="LN100" s="95">
        <f>各项系数!$F$76/4*($NH100^2-$NE100^2)*10^-2*(VLOOKUP($LN$9,各项系数!$D$1:$F$143,3,0))*10^-3*10^2*各项系数!$J$4</f>
        <v>0.129343044002456</v>
      </c>
      <c r="LO100" s="481">
        <v>1</v>
      </c>
      <c r="LP100" s="95">
        <f t="shared" si="482"/>
        <v>0.129343044002456</v>
      </c>
      <c r="LQ100" s="95">
        <f>LP100*(VLOOKUP($LN$9,各项系数!$D$1:$F$143,2,0))</f>
        <v>1.42277348402701</v>
      </c>
      <c r="LR100" s="95">
        <f>各项系数!$F$76/4*($NI100^2-$NF100^2)*10^-2*(VLOOKUP($LR$9,各项系数!$D$1:$F$143,3,0))*10^-3*10^2*各项系数!$J$4</f>
        <v>0.13066641854495</v>
      </c>
      <c r="LS100" s="481">
        <v>1</v>
      </c>
      <c r="LT100" s="95">
        <f t="shared" si="483"/>
        <v>0.13066641854495</v>
      </c>
      <c r="LU100" s="95">
        <f>LT100*(VLOOKUP($LR$9,各项系数!$D$1:$F$143,2,0))</f>
        <v>1.43733060399445</v>
      </c>
      <c r="LV100" s="501">
        <f t="shared" si="420"/>
        <v>36.46361497</v>
      </c>
      <c r="LW100" s="501">
        <f t="shared" si="421"/>
        <v>28.36058942</v>
      </c>
      <c r="LX100" s="501">
        <f t="shared" si="422"/>
        <v>6.00914502750114</v>
      </c>
      <c r="LY100" s="519">
        <f t="shared" si="423"/>
        <v>8.10302555</v>
      </c>
      <c r="LZ100" s="516">
        <f t="shared" si="365"/>
        <v>1</v>
      </c>
      <c r="MA100" s="517">
        <f t="shared" si="366"/>
        <v>36.46361497</v>
      </c>
      <c r="MB100" s="501">
        <f t="shared" si="424"/>
        <v>3.93390885</v>
      </c>
      <c r="MC100" s="501">
        <f t="shared" si="425"/>
        <v>5.61686998</v>
      </c>
      <c r="MD100" s="501">
        <f t="shared" si="426"/>
        <v>5.61686998</v>
      </c>
      <c r="ME100" s="501">
        <f t="shared" si="427"/>
        <v>2.67425147960542</v>
      </c>
      <c r="MF100" s="501">
        <f t="shared" si="428"/>
        <v>0</v>
      </c>
      <c r="MG100" s="527">
        <f t="shared" si="429"/>
        <v>1</v>
      </c>
      <c r="MH100" s="517">
        <f t="shared" si="367"/>
        <v>5.61686998</v>
      </c>
      <c r="MI100" s="501">
        <f t="shared" si="430"/>
        <v>2.67425147960542</v>
      </c>
      <c r="MJ100" s="95">
        <f t="shared" si="368"/>
        <v>3.93390885</v>
      </c>
      <c r="MK100" s="95">
        <f t="shared" si="431"/>
        <v>3.93390885</v>
      </c>
      <c r="ML100" s="95">
        <f t="shared" si="484"/>
        <v>2.67425148012862</v>
      </c>
      <c r="MM100" s="95">
        <f t="shared" si="369"/>
        <v>2.67425147960542</v>
      </c>
      <c r="MN100" s="95">
        <f t="shared" si="370"/>
        <v>5.33390885</v>
      </c>
      <c r="MO100" s="251">
        <f t="shared" si="432"/>
        <v>4.07425147960542</v>
      </c>
      <c r="MP100" s="95">
        <f t="shared" si="433"/>
        <v>12.14596671</v>
      </c>
      <c r="MQ100" s="95">
        <f t="shared" si="485"/>
        <v>12.14596671</v>
      </c>
      <c r="MR100" s="314">
        <f t="shared" si="434"/>
        <v>12.14596671</v>
      </c>
      <c r="MS100" s="530">
        <f t="shared" si="371"/>
        <v>12.32196671</v>
      </c>
      <c r="MT100" s="532">
        <f t="shared" si="372"/>
        <v>12.48196671</v>
      </c>
      <c r="MU100" s="532">
        <f t="shared" si="373"/>
        <v>12.92196671</v>
      </c>
      <c r="MV100" s="532">
        <f t="shared" si="374"/>
        <v>15.92196671</v>
      </c>
      <c r="MW100" s="532">
        <f t="shared" si="375"/>
        <v>16.08196671</v>
      </c>
      <c r="MX100" s="314">
        <f t="shared" si="376"/>
        <v>4.53390885</v>
      </c>
      <c r="MY100" s="314">
        <f t="shared" si="377"/>
        <v>3.27425147960542</v>
      </c>
      <c r="MZ100" s="95">
        <f t="shared" si="378"/>
        <v>5.93390885</v>
      </c>
      <c r="NA100" s="95">
        <f t="shared" si="379"/>
        <v>4.67425147960542</v>
      </c>
      <c r="NB100" s="95">
        <f t="shared" si="435"/>
        <v>13.59796671</v>
      </c>
      <c r="NC100" s="314">
        <f t="shared" si="486"/>
        <v>13.59796671</v>
      </c>
      <c r="ND100" s="314">
        <f t="shared" si="436"/>
        <v>13.59796671</v>
      </c>
      <c r="NE100" s="537">
        <f t="shared" si="437"/>
        <v>13.83796671</v>
      </c>
      <c r="NF100" s="532">
        <f t="shared" si="380"/>
        <v>13.99796671</v>
      </c>
      <c r="NG100" s="180">
        <f t="shared" si="381"/>
        <v>14.43796671</v>
      </c>
      <c r="NH100" s="314">
        <f t="shared" si="382"/>
        <v>17.43796671</v>
      </c>
      <c r="NI100" s="532">
        <f t="shared" si="383"/>
        <v>17.59796671</v>
      </c>
      <c r="NK100" s="541">
        <f t="shared" si="384"/>
        <v>0.515885223469515</v>
      </c>
      <c r="NL100" s="541">
        <f t="shared" si="385"/>
        <v>21.7129358569061</v>
      </c>
      <c r="NM100" s="541">
        <f t="shared" si="386"/>
        <v>0.515885223469515</v>
      </c>
      <c r="NN100" s="541">
        <f t="shared" si="387"/>
        <v>21.8297399271184</v>
      </c>
      <c r="NO100" s="541">
        <f t="shared" si="388"/>
        <v>0.735189689081747</v>
      </c>
      <c r="NP100" s="541">
        <f t="shared" si="389"/>
        <v>22.6301182579991</v>
      </c>
      <c r="NQ100" s="541">
        <f t="shared" si="390"/>
        <v>0.735189689081747</v>
      </c>
      <c r="NR100" s="541">
        <f t="shared" si="391"/>
        <v>22.7594613020016</v>
      </c>
      <c r="NS100" s="541">
        <f t="shared" si="392"/>
        <v>0.533208703150746</v>
      </c>
      <c r="NT100" s="541">
        <f t="shared" si="393"/>
        <v>0.533208703150746</v>
      </c>
      <c r="NU100" s="541">
        <f t="shared" si="394"/>
        <v>0.754630767996296</v>
      </c>
      <c r="NV100" s="541">
        <f t="shared" si="395"/>
        <v>0.754630767996296</v>
      </c>
      <c r="NW100" s="11">
        <f t="shared" si="396"/>
        <v>0.608446213595784</v>
      </c>
      <c r="NX100" s="11">
        <f>各项系数!$M$9*NK100</f>
        <v>0.154765567040855</v>
      </c>
      <c r="NY100" s="11">
        <f t="shared" si="397"/>
        <v>0.533208703150746</v>
      </c>
    </row>
    <row r="101" s="11" customFormat="1" customHeight="1" spans="1:389">
      <c r="A101" s="81"/>
      <c r="B101" s="82"/>
      <c r="C101" s="83"/>
      <c r="D101" s="74" t="s">
        <v>308</v>
      </c>
      <c r="E101" s="550">
        <f t="shared" si="325"/>
        <v>18.55096059</v>
      </c>
      <c r="F101" s="84">
        <f>$F$21</f>
        <v>165.416818206689</v>
      </c>
      <c r="G101" s="74"/>
      <c r="H101" s="78"/>
      <c r="I101" s="174">
        <f>$F$20</f>
        <v>131.130294998433</v>
      </c>
      <c r="J101" s="78"/>
      <c r="K101" s="78"/>
      <c r="L101" s="128" t="s">
        <v>467</v>
      </c>
      <c r="M101" s="119">
        <f t="shared" si="339"/>
        <v>0.7</v>
      </c>
      <c r="N101" s="119">
        <f t="shared" si="340"/>
        <v>0.7</v>
      </c>
      <c r="O101" s="74">
        <f t="shared" si="493"/>
        <v>0.08</v>
      </c>
      <c r="P101" s="120">
        <v>0.1</v>
      </c>
      <c r="Q101" s="165">
        <f t="shared" si="489"/>
        <v>0.1</v>
      </c>
      <c r="R101" s="182">
        <v>0.8</v>
      </c>
      <c r="S101" s="173" t="str">
        <f>各项系数!$D$43</f>
        <v>钢带</v>
      </c>
      <c r="T101" s="78">
        <v>0.2</v>
      </c>
      <c r="U101" s="78">
        <v>2</v>
      </c>
      <c r="V101" s="172"/>
      <c r="W101" s="174">
        <v>1.8</v>
      </c>
      <c r="X101" s="168">
        <f t="shared" si="490"/>
        <v>0.2</v>
      </c>
      <c r="Y101" s="221"/>
      <c r="Z101" s="222"/>
      <c r="AA101" s="223">
        <f>$AA$21</f>
        <v>1.011</v>
      </c>
      <c r="AB101" s="186">
        <f>PI()*EJ101*EJ101/4*EH101*(1-H101)*AA101*各项系数!$F$5*各项系数!$J$4*10^-7</f>
        <v>0.134531270768238</v>
      </c>
      <c r="AC101" s="224">
        <f t="shared" si="327"/>
        <v>165.416818206689</v>
      </c>
      <c r="AD101" s="186">
        <f t="shared" si="341"/>
        <v>15.2089209566661</v>
      </c>
      <c r="AE101" s="186">
        <f>POWER(4*EU101/PI()/EG101/10^-7/EH101/(1-H101)/各项系数!$F$5/各项系数!$J$4,0.5)</f>
        <v>166.32412244418</v>
      </c>
      <c r="AF101" s="225">
        <f>$AA$20</f>
        <v>1.011</v>
      </c>
      <c r="AG101" s="23">
        <f>IF(EM101=0,0,PI()*ER101*ER101/4*EP101*(1-K101)*(1+AF101)*各项系数!$F$5*各项系数!$J$4*10^-7)</f>
        <v>0.168163179529094</v>
      </c>
      <c r="AH101" s="23">
        <f t="shared" si="328"/>
        <v>131.130294998433</v>
      </c>
      <c r="AI101" s="85">
        <f t="shared" si="398"/>
        <v>9.55751863397041</v>
      </c>
      <c r="AJ101" s="85">
        <f>IF(OR(EP101="",EP101=0),0,POWER(4*EW101/PI()/EO101/10^-7/EP101/(1-K101)/各项系数!$F$5/各项系数!$J$4,0.5))</f>
        <v>131.849539109191</v>
      </c>
      <c r="AK101" s="23">
        <f t="shared" si="342"/>
        <v>0.488135321257431</v>
      </c>
      <c r="AL101" s="23">
        <f t="shared" si="329"/>
        <v>35.2618793666344</v>
      </c>
      <c r="AM101" s="127">
        <f t="shared" si="330"/>
        <v>16</v>
      </c>
      <c r="AN101" s="128" t="s">
        <v>486</v>
      </c>
      <c r="AO101" s="176">
        <f>AP101+各项系数!$M$9*$NK101</f>
        <v>34.5704699672887</v>
      </c>
      <c r="AP101" s="176">
        <f>AQ101*(1+$BI101+(VLOOKUP($AM101,$A$12:$B$323,2,0))+各项系数!$J$6+各项系数!$M$5)*(1+$E$2)</f>
        <v>34.3430478389032</v>
      </c>
      <c r="AQ101" s="262">
        <f>AR101+各项系数!$L$9*$NK101</f>
        <v>35.0439263662277</v>
      </c>
      <c r="AR101" s="262">
        <f>AS101*(1+$BJ101+各项系数!$J$5+各项系数!$L$5)</f>
        <v>34.8165042378423</v>
      </c>
      <c r="AS101" s="262">
        <f t="shared" si="399"/>
        <v>34.1338276841591</v>
      </c>
      <c r="AT101" s="176">
        <f>AU101+各项系数!$M$9*$NM101</f>
        <v>35.5078905901955</v>
      </c>
      <c r="AU101" s="176">
        <f>AV101*(1+$BI101+(VLOOKUP($AM101,$A$12:$B$323,2,0))+各项系数!$J$6+各项系数!$M$5)*(1+$E$2)</f>
        <v>35.28046846181</v>
      </c>
      <c r="AV101" s="262">
        <f>AW101+各项系数!$L$9*$NM101</f>
        <v>36.0004780222551</v>
      </c>
      <c r="AW101" s="262">
        <f>AX101*(1+$BJ101+各项系数!$J$5+各项系数!$L$5)</f>
        <v>35.7730558938697</v>
      </c>
      <c r="AX101" s="262">
        <f t="shared" si="400"/>
        <v>35.0716234253624</v>
      </c>
      <c r="AY101" s="176">
        <f>AZ101+各项系数!$M$9*$NS101</f>
        <v>36.0128158480737</v>
      </c>
      <c r="AZ101" s="176">
        <f>BA101*(1+$BI101+(VLOOKUP($AM101,$A$12:$B$214,2,0))+各项系数!$J$6+各项系数!$M$5)*(1+$E$2)</f>
        <v>35.7790949959505</v>
      </c>
      <c r="BA101" s="262">
        <f>BB101+各项系数!$L$9*$NS101</f>
        <v>36.5092806081127</v>
      </c>
      <c r="BB101" s="262">
        <f>BC101*(1+$BJ101+各项系数!$J$5+各项系数!$L$5)</f>
        <v>36.2755597559895</v>
      </c>
      <c r="BC101" s="262">
        <f t="shared" si="401"/>
        <v>35.564274270578</v>
      </c>
      <c r="BD101" s="176">
        <f>BE101+各项系数!$M$9*$NS101</f>
        <v>36.959190423135</v>
      </c>
      <c r="BE101" s="176">
        <f>BF101*(1+$BI101+(VLOOKUP($AM101,$A$12:$B$214,2,0))+各项系数!$J$6+各项系数!$M$5)*(1+$E$2)</f>
        <v>36.7254695710118</v>
      </c>
      <c r="BF101" s="262">
        <f>BG101+各项系数!$L$9*$NS101</f>
        <v>37.4749689500121</v>
      </c>
      <c r="BG101" s="262">
        <f>BH101*(1+$BJ101+各项系数!$J$5+各项系数!$L$5)</f>
        <v>37.2412480978888</v>
      </c>
      <c r="BH101" s="262">
        <f t="shared" si="402"/>
        <v>36.5110275469499</v>
      </c>
      <c r="BI101" s="278"/>
      <c r="BJ101" s="279"/>
      <c r="BK101" s="95" t="s">
        <v>514</v>
      </c>
      <c r="BL101" s="176">
        <f>BM101+各项系数!$M$9*$NM101</f>
        <v>35.0448325540829</v>
      </c>
      <c r="BM101" s="176">
        <f>BN101*(1+$CF101+(VLOOKUP($AM101,$A$12:$B$323,2,0))+各项系数!$J$6+各项系数!$M$5)*(1+$E$2)</f>
        <v>34.8174104256975</v>
      </c>
      <c r="BN101" s="262">
        <f>BO101+各项系数!$L$9*$NM101</f>
        <v>35.5279698221403</v>
      </c>
      <c r="BO101" s="262">
        <f>BP101*(1+$CG101+各项系数!$J$5+各项系数!$L$5)</f>
        <v>35.3005476937548</v>
      </c>
      <c r="BP101" s="262">
        <f t="shared" si="403"/>
        <v>34.2723764017037</v>
      </c>
      <c r="BQ101" s="176">
        <f>BR101+各项系数!$M$9*$NM101</f>
        <v>35.851592499764</v>
      </c>
      <c r="BR101" s="176">
        <f>BS101*(1+$CF101+(VLOOKUP($AM101,$A$12:$B$323,2,0))+各项系数!$J$6+各项系数!$M$5)*(1+$E$2)</f>
        <v>35.6241703713786</v>
      </c>
      <c r="BS101" s="262">
        <f>BT101+各项系数!$L$9*$NM101</f>
        <v>36.3511942565087</v>
      </c>
      <c r="BT101" s="262">
        <f>BU101*(1+$CG101+各项系数!$J$5+各项系数!$L$5)</f>
        <v>36.1237721281233</v>
      </c>
      <c r="BU101" s="262">
        <f t="shared" si="404"/>
        <v>35.0716234253624</v>
      </c>
      <c r="BV101" s="176">
        <f>BW101+各项系数!$M$9*$NT101</f>
        <v>36.2815843256892</v>
      </c>
      <c r="BW101" s="176">
        <f>BX101*(1+$CF101+(VLOOKUP($AM101,$A$12:$B$214,2,0))+各项系数!$J$6+各项系数!$M$5)*(1+$E$2)</f>
        <v>36.047863473566</v>
      </c>
      <c r="BX101" s="262">
        <f>BY101+各项系数!$L$9*$NT$12</f>
        <v>36.7835341567</v>
      </c>
      <c r="BY101" s="262">
        <f>BZ101*(1+$CG101+各项系数!$J$5+各项系数!$L$5)</f>
        <v>36.775270753545</v>
      </c>
      <c r="BZ101" s="262">
        <f t="shared" si="343"/>
        <v>35.7041463626651</v>
      </c>
      <c r="CA101" s="176">
        <f>CB101+各项系数!$M$9*$NT101</f>
        <v>37.0960501931063</v>
      </c>
      <c r="CB101" s="176">
        <f>CC101*(1+$CF101+(VLOOKUP($AM101,$A$12:$B$214,2,0))+各项系数!$J$6+各项系数!$M$5)*(1+$E$2)</f>
        <v>36.8623293409831</v>
      </c>
      <c r="CC101" s="262">
        <f>CD101+各项系数!$L$9*$NT$12</f>
        <v>37.6146217765133</v>
      </c>
      <c r="CD101" s="262">
        <f>CE101*(1+$CG101+各项系数!$J$5+各项系数!$L$5)</f>
        <v>37.6063583733584</v>
      </c>
      <c r="CE101" s="262">
        <f t="shared" si="405"/>
        <v>36.5110275469499</v>
      </c>
      <c r="CF101" s="278">
        <f t="shared" si="406"/>
        <v>0</v>
      </c>
      <c r="CG101" s="278">
        <f t="shared" si="344"/>
        <v>0.01</v>
      </c>
      <c r="CH101" s="127"/>
      <c r="CI101" s="176">
        <f>CJ101+各项系数!$M$9*$NO101</f>
        <v>36.0693325996462</v>
      </c>
      <c r="CJ101" s="176">
        <f>CK101*(1+$DC101+(VLOOKUP($AM101,$A$12:$B$323,2,0))+各项系数!$J$6+各项系数!$M$5)*(1+$E$2)+各项系数!$M$9*$NK101</f>
        <v>35.7517795993771</v>
      </c>
      <c r="CK101" s="262">
        <f>CL101+各项系数!$L$9*$NO101</f>
        <v>36.2493443581547</v>
      </c>
      <c r="CL101" s="262">
        <f>CM101*(1+$DD101+各项系数!$J$5+各项系数!$L$5)</f>
        <v>35.9317913578857</v>
      </c>
      <c r="CM101" s="262">
        <f t="shared" si="345"/>
        <v>35.2272464292997</v>
      </c>
      <c r="CN101" s="176">
        <f>CO101+各项系数!$M$9*$NO101</f>
        <v>36.8814136405468</v>
      </c>
      <c r="CO101" s="176">
        <f>CP101*(1+$DC101+(VLOOKUP($AM101,$A$12:$B$323,2,0))+各项系数!$J$6+各项系数!$M$5)*(1+$E$2)+各项系数!$M$9*$NK101</f>
        <v>36.5638606402777</v>
      </c>
      <c r="CP101" s="262">
        <f>CQ101+各项系数!$L$9*$NO101</f>
        <v>37.0779984815227</v>
      </c>
      <c r="CQ101" s="262">
        <f>CR101*(1+$DD101+各项系数!$J$5+各项系数!$L$5)</f>
        <v>36.7604454812536</v>
      </c>
      <c r="CR101" s="262">
        <f t="shared" si="346"/>
        <v>36.0396524326016</v>
      </c>
      <c r="CS101" s="176">
        <f>CT101+各项系数!$M$9*$NU101</f>
        <v>37.4283949790601</v>
      </c>
      <c r="CT101" s="176">
        <f t="shared" si="347"/>
        <v>37.1039079752833</v>
      </c>
      <c r="CU101" s="262">
        <f>CV101+各项系数!$L$9*$NU101</f>
        <v>37.8611305870238</v>
      </c>
      <c r="CV101" s="262">
        <f>CW101*(1+$DD101+各项系数!$J$5+各项系数!$L$5)</f>
        <v>37.5366435832469</v>
      </c>
      <c r="CW101" s="262">
        <f t="shared" si="348"/>
        <v>36.8006309639676</v>
      </c>
      <c r="CX101" s="176">
        <f>CY101+各项系数!$M$9*$NU101</f>
        <v>38.4596082507855</v>
      </c>
      <c r="CY101" s="176">
        <f t="shared" si="349"/>
        <v>38.1351212470087</v>
      </c>
      <c r="CZ101" s="262">
        <f>DA101+各项系数!$L$9*$NU101</f>
        <v>38.9133890275599</v>
      </c>
      <c r="DA101" s="262">
        <f>DB101*(1+$DD101+各项系数!$J$5+各项系数!$L$5)</f>
        <v>38.588902023783</v>
      </c>
      <c r="DB101" s="262">
        <f t="shared" si="350"/>
        <v>37.8322568860618</v>
      </c>
      <c r="DC101" s="278">
        <f t="shared" ref="DC101:DC126" si="498">BI101+$DC$2</f>
        <v>0</v>
      </c>
      <c r="DD101" s="278">
        <f t="shared" si="351"/>
        <v>0</v>
      </c>
      <c r="DE101" s="95" t="s">
        <v>498</v>
      </c>
      <c r="DF101" s="95" t="s">
        <v>513</v>
      </c>
      <c r="DG101" s="176">
        <f>DH101+各项系数!$M$9*$NQ101</f>
        <v>36.5670675302866</v>
      </c>
      <c r="DH101" s="176">
        <f>DI101*(1+$EA101+(VLOOKUP($AM101,$A$12:$B$323,2,0))+各项系数!$J$6+各项系数!$M$5)*(1+$E$2)+各项系数!$M$9*$NK101</f>
        <v>36.2495145300175</v>
      </c>
      <c r="DI101" s="262">
        <f>DJ101+各项系数!$L$9*$NQ101</f>
        <v>36.7572371445225</v>
      </c>
      <c r="DJ101" s="262">
        <f>DK101*(1+$EB101+各项系数!$J$5+各项系数!$L$5)</f>
        <v>36.4396841442534</v>
      </c>
      <c r="DK101" s="262">
        <f t="shared" si="352"/>
        <v>35.3783341206344</v>
      </c>
      <c r="DL101" s="176">
        <f>DM101+各项系数!$M$9*$NQ101</f>
        <v>37.4468410844161</v>
      </c>
      <c r="DM101" s="176">
        <f>DN101*(1+$EA101+(VLOOKUP($AM101,$A$12:$B$323,2,0))+各项系数!$J$6+各项系数!$M$5)*(1+$E$2)+各项系数!$M$9*$NK101</f>
        <v>37.129288084147</v>
      </c>
      <c r="DN101" s="262">
        <f>DO101+各项系数!$L$9*$NQ101</f>
        <v>37.6549652609812</v>
      </c>
      <c r="DO101" s="262">
        <f>DP101*(1+$EB101+各项系数!$J$5+各项系数!$L$5)</f>
        <v>37.3374122607121</v>
      </c>
      <c r="DP101" s="262">
        <f t="shared" si="353"/>
        <v>36.2499148162253</v>
      </c>
      <c r="DQ101" s="176">
        <f>DR101+各项系数!$M$9*$NV101</f>
        <v>37.9428848924035</v>
      </c>
      <c r="DR101" s="176">
        <f t="shared" si="354"/>
        <v>37.6183978886267</v>
      </c>
      <c r="DS101" s="262">
        <f>DT101+各项系数!$L$9*$NV101</f>
        <v>38.386120294517</v>
      </c>
      <c r="DT101" s="262">
        <f>DU101*(1+$EB101+各项系数!$J$5+各项系数!$L$5)</f>
        <v>38.0616332907402</v>
      </c>
      <c r="DU101" s="262">
        <f t="shared" si="355"/>
        <v>36.9530420298448</v>
      </c>
      <c r="DV101" s="176">
        <f>DW101+各项系数!$M$9*$NV101</f>
        <v>38.2095879714325</v>
      </c>
      <c r="DW101" s="176">
        <f t="shared" si="356"/>
        <v>37.8851009676556</v>
      </c>
      <c r="DX101" s="262">
        <f>DY101+各项系数!$L$9*$NV101</f>
        <v>38.6582662935261</v>
      </c>
      <c r="DY101" s="262">
        <f>DZ101*(1+$EB101+各项系数!$J$5+各项系数!$L$5)</f>
        <v>38.3337792897493</v>
      </c>
      <c r="DZ101" s="262">
        <f t="shared" si="357"/>
        <v>37.2172614463586</v>
      </c>
      <c r="EA101" s="278">
        <f t="shared" si="492"/>
        <v>0</v>
      </c>
      <c r="EB101" s="278">
        <f t="shared" si="358"/>
        <v>0.01</v>
      </c>
      <c r="EC101" s="302" t="str">
        <f t="shared" si="408"/>
        <v>3+1</v>
      </c>
      <c r="ED101" s="304" t="str">
        <f t="shared" si="494"/>
        <v>3*16</v>
      </c>
      <c r="EE101" s="95">
        <f t="shared" si="495"/>
        <v>16</v>
      </c>
      <c r="EF101" s="95" t="str">
        <f>LOOKUP(EH101,{1,7,10,14,19,24,30,37,48,61},{1,"1+6","2+8","4+10","1+6+12","2+8+14","4+10+16","1+6+12+18","3+9+15+21","1+6+12+18+24"})</f>
        <v>1+6</v>
      </c>
      <c r="EG101" s="127">
        <f t="shared" si="359"/>
        <v>3</v>
      </c>
      <c r="EH101" s="262">
        <f>VLOOKUP(EE101,各项系数!$B$87:$C$124,2,0)</f>
        <v>7</v>
      </c>
      <c r="EI101" s="127">
        <f>IF(EH101=0,0,VLOOKUP(EH101,各项系数!$D$142:$E$195,2,0))*1</f>
        <v>3</v>
      </c>
      <c r="EJ101" s="307">
        <f t="shared" si="409"/>
        <v>165.416818206689</v>
      </c>
      <c r="EK101" s="95" t="str">
        <f t="shared" si="332"/>
        <v>1*10</v>
      </c>
      <c r="EL101" s="95" t="str">
        <f t="shared" si="360"/>
        <v>10</v>
      </c>
      <c r="EM101" s="95">
        <f t="shared" si="496"/>
        <v>10</v>
      </c>
      <c r="EN101" s="95" t="str">
        <f>IF(EP101=0,0,LOOKUP(EP101,{1,7,10,14,19,24,30,37,48,61},{1,"1+6","2+8","4+10","1+6+12","2+8+14","4+10+16","1+6+12+18","3+9+15+21","1+6+12+18+24"}))</f>
        <v>1+6</v>
      </c>
      <c r="EO101" s="95" t="str">
        <f t="shared" si="334"/>
        <v>1</v>
      </c>
      <c r="EP101" s="95">
        <f>IF(EM101=0,0,IF(EM101&lt;10,1,IF(AND(EM101&gt;=10,EM101&lt;=35),7,LOOKUP(EM101,{50,70,95,120,150,185,240,300},{10,14,19,24,30,37,48,61})*1)))</f>
        <v>7</v>
      </c>
      <c r="EQ101" s="95">
        <f>IF(EP101=0,0,VLOOKUP(EP101,各项系数!$D$142:$E$195,2,0))*1</f>
        <v>3</v>
      </c>
      <c r="ER101" s="95">
        <f t="shared" si="335"/>
        <v>131.130294998433</v>
      </c>
      <c r="ES101" s="304">
        <f t="shared" si="497"/>
        <v>4</v>
      </c>
      <c r="ET101" s="95">
        <f>VLOOKUP(ES101,各项系数!$D$142:$E$195,2,0)*1</f>
        <v>2.42</v>
      </c>
      <c r="EU101" s="311">
        <f>((各项系数!$F$76/4*$EJ101^2*$EG101*$EH101*1*10^-7)*(1-$H101)*AA101)*(VLOOKUP($EY$9,各项系数!$D$4:$F$143,3,0))*各项系数!$J$4</f>
        <v>0.403593812304714</v>
      </c>
      <c r="EV101" s="312">
        <f>EU101*(VLOOKUP($EY$9,各项系数!$D$4:$F$143,2,0))</f>
        <v>26.4353947059588</v>
      </c>
      <c r="EW101" s="324">
        <f>(IF($EO101=0,0,(各项系数!$F$76/4*$ER101^2*$EO101*$EP101*1*10^-7))*(1-$K101)*$AF101)*(VLOOKUP($EY$9,各项系数!$D$4:$F$143,3,0))*各项系数!$J$4</f>
        <v>0.084541508952717</v>
      </c>
      <c r="EX101" s="325">
        <f>EW101*(VLOOKUP($EY$9,各项系数!$D$4:$F$143,2,0))</f>
        <v>5.53746883640296</v>
      </c>
      <c r="EY101" s="251">
        <f>((各项系数!$F$76/4*$EJ101^2*$EG101*$EH101*1*10^-7)*(1-$H101)*AA101+IF($EO101=0,0,(各项系数!$F$76/4*$ER101^2*$EO101*$EP101*1*10^-7))*(1-$K101)*$AF101)*(VLOOKUP($EY$9,各项系数!$D$4:$F$143,3,0))*各项系数!$J$4</f>
        <v>0.488135321257431</v>
      </c>
      <c r="EZ101" s="127">
        <v>1</v>
      </c>
      <c r="FA101" s="95">
        <f t="shared" si="445"/>
        <v>0.488135321257431</v>
      </c>
      <c r="FB101" s="314">
        <f>FA101*(VLOOKUP($EY$9,各项系数!$D$4:$F$143,2,0))</f>
        <v>31.9728635423617</v>
      </c>
      <c r="FC101" s="329"/>
      <c r="FD101" s="304">
        <f>各项系数!$F$76/4*($MN101^2-MK101^2)*10^-2*(VLOOKUP(L101,各项系数!$D$1:$F$143,3,0))*10^-3*10^2*$EG101*各项系数!$J$4</f>
        <v>0.0408877767385716</v>
      </c>
      <c r="FE101" s="341">
        <f>FD101*VLOOKUP(L101,各项系数!$D$1:$F$143,2,0)</f>
        <v>0.417055322733431</v>
      </c>
      <c r="FF101" s="127">
        <f>各项系数!$F$76/4*($MO101^2-ML101^2)*10^-2*(VLOOKUP(L101,各项系数!$D$1:$F$143,3,0))*10^-3*10^2*$EO101*各项系数!$J$4</f>
        <v>0.0111534998392544</v>
      </c>
      <c r="FG101" s="341">
        <f>FF101*VLOOKUP(L101,各项系数!$D$1:$F$143,2,0)</f>
        <v>0.113765698360395</v>
      </c>
      <c r="FH101" s="304">
        <f t="shared" si="410"/>
        <v>0.052041276577826</v>
      </c>
      <c r="FI101" s="127">
        <v>1</v>
      </c>
      <c r="FJ101" s="95">
        <f t="shared" si="446"/>
        <v>0.052041276577826</v>
      </c>
      <c r="FK101" s="341">
        <f>FJ101*VLOOKUP(L101,各项系数!$D$1:$F$143,2,0)</f>
        <v>0.530821021093826</v>
      </c>
      <c r="FL101" s="304"/>
      <c r="FM101" s="127"/>
      <c r="FN101" s="95"/>
      <c r="FO101" s="341"/>
      <c r="FP101" s="371">
        <f t="shared" si="447"/>
        <v>0.052041276577826</v>
      </c>
      <c r="FQ101" s="371">
        <f t="shared" si="448"/>
        <v>0.530821021093826</v>
      </c>
      <c r="FR101" s="365">
        <f>各项系数!$F$76/4*($MQ101^2-$MN101^2*$EG101-$MO101^2*$EO101)*10^-2</f>
        <v>0.537247566951707</v>
      </c>
      <c r="FS101" s="366">
        <f t="shared" si="411"/>
        <v>1</v>
      </c>
      <c r="FT101" s="367">
        <f t="shared" si="361"/>
        <v>0.537247566951707</v>
      </c>
      <c r="FU101" s="395">
        <f>$FT101*(VLOOKUP($FT$9,各项系数!$D$1:$F$143,3,0))*10^-3*10^2*各项系数!$J$55</f>
        <v>0.0641473594940338</v>
      </c>
      <c r="FV101" s="396">
        <v>1</v>
      </c>
      <c r="FW101" s="397">
        <f t="shared" si="449"/>
        <v>0.0641473594940338</v>
      </c>
      <c r="FX101" s="372">
        <f>FW101*(VLOOKUP($FT$9,各项系数!$D$1:$F$143,2,0))</f>
        <v>0.192442078482101</v>
      </c>
      <c r="FY101" s="395">
        <f>IF($BK101&lt;&gt;$FY$9,0,各项系数!$F$76/4*($MS101^2-$MQ101^2)*10^-2*(VLOOKUP($FY$9,各项系数!$D$1:$F$143,3,0))*10^-3*10^2)*各项系数!$J$4</f>
        <v>0</v>
      </c>
      <c r="FZ101" s="396">
        <v>1</v>
      </c>
      <c r="GA101" s="397">
        <f t="shared" si="450"/>
        <v>0</v>
      </c>
      <c r="GB101" s="372">
        <f>GA101*(VLOOKUP($FY$9,各项系数!$D$1:$F$143,2,0))</f>
        <v>0</v>
      </c>
      <c r="GC101" s="395">
        <f>IF($BK101&lt;&gt;$GC$9,0,各项系数!$F$76/4*($MS101^2-$MQ101^2)*10^-2*(VLOOKUP($GC$9,各项系数!$D$1:$F$143,3,0))*10^-3*10^2)*各项系数!$J$4</f>
        <v>0.00404758657173434</v>
      </c>
      <c r="GD101" s="396">
        <v>1</v>
      </c>
      <c r="GE101" s="397">
        <f t="shared" si="451"/>
        <v>0.00404758657173434</v>
      </c>
      <c r="GF101" s="372">
        <f>GE101*(VLOOKUP($GC$9,各项系数!$D$1:$F$143,2,0))</f>
        <v>0.052213866775373</v>
      </c>
      <c r="GG101" s="395">
        <f>IF($BK101&lt;&gt;$GG$9,0,各项系数!$F$76/4*($MS101^2-$MQ101^2)*10^-2*(VLOOKUP($GG$9,各项系数!$D$1:$F$143,3,0))*10^-3*10^2)*各项系数!$J$4</f>
        <v>0</v>
      </c>
      <c r="GH101" s="396">
        <v>1</v>
      </c>
      <c r="GI101" s="397">
        <f t="shared" si="452"/>
        <v>0</v>
      </c>
      <c r="GJ101" s="372">
        <f>GI101*(VLOOKUP($GG$9,各项系数!$D$1:$F$143,2,0))</f>
        <v>0</v>
      </c>
      <c r="GK101" s="395">
        <f>IF($BK101&lt;&gt;$GK$9,0,各项系数!$F$76/4*($MS101^2-$MQ101^2)*10^-2*(VLOOKUP($GK$9,各项系数!$D$1:$F$143,3,0))*10^-3*10^2)*各项系数!$J$4</f>
        <v>0</v>
      </c>
      <c r="GL101" s="396">
        <v>1</v>
      </c>
      <c r="GM101" s="397">
        <f t="shared" si="453"/>
        <v>0</v>
      </c>
      <c r="GN101" s="372">
        <f>GM101*(VLOOKUP($GK$9,各项系数!$D$1:$F$143,2,0))</f>
        <v>0</v>
      </c>
      <c r="GO101" s="397">
        <f t="shared" si="454"/>
        <v>0.00404758657173434</v>
      </c>
      <c r="GP101" s="397">
        <f t="shared" si="455"/>
        <v>0.052213866775373</v>
      </c>
      <c r="GQ101" s="408">
        <f>各项系数!$F$76/4*($MU101^2-$MS101^2)*10^-2*(VLOOKUP($S101,各项系数!$D$1:$F$143,3,0))*10^-3*10^2*各项系数!$J$4</f>
        <v>0.111840257942425</v>
      </c>
      <c r="GR101" s="396">
        <v>1</v>
      </c>
      <c r="GS101" s="397">
        <f t="shared" si="456"/>
        <v>0.111840257942425</v>
      </c>
      <c r="GT101" s="397">
        <f t="shared" si="457"/>
        <v>0</v>
      </c>
      <c r="GU101" s="397">
        <f>ROUND($GS101*(VLOOKUP($S101,各项系数!$D$1:$F$143,2,0))+$E$3*GS101,GT101)</f>
        <v>1</v>
      </c>
      <c r="GV101" s="406">
        <f>各项系数!$F$76/4*($MT101^2-$MS101^2)*10^-2*(VLOOKUP($GV$9,各项系数!$D$1:$F$143,3,0))*10^-3*10^2*各项系数!$J$4*PI()/4*R101</f>
        <v>0.0209957457925025</v>
      </c>
      <c r="GW101" s="396">
        <v>1</v>
      </c>
      <c r="GX101" s="397">
        <f t="shared" si="458"/>
        <v>0.0209957457925025</v>
      </c>
      <c r="GY101" s="397">
        <f>$GX101*(VLOOKUP($GV$9,各项系数!$D$1:$F$143,2,0))</f>
        <v>1.41721284099392</v>
      </c>
      <c r="GZ101" s="408">
        <f>各项系数!$F$76/4*($MV101^2-$MS101^2)*10^-2*(VLOOKUP($GZ$9,各项系数!$D$1:$F$143,3,0))*10^-3*10^2*各项系数!$J$4</f>
        <v>0.136663700979375</v>
      </c>
      <c r="HA101" s="396">
        <v>1</v>
      </c>
      <c r="HB101" s="397">
        <f t="shared" si="412"/>
        <v>0.136663700979375</v>
      </c>
      <c r="HC101" s="397">
        <f>HB101*(VLOOKUP($GZ$9,各项系数!$D$1:$F$143,2,0))</f>
        <v>2.32328291664937</v>
      </c>
      <c r="HD101" s="408">
        <f>各项系数!$F$76/4*($MW101^2-$MT101^2)*10^-2*(VLOOKUP($HD$9,各项系数!$D$1:$F$143,3,0))*10^-3*10^2*各项系数!$J$4</f>
        <v>0.137969070426053</v>
      </c>
      <c r="HE101" s="396">
        <v>1</v>
      </c>
      <c r="HF101" s="397">
        <f t="shared" si="413"/>
        <v>0.137969070426053</v>
      </c>
      <c r="HG101" s="397">
        <f>HF101*(VLOOKUP($HD$9,各项系数!$D$1:$F$143,2,0))</f>
        <v>2.34547419724291</v>
      </c>
      <c r="HH101" s="408">
        <f>各项系数!$F$76/4*($MV101^2-$MS101^2)*10^-2*(VLOOKUP($HH$9,各项系数!$D$1:$F$143,3,0))*10^-3*10^2*各项系数!$J$4</f>
        <v>0.136663700979375</v>
      </c>
      <c r="HI101" s="397">
        <v>1</v>
      </c>
      <c r="HJ101" s="397">
        <f t="shared" si="414"/>
        <v>0.136663700979375</v>
      </c>
      <c r="HK101" s="397">
        <f>HJ101*(VLOOKUP($HH$9,各项系数!$D$1:$F$143,2,0))</f>
        <v>2.32328291664937</v>
      </c>
      <c r="HL101" s="408">
        <f>各项系数!$F$76/4*($MW101^2-$MT101^2)*10^-2*(VLOOKUP($HL$9,各项系数!$D$1:$F$143,3,0))*10^-3*10^2*各项系数!$J$4</f>
        <v>0.137969070426053</v>
      </c>
      <c r="HM101" s="397">
        <v>1</v>
      </c>
      <c r="HN101" s="397">
        <f t="shared" si="362"/>
        <v>0.137969070426053</v>
      </c>
      <c r="HO101" s="397">
        <f>HN101*(VLOOKUP($HL$9,各项系数!$D$1:$F$143,2,0))</f>
        <v>2.34547419724291</v>
      </c>
      <c r="HP101" s="408">
        <f>各项系数!$F$76/4*($MV101^2-$MS101^2)*10^-2*(VLOOKUP(AN101,各项系数!$D$1:$F$143,3,0))*10^-3*10^2*各项系数!$J$4</f>
        <v>0.138548717544608</v>
      </c>
      <c r="HQ101" s="396">
        <v>1</v>
      </c>
      <c r="HR101" s="397">
        <f t="shared" si="459"/>
        <v>0.138548717544608</v>
      </c>
      <c r="HS101" s="397">
        <f>HR101*(VLOOKUP(AN101,各项系数!$D$1:$F$143,2,0))</f>
        <v>1.38548717544608</v>
      </c>
      <c r="HT101" s="408">
        <f>各项系数!$F$76/4*($MW101^2-$MT101^2)*10^-2*(VLOOKUP(AN101,各项系数!$D$1:$F$143,3,0))*10^-3*10^2*各项系数!$J$4</f>
        <v>0.139872092087102</v>
      </c>
      <c r="HU101" s="396">
        <v>1</v>
      </c>
      <c r="HV101" s="397">
        <f t="shared" si="460"/>
        <v>0.139872092087102</v>
      </c>
      <c r="HW101" s="397">
        <f>HV101*(VLOOKUP(AN101,各项系数!$D$1:$F$143,2,0))</f>
        <v>1.39872092087102</v>
      </c>
      <c r="HX101" s="408">
        <f>各项系数!$F$76/4*($MV101^2-$MS101^2)*10^-2*(VLOOKUP($HX$9,各项系数!$D$1:$F$143,3,0))*10^-3*10^2*各项系数!$J$4</f>
        <v>0.138548717544608</v>
      </c>
      <c r="HY101" s="397">
        <v>1</v>
      </c>
      <c r="HZ101" s="397">
        <f t="shared" si="461"/>
        <v>0.138548717544608</v>
      </c>
      <c r="IA101" s="397">
        <f>HZ101*(VLOOKUP($HX$9,各项系数!$D$1:$F$143,2,0))</f>
        <v>1.52403589299068</v>
      </c>
      <c r="IB101" s="408">
        <f>各项系数!$F$76/4*($MW101^2-$MT101^2)*10^-2*(VLOOKUP($IB$9,各项系数!$D$1:$F$143,3,0))*10^-3*10^2*各项系数!$J$4</f>
        <v>0.139872092087102</v>
      </c>
      <c r="IC101" s="397">
        <v>1</v>
      </c>
      <c r="ID101" s="397">
        <f t="shared" si="462"/>
        <v>0.139872092087102</v>
      </c>
      <c r="IE101" s="397">
        <f>ID101*(VLOOKUP($IB$9,各项系数!$D$1:$F$143,2,0))</f>
        <v>1.53859301295813</v>
      </c>
      <c r="IF101" s="395"/>
      <c r="IG101" s="408">
        <f t="shared" si="415"/>
        <v>0.0281630960892958</v>
      </c>
      <c r="IH101" s="396">
        <v>1</v>
      </c>
      <c r="II101" s="397">
        <f t="shared" si="463"/>
        <v>0.0281630960892958</v>
      </c>
      <c r="IJ101" s="397">
        <f>II101*(VLOOKUP($IG$8,各项系数!$D$1:$F$143,2,0))</f>
        <v>0.704077402232395</v>
      </c>
      <c r="IK101" s="408">
        <f>(各项系数!$F$76/4*($MX101^2-$MK101^2)*$EG101)*10^-2*(VLOOKUP($IG$8,各项系数!$D$1:$F$143,3,0))*10^-3*10^2*各项系数!$J$4</f>
        <v>0.0222074762053525</v>
      </c>
      <c r="IL101" s="396">
        <f>IK101*(VLOOKUP($IG$8,各项系数!$D$1:$F$143,2,0))</f>
        <v>0.555186905133813</v>
      </c>
      <c r="IM101" s="397">
        <f>(各项系数!$F$76/4*(($MM101+3*$X101)^2-MM101^2)*$EO101)*10^-2*(VLOOKUP($IG$8,各项系数!$D$1:$F$143,3,0))*10^-3*10^2*各项系数!$J$4</f>
        <v>0.00595561988394329</v>
      </c>
      <c r="IN101" s="396">
        <f>IM101*(VLOOKUP($IG$8,各项系数!$D$1:$F$143,2,0))</f>
        <v>0.148890497098582</v>
      </c>
      <c r="IO101" s="408">
        <f>各项系数!$F$76/4*($MZ101^2-$MX101^2)*10^-2*(VLOOKUP(L101,各项系数!$D$1:$F$143,3,0))*10^-3*10^2*$ES101*各项系数!$J$4</f>
        <v>0.0602936705591437</v>
      </c>
      <c r="IP101" s="396">
        <v>1</v>
      </c>
      <c r="IQ101" s="397">
        <f t="shared" si="464"/>
        <v>0.0602936705591437</v>
      </c>
      <c r="IR101" s="372">
        <f>IQ101*(VLOOKUP(L101,各项系数!$D$1:$F$143,2,0))</f>
        <v>0.614995439703266</v>
      </c>
      <c r="IS101" s="408">
        <f>IF($L101&lt;&gt;$IS$9,0,各项系数!$F$76/4*($MZ101^2-$MX101^2)*10^-2*各项系数!$F$12*10^-3*10^2)*$ES101*各项系数!$J$4</f>
        <v>0</v>
      </c>
      <c r="IT101" s="396">
        <v>1</v>
      </c>
      <c r="IU101" s="397">
        <f t="shared" si="465"/>
        <v>0</v>
      </c>
      <c r="IV101" s="372">
        <f>IU101*各项系数!$E$12</f>
        <v>0</v>
      </c>
      <c r="IW101" s="395">
        <f t="shared" si="466"/>
        <v>0.0602936705591437</v>
      </c>
      <c r="IX101" s="395">
        <f t="shared" si="467"/>
        <v>0.614995439703266</v>
      </c>
      <c r="IY101" s="447">
        <f>各项系数!$F$76/4*($NB101^2-$MZ101^2*$EG101-$NA101^2*$EO101)*10^-2</f>
        <v>0.6493166795459</v>
      </c>
      <c r="IZ101" s="366">
        <f t="shared" si="487"/>
        <v>1</v>
      </c>
      <c r="JA101" s="367">
        <f t="shared" si="363"/>
        <v>0.6493166795459</v>
      </c>
      <c r="JB101" s="371">
        <f>IF($DE101&lt;&gt;$JB$9,0,$JA101*各项系数!$F$32*10^-3*10^2)*各项系数!$J$4</f>
        <v>0</v>
      </c>
      <c r="JC101" s="127">
        <v>1</v>
      </c>
      <c r="JD101" s="95">
        <f t="shared" si="468"/>
        <v>0</v>
      </c>
      <c r="JE101" s="341">
        <f>JD101*各项系数!$E$32</f>
        <v>0</v>
      </c>
      <c r="JF101" s="364">
        <f>IF($DE101&lt;&gt;$JF$9,0,$JA101*VLOOKUP($JF$9,各项系数!$D$4:$F$540,2,0)*10^-3*10^2)*各项系数!$J$4</f>
        <v>0.323035048074085</v>
      </c>
      <c r="JG101" s="123">
        <v>1</v>
      </c>
      <c r="JH101" s="251">
        <f t="shared" si="364"/>
        <v>0.323035048074085</v>
      </c>
      <c r="JI101" s="339">
        <f>JH101*VLOOKUP($JF$9,各项系数!$D$4:$F$540,3,0)</f>
        <v>0.387642057688902</v>
      </c>
      <c r="JJ101" s="371">
        <f t="shared" si="469"/>
        <v>0.323035048074085</v>
      </c>
      <c r="JK101" s="95">
        <f t="shared" si="470"/>
        <v>0.387642057688902</v>
      </c>
      <c r="JL101" s="371">
        <f>IF($DF101&lt;&gt;$JL$9,0,各项系数!$F$76/4*($NE101^2-$NC101^2)*10^-2*各项系数!$F$39*10^-3*10^2)*各项系数!$J$4</f>
        <v>0.00183955369829671</v>
      </c>
      <c r="JM101" s="127">
        <v>1</v>
      </c>
      <c r="JN101" s="95">
        <f t="shared" si="471"/>
        <v>0.00183955369829671</v>
      </c>
      <c r="JO101" s="341">
        <f>JN101*各项系数!$E$39</f>
        <v>0.0367910739659341</v>
      </c>
      <c r="JP101" s="371">
        <f>IF($DF101&lt;&gt;$JP$9,0,各项系数!$F$76/4*($NE101^2-$NC101^2)*10^-2*各项系数!$F$36*10^-3*10^2)*各项系数!$J$4</f>
        <v>0</v>
      </c>
      <c r="JQ101" s="127">
        <v>1</v>
      </c>
      <c r="JR101" s="95">
        <f t="shared" si="472"/>
        <v>0</v>
      </c>
      <c r="JS101" s="341">
        <f>JR101*各项系数!$E$36</f>
        <v>0</v>
      </c>
      <c r="JT101" s="371">
        <f>IF($DF101&lt;&gt;$JT$9,0,各项系数!$F$76/4*($NE101^2-$NC101^2)*10^-2*各项系数!$F$40*10^-3*10^2)*各项系数!$J$4</f>
        <v>0</v>
      </c>
      <c r="JU101" s="127">
        <v>1</v>
      </c>
      <c r="JV101" s="95">
        <f t="shared" si="473"/>
        <v>0</v>
      </c>
      <c r="JW101" s="341">
        <f>JV101*各项系数!$E$40</f>
        <v>0</v>
      </c>
      <c r="JX101" s="371">
        <f>IF($DF101&lt;&gt;$JX$9,0,各项系数!$F$76/4*($NE101^2-$NC101^2)*10^-2*各项系数!$F$38*10^-3*10^2)*各项系数!$J$4</f>
        <v>0</v>
      </c>
      <c r="JY101" s="127">
        <v>1</v>
      </c>
      <c r="JZ101" s="95">
        <f t="shared" si="474"/>
        <v>0</v>
      </c>
      <c r="KA101" s="341">
        <f>JZ101*各项系数!$E$38</f>
        <v>0</v>
      </c>
      <c r="KB101" s="371">
        <f>IF($DF101&lt;&gt;$KB$9,0,各项系数!$F$76/4*($NE101^2-$NC101^2)*10^-2*各项系数!$F$41*10^-3*10^2)*各项系数!$J$4</f>
        <v>0</v>
      </c>
      <c r="KC101" s="127">
        <v>1</v>
      </c>
      <c r="KD101" s="95">
        <f t="shared" si="475"/>
        <v>0</v>
      </c>
      <c r="KE101" s="341">
        <f>KD101*各项系数!$E$41</f>
        <v>0</v>
      </c>
      <c r="KF101" s="95">
        <f t="shared" si="476"/>
        <v>0.00183955369829671</v>
      </c>
      <c r="KG101" s="95">
        <f t="shared" si="477"/>
        <v>0.0367910739659341</v>
      </c>
      <c r="KH101" s="304">
        <f>各项系数!$F$76/4*($NG101^2-$NE101^2)*10^-2*各项系数!$F$44*10^-3*10^2*各项系数!$J$4*0.75*$U101</f>
        <v>0.184436369063106</v>
      </c>
      <c r="KI101" s="127">
        <v>1</v>
      </c>
      <c r="KJ101" s="95">
        <f t="shared" si="478"/>
        <v>0.184436369063106</v>
      </c>
      <c r="KK101" s="95">
        <f>ROUND(KJ101*各项系数!$E$43,GT101)</f>
        <v>1</v>
      </c>
      <c r="KL101" s="302">
        <f>各项系数!$F$76/4*($NF101^2-$NE101^2)*10^-2*各项系数!$F$46*10^-3*10^2*各项系数!$J$4*PI()/4*R101</f>
        <v>0.0231133450258217</v>
      </c>
      <c r="KM101" s="127">
        <v>1</v>
      </c>
      <c r="KN101" s="95">
        <f t="shared" si="479"/>
        <v>0.0231133450258217</v>
      </c>
      <c r="KO101" s="95">
        <f>KN101*各项系数!$E$46</f>
        <v>1.56015078924296</v>
      </c>
      <c r="KP101" s="304">
        <f>各项系数!$F$76/4*($NH101^2-$NE101^2)*10^-2*(VLOOKUP($KP$9,各项系数!$D$1:$F$143,3,0))*10^-3*10^2*各项系数!$J$4</f>
        <v>0.149032076486653</v>
      </c>
      <c r="KQ101" s="127">
        <v>1</v>
      </c>
      <c r="KR101" s="95">
        <f t="shared" si="416"/>
        <v>0.149032076486653</v>
      </c>
      <c r="KS101" s="95">
        <f>KR101*(VLOOKUP($KP$9,各项系数!$D$1:$F$143,2,0))</f>
        <v>2.5335453002731</v>
      </c>
      <c r="KT101" s="304">
        <f>各项系数!$F$76/4*($NI101^2-$NF101^2)*10^-2*(VLOOKUP($KT$9,各项系数!$D$1:$F$143,3,0))*10^-3*10^2*各项系数!$J$4</f>
        <v>0.150337445933331</v>
      </c>
      <c r="KU101" s="127">
        <v>1</v>
      </c>
      <c r="KV101" s="95">
        <f t="shared" si="417"/>
        <v>0.150337445933331</v>
      </c>
      <c r="KW101" s="95">
        <f>KV101*(VLOOKUP($KT$9,各项系数!$D$1:$F$143,2,0))</f>
        <v>2.55573658086663</v>
      </c>
      <c r="KX101" s="95">
        <f>各项系数!$F$76/4*($NH101^2-$NE101^2)*10^-2*(VLOOKUP($KX$9,各项系数!$D$1:$F$143,3,0))*10^-3*10^2*各项系数!$J$4</f>
        <v>0.149032076486653</v>
      </c>
      <c r="KY101" s="481">
        <v>1</v>
      </c>
      <c r="KZ101" s="95">
        <f t="shared" si="418"/>
        <v>0.149032076486653</v>
      </c>
      <c r="LA101" s="95">
        <f>KZ101*(VLOOKUP($KX$9,各项系数!$D$1:$F$143,2,0))</f>
        <v>2.5335453002731</v>
      </c>
      <c r="LB101" s="95">
        <f>各项系数!$F$76/4*($NI101^2-$NF101^2)*10^-2*(VLOOKUP($LB$9,各项系数!$D$1:$F$143,3,0))*10^-3*10^2*各项系数!$J$4</f>
        <v>0.150337445933331</v>
      </c>
      <c r="LC101" s="481">
        <v>1</v>
      </c>
      <c r="LD101" s="95">
        <f t="shared" si="419"/>
        <v>0.150337445933331</v>
      </c>
      <c r="LE101" s="95">
        <f>LD101*(VLOOKUP($LB$9,各项系数!$D$1:$F$143,2,0))</f>
        <v>2.55573658086663</v>
      </c>
      <c r="LF101" s="304">
        <f>各项系数!$F$76/4*($NH101^2-$NE101^2)*10^-2*(VLOOKUP(AN101,各项系数!$D$1:$F$143,3,0))*10^-3*10^2*各项系数!$J$4</f>
        <v>0.151087691334745</v>
      </c>
      <c r="LG101" s="127">
        <v>1</v>
      </c>
      <c r="LH101" s="95">
        <f t="shared" si="480"/>
        <v>0.151087691334745</v>
      </c>
      <c r="LI101" s="95">
        <f>LH101*(VLOOKUP(AN101,各项系数!$D$1:$F$143,2,0))</f>
        <v>1.51087691334745</v>
      </c>
      <c r="LJ101" s="304">
        <f>各项系数!$F$76/4*($NI101^2-$NF101^2)*10^-2*(VLOOKUP(AN101,各项系数!$D$1:$F$143,3,0))*10^-3*10^2*各项系数!$J$4</f>
        <v>0.152411065877239</v>
      </c>
      <c r="LK101" s="127">
        <v>1</v>
      </c>
      <c r="LL101" s="95">
        <f t="shared" si="481"/>
        <v>0.152411065877239</v>
      </c>
      <c r="LM101" s="95">
        <f>LL101*(VLOOKUP(AN101,各项系数!$D$1:$F$143,2,0))</f>
        <v>1.52411065877239</v>
      </c>
      <c r="LN101" s="95">
        <f>各项系数!$F$76/4*($NH101^2-$NE101^2)*10^-2*(VLOOKUP($LN$9,各项系数!$D$1:$F$143,3,0))*10^-3*10^2*各项系数!$J$4</f>
        <v>0.151087691334745</v>
      </c>
      <c r="LO101" s="481">
        <v>1</v>
      </c>
      <c r="LP101" s="95">
        <f t="shared" si="482"/>
        <v>0.151087691334745</v>
      </c>
      <c r="LQ101" s="95">
        <f>LP101*(VLOOKUP($LN$9,各项系数!$D$1:$F$143,2,0))</f>
        <v>1.66196460468219</v>
      </c>
      <c r="LR101" s="95">
        <f>各项系数!$F$76/4*($NI101^2-$NF101^2)*10^-2*(VLOOKUP($LR$9,各项系数!$D$1:$F$143,3,0))*10^-3*10^2*各项系数!$J$4</f>
        <v>0.152411065877239</v>
      </c>
      <c r="LS101" s="481">
        <v>1</v>
      </c>
      <c r="LT101" s="95">
        <f t="shared" si="483"/>
        <v>0.152411065877239</v>
      </c>
      <c r="LU101" s="95">
        <f>LT101*(VLOOKUP($LR$9,各项系数!$D$1:$F$143,2,0))</f>
        <v>1.67652172464963</v>
      </c>
      <c r="LV101" s="501">
        <f t="shared" si="420"/>
        <v>58.02470889</v>
      </c>
      <c r="LW101" s="501">
        <f t="shared" si="421"/>
        <v>45.13032914</v>
      </c>
      <c r="LX101" s="501">
        <f t="shared" si="422"/>
        <v>7.5803508974164</v>
      </c>
      <c r="LY101" s="519">
        <f t="shared" si="423"/>
        <v>12.89437975</v>
      </c>
      <c r="LZ101" s="516">
        <f t="shared" si="365"/>
        <v>1</v>
      </c>
      <c r="MA101" s="517">
        <f t="shared" si="366"/>
        <v>58.02470889</v>
      </c>
      <c r="MB101" s="501">
        <f t="shared" si="424"/>
        <v>4.96250454</v>
      </c>
      <c r="MC101" s="501">
        <f t="shared" si="425"/>
        <v>12.15453832</v>
      </c>
      <c r="MD101" s="501">
        <f t="shared" si="426"/>
        <v>9.45352981</v>
      </c>
      <c r="ME101" s="501">
        <f t="shared" si="427"/>
        <v>3.46938149983894</v>
      </c>
      <c r="MF101" s="501">
        <f t="shared" si="428"/>
        <v>2.70100851</v>
      </c>
      <c r="MG101" s="527">
        <f t="shared" si="429"/>
        <v>1</v>
      </c>
      <c r="MH101" s="517">
        <f t="shared" si="367"/>
        <v>12.15453832</v>
      </c>
      <c r="MI101" s="501">
        <f t="shared" si="430"/>
        <v>3.93390884960784</v>
      </c>
      <c r="MJ101" s="95">
        <f t="shared" si="368"/>
        <v>4.96250454</v>
      </c>
      <c r="MK101" s="95">
        <f t="shared" si="431"/>
        <v>4.96250454</v>
      </c>
      <c r="ML101" s="95">
        <f t="shared" si="484"/>
        <v>3.93390884995299</v>
      </c>
      <c r="MM101" s="95">
        <f t="shared" si="369"/>
        <v>3.93390884960784</v>
      </c>
      <c r="MN101" s="95">
        <f t="shared" si="370"/>
        <v>6.36250454</v>
      </c>
      <c r="MO101" s="251">
        <f t="shared" si="432"/>
        <v>5.33390884960784</v>
      </c>
      <c r="MP101" s="95">
        <f t="shared" si="433"/>
        <v>14.77496059</v>
      </c>
      <c r="MQ101" s="95">
        <f t="shared" si="485"/>
        <v>14.77496059</v>
      </c>
      <c r="MR101" s="314">
        <f t="shared" si="434"/>
        <v>14.77496059</v>
      </c>
      <c r="MS101" s="530">
        <f t="shared" si="371"/>
        <v>14.95096059</v>
      </c>
      <c r="MT101" s="532">
        <f t="shared" si="372"/>
        <v>15.11096059</v>
      </c>
      <c r="MU101" s="532">
        <f t="shared" si="373"/>
        <v>15.55096059</v>
      </c>
      <c r="MV101" s="532">
        <f t="shared" si="374"/>
        <v>18.55096059</v>
      </c>
      <c r="MW101" s="532">
        <f t="shared" si="375"/>
        <v>18.71096059</v>
      </c>
      <c r="MX101" s="314">
        <f t="shared" si="376"/>
        <v>5.56250454</v>
      </c>
      <c r="MY101" s="314">
        <f t="shared" si="377"/>
        <v>4.53390884960784</v>
      </c>
      <c r="MZ101" s="95">
        <f t="shared" si="378"/>
        <v>6.96250454</v>
      </c>
      <c r="NA101" s="95">
        <f t="shared" si="379"/>
        <v>5.93390884960784</v>
      </c>
      <c r="NB101" s="95">
        <f t="shared" si="435"/>
        <v>16.22696059</v>
      </c>
      <c r="NC101" s="314">
        <f t="shared" si="486"/>
        <v>16.22696059</v>
      </c>
      <c r="ND101" s="314">
        <f t="shared" si="436"/>
        <v>16.22696059</v>
      </c>
      <c r="NE101" s="537">
        <f t="shared" si="437"/>
        <v>16.46696059</v>
      </c>
      <c r="NF101" s="532">
        <f t="shared" si="380"/>
        <v>16.62696059</v>
      </c>
      <c r="NG101" s="180">
        <f t="shared" si="381"/>
        <v>17.06696059</v>
      </c>
      <c r="NH101" s="314">
        <f t="shared" si="382"/>
        <v>20.06696059</v>
      </c>
      <c r="NI101" s="532">
        <f t="shared" si="383"/>
        <v>20.22696059</v>
      </c>
      <c r="NK101" s="541">
        <f t="shared" si="384"/>
        <v>0.758073761284887</v>
      </c>
      <c r="NL101" s="541">
        <f t="shared" si="385"/>
        <v>34.2475933825195</v>
      </c>
      <c r="NM101" s="541">
        <f t="shared" si="386"/>
        <v>0.758073761284887</v>
      </c>
      <c r="NN101" s="541">
        <f t="shared" si="387"/>
        <v>34.3861421000641</v>
      </c>
      <c r="NO101" s="541">
        <f t="shared" si="388"/>
        <v>1.05851000089694</v>
      </c>
      <c r="NP101" s="541">
        <f t="shared" si="389"/>
        <v>35.3761369263983</v>
      </c>
      <c r="NQ101" s="541">
        <f t="shared" si="390"/>
        <v>1.05851000089694</v>
      </c>
      <c r="NR101" s="541">
        <f t="shared" si="391"/>
        <v>35.527224617733</v>
      </c>
      <c r="NS101" s="541">
        <f t="shared" si="392"/>
        <v>0.77906950707739</v>
      </c>
      <c r="NT101" s="541">
        <f t="shared" si="393"/>
        <v>0.77906950707739</v>
      </c>
      <c r="NU101" s="541">
        <f t="shared" si="394"/>
        <v>1.08162334592276</v>
      </c>
      <c r="NV101" s="541">
        <f t="shared" si="395"/>
        <v>1.08162334592276</v>
      </c>
      <c r="NW101" s="11">
        <f t="shared" si="396"/>
        <v>0.869914019227313</v>
      </c>
      <c r="NX101" s="11">
        <f>各项系数!$M$9*NK101</f>
        <v>0.227422128385466</v>
      </c>
      <c r="NY101" s="11">
        <f t="shared" si="397"/>
        <v>0.77906950707739</v>
      </c>
    </row>
    <row r="102" s="11" customFormat="1" customHeight="1" spans="1:389">
      <c r="A102" s="81"/>
      <c r="B102" s="82"/>
      <c r="C102" s="83"/>
      <c r="D102" s="74" t="s">
        <v>317</v>
      </c>
      <c r="E102" s="550">
        <f t="shared" si="325"/>
        <v>22.22047233</v>
      </c>
      <c r="F102" s="84">
        <f>$F$22</f>
        <v>208.046961644752</v>
      </c>
      <c r="G102" s="74"/>
      <c r="H102" s="23"/>
      <c r="I102" s="174">
        <f>$F$21</f>
        <v>165.416818206689</v>
      </c>
      <c r="J102" s="78"/>
      <c r="K102" s="23"/>
      <c r="L102" s="128" t="s">
        <v>467</v>
      </c>
      <c r="M102" s="119">
        <f t="shared" si="339"/>
        <v>0.9</v>
      </c>
      <c r="N102" s="119">
        <f t="shared" si="340"/>
        <v>0.7</v>
      </c>
      <c r="O102" s="74">
        <f t="shared" si="493"/>
        <v>0.08</v>
      </c>
      <c r="P102" s="120">
        <v>0.1</v>
      </c>
      <c r="Q102" s="165">
        <f t="shared" si="489"/>
        <v>0.1</v>
      </c>
      <c r="R102" s="182">
        <v>0.8</v>
      </c>
      <c r="S102" s="173" t="str">
        <f>各项系数!$D$43</f>
        <v>钢带</v>
      </c>
      <c r="T102" s="78">
        <v>0.2</v>
      </c>
      <c r="U102" s="78">
        <v>2</v>
      </c>
      <c r="V102" s="172"/>
      <c r="W102" s="174">
        <v>1.8</v>
      </c>
      <c r="X102" s="168">
        <f t="shared" si="490"/>
        <v>0.2</v>
      </c>
      <c r="Y102" s="221"/>
      <c r="Z102" s="222"/>
      <c r="AA102" s="223">
        <f>$AA$22</f>
        <v>1.011</v>
      </c>
      <c r="AB102" s="186">
        <f>PI()*EJ102*EJ102/4*EH102*(1-H102)*AA102*各项系数!$F$5*各项系数!$J$4*10^-7</f>
        <v>0.212807374667777</v>
      </c>
      <c r="AC102" s="224">
        <f t="shared" si="327"/>
        <v>208.046961644752</v>
      </c>
      <c r="AD102" s="186">
        <f t="shared" si="341"/>
        <v>24.0581280607511</v>
      </c>
      <c r="AE102" s="186">
        <f>POWER(4*EU102/PI()/EG102/10^-7/EH102/(1-H102)/各项系数!$F$5/各项系数!$J$4,0.5)</f>
        <v>209.188090412333</v>
      </c>
      <c r="AF102" s="225">
        <f>$AA$21</f>
        <v>1.011</v>
      </c>
      <c r="AG102" s="23">
        <f>IF(EM102=0,0,PI()*ER102*ER102/4*EP102*(1-K102)*(1+AF102)*各项系数!$F$5*各项系数!$J$4*10^-7)</f>
        <v>0.267598798728909</v>
      </c>
      <c r="AH102" s="23">
        <f t="shared" si="328"/>
        <v>165.416818206689</v>
      </c>
      <c r="AI102" s="85">
        <f t="shared" si="398"/>
        <v>15.2089209566661</v>
      </c>
      <c r="AJ102" s="85">
        <f>IF(OR(EP102="",EP102=0),0,POWER(4*EW102/PI()/EO102/10^-7/EP102/(1-K102)/各项系数!$F$5/各项系数!$J$4,0.5))</f>
        <v>166.32412244418</v>
      </c>
      <c r="AK102" s="23">
        <f t="shared" si="342"/>
        <v>0.77295339477157</v>
      </c>
      <c r="AL102" s="23">
        <f t="shared" si="329"/>
        <v>55.2338018325715</v>
      </c>
      <c r="AM102" s="127">
        <f t="shared" si="330"/>
        <v>25</v>
      </c>
      <c r="AN102" s="128" t="s">
        <v>486</v>
      </c>
      <c r="AO102" s="176">
        <f>AP102+各项系数!$M$9*$NK102</f>
        <v>54.1507861103642</v>
      </c>
      <c r="AP102" s="176">
        <f>AQ102*(1+$BI102+(VLOOKUP($AM102,$A$12:$B$323,2,0))+各项系数!$J$6+各项系数!$M$5)*(1+$E$2)</f>
        <v>53.8089052193056</v>
      </c>
      <c r="AQ102" s="262">
        <f>AR102+各项系数!$L$9*$NK102</f>
        <v>54.9070461421486</v>
      </c>
      <c r="AR102" s="262">
        <f>AS102*(1+$BJ102+各项系数!$J$5+各项系数!$L$5)</f>
        <v>54.56516525109</v>
      </c>
      <c r="AS102" s="262">
        <f t="shared" si="399"/>
        <v>53.4952600500883</v>
      </c>
      <c r="AT102" s="176">
        <f>AU102+各项系数!$M$9*$NM102</f>
        <v>55.293560686711</v>
      </c>
      <c r="AU102" s="176">
        <f>AV102*(1+$BI102+(VLOOKUP($AM102,$A$12:$B$323,2,0))+各项系数!$J$6+各项系数!$M$5)*(1+$E$2)</f>
        <v>54.9516797956525</v>
      </c>
      <c r="AV102" s="262">
        <f>AW102+各项系数!$L$9*$NM102</f>
        <v>56.073142648625</v>
      </c>
      <c r="AW102" s="262">
        <f>AX102*(1+$BJ102+各项系数!$J$5+各项系数!$L$5)</f>
        <v>55.7312617575664</v>
      </c>
      <c r="AX102" s="262">
        <f t="shared" si="400"/>
        <v>54.6384919191828</v>
      </c>
      <c r="AY102" s="176">
        <f>AZ102+各项系数!$M$9*$NS102</f>
        <v>55.9420227457776</v>
      </c>
      <c r="AZ102" s="176">
        <f>BA102*(1+$BI102+(VLOOKUP($AM102,$A$12:$B$214,2,0))+各项系数!$J$6+各项系数!$M$5)*(1+$E$2)</f>
        <v>55.5923054221592</v>
      </c>
      <c r="BA102" s="262">
        <f>BB102+各项系数!$L$9*$NS102</f>
        <v>56.7268422675094</v>
      </c>
      <c r="BB102" s="262">
        <f>BC102*(1+$BJ102+各项系数!$J$5+各项系数!$L$5)</f>
        <v>56.3771249438911</v>
      </c>
      <c r="BC102" s="262">
        <f t="shared" si="401"/>
        <v>55.2716911214619</v>
      </c>
      <c r="BD102" s="176">
        <f>BE102+各项系数!$M$9*$NS102</f>
        <v>57.093751274279</v>
      </c>
      <c r="BE102" s="176">
        <f>BF102*(1+$BI102+(VLOOKUP($AM102,$A$12:$B$214,2,0))+各项系数!$J$6+各项系数!$M$5)*(1+$E$2)</f>
        <v>56.7440339506606</v>
      </c>
      <c r="BF102" s="262">
        <f>BG102+各项系数!$L$9*$NS102</f>
        <v>57.9020754598578</v>
      </c>
      <c r="BG102" s="262">
        <f>BH102*(1+$BJ102+各项系数!$J$5+各项系数!$L$5)</f>
        <v>57.5523581362394</v>
      </c>
      <c r="BH102" s="262">
        <f t="shared" si="402"/>
        <v>56.4238805257249</v>
      </c>
      <c r="BI102" s="278"/>
      <c r="BJ102" s="279"/>
      <c r="BK102" s="95" t="s">
        <v>514</v>
      </c>
      <c r="BL102" s="176">
        <f>BM102+各项系数!$M$9*$NM102</f>
        <v>54.8455268976024</v>
      </c>
      <c r="BM102" s="176">
        <f>BN102*(1+$CF102+(VLOOKUP($AM102,$A$12:$B$323,2,0))+各项系数!$J$6+各项系数!$M$5)*(1+$E$2)</f>
        <v>54.5036460065438</v>
      </c>
      <c r="BN102" s="262">
        <f>BO102+各项系数!$L$9*$NM102</f>
        <v>55.6159653127998</v>
      </c>
      <c r="BO102" s="262">
        <f>BP102*(1+$CG102+各项系数!$J$5+各项系数!$L$5)</f>
        <v>55.2740844217413</v>
      </c>
      <c r="BP102" s="262">
        <f t="shared" si="403"/>
        <v>53.6641596327585</v>
      </c>
      <c r="BQ102" s="176">
        <f>BR102+各项系数!$M$9*$NM102</f>
        <v>55.829017907519</v>
      </c>
      <c r="BR102" s="176">
        <f>BS102*(1+$CF102+(VLOOKUP($AM102,$A$12:$B$323,2,0))+各项系数!$J$6+各项系数!$M$5)*(1+$E$2)</f>
        <v>55.4871370164605</v>
      </c>
      <c r="BS102" s="262">
        <f>BT102+各项系数!$L$9*$NM102</f>
        <v>56.6195275678168</v>
      </c>
      <c r="BT102" s="262">
        <f>BU102*(1+$CG102+各项系数!$J$5+各项系数!$L$5)</f>
        <v>56.2776466767582</v>
      </c>
      <c r="BU102" s="262">
        <f t="shared" si="404"/>
        <v>54.6384919191828</v>
      </c>
      <c r="BV102" s="176">
        <f>BW102+各项系数!$M$9*$NT102</f>
        <v>56.3208835297243</v>
      </c>
      <c r="BW102" s="176">
        <f>BX102*(1+$CF102+(VLOOKUP($AM102,$A$12:$B$214,2,0))+各项系数!$J$6+各项系数!$M$5)*(1+$E$2)</f>
        <v>55.971166206106</v>
      </c>
      <c r="BX102" s="262">
        <f>BY102+各项系数!$L$9*$NT$12</f>
        <v>57.1134349041898</v>
      </c>
      <c r="BY102" s="262">
        <f>BZ102*(1+$CG102+各项系数!$J$5+各项系数!$L$5)</f>
        <v>57.1051715010348</v>
      </c>
      <c r="BZ102" s="262">
        <f t="shared" si="343"/>
        <v>55.4419140786746</v>
      </c>
      <c r="CA102" s="176">
        <f>CB102+各项系数!$M$9*$NT102</f>
        <v>57.312080461377</v>
      </c>
      <c r="CB102" s="176">
        <f>CC102*(1+$CF102+(VLOOKUP($AM102,$A$12:$B$214,2,0))+各项系数!$J$6+各项系数!$M$5)*(1+$E$2)</f>
        <v>56.9623631377586</v>
      </c>
      <c r="CC102" s="262">
        <f>CD102+各项系数!$L$9*$NT$12</f>
        <v>58.1248603446517</v>
      </c>
      <c r="CD102" s="262">
        <f>CE102*(1+$CG102+各项系数!$J$5+各项系数!$L$5)</f>
        <v>58.1165969414967</v>
      </c>
      <c r="CE102" s="262">
        <f t="shared" si="405"/>
        <v>56.4238805257249</v>
      </c>
      <c r="CF102" s="278">
        <f t="shared" si="406"/>
        <v>0</v>
      </c>
      <c r="CG102" s="278">
        <f t="shared" si="344"/>
        <v>0.01</v>
      </c>
      <c r="CH102" s="127"/>
      <c r="CI102" s="176">
        <f>CJ102+各项系数!$M$9*$NO102</f>
        <v>56.2250689001517</v>
      </c>
      <c r="CJ102" s="176">
        <f>CK102*(1+$DC102+(VLOOKUP($AM102,$A$12:$B$323,2,0))+各项系数!$J$6+各项系数!$M$5)*(1+$E$2)+各项系数!$M$9*$NK102</f>
        <v>55.7467391927921</v>
      </c>
      <c r="CK102" s="262">
        <f>CL102+各项系数!$L$9*$NO102</f>
        <v>56.5355696956464</v>
      </c>
      <c r="CL102" s="262">
        <f>CM102*(1+$DD102+各项系数!$J$5+各项系数!$L$5)</f>
        <v>56.0572399882868</v>
      </c>
      <c r="CM102" s="262">
        <f t="shared" si="345"/>
        <v>54.958078419889</v>
      </c>
      <c r="CN102" s="176">
        <f>CO102+各项系数!$M$9*$NO102</f>
        <v>57.2224958609531</v>
      </c>
      <c r="CO102" s="176">
        <f>CP102*(1+$DC102+(VLOOKUP($AM102,$A$12:$B$323,2,0))+各项系数!$J$6+各项系数!$M$5)*(1+$E$2)+各项系数!$M$9*$NK102</f>
        <v>56.7441661535935</v>
      </c>
      <c r="CP102" s="262">
        <f>CQ102+各项系数!$L$9*$NO102</f>
        <v>57.5533523087091</v>
      </c>
      <c r="CQ102" s="262">
        <f>CR102*(1+$DD102+各项系数!$J$5+各项系数!$L$5)</f>
        <v>57.0750226013495</v>
      </c>
      <c r="CR102" s="262">
        <f t="shared" si="346"/>
        <v>55.9559045111269</v>
      </c>
      <c r="CS102" s="176">
        <f>CT102+各项系数!$M$9*$NU102</f>
        <v>57.8415722080231</v>
      </c>
      <c r="CT102" s="176">
        <f t="shared" si="347"/>
        <v>57.3546693782385</v>
      </c>
      <c r="CU102" s="262">
        <f>CV102+各项系数!$L$9*$NU102</f>
        <v>58.5251728349373</v>
      </c>
      <c r="CV102" s="262">
        <f>CW102*(1+$DD102+各项系数!$J$5+各项系数!$L$5)</f>
        <v>58.0382700051527</v>
      </c>
      <c r="CW102" s="262">
        <f t="shared" si="348"/>
        <v>56.900264710934</v>
      </c>
      <c r="CX102" s="176">
        <f>CY102+各项系数!$M$9*$NU102</f>
        <v>59.0916822858223</v>
      </c>
      <c r="CY102" s="176">
        <f t="shared" si="349"/>
        <v>58.6047794560377</v>
      </c>
      <c r="CZ102" s="262">
        <f>DA102+各项系数!$L$9*$NU102</f>
        <v>59.8007953633038</v>
      </c>
      <c r="DA102" s="262">
        <f>DB102*(1+$DD102+各项系数!$J$5+各项系数!$L$5)</f>
        <v>59.3138925335192</v>
      </c>
      <c r="DB102" s="262">
        <f t="shared" si="350"/>
        <v>58.1508750328619</v>
      </c>
      <c r="DC102" s="278">
        <f t="shared" si="498"/>
        <v>0</v>
      </c>
      <c r="DD102" s="278">
        <f t="shared" si="351"/>
        <v>0</v>
      </c>
      <c r="DE102" s="95" t="s">
        <v>498</v>
      </c>
      <c r="DF102" s="95" t="s">
        <v>513</v>
      </c>
      <c r="DG102" s="176">
        <f>DH102+各项系数!$M$9*$NQ102</f>
        <v>56.9488225666308</v>
      </c>
      <c r="DH102" s="176">
        <f>DI102*(1+$EA102+(VLOOKUP($AM102,$A$12:$B$323,2,0))+各项系数!$J$6+各项系数!$M$5)*(1+$E$2)+各项系数!$M$9*$NK102</f>
        <v>56.4704928592712</v>
      </c>
      <c r="DI102" s="262">
        <f>DJ102+各项系数!$L$9*$NQ102</f>
        <v>57.2740938451149</v>
      </c>
      <c r="DJ102" s="262">
        <f>DK102*(1+$EB102+各项系数!$J$5+各项系数!$L$5)</f>
        <v>56.7957641377553</v>
      </c>
      <c r="DK102" s="262">
        <f t="shared" si="352"/>
        <v>55.141518580345</v>
      </c>
      <c r="DL102" s="176">
        <f>DM102+各项系数!$M$9*$NQ102</f>
        <v>58.0169823916215</v>
      </c>
      <c r="DM102" s="176">
        <f>DN102*(1+$EA102+(VLOOKUP($AM102,$A$12:$B$323,2,0))+各项系数!$J$6+各项系数!$M$5)*(1+$E$2)+各项系数!$M$9*$NK102</f>
        <v>57.5386526842619</v>
      </c>
      <c r="DN102" s="262">
        <f>DO102+各项系数!$L$9*$NQ102</f>
        <v>58.3640528502074</v>
      </c>
      <c r="DO102" s="262">
        <f>DP102*(1+$EB102+各项系数!$J$5+各项系数!$L$5)</f>
        <v>57.8857231428478</v>
      </c>
      <c r="DP102" s="262">
        <f t="shared" si="353"/>
        <v>56.1997312066484</v>
      </c>
      <c r="DQ102" s="176">
        <f>DR102+各项系数!$M$9*$NV102</f>
        <v>58.5856951144177</v>
      </c>
      <c r="DR102" s="176">
        <f t="shared" si="354"/>
        <v>58.0987922846331</v>
      </c>
      <c r="DS102" s="262">
        <f>DT102+各项系数!$L$9*$NV102</f>
        <v>59.284481923095</v>
      </c>
      <c r="DT102" s="262">
        <f>DU102*(1+$EB102+各项系数!$J$5+各项系数!$L$5)</f>
        <v>58.7975790933104</v>
      </c>
      <c r="DU102" s="262">
        <f t="shared" si="355"/>
        <v>57.0850282459324</v>
      </c>
      <c r="DV102" s="176">
        <f>DW102+各项系数!$M$9*$NV102</f>
        <v>58.6749369950016</v>
      </c>
      <c r="DW102" s="176">
        <f t="shared" si="356"/>
        <v>58.188034165217</v>
      </c>
      <c r="DX102" s="262">
        <f>DY102+各项系数!$L$9*$NV102</f>
        <v>59.375545066548</v>
      </c>
      <c r="DY102" s="262">
        <f>DZ102*(1+$EB102+各项系数!$J$5+各项系数!$L$5)</f>
        <v>58.8886422367634</v>
      </c>
      <c r="DZ102" s="262">
        <f t="shared" si="357"/>
        <v>57.1734390648188</v>
      </c>
      <c r="EA102" s="278">
        <f t="shared" si="492"/>
        <v>0</v>
      </c>
      <c r="EB102" s="278">
        <f t="shared" si="358"/>
        <v>0.01</v>
      </c>
      <c r="EC102" s="302" t="str">
        <f t="shared" si="408"/>
        <v>3+1</v>
      </c>
      <c r="ED102" s="304" t="str">
        <f t="shared" si="494"/>
        <v>3*25</v>
      </c>
      <c r="EE102" s="95">
        <f t="shared" si="495"/>
        <v>25</v>
      </c>
      <c r="EF102" s="95" t="str">
        <f>LOOKUP(EH102,{1,7,10,14,19,24,30,37,48,61},{1,"1+6","2+8","4+10","1+6+12","2+8+14","4+10+16","1+6+12+18","3+9+15+21","1+6+12+18+24"})</f>
        <v>1+6</v>
      </c>
      <c r="EG102" s="127">
        <f t="shared" si="359"/>
        <v>3</v>
      </c>
      <c r="EH102" s="262">
        <f>VLOOKUP(EE102,各项系数!$B$87:$C$124,2,0)</f>
        <v>7</v>
      </c>
      <c r="EI102" s="127">
        <f>IF(EH102=0,0,VLOOKUP(EH102,各项系数!$D$142:$E$195,2,0))*1</f>
        <v>3</v>
      </c>
      <c r="EJ102" s="307">
        <f t="shared" si="409"/>
        <v>208.046961644752</v>
      </c>
      <c r="EK102" s="95" t="str">
        <f t="shared" si="332"/>
        <v>1*16</v>
      </c>
      <c r="EL102" s="95" t="str">
        <f t="shared" si="360"/>
        <v>16</v>
      </c>
      <c r="EM102" s="95">
        <f t="shared" si="496"/>
        <v>16</v>
      </c>
      <c r="EN102" s="95" t="str">
        <f>IF(EP102=0,0,LOOKUP(EP102,{1,7,10,14,19,24,30,37,48,61},{1,"1+6","2+8","4+10","1+6+12","2+8+14","4+10+16","1+6+12+18","3+9+15+21","1+6+12+18+24"}))</f>
        <v>1+6</v>
      </c>
      <c r="EO102" s="95" t="str">
        <f t="shared" si="334"/>
        <v>1</v>
      </c>
      <c r="EP102" s="95">
        <f>IF(EM102=0,0,IF(EM102&lt;10,1,IF(AND(EM102&gt;=10,EM102&lt;=35),7,LOOKUP(EM102,{50,70,95,120,150,185,240,300},{10,14,19,24,30,37,48,61})*1)))</f>
        <v>7</v>
      </c>
      <c r="EQ102" s="95">
        <f>IF(EP102=0,0,VLOOKUP(EP102,各项系数!$D$142:$E$195,2,0))*1</f>
        <v>3</v>
      </c>
      <c r="ER102" s="95">
        <f t="shared" si="335"/>
        <v>165.416818206689</v>
      </c>
      <c r="ES102" s="304">
        <f t="shared" si="497"/>
        <v>4</v>
      </c>
      <c r="ET102" s="95">
        <f>VLOOKUP(ES102,各项系数!$D$142:$E$195,2,0)*1</f>
        <v>2.42</v>
      </c>
      <c r="EU102" s="311">
        <f>((各项系数!$F$76/4*$EJ102^2*$EG102*$EH102*1*10^-7)*(1-$H102)*AA102)*(VLOOKUP($EY$9,各项系数!$D$4:$F$143,3,0))*各项系数!$J$4</f>
        <v>0.638422124003332</v>
      </c>
      <c r="EV102" s="312">
        <f>EU102*(VLOOKUP($EY$9,各项系数!$D$4:$F$143,2,0))</f>
        <v>41.8166491222182</v>
      </c>
      <c r="EW102" s="324">
        <f>(IF($EO102=0,0,(各项系数!$F$76/4*$ER102^2*$EO102*$EP102*1*10^-7))*(1-$K102)*$AF102)*(VLOOKUP($EY$9,各项系数!$D$4:$F$143,3,0))*各项系数!$J$4</f>
        <v>0.134531270768238</v>
      </c>
      <c r="EX102" s="325">
        <f>EW102*(VLOOKUP($EY$9,各项系数!$D$4:$F$143,2,0))</f>
        <v>8.81179823531959</v>
      </c>
      <c r="EY102" s="251">
        <f>((各项系数!$F$76/4*$EJ102^2*$EG102*$EH102*1*10^-7)*(1-$H102)*AA102+IF($EO102=0,0,(各项系数!$F$76/4*$ER102^2*$EO102*$EP102*1*10^-7))*(1-$K102)*$AF102)*(VLOOKUP($EY$9,各项系数!$D$4:$F$143,3,0))*各项系数!$J$4</f>
        <v>0.77295339477157</v>
      </c>
      <c r="EZ102" s="127">
        <v>1</v>
      </c>
      <c r="FA102" s="95">
        <f t="shared" si="445"/>
        <v>0.77295339477157</v>
      </c>
      <c r="FB102" s="314">
        <f>FA102*(VLOOKUP($EY$9,各项系数!$D$4:$F$143,2,0))</f>
        <v>50.6284473575378</v>
      </c>
      <c r="FC102" s="329"/>
      <c r="FD102" s="304">
        <f>各项系数!$F$76/4*($MN102^2-MK102^2)*10^-2*(VLOOKUP(L102,各项系数!$D$1:$F$143,3,0))*10^-3*10^2*$EG102*各项系数!$J$4</f>
        <v>0.0662999652497242</v>
      </c>
      <c r="FE102" s="341">
        <f>FD102*VLOOKUP(L102,各项系数!$D$1:$F$143,2,0)</f>
        <v>0.676259645547187</v>
      </c>
      <c r="FF102" s="127">
        <f>各项系数!$F$76/4*($MO102^2-ML102^2)*10^-2*(VLOOKUP(L102,各项系数!$D$1:$F$143,3,0))*10^-3*10^2*$EO102*各项系数!$J$4</f>
        <v>0.0136292589308284</v>
      </c>
      <c r="FG102" s="341">
        <f>FF102*VLOOKUP(L102,各项系数!$D$1:$F$143,2,0)</f>
        <v>0.13901844109445</v>
      </c>
      <c r="FH102" s="304">
        <f t="shared" si="410"/>
        <v>0.0799292241805526</v>
      </c>
      <c r="FI102" s="127">
        <v>1</v>
      </c>
      <c r="FJ102" s="95">
        <f t="shared" si="446"/>
        <v>0.0799292241805526</v>
      </c>
      <c r="FK102" s="341">
        <f>FJ102*VLOOKUP(L102,各项系数!$D$1:$F$143,2,0)</f>
        <v>0.815278086641637</v>
      </c>
      <c r="FL102" s="304"/>
      <c r="FM102" s="127"/>
      <c r="FN102" s="95"/>
      <c r="FO102" s="341"/>
      <c r="FP102" s="371">
        <f t="shared" si="447"/>
        <v>0.0799292241805526</v>
      </c>
      <c r="FQ102" s="371">
        <f t="shared" si="448"/>
        <v>0.815278086641637</v>
      </c>
      <c r="FR102" s="365">
        <f>各项系数!$F$76/4*($MQ102^2-$MN102^2*$EG102-$MO102^2*$EO102)*10^-2</f>
        <v>0.830356915195394</v>
      </c>
      <c r="FS102" s="366">
        <f t="shared" si="411"/>
        <v>1</v>
      </c>
      <c r="FT102" s="367">
        <f t="shared" si="361"/>
        <v>0.830356915195394</v>
      </c>
      <c r="FU102" s="395">
        <f>$FT102*(VLOOKUP($FT$9,各项系数!$D$1:$F$143,3,0))*10^-3*10^2*各项系数!$J$55</f>
        <v>0.09914461567433</v>
      </c>
      <c r="FV102" s="396">
        <v>1</v>
      </c>
      <c r="FW102" s="397">
        <f t="shared" si="449"/>
        <v>0.09914461567433</v>
      </c>
      <c r="FX102" s="372">
        <f>FW102*(VLOOKUP($FT$9,各项系数!$D$1:$F$143,2,0))</f>
        <v>0.29743384702299</v>
      </c>
      <c r="FY102" s="395">
        <f>IF($BK102&lt;&gt;$FY$9,0,各项系数!$F$76/4*($MS102^2-$MQ102^2)*10^-2*(VLOOKUP($FY$9,各项系数!$D$1:$F$143,3,0))*10^-3*10^2)*各项系数!$J$4</f>
        <v>0</v>
      </c>
      <c r="FZ102" s="396">
        <v>1</v>
      </c>
      <c r="GA102" s="397">
        <f t="shared" si="450"/>
        <v>0</v>
      </c>
      <c r="GB102" s="372">
        <f>GA102*(VLOOKUP($FY$9,各项系数!$D$1:$F$143,2,0))</f>
        <v>0</v>
      </c>
      <c r="GC102" s="395">
        <f>IF($BK102&lt;&gt;$GC$9,0,各项系数!$F$76/4*($MS102^2-$MQ102^2)*10^-2*(VLOOKUP($GC$9,各项系数!$D$1:$F$143,3,0))*10^-3*10^2)*各项系数!$J$4</f>
        <v>0.00504689396770752</v>
      </c>
      <c r="GD102" s="396">
        <v>1</v>
      </c>
      <c r="GE102" s="397">
        <f t="shared" si="451"/>
        <v>0.00504689396770752</v>
      </c>
      <c r="GF102" s="372">
        <f>GE102*(VLOOKUP($GC$9,各项系数!$D$1:$F$143,2,0))</f>
        <v>0.065104932183427</v>
      </c>
      <c r="GG102" s="395">
        <f>IF($BK102&lt;&gt;$GG$9,0,各项系数!$F$76/4*($MS102^2-$MQ102^2)*10^-2*(VLOOKUP($GG$9,各项系数!$D$1:$F$143,3,0))*10^-3*10^2)*各项系数!$J$4</f>
        <v>0</v>
      </c>
      <c r="GH102" s="396">
        <v>1</v>
      </c>
      <c r="GI102" s="397">
        <f t="shared" si="452"/>
        <v>0</v>
      </c>
      <c r="GJ102" s="372">
        <f>GI102*(VLOOKUP($GG$9,各项系数!$D$1:$F$143,2,0))</f>
        <v>0</v>
      </c>
      <c r="GK102" s="395">
        <f>IF($BK102&lt;&gt;$GK$9,0,各项系数!$F$76/4*($MS102^2-$MQ102^2)*10^-2*(VLOOKUP($GK$9,各项系数!$D$1:$F$143,3,0))*10^-3*10^2)*各项系数!$J$4</f>
        <v>0</v>
      </c>
      <c r="GL102" s="396">
        <v>1</v>
      </c>
      <c r="GM102" s="397">
        <f t="shared" si="453"/>
        <v>0</v>
      </c>
      <c r="GN102" s="372">
        <f>GM102*(VLOOKUP($GK$9,各项系数!$D$1:$F$143,2,0))</f>
        <v>0</v>
      </c>
      <c r="GO102" s="397">
        <f t="shared" si="454"/>
        <v>0.00504689396770752</v>
      </c>
      <c r="GP102" s="397">
        <f t="shared" si="455"/>
        <v>0.065104932183427</v>
      </c>
      <c r="GQ102" s="408">
        <f>各项系数!$F$76/4*($MU102^2-$MS102^2)*10^-2*(VLOOKUP($S102,各项系数!$D$1:$F$143,3,0))*10^-3*10^2*各项系数!$J$4</f>
        <v>0.138749981897352</v>
      </c>
      <c r="GR102" s="396">
        <v>1</v>
      </c>
      <c r="GS102" s="397">
        <f t="shared" si="456"/>
        <v>0.138749981897352</v>
      </c>
      <c r="GT102" s="397">
        <f t="shared" si="457"/>
        <v>0</v>
      </c>
      <c r="GU102" s="397">
        <f>ROUND($GS102*(VLOOKUP($S102,各项系数!$D$1:$F$143,2,0))+$E$3*GS102,GT102)</f>
        <v>1</v>
      </c>
      <c r="GV102" s="406">
        <f>各项系数!$F$76/4*($MT102^2-$MS102^2)*10^-2*(VLOOKUP($GV$9,各项系数!$D$1:$F$143,3,0))*10^-3*10^2*各项系数!$J$4*PI()/4*R102</f>
        <v>0.0261214418659058</v>
      </c>
      <c r="GW102" s="396">
        <v>1</v>
      </c>
      <c r="GX102" s="397">
        <f t="shared" si="458"/>
        <v>0.0261214418659058</v>
      </c>
      <c r="GY102" s="397">
        <f>$GX102*(VLOOKUP($GV$9,各项系数!$D$1:$F$143,2,0))</f>
        <v>1.76319732594864</v>
      </c>
      <c r="GZ102" s="408">
        <f>各项系数!$F$76/4*($MV102^2-$MS102^2)*10^-2*(VLOOKUP($GZ$9,各项系数!$D$1:$F$143,3,0))*10^-3*10^2*各项系数!$J$4</f>
        <v>0.166601629164523</v>
      </c>
      <c r="HA102" s="396">
        <v>1</v>
      </c>
      <c r="HB102" s="397">
        <f t="shared" si="412"/>
        <v>0.166601629164523</v>
      </c>
      <c r="HC102" s="397">
        <f>HB102*(VLOOKUP($GZ$9,各项系数!$D$1:$F$143,2,0))</f>
        <v>2.83222769579689</v>
      </c>
      <c r="HD102" s="408">
        <f>各项系数!$F$76/4*($MW102^2-$MT102^2)*10^-2*(VLOOKUP($HD$9,各项系数!$D$1:$F$143,3,0))*10^-3*10^2*各项系数!$J$4</f>
        <v>0.167906998611202</v>
      </c>
      <c r="HE102" s="396">
        <v>1</v>
      </c>
      <c r="HF102" s="397">
        <f t="shared" si="413"/>
        <v>0.167906998611202</v>
      </c>
      <c r="HG102" s="397">
        <f>HF102*(VLOOKUP($HD$9,各项系数!$D$1:$F$143,2,0))</f>
        <v>2.85441897639043</v>
      </c>
      <c r="HH102" s="408">
        <f>各项系数!$F$76/4*($MV102^2-$MS102^2)*10^-2*(VLOOKUP($HH$9,各项系数!$D$1:$F$143,3,0))*10^-3*10^2*各项系数!$J$4</f>
        <v>0.166601629164523</v>
      </c>
      <c r="HI102" s="397">
        <v>1</v>
      </c>
      <c r="HJ102" s="397">
        <f t="shared" si="414"/>
        <v>0.166601629164523</v>
      </c>
      <c r="HK102" s="397">
        <f>HJ102*(VLOOKUP($HH$9,各项系数!$D$1:$F$143,2,0))</f>
        <v>2.83222769579689</v>
      </c>
      <c r="HL102" s="408">
        <f>各项系数!$F$76/4*($MW102^2-$MT102^2)*10^-2*(VLOOKUP($HL$9,各项系数!$D$1:$F$143,3,0))*10^-3*10^2*各项系数!$J$4</f>
        <v>0.167906998611202</v>
      </c>
      <c r="HM102" s="397">
        <v>1</v>
      </c>
      <c r="HN102" s="397">
        <f t="shared" si="362"/>
        <v>0.167906998611202</v>
      </c>
      <c r="HO102" s="397">
        <f>HN102*(VLOOKUP($HL$9,各项系数!$D$1:$F$143,2,0))</f>
        <v>2.85441897639043</v>
      </c>
      <c r="HP102" s="408">
        <f>各项系数!$F$76/4*($MV102^2-$MS102^2)*10^-2*(VLOOKUP(AN102,各项系数!$D$1:$F$143,3,0))*10^-3*10^2*各项系数!$J$4</f>
        <v>0.168899582670241</v>
      </c>
      <c r="HQ102" s="396">
        <v>1</v>
      </c>
      <c r="HR102" s="397">
        <f t="shared" si="459"/>
        <v>0.168899582670241</v>
      </c>
      <c r="HS102" s="397">
        <f>HR102*(VLOOKUP(AN102,各项系数!$D$1:$F$143,2,0))</f>
        <v>1.68899582670241</v>
      </c>
      <c r="HT102" s="408">
        <f>各项系数!$F$76/4*($MW102^2-$MT102^2)*10^-2*(VLOOKUP(AN102,各项系数!$D$1:$F$143,3,0))*10^-3*10^2*各项系数!$J$4</f>
        <v>0.170222957212735</v>
      </c>
      <c r="HU102" s="396">
        <v>1</v>
      </c>
      <c r="HV102" s="397">
        <f t="shared" si="460"/>
        <v>0.170222957212735</v>
      </c>
      <c r="HW102" s="397">
        <f>HV102*(VLOOKUP(AN102,各项系数!$D$1:$F$143,2,0))</f>
        <v>1.70222957212735</v>
      </c>
      <c r="HX102" s="408">
        <f>各项系数!$F$76/4*($MV102^2-$MS102^2)*10^-2*(VLOOKUP($HX$9,各项系数!$D$1:$F$143,3,0))*10^-3*10^2*各项系数!$J$4</f>
        <v>0.168899582670241</v>
      </c>
      <c r="HY102" s="397">
        <v>1</v>
      </c>
      <c r="HZ102" s="397">
        <f t="shared" si="461"/>
        <v>0.168899582670241</v>
      </c>
      <c r="IA102" s="397">
        <f>HZ102*(VLOOKUP($HX$9,各项系数!$D$1:$F$143,2,0))</f>
        <v>1.85789540937265</v>
      </c>
      <c r="IB102" s="408">
        <f>各项系数!$F$76/4*($MW102^2-$MT102^2)*10^-2*(VLOOKUP($IB$9,各项系数!$D$1:$F$143,3,0))*10^-3*10^2*各项系数!$J$4</f>
        <v>0.170222957212735</v>
      </c>
      <c r="IC102" s="397">
        <v>1</v>
      </c>
      <c r="ID102" s="397">
        <f t="shared" si="462"/>
        <v>0.170222957212735</v>
      </c>
      <c r="IE102" s="397">
        <f>ID102*(VLOOKUP($IB$9,各项系数!$D$1:$F$143,2,0))</f>
        <v>1.87245252934009</v>
      </c>
      <c r="IF102" s="395"/>
      <c r="IG102" s="408">
        <f t="shared" si="415"/>
        <v>0.0350068733191878</v>
      </c>
      <c r="IH102" s="396">
        <v>1</v>
      </c>
      <c r="II102" s="397">
        <f t="shared" si="463"/>
        <v>0.0350068733191878</v>
      </c>
      <c r="IJ102" s="397">
        <f>II102*(VLOOKUP($IG$8,各项系数!$D$1:$F$143,2,0))</f>
        <v>0.875171832979694</v>
      </c>
      <c r="IK102" s="408">
        <f>(各项系数!$F$76/4*($MX102^2-$MK102^2)*$EG102)*10^-2*(VLOOKUP($IG$8,各项系数!$D$1:$F$143,3,0))*10^-3*10^2*各项系数!$J$4</f>
        <v>0.027604381241623</v>
      </c>
      <c r="IL102" s="396">
        <f>IK102*(VLOOKUP($IG$8,各项系数!$D$1:$F$143,2,0))</f>
        <v>0.690109531040575</v>
      </c>
      <c r="IM102" s="397">
        <f>(各项系数!$F$76/4*(($MM102+3*$X102)^2-MM102^2)*$EO102)*10^-2*(VLOOKUP($IG$8,各项系数!$D$1:$F$143,3,0))*10^-3*10^2*各项系数!$J$4</f>
        <v>0.00740249207756477</v>
      </c>
      <c r="IN102" s="396">
        <f>IM102*(VLOOKUP($IG$8,各项系数!$D$1:$F$143,2,0))</f>
        <v>0.185062301939119</v>
      </c>
      <c r="IO102" s="408">
        <f>各项系数!$F$76/4*($MZ102^2-$MX102^2)*10^-2*(VLOOKUP(L102,各项系数!$D$1:$F$143,3,0))*10^-3*10^2*$ES102*各项系数!$J$4</f>
        <v>0.0958270556905036</v>
      </c>
      <c r="IP102" s="396">
        <v>1</v>
      </c>
      <c r="IQ102" s="397">
        <f t="shared" si="464"/>
        <v>0.0958270556905036</v>
      </c>
      <c r="IR102" s="372">
        <f>IQ102*(VLOOKUP(L102,各项系数!$D$1:$F$143,2,0))</f>
        <v>0.977435968043137</v>
      </c>
      <c r="IS102" s="408">
        <f>IF($L102&lt;&gt;$IS$9,0,各项系数!$F$76/4*($MZ102^2-$MX102^2)*10^-2*各项系数!$F$12*10^-3*10^2)*$ES102*各项系数!$J$4</f>
        <v>0</v>
      </c>
      <c r="IT102" s="396">
        <v>1</v>
      </c>
      <c r="IU102" s="397">
        <f t="shared" si="465"/>
        <v>0</v>
      </c>
      <c r="IV102" s="372">
        <f>IU102*各项系数!$E$12</f>
        <v>0</v>
      </c>
      <c r="IW102" s="395">
        <f t="shared" si="466"/>
        <v>0.0958270556905036</v>
      </c>
      <c r="IX102" s="395">
        <f t="shared" si="467"/>
        <v>0.977435968043137</v>
      </c>
      <c r="IY102" s="447">
        <f>各项系数!$F$76/4*($NB102^2-$MZ102^2*$EG102-$NA102^2*$EO102)*10^-2</f>
        <v>1.00004554412952</v>
      </c>
      <c r="IZ102" s="366">
        <f t="shared" si="487"/>
        <v>1</v>
      </c>
      <c r="JA102" s="367">
        <f t="shared" si="363"/>
        <v>1.00004554412952</v>
      </c>
      <c r="JB102" s="371">
        <f>IF($DE102&lt;&gt;$JB$9,0,$JA102*各项系数!$F$32*10^-3*10^2)*各项系数!$J$4</f>
        <v>0</v>
      </c>
      <c r="JC102" s="127">
        <v>1</v>
      </c>
      <c r="JD102" s="95">
        <f t="shared" si="468"/>
        <v>0</v>
      </c>
      <c r="JE102" s="341">
        <f>JD102*各项系数!$E$32</f>
        <v>0</v>
      </c>
      <c r="JF102" s="364">
        <f>IF($DE102&lt;&gt;$JF$9,0,$JA102*VLOOKUP($JF$9,各项系数!$D$4:$F$540,2,0)*10^-3*10^2)*各项系数!$J$4</f>
        <v>0.497522658204434</v>
      </c>
      <c r="JG102" s="123">
        <v>1</v>
      </c>
      <c r="JH102" s="251">
        <f t="shared" si="364"/>
        <v>0.497522658204434</v>
      </c>
      <c r="JI102" s="339">
        <f>JH102*VLOOKUP($JF$9,各项系数!$D$4:$F$540,3,0)</f>
        <v>0.59702718984532</v>
      </c>
      <c r="JJ102" s="371">
        <f t="shared" si="469"/>
        <v>0.497522658204434</v>
      </c>
      <c r="JK102" s="95">
        <f t="shared" si="470"/>
        <v>0.59702718984532</v>
      </c>
      <c r="JL102" s="371">
        <f>IF($DF102&lt;&gt;$JL$9,0,各项系数!$F$76/4*($NE102^2-$NC102^2)*10^-2*各项系数!$F$39*10^-3*10^2)*各项系数!$J$4</f>
        <v>0.00227972334620359</v>
      </c>
      <c r="JM102" s="127">
        <v>1</v>
      </c>
      <c r="JN102" s="95">
        <f t="shared" si="471"/>
        <v>0.00227972334620359</v>
      </c>
      <c r="JO102" s="341">
        <f>JN102*各项系数!$E$39</f>
        <v>0.0455944669240719</v>
      </c>
      <c r="JP102" s="371">
        <f>IF($DF102&lt;&gt;$JP$9,0,各项系数!$F$76/4*($NE102^2-$NC102^2)*10^-2*各项系数!$F$36*10^-3*10^2)*各项系数!$J$4</f>
        <v>0</v>
      </c>
      <c r="JQ102" s="127">
        <v>1</v>
      </c>
      <c r="JR102" s="95">
        <f t="shared" si="472"/>
        <v>0</v>
      </c>
      <c r="JS102" s="341">
        <f>JR102*各项系数!$E$36</f>
        <v>0</v>
      </c>
      <c r="JT102" s="371">
        <f>IF($DF102&lt;&gt;$JT$9,0,各项系数!$F$76/4*($NE102^2-$NC102^2)*10^-2*各项系数!$F$40*10^-3*10^2)*各项系数!$J$4</f>
        <v>0</v>
      </c>
      <c r="JU102" s="127">
        <v>1</v>
      </c>
      <c r="JV102" s="95">
        <f t="shared" si="473"/>
        <v>0</v>
      </c>
      <c r="JW102" s="341">
        <f>JV102*各项系数!$E$40</f>
        <v>0</v>
      </c>
      <c r="JX102" s="371">
        <f>IF($DF102&lt;&gt;$JX$9,0,各项系数!$F$76/4*($NE102^2-$NC102^2)*10^-2*各项系数!$F$38*10^-3*10^2)*各项系数!$J$4</f>
        <v>0</v>
      </c>
      <c r="JY102" s="127">
        <v>1</v>
      </c>
      <c r="JZ102" s="95">
        <f t="shared" si="474"/>
        <v>0</v>
      </c>
      <c r="KA102" s="341">
        <f>JZ102*各项系数!$E$38</f>
        <v>0</v>
      </c>
      <c r="KB102" s="371">
        <f>IF($DF102&lt;&gt;$KB$9,0,各项系数!$F$76/4*($NE102^2-$NC102^2)*10^-2*各项系数!$F$41*10^-3*10^2)*各项系数!$J$4</f>
        <v>0</v>
      </c>
      <c r="KC102" s="127">
        <v>1</v>
      </c>
      <c r="KD102" s="95">
        <f t="shared" si="475"/>
        <v>0</v>
      </c>
      <c r="KE102" s="341">
        <f>KD102*各项系数!$E$41</f>
        <v>0</v>
      </c>
      <c r="KF102" s="95">
        <f t="shared" si="476"/>
        <v>0.00227972334620359</v>
      </c>
      <c r="KG102" s="95">
        <f t="shared" si="477"/>
        <v>0.0455944669240719</v>
      </c>
      <c r="KH102" s="304">
        <f>各项系数!$F$76/4*($NG102^2-$NE102^2)*10^-2*各项系数!$F$44*10^-3*10^2*各项系数!$J$4*0.75*$U102</f>
        <v>0.227462952146005</v>
      </c>
      <c r="KI102" s="127">
        <v>1</v>
      </c>
      <c r="KJ102" s="95">
        <f t="shared" si="478"/>
        <v>0.227462952146005</v>
      </c>
      <c r="KK102" s="95">
        <f>ROUND(KJ102*各项系数!$E$43,GT102)</f>
        <v>1</v>
      </c>
      <c r="KL102" s="302">
        <f>各项系数!$F$76/4*($NF102^2-$NE102^2)*10^-2*各项系数!$F$46*10^-3*10^2*各项系数!$J$4*PI()/4*R102</f>
        <v>0.0285770747499263</v>
      </c>
      <c r="KM102" s="127">
        <v>1</v>
      </c>
      <c r="KN102" s="95">
        <f t="shared" si="479"/>
        <v>0.0285770747499263</v>
      </c>
      <c r="KO102" s="95">
        <f>KN102*各项系数!$E$46</f>
        <v>1.92895254562003</v>
      </c>
      <c r="KP102" s="304">
        <f>各项系数!$F$76/4*($NH102^2-$NE102^2)*10^-2*(VLOOKUP($KP$9,各项系数!$D$1:$F$143,3,0))*10^-3*10^2*各项系数!$J$4</f>
        <v>0.180944375959902</v>
      </c>
      <c r="KQ102" s="127">
        <v>1</v>
      </c>
      <c r="KR102" s="95">
        <f t="shared" si="416"/>
        <v>0.180944375959902</v>
      </c>
      <c r="KS102" s="95">
        <f>KR102*(VLOOKUP($KP$9,各项系数!$D$1:$F$143,2,0))</f>
        <v>3.07605439131833</v>
      </c>
      <c r="KT102" s="304">
        <f>各项系数!$F$76/4*($NI102^2-$NF102^2)*10^-2*(VLOOKUP($KT$9,各项系数!$D$1:$F$143,3,0))*10^-3*10^2*各项系数!$J$4</f>
        <v>0.18224974540658</v>
      </c>
      <c r="KU102" s="127">
        <v>1</v>
      </c>
      <c r="KV102" s="95">
        <f t="shared" si="417"/>
        <v>0.18224974540658</v>
      </c>
      <c r="KW102" s="95">
        <f>KV102*(VLOOKUP($KT$9,各项系数!$D$1:$F$143,2,0))</f>
        <v>3.09824567191187</v>
      </c>
      <c r="KX102" s="95">
        <f>各项系数!$F$76/4*($NH102^2-$NE102^2)*10^-2*(VLOOKUP($KX$9,各项系数!$D$1:$F$143,3,0))*10^-3*10^2*各项系数!$J$4</f>
        <v>0.180944375959902</v>
      </c>
      <c r="KY102" s="481">
        <v>1</v>
      </c>
      <c r="KZ102" s="95">
        <f t="shared" si="418"/>
        <v>0.180944375959902</v>
      </c>
      <c r="LA102" s="95">
        <f>KZ102*(VLOOKUP($KX$9,各项系数!$D$1:$F$143,2,0))</f>
        <v>3.07605439131833</v>
      </c>
      <c r="LB102" s="95">
        <f>各项系数!$F$76/4*($NI102^2-$NF102^2)*10^-2*(VLOOKUP($LB$9,各项系数!$D$1:$F$143,3,0))*10^-3*10^2*各项系数!$J$4</f>
        <v>0.18224974540658</v>
      </c>
      <c r="LC102" s="481">
        <v>1</v>
      </c>
      <c r="LD102" s="95">
        <f t="shared" si="419"/>
        <v>0.18224974540658</v>
      </c>
      <c r="LE102" s="95">
        <f>LD102*(VLOOKUP($LB$9,各项系数!$D$1:$F$143,2,0))</f>
        <v>3.09824567191187</v>
      </c>
      <c r="LF102" s="304">
        <f>各项系数!$F$76/4*($NH102^2-$NE102^2)*10^-2*(VLOOKUP(AN102,各项系数!$D$1:$F$143,3,0))*10^-3*10^2*各项系数!$J$4</f>
        <v>0.183440160455901</v>
      </c>
      <c r="LG102" s="127">
        <v>1</v>
      </c>
      <c r="LH102" s="95">
        <f t="shared" si="480"/>
        <v>0.183440160455901</v>
      </c>
      <c r="LI102" s="95">
        <f>LH102*(VLOOKUP(AN102,各项系数!$D$1:$F$143,2,0))</f>
        <v>1.83440160455901</v>
      </c>
      <c r="LJ102" s="304">
        <f>各项系数!$F$76/4*($NI102^2-$NF102^2)*10^-2*(VLOOKUP(AN102,各项系数!$D$1:$F$143,3,0))*10^-3*10^2*各项系数!$J$4</f>
        <v>0.184763534998395</v>
      </c>
      <c r="LK102" s="127">
        <v>1</v>
      </c>
      <c r="LL102" s="95">
        <f t="shared" si="481"/>
        <v>0.184763534998395</v>
      </c>
      <c r="LM102" s="95">
        <f>LL102*(VLOOKUP(AN102,各项系数!$D$1:$F$143,2,0))</f>
        <v>1.84763534998395</v>
      </c>
      <c r="LN102" s="95">
        <f>各项系数!$F$76/4*($NH102^2-$NE102^2)*10^-2*(VLOOKUP($LN$9,各项系数!$D$1:$F$143,3,0))*10^-3*10^2*各项系数!$J$4</f>
        <v>0.183440160455901</v>
      </c>
      <c r="LO102" s="481">
        <v>1</v>
      </c>
      <c r="LP102" s="95">
        <f t="shared" si="482"/>
        <v>0.183440160455901</v>
      </c>
      <c r="LQ102" s="95">
        <f>LP102*(VLOOKUP($LN$9,各项系数!$D$1:$F$143,2,0))</f>
        <v>2.01784176501491</v>
      </c>
      <c r="LR102" s="95">
        <f>各项系数!$F$76/4*($NI102^2-$NF102^2)*10^-2*(VLOOKUP($LR$9,各项系数!$D$1:$F$143,3,0))*10^-3*10^2*各项系数!$J$4</f>
        <v>0.184763534998395</v>
      </c>
      <c r="LS102" s="481">
        <v>1</v>
      </c>
      <c r="LT102" s="95">
        <f t="shared" si="483"/>
        <v>0.184763534998395</v>
      </c>
      <c r="LU102" s="95">
        <f>LT102*(VLOOKUP($LR$9,各项系数!$D$1:$F$143,2,0))</f>
        <v>2.03239888498235</v>
      </c>
      <c r="LV102" s="501">
        <f t="shared" si="420"/>
        <v>91.78599122</v>
      </c>
      <c r="LW102" s="501">
        <f t="shared" si="421"/>
        <v>71.38910428</v>
      </c>
      <c r="LX102" s="501">
        <f t="shared" si="422"/>
        <v>9.53390951459674</v>
      </c>
      <c r="LY102" s="519">
        <f t="shared" si="423"/>
        <v>20.39688694</v>
      </c>
      <c r="LZ102" s="516">
        <f t="shared" si="365"/>
        <v>1</v>
      </c>
      <c r="MA102" s="517">
        <f t="shared" si="366"/>
        <v>91.78599122</v>
      </c>
      <c r="MB102" s="501">
        <f t="shared" si="424"/>
        <v>6.24140886</v>
      </c>
      <c r="MC102" s="501">
        <f t="shared" si="425"/>
        <v>19.34156968</v>
      </c>
      <c r="MD102" s="501">
        <f t="shared" si="426"/>
        <v>15.04344305</v>
      </c>
      <c r="ME102" s="501">
        <f t="shared" si="427"/>
        <v>4.37651763166006</v>
      </c>
      <c r="MF102" s="501">
        <f t="shared" si="428"/>
        <v>4.29812663</v>
      </c>
      <c r="MG102" s="527">
        <f t="shared" si="429"/>
        <v>1</v>
      </c>
      <c r="MH102" s="517">
        <f t="shared" si="367"/>
        <v>19.34156968</v>
      </c>
      <c r="MI102" s="501">
        <f t="shared" si="430"/>
        <v>4.96250454647919</v>
      </c>
      <c r="MJ102" s="95">
        <f t="shared" si="368"/>
        <v>6.24140886</v>
      </c>
      <c r="MK102" s="95">
        <f t="shared" si="431"/>
        <v>6.24140886</v>
      </c>
      <c r="ML102" s="95">
        <f t="shared" si="484"/>
        <v>4.96250454620067</v>
      </c>
      <c r="MM102" s="95">
        <f t="shared" si="369"/>
        <v>4.96250454647919</v>
      </c>
      <c r="MN102" s="95">
        <f t="shared" si="370"/>
        <v>8.04140886</v>
      </c>
      <c r="MO102" s="251">
        <f t="shared" si="432"/>
        <v>6.36250454647919</v>
      </c>
      <c r="MP102" s="95">
        <f t="shared" si="433"/>
        <v>18.44447233</v>
      </c>
      <c r="MQ102" s="95">
        <f t="shared" si="485"/>
        <v>18.44447233</v>
      </c>
      <c r="MR102" s="314">
        <f t="shared" si="434"/>
        <v>18.44447233</v>
      </c>
      <c r="MS102" s="530">
        <f t="shared" si="371"/>
        <v>18.62047233</v>
      </c>
      <c r="MT102" s="532">
        <f t="shared" si="372"/>
        <v>18.78047233</v>
      </c>
      <c r="MU102" s="532">
        <f t="shared" si="373"/>
        <v>19.22047233</v>
      </c>
      <c r="MV102" s="532">
        <f t="shared" si="374"/>
        <v>22.22047233</v>
      </c>
      <c r="MW102" s="532">
        <f t="shared" si="375"/>
        <v>22.38047233</v>
      </c>
      <c r="MX102" s="314">
        <f t="shared" si="376"/>
        <v>6.84140886</v>
      </c>
      <c r="MY102" s="314">
        <f t="shared" si="377"/>
        <v>5.56250454647919</v>
      </c>
      <c r="MZ102" s="95">
        <f t="shared" si="378"/>
        <v>8.64140886</v>
      </c>
      <c r="NA102" s="95">
        <f t="shared" si="379"/>
        <v>7.36250454647919</v>
      </c>
      <c r="NB102" s="95">
        <f t="shared" si="435"/>
        <v>20.13847233</v>
      </c>
      <c r="NC102" s="314">
        <f t="shared" si="486"/>
        <v>20.13847233</v>
      </c>
      <c r="ND102" s="314">
        <f t="shared" si="436"/>
        <v>20.13847233</v>
      </c>
      <c r="NE102" s="537">
        <f t="shared" si="437"/>
        <v>20.37847233</v>
      </c>
      <c r="NF102" s="532">
        <f t="shared" si="380"/>
        <v>20.53847233</v>
      </c>
      <c r="NG102" s="180">
        <f t="shared" si="381"/>
        <v>20.97847233</v>
      </c>
      <c r="NH102" s="314">
        <f t="shared" si="382"/>
        <v>23.97847233</v>
      </c>
      <c r="NI102" s="532">
        <f t="shared" si="383"/>
        <v>24.13847233</v>
      </c>
      <c r="NK102" s="541">
        <f t="shared" si="384"/>
        <v>1.13960297019523</v>
      </c>
      <c r="NL102" s="541">
        <f t="shared" si="385"/>
        <v>53.6342784911827</v>
      </c>
      <c r="NM102" s="541">
        <f t="shared" si="386"/>
        <v>1.13960297019523</v>
      </c>
      <c r="NN102" s="541">
        <f t="shared" si="387"/>
        <v>53.803178073853</v>
      </c>
      <c r="NO102" s="541">
        <f t="shared" si="388"/>
        <v>1.59443235786536</v>
      </c>
      <c r="NP102" s="541">
        <f t="shared" si="389"/>
        <v>55.1431407218282</v>
      </c>
      <c r="NQ102" s="541">
        <f t="shared" si="390"/>
        <v>1.59443235786536</v>
      </c>
      <c r="NR102" s="541">
        <f t="shared" si="391"/>
        <v>55.3265808822841</v>
      </c>
      <c r="NS102" s="541">
        <f t="shared" si="392"/>
        <v>1.16572441206113</v>
      </c>
      <c r="NT102" s="541">
        <f t="shared" si="393"/>
        <v>1.16572441206113</v>
      </c>
      <c r="NU102" s="541">
        <f t="shared" si="394"/>
        <v>1.62300943261529</v>
      </c>
      <c r="NV102" s="541">
        <f t="shared" si="395"/>
        <v>1.62300943261529</v>
      </c>
      <c r="NW102" s="11">
        <f t="shared" si="396"/>
        <v>1.27835295209258</v>
      </c>
      <c r="NX102" s="11">
        <f>各项系数!$M$9*NK102</f>
        <v>0.341880891058569</v>
      </c>
      <c r="NY102" s="11">
        <f t="shared" si="397"/>
        <v>1.16572441206113</v>
      </c>
    </row>
    <row r="103" s="11" customFormat="1" customHeight="1" spans="1:389">
      <c r="A103" s="81"/>
      <c r="B103" s="82"/>
      <c r="C103" s="83"/>
      <c r="D103" s="74" t="s">
        <v>323</v>
      </c>
      <c r="E103" s="550">
        <f t="shared" si="325"/>
        <v>24.23554067</v>
      </c>
      <c r="F103" s="84">
        <f>$F$23</f>
        <v>245.05464536043</v>
      </c>
      <c r="G103" s="74"/>
      <c r="H103" s="23"/>
      <c r="I103" s="174">
        <f>$F$21</f>
        <v>165.416818206689</v>
      </c>
      <c r="J103" s="78"/>
      <c r="K103" s="23"/>
      <c r="L103" s="128" t="s">
        <v>467</v>
      </c>
      <c r="M103" s="119">
        <f t="shared" si="339"/>
        <v>0.9</v>
      </c>
      <c r="N103" s="119">
        <f t="shared" si="340"/>
        <v>0.7</v>
      </c>
      <c r="O103" s="74">
        <f t="shared" si="493"/>
        <v>0.08</v>
      </c>
      <c r="P103" s="120">
        <v>0.1</v>
      </c>
      <c r="Q103" s="165">
        <f t="shared" si="489"/>
        <v>0.1</v>
      </c>
      <c r="R103" s="182">
        <v>0.8</v>
      </c>
      <c r="S103" s="173" t="str">
        <f>各项系数!$D$43</f>
        <v>钢带</v>
      </c>
      <c r="T103" s="78">
        <v>0.2</v>
      </c>
      <c r="U103" s="78">
        <v>2</v>
      </c>
      <c r="V103" s="172"/>
      <c r="W103" s="174">
        <v>1.8</v>
      </c>
      <c r="X103" s="168">
        <f t="shared" si="490"/>
        <v>0.2</v>
      </c>
      <c r="Y103" s="221"/>
      <c r="Z103" s="222"/>
      <c r="AA103" s="223">
        <f>$AA$23</f>
        <v>1.011</v>
      </c>
      <c r="AB103" s="186">
        <f>PI()*EJ103*EJ103/4*EH103*(1-H103)*AA103*各项系数!$F$5*各项系数!$J$4*10^-7</f>
        <v>0.295249926304339</v>
      </c>
      <c r="AC103" s="224">
        <f t="shared" si="327"/>
        <v>245.05464536043</v>
      </c>
      <c r="AD103" s="186">
        <f t="shared" si="341"/>
        <v>33.3783570613855</v>
      </c>
      <c r="AE103" s="186">
        <f>POWER(4*EU103/PI()/EG103/10^-7/EH103/(1-H103)/各项系数!$F$5/各项系数!$J$4,0.5)</f>
        <v>246.398759704805</v>
      </c>
      <c r="AF103" s="225">
        <f>$AA$21</f>
        <v>1.011</v>
      </c>
      <c r="AG103" s="23">
        <f>IF(EM103=0,0,PI()*ER103*ER103/4*EP103*(1-K103)*(1+AF103)*各项系数!$F$5*各项系数!$J$4*10^-7)</f>
        <v>0.267598798728909</v>
      </c>
      <c r="AH103" s="23">
        <f t="shared" si="328"/>
        <v>165.416818206689</v>
      </c>
      <c r="AI103" s="85">
        <f t="shared" si="398"/>
        <v>15.2089209566661</v>
      </c>
      <c r="AJ103" s="85">
        <f>IF(OR(EP103="",EP103=0),0,POWER(4*EW103/PI()/EO103/10^-7/EP103/(1-K103)/各项系数!$F$5/各项系数!$J$4,0.5))</f>
        <v>166.32412244418</v>
      </c>
      <c r="AK103" s="23">
        <f t="shared" si="342"/>
        <v>1.02028104968125</v>
      </c>
      <c r="AL103" s="23">
        <f t="shared" si="329"/>
        <v>72.2746375059933</v>
      </c>
      <c r="AM103" s="127">
        <f t="shared" si="330"/>
        <v>35</v>
      </c>
      <c r="AN103" s="128" t="s">
        <v>486</v>
      </c>
      <c r="AO103" s="176">
        <f>AP103+各项系数!$M$9*$NK103</f>
        <v>70.8574877509738</v>
      </c>
      <c r="AP103" s="176">
        <f>AQ103*(1+$BI103+(VLOOKUP($AM103,$A$12:$B$323,2,0))+各项系数!$J$6+各项系数!$M$5)*(1+$E$2)</f>
        <v>70.4272073630509</v>
      </c>
      <c r="AQ103" s="262">
        <f>AR103+各项系数!$L$9*$NK103</f>
        <v>71.8644973092356</v>
      </c>
      <c r="AR103" s="262">
        <f>AS103*(1+$BJ103+各项系数!$J$5+各项系数!$L$5)</f>
        <v>71.4342169213127</v>
      </c>
      <c r="AS103" s="262">
        <f t="shared" si="399"/>
        <v>70.033546001287</v>
      </c>
      <c r="AT103" s="176">
        <f>AU103+各项系数!$M$9*$NM103</f>
        <v>72.1130299867234</v>
      </c>
      <c r="AU103" s="176">
        <f>AV103*(1+$BI103+(VLOOKUP($AM103,$A$12:$B$323,2,0))+各项系数!$J$6+各项系数!$M$5)*(1+$E$2)</f>
        <v>71.6827495988005</v>
      </c>
      <c r="AV103" s="262">
        <f>AW103+各项系数!$L$9*$NM103</f>
        <v>73.1456628559189</v>
      </c>
      <c r="AW103" s="262">
        <f>AX103*(1+$BJ103+各项系数!$J$5+各项系数!$L$5)</f>
        <v>72.715382467996</v>
      </c>
      <c r="AX103" s="262">
        <f t="shared" si="400"/>
        <v>71.289590654898</v>
      </c>
      <c r="AY103" s="176">
        <f>AZ103+各项系数!$M$9*$NS103</f>
        <v>72.8403135578038</v>
      </c>
      <c r="AZ103" s="176">
        <f>BA103*(1+$BI103+(VLOOKUP($AM103,$A$12:$B$214,2,0))+各项系数!$J$6+各项系数!$M$5)*(1+$E$2)</f>
        <v>72.4013523229732</v>
      </c>
      <c r="BA103" s="262">
        <f>BB103+各项系数!$L$9*$NS103</f>
        <v>73.8789309418094</v>
      </c>
      <c r="BB103" s="262">
        <f>BC103*(1+$BJ103+各项系数!$J$5+各项系数!$L$5)</f>
        <v>73.4399697069787</v>
      </c>
      <c r="BC103" s="262">
        <f t="shared" si="401"/>
        <v>71.9999703009595</v>
      </c>
      <c r="BD103" s="176">
        <f>BE103+各项系数!$M$9*$NS103</f>
        <v>74.104809745708</v>
      </c>
      <c r="BE103" s="176">
        <f>BF103*(1+$BI103+(VLOOKUP($AM103,$A$12:$B$214,2,0))+各项系数!$J$6+各项系数!$M$5)*(1+$E$2)</f>
        <v>73.6658485108773</v>
      </c>
      <c r="BF103" s="262">
        <f>BG103+各项系数!$L$9*$NS103</f>
        <v>75.1692331743646</v>
      </c>
      <c r="BG103" s="262">
        <f>BH103*(1+$BJ103+各项系数!$J$5+各项系数!$L$5)</f>
        <v>74.730271939534</v>
      </c>
      <c r="BH103" s="262">
        <f t="shared" si="402"/>
        <v>73.2649724897392</v>
      </c>
      <c r="BI103" s="278"/>
      <c r="BJ103" s="279"/>
      <c r="BK103" s="95" t="s">
        <v>514</v>
      </c>
      <c r="BL103" s="176">
        <f>BM103+各项系数!$M$9*$NM103</f>
        <v>71.7311272219705</v>
      </c>
      <c r="BM103" s="176">
        <f>BN103*(1+$CF103+(VLOOKUP($AM103,$A$12:$B$323,2,0))+各项系数!$J$6+各项系数!$M$5)*(1+$E$2)</f>
        <v>71.3008468340476</v>
      </c>
      <c r="BN103" s="262">
        <f>BO103+各项系数!$L$9*$NM103</f>
        <v>72.7559661571914</v>
      </c>
      <c r="BO103" s="262">
        <f>BP103*(1+$CG103+各项系数!$J$5+各项系数!$L$5)</f>
        <v>72.3256857692685</v>
      </c>
      <c r="BP103" s="262">
        <f t="shared" si="403"/>
        <v>70.2191123973481</v>
      </c>
      <c r="BQ103" s="176">
        <f>BR103+各项系数!$M$9*$NM103</f>
        <v>72.8116679751414</v>
      </c>
      <c r="BR103" s="176">
        <f>BS103*(1+$CF103+(VLOOKUP($AM103,$A$12:$B$323,2,0))+各项系数!$J$6+各项系数!$M$5)*(1+$E$2)</f>
        <v>72.3813875872185</v>
      </c>
      <c r="BS103" s="262">
        <f>BT103+各项系数!$L$9*$NM103</f>
        <v>73.8585587624679</v>
      </c>
      <c r="BT103" s="262">
        <f>BU103*(1+$CG103+各项系数!$J$5+各项系数!$L$5)</f>
        <v>73.428278374545</v>
      </c>
      <c r="BU103" s="262">
        <f t="shared" si="404"/>
        <v>71.289590654898</v>
      </c>
      <c r="BV103" s="176">
        <f>BW103+各项系数!$M$9*$NT103</f>
        <v>73.3124759261584</v>
      </c>
      <c r="BW103" s="176">
        <f>BX103*(1+$CF103+(VLOOKUP($AM103,$A$12:$B$214,2,0))+各项系数!$J$6+各项系数!$M$5)*(1+$E$2)</f>
        <v>72.8735146913277</v>
      </c>
      <c r="BX103" s="262">
        <f>BY103+各项系数!$L$9*$NT$12</f>
        <v>74.360729276865</v>
      </c>
      <c r="BY103" s="262">
        <f>BZ103*(1+$CG103+各项系数!$J$5+各项系数!$L$5)</f>
        <v>74.35246587371</v>
      </c>
      <c r="BZ103" s="262">
        <f t="shared" si="343"/>
        <v>72.1868600715631</v>
      </c>
      <c r="CA103" s="176">
        <f>CB103+各项系数!$M$9*$NT103</f>
        <v>74.4007226010653</v>
      </c>
      <c r="CB103" s="176">
        <f>CC103*(1+$CF103+(VLOOKUP($AM103,$A$12:$B$214,2,0))+各项系数!$J$6+各项系数!$M$5)*(1+$E$2)</f>
        <v>73.9617613662346</v>
      </c>
      <c r="CC103" s="262">
        <f>CD103+各项系数!$L$9*$NT$12</f>
        <v>75.4711850675863</v>
      </c>
      <c r="CD103" s="262">
        <f>CE103*(1+$CG103+各项系数!$J$5+各项系数!$L$5)</f>
        <v>75.4629216644314</v>
      </c>
      <c r="CE103" s="262">
        <f t="shared" si="405"/>
        <v>73.2649724897392</v>
      </c>
      <c r="CF103" s="278">
        <f t="shared" si="406"/>
        <v>0</v>
      </c>
      <c r="CG103" s="278">
        <f t="shared" si="344"/>
        <v>0.01</v>
      </c>
      <c r="CH103" s="127"/>
      <c r="CI103" s="176">
        <f>CJ103+各项系数!$M$9*$NO103</f>
        <v>73.2710895931546</v>
      </c>
      <c r="CJ103" s="176">
        <f>CK103*(1+$DC103+(VLOOKUP($AM103,$A$12:$B$323,2,0))+各项系数!$J$6+各项系数!$M$5)*(1+$E$2)+各项系数!$M$9*$NK103</f>
        <v>72.6798793319832</v>
      </c>
      <c r="CK103" s="262">
        <f>CL103+各项系数!$L$9*$NO103</f>
        <v>73.7240805551636</v>
      </c>
      <c r="CL103" s="262">
        <f>CM103*(1+$DD103+各项系数!$J$5+各项系数!$L$5)</f>
        <v>73.1328702939922</v>
      </c>
      <c r="CM103" s="262">
        <f t="shared" si="345"/>
        <v>71.6988924450904</v>
      </c>
      <c r="CN103" s="176">
        <f>CO103+各项系数!$M$9*$NO103</f>
        <v>74.3812842133588</v>
      </c>
      <c r="CO103" s="176">
        <f>CP103*(1+$DC103+(VLOOKUP($AM103,$A$12:$B$323,2,0))+各项系数!$J$6+各项系数!$M$5)*(1+$E$2)+各项系数!$M$9*$NK103</f>
        <v>73.7900739521874</v>
      </c>
      <c r="CP103" s="262">
        <f>CQ103+各项系数!$L$9*$NO103</f>
        <v>74.8569322084332</v>
      </c>
      <c r="CQ103" s="262">
        <f>CR103*(1+$DD103+各项系数!$J$5+各项系数!$L$5)</f>
        <v>74.2657219472618</v>
      </c>
      <c r="CR103" s="262">
        <f t="shared" si="346"/>
        <v>72.8095313208449</v>
      </c>
      <c r="CS103" s="176">
        <f>CT103+各项系数!$M$9*$NU103</f>
        <v>74.9907825755784</v>
      </c>
      <c r="CT103" s="176">
        <f t="shared" si="347"/>
        <v>74.390154777634</v>
      </c>
      <c r="CU103" s="262">
        <f>CV103+各项系数!$L$9*$NU103</f>
        <v>75.9083212016674</v>
      </c>
      <c r="CV103" s="262">
        <f>CW103*(1+$DD103+各项系数!$J$5+各项系数!$L$5)</f>
        <v>75.307693403723</v>
      </c>
      <c r="CW103" s="262">
        <f t="shared" si="348"/>
        <v>73.8310719644343</v>
      </c>
      <c r="CX103" s="176">
        <f>CY103+各项系数!$M$9*$NU103</f>
        <v>76.3536603127803</v>
      </c>
      <c r="CY103" s="176">
        <f t="shared" si="349"/>
        <v>75.753032514836</v>
      </c>
      <c r="CZ103" s="262">
        <f>DA103+各项系数!$L$9*$NU103</f>
        <v>77.2990127702408</v>
      </c>
      <c r="DA103" s="262">
        <f>DB103*(1+$DD103+各项系数!$J$5+各项系数!$L$5)</f>
        <v>76.6983849722964</v>
      </c>
      <c r="DB103" s="262">
        <f t="shared" si="350"/>
        <v>75.1944950708788</v>
      </c>
      <c r="DC103" s="278">
        <f t="shared" si="498"/>
        <v>0</v>
      </c>
      <c r="DD103" s="278">
        <f t="shared" si="351"/>
        <v>0</v>
      </c>
      <c r="DE103" s="95" t="s">
        <v>498</v>
      </c>
      <c r="DF103" s="95" t="s">
        <v>513</v>
      </c>
      <c r="DG103" s="176">
        <f>DH103+各项系数!$M$9*$NQ103</f>
        <v>74.1757267185174</v>
      </c>
      <c r="DH103" s="176">
        <f>DI103*(1+$EA103+(VLOOKUP($AM103,$A$12:$B$323,2,0))+各项系数!$J$6+各项系数!$M$5)*(1+$E$2)+各项系数!$M$9*$NK103</f>
        <v>73.584516457346</v>
      </c>
      <c r="DI103" s="262">
        <f>DJ103+各项系数!$L$9*$NQ103</f>
        <v>74.6471796626767</v>
      </c>
      <c r="DJ103" s="262">
        <f>DK103*(1+$EB103+各项系数!$J$5+各项系数!$L$5)</f>
        <v>74.0559694015053</v>
      </c>
      <c r="DK103" s="262">
        <f t="shared" si="352"/>
        <v>71.8989994189372</v>
      </c>
      <c r="DL103" s="176">
        <f>DM103+各项系数!$M$9*$NQ103</f>
        <v>75.3409362867624</v>
      </c>
      <c r="DM103" s="176">
        <f>DN103*(1+$EA103+(VLOOKUP($AM103,$A$12:$B$323,2,0))+各项系数!$J$6+各项系数!$M$5)*(1+$E$2)+各项系数!$M$9*$NK103</f>
        <v>74.749726025591</v>
      </c>
      <c r="DN103" s="262">
        <f>DO103+各项系数!$L$9*$NQ103</f>
        <v>75.8361690180287</v>
      </c>
      <c r="DO103" s="262">
        <f>DP103*(1+$EB103+各项系数!$J$5+各项系数!$L$5)</f>
        <v>75.2449587568573</v>
      </c>
      <c r="DP103" s="262">
        <f t="shared" si="353"/>
        <v>73.0533580163663</v>
      </c>
      <c r="DQ103" s="176">
        <f>DR103+各项系数!$M$9*$NV103</f>
        <v>75.917650874494</v>
      </c>
      <c r="DR103" s="176">
        <f t="shared" si="354"/>
        <v>75.3170230765496</v>
      </c>
      <c r="DS103" s="262">
        <f>DT103+各项系数!$L$9*$NV103</f>
        <v>76.8541051801527</v>
      </c>
      <c r="DT103" s="262">
        <f>DU103*(1+$EB103+各项系数!$J$5+各项系数!$L$5)</f>
        <v>76.2534773822083</v>
      </c>
      <c r="DU103" s="262">
        <f t="shared" si="355"/>
        <v>74.0325023128236</v>
      </c>
      <c r="DV103" s="176">
        <f>DW103+各项系数!$M$9*$NV103</f>
        <v>75.9624463032386</v>
      </c>
      <c r="DW103" s="176">
        <f t="shared" si="356"/>
        <v>75.3618185052943</v>
      </c>
      <c r="DX103" s="262">
        <f>DY103+各项系数!$L$9*$NV103</f>
        <v>76.8998148013207</v>
      </c>
      <c r="DY103" s="262">
        <f>DZ103*(1+$EB103+各项系数!$J$5+各项系数!$L$5)</f>
        <v>76.2991870033764</v>
      </c>
      <c r="DZ103" s="262">
        <f t="shared" si="357"/>
        <v>74.0768805858023</v>
      </c>
      <c r="EA103" s="278">
        <f t="shared" si="492"/>
        <v>0</v>
      </c>
      <c r="EB103" s="278">
        <f t="shared" si="358"/>
        <v>0.01</v>
      </c>
      <c r="EC103" s="302" t="str">
        <f t="shared" si="408"/>
        <v>3+1</v>
      </c>
      <c r="ED103" s="304" t="str">
        <f t="shared" si="494"/>
        <v>3*35</v>
      </c>
      <c r="EE103" s="95">
        <f t="shared" si="495"/>
        <v>35</v>
      </c>
      <c r="EF103" s="95" t="str">
        <f>LOOKUP(EH103,{1,7,10,14,19,24,30,37,48,61},{1,"1+6","2+8","4+10","1+6+12","2+8+14","4+10+16","1+6+12+18","3+9+15+21","1+6+12+18+24"})</f>
        <v>1+6</v>
      </c>
      <c r="EG103" s="127">
        <f t="shared" si="359"/>
        <v>3</v>
      </c>
      <c r="EH103" s="262">
        <f>VLOOKUP(EE103,各项系数!$B$87:$C$124,2,0)</f>
        <v>7</v>
      </c>
      <c r="EI103" s="127">
        <f>IF(EH103=0,0,VLOOKUP(EH103,各项系数!$D$142:$E$195,2,0))*1</f>
        <v>3</v>
      </c>
      <c r="EJ103" s="307">
        <f t="shared" si="409"/>
        <v>245.05464536043</v>
      </c>
      <c r="EK103" s="95" t="str">
        <f t="shared" si="332"/>
        <v>1*16</v>
      </c>
      <c r="EL103" s="95" t="str">
        <f t="shared" si="360"/>
        <v>16</v>
      </c>
      <c r="EM103" s="95">
        <f t="shared" si="496"/>
        <v>16</v>
      </c>
      <c r="EN103" s="95" t="str">
        <f>IF(EP103=0,0,LOOKUP(EP103,{1,7,10,14,19,24,30,37,48,61},{1,"1+6","2+8","4+10","1+6+12","2+8+14","4+10+16","1+6+12+18","3+9+15+21","1+6+12+18+24"}))</f>
        <v>1+6</v>
      </c>
      <c r="EO103" s="95" t="str">
        <f t="shared" si="334"/>
        <v>1</v>
      </c>
      <c r="EP103" s="95">
        <f>IF(EM103=0,0,IF(EM103&lt;10,1,IF(AND(EM103&gt;=10,EM103&lt;=35),7,LOOKUP(EM103,{50,70,95,120,150,185,240,300},{10,14,19,24,30,37,48,61})*1)))</f>
        <v>7</v>
      </c>
      <c r="EQ103" s="95">
        <f>IF(EP103=0,0,VLOOKUP(EP103,各项系数!$D$142:$E$195,2,0))*1</f>
        <v>3</v>
      </c>
      <c r="ER103" s="95">
        <f t="shared" si="335"/>
        <v>165.416818206689</v>
      </c>
      <c r="ES103" s="304">
        <f t="shared" si="497"/>
        <v>4</v>
      </c>
      <c r="ET103" s="95">
        <f>VLOOKUP(ES103,各项系数!$D$142:$E$195,2,0)*1</f>
        <v>2.42</v>
      </c>
      <c r="EU103" s="311">
        <f>((各项系数!$F$76/4*$EJ103^2*$EG103*$EH103*1*10^-7)*(1-$H103)*AA103)*(VLOOKUP($EY$9,各项系数!$D$4:$F$143,3,0))*各项系数!$J$4</f>
        <v>0.885749778913017</v>
      </c>
      <c r="EV103" s="312">
        <f>EU103*(VLOOKUP($EY$9,各项系数!$D$4:$F$143,2,0))</f>
        <v>58.0166105188026</v>
      </c>
      <c r="EW103" s="324">
        <f>(IF($EO103=0,0,(各项系数!$F$76/4*$ER103^2*$EO103*$EP103*1*10^-7))*(1-$K103)*$AF103)*(VLOOKUP($EY$9,各项系数!$D$4:$F$143,3,0))*各项系数!$J$4</f>
        <v>0.134531270768238</v>
      </c>
      <c r="EX103" s="325">
        <f>EW103*(VLOOKUP($EY$9,各项系数!$D$4:$F$143,2,0))</f>
        <v>8.81179823531959</v>
      </c>
      <c r="EY103" s="251">
        <f>((各项系数!$F$76/4*$EJ103^2*$EG103*$EH103*1*10^-7)*(1-$H103)*AA103+IF($EO103=0,0,(各项系数!$F$76/4*$ER103^2*$EO103*$EP103*1*10^-7))*(1-$K103)*$AF103)*(VLOOKUP($EY$9,各项系数!$D$4:$F$143,3,0))*各项系数!$J$4</f>
        <v>1.02028104968125</v>
      </c>
      <c r="EZ103" s="127">
        <v>1</v>
      </c>
      <c r="FA103" s="95">
        <f t="shared" si="445"/>
        <v>1.02028104968125</v>
      </c>
      <c r="FB103" s="314">
        <f>FA103*(VLOOKUP($EY$9,各项系数!$D$4:$F$143,2,0))</f>
        <v>66.8284087541222</v>
      </c>
      <c r="FC103" s="329"/>
      <c r="FD103" s="304">
        <f>各项系数!$F$76/4*($MN103^2-MK103^2)*10^-2*(VLOOKUP(L103,各项系数!$D$1:$F$143,3,0))*10^-3*10^2*$EG103*各项系数!$J$4</f>
        <v>0.0766072091492401</v>
      </c>
      <c r="FE103" s="341">
        <f>FD103*VLOOKUP(L103,各项系数!$D$1:$F$143,2,0)</f>
        <v>0.781393533322249</v>
      </c>
      <c r="FF103" s="127">
        <f>各项系数!$F$76/4*($MO103^2-ML103^2)*10^-2*(VLOOKUP(L103,各项系数!$D$1:$F$143,3,0))*10^-3*10^2*$EO103*各项系数!$J$4</f>
        <v>0.0136292589308284</v>
      </c>
      <c r="FG103" s="341">
        <f>FF103*VLOOKUP(L103,各项系数!$D$1:$F$143,2,0)</f>
        <v>0.13901844109445</v>
      </c>
      <c r="FH103" s="304">
        <f t="shared" si="410"/>
        <v>0.0902364680800686</v>
      </c>
      <c r="FI103" s="127">
        <v>1</v>
      </c>
      <c r="FJ103" s="95">
        <f t="shared" si="446"/>
        <v>0.0902364680800686</v>
      </c>
      <c r="FK103" s="341">
        <f>FJ103*VLOOKUP(L103,各项系数!$D$1:$F$143,2,0)</f>
        <v>0.920411974416699</v>
      </c>
      <c r="FL103" s="304"/>
      <c r="FM103" s="127"/>
      <c r="FN103" s="95"/>
      <c r="FO103" s="341"/>
      <c r="FP103" s="371">
        <f t="shared" si="447"/>
        <v>0.0902364680800686</v>
      </c>
      <c r="FQ103" s="371">
        <f t="shared" si="448"/>
        <v>0.920411974416699</v>
      </c>
      <c r="FR103" s="365">
        <f>各项系数!$F$76/4*($MQ103^2-$MN103^2*$EG103-$MO103^2*$EO103)*10^-2</f>
        <v>0.996307666303251</v>
      </c>
      <c r="FS103" s="366">
        <f t="shared" si="411"/>
        <v>1</v>
      </c>
      <c r="FT103" s="367">
        <f t="shared" si="361"/>
        <v>0.996307666303251</v>
      </c>
      <c r="FU103" s="395">
        <f>$FT103*(VLOOKUP($FT$9,各项系数!$D$1:$F$143,3,0))*10^-3*10^2*各项系数!$J$55</f>
        <v>0.118959135356608</v>
      </c>
      <c r="FV103" s="396">
        <v>1</v>
      </c>
      <c r="FW103" s="397">
        <f t="shared" si="449"/>
        <v>0.118959135356608</v>
      </c>
      <c r="FX103" s="372">
        <f>FW103*(VLOOKUP($FT$9,各项系数!$D$1:$F$143,2,0))</f>
        <v>0.356877406069824</v>
      </c>
      <c r="FY103" s="395">
        <f>IF($BK103&lt;&gt;$FY$9,0,各项系数!$F$76/4*($MS103^2-$MQ103^2)*10^-2*(VLOOKUP($FY$9,各项系数!$D$1:$F$143,3,0))*10^-3*10^2)*各项系数!$J$4</f>
        <v>0</v>
      </c>
      <c r="FZ103" s="396">
        <v>1</v>
      </c>
      <c r="GA103" s="397">
        <f t="shared" si="450"/>
        <v>0</v>
      </c>
      <c r="GB103" s="372">
        <f>GA103*(VLOOKUP($FY$9,各项系数!$D$1:$F$143,2,0))</f>
        <v>0</v>
      </c>
      <c r="GC103" s="395">
        <f>IF($BK103&lt;&gt;$GC$9,0,各项系数!$F$76/4*($MS103^2-$MQ103^2)*10^-2*(VLOOKUP($GC$9,各项系数!$D$1:$F$143,3,0))*10^-3*10^2)*各项系数!$J$4</f>
        <v>0.00559565163309474</v>
      </c>
      <c r="GD103" s="396">
        <v>1</v>
      </c>
      <c r="GE103" s="397">
        <f t="shared" si="451"/>
        <v>0.00559565163309474</v>
      </c>
      <c r="GF103" s="372">
        <f>GE103*(VLOOKUP($GC$9,各项系数!$D$1:$F$143,2,0))</f>
        <v>0.0721839060669222</v>
      </c>
      <c r="GG103" s="395">
        <f>IF($BK103&lt;&gt;$GG$9,0,各项系数!$F$76/4*($MS103^2-$MQ103^2)*10^-2*(VLOOKUP($GG$9,各项系数!$D$1:$F$143,3,0))*10^-3*10^2)*各项系数!$J$4</f>
        <v>0</v>
      </c>
      <c r="GH103" s="396">
        <v>1</v>
      </c>
      <c r="GI103" s="397">
        <f t="shared" si="452"/>
        <v>0</v>
      </c>
      <c r="GJ103" s="372">
        <f>GI103*(VLOOKUP($GG$9,各项系数!$D$1:$F$143,2,0))</f>
        <v>0</v>
      </c>
      <c r="GK103" s="395">
        <f>IF($BK103&lt;&gt;$GK$9,0,各项系数!$F$76/4*($MS103^2-$MQ103^2)*10^-2*(VLOOKUP($GK$9,各项系数!$D$1:$F$143,3,0))*10^-3*10^2)*各项系数!$J$4</f>
        <v>0</v>
      </c>
      <c r="GL103" s="396">
        <v>1</v>
      </c>
      <c r="GM103" s="397">
        <f t="shared" si="453"/>
        <v>0</v>
      </c>
      <c r="GN103" s="372">
        <f>GM103*(VLOOKUP($GK$9,各项系数!$D$1:$F$143,2,0))</f>
        <v>0</v>
      </c>
      <c r="GO103" s="397">
        <f t="shared" si="454"/>
        <v>0.00559565163309474</v>
      </c>
      <c r="GP103" s="397">
        <f t="shared" si="455"/>
        <v>0.0721839060669222</v>
      </c>
      <c r="GQ103" s="408">
        <f>各项系数!$F$76/4*($MU103^2-$MS103^2)*10^-2*(VLOOKUP($S103,各项系数!$D$1:$F$143,3,0))*10^-3*10^2*各项系数!$J$4</f>
        <v>0.153527133906058</v>
      </c>
      <c r="GR103" s="396">
        <v>1</v>
      </c>
      <c r="GS103" s="397">
        <f t="shared" si="456"/>
        <v>0.153527133906058</v>
      </c>
      <c r="GT103" s="397">
        <f t="shared" si="457"/>
        <v>0</v>
      </c>
      <c r="GU103" s="397">
        <f>ROUND($GS103*(VLOOKUP($S103,各项系数!$D$1:$F$143,2,0))+$E$3*GS103,GT103)</f>
        <v>1</v>
      </c>
      <c r="GV103" s="406">
        <f>各项系数!$F$76/4*($MT103^2-$MS103^2)*10^-2*(VLOOKUP($GV$9,各项系数!$D$1:$F$143,3,0))*10^-3*10^2*各项系数!$J$4*PI()/4*R103</f>
        <v>0.0289361563592236</v>
      </c>
      <c r="GW103" s="396">
        <v>1</v>
      </c>
      <c r="GX103" s="397">
        <f t="shared" si="458"/>
        <v>0.0289361563592236</v>
      </c>
      <c r="GY103" s="397">
        <f>$GX103*(VLOOKUP($GV$9,各项系数!$D$1:$F$143,2,0))</f>
        <v>1.95319055424759</v>
      </c>
      <c r="GZ103" s="408">
        <f>各项系数!$F$76/4*($MV103^2-$MS103^2)*10^-2*(VLOOKUP($GZ$9,各项系数!$D$1:$F$143,3,0))*10^-3*10^2*各项系数!$J$4</f>
        <v>0.183041683189554</v>
      </c>
      <c r="HA103" s="396">
        <v>1</v>
      </c>
      <c r="HB103" s="397">
        <f t="shared" si="412"/>
        <v>0.183041683189554</v>
      </c>
      <c r="HC103" s="397">
        <f>HB103*(VLOOKUP($GZ$9,各项系数!$D$1:$F$143,2,0))</f>
        <v>3.11170861422242</v>
      </c>
      <c r="HD103" s="408">
        <f>各项系数!$F$76/4*($MW103^2-$MT103^2)*10^-2*(VLOOKUP($HD$9,各项系数!$D$1:$F$143,3,0))*10^-3*10^2*各项系数!$J$4</f>
        <v>0.184347052636233</v>
      </c>
      <c r="HE103" s="396">
        <v>1</v>
      </c>
      <c r="HF103" s="397">
        <f t="shared" si="413"/>
        <v>0.184347052636233</v>
      </c>
      <c r="HG103" s="397">
        <f>HF103*(VLOOKUP($HD$9,各项系数!$D$1:$F$143,2,0))</f>
        <v>3.13389989481595</v>
      </c>
      <c r="HH103" s="408">
        <f>各项系数!$F$76/4*($MV103^2-$MS103^2)*10^-2*(VLOOKUP($HH$9,各项系数!$D$1:$F$143,3,0))*10^-3*10^2*各项系数!$J$4</f>
        <v>0.183041683189554</v>
      </c>
      <c r="HI103" s="397">
        <v>1</v>
      </c>
      <c r="HJ103" s="397">
        <f t="shared" si="414"/>
        <v>0.183041683189554</v>
      </c>
      <c r="HK103" s="397">
        <f>HJ103*(VLOOKUP($HH$9,各项系数!$D$1:$F$143,2,0))</f>
        <v>3.11170861422242</v>
      </c>
      <c r="HL103" s="408">
        <f>各项系数!$F$76/4*($MW103^2-$MT103^2)*10^-2*(VLOOKUP($HL$9,各项系数!$D$1:$F$143,3,0))*10^-3*10^2*各项系数!$J$4</f>
        <v>0.184347052636233</v>
      </c>
      <c r="HM103" s="397">
        <v>1</v>
      </c>
      <c r="HN103" s="397">
        <f t="shared" si="362"/>
        <v>0.184347052636233</v>
      </c>
      <c r="HO103" s="397">
        <f>HN103*(VLOOKUP($HL$9,各项系数!$D$1:$F$143,2,0))</f>
        <v>3.13389989481595</v>
      </c>
      <c r="HP103" s="408">
        <f>各项系数!$F$76/4*($MV103^2-$MS103^2)*10^-2*(VLOOKUP(AN103,各项系数!$D$1:$F$143,3,0))*10^-3*10^2*各项系数!$J$4</f>
        <v>0.185566396061134</v>
      </c>
      <c r="HQ103" s="396">
        <v>1</v>
      </c>
      <c r="HR103" s="397">
        <f t="shared" si="459"/>
        <v>0.185566396061134</v>
      </c>
      <c r="HS103" s="397">
        <f>HR103*(VLOOKUP(AN103,各项系数!$D$1:$F$143,2,0))</f>
        <v>1.85566396061134</v>
      </c>
      <c r="HT103" s="408">
        <f>各项系数!$F$76/4*($MW103^2-$MT103^2)*10^-2*(VLOOKUP(AN103,各项系数!$D$1:$F$143,3,0))*10^-3*10^2*各项系数!$J$4</f>
        <v>0.186889770603629</v>
      </c>
      <c r="HU103" s="396">
        <v>1</v>
      </c>
      <c r="HV103" s="397">
        <f t="shared" si="460"/>
        <v>0.186889770603629</v>
      </c>
      <c r="HW103" s="397">
        <f>HV103*(VLOOKUP(AN103,各项系数!$D$1:$F$143,2,0))</f>
        <v>1.86889770603629</v>
      </c>
      <c r="HX103" s="408">
        <f>各项系数!$F$76/4*($MV103^2-$MS103^2)*10^-2*(VLOOKUP($HX$9,各项系数!$D$1:$F$143,3,0))*10^-3*10^2*各项系数!$J$4</f>
        <v>0.185566396061134</v>
      </c>
      <c r="HY103" s="397">
        <v>1</v>
      </c>
      <c r="HZ103" s="397">
        <f t="shared" si="461"/>
        <v>0.185566396061134</v>
      </c>
      <c r="IA103" s="397">
        <f>HZ103*(VLOOKUP($HX$9,各项系数!$D$1:$F$143,2,0))</f>
        <v>2.04123035667248</v>
      </c>
      <c r="IB103" s="408">
        <f>各项系数!$F$76/4*($MW103^2-$MT103^2)*10^-2*(VLOOKUP($IB$9,各项系数!$D$1:$F$143,3,0))*10^-3*10^2*各项系数!$J$4</f>
        <v>0.186889770603629</v>
      </c>
      <c r="IC103" s="397">
        <v>1</v>
      </c>
      <c r="ID103" s="397">
        <f t="shared" si="462"/>
        <v>0.186889770603629</v>
      </c>
      <c r="IE103" s="397">
        <f>ID103*(VLOOKUP($IB$9,各项系数!$D$1:$F$143,2,0))</f>
        <v>2.05578747663992</v>
      </c>
      <c r="IF103" s="395"/>
      <c r="IG103" s="408">
        <f t="shared" si="415"/>
        <v>0.0396919841826042</v>
      </c>
      <c r="IH103" s="396">
        <v>1</v>
      </c>
      <c r="II103" s="397">
        <f t="shared" si="463"/>
        <v>0.0396919841826042</v>
      </c>
      <c r="IJ103" s="397">
        <f>II103*(VLOOKUP($IG$8,各项系数!$D$1:$F$143,2,0))</f>
        <v>0.992299604565105</v>
      </c>
      <c r="IK103" s="408">
        <f>(各项系数!$F$76/4*($MX103^2-$MK103^2)*$EG103)*10^-2*(VLOOKUP($IG$8,各项系数!$D$1:$F$143,3,0))*10^-3*10^2*各项系数!$J$4</f>
        <v>0.0322894921050394</v>
      </c>
      <c r="IL103" s="396">
        <f>IK103*(VLOOKUP($IG$8,各项系数!$D$1:$F$143,2,0))</f>
        <v>0.807237302625985</v>
      </c>
      <c r="IM103" s="397">
        <f>(各项系数!$F$76/4*(($MM103+3*$X103)^2-MM103^2)*$EO103)*10^-2*(VLOOKUP($IG$8,各项系数!$D$1:$F$143,3,0))*10^-3*10^2*各项系数!$J$4</f>
        <v>0.00740249207756477</v>
      </c>
      <c r="IN103" s="396">
        <f>IM103*(VLOOKUP($IG$8,各项系数!$D$1:$F$143,2,0))</f>
        <v>0.185062301939119</v>
      </c>
      <c r="IO103" s="408">
        <f>各项系数!$F$76/4*($MZ103^2-$MX103^2)*10^-2*(VLOOKUP(L103,各项系数!$D$1:$F$143,3,0))*10^-3*10^2*$ES103*各项系数!$J$4</f>
        <v>0.109570047556525</v>
      </c>
      <c r="IP103" s="396">
        <v>1</v>
      </c>
      <c r="IQ103" s="397">
        <f t="shared" si="464"/>
        <v>0.109570047556525</v>
      </c>
      <c r="IR103" s="372">
        <f>IQ103*(VLOOKUP(L103,各项系数!$D$1:$F$143,2,0))</f>
        <v>1.11761448507655</v>
      </c>
      <c r="IS103" s="408">
        <f>IF($L103&lt;&gt;$IS$9,0,各项系数!$F$76/4*($MZ103^2-$MX103^2)*10^-2*各项系数!$F$12*10^-3*10^2)*$ES103*各项系数!$J$4</f>
        <v>0</v>
      </c>
      <c r="IT103" s="396">
        <v>1</v>
      </c>
      <c r="IU103" s="397">
        <f t="shared" si="465"/>
        <v>0</v>
      </c>
      <c r="IV103" s="372">
        <f>IU103*各项系数!$E$12</f>
        <v>0</v>
      </c>
      <c r="IW103" s="395">
        <f t="shared" si="466"/>
        <v>0.109570047556525</v>
      </c>
      <c r="IX103" s="395">
        <f t="shared" si="467"/>
        <v>1.11761448507655</v>
      </c>
      <c r="IY103" s="447">
        <f>各项系数!$F$76/4*($NB103^2-$MZ103^2*$EG103-$NA103^2*$EO103)*10^-2</f>
        <v>1.18822480505411</v>
      </c>
      <c r="IZ103" s="366">
        <f t="shared" si="487"/>
        <v>1</v>
      </c>
      <c r="JA103" s="367">
        <f t="shared" si="363"/>
        <v>1.18822480505411</v>
      </c>
      <c r="JB103" s="371">
        <f>IF($DE103&lt;&gt;$JB$9,0,$JA103*各项系数!$F$32*10^-3*10^2)*各项系数!$J$4</f>
        <v>0</v>
      </c>
      <c r="JC103" s="127">
        <v>1</v>
      </c>
      <c r="JD103" s="95">
        <f t="shared" si="468"/>
        <v>0</v>
      </c>
      <c r="JE103" s="341">
        <f>JD103*各项系数!$E$32</f>
        <v>0</v>
      </c>
      <c r="JF103" s="364">
        <f>IF($DE103&lt;&gt;$JF$9,0,$JA103*VLOOKUP($JF$9,各项系数!$D$4:$F$540,2,0)*10^-3*10^2)*各项系数!$J$4</f>
        <v>0.591141840514418</v>
      </c>
      <c r="JG103" s="123">
        <v>1</v>
      </c>
      <c r="JH103" s="251">
        <f t="shared" si="364"/>
        <v>0.591141840514418</v>
      </c>
      <c r="JI103" s="339">
        <f>JH103*VLOOKUP($JF$9,各项系数!$D$4:$F$540,3,0)</f>
        <v>0.709370208617302</v>
      </c>
      <c r="JJ103" s="371">
        <f t="shared" si="469"/>
        <v>0.591141840514418</v>
      </c>
      <c r="JK103" s="95">
        <f t="shared" si="470"/>
        <v>0.709370208617302</v>
      </c>
      <c r="JL103" s="371">
        <f>IF($DF103&lt;&gt;$JL$9,0,各项系数!$F$76/4*($NE103^2-$NC103^2)*10^-2*各项系数!$F$39*10^-3*10^2)*各项系数!$J$4</f>
        <v>0.00250648271206607</v>
      </c>
      <c r="JM103" s="127">
        <v>1</v>
      </c>
      <c r="JN103" s="95">
        <f t="shared" si="471"/>
        <v>0.00250648271206607</v>
      </c>
      <c r="JO103" s="341">
        <f>JN103*各项系数!$E$39</f>
        <v>0.0501296542413215</v>
      </c>
      <c r="JP103" s="371">
        <f>IF($DF103&lt;&gt;$JP$9,0,各项系数!$F$76/4*($NE103^2-$NC103^2)*10^-2*各项系数!$F$36*10^-3*10^2)*各项系数!$J$4</f>
        <v>0</v>
      </c>
      <c r="JQ103" s="127">
        <v>1</v>
      </c>
      <c r="JR103" s="95">
        <f t="shared" si="472"/>
        <v>0</v>
      </c>
      <c r="JS103" s="341">
        <f>JR103*各项系数!$E$36</f>
        <v>0</v>
      </c>
      <c r="JT103" s="371">
        <f>IF($DF103&lt;&gt;$JT$9,0,各项系数!$F$76/4*($NE103^2-$NC103^2)*10^-2*各项系数!$F$40*10^-3*10^2)*各项系数!$J$4</f>
        <v>0</v>
      </c>
      <c r="JU103" s="127">
        <v>1</v>
      </c>
      <c r="JV103" s="95">
        <f t="shared" si="473"/>
        <v>0</v>
      </c>
      <c r="JW103" s="341">
        <f>JV103*各项系数!$E$40</f>
        <v>0</v>
      </c>
      <c r="JX103" s="371">
        <f>IF($DF103&lt;&gt;$JX$9,0,各项系数!$F$76/4*($NE103^2-$NC103^2)*10^-2*各项系数!$F$38*10^-3*10^2)*各项系数!$J$4</f>
        <v>0</v>
      </c>
      <c r="JY103" s="127">
        <v>1</v>
      </c>
      <c r="JZ103" s="95">
        <f t="shared" si="474"/>
        <v>0</v>
      </c>
      <c r="KA103" s="341">
        <f>JZ103*各项系数!$E$38</f>
        <v>0</v>
      </c>
      <c r="KB103" s="371">
        <f>IF($DF103&lt;&gt;$KB$9,0,各项系数!$F$76/4*($NE103^2-$NC103^2)*10^-2*各项系数!$F$41*10^-3*10^2)*各项系数!$J$4</f>
        <v>0</v>
      </c>
      <c r="KC103" s="127">
        <v>1</v>
      </c>
      <c r="KD103" s="95">
        <f t="shared" si="475"/>
        <v>0</v>
      </c>
      <c r="KE103" s="341">
        <f>KD103*各项系数!$E$41</f>
        <v>0</v>
      </c>
      <c r="KF103" s="95">
        <f t="shared" si="476"/>
        <v>0.00250648271206607</v>
      </c>
      <c r="KG103" s="95">
        <f t="shared" si="477"/>
        <v>0.0501296542413215</v>
      </c>
      <c r="KH103" s="304">
        <f>各项系数!$F$76/4*($NG103^2-$NE103^2)*10^-2*各项系数!$F$44*10^-3*10^2*各项系数!$J$4*0.75*$U103</f>
        <v>0.249628680159064</v>
      </c>
      <c r="KI103" s="127">
        <v>1</v>
      </c>
      <c r="KJ103" s="95">
        <f t="shared" si="478"/>
        <v>0.249628680159064</v>
      </c>
      <c r="KK103" s="95">
        <f>ROUND(KJ103*各项系数!$E$43,GT103)</f>
        <v>1</v>
      </c>
      <c r="KL103" s="302">
        <f>各项系数!$F$76/4*($NF103^2-$NE103^2)*10^-2*各项系数!$F$46*10^-3*10^2*各项系数!$J$4*PI()/4*R103</f>
        <v>0.0313917892432441</v>
      </c>
      <c r="KM103" s="127">
        <v>1</v>
      </c>
      <c r="KN103" s="95">
        <f t="shared" si="479"/>
        <v>0.0313917892432441</v>
      </c>
      <c r="KO103" s="95">
        <f>KN103*各项系数!$E$46</f>
        <v>2.11894577391898</v>
      </c>
      <c r="KP103" s="304">
        <f>各项系数!$F$76/4*($NH103^2-$NE103^2)*10^-2*(VLOOKUP($KP$9,各项系数!$D$1:$F$143,3,0))*10^-3*10^2*各项系数!$J$4</f>
        <v>0.197384429984933</v>
      </c>
      <c r="KQ103" s="127">
        <v>1</v>
      </c>
      <c r="KR103" s="95">
        <f t="shared" si="416"/>
        <v>0.197384429984933</v>
      </c>
      <c r="KS103" s="95">
        <f>KR103*(VLOOKUP($KP$9,各项系数!$D$1:$F$143,2,0))</f>
        <v>3.35553530974386</v>
      </c>
      <c r="KT103" s="304">
        <f>各项系数!$F$76/4*($NI103^2-$NF103^2)*10^-2*(VLOOKUP($KT$9,各项系数!$D$1:$F$143,3,0))*10^-3*10^2*各项系数!$J$4</f>
        <v>0.198689799431612</v>
      </c>
      <c r="KU103" s="127">
        <v>1</v>
      </c>
      <c r="KV103" s="95">
        <f t="shared" si="417"/>
        <v>0.198689799431612</v>
      </c>
      <c r="KW103" s="95">
        <f>KV103*(VLOOKUP($KT$9,各项系数!$D$1:$F$143,2,0))</f>
        <v>3.3777265903374</v>
      </c>
      <c r="KX103" s="95">
        <f>各项系数!$F$76/4*($NH103^2-$NE103^2)*10^-2*(VLOOKUP($KX$9,各项系数!$D$1:$F$143,3,0))*10^-3*10^2*各项系数!$J$4</f>
        <v>0.197384429984933</v>
      </c>
      <c r="KY103" s="481">
        <v>1</v>
      </c>
      <c r="KZ103" s="95">
        <f t="shared" si="418"/>
        <v>0.197384429984933</v>
      </c>
      <c r="LA103" s="95">
        <f>KZ103*(VLOOKUP($KX$9,各项系数!$D$1:$F$143,2,0))</f>
        <v>3.35553530974386</v>
      </c>
      <c r="LB103" s="95">
        <f>各项系数!$F$76/4*($NI103^2-$NF103^2)*10^-2*(VLOOKUP($LB$9,各项系数!$D$1:$F$143,3,0))*10^-3*10^2*各项系数!$J$4</f>
        <v>0.198689799431612</v>
      </c>
      <c r="LC103" s="481">
        <v>1</v>
      </c>
      <c r="LD103" s="95">
        <f t="shared" si="419"/>
        <v>0.198689799431612</v>
      </c>
      <c r="LE103" s="95">
        <f>LD103*(VLOOKUP($LB$9,各项系数!$D$1:$F$143,2,0))</f>
        <v>3.3777265903374</v>
      </c>
      <c r="LF103" s="304">
        <f>各项系数!$F$76/4*($NH103^2-$NE103^2)*10^-2*(VLOOKUP(AN103,各项系数!$D$1:$F$143,3,0))*10^-3*10^2*各项系数!$J$4</f>
        <v>0.200106973846794</v>
      </c>
      <c r="LG103" s="127">
        <v>1</v>
      </c>
      <c r="LH103" s="95">
        <f t="shared" si="480"/>
        <v>0.200106973846794</v>
      </c>
      <c r="LI103" s="95">
        <f>LH103*(VLOOKUP(AN103,各项系数!$D$1:$F$143,2,0))</f>
        <v>2.00106973846794</v>
      </c>
      <c r="LJ103" s="304">
        <f>各项系数!$F$76/4*($NI103^2-$NF103^2)*10^-2*(VLOOKUP(AN103,各项系数!$D$1:$F$143,3,0))*10^-3*10^2*各项系数!$J$4</f>
        <v>0.201430348389289</v>
      </c>
      <c r="LK103" s="127">
        <v>1</v>
      </c>
      <c r="LL103" s="95">
        <f t="shared" si="481"/>
        <v>0.201430348389289</v>
      </c>
      <c r="LM103" s="95">
        <f>LL103*(VLOOKUP(AN103,各项系数!$D$1:$F$143,2,0))</f>
        <v>2.01430348389289</v>
      </c>
      <c r="LN103" s="95">
        <f>各项系数!$F$76/4*($NH103^2-$NE103^2)*10^-2*(VLOOKUP($LN$9,各项系数!$D$1:$F$143,3,0))*10^-3*10^2*各项系数!$J$4</f>
        <v>0.200106973846794</v>
      </c>
      <c r="LO103" s="481">
        <v>1</v>
      </c>
      <c r="LP103" s="95">
        <f t="shared" si="482"/>
        <v>0.200106973846794</v>
      </c>
      <c r="LQ103" s="95">
        <f>LP103*(VLOOKUP($LN$9,各项系数!$D$1:$F$143,2,0))</f>
        <v>2.20117671231474</v>
      </c>
      <c r="LR103" s="95">
        <f>各项系数!$F$76/4*($NI103^2-$NF103^2)*10^-2*(VLOOKUP($LR$9,各项系数!$D$1:$F$143,3,0))*10^-3*10^2*各项系数!$J$4</f>
        <v>0.201430348389289</v>
      </c>
      <c r="LS103" s="481">
        <v>1</v>
      </c>
      <c r="LT103" s="95">
        <f t="shared" si="483"/>
        <v>0.201430348389289</v>
      </c>
      <c r="LU103" s="95">
        <f>LT103*(VLOOKUP($LR$9,各项系数!$D$1:$F$143,2,0))</f>
        <v>2.21573383228218</v>
      </c>
      <c r="LV103" s="501">
        <f t="shared" si="420"/>
        <v>127.3443038</v>
      </c>
      <c r="LW103" s="501">
        <f t="shared" si="421"/>
        <v>99.04556962</v>
      </c>
      <c r="LX103" s="501">
        <f t="shared" si="422"/>
        <v>11.2298146009186</v>
      </c>
      <c r="LY103" s="519">
        <f t="shared" si="423"/>
        <v>28.29873418</v>
      </c>
      <c r="LZ103" s="516">
        <f t="shared" si="365"/>
        <v>1</v>
      </c>
      <c r="MA103" s="517">
        <f t="shared" si="366"/>
        <v>127.3443038</v>
      </c>
      <c r="MB103" s="501">
        <f t="shared" si="424"/>
        <v>7.35163935</v>
      </c>
      <c r="MC103" s="501">
        <f t="shared" si="425"/>
        <v>19.34156968</v>
      </c>
      <c r="MD103" s="501">
        <f t="shared" si="426"/>
        <v>15.04344305</v>
      </c>
      <c r="ME103" s="501">
        <f t="shared" si="427"/>
        <v>4.37651763166006</v>
      </c>
      <c r="MF103" s="501">
        <f t="shared" si="428"/>
        <v>4.29812663</v>
      </c>
      <c r="MG103" s="527">
        <f t="shared" si="429"/>
        <v>1</v>
      </c>
      <c r="MH103" s="517">
        <f t="shared" si="367"/>
        <v>19.34156968</v>
      </c>
      <c r="MI103" s="501">
        <f t="shared" si="430"/>
        <v>4.96250454647919</v>
      </c>
      <c r="MJ103" s="95">
        <f t="shared" si="368"/>
        <v>7.35163935</v>
      </c>
      <c r="MK103" s="95">
        <f t="shared" si="431"/>
        <v>7.35163935</v>
      </c>
      <c r="ML103" s="95">
        <f t="shared" si="484"/>
        <v>4.96250454620067</v>
      </c>
      <c r="MM103" s="95">
        <f t="shared" si="369"/>
        <v>4.96250454647919</v>
      </c>
      <c r="MN103" s="95">
        <f t="shared" si="370"/>
        <v>9.15163935</v>
      </c>
      <c r="MO103" s="251">
        <f t="shared" si="432"/>
        <v>6.36250454647919</v>
      </c>
      <c r="MP103" s="95">
        <f t="shared" si="433"/>
        <v>20.45954067</v>
      </c>
      <c r="MQ103" s="95">
        <f t="shared" si="485"/>
        <v>20.45954067</v>
      </c>
      <c r="MR103" s="314">
        <f t="shared" si="434"/>
        <v>20.45954067</v>
      </c>
      <c r="MS103" s="530">
        <f t="shared" si="371"/>
        <v>20.63554067</v>
      </c>
      <c r="MT103" s="532">
        <f t="shared" si="372"/>
        <v>20.79554067</v>
      </c>
      <c r="MU103" s="532">
        <f t="shared" si="373"/>
        <v>21.23554067</v>
      </c>
      <c r="MV103" s="532">
        <f t="shared" si="374"/>
        <v>24.23554067</v>
      </c>
      <c r="MW103" s="532">
        <f t="shared" si="375"/>
        <v>24.39554067</v>
      </c>
      <c r="MX103" s="314">
        <f t="shared" si="376"/>
        <v>7.95163935</v>
      </c>
      <c r="MY103" s="314">
        <f t="shared" si="377"/>
        <v>5.56250454647919</v>
      </c>
      <c r="MZ103" s="95">
        <f t="shared" si="378"/>
        <v>9.75163935</v>
      </c>
      <c r="NA103" s="95">
        <f t="shared" si="379"/>
        <v>7.36250454647919</v>
      </c>
      <c r="NB103" s="95">
        <f t="shared" si="435"/>
        <v>22.15354067</v>
      </c>
      <c r="NC103" s="314">
        <f t="shared" si="486"/>
        <v>22.15354067</v>
      </c>
      <c r="ND103" s="314">
        <f t="shared" si="436"/>
        <v>22.15354067</v>
      </c>
      <c r="NE103" s="537">
        <f t="shared" si="437"/>
        <v>22.39354067</v>
      </c>
      <c r="NF103" s="532">
        <f t="shared" si="380"/>
        <v>22.55354067</v>
      </c>
      <c r="NG103" s="180">
        <f t="shared" si="381"/>
        <v>22.99354067</v>
      </c>
      <c r="NH103" s="314">
        <f t="shared" si="382"/>
        <v>25.99354067</v>
      </c>
      <c r="NI103" s="532">
        <f t="shared" si="383"/>
        <v>26.15354067</v>
      </c>
      <c r="NK103" s="541">
        <f t="shared" si="384"/>
        <v>1.43426795974299</v>
      </c>
      <c r="NL103" s="541">
        <f t="shared" si="385"/>
        <v>70.1725644423814</v>
      </c>
      <c r="NM103" s="541">
        <f t="shared" si="386"/>
        <v>1.43426795974299</v>
      </c>
      <c r="NN103" s="541">
        <f t="shared" si="387"/>
        <v>70.3581308384425</v>
      </c>
      <c r="NO103" s="541">
        <f t="shared" si="388"/>
        <v>1.97070087057123</v>
      </c>
      <c r="NP103" s="541">
        <f t="shared" si="389"/>
        <v>71.8839547470295</v>
      </c>
      <c r="NQ103" s="541">
        <f t="shared" si="390"/>
        <v>1.97070087057123</v>
      </c>
      <c r="NR103" s="541">
        <f t="shared" si="391"/>
        <v>72.0840617208763</v>
      </c>
      <c r="NS103" s="541">
        <f t="shared" si="392"/>
        <v>1.46320411610221</v>
      </c>
      <c r="NT103" s="541">
        <f t="shared" si="393"/>
        <v>1.46320411610221</v>
      </c>
      <c r="NU103" s="541">
        <f t="shared" si="394"/>
        <v>2.00209265981447</v>
      </c>
      <c r="NV103" s="541">
        <f t="shared" si="395"/>
        <v>2.00209265981447</v>
      </c>
      <c r="NW103" s="11">
        <f t="shared" si="396"/>
        <v>1.58779509364905</v>
      </c>
      <c r="NX103" s="11">
        <f>各项系数!$M$9*NK103</f>
        <v>0.430280387922897</v>
      </c>
      <c r="NY103" s="11">
        <f t="shared" si="397"/>
        <v>1.46320411610221</v>
      </c>
    </row>
    <row r="104" s="11" customFormat="1" customHeight="1" spans="1:389">
      <c r="A104" s="81"/>
      <c r="B104" s="82"/>
      <c r="C104" s="83"/>
      <c r="D104" s="74" t="s">
        <v>329</v>
      </c>
      <c r="E104" s="550">
        <f t="shared" si="325"/>
        <v>29.79148519</v>
      </c>
      <c r="F104" s="84">
        <f>$F$24</f>
        <v>238.573455311777</v>
      </c>
      <c r="G104" s="74"/>
      <c r="H104" s="23"/>
      <c r="I104" s="174">
        <f>$F$22</f>
        <v>208.046961644752</v>
      </c>
      <c r="J104" s="78"/>
      <c r="K104" s="23"/>
      <c r="L104" s="128" t="s">
        <v>467</v>
      </c>
      <c r="M104" s="119">
        <f t="shared" si="339"/>
        <v>1</v>
      </c>
      <c r="N104" s="119">
        <f t="shared" si="340"/>
        <v>0.9</v>
      </c>
      <c r="O104" s="74">
        <f t="shared" si="493"/>
        <v>0.08</v>
      </c>
      <c r="P104" s="120">
        <v>0.1</v>
      </c>
      <c r="Q104" s="165">
        <f t="shared" ref="Q104:Q113" si="499">$Q$12</f>
        <v>0.1</v>
      </c>
      <c r="R104" s="182">
        <v>0.8</v>
      </c>
      <c r="S104" s="173" t="str">
        <f>各项系数!$D$43</f>
        <v>钢带</v>
      </c>
      <c r="T104" s="78">
        <v>0.2</v>
      </c>
      <c r="U104" s="78">
        <v>2</v>
      </c>
      <c r="V104" s="172"/>
      <c r="W104" s="174">
        <v>1.9</v>
      </c>
      <c r="X104" s="168">
        <f t="shared" ref="X104:X113" si="500">$X$12</f>
        <v>0.2</v>
      </c>
      <c r="Y104" s="221"/>
      <c r="Z104" s="222"/>
      <c r="AA104" s="223">
        <f>$AA$24</f>
        <v>1.011</v>
      </c>
      <c r="AB104" s="186">
        <f>PI()*EJ104*EJ104/4*EH104*(1-H104)*AA104*各项系数!$F$5*各项系数!$J$4*10^-7</f>
        <v>0.399769926055488</v>
      </c>
      <c r="AC104" s="224">
        <f t="shared" si="327"/>
        <v>238.573455311777</v>
      </c>
      <c r="AD104" s="186">
        <f t="shared" si="341"/>
        <v>45.1944679590854</v>
      </c>
      <c r="AE104" s="186">
        <f>POWER(4*EU104/PI()/EG104/10^-7/EH104/(1-H104)/各项系数!$F$5/各项系数!$J$4,0.5)</f>
        <v>239.882020603408</v>
      </c>
      <c r="AF104" s="225">
        <f>$AA$22</f>
        <v>1.011</v>
      </c>
      <c r="AG104" s="23">
        <f>IF(EM104=0,0,PI()*ER104*ER104/4*EP104*(1-K104)*(1+AF104)*各项系数!$F$5*各项系数!$J$4*10^-7)</f>
        <v>0.423299337741741</v>
      </c>
      <c r="AH104" s="23">
        <f t="shared" si="328"/>
        <v>208.046961644752</v>
      </c>
      <c r="AI104" s="85">
        <f t="shared" si="398"/>
        <v>24.0581280607511</v>
      </c>
      <c r="AJ104" s="85">
        <f>IF(OR(EP104="",EP104=0),0,POWER(4*EW104/PI()/EO104/10^-7/EP104/(1-K104)/各项系数!$F$5/各项系数!$J$4,0.5))</f>
        <v>209.188090412333</v>
      </c>
      <c r="AK104" s="23">
        <f t="shared" si="342"/>
        <v>1.41211715283424</v>
      </c>
      <c r="AL104" s="23">
        <f t="shared" si="329"/>
        <v>100.036704996457</v>
      </c>
      <c r="AM104" s="127">
        <f t="shared" si="330"/>
        <v>50</v>
      </c>
      <c r="AN104" s="128" t="s">
        <v>486</v>
      </c>
      <c r="AO104" s="176">
        <f>AP104+各项系数!$M$9*$NK104</f>
        <v>98.075200976919</v>
      </c>
      <c r="AP104" s="176">
        <f>AQ104*(1+$BI104+(VLOOKUP($AM104,$A$12:$B$323,2,0))+各项系数!$J$6+各项系数!$M$5)*(1+$E$2)</f>
        <v>97.473665786897</v>
      </c>
      <c r="AQ104" s="262">
        <f>AR104+各项系数!$L$9*$NK104</f>
        <v>99.4629242723439</v>
      </c>
      <c r="AR104" s="262">
        <f>AS104*(1+$BJ104+各项系数!$J$5+各项系数!$L$5)</f>
        <v>98.8613890823219</v>
      </c>
      <c r="AS104" s="262">
        <f t="shared" si="399"/>
        <v>96.9229304728646</v>
      </c>
      <c r="AT104" s="176">
        <f>AU104+各项系数!$M$9*$NM104</f>
        <v>99.7227848152123</v>
      </c>
      <c r="AU104" s="176">
        <f>AV104*(1+$BI104+(VLOOKUP($AM104,$A$12:$B$323,2,0))+各项系数!$J$6+各项系数!$M$5)*(1+$E$2)</f>
        <v>99.1212496251903</v>
      </c>
      <c r="AV104" s="262">
        <f>AW104+各项系数!$L$9*$NM104</f>
        <v>101.144132270602</v>
      </c>
      <c r="AW104" s="262">
        <f>AX104*(1+$BJ104+各项系数!$J$5+各项系数!$L$5)</f>
        <v>100.54259708058</v>
      </c>
      <c r="AX104" s="262">
        <f t="shared" si="400"/>
        <v>98.5711736084122</v>
      </c>
      <c r="AY104" s="176">
        <f>AZ104+各项系数!$M$9*$NS104</f>
        <v>100.567995529854</v>
      </c>
      <c r="AZ104" s="176">
        <f>BA104*(1+$BI104+(VLOOKUP($AM104,$A$12:$B$214,2,0))+各项系数!$J$6+各项系数!$M$5)*(1+$E$2)</f>
        <v>99.9555350844794</v>
      </c>
      <c r="BA104" s="262">
        <f>BB104+各项系数!$L$9*$NS104</f>
        <v>101.995443963755</v>
      </c>
      <c r="BB104" s="262">
        <f>BC104*(1+$BJ104+各项系数!$J$5+各项系数!$L$5)</f>
        <v>101.38298351838</v>
      </c>
      <c r="BC104" s="262">
        <f t="shared" si="401"/>
        <v>99.3950818807643</v>
      </c>
      <c r="BD104" s="176">
        <f>BE104+各项系数!$M$9*$NS104</f>
        <v>102.225030762089</v>
      </c>
      <c r="BE104" s="176">
        <f>BF104*(1+$BI104+(VLOOKUP($AM104,$A$12:$B$214,2,0))+各项系数!$J$6+各项系数!$M$5)*(1+$E$2)</f>
        <v>101.612570316714</v>
      </c>
      <c r="BF104" s="262">
        <f>BG104+各项系数!$L$9*$NS104</f>
        <v>103.686296241545</v>
      </c>
      <c r="BG104" s="262">
        <f>BH104*(1+$BJ104+各项系数!$J$5+各项系数!$L$5)</f>
        <v>103.07383579617</v>
      </c>
      <c r="BH104" s="262">
        <f t="shared" si="402"/>
        <v>101.052780192323</v>
      </c>
      <c r="BI104" s="278"/>
      <c r="BJ104" s="279"/>
      <c r="BK104" s="95" t="s">
        <v>514</v>
      </c>
      <c r="BL104" s="176">
        <f>BM104+各项系数!$M$9*$NM104</f>
        <v>99.2708439702166</v>
      </c>
      <c r="BM104" s="176">
        <f>BN104*(1+$CF104+(VLOOKUP($AM104,$A$12:$B$323,2,0))+各项系数!$J$6+各项系数!$M$5)*(1+$E$2)</f>
        <v>98.6693087801946</v>
      </c>
      <c r="BN104" s="262">
        <f>BO104+各项系数!$L$9*$NM104</f>
        <v>100.682968143056</v>
      </c>
      <c r="BO104" s="262">
        <f>BP104*(1+$CG104+各项系数!$J$5+各项系数!$L$5)</f>
        <v>100.081432953034</v>
      </c>
      <c r="BP104" s="262">
        <f t="shared" si="403"/>
        <v>97.1664397602269</v>
      </c>
      <c r="BQ104" s="176">
        <f>BR104+各项系数!$M$9*$NM104</f>
        <v>100.688782316575</v>
      </c>
      <c r="BR104" s="176">
        <f>BS104*(1+$CF104+(VLOOKUP($AM104,$A$12:$B$323,2,0))+各项系数!$J$6+各项系数!$M$5)*(1+$E$2)</f>
        <v>100.087247126553</v>
      </c>
      <c r="BS104" s="262">
        <f>BT104+各项系数!$L$9*$NM104</f>
        <v>102.129844006687</v>
      </c>
      <c r="BT104" s="262">
        <f>BU104*(1+$CG104+各项系数!$J$5+各项系数!$L$5)</f>
        <v>101.528308816665</v>
      </c>
      <c r="BU104" s="262">
        <f t="shared" si="404"/>
        <v>98.5711736084122</v>
      </c>
      <c r="BV104" s="176">
        <f>BW104+各项系数!$M$9*$NT104</f>
        <v>101.197162531741</v>
      </c>
      <c r="BW104" s="176">
        <f>BX104*(1+$CF104+(VLOOKUP($AM104,$A$12:$B$214,2,0))+各项系数!$J$6+各项系数!$M$5)*(1+$E$2)</f>
        <v>100.584702086366</v>
      </c>
      <c r="BX104" s="262">
        <f>BY104+各项系数!$L$9*$NT$12</f>
        <v>102.637451108536</v>
      </c>
      <c r="BY104" s="262">
        <f>BZ104*(1+$CG104+各项系数!$J$5+各项系数!$L$5)</f>
        <v>102.629187705381</v>
      </c>
      <c r="BZ104" s="262">
        <f t="shared" si="343"/>
        <v>99.6399880634771</v>
      </c>
      <c r="CA104" s="176">
        <f>CB104+各项系数!$M$9*$NT104</f>
        <v>102.623234906598</v>
      </c>
      <c r="CB104" s="176">
        <f>CC104*(1+$CF104+(VLOOKUP($AM104,$A$12:$B$214,2,0))+各项系数!$J$6+各项系数!$M$5)*(1+$E$2)</f>
        <v>102.010774461223</v>
      </c>
      <c r="CC104" s="262">
        <f>CD104+各项系数!$L$9*$NT$12</f>
        <v>104.092627001248</v>
      </c>
      <c r="CD104" s="262">
        <f>CE104*(1+$CG104+各项系数!$J$5+各项系数!$L$5)</f>
        <v>104.084363598093</v>
      </c>
      <c r="CE104" s="262">
        <f t="shared" si="405"/>
        <v>101.052780192323</v>
      </c>
      <c r="CF104" s="278">
        <f t="shared" si="406"/>
        <v>0</v>
      </c>
      <c r="CG104" s="278">
        <f t="shared" si="344"/>
        <v>0.01</v>
      </c>
      <c r="CH104" s="127"/>
      <c r="CI104" s="176">
        <f>CJ104+各项系数!$M$9*$NO104</f>
        <v>101.257108414173</v>
      </c>
      <c r="CJ104" s="176">
        <f>CK104*(1+$DC104+(VLOOKUP($AM104,$A$12:$B$323,2,0))+各项系数!$J$6+各项系数!$M$5)*(1+$E$2)+各项系数!$M$9*$NK104</f>
        <v>100.422099276929</v>
      </c>
      <c r="CK104" s="262">
        <f>CL104+各项系数!$L$9*$NO104</f>
        <v>101.857718456028</v>
      </c>
      <c r="CL104" s="262">
        <f>CM104*(1+$DD104+各项系数!$J$5+各项系数!$L$5)</f>
        <v>101.022709318784</v>
      </c>
      <c r="CM104" s="262">
        <f t="shared" si="345"/>
        <v>99.041871881161</v>
      </c>
      <c r="CN104" s="176">
        <f>CO104+各项系数!$M$9*$NO104</f>
        <v>102.76182956487</v>
      </c>
      <c r="CO104" s="176">
        <f>CP104*(1+$DC104+(VLOOKUP($AM104,$A$12:$B$323,2,0))+各项系数!$J$6+各项系数!$M$5)*(1+$E$2)+各项系数!$M$9*$NK104</f>
        <v>101.926820427626</v>
      </c>
      <c r="CP104" s="262">
        <f>CQ104+各项系数!$L$9*$NO104</f>
        <v>103.393148201637</v>
      </c>
      <c r="CQ104" s="262">
        <f>CR104*(1+$DD104+各项系数!$J$5+各项系数!$L$5)</f>
        <v>102.558139064393</v>
      </c>
      <c r="CR104" s="262">
        <f t="shared" si="346"/>
        <v>100.54719516117</v>
      </c>
      <c r="CS104" s="176">
        <f>CT104+各项系数!$M$9*$NU104</f>
        <v>103.304010872352</v>
      </c>
      <c r="CT104" s="176">
        <f t="shared" si="347"/>
        <v>102.457390494938</v>
      </c>
      <c r="CU104" s="262">
        <f>CV104+各项系数!$L$9*$NU104</f>
        <v>104.548357647896</v>
      </c>
      <c r="CV104" s="262">
        <f>CW104*(1+$DD104+各项系数!$J$5+各项系数!$L$5)</f>
        <v>103.701737270481</v>
      </c>
      <c r="CW104" s="262">
        <f t="shared" si="348"/>
        <v>101.668369873021</v>
      </c>
      <c r="CX104" s="176">
        <f>CY104+各项系数!$M$9*$NU104</f>
        <v>105.057745678844</v>
      </c>
      <c r="CY104" s="176">
        <f t="shared" si="349"/>
        <v>104.211125301429</v>
      </c>
      <c r="CZ104" s="262">
        <f>DA104+各项系数!$L$9*$NU104</f>
        <v>106.337882960642</v>
      </c>
      <c r="DA104" s="262">
        <f>DB104*(1+$DD104+各项系数!$J$5+各项系数!$L$5)</f>
        <v>105.491262583228</v>
      </c>
      <c r="DB104" s="262">
        <f t="shared" si="350"/>
        <v>103.422806454145</v>
      </c>
      <c r="DC104" s="278">
        <f t="shared" si="498"/>
        <v>0</v>
      </c>
      <c r="DD104" s="278">
        <f t="shared" si="351"/>
        <v>0</v>
      </c>
      <c r="DE104" s="95" t="s">
        <v>498</v>
      </c>
      <c r="DF104" s="95" t="s">
        <v>513</v>
      </c>
      <c r="DG104" s="176">
        <f>DH104+各项系数!$M$9*$NQ104</f>
        <v>102.48794336349</v>
      </c>
      <c r="DH104" s="176">
        <f>DI104*(1+$EA104+(VLOOKUP($AM104,$A$12:$B$323,2,0))+各项系数!$J$6+各项系数!$M$5)*(1+$E$2)+各项系数!$M$9*$NK104</f>
        <v>101.652934226246</v>
      </c>
      <c r="DI104" s="262">
        <f>DJ104+各项系数!$L$9*$NQ104</f>
        <v>103.113672485943</v>
      </c>
      <c r="DJ104" s="262">
        <f>DK104*(1+$EB104+各项系数!$J$5+各项系数!$L$5)</f>
        <v>102.2786633487</v>
      </c>
      <c r="DK104" s="262">
        <f t="shared" si="352"/>
        <v>99.2996731540772</v>
      </c>
      <c r="DL104" s="176">
        <f>DM104+各项系数!$M$9*$NQ104</f>
        <v>103.989102988929</v>
      </c>
      <c r="DM104" s="176">
        <f>DN104*(1+$EA104+(VLOOKUP($AM104,$A$12:$B$323,2,0))+各项系数!$J$6+各项系数!$M$5)*(1+$E$2)+各项系数!$M$9*$NK104</f>
        <v>103.154093851686</v>
      </c>
      <c r="DN104" s="262">
        <f>DO104+各项系数!$L$9*$NQ104</f>
        <v>104.645468022106</v>
      </c>
      <c r="DO104" s="262">
        <f>DP104*(1+$EB104+各项系数!$J$5+各项系数!$L$5)</f>
        <v>103.810458884862</v>
      </c>
      <c r="DP104" s="262">
        <f t="shared" si="353"/>
        <v>100.786853286274</v>
      </c>
      <c r="DQ104" s="176">
        <f>DR104+各项系数!$M$9*$NV104</f>
        <v>104.561995528156</v>
      </c>
      <c r="DR104" s="176">
        <f t="shared" si="354"/>
        <v>103.715375150742</v>
      </c>
      <c r="DS104" s="262">
        <f>DT104+各项系数!$L$9*$NV104</f>
        <v>105.83201545994</v>
      </c>
      <c r="DT104" s="262">
        <f>DU104*(1+$EB104+各项系数!$J$5+各项系数!$L$5)</f>
        <v>104.985395082526</v>
      </c>
      <c r="DU104" s="262">
        <f t="shared" si="355"/>
        <v>101.927568041288</v>
      </c>
      <c r="DV104" s="176">
        <f>DW104+各项系数!$M$9*$NV104</f>
        <v>104.493355218868</v>
      </c>
      <c r="DW104" s="176">
        <f t="shared" si="356"/>
        <v>103.646734841454</v>
      </c>
      <c r="DX104" s="262">
        <f>DY104+各项系数!$L$9*$NV104</f>
        <v>105.761974328014</v>
      </c>
      <c r="DY104" s="262">
        <f>DZ104*(1+$EB104+各项系数!$J$5+各项系数!$L$5)</f>
        <v>104.9153539506</v>
      </c>
      <c r="DZ104" s="262">
        <f t="shared" si="357"/>
        <v>101.85956694233</v>
      </c>
      <c r="EA104" s="278">
        <f t="shared" si="492"/>
        <v>0</v>
      </c>
      <c r="EB104" s="278">
        <f t="shared" si="358"/>
        <v>0.01</v>
      </c>
      <c r="EC104" s="302" t="str">
        <f t="shared" si="408"/>
        <v>3+1</v>
      </c>
      <c r="ED104" s="304" t="str">
        <f t="shared" si="494"/>
        <v>3*50</v>
      </c>
      <c r="EE104" s="95">
        <f t="shared" si="495"/>
        <v>50</v>
      </c>
      <c r="EF104" s="95" t="str">
        <f>LOOKUP(EH104,{1,7,10,14,19,24,30,37,48,61},{1,"1+6","2+8","4+10","1+6+12","2+8+14","4+10+16","1+6+12+18","3+9+15+21","1+6+12+18+24"})</f>
        <v>2+8</v>
      </c>
      <c r="EG104" s="127">
        <f t="shared" si="359"/>
        <v>3</v>
      </c>
      <c r="EH104" s="262">
        <f>VLOOKUP(EE104,各项系数!$B$87:$C$124,2,0)</f>
        <v>10</v>
      </c>
      <c r="EI104" s="127">
        <f>IF(EH104=0,0,VLOOKUP(EH104,各项系数!$D$142:$E$195,2,0))*1</f>
        <v>4</v>
      </c>
      <c r="EJ104" s="307">
        <f t="shared" si="409"/>
        <v>238.573455311777</v>
      </c>
      <c r="EK104" s="95" t="str">
        <f t="shared" si="332"/>
        <v>1*25</v>
      </c>
      <c r="EL104" s="95" t="str">
        <f t="shared" si="360"/>
        <v>25</v>
      </c>
      <c r="EM104" s="95">
        <f t="shared" si="496"/>
        <v>25</v>
      </c>
      <c r="EN104" s="95" t="str">
        <f>IF(EP104=0,0,LOOKUP(EP104,{1,7,10,14,19,24,30,37,48,61},{1,"1+6","2+8","4+10","1+6+12","2+8+14","4+10+16","1+6+12+18","3+9+15+21","1+6+12+18+24"}))</f>
        <v>1+6</v>
      </c>
      <c r="EO104" s="95" t="str">
        <f t="shared" si="334"/>
        <v>1</v>
      </c>
      <c r="EP104" s="95">
        <f>IF(EM104=0,0,IF(EM104&lt;10,1,IF(AND(EM104&gt;=10,EM104&lt;=35),7,LOOKUP(EM104,{50,70,95,120,150,185,240,300},{10,14,19,24,30,37,48,61})*1)))</f>
        <v>7</v>
      </c>
      <c r="EQ104" s="95">
        <f>IF(EP104=0,0,VLOOKUP(EP104,各项系数!$D$142:$E$195,2,0))*1</f>
        <v>3</v>
      </c>
      <c r="ER104" s="95">
        <f t="shared" si="335"/>
        <v>208.046961644752</v>
      </c>
      <c r="ES104" s="304">
        <f t="shared" si="497"/>
        <v>4</v>
      </c>
      <c r="ET104" s="95">
        <f>VLOOKUP(ES104,各项系数!$D$142:$E$195,2,0)*1</f>
        <v>2.42</v>
      </c>
      <c r="EU104" s="311">
        <f>((各项系数!$F$76/4*$EJ104^2*$EG104*$EH104*1*10^-7)*(1-$H104)*AA104)*(VLOOKUP($EY$9,各项系数!$D$4:$F$143,3,0))*各项系数!$J$4</f>
        <v>1.19930977816646</v>
      </c>
      <c r="EV104" s="312">
        <f>EU104*(VLOOKUP($EY$9,各项系数!$D$4:$F$143,2,0))</f>
        <v>78.5547904699034</v>
      </c>
      <c r="EW104" s="324">
        <f>(IF($EO104=0,0,(各项系数!$F$76/4*$ER104^2*$EO104*$EP104*1*10^-7))*(1-$K104)*$AF104)*(VLOOKUP($EY$9,各项系数!$D$4:$F$143,3,0))*各项系数!$J$4</f>
        <v>0.212807374667777</v>
      </c>
      <c r="EX104" s="325">
        <f>EW104*(VLOOKUP($EY$9,各项系数!$D$4:$F$143,2,0))</f>
        <v>13.9388830407394</v>
      </c>
      <c r="EY104" s="251">
        <f>((各项系数!$F$76/4*$EJ104^2*$EG104*$EH104*1*10^-7)*(1-$H104)*AA104+IF($EO104=0,0,(各项系数!$F$76/4*$ER104^2*$EO104*$EP104*1*10^-7))*(1-$K104)*$AF104)*(VLOOKUP($EY$9,各项系数!$D$4:$F$143,3,0))*各项系数!$J$4</f>
        <v>1.41211715283424</v>
      </c>
      <c r="EZ104" s="127">
        <v>1</v>
      </c>
      <c r="FA104" s="95">
        <f t="shared" si="445"/>
        <v>1.41211715283424</v>
      </c>
      <c r="FB104" s="314">
        <f>FA104*(VLOOKUP($EY$9,各项系数!$D$4:$F$143,2,0))</f>
        <v>92.4936735106428</v>
      </c>
      <c r="FC104" s="329"/>
      <c r="FD104" s="304">
        <f>各项系数!$F$76/4*($MN104^2-MK104^2)*10^-2*(VLOOKUP(L104,各项系数!$D$1:$F$143,3,0))*10^-3*10^2*$EG104*各项系数!$J$4</f>
        <v>0.108754830064285</v>
      </c>
      <c r="FE104" s="341">
        <f>FD104*VLOOKUP(L104,各项系数!$D$1:$F$143,2,0)</f>
        <v>1.1092992666557</v>
      </c>
      <c r="FF104" s="127">
        <f>各项系数!$F$76/4*($MO104^2-ML104^2)*10^-2*(VLOOKUP(L104,各项系数!$D$1:$F$143,3,0))*10^-3*10^2*$EO104*各项系数!$J$4</f>
        <v>0.0220999883808721</v>
      </c>
      <c r="FG104" s="341">
        <f>FF104*VLOOKUP(L104,各项系数!$D$1:$F$143,2,0)</f>
        <v>0.225419881484895</v>
      </c>
      <c r="FH104" s="304">
        <f t="shared" si="410"/>
        <v>0.130854818445157</v>
      </c>
      <c r="FI104" s="127">
        <v>1</v>
      </c>
      <c r="FJ104" s="95">
        <f t="shared" si="446"/>
        <v>0.130854818445157</v>
      </c>
      <c r="FK104" s="341">
        <f>FJ104*VLOOKUP(L104,各项系数!$D$1:$F$143,2,0)</f>
        <v>1.3347191481406</v>
      </c>
      <c r="FL104" s="304"/>
      <c r="FM104" s="127"/>
      <c r="FN104" s="95"/>
      <c r="FO104" s="341"/>
      <c r="FP104" s="371">
        <f t="shared" si="447"/>
        <v>0.130854818445157</v>
      </c>
      <c r="FQ104" s="371">
        <f t="shared" si="448"/>
        <v>1.3347191481406</v>
      </c>
      <c r="FR104" s="365">
        <f>各项系数!$F$76/4*($MQ104^2-$MN104^2*$EG104-$MO104^2*$EO104)*10^-2</f>
        <v>1.58695002275445</v>
      </c>
      <c r="FS104" s="366">
        <f t="shared" si="411"/>
        <v>1</v>
      </c>
      <c r="FT104" s="367">
        <f t="shared" si="361"/>
        <v>1.58695002275445</v>
      </c>
      <c r="FU104" s="395">
        <f>$FT104*(VLOOKUP($FT$9,各项系数!$D$1:$F$143,3,0))*10^-3*10^2*各项系数!$J$55</f>
        <v>0.189481832716881</v>
      </c>
      <c r="FV104" s="396">
        <v>1</v>
      </c>
      <c r="FW104" s="397">
        <f t="shared" si="449"/>
        <v>0.189481832716881</v>
      </c>
      <c r="FX104" s="372">
        <f>FW104*(VLOOKUP($FT$9,各项系数!$D$1:$F$143,2,0))</f>
        <v>0.568445498150644</v>
      </c>
      <c r="FY104" s="395">
        <f>IF($BK104&lt;&gt;$FY$9,0,各项系数!$F$76/4*($MS104^2-$MQ104^2)*10^-2*(VLOOKUP($FY$9,各项系数!$D$1:$F$143,3,0))*10^-3*10^2)*各项系数!$J$4</f>
        <v>0</v>
      </c>
      <c r="FZ104" s="396">
        <v>1</v>
      </c>
      <c r="GA104" s="397">
        <f t="shared" si="450"/>
        <v>0</v>
      </c>
      <c r="GB104" s="372">
        <f>GA104*(VLOOKUP($FY$9,各项系数!$D$1:$F$143,2,0))</f>
        <v>0</v>
      </c>
      <c r="GC104" s="395">
        <f>IF($BK104&lt;&gt;$GC$9,0,各项系数!$F$76/4*($MS104^2-$MQ104^2)*10^-2*(VLOOKUP($GC$9,各项系数!$D$1:$F$143,3,0))*10^-3*10^2)*各项系数!$J$4</f>
        <v>0.00705422033391546</v>
      </c>
      <c r="GD104" s="396">
        <v>1</v>
      </c>
      <c r="GE104" s="397">
        <f t="shared" si="451"/>
        <v>0.00705422033391546</v>
      </c>
      <c r="GF104" s="372">
        <f>GE104*(VLOOKUP($GC$9,各项系数!$D$1:$F$143,2,0))</f>
        <v>0.0909994423075094</v>
      </c>
      <c r="GG104" s="395">
        <f>IF($BK104&lt;&gt;$GG$9,0,各项系数!$F$76/4*($MS104^2-$MQ104^2)*10^-2*(VLOOKUP($GG$9,各项系数!$D$1:$F$143,3,0))*10^-3*10^2)*各项系数!$J$4</f>
        <v>0</v>
      </c>
      <c r="GH104" s="396">
        <v>1</v>
      </c>
      <c r="GI104" s="397">
        <f t="shared" si="452"/>
        <v>0</v>
      </c>
      <c r="GJ104" s="372">
        <f>GI104*(VLOOKUP($GG$9,各项系数!$D$1:$F$143,2,0))</f>
        <v>0</v>
      </c>
      <c r="GK104" s="395">
        <f>IF($BK104&lt;&gt;$GK$9,0,各项系数!$F$76/4*($MS104^2-$MQ104^2)*10^-2*(VLOOKUP($GK$9,各项系数!$D$1:$F$143,3,0))*10^-3*10^2)*各项系数!$J$4</f>
        <v>0</v>
      </c>
      <c r="GL104" s="396">
        <v>1</v>
      </c>
      <c r="GM104" s="397">
        <f t="shared" si="453"/>
        <v>0</v>
      </c>
      <c r="GN104" s="372">
        <f>GM104*(VLOOKUP($GK$9,各项系数!$D$1:$F$143,2,0))</f>
        <v>0</v>
      </c>
      <c r="GO104" s="397">
        <f t="shared" si="454"/>
        <v>0.00705422033391546</v>
      </c>
      <c r="GP104" s="397">
        <f t="shared" si="455"/>
        <v>0.0909994423075094</v>
      </c>
      <c r="GQ104" s="408">
        <f>各项系数!$F$76/4*($MU104^2-$MS104^2)*10^-2*(VLOOKUP($S104,各项系数!$D$1:$F$143,3,0))*10^-3*10^2*各项系数!$J$4</f>
        <v>0.19280401834276</v>
      </c>
      <c r="GR104" s="396">
        <v>1</v>
      </c>
      <c r="GS104" s="397">
        <f t="shared" si="456"/>
        <v>0.19280401834276</v>
      </c>
      <c r="GT104" s="397">
        <f t="shared" si="457"/>
        <v>0</v>
      </c>
      <c r="GU104" s="397">
        <f>ROUND($GS104*(VLOOKUP($S104,各项系数!$D$1:$F$143,2,0))+$E$3*GS104,GT104)</f>
        <v>1</v>
      </c>
      <c r="GV104" s="406">
        <f>各项系数!$F$76/4*($MT104^2-$MS104^2)*10^-2*(VLOOKUP($GV$9,各项系数!$D$1:$F$143,3,0))*10^-3*10^2*各项系数!$J$4*PI()/4*R104</f>
        <v>0.0364175178428986</v>
      </c>
      <c r="GW104" s="396">
        <v>1</v>
      </c>
      <c r="GX104" s="397">
        <f t="shared" si="458"/>
        <v>0.0364175178428986</v>
      </c>
      <c r="GY104" s="397">
        <f>$GX104*(VLOOKUP($GV$9,各项系数!$D$1:$F$143,2,0))</f>
        <v>2.45818245439565</v>
      </c>
      <c r="GZ104" s="408">
        <f>各项系数!$F$76/4*($MV104^2-$MS104^2)*10^-2*(VLOOKUP($GZ$9,各项系数!$D$1:$F$143,3,0))*10^-3*10^2*各项系数!$J$4</f>
        <v>0.240196235833567</v>
      </c>
      <c r="HA104" s="396">
        <v>1</v>
      </c>
      <c r="HB104" s="397">
        <f t="shared" si="412"/>
        <v>0.240196235833567</v>
      </c>
      <c r="HC104" s="397">
        <f>HB104*(VLOOKUP($GZ$9,各项系数!$D$1:$F$143,2,0))</f>
        <v>4.08333600917064</v>
      </c>
      <c r="HD104" s="408">
        <f>各项系数!$F$76/4*($MW104^2-$MT104^2)*10^-2*(VLOOKUP($HD$9,各项系数!$D$1:$F$143,3,0))*10^-3*10^2*各项系数!$J$4</f>
        <v>0.241574125805061</v>
      </c>
      <c r="HE104" s="396">
        <v>1</v>
      </c>
      <c r="HF104" s="397">
        <f t="shared" si="413"/>
        <v>0.241574125805061</v>
      </c>
      <c r="HG104" s="397">
        <f>HF104*(VLOOKUP($HD$9,各项系数!$D$1:$F$143,2,0))</f>
        <v>4.10676013868604</v>
      </c>
      <c r="HH104" s="408">
        <f>各项系数!$F$76/4*($MV104^2-$MS104^2)*10^-2*(VLOOKUP($HH$9,各项系数!$D$1:$F$143,3,0))*10^-3*10^2*各项系数!$J$4</f>
        <v>0.240196235833567</v>
      </c>
      <c r="HI104" s="397">
        <v>1</v>
      </c>
      <c r="HJ104" s="397">
        <f t="shared" si="414"/>
        <v>0.240196235833567</v>
      </c>
      <c r="HK104" s="397">
        <f>HJ104*(VLOOKUP($HH$9,各项系数!$D$1:$F$143,2,0))</f>
        <v>4.08333600917064</v>
      </c>
      <c r="HL104" s="408">
        <f>各项系数!$F$76/4*($MW104^2-$MT104^2)*10^-2*(VLOOKUP($HL$9,各项系数!$D$1:$F$143,3,0))*10^-3*10^2*各项系数!$J$4</f>
        <v>0.241574125805061</v>
      </c>
      <c r="HM104" s="397">
        <v>1</v>
      </c>
      <c r="HN104" s="397">
        <f t="shared" si="362"/>
        <v>0.241574125805061</v>
      </c>
      <c r="HO104" s="397">
        <f>HN104*(VLOOKUP($HL$9,各项系数!$D$1:$F$143,2,0))</f>
        <v>4.10676013868604</v>
      </c>
      <c r="HP104" s="408">
        <f>各项系数!$F$76/4*($MV104^2-$MS104^2)*10^-2*(VLOOKUP(AN104,各项系数!$D$1:$F$143,3,0))*10^-3*10^2*各项系数!$J$4</f>
        <v>0.243509287362306</v>
      </c>
      <c r="HQ104" s="396">
        <v>1</v>
      </c>
      <c r="HR104" s="397">
        <f t="shared" si="459"/>
        <v>0.243509287362306</v>
      </c>
      <c r="HS104" s="397">
        <f>HR104*(VLOOKUP(AN104,各项系数!$D$1:$F$143,2,0))</f>
        <v>2.43509287362306</v>
      </c>
      <c r="HT104" s="408">
        <f>各项系数!$F$76/4*($MW104^2-$MT104^2)*10^-2*(VLOOKUP(AN104,各项系数!$D$1:$F$143,3,0))*10^-3*10^2*各项系数!$J$4</f>
        <v>0.244906182712717</v>
      </c>
      <c r="HU104" s="396">
        <v>1</v>
      </c>
      <c r="HV104" s="397">
        <f t="shared" si="460"/>
        <v>0.244906182712717</v>
      </c>
      <c r="HW104" s="397">
        <f>HV104*(VLOOKUP(AN104,各项系数!$D$1:$F$143,2,0))</f>
        <v>2.44906182712717</v>
      </c>
      <c r="HX104" s="408">
        <f>各项系数!$F$76/4*($MV104^2-$MS104^2)*10^-2*(VLOOKUP($HX$9,各项系数!$D$1:$F$143,3,0))*10^-3*10^2*各项系数!$J$4</f>
        <v>0.243509287362306</v>
      </c>
      <c r="HY104" s="397">
        <v>1</v>
      </c>
      <c r="HZ104" s="397">
        <f t="shared" si="461"/>
        <v>0.243509287362306</v>
      </c>
      <c r="IA104" s="397">
        <f>HZ104*(VLOOKUP($HX$9,各项系数!$D$1:$F$143,2,0))</f>
        <v>2.67860216098537</v>
      </c>
      <c r="IB104" s="408">
        <f>各项系数!$F$76/4*($MW104^2-$MT104^2)*10^-2*(VLOOKUP($IB$9,各项系数!$D$1:$F$143,3,0))*10^-3*10^2*各项系数!$J$4</f>
        <v>0.244906182712717</v>
      </c>
      <c r="IC104" s="397">
        <v>1</v>
      </c>
      <c r="ID104" s="397">
        <f t="shared" si="462"/>
        <v>0.244906182712717</v>
      </c>
      <c r="IE104" s="397">
        <f>ID104*(VLOOKUP($IB$9,各项系数!$D$1:$F$143,2,0))</f>
        <v>2.69396800983989</v>
      </c>
      <c r="IF104" s="395"/>
      <c r="IG104" s="408">
        <f t="shared" si="415"/>
        <v>0.0507381116652776</v>
      </c>
      <c r="IH104" s="396">
        <v>1</v>
      </c>
      <c r="II104" s="397">
        <f t="shared" si="463"/>
        <v>0.0507381116652776</v>
      </c>
      <c r="IJ104" s="397">
        <f>II104*(VLOOKUP($IG$8,各项系数!$D$1:$F$143,2,0))</f>
        <v>1.26845279163194</v>
      </c>
      <c r="IK104" s="408">
        <f>(各项系数!$F$76/4*($MX104^2-$MK104^2)*$EG104)*10^-2*(VLOOKUP($IG$8,各项系数!$D$1:$F$143,3,0))*10^-3*10^2*各项系数!$J$4</f>
        <v>0.0415366512666714</v>
      </c>
      <c r="IL104" s="396">
        <f>IK104*(VLOOKUP($IG$8,各项系数!$D$1:$F$143,2,0))</f>
        <v>1.03841628166679</v>
      </c>
      <c r="IM104" s="397">
        <f>(各项系数!$F$76/4*(($MM104+3*$X104)^2-MM104^2)*$EO104)*10^-2*(VLOOKUP($IG$8,各项系数!$D$1:$F$143,3,0))*10^-3*10^2*各项系数!$J$4</f>
        <v>0.00920146039860613</v>
      </c>
      <c r="IN104" s="396">
        <f>IM104*(VLOOKUP($IG$8,各项系数!$D$1:$F$143,2,0))</f>
        <v>0.230036509965153</v>
      </c>
      <c r="IO104" s="408">
        <f>各项系数!$F$76/4*($MZ104^2-$MX104^2)*10^-2*(VLOOKUP(L104,各项系数!$D$1:$F$143,3,0))*10^-3*10^2*$ES104*各项系数!$J$4</f>
        <v>0.153258775668163</v>
      </c>
      <c r="IP104" s="396">
        <v>1</v>
      </c>
      <c r="IQ104" s="397">
        <f t="shared" si="464"/>
        <v>0.153258775668163</v>
      </c>
      <c r="IR104" s="372">
        <f>IQ104*(VLOOKUP(L104,各项系数!$D$1:$F$143,2,0))</f>
        <v>1.56323951181526</v>
      </c>
      <c r="IS104" s="408">
        <f>IF($L104&lt;&gt;$IS$9,0,各项系数!$F$76/4*($MZ104^2-$MX104^2)*10^-2*各项系数!$F$12*10^-3*10^2)*$ES104*各项系数!$J$4</f>
        <v>0</v>
      </c>
      <c r="IT104" s="396">
        <v>1</v>
      </c>
      <c r="IU104" s="397">
        <f t="shared" si="465"/>
        <v>0</v>
      </c>
      <c r="IV104" s="372">
        <f>IU104*各项系数!$E$12</f>
        <v>0</v>
      </c>
      <c r="IW104" s="395">
        <f t="shared" si="466"/>
        <v>0.153258775668163</v>
      </c>
      <c r="IX104" s="395">
        <f t="shared" si="467"/>
        <v>1.56323951181526</v>
      </c>
      <c r="IY104" s="447">
        <f>各项系数!$F$76/4*($NB104^2-$MZ104^2*$EG104-$NA104^2*$EO104)*10^-2</f>
        <v>1.80331947061697</v>
      </c>
      <c r="IZ104" s="366">
        <f t="shared" si="487"/>
        <v>1</v>
      </c>
      <c r="JA104" s="367">
        <f t="shared" si="363"/>
        <v>1.80331947061697</v>
      </c>
      <c r="JB104" s="371">
        <f>IF($DE104&lt;&gt;$JB$9,0,$JA104*各项系数!$F$32*10^-3*10^2)*各项系数!$J$4</f>
        <v>0</v>
      </c>
      <c r="JC104" s="127">
        <v>1</v>
      </c>
      <c r="JD104" s="95">
        <f t="shared" si="468"/>
        <v>0</v>
      </c>
      <c r="JE104" s="341">
        <f>JD104*各项系数!$E$32</f>
        <v>0</v>
      </c>
      <c r="JF104" s="364">
        <f>IF($DE104&lt;&gt;$JF$9,0,$JA104*VLOOKUP($JF$9,各项系数!$D$4:$F$540,2,0)*10^-3*10^2)*各项系数!$J$4</f>
        <v>0.897151436631941</v>
      </c>
      <c r="JG104" s="123">
        <v>1</v>
      </c>
      <c r="JH104" s="251">
        <f t="shared" si="364"/>
        <v>0.897151436631941</v>
      </c>
      <c r="JI104" s="339">
        <f>JH104*VLOOKUP($JF$9,各项系数!$D$4:$F$540,3,0)</f>
        <v>1.07658172395833</v>
      </c>
      <c r="JJ104" s="371">
        <f t="shared" si="469"/>
        <v>0.897151436631941</v>
      </c>
      <c r="JK104" s="95">
        <f t="shared" si="470"/>
        <v>1.07658172395833</v>
      </c>
      <c r="JL104" s="371">
        <f>IF($DF104&lt;&gt;$JL$9,0,各项系数!$F$76/4*($NE104^2-$NC104^2)*10^-2*各项系数!$F$39*10^-3*10^2)*各项系数!$J$4</f>
        <v>0.00309558069753715</v>
      </c>
      <c r="JM104" s="127">
        <v>1</v>
      </c>
      <c r="JN104" s="95">
        <f t="shared" si="471"/>
        <v>0.00309558069753715</v>
      </c>
      <c r="JO104" s="341">
        <f>JN104*各项系数!$E$39</f>
        <v>0.061911613950743</v>
      </c>
      <c r="JP104" s="371">
        <f>IF($DF104&lt;&gt;$JP$9,0,各项系数!$F$76/4*($NE104^2-$NC104^2)*10^-2*各项系数!$F$36*10^-3*10^2)*各项系数!$J$4</f>
        <v>0</v>
      </c>
      <c r="JQ104" s="127">
        <v>1</v>
      </c>
      <c r="JR104" s="95">
        <f t="shared" si="472"/>
        <v>0</v>
      </c>
      <c r="JS104" s="341">
        <f>JR104*各项系数!$E$36</f>
        <v>0</v>
      </c>
      <c r="JT104" s="371">
        <f>IF($DF104&lt;&gt;$JT$9,0,各项系数!$F$76/4*($NE104^2-$NC104^2)*10^-2*各项系数!$F$40*10^-3*10^2)*各项系数!$J$4</f>
        <v>0</v>
      </c>
      <c r="JU104" s="127">
        <v>1</v>
      </c>
      <c r="JV104" s="95">
        <f t="shared" si="473"/>
        <v>0</v>
      </c>
      <c r="JW104" s="341">
        <f>JV104*各项系数!$E$40</f>
        <v>0</v>
      </c>
      <c r="JX104" s="371">
        <f>IF($DF104&lt;&gt;$JX$9,0,各项系数!$F$76/4*($NE104^2-$NC104^2)*10^-2*各项系数!$F$38*10^-3*10^2)*各项系数!$J$4</f>
        <v>0</v>
      </c>
      <c r="JY104" s="127">
        <v>1</v>
      </c>
      <c r="JZ104" s="95">
        <f t="shared" si="474"/>
        <v>0</v>
      </c>
      <c r="KA104" s="341">
        <f>JZ104*各项系数!$E$38</f>
        <v>0</v>
      </c>
      <c r="KB104" s="371">
        <f>IF($DF104&lt;&gt;$KB$9,0,各项系数!$F$76/4*($NE104^2-$NC104^2)*10^-2*各项系数!$F$41*10^-3*10^2)*各项系数!$J$4</f>
        <v>0</v>
      </c>
      <c r="KC104" s="127">
        <v>1</v>
      </c>
      <c r="KD104" s="95">
        <f t="shared" si="475"/>
        <v>0</v>
      </c>
      <c r="KE104" s="341">
        <f>KD104*各项系数!$E$41</f>
        <v>0</v>
      </c>
      <c r="KF104" s="95">
        <f t="shared" si="476"/>
        <v>0.00309558069753715</v>
      </c>
      <c r="KG104" s="95">
        <f t="shared" si="477"/>
        <v>0.061911613950743</v>
      </c>
      <c r="KH104" s="304">
        <f>各项系数!$F$76/4*($NG104^2-$NE104^2)*10^-2*各项系数!$F$44*10^-3*10^2*各项系数!$J$4*0.75*$U104</f>
        <v>0.307213008238862</v>
      </c>
      <c r="KI104" s="127">
        <v>1</v>
      </c>
      <c r="KJ104" s="95">
        <f t="shared" si="478"/>
        <v>0.307213008238862</v>
      </c>
      <c r="KK104" s="95">
        <f>ROUND(KJ104*各项系数!$E$43,GT104)</f>
        <v>2</v>
      </c>
      <c r="KL104" s="302">
        <f>各项系数!$F$76/4*($NF104^2-$NE104^2)*10^-2*各项系数!$F$46*10^-3*10^2*各项系数!$J$4*PI()/4*R104</f>
        <v>0.0387041339015686</v>
      </c>
      <c r="KM104" s="127">
        <v>1</v>
      </c>
      <c r="KN104" s="95">
        <f t="shared" si="479"/>
        <v>0.0387041339015686</v>
      </c>
      <c r="KO104" s="95">
        <f>KN104*各项系数!$E$46</f>
        <v>2.61252903835588</v>
      </c>
      <c r="KP104" s="304">
        <f>各项系数!$F$76/4*($NH104^2-$NE104^2)*10^-2*(VLOOKUP($KP$9,各项系数!$D$1:$F$143,3,0))*10^-3*10^2*各项系数!$J$4</f>
        <v>0.254293772604414</v>
      </c>
      <c r="KQ104" s="127">
        <v>1</v>
      </c>
      <c r="KR104" s="95">
        <f t="shared" si="416"/>
        <v>0.254293772604414</v>
      </c>
      <c r="KS104" s="95">
        <f>KR104*(VLOOKUP($KP$9,各项系数!$D$1:$F$143,2,0))</f>
        <v>4.32299413427503</v>
      </c>
      <c r="KT104" s="304">
        <f>各项系数!$F$76/4*($NI104^2-$NF104^2)*10^-2*(VLOOKUP($KT$9,各项系数!$D$1:$F$143,3,0))*10^-3*10^2*各项系数!$J$4</f>
        <v>0.255671662575908</v>
      </c>
      <c r="KU104" s="127">
        <v>1</v>
      </c>
      <c r="KV104" s="95">
        <f t="shared" si="417"/>
        <v>0.255671662575908</v>
      </c>
      <c r="KW104" s="95">
        <f>KV104*(VLOOKUP($KT$9,各项系数!$D$1:$F$143,2,0))</f>
        <v>4.34641826379043</v>
      </c>
      <c r="KX104" s="95">
        <f>各项系数!$F$76/4*($NH104^2-$NE104^2)*10^-2*(VLOOKUP($KX$9,各项系数!$D$1:$F$143,3,0))*10^-3*10^2*各项系数!$J$4</f>
        <v>0.254293772604414</v>
      </c>
      <c r="KY104" s="481">
        <v>1</v>
      </c>
      <c r="KZ104" s="95">
        <f t="shared" si="418"/>
        <v>0.254293772604414</v>
      </c>
      <c r="LA104" s="95">
        <f>KZ104*(VLOOKUP($KX$9,各项系数!$D$1:$F$143,2,0))</f>
        <v>4.32299413427503</v>
      </c>
      <c r="LB104" s="95">
        <f>各项系数!$F$76/4*($NI104^2-$NF104^2)*10^-2*(VLOOKUP($LB$9,各项系数!$D$1:$F$143,3,0))*10^-3*10^2*各项系数!$J$4</f>
        <v>0.255671662575908</v>
      </c>
      <c r="LC104" s="481">
        <v>1</v>
      </c>
      <c r="LD104" s="95">
        <f t="shared" si="419"/>
        <v>0.255671662575908</v>
      </c>
      <c r="LE104" s="95">
        <f>LD104*(VLOOKUP($LB$9,各项系数!$D$1:$F$143,2,0))</f>
        <v>4.34641826379043</v>
      </c>
      <c r="LF104" s="304">
        <f>各项系数!$F$76/4*($NH104^2-$NE104^2)*10^-2*(VLOOKUP(AN104,各项系数!$D$1:$F$143,3,0))*10^-3*10^2*各项系数!$J$4</f>
        <v>0.257801272916199</v>
      </c>
      <c r="LG104" s="127">
        <v>1</v>
      </c>
      <c r="LH104" s="95">
        <f t="shared" si="480"/>
        <v>0.257801272916199</v>
      </c>
      <c r="LI104" s="95">
        <f>LH104*(VLOOKUP(AN104,各项系数!$D$1:$F$143,2,0))</f>
        <v>2.57801272916199</v>
      </c>
      <c r="LJ104" s="304">
        <f>各项系数!$F$76/4*($NI104^2-$NF104^2)*10^-2*(VLOOKUP(AN104,各项系数!$D$1:$F$143,3,0))*10^-3*10^2*各项系数!$J$4</f>
        <v>0.25919816826661</v>
      </c>
      <c r="LK104" s="127">
        <v>1</v>
      </c>
      <c r="LL104" s="95">
        <f t="shared" si="481"/>
        <v>0.25919816826661</v>
      </c>
      <c r="LM104" s="95">
        <f>LL104*(VLOOKUP(AN104,各项系数!$D$1:$F$143,2,0))</f>
        <v>2.5919816826661</v>
      </c>
      <c r="LN104" s="95">
        <f>各项系数!$F$76/4*($NH104^2-$NE104^2)*10^-2*(VLOOKUP($LN$9,各项系数!$D$1:$F$143,3,0))*10^-3*10^2*各项系数!$J$4</f>
        <v>0.257801272916199</v>
      </c>
      <c r="LO104" s="481">
        <v>1</v>
      </c>
      <c r="LP104" s="95">
        <f t="shared" si="482"/>
        <v>0.257801272916199</v>
      </c>
      <c r="LQ104" s="95">
        <f>LP104*(VLOOKUP($LN$9,各项系数!$D$1:$F$143,2,0))</f>
        <v>2.83581400207819</v>
      </c>
      <c r="LR104" s="95">
        <f>各项系数!$F$76/4*($NI104^2-$NF104^2)*10^-2*(VLOOKUP($LR$9,各项系数!$D$1:$F$143,3,0))*10^-3*10^2*各项系数!$J$4</f>
        <v>0.25919816826661</v>
      </c>
      <c r="LS104" s="481">
        <v>1</v>
      </c>
      <c r="LT104" s="95">
        <f t="shared" si="483"/>
        <v>0.25919816826661</v>
      </c>
      <c r="LU104" s="95">
        <f>LT104*(VLOOKUP($LR$9,各项系数!$D$1:$F$143,2,0))</f>
        <v>2.85117985093271</v>
      </c>
      <c r="LV104" s="501">
        <f t="shared" si="420"/>
        <v>214.57314108</v>
      </c>
      <c r="LW104" s="501">
        <f t="shared" si="421"/>
        <v>134.10821318</v>
      </c>
      <c r="LX104" s="501">
        <f t="shared" si="422"/>
        <v>13.0672062926453</v>
      </c>
      <c r="LY104" s="519">
        <f t="shared" si="423"/>
        <v>80.4649279</v>
      </c>
      <c r="LZ104" s="516">
        <f t="shared" si="365"/>
        <v>1</v>
      </c>
      <c r="MA104" s="517">
        <f t="shared" si="366"/>
        <v>214.57314108</v>
      </c>
      <c r="MB104" s="501">
        <f t="shared" si="424"/>
        <v>9.5429382</v>
      </c>
      <c r="MC104" s="501">
        <f t="shared" si="425"/>
        <v>30.5953303</v>
      </c>
      <c r="MD104" s="501">
        <f t="shared" si="426"/>
        <v>23.79636809</v>
      </c>
      <c r="ME104" s="501">
        <f t="shared" si="427"/>
        <v>5.50440522429644</v>
      </c>
      <c r="MF104" s="501">
        <f t="shared" si="428"/>
        <v>6.79896221</v>
      </c>
      <c r="MG104" s="527">
        <f t="shared" si="429"/>
        <v>1</v>
      </c>
      <c r="MH104" s="517">
        <f t="shared" si="367"/>
        <v>30.5953303</v>
      </c>
      <c r="MI104" s="501">
        <f t="shared" si="430"/>
        <v>6.24140884914567</v>
      </c>
      <c r="MJ104" s="95">
        <f t="shared" si="368"/>
        <v>9.5429382</v>
      </c>
      <c r="MK104" s="95">
        <f t="shared" si="431"/>
        <v>9.5429382</v>
      </c>
      <c r="ML104" s="95">
        <f t="shared" si="484"/>
        <v>6.24140884934256</v>
      </c>
      <c r="MM104" s="95">
        <f t="shared" si="369"/>
        <v>6.24140884914567</v>
      </c>
      <c r="MN104" s="95">
        <f t="shared" si="370"/>
        <v>11.5429382</v>
      </c>
      <c r="MO104" s="251">
        <f t="shared" si="432"/>
        <v>8.04140884914568</v>
      </c>
      <c r="MP104" s="95">
        <f t="shared" si="433"/>
        <v>25.81548519</v>
      </c>
      <c r="MQ104" s="95">
        <f t="shared" si="485"/>
        <v>25.81548519</v>
      </c>
      <c r="MR104" s="314">
        <f t="shared" si="434"/>
        <v>25.81548519</v>
      </c>
      <c r="MS104" s="530">
        <f t="shared" si="371"/>
        <v>25.99148519</v>
      </c>
      <c r="MT104" s="532">
        <f t="shared" si="372"/>
        <v>26.15148519</v>
      </c>
      <c r="MU104" s="532">
        <f t="shared" si="373"/>
        <v>26.59148519</v>
      </c>
      <c r="MV104" s="532">
        <f t="shared" si="374"/>
        <v>29.79148519</v>
      </c>
      <c r="MW104" s="532">
        <f t="shared" si="375"/>
        <v>29.95148519</v>
      </c>
      <c r="MX104" s="314">
        <f t="shared" si="376"/>
        <v>10.1429382</v>
      </c>
      <c r="MY104" s="314">
        <f t="shared" si="377"/>
        <v>6.84140884914567</v>
      </c>
      <c r="MZ104" s="95">
        <f t="shared" si="378"/>
        <v>12.1429382</v>
      </c>
      <c r="NA104" s="95">
        <f t="shared" si="379"/>
        <v>8.84140884914567</v>
      </c>
      <c r="NB104" s="95">
        <f t="shared" si="435"/>
        <v>27.38848519</v>
      </c>
      <c r="NC104" s="314">
        <f t="shared" si="486"/>
        <v>27.38848519</v>
      </c>
      <c r="ND104" s="314">
        <f t="shared" si="436"/>
        <v>27.38848519</v>
      </c>
      <c r="NE104" s="537">
        <f t="shared" si="437"/>
        <v>27.62848519</v>
      </c>
      <c r="NF104" s="532">
        <f t="shared" si="380"/>
        <v>27.78848519</v>
      </c>
      <c r="NG104" s="180">
        <f t="shared" si="381"/>
        <v>28.22848519</v>
      </c>
      <c r="NH104" s="314">
        <f t="shared" si="382"/>
        <v>31.42848519</v>
      </c>
      <c r="NI104" s="532">
        <f t="shared" si="383"/>
        <v>31.58848519</v>
      </c>
      <c r="NK104" s="541">
        <f t="shared" si="384"/>
        <v>2.00511730007337</v>
      </c>
      <c r="NL104" s="541">
        <f t="shared" si="385"/>
        <v>97.1483503543495</v>
      </c>
      <c r="NM104" s="541">
        <f t="shared" si="386"/>
        <v>2.00511730007337</v>
      </c>
      <c r="NN104" s="541">
        <f t="shared" si="387"/>
        <v>97.3918596417118</v>
      </c>
      <c r="NO104" s="541">
        <f t="shared" si="388"/>
        <v>2.78336379081196</v>
      </c>
      <c r="NP104" s="541">
        <f t="shared" si="389"/>
        <v>99.2719083911262</v>
      </c>
      <c r="NQ104" s="541">
        <f t="shared" si="390"/>
        <v>2.78336379081196</v>
      </c>
      <c r="NR104" s="541">
        <f t="shared" si="391"/>
        <v>99.5297096640424</v>
      </c>
      <c r="NS104" s="541">
        <f t="shared" si="392"/>
        <v>2.04153481791627</v>
      </c>
      <c r="NT104" s="541">
        <f t="shared" si="393"/>
        <v>2.04153481791627</v>
      </c>
      <c r="NU104" s="541">
        <f t="shared" si="394"/>
        <v>2.82206792471353</v>
      </c>
      <c r="NV104" s="541">
        <f t="shared" si="395"/>
        <v>2.82206792471353</v>
      </c>
      <c r="NW104" s="11">
        <f t="shared" si="396"/>
        <v>2.19792131841613</v>
      </c>
      <c r="NX104" s="11">
        <f>各项系数!$M$9*NK104</f>
        <v>0.601535190022012</v>
      </c>
      <c r="NY104" s="11">
        <f t="shared" si="397"/>
        <v>2.04153481791627</v>
      </c>
    </row>
    <row r="105" s="11" customFormat="1" customHeight="1" spans="1:389">
      <c r="A105" s="81"/>
      <c r="B105" s="82"/>
      <c r="C105" s="83"/>
      <c r="D105" s="74" t="s">
        <v>335</v>
      </c>
      <c r="E105" s="550">
        <f t="shared" si="325"/>
        <v>33.29947461</v>
      </c>
      <c r="F105" s="84">
        <f>$F$25</f>
        <v>242.295968589101</v>
      </c>
      <c r="G105" s="74"/>
      <c r="H105" s="23"/>
      <c r="I105" s="174">
        <f>$F$23</f>
        <v>245.05464536043</v>
      </c>
      <c r="J105" s="78"/>
      <c r="K105" s="23"/>
      <c r="L105" s="128" t="s">
        <v>467</v>
      </c>
      <c r="M105" s="119">
        <f t="shared" si="339"/>
        <v>1.1</v>
      </c>
      <c r="N105" s="119">
        <f t="shared" si="340"/>
        <v>0.9</v>
      </c>
      <c r="O105" s="74">
        <f t="shared" si="493"/>
        <v>0.08</v>
      </c>
      <c r="P105" s="120">
        <v>0.1</v>
      </c>
      <c r="Q105" s="165">
        <f t="shared" si="499"/>
        <v>0.1</v>
      </c>
      <c r="R105" s="182">
        <v>0.8</v>
      </c>
      <c r="S105" s="173" t="str">
        <f>各项系数!$D$43</f>
        <v>钢带</v>
      </c>
      <c r="T105" s="78">
        <v>0.5</v>
      </c>
      <c r="U105" s="78">
        <v>2</v>
      </c>
      <c r="V105" s="172"/>
      <c r="W105" s="174">
        <v>2.1</v>
      </c>
      <c r="X105" s="168">
        <f t="shared" si="500"/>
        <v>0.2</v>
      </c>
      <c r="Y105" s="221"/>
      <c r="Z105" s="222"/>
      <c r="AA105" s="223">
        <f>$AA$25</f>
        <v>1.013</v>
      </c>
      <c r="AB105" s="186">
        <f>PI()*EJ105*EJ105/4*EH105*(1-H105)*AA105*各项系数!$F$5*各项系数!$J$4*10^-7</f>
        <v>0.578421704096205</v>
      </c>
      <c r="AC105" s="224">
        <f t="shared" si="327"/>
        <v>242.295968589101</v>
      </c>
      <c r="AD105" s="186">
        <f t="shared" si="341"/>
        <v>65.3912649972251</v>
      </c>
      <c r="AE105" s="186">
        <f>POWER(4*EU105/PI()/EG105/10^-7/EH105/(1-H105)/各项系数!$F$5/各项系数!$J$4,0.5)</f>
        <v>243.865806884974</v>
      </c>
      <c r="AF105" s="225">
        <f>$AA$23</f>
        <v>1.011</v>
      </c>
      <c r="AG105" s="23">
        <f>IF(EM105=0,0,PI()*ER105*ER105/4*EP105*(1-K105)*(1+AF105)*各项系数!$F$5*各项系数!$J$4*10^-7)</f>
        <v>0.587287439958483</v>
      </c>
      <c r="AH105" s="23">
        <f t="shared" si="328"/>
        <v>245.05464536043</v>
      </c>
      <c r="AI105" s="85">
        <f t="shared" si="398"/>
        <v>33.3783570613855</v>
      </c>
      <c r="AJ105" s="85">
        <f>IF(OR(EP105="",EP105=0),0,POWER(4*EW105/PI()/EO105/10^-7/EP105/(1-K105)/各项系数!$F$5/各项系数!$J$4,0.5))</f>
        <v>246.398759704805</v>
      </c>
      <c r="AK105" s="23">
        <f t="shared" si="342"/>
        <v>2.03051503859295</v>
      </c>
      <c r="AL105" s="23">
        <f t="shared" si="329"/>
        <v>142.839072024912</v>
      </c>
      <c r="AM105" s="127">
        <f t="shared" si="330"/>
        <v>70</v>
      </c>
      <c r="AN105" s="128" t="s">
        <v>486</v>
      </c>
      <c r="AO105" s="176">
        <f>AP105+各项系数!$M$9*$NK105</f>
        <v>140.038305906776</v>
      </c>
      <c r="AP105" s="176">
        <f>AQ105*(1+$BI105+(VLOOKUP($AM105,$A$12:$B$323,2,0))+各项系数!$J$6+各项系数!$M$5)*(1+$E$2)</f>
        <v>139.209361051576</v>
      </c>
      <c r="AQ105" s="262">
        <f>AR105+各项系数!$L$9*$NK105</f>
        <v>142.050368419975</v>
      </c>
      <c r="AR105" s="262">
        <f>AS105*(1+$BJ105+各项系数!$J$5+各项系数!$L$5)</f>
        <v>141.221423564775</v>
      </c>
      <c r="AS105" s="262">
        <f t="shared" si="399"/>
        <v>138.452376043897</v>
      </c>
      <c r="AT105" s="176">
        <f>AU105+各项系数!$M$9*$NM105</f>
        <v>142.075295719618</v>
      </c>
      <c r="AU105" s="176">
        <f>AV105*(1+$BI105+(VLOOKUP($AM105,$A$12:$B$323,2,0))+各项系数!$J$6+各项系数!$M$5)*(1+$E$2)</f>
        <v>141.246350864418</v>
      </c>
      <c r="AV105" s="262">
        <f>AW105+各项系数!$L$9*$NM105</f>
        <v>144.128929453488</v>
      </c>
      <c r="AW105" s="262">
        <f>AX105*(1+$BJ105+各项系数!$J$5+各项系数!$L$5)</f>
        <v>143.299984598287</v>
      </c>
      <c r="AX105" s="262">
        <f t="shared" si="400"/>
        <v>140.490180978713</v>
      </c>
      <c r="AY105" s="176">
        <f>AZ105+各项系数!$M$9*$NS105</f>
        <v>142.828072482805</v>
      </c>
      <c r="AZ105" s="176">
        <f>BA105*(1+$BI105+(VLOOKUP($AM105,$A$12:$B$214,2,0))+各项系数!$J$6+各项系数!$M$5)*(1+$E$2)</f>
        <v>141.986899969347</v>
      </c>
      <c r="BA105" s="262">
        <f>BB105+各项系数!$L$9*$NS105</f>
        <v>144.884591805456</v>
      </c>
      <c r="BB105" s="262">
        <f>BC105*(1+$BJ105+各项系数!$J$5+各项系数!$L$5)</f>
        <v>144.043419291997</v>
      </c>
      <c r="BC105" s="262">
        <f t="shared" si="401"/>
        <v>141.219038521566</v>
      </c>
      <c r="BD105" s="176">
        <f>BE105+各项系数!$M$9*$NS105</f>
        <v>144.875508573161</v>
      </c>
      <c r="BE105" s="176">
        <f>BF105*(1+$BI105+(VLOOKUP($AM105,$A$12:$B$214,2,0))+各项系数!$J$6+各项系数!$M$5)*(1+$E$2)</f>
        <v>144.034336059702</v>
      </c>
      <c r="BF105" s="262">
        <f>BG105+各项系数!$L$9*$NS105</f>
        <v>146.973812305819</v>
      </c>
      <c r="BG105" s="262">
        <f>BH105*(1+$BJ105+各项系数!$J$5+各项系数!$L$5)</f>
        <v>146.13263979236</v>
      </c>
      <c r="BH105" s="262">
        <f t="shared" si="402"/>
        <v>143.267293914079</v>
      </c>
      <c r="BI105" s="278"/>
      <c r="BJ105" s="279"/>
      <c r="BK105" s="95" t="s">
        <v>514</v>
      </c>
      <c r="BL105" s="176">
        <f>BM105+各项系数!$M$9*$NM105</f>
        <v>141.69903181942</v>
      </c>
      <c r="BM105" s="176">
        <f>BN105*(1+$CF105+(VLOOKUP($AM105,$A$12:$B$323,2,0))+各项系数!$J$6+各项系数!$M$5)*(1+$E$2)</f>
        <v>140.87008696422</v>
      </c>
      <c r="BN105" s="262">
        <f>BO105+各项系数!$L$9*$NM105</f>
        <v>143.744986698184</v>
      </c>
      <c r="BO105" s="262">
        <f>BP105*(1+$CG105+各项系数!$J$5+各项系数!$L$5)</f>
        <v>142.916041842983</v>
      </c>
      <c r="BP105" s="262">
        <f t="shared" si="403"/>
        <v>138.753438682508</v>
      </c>
      <c r="BQ105" s="176">
        <f>BR105+各项系数!$M$9*$NM105</f>
        <v>143.45209949321</v>
      </c>
      <c r="BR105" s="176">
        <f>BS105*(1+$CF105+(VLOOKUP($AM105,$A$12:$B$323,2,0))+各项系数!$J$6+各项系数!$M$5)*(1+$E$2)</f>
        <v>142.623154638009</v>
      </c>
      <c r="BS105" s="262">
        <f>BT105+各项系数!$L$9*$NM105</f>
        <v>145.533831263275</v>
      </c>
      <c r="BT105" s="262">
        <f>BU105*(1+$CG105+各项系数!$J$5+各项系数!$L$5)</f>
        <v>144.704886408074</v>
      </c>
      <c r="BU105" s="262">
        <f t="shared" si="404"/>
        <v>140.490180978713</v>
      </c>
      <c r="BV105" s="176">
        <f>BW105+各项系数!$M$9*$NT105</f>
        <v>143.701219209607</v>
      </c>
      <c r="BW105" s="176">
        <f>BX105*(1+$CF105+(VLOOKUP($AM105,$A$12:$B$214,2,0))+各项系数!$J$6+各项系数!$M$5)*(1+$E$2)</f>
        <v>142.860046696148</v>
      </c>
      <c r="BX105" s="262">
        <f>BY105+各项系数!$L$9*$NT$12</f>
        <v>145.775557853213</v>
      </c>
      <c r="BY105" s="262">
        <f>BZ105*(1+$CG105+各项系数!$J$5+各项系数!$L$5)</f>
        <v>145.767294450058</v>
      </c>
      <c r="BZ105" s="262">
        <f t="shared" si="343"/>
        <v>141.521645097143</v>
      </c>
      <c r="CA105" s="176">
        <f>CB105+各项系数!$M$9*$NT105</f>
        <v>145.463277125421</v>
      </c>
      <c r="CB105" s="176">
        <f>CC105*(1+$CF105+(VLOOKUP($AM105,$A$12:$B$214,2,0))+各项系数!$J$6+各项系数!$M$5)*(1+$E$2)</f>
        <v>144.622104611963</v>
      </c>
      <c r="CC105" s="262">
        <f>CD105+各项系数!$L$9*$NT$12</f>
        <v>147.573576134656</v>
      </c>
      <c r="CD105" s="262">
        <f>CE105*(1+$CG105+各项系数!$J$5+各项系数!$L$5)</f>
        <v>147.565312731501</v>
      </c>
      <c r="CE105" s="262">
        <f t="shared" si="405"/>
        <v>143.267293914079</v>
      </c>
      <c r="CF105" s="278">
        <f t="shared" si="406"/>
        <v>0</v>
      </c>
      <c r="CG105" s="278">
        <f t="shared" si="344"/>
        <v>0.01</v>
      </c>
      <c r="CH105" s="127"/>
      <c r="CI105" s="176">
        <f>CJ105+各项系数!$M$9*$NO105</f>
        <v>143.933301662276</v>
      </c>
      <c r="CJ105" s="176">
        <f>CK105*(1+$DC105+(VLOOKUP($AM105,$A$12:$B$323,2,0))+各项系数!$J$6+各项系数!$M$5)*(1+$E$2)+各项系数!$M$9*$NK105</f>
        <v>142.812568158587</v>
      </c>
      <c r="CK105" s="262">
        <f>CL105+各项系数!$L$9*$NO105</f>
        <v>144.881248268762</v>
      </c>
      <c r="CL105" s="262">
        <f>CM105*(1+$DD105+各项系数!$J$5+各项系数!$L$5)</f>
        <v>143.760514765073</v>
      </c>
      <c r="CM105" s="262">
        <f t="shared" si="345"/>
        <v>140.941681142229</v>
      </c>
      <c r="CN105" s="176">
        <f>CO105+各项系数!$M$9*$NO105</f>
        <v>145.800719256982</v>
      </c>
      <c r="CO105" s="176">
        <f>CP105*(1+$DC105+(VLOOKUP($AM105,$A$12:$B$323,2,0))+各项系数!$J$6+各项系数!$M$5)*(1+$E$2)+各项系数!$M$9*$NK105</f>
        <v>144.679985753293</v>
      </c>
      <c r="CP105" s="262">
        <f>CQ105+各项系数!$L$9*$NO105</f>
        <v>146.786776426625</v>
      </c>
      <c r="CQ105" s="262">
        <f>CR105*(1+$DD105+各项系数!$J$5+各项系数!$L$5)</f>
        <v>145.666042922936</v>
      </c>
      <c r="CR105" s="262">
        <f t="shared" si="346"/>
        <v>142.809846002879</v>
      </c>
      <c r="CS105" s="176">
        <f>CT105+各项系数!$M$9*$NU105</f>
        <v>146.061270946621</v>
      </c>
      <c r="CT105" s="176">
        <f t="shared" si="347"/>
        <v>144.927573094809</v>
      </c>
      <c r="CU105" s="262">
        <f>CV105+各项系数!$L$9*$NU105</f>
        <v>147.885278668173</v>
      </c>
      <c r="CV105" s="262">
        <f>CW105*(1+$DD105+各项系数!$J$5+各项系数!$L$5)</f>
        <v>146.751580816361</v>
      </c>
      <c r="CW105" s="262">
        <f t="shared" si="348"/>
        <v>143.874098839569</v>
      </c>
      <c r="CX105" s="176">
        <f>CY105+各项系数!$M$9*$NU105</f>
        <v>148.223485511157</v>
      </c>
      <c r="CY105" s="176">
        <f t="shared" si="349"/>
        <v>147.089787659346</v>
      </c>
      <c r="CZ105" s="262">
        <f>DA105+各项系数!$L$9*$NU105</f>
        <v>150.091620060557</v>
      </c>
      <c r="DA105" s="262">
        <f>DB105*(1+$DD105+各项系数!$J$5+各项系数!$L$5)</f>
        <v>148.957922208745</v>
      </c>
      <c r="DB105" s="262">
        <f t="shared" si="350"/>
        <v>146.037178636025</v>
      </c>
      <c r="DC105" s="278">
        <f t="shared" si="498"/>
        <v>0</v>
      </c>
      <c r="DD105" s="278">
        <f t="shared" si="351"/>
        <v>0</v>
      </c>
      <c r="DE105" s="95" t="s">
        <v>498</v>
      </c>
      <c r="DF105" s="95" t="s">
        <v>513</v>
      </c>
      <c r="DG105" s="176">
        <f>DH105+各项系数!$M$9*$NQ105</f>
        <v>145.63554623397</v>
      </c>
      <c r="DH105" s="176">
        <f>DI105*(1+$EA105+(VLOOKUP($AM105,$A$12:$B$323,2,0))+各项系数!$J$6+各项系数!$M$5)*(1+$E$2)+各项系数!$M$9*$NK105</f>
        <v>144.514812730281</v>
      </c>
      <c r="DI105" s="262">
        <f>DJ105+各项系数!$L$9*$NQ105</f>
        <v>146.618232525593</v>
      </c>
      <c r="DJ105" s="262">
        <f>DK105*(1+$EB105+各项系数!$J$5+各项系数!$L$5)</f>
        <v>145.497499021904</v>
      </c>
      <c r="DK105" s="262">
        <f t="shared" si="352"/>
        <v>141.259707788256</v>
      </c>
      <c r="DL105" s="176">
        <f>DM105+各项系数!$M$9*$NQ105</f>
        <v>147.487394192012</v>
      </c>
      <c r="DM105" s="176">
        <f>DN105*(1+$EA105+(VLOOKUP($AM105,$A$12:$B$323,2,0))+各项系数!$J$6+各项系数!$M$5)*(1+$E$2)+各项系数!$M$9*$NK105</f>
        <v>146.366660688324</v>
      </c>
      <c r="DN105" s="262">
        <f>DO105+各项系数!$L$9*$NQ105</f>
        <v>148.507873299105</v>
      </c>
      <c r="DO105" s="262">
        <f>DP105*(1+$EB105+各项系数!$J$5+各项系数!$L$5)</f>
        <v>147.387139795417</v>
      </c>
      <c r="DP105" s="262">
        <f t="shared" si="353"/>
        <v>143.094310480987</v>
      </c>
      <c r="DQ105" s="176">
        <f>DR105+各项系数!$M$9*$NV105</f>
        <v>147.793811661723</v>
      </c>
      <c r="DR105" s="176">
        <f t="shared" si="354"/>
        <v>146.660113809911</v>
      </c>
      <c r="DS105" s="262">
        <f>DT105+各项系数!$L$9*$NV105</f>
        <v>149.653177357052</v>
      </c>
      <c r="DT105" s="262">
        <f>DU105*(1+$EB105+各项系数!$J$5+各项系数!$L$5)</f>
        <v>148.51947950524</v>
      </c>
      <c r="DU105" s="262">
        <f t="shared" si="355"/>
        <v>144.193669422563</v>
      </c>
      <c r="DV105" s="176">
        <f>DW105+各项系数!$M$9*$NV105</f>
        <v>147.725408151509</v>
      </c>
      <c r="DW105" s="176">
        <f t="shared" si="356"/>
        <v>146.591710299697</v>
      </c>
      <c r="DX105" s="262">
        <f>DY105+各项系数!$L$9*$NV105</f>
        <v>149.583377856834</v>
      </c>
      <c r="DY105" s="262">
        <f>DZ105*(1+$EB105+各项系数!$J$5+各项系数!$L$5)</f>
        <v>148.449680005022</v>
      </c>
      <c r="DZ105" s="262">
        <f t="shared" si="357"/>
        <v>144.125902917497</v>
      </c>
      <c r="EA105" s="278">
        <f t="shared" si="492"/>
        <v>0</v>
      </c>
      <c r="EB105" s="278">
        <f t="shared" si="358"/>
        <v>0.01</v>
      </c>
      <c r="EC105" s="302" t="str">
        <f t="shared" si="408"/>
        <v>3+1</v>
      </c>
      <c r="ED105" s="304" t="str">
        <f t="shared" si="494"/>
        <v>3*70</v>
      </c>
      <c r="EE105" s="95">
        <f t="shared" si="495"/>
        <v>70</v>
      </c>
      <c r="EF105" s="95" t="str">
        <f>LOOKUP(EH105,{1,7,10,14,19,24,30,37,48,61},{1,"1+6","2+8","4+10","1+6+12","2+8+14","4+10+16","1+6+12+18","3+9+15+21","1+6+12+18+24"})</f>
        <v>4+10</v>
      </c>
      <c r="EG105" s="127">
        <f t="shared" si="359"/>
        <v>3</v>
      </c>
      <c r="EH105" s="262">
        <f>VLOOKUP(EE105,各项系数!$B$87:$C$124,2,0)</f>
        <v>14</v>
      </c>
      <c r="EI105" s="127">
        <f>IF(EH105=0,0,VLOOKUP(EH105,各项系数!$D$142:$E$195,2,0))*1</f>
        <v>4.41</v>
      </c>
      <c r="EJ105" s="307">
        <f t="shared" si="409"/>
        <v>242.295968589101</v>
      </c>
      <c r="EK105" s="95" t="str">
        <f t="shared" si="332"/>
        <v>1*35</v>
      </c>
      <c r="EL105" s="95" t="str">
        <f t="shared" si="360"/>
        <v>35</v>
      </c>
      <c r="EM105" s="95">
        <f t="shared" si="496"/>
        <v>35</v>
      </c>
      <c r="EN105" s="95" t="str">
        <f>IF(EP105=0,0,LOOKUP(EP105,{1,7,10,14,19,24,30,37,48,61},{1,"1+6","2+8","4+10","1+6+12","2+8+14","4+10+16","1+6+12+18","3+9+15+21","1+6+12+18+24"}))</f>
        <v>1+6</v>
      </c>
      <c r="EO105" s="95" t="str">
        <f t="shared" si="334"/>
        <v>1</v>
      </c>
      <c r="EP105" s="95">
        <f>IF(EM105=0,0,IF(EM105&lt;10,1,IF(AND(EM105&gt;=10,EM105&lt;=35),7,LOOKUP(EM105,{50,70,95,120,150,185,240,300},{10,14,19,24,30,37,48,61})*1)))</f>
        <v>7</v>
      </c>
      <c r="EQ105" s="95">
        <f>IF(EP105=0,0,VLOOKUP(EP105,各项系数!$D$142:$E$195,2,0))*1</f>
        <v>3</v>
      </c>
      <c r="ER105" s="95">
        <f t="shared" si="335"/>
        <v>245.05464536043</v>
      </c>
      <c r="ES105" s="304">
        <f t="shared" si="497"/>
        <v>4</v>
      </c>
      <c r="ET105" s="95">
        <f>VLOOKUP(ES105,各项系数!$D$142:$E$195,2,0)*1</f>
        <v>2.42</v>
      </c>
      <c r="EU105" s="311">
        <f>((各项系数!$F$76/4*$EJ105^2*$EG105*$EH105*1*10^-7)*(1-$H105)*AA105)*(VLOOKUP($EY$9,各项系数!$D$4:$F$143,3,0))*各项系数!$J$4</f>
        <v>1.73526511228861</v>
      </c>
      <c r="EV105" s="312">
        <f>EU105*(VLOOKUP($EY$9,各项系数!$D$4:$F$143,2,0))</f>
        <v>113.659864854904</v>
      </c>
      <c r="EW105" s="324">
        <f>(IF($EO105=0,0,(各项系数!$F$76/4*$ER105^2*$EO105*$EP105*1*10^-7))*(1-$K105)*$AF105)*(VLOOKUP($EY$9,各项系数!$D$4:$F$143,3,0))*各项系数!$J$4</f>
        <v>0.295249926304339</v>
      </c>
      <c r="EX105" s="325">
        <f>EW105*(VLOOKUP($EY$9,各项系数!$D$4:$F$143,2,0))</f>
        <v>19.3388701729342</v>
      </c>
      <c r="EY105" s="251">
        <f>((各项系数!$F$76/4*$EJ105^2*$EG105*$EH105*1*10^-7)*(1-$H105)*AA105+IF($EO105=0,0,(各项系数!$F$76/4*$ER105^2*$EO105*$EP105*1*10^-7))*(1-$K105)*$AF105)*(VLOOKUP($EY$9,各项系数!$D$4:$F$143,3,0))*各项系数!$J$4</f>
        <v>2.03051503859295</v>
      </c>
      <c r="EZ105" s="127">
        <v>1</v>
      </c>
      <c r="FA105" s="95">
        <f t="shared" si="445"/>
        <v>2.03051503859295</v>
      </c>
      <c r="FB105" s="314">
        <f>FA105*(VLOOKUP($EY$9,各项系数!$D$4:$F$143,2,0))</f>
        <v>132.998735027838</v>
      </c>
      <c r="FC105" s="329"/>
      <c r="FD105" s="304">
        <f>各项系数!$F$76/4*($MN105^2-MK105^2)*10^-2*(VLOOKUP(L105,各项系数!$D$1:$F$143,3,0))*10^-3*10^2*$EG105*各项系数!$J$4</f>
        <v>0.133726802447938</v>
      </c>
      <c r="FE105" s="341">
        <f>FD105*VLOOKUP(L105,各项系数!$D$1:$F$143,2,0)</f>
        <v>1.36401338496897</v>
      </c>
      <c r="FF105" s="127">
        <f>各项系数!$F$76/4*($MO105^2-ML105^2)*10^-2*(VLOOKUP(L105,各项系数!$D$1:$F$143,3,0))*10^-3*10^2*$EO105*各项系数!$J$4</f>
        <v>0.0255357364135693</v>
      </c>
      <c r="FG105" s="341">
        <f>FF105*VLOOKUP(L105,各项系数!$D$1:$F$143,2,0)</f>
        <v>0.260464511418407</v>
      </c>
      <c r="FH105" s="304">
        <f t="shared" si="410"/>
        <v>0.159262538861508</v>
      </c>
      <c r="FI105" s="127">
        <v>1</v>
      </c>
      <c r="FJ105" s="95">
        <f t="shared" si="446"/>
        <v>0.159262538861508</v>
      </c>
      <c r="FK105" s="341">
        <f>FJ105*VLOOKUP(L105,各项系数!$D$1:$F$143,2,0)</f>
        <v>1.62447789638738</v>
      </c>
      <c r="FL105" s="304"/>
      <c r="FM105" s="127"/>
      <c r="FN105" s="95"/>
      <c r="FO105" s="341"/>
      <c r="FP105" s="371">
        <f t="shared" si="447"/>
        <v>0.159262538861508</v>
      </c>
      <c r="FQ105" s="371">
        <f t="shared" si="448"/>
        <v>1.62447789638738</v>
      </c>
      <c r="FR105" s="365">
        <f>各项系数!$F$76/4*($MQ105^2-$MN105^2*$EG105-$MO105^2*$EO105)*10^-2</f>
        <v>2.00061101219737</v>
      </c>
      <c r="FS105" s="366">
        <f t="shared" si="411"/>
        <v>1</v>
      </c>
      <c r="FT105" s="367">
        <f t="shared" si="361"/>
        <v>2.00061101219737</v>
      </c>
      <c r="FU105" s="395">
        <f>$FT105*(VLOOKUP($FT$9,各项系数!$D$1:$F$143,3,0))*10^-3*10^2*各项系数!$J$55</f>
        <v>0.238872954856366</v>
      </c>
      <c r="FV105" s="396">
        <v>1</v>
      </c>
      <c r="FW105" s="397">
        <f t="shared" si="449"/>
        <v>0.238872954856366</v>
      </c>
      <c r="FX105" s="372">
        <f>FW105*(VLOOKUP($FT$9,各项系数!$D$1:$F$143,2,0))</f>
        <v>0.716618864569098</v>
      </c>
      <c r="FY105" s="395">
        <f>IF($BK105&lt;&gt;$FY$9,0,各项系数!$F$76/4*($MS105^2-$MQ105^2)*10^-2*(VLOOKUP($FY$9,各项系数!$D$1:$F$143,3,0))*10^-3*10^2)*各项系数!$J$4</f>
        <v>0</v>
      </c>
      <c r="FZ105" s="396">
        <v>1</v>
      </c>
      <c r="GA105" s="397">
        <f t="shared" si="450"/>
        <v>0</v>
      </c>
      <c r="GB105" s="372">
        <f>GA105*(VLOOKUP($FY$9,各项系数!$D$1:$F$143,2,0))</f>
        <v>0</v>
      </c>
      <c r="GC105" s="395">
        <f>IF($BK105&lt;&gt;$GC$9,0,各项系数!$F$76/4*($MS105^2-$MQ105^2)*10^-2*(VLOOKUP($GC$9,各项系数!$D$1:$F$143,3,0))*10^-3*10^2)*各项系数!$J$4</f>
        <v>0.00790060999937337</v>
      </c>
      <c r="GD105" s="396">
        <v>1</v>
      </c>
      <c r="GE105" s="397">
        <f t="shared" si="451"/>
        <v>0.00790060999937337</v>
      </c>
      <c r="GF105" s="372">
        <f>GE105*(VLOOKUP($GC$9,各项系数!$D$1:$F$143,2,0))</f>
        <v>0.101917868991916</v>
      </c>
      <c r="GG105" s="395">
        <f>IF($BK105&lt;&gt;$GG$9,0,各项系数!$F$76/4*($MS105^2-$MQ105^2)*10^-2*(VLOOKUP($GG$9,各项系数!$D$1:$F$143,3,0))*10^-3*10^2)*各项系数!$J$4</f>
        <v>0</v>
      </c>
      <c r="GH105" s="396">
        <v>1</v>
      </c>
      <c r="GI105" s="397">
        <f t="shared" si="452"/>
        <v>0</v>
      </c>
      <c r="GJ105" s="372">
        <f>GI105*(VLOOKUP($GG$9,各项系数!$D$1:$F$143,2,0))</f>
        <v>0</v>
      </c>
      <c r="GK105" s="395">
        <f>IF($BK105&lt;&gt;$GK$9,0,各项系数!$F$76/4*($MS105^2-$MQ105^2)*10^-2*(VLOOKUP($GK$9,各项系数!$D$1:$F$143,3,0))*10^-3*10^2)*各项系数!$J$4</f>
        <v>0</v>
      </c>
      <c r="GL105" s="396">
        <v>1</v>
      </c>
      <c r="GM105" s="397">
        <f t="shared" si="453"/>
        <v>0</v>
      </c>
      <c r="GN105" s="372">
        <f>GM105*(VLOOKUP($GK$9,各项系数!$D$1:$F$143,2,0))</f>
        <v>0</v>
      </c>
      <c r="GO105" s="397">
        <f t="shared" si="454"/>
        <v>0.00790060999937337</v>
      </c>
      <c r="GP105" s="397">
        <f t="shared" si="455"/>
        <v>0.101917868991916</v>
      </c>
      <c r="GQ105" s="408">
        <f>各项系数!$F$76/4*($MU105^2-$MS105^2)*10^-2*(VLOOKUP($S105,各项系数!$D$1:$F$143,3,0))*10^-3*10^2*各项系数!$J$4</f>
        <v>0.547239782066127</v>
      </c>
      <c r="GR105" s="396">
        <v>1</v>
      </c>
      <c r="GS105" s="397">
        <f t="shared" si="456"/>
        <v>0.547239782066127</v>
      </c>
      <c r="GT105" s="397">
        <f t="shared" si="457"/>
        <v>0</v>
      </c>
      <c r="GU105" s="397">
        <f>ROUND($GS105*(VLOOKUP($S105,各项系数!$D$1:$F$143,2,0))+$E$3*GS105,GT105)</f>
        <v>3</v>
      </c>
      <c r="GV105" s="406">
        <f>各项系数!$F$76/4*($MT105^2-$MS105^2)*10^-2*(VLOOKUP($GV$9,各项系数!$D$1:$F$143,3,0))*10^-3*10^2*各项系数!$J$4*PI()/4*R105</f>
        <v>0.0407588608593604</v>
      </c>
      <c r="GW105" s="396">
        <v>1</v>
      </c>
      <c r="GX105" s="397">
        <f t="shared" si="458"/>
        <v>0.0407588608593604</v>
      </c>
      <c r="GY105" s="397">
        <f>$GX105*(VLOOKUP($GV$9,各项系数!$D$1:$F$143,2,0))</f>
        <v>2.75122310800683</v>
      </c>
      <c r="GZ105" s="408">
        <f>各项系数!$F$76/4*($MV105^2-$MS105^2)*10^-2*(VLOOKUP($GZ$9,各项系数!$D$1:$F$143,3,0))*10^-3*10^2*各项系数!$J$4</f>
        <v>0.296966548289779</v>
      </c>
      <c r="HA105" s="396">
        <v>1</v>
      </c>
      <c r="HB105" s="397">
        <f t="shared" si="412"/>
        <v>0.296966548289779</v>
      </c>
      <c r="HC105" s="397">
        <f>HB105*(VLOOKUP($GZ$9,各项系数!$D$1:$F$143,2,0))</f>
        <v>5.04843132092624</v>
      </c>
      <c r="HD105" s="408">
        <f>各项系数!$F$76/4*($MW105^2-$MT105^2)*10^-2*(VLOOKUP($HD$9,各项系数!$D$1:$F$143,3,0))*10^-3*10^2*各项系数!$J$4</f>
        <v>0.298489479310904</v>
      </c>
      <c r="HE105" s="396">
        <v>1</v>
      </c>
      <c r="HF105" s="397">
        <f t="shared" si="413"/>
        <v>0.298489479310904</v>
      </c>
      <c r="HG105" s="397">
        <f>HF105*(VLOOKUP($HD$9,各项系数!$D$1:$F$143,2,0))</f>
        <v>5.07432114828537</v>
      </c>
      <c r="HH105" s="408">
        <f>各项系数!$F$76/4*($MV105^2-$MS105^2)*10^-2*(VLOOKUP($HH$9,各项系数!$D$1:$F$143,3,0))*10^-3*10^2*各项系数!$J$4</f>
        <v>0.296966548289779</v>
      </c>
      <c r="HI105" s="397">
        <v>1</v>
      </c>
      <c r="HJ105" s="397">
        <f t="shared" si="414"/>
        <v>0.296966548289779</v>
      </c>
      <c r="HK105" s="397">
        <f>HJ105*(VLOOKUP($HH$9,各项系数!$D$1:$F$143,2,0))</f>
        <v>5.04843132092624</v>
      </c>
      <c r="HL105" s="408">
        <f>各项系数!$F$76/4*($MW105^2-$MT105^2)*10^-2*(VLOOKUP($HL$9,各项系数!$D$1:$F$143,3,0))*10^-3*10^2*各项系数!$J$4</f>
        <v>0.298489479310904</v>
      </c>
      <c r="HM105" s="397">
        <v>1</v>
      </c>
      <c r="HN105" s="397">
        <f t="shared" si="362"/>
        <v>0.298489479310904</v>
      </c>
      <c r="HO105" s="397">
        <f>HN105*(VLOOKUP($HL$9,各项系数!$D$1:$F$143,2,0))</f>
        <v>5.07432114828537</v>
      </c>
      <c r="HP105" s="408">
        <f>各项系数!$F$76/4*($MV105^2-$MS105^2)*10^-2*(VLOOKUP(AN105,各项系数!$D$1:$F$143,3,0))*10^-3*10^2*各项系数!$J$4</f>
        <v>0.301062638611017</v>
      </c>
      <c r="HQ105" s="396">
        <v>1</v>
      </c>
      <c r="HR105" s="397">
        <f t="shared" si="459"/>
        <v>0.301062638611017</v>
      </c>
      <c r="HS105" s="397">
        <f>HR105*(VLOOKUP(AN105,各项系数!$D$1:$F$143,2,0))</f>
        <v>3.01062638611017</v>
      </c>
      <c r="HT105" s="408">
        <f>各项系数!$F$76/4*($MW105^2-$MT105^2)*10^-2*(VLOOKUP(AN105,各项系数!$D$1:$F$143,3,0))*10^-3*10^2*各项系数!$J$4</f>
        <v>0.302606575577261</v>
      </c>
      <c r="HU105" s="396">
        <v>1</v>
      </c>
      <c r="HV105" s="397">
        <f t="shared" si="460"/>
        <v>0.302606575577261</v>
      </c>
      <c r="HW105" s="397">
        <f>HV105*(VLOOKUP(AN105,各项系数!$D$1:$F$143,2,0))</f>
        <v>3.02606575577261</v>
      </c>
      <c r="HX105" s="408">
        <f>各项系数!$F$76/4*($MV105^2-$MS105^2)*10^-2*(VLOOKUP($HX$9,各项系数!$D$1:$F$143,3,0))*10^-3*10^2*各项系数!$J$4</f>
        <v>0.301062638611017</v>
      </c>
      <c r="HY105" s="397">
        <v>1</v>
      </c>
      <c r="HZ105" s="397">
        <f t="shared" si="461"/>
        <v>0.301062638611017</v>
      </c>
      <c r="IA105" s="397">
        <f>HZ105*(VLOOKUP($HX$9,各项系数!$D$1:$F$143,2,0))</f>
        <v>3.31168902472119</v>
      </c>
      <c r="IB105" s="408">
        <f>各项系数!$F$76/4*($MW105^2-$MT105^2)*10^-2*(VLOOKUP($IB$9,各项系数!$D$1:$F$143,3,0))*10^-3*10^2*各项系数!$J$4</f>
        <v>0.302606575577261</v>
      </c>
      <c r="IC105" s="397">
        <v>1</v>
      </c>
      <c r="ID105" s="397">
        <f t="shared" si="462"/>
        <v>0.302606575577261</v>
      </c>
      <c r="IE105" s="397">
        <f>ID105*(VLOOKUP($IB$9,各项系数!$D$1:$F$143,2,0))</f>
        <v>3.32867233134987</v>
      </c>
      <c r="IF105" s="395"/>
      <c r="IG105" s="408">
        <f t="shared" si="415"/>
        <v>0.0571203169328164</v>
      </c>
      <c r="IH105" s="396">
        <v>1</v>
      </c>
      <c r="II105" s="397">
        <f t="shared" si="463"/>
        <v>0.0571203169328164</v>
      </c>
      <c r="IJ105" s="397">
        <f>II105*(VLOOKUP($IG$8,各项系数!$D$1:$F$143,2,0))</f>
        <v>1.42800792332041</v>
      </c>
      <c r="IK105" s="408">
        <f>(各项系数!$F$76/4*($MX105^2-$MK105^2)*$EG105)*10^-2*(VLOOKUP($IG$8,各项系数!$D$1:$F$143,3,0))*10^-3*10^2*各项系数!$J$4</f>
        <v>0.0463571528828591</v>
      </c>
      <c r="IL105" s="396">
        <f>IK105*(VLOOKUP($IG$8,各项系数!$D$1:$F$143,2,0))</f>
        <v>1.15892882207148</v>
      </c>
      <c r="IM105" s="397">
        <f>(各项系数!$F$76/4*(($MM105+3*$X105)^2-MM105^2)*$EO105)*10^-2*(VLOOKUP($IG$8,各项系数!$D$1:$F$143,3,0))*10^-3*10^2*各项系数!$J$4</f>
        <v>0.0107631640499573</v>
      </c>
      <c r="IN105" s="396">
        <f>IM105*(VLOOKUP($IG$8,各项系数!$D$1:$F$143,2,0))</f>
        <v>0.269079101248933</v>
      </c>
      <c r="IO105" s="408">
        <f>各项系数!$F$76/4*($MZ105^2-$MX105^2)*10^-2*(VLOOKUP(L105,各项系数!$D$1:$F$143,3,0))*10^-3*10^2*$ES105*各项系数!$J$4</f>
        <v>0.187379972404612</v>
      </c>
      <c r="IP105" s="396">
        <v>1</v>
      </c>
      <c r="IQ105" s="397">
        <f t="shared" si="464"/>
        <v>0.187379972404612</v>
      </c>
      <c r="IR105" s="372">
        <f>IQ105*(VLOOKUP(L105,各项系数!$D$1:$F$143,2,0))</f>
        <v>1.91127571852705</v>
      </c>
      <c r="IS105" s="408">
        <f>IF($L105&lt;&gt;$IS$9,0,各项系数!$F$76/4*($MZ105^2-$MX105^2)*10^-2*各项系数!$F$12*10^-3*10^2)*$ES105*各项系数!$J$4</f>
        <v>0</v>
      </c>
      <c r="IT105" s="396">
        <v>1</v>
      </c>
      <c r="IU105" s="397">
        <f t="shared" si="465"/>
        <v>0</v>
      </c>
      <c r="IV105" s="372">
        <f>IU105*各项系数!$E$12</f>
        <v>0</v>
      </c>
      <c r="IW105" s="395">
        <f t="shared" si="466"/>
        <v>0.187379972404612</v>
      </c>
      <c r="IX105" s="395">
        <f t="shared" si="467"/>
        <v>1.91127571852705</v>
      </c>
      <c r="IY105" s="447">
        <f>各项系数!$F$76/4*($NB105^2-$MZ105^2*$EG105-$NA105^2*$EO105)*10^-2</f>
        <v>2.26837037743545</v>
      </c>
      <c r="IZ105" s="366">
        <f t="shared" si="487"/>
        <v>1</v>
      </c>
      <c r="JA105" s="367">
        <f t="shared" si="363"/>
        <v>2.26837037743545</v>
      </c>
      <c r="JB105" s="371">
        <f>IF($DE105&lt;&gt;$JB$9,0,$JA105*各项系数!$F$32*10^-3*10^2)*各项系数!$J$4</f>
        <v>0</v>
      </c>
      <c r="JC105" s="127">
        <v>1</v>
      </c>
      <c r="JD105" s="95">
        <f t="shared" si="468"/>
        <v>0</v>
      </c>
      <c r="JE105" s="341">
        <f>JD105*各项系数!$E$32</f>
        <v>0</v>
      </c>
      <c r="JF105" s="364">
        <f>IF($DE105&lt;&gt;$JF$9,0,$JA105*VLOOKUP($JF$9,各项系数!$D$4:$F$540,2,0)*10^-3*10^2)*各项系数!$J$4</f>
        <v>1.12851426277414</v>
      </c>
      <c r="JG105" s="123">
        <v>1</v>
      </c>
      <c r="JH105" s="251">
        <f t="shared" si="364"/>
        <v>1.12851426277414</v>
      </c>
      <c r="JI105" s="339">
        <f>JH105*VLOOKUP($JF$9,各项系数!$D$4:$F$540,3,0)</f>
        <v>1.35421711532897</v>
      </c>
      <c r="JJ105" s="371">
        <f t="shared" si="469"/>
        <v>1.12851426277414</v>
      </c>
      <c r="JK105" s="95">
        <f t="shared" si="470"/>
        <v>1.35421711532897</v>
      </c>
      <c r="JL105" s="371">
        <f>IF($DF105&lt;&gt;$JL$9,0,各项系数!$F$76/4*($NE105^2-$NC105^2)*10^-2*各项系数!$F$39*10^-3*10^2)*各项系数!$J$4</f>
        <v>0.00345894484689197</v>
      </c>
      <c r="JM105" s="127">
        <v>1</v>
      </c>
      <c r="JN105" s="95">
        <f t="shared" si="471"/>
        <v>0.00345894484689197</v>
      </c>
      <c r="JO105" s="341">
        <f>JN105*各项系数!$E$39</f>
        <v>0.0691788969378393</v>
      </c>
      <c r="JP105" s="371">
        <f>IF($DF105&lt;&gt;$JP$9,0,各项系数!$F$76/4*($NE105^2-$NC105^2)*10^-2*各项系数!$F$36*10^-3*10^2)*各项系数!$J$4</f>
        <v>0</v>
      </c>
      <c r="JQ105" s="127">
        <v>1</v>
      </c>
      <c r="JR105" s="95">
        <f t="shared" si="472"/>
        <v>0</v>
      </c>
      <c r="JS105" s="341">
        <f>JR105*各项系数!$E$36</f>
        <v>0</v>
      </c>
      <c r="JT105" s="371">
        <f>IF($DF105&lt;&gt;$JT$9,0,各项系数!$F$76/4*($NE105^2-$NC105^2)*10^-2*各项系数!$F$40*10^-3*10^2)*各项系数!$J$4</f>
        <v>0</v>
      </c>
      <c r="JU105" s="127">
        <v>1</v>
      </c>
      <c r="JV105" s="95">
        <f t="shared" si="473"/>
        <v>0</v>
      </c>
      <c r="JW105" s="341">
        <f>JV105*各项系数!$E$40</f>
        <v>0</v>
      </c>
      <c r="JX105" s="371">
        <f>IF($DF105&lt;&gt;$JX$9,0,各项系数!$F$76/4*($NE105^2-$NC105^2)*10^-2*各项系数!$F$38*10^-3*10^2)*各项系数!$J$4</f>
        <v>0</v>
      </c>
      <c r="JY105" s="127">
        <v>1</v>
      </c>
      <c r="JZ105" s="95">
        <f t="shared" si="474"/>
        <v>0</v>
      </c>
      <c r="KA105" s="341">
        <f>JZ105*各项系数!$E$38</f>
        <v>0</v>
      </c>
      <c r="KB105" s="371">
        <f>IF($DF105&lt;&gt;$KB$9,0,各项系数!$F$76/4*($NE105^2-$NC105^2)*10^-2*各项系数!$F$41*10^-3*10^2)*各项系数!$J$4</f>
        <v>0</v>
      </c>
      <c r="KC105" s="127">
        <v>1</v>
      </c>
      <c r="KD105" s="95">
        <f t="shared" si="475"/>
        <v>0</v>
      </c>
      <c r="KE105" s="341">
        <f>KD105*各项系数!$E$41</f>
        <v>0</v>
      </c>
      <c r="KF105" s="95">
        <f t="shared" si="476"/>
        <v>0.00345894484689197</v>
      </c>
      <c r="KG105" s="95">
        <f t="shared" si="477"/>
        <v>0.0691788969378393</v>
      </c>
      <c r="KH105" s="304">
        <f>各项系数!$F$76/4*($NG105^2-$NE105^2)*10^-2*各项系数!$F$44*10^-3*10^2*各项系数!$J$4*0.75*$U105</f>
        <v>0.869204621349132</v>
      </c>
      <c r="KI105" s="127">
        <v>1</v>
      </c>
      <c r="KJ105" s="95">
        <f t="shared" si="478"/>
        <v>0.869204621349132</v>
      </c>
      <c r="KK105" s="95">
        <f>ROUND(KJ105*各项系数!$E$43,GT105)</f>
        <v>5</v>
      </c>
      <c r="KL105" s="302">
        <f>各项系数!$F$76/4*($NF105^2-$NE105^2)*10^-2*各项系数!$F$46*10^-3*10^2*各项系数!$J$4*PI()/4*R105</f>
        <v>0.0432144937433812</v>
      </c>
      <c r="KM105" s="127">
        <v>1</v>
      </c>
      <c r="KN105" s="95">
        <f t="shared" si="479"/>
        <v>0.0432144937433812</v>
      </c>
      <c r="KO105" s="95">
        <f>KN105*各项系数!$E$46</f>
        <v>2.91697832767823</v>
      </c>
      <c r="KP105" s="304">
        <f>各项系数!$F$76/4*($NH105^2-$NE105^2)*10^-2*(VLOOKUP($KP$9,各项系数!$D$1:$F$143,3,0))*10^-3*10^2*各项系数!$J$4</f>
        <v>0.313699752884388</v>
      </c>
      <c r="KQ105" s="127">
        <v>1</v>
      </c>
      <c r="KR105" s="95">
        <f t="shared" si="416"/>
        <v>0.313699752884388</v>
      </c>
      <c r="KS105" s="95">
        <f>KR105*(VLOOKUP($KP$9,各项系数!$D$1:$F$143,2,0))</f>
        <v>5.33289579903459</v>
      </c>
      <c r="KT105" s="304">
        <f>各项系数!$F$76/4*($NI105^2-$NF105^2)*10^-2*(VLOOKUP($KT$9,各项系数!$D$1:$F$143,3,0))*10^-3*10^2*各项系数!$J$4</f>
        <v>0.315222683905512</v>
      </c>
      <c r="KU105" s="127">
        <v>1</v>
      </c>
      <c r="KV105" s="95">
        <f t="shared" si="417"/>
        <v>0.315222683905512</v>
      </c>
      <c r="KW105" s="95">
        <f>KV105*(VLOOKUP($KT$9,各项系数!$D$1:$F$143,2,0))</f>
        <v>5.35878562639371</v>
      </c>
      <c r="KX105" s="95">
        <f>各项系数!$F$76/4*($NH105^2-$NE105^2)*10^-2*(VLOOKUP($KX$9,各项系数!$D$1:$F$143,3,0))*10^-3*10^2*各项系数!$J$4</f>
        <v>0.313699752884388</v>
      </c>
      <c r="KY105" s="481">
        <v>1</v>
      </c>
      <c r="KZ105" s="95">
        <f t="shared" si="418"/>
        <v>0.313699752884388</v>
      </c>
      <c r="LA105" s="95">
        <f>KZ105*(VLOOKUP($KX$9,各项系数!$D$1:$F$143,2,0))</f>
        <v>5.33289579903459</v>
      </c>
      <c r="LB105" s="95">
        <f>各项系数!$F$76/4*($NI105^2-$NF105^2)*10^-2*(VLOOKUP($LB$9,各项系数!$D$1:$F$143,3,0))*10^-3*10^2*各项系数!$J$4</f>
        <v>0.315222683905512</v>
      </c>
      <c r="LC105" s="481">
        <v>1</v>
      </c>
      <c r="LD105" s="95">
        <f t="shared" si="419"/>
        <v>0.315222683905512</v>
      </c>
      <c r="LE105" s="95">
        <f>LD105*(VLOOKUP($LB$9,各项系数!$D$1:$F$143,2,0))</f>
        <v>5.35878562639371</v>
      </c>
      <c r="LF105" s="304">
        <f>各项系数!$F$76/4*($NH105^2-$NE105^2)*10^-2*(VLOOKUP(AN105,各项系数!$D$1:$F$143,3,0))*10^-3*10^2*各项系数!$J$4</f>
        <v>0.318026646027621</v>
      </c>
      <c r="LG105" s="127">
        <v>1</v>
      </c>
      <c r="LH105" s="95">
        <f t="shared" si="480"/>
        <v>0.318026646027621</v>
      </c>
      <c r="LI105" s="95">
        <f>LH105*(VLOOKUP(AN105,各项系数!$D$1:$F$143,2,0))</f>
        <v>3.18026646027621</v>
      </c>
      <c r="LJ105" s="304">
        <f>各项系数!$F$76/4*($NI105^2-$NF105^2)*10^-2*(VLOOKUP(AN105,各项系数!$D$1:$F$143,3,0))*10^-3*10^2*各项系数!$J$4</f>
        <v>0.319570582993864</v>
      </c>
      <c r="LK105" s="127">
        <v>1</v>
      </c>
      <c r="LL105" s="95">
        <f t="shared" si="481"/>
        <v>0.319570582993864</v>
      </c>
      <c r="LM105" s="95">
        <f>LL105*(VLOOKUP(AN105,各项系数!$D$1:$F$143,2,0))</f>
        <v>3.19570582993864</v>
      </c>
      <c r="LN105" s="95">
        <f>各项系数!$F$76/4*($NH105^2-$NE105^2)*10^-2*(VLOOKUP($LN$9,各项系数!$D$1:$F$143,3,0))*10^-3*10^2*各项系数!$J$4</f>
        <v>0.318026646027621</v>
      </c>
      <c r="LO105" s="481">
        <v>1</v>
      </c>
      <c r="LP105" s="95">
        <f t="shared" si="482"/>
        <v>0.318026646027621</v>
      </c>
      <c r="LQ105" s="95">
        <f>LP105*(VLOOKUP($LN$9,各项系数!$D$1:$F$143,2,0))</f>
        <v>3.49829310630383</v>
      </c>
      <c r="LR105" s="95">
        <f>各项系数!$F$76/4*($NI105^2-$NF105^2)*10^-2*(VLOOKUP($LR$9,各项系数!$D$1:$F$143,3,0))*10^-3*10^2*各项系数!$J$4</f>
        <v>0.319570582993864</v>
      </c>
      <c r="LS105" s="481">
        <v>1</v>
      </c>
      <c r="LT105" s="95">
        <f t="shared" si="483"/>
        <v>0.319570582993864</v>
      </c>
      <c r="LU105" s="95">
        <f>LT105*(VLOOKUP($LR$9,各项系数!$D$1:$F$143,2,0))</f>
        <v>3.51527641293251</v>
      </c>
      <c r="LV105" s="501">
        <f t="shared" si="420"/>
        <v>269.0175993</v>
      </c>
      <c r="LW105" s="501">
        <f t="shared" si="421"/>
        <v>193.65626422</v>
      </c>
      <c r="LX105" s="501">
        <f t="shared" si="422"/>
        <v>15.7025734734974</v>
      </c>
      <c r="LY105" s="519">
        <f t="shared" si="423"/>
        <v>75.36133508</v>
      </c>
      <c r="LZ105" s="516">
        <f t="shared" si="365"/>
        <v>1</v>
      </c>
      <c r="MA105" s="517">
        <f t="shared" si="366"/>
        <v>269.0175993</v>
      </c>
      <c r="MB105" s="501">
        <f t="shared" si="424"/>
        <v>10.68525223</v>
      </c>
      <c r="MC105" s="501">
        <f t="shared" si="425"/>
        <v>42.44810139</v>
      </c>
      <c r="MD105" s="501">
        <f t="shared" si="426"/>
        <v>33.01518987</v>
      </c>
      <c r="ME105" s="501">
        <f t="shared" si="427"/>
        <v>6.48353648246262</v>
      </c>
      <c r="MF105" s="501">
        <f t="shared" si="428"/>
        <v>9.43291152</v>
      </c>
      <c r="MG105" s="527">
        <f t="shared" si="429"/>
        <v>1</v>
      </c>
      <c r="MH105" s="517">
        <f t="shared" si="367"/>
        <v>42.44810139</v>
      </c>
      <c r="MI105" s="501">
        <f t="shared" si="430"/>
        <v>7.35163936062397</v>
      </c>
      <c r="MJ105" s="95">
        <f t="shared" si="368"/>
        <v>10.68525223</v>
      </c>
      <c r="MK105" s="95">
        <f t="shared" si="431"/>
        <v>10.68525223</v>
      </c>
      <c r="ML105" s="95">
        <f t="shared" si="484"/>
        <v>7.3516393608129</v>
      </c>
      <c r="MM105" s="95">
        <f t="shared" si="369"/>
        <v>7.35163936062397</v>
      </c>
      <c r="MN105" s="95">
        <f t="shared" si="370"/>
        <v>12.88525223</v>
      </c>
      <c r="MO105" s="251">
        <f t="shared" si="432"/>
        <v>9.15163936062397</v>
      </c>
      <c r="MP105" s="95">
        <f t="shared" si="433"/>
        <v>28.92347461</v>
      </c>
      <c r="MQ105" s="95">
        <f t="shared" si="485"/>
        <v>28.92347461</v>
      </c>
      <c r="MR105" s="314">
        <f t="shared" si="434"/>
        <v>28.92347461</v>
      </c>
      <c r="MS105" s="530">
        <f t="shared" si="371"/>
        <v>29.09947461</v>
      </c>
      <c r="MT105" s="532">
        <f t="shared" si="372"/>
        <v>29.25947461</v>
      </c>
      <c r="MU105" s="532">
        <f t="shared" si="373"/>
        <v>30.59947461</v>
      </c>
      <c r="MV105" s="532">
        <f t="shared" si="374"/>
        <v>33.29947461</v>
      </c>
      <c r="MW105" s="532">
        <f t="shared" si="375"/>
        <v>33.45947461</v>
      </c>
      <c r="MX105" s="314">
        <f t="shared" si="376"/>
        <v>11.28525223</v>
      </c>
      <c r="MY105" s="314">
        <f t="shared" si="377"/>
        <v>7.95163936062397</v>
      </c>
      <c r="MZ105" s="95">
        <f t="shared" si="378"/>
        <v>13.48525223</v>
      </c>
      <c r="NA105" s="95">
        <f t="shared" si="379"/>
        <v>10.151639360624</v>
      </c>
      <c r="NB105" s="95">
        <f t="shared" si="435"/>
        <v>30.61747461</v>
      </c>
      <c r="NC105" s="314">
        <f t="shared" si="486"/>
        <v>30.61747461</v>
      </c>
      <c r="ND105" s="314">
        <f t="shared" si="436"/>
        <v>30.61747461</v>
      </c>
      <c r="NE105" s="537">
        <f t="shared" si="437"/>
        <v>30.85747461</v>
      </c>
      <c r="NF105" s="532">
        <f t="shared" si="380"/>
        <v>31.01747461</v>
      </c>
      <c r="NG105" s="180">
        <f t="shared" si="381"/>
        <v>32.35747461</v>
      </c>
      <c r="NH105" s="314">
        <f t="shared" si="382"/>
        <v>35.05747461</v>
      </c>
      <c r="NI105" s="532">
        <f t="shared" si="383"/>
        <v>35.21747461</v>
      </c>
      <c r="NK105" s="541">
        <f t="shared" si="384"/>
        <v>2.76314951733478</v>
      </c>
      <c r="NL105" s="541">
        <f t="shared" si="385"/>
        <v>138.712840555315</v>
      </c>
      <c r="NM105" s="541">
        <f t="shared" si="386"/>
        <v>2.76314951733478</v>
      </c>
      <c r="NN105" s="541">
        <f t="shared" si="387"/>
        <v>139.013903193926</v>
      </c>
      <c r="NO105" s="541">
        <f t="shared" si="388"/>
        <v>3.73577834562899</v>
      </c>
      <c r="NP105" s="541">
        <f t="shared" si="389"/>
        <v>141.210760243478</v>
      </c>
      <c r="NQ105" s="541">
        <f t="shared" si="390"/>
        <v>3.73577834562899</v>
      </c>
      <c r="NR105" s="541">
        <f t="shared" si="391"/>
        <v>141.528786889505</v>
      </c>
      <c r="NS105" s="541">
        <f t="shared" si="392"/>
        <v>2.80390837819415</v>
      </c>
      <c r="NT105" s="541">
        <f t="shared" si="393"/>
        <v>2.80390837819415</v>
      </c>
      <c r="NU105" s="541">
        <f t="shared" si="394"/>
        <v>3.77899283937237</v>
      </c>
      <c r="NV105" s="541">
        <f t="shared" si="395"/>
        <v>3.77899283937237</v>
      </c>
      <c r="NW105" s="11">
        <f t="shared" si="396"/>
        <v>3.31038929940091</v>
      </c>
      <c r="NX105" s="11">
        <f>各项系数!$M$9*NK105</f>
        <v>0.828944855200435</v>
      </c>
      <c r="NY105" s="11">
        <f t="shared" si="397"/>
        <v>2.80390837819415</v>
      </c>
    </row>
    <row r="106" s="11" customFormat="1" customHeight="1" spans="1:389">
      <c r="A106" s="81"/>
      <c r="B106" s="82"/>
      <c r="C106" s="83"/>
      <c r="D106" s="74" t="s">
        <v>341</v>
      </c>
      <c r="E106" s="550">
        <f t="shared" si="325"/>
        <v>37.79421879</v>
      </c>
      <c r="F106" s="84">
        <f>$F$26</f>
        <v>245.088056587712</v>
      </c>
      <c r="G106" s="74"/>
      <c r="H106" s="78"/>
      <c r="I106" s="174">
        <f>$F$24</f>
        <v>238.573455311777</v>
      </c>
      <c r="J106" s="78"/>
      <c r="K106" s="78"/>
      <c r="L106" s="128" t="s">
        <v>467</v>
      </c>
      <c r="M106" s="119">
        <f t="shared" si="339"/>
        <v>1.1</v>
      </c>
      <c r="N106" s="119">
        <f t="shared" si="340"/>
        <v>1</v>
      </c>
      <c r="O106" s="74">
        <f t="shared" si="493"/>
        <v>0.08</v>
      </c>
      <c r="P106" s="120">
        <v>0.1</v>
      </c>
      <c r="Q106" s="165">
        <f t="shared" si="499"/>
        <v>0.1</v>
      </c>
      <c r="R106" s="182">
        <v>0.8</v>
      </c>
      <c r="S106" s="173" t="str">
        <f>各项系数!$D$43</f>
        <v>钢带</v>
      </c>
      <c r="T106" s="78">
        <v>0.5</v>
      </c>
      <c r="U106" s="78">
        <v>2</v>
      </c>
      <c r="V106" s="172"/>
      <c r="W106" s="174">
        <v>2.2</v>
      </c>
      <c r="X106" s="168">
        <f t="shared" si="500"/>
        <v>0.2</v>
      </c>
      <c r="Y106" s="221"/>
      <c r="Z106" s="222"/>
      <c r="AA106" s="223">
        <f>$AA$26</f>
        <v>1.013</v>
      </c>
      <c r="AB106" s="186">
        <f>PI()*EJ106*EJ106/4*EH106*(1-H106)*AA106*各项系数!$F$5*各项系数!$J$4*10^-7</f>
        <v>0.803196977708722</v>
      </c>
      <c r="AC106" s="224">
        <f t="shared" si="327"/>
        <v>245.088056587712</v>
      </c>
      <c r="AD106" s="186">
        <f t="shared" si="341"/>
        <v>90.8023783381159</v>
      </c>
      <c r="AE106" s="186">
        <f>POWER(4*EU106/PI()/EG106/10^-7/EH106/(1-H106)/各项系数!$F$5/各项系数!$J$4,0.5)</f>
        <v>246.675984853019</v>
      </c>
      <c r="AF106" s="225">
        <f>$AA$24</f>
        <v>1.011</v>
      </c>
      <c r="AG106" s="23">
        <f>IF(EM106=0,0,PI()*ER106*ER106/4*EP106*(1-K106)*(1+AF106)*各项系数!$F$5*各项系数!$J$4*10^-7)</f>
        <v>0.795190228780996</v>
      </c>
      <c r="AH106" s="23">
        <f t="shared" si="328"/>
        <v>238.573455311777</v>
      </c>
      <c r="AI106" s="85">
        <f t="shared" si="398"/>
        <v>45.1944679590854</v>
      </c>
      <c r="AJ106" s="85">
        <f>IF(OR(EP106="",EP106=0),0,POWER(4*EW106/PI()/EO106/10^-7/EP106/(1-K106)/各项系数!$F$5/各项系数!$J$4,0.5))</f>
        <v>239.882020603408</v>
      </c>
      <c r="AK106" s="23">
        <f t="shared" si="342"/>
        <v>2.80936085918165</v>
      </c>
      <c r="AL106" s="23">
        <f t="shared" si="329"/>
        <v>196.600871995006</v>
      </c>
      <c r="AM106" s="127">
        <f t="shared" si="330"/>
        <v>95</v>
      </c>
      <c r="AN106" s="128" t="s">
        <v>486</v>
      </c>
      <c r="AO106" s="176">
        <f>AP106+各项系数!$M$9*$NK106</f>
        <v>192.74595293628</v>
      </c>
      <c r="AP106" s="176">
        <f>AQ106*(1+$BI106+(VLOOKUP($AM106,$A$12:$B$323,2,0))+各项系数!$J$6+各项系数!$M$5)*(1+$E$2)</f>
        <v>191.628650716074</v>
      </c>
      <c r="AQ106" s="262">
        <f>AR106+各项系数!$L$9*$NK106</f>
        <v>195.539439506198</v>
      </c>
      <c r="AR106" s="262">
        <f>AS106*(1+$BJ106+各项系数!$J$5+各项系数!$L$5)</f>
        <v>194.422137285991</v>
      </c>
      <c r="AS106" s="262">
        <f t="shared" si="399"/>
        <v>190.609938515678</v>
      </c>
      <c r="AT106" s="176">
        <f>AU106+各项系数!$M$9*$NM106</f>
        <v>195.180535055902</v>
      </c>
      <c r="AU106" s="176">
        <f>AV106*(1+$BI106+(VLOOKUP($AM106,$A$12:$B$323,2,0))+各项系数!$J$6+各项系数!$M$5)*(1+$E$2)</f>
        <v>194.063232835695</v>
      </c>
      <c r="AV106" s="262">
        <f>AW106+各项系数!$L$9*$NM106</f>
        <v>198.023706975199</v>
      </c>
      <c r="AW106" s="262">
        <f>AX106*(1+$BJ106+各项系数!$J$5+各项系数!$L$5)</f>
        <v>196.906404754993</v>
      </c>
      <c r="AX106" s="262">
        <f t="shared" si="400"/>
        <v>193.045494857836</v>
      </c>
      <c r="AY106" s="176">
        <f>AZ106+各项系数!$M$9*$NS106</f>
        <v>195.944791187178</v>
      </c>
      <c r="AZ106" s="176">
        <f>BA106*(1+$BI106+(VLOOKUP($AM106,$A$12:$B$214,2,0))+各项系数!$J$6+各项系数!$M$5)*(1+$E$2)</f>
        <v>194.81346159625</v>
      </c>
      <c r="BA106" s="262">
        <f>BB106+各项系数!$L$9*$NS106</f>
        <v>198.789246526785</v>
      </c>
      <c r="BB106" s="262">
        <f>BC106*(1+$BJ106+各项系数!$J$5+各项系数!$L$5)</f>
        <v>197.657916935857</v>
      </c>
      <c r="BC106" s="262">
        <f t="shared" si="401"/>
        <v>193.782271505743</v>
      </c>
      <c r="BD106" s="176">
        <f>BE106+各项系数!$M$9*$NS106</f>
        <v>198.390317026099</v>
      </c>
      <c r="BE106" s="176">
        <f>BF106*(1+$BI106+(VLOOKUP($AM106,$A$12:$B$214,2,0))+各项系数!$J$6+各项系数!$M$5)*(1+$E$2)</f>
        <v>197.258987435171</v>
      </c>
      <c r="BF106" s="262">
        <f>BG106+各项系数!$L$9*$NS106</f>
        <v>201.284681056297</v>
      </c>
      <c r="BG106" s="262">
        <f>BH106*(1+$BJ106+各项系数!$J$5+各项系数!$L$5)</f>
        <v>200.153351465369</v>
      </c>
      <c r="BH106" s="262">
        <f t="shared" si="402"/>
        <v>196.22877594644</v>
      </c>
      <c r="BI106" s="278"/>
      <c r="BJ106" s="279"/>
      <c r="BK106" s="95" t="s">
        <v>514</v>
      </c>
      <c r="BL106" s="176">
        <f>BM106+各项系数!$M$9*$NM106</f>
        <v>194.977138609162</v>
      </c>
      <c r="BM106" s="176">
        <f>BN106*(1+$CF106+(VLOOKUP($AM106,$A$12:$B$323,2,0))+各项系数!$J$6+各项系数!$M$5)*(1+$E$2)</f>
        <v>193.859836388956</v>
      </c>
      <c r="BN106" s="262">
        <f>BO106+各项系数!$L$9*$NM106</f>
        <v>197.816159580567</v>
      </c>
      <c r="BO106" s="262">
        <f>BP106*(1+$CG106+各项系数!$J$5+各项系数!$L$5)</f>
        <v>196.69885736036</v>
      </c>
      <c r="BP106" s="262">
        <f t="shared" si="403"/>
        <v>190.969764427534</v>
      </c>
      <c r="BQ106" s="176">
        <f>BR106+各项系数!$M$9*$NM106</f>
        <v>197.072380905508</v>
      </c>
      <c r="BR106" s="176">
        <f>BS106*(1+$CF106+(VLOOKUP($AM106,$A$12:$B$323,2,0))+各项系数!$J$6+各项系数!$M$5)*(1+$E$2)</f>
        <v>195.955078685302</v>
      </c>
      <c r="BS106" s="262">
        <f>BT106+各项系数!$L$9*$NM106</f>
        <v>199.954161923777</v>
      </c>
      <c r="BT106" s="262">
        <f>BU106*(1+$CG106+各项系数!$J$5+各项系数!$L$5)</f>
        <v>198.836859703571</v>
      </c>
      <c r="BU106" s="262">
        <f t="shared" si="404"/>
        <v>193.045494857836</v>
      </c>
      <c r="BV106" s="176">
        <f>BW106+各项系数!$M$9*$NT106</f>
        <v>197.108093521222</v>
      </c>
      <c r="BW106" s="176">
        <f>BX106*(1+$CF106+(VLOOKUP($AM106,$A$12:$B$214,2,0))+各项系数!$J$6+各项系数!$M$5)*(1+$E$2)</f>
        <v>195.976763930294</v>
      </c>
      <c r="BX106" s="262">
        <f>BY106+各项系数!$L$9*$NT$12</f>
        <v>199.976289724789</v>
      </c>
      <c r="BY106" s="262">
        <f>BZ106*(1+$CG106+各项系数!$J$5+各项系数!$L$5)</f>
        <v>199.968026321634</v>
      </c>
      <c r="BZ106" s="262">
        <f t="shared" si="343"/>
        <v>194.143714875373</v>
      </c>
      <c r="CA106" s="176">
        <f>CB106+各项系数!$M$9*$NT106</f>
        <v>199.212754166356</v>
      </c>
      <c r="CB106" s="176">
        <f>CC106*(1+$CF106+(VLOOKUP($AM106,$A$12:$B$214,2,0))+各项系数!$J$6+各项系数!$M$5)*(1+$E$2)</f>
        <v>198.081424575428</v>
      </c>
      <c r="CC106" s="262">
        <f>CD106+各项系数!$L$9*$NT$12</f>
        <v>202.123902627988</v>
      </c>
      <c r="CD106" s="262">
        <f>CE106*(1+$CG106+各项系数!$J$5+各项系数!$L$5)</f>
        <v>202.115639224833</v>
      </c>
      <c r="CE106" s="262">
        <f t="shared" si="405"/>
        <v>196.22877594644</v>
      </c>
      <c r="CF106" s="278">
        <f t="shared" si="406"/>
        <v>0</v>
      </c>
      <c r="CG106" s="278">
        <f t="shared" si="344"/>
        <v>0.01</v>
      </c>
      <c r="CH106" s="127"/>
      <c r="CI106" s="176">
        <f>CJ106+各项系数!$M$9*$NO106</f>
        <v>197.438328934695</v>
      </c>
      <c r="CJ106" s="176">
        <f>CK106*(1+$DC106+(VLOOKUP($AM106,$A$12:$B$323,2,0))+各项系数!$J$6+各项系数!$M$5)*(1+$E$2)+各项系数!$M$9*$NK106</f>
        <v>195.950592660889</v>
      </c>
      <c r="CK106" s="262">
        <f>CL106+各项系数!$L$9*$NO106</f>
        <v>198.809480041513</v>
      </c>
      <c r="CL106" s="262">
        <f>CM106*(1+$DD106+各项系数!$J$5+各项系数!$L$5)</f>
        <v>197.321743767707</v>
      </c>
      <c r="CM106" s="262">
        <f t="shared" si="345"/>
        <v>193.45268996834</v>
      </c>
      <c r="CN106" s="176">
        <f>CO106+各项系数!$M$9*$NO106</f>
        <v>199.707491100257</v>
      </c>
      <c r="CO106" s="176">
        <f>CP106*(1+$DC106+(VLOOKUP($AM106,$A$12:$B$323,2,0))+各项系数!$J$6+各项系数!$M$5)*(1+$E$2)+各项系数!$M$9*$NK106</f>
        <v>198.219754826451</v>
      </c>
      <c r="CP106" s="262">
        <f>CQ106+各项系数!$L$9*$NO106</f>
        <v>201.124951639025</v>
      </c>
      <c r="CQ106" s="262">
        <f>CR106*(1+$DD106+各项系数!$J$5+各项系数!$L$5)</f>
        <v>199.637215365219</v>
      </c>
      <c r="CR106" s="262">
        <f t="shared" si="346"/>
        <v>195.722760161979</v>
      </c>
      <c r="CS106" s="176">
        <f>CT106+各项系数!$M$9*$NU106</f>
        <v>199.675508060651</v>
      </c>
      <c r="CT106" s="176">
        <f t="shared" si="347"/>
        <v>198.173058431306</v>
      </c>
      <c r="CU106" s="262">
        <f>CV106+各项系数!$L$9*$NU106</f>
        <v>202.217406562557</v>
      </c>
      <c r="CV106" s="262">
        <f>CW106*(1+$DD106+各项系数!$J$5+各项系数!$L$5)</f>
        <v>200.714956933212</v>
      </c>
      <c r="CW106" s="262">
        <f t="shared" si="348"/>
        <v>196.779369542365</v>
      </c>
      <c r="CX106" s="176">
        <f>CY106+各项系数!$M$9*$NU106</f>
        <v>202.23300182766</v>
      </c>
      <c r="CY106" s="176">
        <f t="shared" si="349"/>
        <v>200.730552198315</v>
      </c>
      <c r="CZ106" s="262">
        <f>DA106+各项系数!$L$9*$NU106</f>
        <v>204.827094079913</v>
      </c>
      <c r="DA106" s="262">
        <f>DB106*(1+$DD106+各项系数!$J$5+各项系数!$L$5)</f>
        <v>203.324644450569</v>
      </c>
      <c r="DB106" s="262">
        <f t="shared" si="350"/>
        <v>199.337886716244</v>
      </c>
      <c r="DC106" s="278">
        <f t="shared" si="498"/>
        <v>0</v>
      </c>
      <c r="DD106" s="278">
        <f t="shared" si="351"/>
        <v>0</v>
      </c>
      <c r="DE106" s="95" t="s">
        <v>498</v>
      </c>
      <c r="DF106" s="95" t="s">
        <v>513</v>
      </c>
      <c r="DG106" s="176">
        <f>DH106+各项系数!$M$9*$NQ106</f>
        <v>199.714077743644</v>
      </c>
      <c r="DH106" s="176">
        <f>DI106*(1+$EA106+(VLOOKUP($AM106,$A$12:$B$323,2,0))+各项系数!$J$6+各项系数!$M$5)*(1+$E$2)+各项系数!$M$9*$NK106</f>
        <v>198.226341469838</v>
      </c>
      <c r="DI106" s="262">
        <f>DJ106+各项系数!$L$9*$NQ106</f>
        <v>201.131672703706</v>
      </c>
      <c r="DJ106" s="262">
        <f>DK106*(1+$EB106+各项系数!$J$5+各项系数!$L$5)</f>
        <v>199.6439364299</v>
      </c>
      <c r="DK106" s="262">
        <f t="shared" si="352"/>
        <v>193.829064495049</v>
      </c>
      <c r="DL106" s="176">
        <f>DM106+各项系数!$M$9*$NQ106</f>
        <v>201.905681521032</v>
      </c>
      <c r="DM106" s="176">
        <f>DN106*(1+$EA106+(VLOOKUP($AM106,$A$12:$B$323,2,0))+各项系数!$J$6+各项系数!$M$5)*(1+$E$2)+各项系数!$M$9*$NK106</f>
        <v>200.417945247226</v>
      </c>
      <c r="DN106" s="262">
        <f>DO106+各项系数!$L$9*$NQ106</f>
        <v>203.368003088795</v>
      </c>
      <c r="DO106" s="262">
        <f>DP106*(1+$EB106+各项系数!$J$5+各项系数!$L$5)</f>
        <v>201.88026681499</v>
      </c>
      <c r="DP106" s="262">
        <f t="shared" si="353"/>
        <v>196.000259043679</v>
      </c>
      <c r="DQ106" s="176">
        <f>DR106+各项系数!$M$9*$NV106</f>
        <v>201.985490991303</v>
      </c>
      <c r="DR106" s="176">
        <f t="shared" si="354"/>
        <v>200.483041361958</v>
      </c>
      <c r="DS106" s="262">
        <f>DT106+各项系数!$L$9*$NV106</f>
        <v>204.574532001998</v>
      </c>
      <c r="DT106" s="262">
        <f>DU106*(1+$EB106+各项系数!$J$5+各项系数!$L$5)</f>
        <v>203.072082372653</v>
      </c>
      <c r="DU106" s="262">
        <f t="shared" si="355"/>
        <v>197.157361526848</v>
      </c>
      <c r="DV106" s="176">
        <f>DW106+各项系数!$M$9*$NV106</f>
        <v>202.012845959125</v>
      </c>
      <c r="DW106" s="176">
        <f t="shared" si="356"/>
        <v>200.51039632978</v>
      </c>
      <c r="DX106" s="262">
        <f>DY106+各项系数!$L$9*$NV106</f>
        <v>204.602445234469</v>
      </c>
      <c r="DY106" s="262">
        <f>DZ106*(1+$EB106+各项系数!$J$5+各项系数!$L$5)</f>
        <v>203.099995605124</v>
      </c>
      <c r="DZ106" s="262">
        <f t="shared" si="357"/>
        <v>197.184461752548</v>
      </c>
      <c r="EA106" s="278">
        <f t="shared" si="492"/>
        <v>0</v>
      </c>
      <c r="EB106" s="278">
        <f t="shared" si="358"/>
        <v>0.01</v>
      </c>
      <c r="EC106" s="302" t="str">
        <f t="shared" si="408"/>
        <v>3+1</v>
      </c>
      <c r="ED106" s="304" t="str">
        <f t="shared" si="494"/>
        <v>3*95</v>
      </c>
      <c r="EE106" s="95">
        <f t="shared" si="495"/>
        <v>95</v>
      </c>
      <c r="EF106" s="95" t="str">
        <f>LOOKUP(EH106,{1,7,10,14,19,24,30,37,48,61},{1,"1+6","2+8","4+10","1+6+12","2+8+14","4+10+16","1+6+12+18","3+9+15+21","1+6+12+18+24"})</f>
        <v>1+6+12</v>
      </c>
      <c r="EG106" s="127">
        <f t="shared" si="359"/>
        <v>3</v>
      </c>
      <c r="EH106" s="262">
        <f>VLOOKUP(EE106,各项系数!$B$87:$C$124,2,0)</f>
        <v>19</v>
      </c>
      <c r="EI106" s="127">
        <f>IF(EH106=0,0,VLOOKUP(EH106,各项系数!$D$142:$E$195,2,0))*1</f>
        <v>5</v>
      </c>
      <c r="EJ106" s="307">
        <f t="shared" si="409"/>
        <v>245.088056587712</v>
      </c>
      <c r="EK106" s="95" t="str">
        <f t="shared" si="332"/>
        <v>1*50</v>
      </c>
      <c r="EL106" s="95" t="str">
        <f t="shared" si="360"/>
        <v>50</v>
      </c>
      <c r="EM106" s="95">
        <f t="shared" si="496"/>
        <v>50</v>
      </c>
      <c r="EN106" s="95" t="str">
        <f>IF(EP106=0,0,LOOKUP(EP106,{1,7,10,14,19,24,30,37,48,61},{1,"1+6","2+8","4+10","1+6+12","2+8+14","4+10+16","1+6+12+18","3+9+15+21","1+6+12+18+24"}))</f>
        <v>2+8</v>
      </c>
      <c r="EO106" s="95" t="str">
        <f t="shared" si="334"/>
        <v>1</v>
      </c>
      <c r="EP106" s="95">
        <f>IF(EM106=0,0,IF(EM106&lt;10,1,IF(AND(EM106&gt;=10,EM106&lt;=35),7,LOOKUP(EM106,{50,70,95,120,150,185,240,300},{10,14,19,24,30,37,48,61})*1)))</f>
        <v>10</v>
      </c>
      <c r="EQ106" s="95">
        <f>IF(EP106=0,0,VLOOKUP(EP106,各项系数!$D$142:$E$195,2,0))*1</f>
        <v>4</v>
      </c>
      <c r="ER106" s="95">
        <f t="shared" si="335"/>
        <v>238.573455311777</v>
      </c>
      <c r="ES106" s="304">
        <f t="shared" si="497"/>
        <v>4</v>
      </c>
      <c r="ET106" s="95">
        <f>VLOOKUP(ES106,各项系数!$D$142:$E$195,2,0)*1</f>
        <v>2.42</v>
      </c>
      <c r="EU106" s="311">
        <f>((各项系数!$F$76/4*$EJ106^2*$EG106*$EH106*1*10^-7)*(1-$H106)*AA106)*(VLOOKUP($EY$9,各项系数!$D$4:$F$143,3,0))*各项系数!$J$4</f>
        <v>2.40959093312616</v>
      </c>
      <c r="EV106" s="312">
        <f>EU106*(VLOOKUP($EY$9,各项系数!$D$4:$F$143,2,0))</f>
        <v>157.828206119764</v>
      </c>
      <c r="EW106" s="324">
        <f>(IF($EO106=0,0,(各项系数!$F$76/4*$ER106^2*$EO106*$EP106*1*10^-7))*(1-$K106)*$AF106)*(VLOOKUP($EY$9,各项系数!$D$4:$F$143,3,0))*各项系数!$J$4</f>
        <v>0.399769926055488</v>
      </c>
      <c r="EX106" s="325">
        <f>EW106*(VLOOKUP($EY$9,各项系数!$D$4:$F$143,2,0))</f>
        <v>26.1849301566345</v>
      </c>
      <c r="EY106" s="251">
        <f>((各项系数!$F$76/4*$EJ106^2*$EG106*$EH106*1*10^-7)*(1-$H106)*AA106+IF($EO106=0,0,(各项系数!$F$76/4*$ER106^2*$EO106*$EP106*1*10^-7))*(1-$K106)*$AF106)*(VLOOKUP($EY$9,各项系数!$D$4:$F$143,3,0))*各项系数!$J$4</f>
        <v>2.80936085918165</v>
      </c>
      <c r="EZ106" s="127">
        <v>1</v>
      </c>
      <c r="FA106" s="95">
        <f t="shared" si="445"/>
        <v>2.80936085918165</v>
      </c>
      <c r="FB106" s="314">
        <f>FA106*(VLOOKUP($EY$9,各项系数!$D$4:$F$143,2,0))</f>
        <v>184.013136276398</v>
      </c>
      <c r="FC106" s="329"/>
      <c r="FD106" s="304">
        <f>各项系数!$F$76/4*($MN106^2-MK106^2)*10^-2*(VLOOKUP(L106,各项系数!$D$1:$F$143,3,0))*10^-3*10^2*$EG106*各项系数!$J$4</f>
        <v>0.151531894004455</v>
      </c>
      <c r="FE106" s="341">
        <f>FD106*VLOOKUP(L106,各项系数!$D$1:$F$143,2,0)</f>
        <v>1.54562531884544</v>
      </c>
      <c r="FF106" s="127">
        <f>各项系数!$F$76/4*($MO106^2-ML106^2)*10^-2*(VLOOKUP(L106,各项系数!$D$1:$F$143,3,0))*10^-3*10^2*$EO106*各项系数!$J$4</f>
        <v>0.0362516100662907</v>
      </c>
      <c r="FG106" s="341">
        <f>FF106*VLOOKUP(L106,各项系数!$D$1:$F$143,2,0)</f>
        <v>0.369766422676165</v>
      </c>
      <c r="FH106" s="304">
        <f t="shared" si="410"/>
        <v>0.187783504070746</v>
      </c>
      <c r="FI106" s="127">
        <v>1</v>
      </c>
      <c r="FJ106" s="95">
        <f t="shared" si="446"/>
        <v>0.187783504070746</v>
      </c>
      <c r="FK106" s="341">
        <f>FJ106*VLOOKUP(L106,各项系数!$D$1:$F$143,2,0)</f>
        <v>1.91539174152161</v>
      </c>
      <c r="FL106" s="304"/>
      <c r="FM106" s="127"/>
      <c r="FN106" s="95"/>
      <c r="FO106" s="341"/>
      <c r="FP106" s="371">
        <f t="shared" si="447"/>
        <v>0.187783504070746</v>
      </c>
      <c r="FQ106" s="371">
        <f t="shared" si="448"/>
        <v>1.91539174152161</v>
      </c>
      <c r="FR106" s="365">
        <f>各项系数!$F$76/4*($MQ106^2-$MN106^2*$EG106-$MO106^2*$EO106)*10^-2</f>
        <v>2.69722498936559</v>
      </c>
      <c r="FS106" s="366">
        <f t="shared" si="411"/>
        <v>1</v>
      </c>
      <c r="FT106" s="367">
        <f t="shared" si="361"/>
        <v>2.69722498936559</v>
      </c>
      <c r="FU106" s="395">
        <f>$FT106*(VLOOKUP($FT$9,各项系数!$D$1:$F$143,3,0))*10^-3*10^2*各项系数!$J$55</f>
        <v>0.322048663730251</v>
      </c>
      <c r="FV106" s="396">
        <v>1</v>
      </c>
      <c r="FW106" s="397">
        <f t="shared" si="449"/>
        <v>0.322048663730251</v>
      </c>
      <c r="FX106" s="372">
        <f>FW106*(VLOOKUP($FT$9,各项系数!$D$1:$F$143,2,0))</f>
        <v>0.966145991190754</v>
      </c>
      <c r="FY106" s="395">
        <f>IF($BK106&lt;&gt;$FY$9,0,各项系数!$F$76/4*($MS106^2-$MQ106^2)*10^-2*(VLOOKUP($FY$9,各项系数!$D$1:$F$143,3,0))*10^-3*10^2)*各项系数!$J$4</f>
        <v>0</v>
      </c>
      <c r="FZ106" s="396">
        <v>1</v>
      </c>
      <c r="GA106" s="397">
        <f t="shared" si="450"/>
        <v>0</v>
      </c>
      <c r="GB106" s="372">
        <f>GA106*(VLOOKUP($FY$9,各项系数!$D$1:$F$143,2,0))</f>
        <v>0</v>
      </c>
      <c r="GC106" s="395">
        <f>IF($BK106&lt;&gt;$GC$9,0,各项系数!$F$76/4*($MS106^2-$MQ106^2)*10^-2*(VLOOKUP($GC$9,各项系数!$D$1:$F$143,3,0))*10^-3*10^2)*各项系数!$J$4</f>
        <v>0.00907018511643983</v>
      </c>
      <c r="GD106" s="396">
        <v>1</v>
      </c>
      <c r="GE106" s="397">
        <f t="shared" si="451"/>
        <v>0.00907018511643983</v>
      </c>
      <c r="GF106" s="372">
        <f>GE106*(VLOOKUP($GC$9,各项系数!$D$1:$F$143,2,0))</f>
        <v>0.117005388002074</v>
      </c>
      <c r="GG106" s="395">
        <f>IF($BK106&lt;&gt;$GG$9,0,各项系数!$F$76/4*($MS106^2-$MQ106^2)*10^-2*(VLOOKUP($GG$9,各项系数!$D$1:$F$143,3,0))*10^-3*10^2)*各项系数!$J$4</f>
        <v>0</v>
      </c>
      <c r="GH106" s="396">
        <v>1</v>
      </c>
      <c r="GI106" s="397">
        <f t="shared" si="452"/>
        <v>0</v>
      </c>
      <c r="GJ106" s="372">
        <f>GI106*(VLOOKUP($GG$9,各项系数!$D$1:$F$143,2,0))</f>
        <v>0</v>
      </c>
      <c r="GK106" s="395">
        <f>IF($BK106&lt;&gt;$GK$9,0,各项系数!$F$76/4*($MS106^2-$MQ106^2)*10^-2*(VLOOKUP($GK$9,各项系数!$D$1:$F$143,3,0))*10^-3*10^2)*各项系数!$J$4</f>
        <v>0</v>
      </c>
      <c r="GL106" s="396">
        <v>1</v>
      </c>
      <c r="GM106" s="397">
        <f t="shared" si="453"/>
        <v>0</v>
      </c>
      <c r="GN106" s="372">
        <f>GM106*(VLOOKUP($GK$9,各项系数!$D$1:$F$143,2,0))</f>
        <v>0</v>
      </c>
      <c r="GO106" s="397">
        <f t="shared" si="454"/>
        <v>0.00907018511643983</v>
      </c>
      <c r="GP106" s="397">
        <f t="shared" si="455"/>
        <v>0.117005388002074</v>
      </c>
      <c r="GQ106" s="408">
        <f>各项系数!$F$76/4*($MU106^2-$MS106^2)*10^-2*(VLOOKUP($S106,各项系数!$D$1:$F$143,3,0))*10^-3*10^2*各项系数!$J$4</f>
        <v>0.625976674416844</v>
      </c>
      <c r="GR106" s="396">
        <v>1</v>
      </c>
      <c r="GS106" s="397">
        <f t="shared" si="456"/>
        <v>0.625976674416844</v>
      </c>
      <c r="GT106" s="397">
        <f t="shared" si="457"/>
        <v>0</v>
      </c>
      <c r="GU106" s="397">
        <f>ROUND($GS106*(VLOOKUP($S106,各项系数!$D$1:$F$143,2,0))+$E$3*GS106,GT106)</f>
        <v>4</v>
      </c>
      <c r="GV106" s="406">
        <f>各项系数!$F$76/4*($MT106^2-$MS106^2)*10^-2*(VLOOKUP($GV$9,各项系数!$D$1:$F$143,3,0))*10^-3*10^2*各项系数!$J$4*PI()/4*R106</f>
        <v>0.0467579024047879</v>
      </c>
      <c r="GW106" s="396">
        <v>1</v>
      </c>
      <c r="GX106" s="397">
        <f t="shared" si="458"/>
        <v>0.0467579024047879</v>
      </c>
      <c r="GY106" s="397">
        <f>$GX106*(VLOOKUP($GV$9,各项系数!$D$1:$F$143,2,0))</f>
        <v>3.15615841232318</v>
      </c>
      <c r="GZ106" s="408">
        <f>各项系数!$F$76/4*($MV106^2-$MS106^2)*10^-2*(VLOOKUP($GZ$9,各项系数!$D$1:$F$143,3,0))*10^-3*10^2*各项系数!$J$4</f>
        <v>0.35493032121901</v>
      </c>
      <c r="HA106" s="396">
        <v>1</v>
      </c>
      <c r="HB106" s="397">
        <f t="shared" si="412"/>
        <v>0.35493032121901</v>
      </c>
      <c r="HC106" s="397">
        <f>HB106*(VLOOKUP($GZ$9,各项系数!$D$1:$F$143,2,0))</f>
        <v>6.03381546072317</v>
      </c>
      <c r="HD106" s="408">
        <f>各项系数!$F$76/4*($MW106^2-$MT106^2)*10^-2*(VLOOKUP($HD$9,各项系数!$D$1:$F$143,3,0))*10^-3*10^2*各项系数!$J$4</f>
        <v>0.356525772764951</v>
      </c>
      <c r="HE106" s="396">
        <v>1</v>
      </c>
      <c r="HF106" s="397">
        <f t="shared" si="413"/>
        <v>0.356525772764951</v>
      </c>
      <c r="HG106" s="397">
        <f>HF106*(VLOOKUP($HD$9,各项系数!$D$1:$F$143,2,0))</f>
        <v>6.06093813700416</v>
      </c>
      <c r="HH106" s="408">
        <f>各项系数!$F$76/4*($MV106^2-$MS106^2)*10^-2*(VLOOKUP($HH$9,各项系数!$D$1:$F$143,3,0))*10^-3*10^2*各项系数!$J$4</f>
        <v>0.35493032121901</v>
      </c>
      <c r="HI106" s="397">
        <v>1</v>
      </c>
      <c r="HJ106" s="397">
        <f t="shared" si="414"/>
        <v>0.35493032121901</v>
      </c>
      <c r="HK106" s="397">
        <f>HJ106*(VLOOKUP($HH$9,各项系数!$D$1:$F$143,2,0))</f>
        <v>6.03381546072317</v>
      </c>
      <c r="HL106" s="408">
        <f>各项系数!$F$76/4*($MW106^2-$MT106^2)*10^-2*(VLOOKUP($HL$9,各项系数!$D$1:$F$143,3,0))*10^-3*10^2*各项系数!$J$4</f>
        <v>0.356525772764951</v>
      </c>
      <c r="HM106" s="397">
        <v>1</v>
      </c>
      <c r="HN106" s="397">
        <f t="shared" si="362"/>
        <v>0.356525772764951</v>
      </c>
      <c r="HO106" s="397">
        <f>HN106*(VLOOKUP($HL$9,各项系数!$D$1:$F$143,2,0))</f>
        <v>6.06093813700416</v>
      </c>
      <c r="HP106" s="408">
        <f>各项系数!$F$76/4*($MV106^2-$MS106^2)*10^-2*(VLOOKUP(AN106,各项系数!$D$1:$F$143,3,0))*10^-3*10^2*各项系数!$J$4</f>
        <v>0.359825911856514</v>
      </c>
      <c r="HQ106" s="396">
        <v>1</v>
      </c>
      <c r="HR106" s="397">
        <f t="shared" si="459"/>
        <v>0.359825911856514</v>
      </c>
      <c r="HS106" s="397">
        <f>HR106*(VLOOKUP(AN106,各项系数!$D$1:$F$143,2,0))</f>
        <v>3.59825911856514</v>
      </c>
      <c r="HT106" s="408">
        <f>各项系数!$F$76/4*($MW106^2-$MT106^2)*10^-2*(VLOOKUP(AN106,各项系数!$D$1:$F$143,3,0))*10^-3*10^2*各项系数!$J$4</f>
        <v>0.361443369630674</v>
      </c>
      <c r="HU106" s="396">
        <v>1</v>
      </c>
      <c r="HV106" s="397">
        <f t="shared" si="460"/>
        <v>0.361443369630674</v>
      </c>
      <c r="HW106" s="397">
        <f>HV106*(VLOOKUP(AN106,各项系数!$D$1:$F$143,2,0))</f>
        <v>3.61443369630674</v>
      </c>
      <c r="HX106" s="408">
        <f>各项系数!$F$76/4*($MV106^2-$MS106^2)*10^-2*(VLOOKUP($HX$9,各项系数!$D$1:$F$143,3,0))*10^-3*10^2*各项系数!$J$4</f>
        <v>0.359825911856514</v>
      </c>
      <c r="HY106" s="397">
        <v>1</v>
      </c>
      <c r="HZ106" s="397">
        <f t="shared" si="461"/>
        <v>0.359825911856514</v>
      </c>
      <c r="IA106" s="397">
        <f>HZ106*(VLOOKUP($HX$9,各项系数!$D$1:$F$143,2,0))</f>
        <v>3.95808503042165</v>
      </c>
      <c r="IB106" s="408">
        <f>各项系数!$F$76/4*($MW106^2-$MT106^2)*10^-2*(VLOOKUP($IB$9,各项系数!$D$1:$F$143,3,0))*10^-3*10^2*各项系数!$J$4</f>
        <v>0.361443369630674</v>
      </c>
      <c r="IC106" s="397">
        <v>1</v>
      </c>
      <c r="ID106" s="397">
        <f t="shared" si="462"/>
        <v>0.361443369630674</v>
      </c>
      <c r="IE106" s="397">
        <f>ID106*(VLOOKUP($IB$9,各项系数!$D$1:$F$143,2,0))</f>
        <v>3.97587706593741</v>
      </c>
      <c r="IF106" s="395"/>
      <c r="IG106" s="408">
        <f t="shared" si="415"/>
        <v>0.0668244315875863</v>
      </c>
      <c r="IH106" s="396">
        <v>1</v>
      </c>
      <c r="II106" s="397">
        <f t="shared" si="463"/>
        <v>0.0668244315875863</v>
      </c>
      <c r="IJ106" s="397">
        <f>II106*(VLOOKUP($IG$8,各项系数!$D$1:$F$143,2,0))</f>
        <v>1.67061078968966</v>
      </c>
      <c r="IK106" s="408">
        <f>(各项系数!$F$76/4*($MX106^2-$MK106^2)*$EG106)*10^-2*(VLOOKUP($IG$8,各项系数!$D$1:$F$143,3,0))*10^-3*10^2*各项系数!$J$4</f>
        <v>0.0529788811476796</v>
      </c>
      <c r="IL106" s="396">
        <f>IK106*(VLOOKUP($IG$8,各项系数!$D$1:$F$143,2,0))</f>
        <v>1.32447202869199</v>
      </c>
      <c r="IM106" s="397">
        <f>(各项系数!$F$76/4*(($MM106+3*$X106)^2-MM106^2)*$EO106)*10^-2*(VLOOKUP($IG$8,各项系数!$D$1:$F$143,3,0))*10^-3*10^2*各项系数!$J$4</f>
        <v>0.0138455504399067</v>
      </c>
      <c r="IN106" s="396">
        <f>IM106*(VLOOKUP($IG$8,各项系数!$D$1:$F$143,2,0))</f>
        <v>0.346138760997667</v>
      </c>
      <c r="IO106" s="408">
        <f>各项系数!$F$76/4*($MZ106^2-$MX106^2)*10^-2*(VLOOKUP(L106,各项系数!$D$1:$F$143,3,0))*10^-3*10^2*$ES106*各项系数!$J$4</f>
        <v>0.211120094479968</v>
      </c>
      <c r="IP106" s="396">
        <v>1</v>
      </c>
      <c r="IQ106" s="397">
        <f t="shared" si="464"/>
        <v>0.211120094479968</v>
      </c>
      <c r="IR106" s="372">
        <f>IQ106*(VLOOKUP(L106,各项系数!$D$1:$F$143,2,0))</f>
        <v>2.15342496369568</v>
      </c>
      <c r="IS106" s="408">
        <f>IF($L106&lt;&gt;$IS$9,0,各项系数!$F$76/4*($MZ106^2-$MX106^2)*10^-2*各项系数!$F$12*10^-3*10^2)*$ES106*各项系数!$J$4</f>
        <v>0</v>
      </c>
      <c r="IT106" s="396">
        <v>1</v>
      </c>
      <c r="IU106" s="397">
        <f t="shared" si="465"/>
        <v>0</v>
      </c>
      <c r="IV106" s="372">
        <f>IU106*各项系数!$E$12</f>
        <v>0</v>
      </c>
      <c r="IW106" s="395">
        <f t="shared" si="466"/>
        <v>0.211120094479968</v>
      </c>
      <c r="IX106" s="395">
        <f t="shared" si="467"/>
        <v>2.15342496369568</v>
      </c>
      <c r="IY106" s="447">
        <f>各项系数!$F$76/4*($NB106^2-$MZ106^2*$EG106-$NA106^2*$EO106)*10^-2</f>
        <v>2.97018457546182</v>
      </c>
      <c r="IZ106" s="366">
        <f t="shared" si="487"/>
        <v>1</v>
      </c>
      <c r="JA106" s="367">
        <f t="shared" si="363"/>
        <v>2.97018457546182</v>
      </c>
      <c r="JB106" s="371">
        <f>IF($DE106&lt;&gt;$JB$9,0,$JA106*各项系数!$F$32*10^-3*10^2)*各项系数!$J$4</f>
        <v>0</v>
      </c>
      <c r="JC106" s="127">
        <v>1</v>
      </c>
      <c r="JD106" s="95">
        <f t="shared" si="468"/>
        <v>0</v>
      </c>
      <c r="JE106" s="341">
        <f>JD106*各项系数!$E$32</f>
        <v>0</v>
      </c>
      <c r="JF106" s="364">
        <f>IF($DE106&lt;&gt;$JF$9,0,$JA106*VLOOKUP($JF$9,各项系数!$D$4:$F$540,2,0)*10^-3*10^2)*各项系数!$J$4</f>
        <v>1.47766682629225</v>
      </c>
      <c r="JG106" s="123">
        <v>1</v>
      </c>
      <c r="JH106" s="251">
        <f t="shared" si="364"/>
        <v>1.47766682629225</v>
      </c>
      <c r="JI106" s="339">
        <f>JH106*VLOOKUP($JF$9,各项系数!$D$4:$F$540,3,0)</f>
        <v>1.77320019155071</v>
      </c>
      <c r="JJ106" s="371">
        <f t="shared" si="469"/>
        <v>1.47766682629225</v>
      </c>
      <c r="JK106" s="95">
        <f t="shared" si="470"/>
        <v>1.77320019155071</v>
      </c>
      <c r="JL106" s="371">
        <f>IF($DF106&lt;&gt;$JL$9,0,各项系数!$F$76/4*($NE106^2-$NC106^2)*10^-2*各项系数!$F$39*10^-3*10^2)*各项系数!$J$4</f>
        <v>0.00392862399610099</v>
      </c>
      <c r="JM106" s="127">
        <v>1</v>
      </c>
      <c r="JN106" s="95">
        <f t="shared" si="471"/>
        <v>0.00392862399610099</v>
      </c>
      <c r="JO106" s="341">
        <f>JN106*各项系数!$E$39</f>
        <v>0.0785724799220198</v>
      </c>
      <c r="JP106" s="371">
        <f>IF($DF106&lt;&gt;$JP$9,0,各项系数!$F$76/4*($NE106^2-$NC106^2)*10^-2*各项系数!$F$36*10^-3*10^2)*各项系数!$J$4</f>
        <v>0</v>
      </c>
      <c r="JQ106" s="127">
        <v>1</v>
      </c>
      <c r="JR106" s="95">
        <f t="shared" si="472"/>
        <v>0</v>
      </c>
      <c r="JS106" s="341">
        <f>JR106*各项系数!$E$36</f>
        <v>0</v>
      </c>
      <c r="JT106" s="371">
        <f>IF($DF106&lt;&gt;$JT$9,0,各项系数!$F$76/4*($NE106^2-$NC106^2)*10^-2*各项系数!$F$40*10^-3*10^2)*各项系数!$J$4</f>
        <v>0</v>
      </c>
      <c r="JU106" s="127">
        <v>1</v>
      </c>
      <c r="JV106" s="95">
        <f t="shared" si="473"/>
        <v>0</v>
      </c>
      <c r="JW106" s="341">
        <f>JV106*各项系数!$E$40</f>
        <v>0</v>
      </c>
      <c r="JX106" s="371">
        <f>IF($DF106&lt;&gt;$JX$9,0,各项系数!$F$76/4*($NE106^2-$NC106^2)*10^-2*各项系数!$F$38*10^-3*10^2)*各项系数!$J$4</f>
        <v>0</v>
      </c>
      <c r="JY106" s="127">
        <v>1</v>
      </c>
      <c r="JZ106" s="95">
        <f t="shared" si="474"/>
        <v>0</v>
      </c>
      <c r="KA106" s="341">
        <f>JZ106*各项系数!$E$38</f>
        <v>0</v>
      </c>
      <c r="KB106" s="371">
        <f>IF($DF106&lt;&gt;$KB$9,0,各项系数!$F$76/4*($NE106^2-$NC106^2)*10^-2*各项系数!$F$41*10^-3*10^2)*各项系数!$J$4</f>
        <v>0</v>
      </c>
      <c r="KC106" s="127">
        <v>1</v>
      </c>
      <c r="KD106" s="95">
        <f t="shared" si="475"/>
        <v>0</v>
      </c>
      <c r="KE106" s="341">
        <f>KD106*各项系数!$E$41</f>
        <v>0</v>
      </c>
      <c r="KF106" s="95">
        <f t="shared" si="476"/>
        <v>0.00392862399610099</v>
      </c>
      <c r="KG106" s="95">
        <f t="shared" si="477"/>
        <v>0.0785724799220198</v>
      </c>
      <c r="KH106" s="304">
        <f>各项系数!$F$76/4*($NG106^2-$NE106^2)*10^-2*各项系数!$F$44*10^-3*10^2*各项系数!$J$4*0.75*$U106</f>
        <v>0.983982463437069</v>
      </c>
      <c r="KI106" s="127">
        <v>1</v>
      </c>
      <c r="KJ106" s="95">
        <f t="shared" si="478"/>
        <v>0.983982463437069</v>
      </c>
      <c r="KK106" s="95">
        <f>ROUND(KJ106*各项系数!$E$43,GT106)</f>
        <v>6</v>
      </c>
      <c r="KL106" s="302">
        <f>各项系数!$F$76/4*($NF106^2-$NE106^2)*10^-2*各项系数!$F$46*10^-3*10^2*各项系数!$J$4*PI()/4*R106</f>
        <v>0.0490445184634579</v>
      </c>
      <c r="KM106" s="127">
        <v>1</v>
      </c>
      <c r="KN106" s="95">
        <f t="shared" si="479"/>
        <v>0.0490445184634579</v>
      </c>
      <c r="KO106" s="95">
        <f>KN106*各项系数!$E$46</f>
        <v>3.31050499628341</v>
      </c>
      <c r="KP106" s="304">
        <f>各项系数!$F$76/4*($NH106^2-$NE106^2)*10^-2*(VLOOKUP($KP$9,各项系数!$D$1:$F$143,3,0))*10^-3*10^2*各项系数!$J$4</f>
        <v>0.371253784848411</v>
      </c>
      <c r="KQ106" s="127">
        <v>1</v>
      </c>
      <c r="KR106" s="95">
        <f t="shared" si="416"/>
        <v>0.371253784848411</v>
      </c>
      <c r="KS106" s="95">
        <f>KR106*(VLOOKUP($KP$9,各项系数!$D$1:$F$143,2,0))</f>
        <v>6.31131434242299</v>
      </c>
      <c r="KT106" s="304">
        <f>各项系数!$F$76/4*($NI106^2-$NF106^2)*10^-2*(VLOOKUP($KT$9,各项系数!$D$1:$F$143,3,0))*10^-3*10^2*各项系数!$J$4</f>
        <v>0.372849236394352</v>
      </c>
      <c r="KU106" s="127">
        <v>1</v>
      </c>
      <c r="KV106" s="95">
        <f t="shared" si="417"/>
        <v>0.372849236394352</v>
      </c>
      <c r="KW106" s="95">
        <f>KV106*(VLOOKUP($KT$9,各项系数!$D$1:$F$143,2,0))</f>
        <v>6.33843701870398</v>
      </c>
      <c r="KX106" s="95">
        <f>各项系数!$F$76/4*($NH106^2-$NE106^2)*10^-2*(VLOOKUP($KX$9,各项系数!$D$1:$F$143,3,0))*10^-3*10^2*各项系数!$J$4</f>
        <v>0.371253784848411</v>
      </c>
      <c r="KY106" s="481">
        <v>1</v>
      </c>
      <c r="KZ106" s="95">
        <f t="shared" si="418"/>
        <v>0.371253784848411</v>
      </c>
      <c r="LA106" s="95">
        <f>KZ106*(VLOOKUP($KX$9,各项系数!$D$1:$F$143,2,0))</f>
        <v>6.31131434242299</v>
      </c>
      <c r="LB106" s="95">
        <f>各项系数!$F$76/4*($NI106^2-$NF106^2)*10^-2*(VLOOKUP($LB$9,各项系数!$D$1:$F$143,3,0))*10^-3*10^2*各项系数!$J$4</f>
        <v>0.372849236394352</v>
      </c>
      <c r="LC106" s="481">
        <v>1</v>
      </c>
      <c r="LD106" s="95">
        <f t="shared" si="419"/>
        <v>0.372849236394352</v>
      </c>
      <c r="LE106" s="95">
        <f>LD106*(VLOOKUP($LB$9,各项系数!$D$1:$F$143,2,0))</f>
        <v>6.33843701870398</v>
      </c>
      <c r="LF106" s="304">
        <f>各项系数!$F$76/4*($NH106^2-$NE106^2)*10^-2*(VLOOKUP(AN106,各项系数!$D$1:$F$143,3,0))*10^-3*10^2*各项系数!$J$4</f>
        <v>0.376374526708389</v>
      </c>
      <c r="LG106" s="127">
        <v>1</v>
      </c>
      <c r="LH106" s="95">
        <f t="shared" si="480"/>
        <v>0.376374526708389</v>
      </c>
      <c r="LI106" s="95">
        <f>LH106*(VLOOKUP(AN106,各项系数!$D$1:$F$143,2,0))</f>
        <v>3.76374526708389</v>
      </c>
      <c r="LJ106" s="304">
        <f>各项系数!$F$76/4*($NI106^2-$NF106^2)*10^-2*(VLOOKUP(AN106,各项系数!$D$1:$F$143,3,0))*10^-3*10^2*各项系数!$J$4</f>
        <v>0.37799198448255</v>
      </c>
      <c r="LK106" s="127">
        <v>1</v>
      </c>
      <c r="LL106" s="95">
        <f t="shared" si="481"/>
        <v>0.37799198448255</v>
      </c>
      <c r="LM106" s="95">
        <f>LL106*(VLOOKUP(AN106,各项系数!$D$1:$F$143,2,0))</f>
        <v>3.7799198448255</v>
      </c>
      <c r="LN106" s="95">
        <f>各项系数!$F$76/4*($NH106^2-$NE106^2)*10^-2*(VLOOKUP($LN$9,各项系数!$D$1:$F$143,3,0))*10^-3*10^2*各项系数!$J$4</f>
        <v>0.376374526708389</v>
      </c>
      <c r="LO106" s="481">
        <v>1</v>
      </c>
      <c r="LP106" s="95">
        <f t="shared" si="482"/>
        <v>0.376374526708389</v>
      </c>
      <c r="LQ106" s="95">
        <f>LP106*(VLOOKUP($LN$9,各项系数!$D$1:$F$143,2,0))</f>
        <v>4.14011979379228</v>
      </c>
      <c r="LR106" s="95">
        <f>各项系数!$F$76/4*($NI106^2-$NF106^2)*10^-2*(VLOOKUP($LR$9,各项系数!$D$1:$F$143,3,0))*10^-3*10^2*各项系数!$J$4</f>
        <v>0.37799198448255</v>
      </c>
      <c r="LS106" s="481">
        <v>1</v>
      </c>
      <c r="LT106" s="95">
        <f t="shared" si="483"/>
        <v>0.37799198448255</v>
      </c>
      <c r="LU106" s="95">
        <f>LT106*(VLOOKUP($LR$9,各项系数!$D$1:$F$143,2,0))</f>
        <v>4.15791182930805</v>
      </c>
      <c r="LV106" s="501">
        <f t="shared" si="420"/>
        <v>353.83064365</v>
      </c>
      <c r="LW106" s="501">
        <f t="shared" si="421"/>
        <v>268.91128917</v>
      </c>
      <c r="LX106" s="501">
        <f t="shared" si="422"/>
        <v>18.5037425240668</v>
      </c>
      <c r="LY106" s="519">
        <f t="shared" si="423"/>
        <v>84.91935448</v>
      </c>
      <c r="LZ106" s="516">
        <f t="shared" si="365"/>
        <v>1</v>
      </c>
      <c r="MA106" s="517">
        <f t="shared" si="366"/>
        <v>353.83064365</v>
      </c>
      <c r="MB106" s="501">
        <f t="shared" si="424"/>
        <v>12.25440285</v>
      </c>
      <c r="MC106" s="501">
        <f t="shared" si="425"/>
        <v>71.52438055</v>
      </c>
      <c r="MD106" s="501">
        <f t="shared" si="426"/>
        <v>44.70273773</v>
      </c>
      <c r="ME106" s="501">
        <f t="shared" si="427"/>
        <v>7.54435507089642</v>
      </c>
      <c r="MF106" s="501">
        <f t="shared" si="428"/>
        <v>26.82164282</v>
      </c>
      <c r="MG106" s="527">
        <f t="shared" si="429"/>
        <v>1</v>
      </c>
      <c r="MH106" s="517">
        <f t="shared" si="367"/>
        <v>71.52438055</v>
      </c>
      <c r="MI106" s="501">
        <f t="shared" si="430"/>
        <v>9.54293821257093</v>
      </c>
      <c r="MJ106" s="95">
        <f t="shared" si="368"/>
        <v>12.25440285</v>
      </c>
      <c r="MK106" s="95">
        <f t="shared" si="431"/>
        <v>12.25440285</v>
      </c>
      <c r="ML106" s="95">
        <f t="shared" si="484"/>
        <v>9.54293821247108</v>
      </c>
      <c r="MM106" s="95">
        <f t="shared" si="369"/>
        <v>9.54293821257093</v>
      </c>
      <c r="MN106" s="95">
        <f t="shared" si="370"/>
        <v>14.45440285</v>
      </c>
      <c r="MO106" s="251">
        <f t="shared" si="432"/>
        <v>11.5429382125709</v>
      </c>
      <c r="MP106" s="95">
        <f t="shared" si="433"/>
        <v>33.21821879</v>
      </c>
      <c r="MQ106" s="95">
        <f t="shared" si="485"/>
        <v>33.21821879</v>
      </c>
      <c r="MR106" s="314">
        <f t="shared" si="434"/>
        <v>33.21821879</v>
      </c>
      <c r="MS106" s="530">
        <f t="shared" si="371"/>
        <v>33.39421879</v>
      </c>
      <c r="MT106" s="532">
        <f t="shared" si="372"/>
        <v>33.55421879</v>
      </c>
      <c r="MU106" s="532">
        <f t="shared" si="373"/>
        <v>34.89421879</v>
      </c>
      <c r="MV106" s="532">
        <f t="shared" si="374"/>
        <v>37.79421879</v>
      </c>
      <c r="MW106" s="532">
        <f t="shared" si="375"/>
        <v>37.95421879</v>
      </c>
      <c r="MX106" s="314">
        <f t="shared" si="376"/>
        <v>12.85440285</v>
      </c>
      <c r="MY106" s="314">
        <f t="shared" si="377"/>
        <v>10.1429382125709</v>
      </c>
      <c r="MZ106" s="95">
        <f t="shared" si="378"/>
        <v>15.05440285</v>
      </c>
      <c r="NA106" s="95">
        <f t="shared" si="379"/>
        <v>12.3429382125709</v>
      </c>
      <c r="NB106" s="95">
        <f t="shared" si="435"/>
        <v>34.79121879</v>
      </c>
      <c r="NC106" s="314">
        <f t="shared" si="486"/>
        <v>34.79121879</v>
      </c>
      <c r="ND106" s="314">
        <f t="shared" si="436"/>
        <v>34.79121879</v>
      </c>
      <c r="NE106" s="537">
        <f t="shared" si="437"/>
        <v>35.03121879</v>
      </c>
      <c r="NF106" s="532">
        <f t="shared" si="380"/>
        <v>35.19121879</v>
      </c>
      <c r="NG106" s="180">
        <f t="shared" si="381"/>
        <v>36.53121879</v>
      </c>
      <c r="NH106" s="314">
        <f t="shared" si="382"/>
        <v>39.43121879</v>
      </c>
      <c r="NI106" s="532">
        <f t="shared" si="383"/>
        <v>39.59121879</v>
      </c>
      <c r="NK106" s="541">
        <f t="shared" si="384"/>
        <v>3.72434073402189</v>
      </c>
      <c r="NL106" s="541">
        <f t="shared" si="385"/>
        <v>190.979704938354</v>
      </c>
      <c r="NM106" s="541">
        <f t="shared" si="386"/>
        <v>3.72434073402189</v>
      </c>
      <c r="NN106" s="541">
        <f t="shared" si="387"/>
        <v>191.33953085021</v>
      </c>
      <c r="NO106" s="541">
        <f t="shared" si="388"/>
        <v>4.95912091268586</v>
      </c>
      <c r="NP106" s="541">
        <f t="shared" si="389"/>
        <v>193.798828729338</v>
      </c>
      <c r="NQ106" s="541">
        <f t="shared" si="390"/>
        <v>4.95912091268586</v>
      </c>
      <c r="NR106" s="541">
        <f t="shared" si="391"/>
        <v>194.175203256046</v>
      </c>
      <c r="NS106" s="541">
        <f t="shared" si="392"/>
        <v>3.77109863642668</v>
      </c>
      <c r="NT106" s="541">
        <f t="shared" si="393"/>
        <v>3.77109863642668</v>
      </c>
      <c r="NU106" s="541">
        <f t="shared" si="394"/>
        <v>5.00816543114932</v>
      </c>
      <c r="NV106" s="541">
        <f t="shared" si="395"/>
        <v>5.00816543114932</v>
      </c>
      <c r="NW106" s="11">
        <f t="shared" si="396"/>
        <v>4.35031740843874</v>
      </c>
      <c r="NX106" s="11">
        <f>各项系数!$M$9*NK106</f>
        <v>1.11730222020657</v>
      </c>
      <c r="NY106" s="11">
        <f t="shared" si="397"/>
        <v>3.77109863642668</v>
      </c>
    </row>
    <row r="107" s="11" customFormat="1" customHeight="1" spans="1:389">
      <c r="A107" s="81"/>
      <c r="B107" s="82"/>
      <c r="C107" s="83"/>
      <c r="D107" s="74" t="s">
        <v>345</v>
      </c>
      <c r="E107" s="550">
        <f t="shared" si="325"/>
        <v>43.79948941</v>
      </c>
      <c r="F107" s="84">
        <f>$F$27</f>
        <v>244.921136962963</v>
      </c>
      <c r="G107" s="74"/>
      <c r="H107" s="78"/>
      <c r="I107" s="174">
        <f>$F$25</f>
        <v>242.295968589101</v>
      </c>
      <c r="J107" s="78"/>
      <c r="K107" s="78"/>
      <c r="L107" s="128" t="s">
        <v>467</v>
      </c>
      <c r="M107" s="119">
        <f t="shared" si="339"/>
        <v>1.2</v>
      </c>
      <c r="N107" s="119">
        <f t="shared" si="340"/>
        <v>1.1</v>
      </c>
      <c r="O107" s="74">
        <f t="shared" si="493"/>
        <v>0.08</v>
      </c>
      <c r="P107" s="120">
        <v>0.1</v>
      </c>
      <c r="Q107" s="165">
        <f t="shared" si="499"/>
        <v>0.1</v>
      </c>
      <c r="R107" s="182">
        <v>0.8</v>
      </c>
      <c r="S107" s="173" t="str">
        <f>各项系数!$D$43</f>
        <v>钢带</v>
      </c>
      <c r="T107" s="78">
        <v>0.5</v>
      </c>
      <c r="U107" s="78">
        <v>2</v>
      </c>
      <c r="V107" s="172"/>
      <c r="W107" s="174">
        <v>2.4</v>
      </c>
      <c r="X107" s="168">
        <f t="shared" si="500"/>
        <v>0.2</v>
      </c>
      <c r="Y107" s="221"/>
      <c r="Z107" s="222"/>
      <c r="AA107" s="223">
        <f>$AA$27</f>
        <v>1.013</v>
      </c>
      <c r="AB107" s="186">
        <f>PI()*EJ107*EJ107/4*EH107*(1-H107)*AA107*各项系数!$F$5*各项系数!$J$4*10^-7</f>
        <v>1.01318311567178</v>
      </c>
      <c r="AC107" s="224">
        <f t="shared" si="327"/>
        <v>244.921136962963</v>
      </c>
      <c r="AD107" s="186">
        <f t="shared" si="341"/>
        <v>114.541562217361</v>
      </c>
      <c r="AE107" s="186">
        <f>POWER(4*EU107/PI()/EG107/10^-7/EH107/(1-H107)/各项系数!$F$5/各项系数!$J$4,0.5)</f>
        <v>246.50798375415</v>
      </c>
      <c r="AF107" s="225">
        <f>$AA$25</f>
        <v>1.013</v>
      </c>
      <c r="AG107" s="23">
        <f>IF(EM107=0,0,PI()*ER107*ER107/4*EP107*(1-K107)*(1+AF107)*各项系数!$F$5*各项系数!$J$4*10^-7)</f>
        <v>1.14942042482296</v>
      </c>
      <c r="AH107" s="23">
        <f t="shared" si="328"/>
        <v>242.295968589101</v>
      </c>
      <c r="AI107" s="85">
        <f t="shared" si="398"/>
        <v>65.3912649972251</v>
      </c>
      <c r="AJ107" s="85">
        <f>IF(OR(EP107="",EP107=0),0,POWER(4*EW107/PI()/EO107/10^-7/EP107/(1-K107)/各项系数!$F$5/各项系数!$J$4,0.5))</f>
        <v>243.865806884974</v>
      </c>
      <c r="AK107" s="23">
        <f t="shared" si="342"/>
        <v>3.61797105111154</v>
      </c>
      <c r="AL107" s="23">
        <f t="shared" si="329"/>
        <v>253.16879766267</v>
      </c>
      <c r="AM107" s="127">
        <f t="shared" si="330"/>
        <v>120</v>
      </c>
      <c r="AN107" s="128" t="s">
        <v>486</v>
      </c>
      <c r="AO107" s="176">
        <f>AP107+各项系数!$M$9*$NK107</f>
        <v>248.204703590853</v>
      </c>
      <c r="AP107" s="176">
        <f>AQ107*(1+$BI107+(VLOOKUP($AM107,$A$12:$B$323,2,0))+各项系数!$J$6+各项系数!$M$5)*(1+$E$2)</f>
        <v>246.762717934028</v>
      </c>
      <c r="AQ107" s="262">
        <f>AR107+各项系数!$L$9*$NK107</f>
        <v>251.798691769416</v>
      </c>
      <c r="AR107" s="262">
        <f>AS107*(1+$BJ107+各项系数!$J$5+各项系数!$L$5)</f>
        <v>250.356706112591</v>
      </c>
      <c r="AS107" s="262">
        <f t="shared" si="399"/>
        <v>245.447751090775</v>
      </c>
      <c r="AT107" s="176">
        <f>AU107+各项系数!$M$9*$NM107</f>
        <v>251.293778985841</v>
      </c>
      <c r="AU107" s="176">
        <f>AV107*(1+$BI107+(VLOOKUP($AM107,$A$12:$B$323,2,0))+各项系数!$J$6+各项系数!$M$5)*(1+$E$2)</f>
        <v>249.851793329016</v>
      </c>
      <c r="AV107" s="262">
        <f>AW107+各项系数!$L$9*$NM107</f>
        <v>254.950809519404</v>
      </c>
      <c r="AW107" s="262">
        <f>AX107*(1+$BJ107+各项系数!$J$5+各项系数!$L$5)</f>
        <v>253.508823862579</v>
      </c>
      <c r="AX107" s="262">
        <f t="shared" si="400"/>
        <v>248.538062610372</v>
      </c>
      <c r="AY107" s="176">
        <f>AZ107+各项系数!$M$9*$NS107</f>
        <v>251.937950991121</v>
      </c>
      <c r="AZ107" s="176">
        <f>BA107*(1+$BI107+(VLOOKUP($AM107,$A$12:$B$214,2,0))+各项系数!$J$6+各项系数!$M$5)*(1+$E$2)</f>
        <v>250.479589075032</v>
      </c>
      <c r="BA107" s="262">
        <f>BB107+各项系数!$L$9*$NS107</f>
        <v>255.591417423502</v>
      </c>
      <c r="BB107" s="262">
        <f>BC107*(1+$BJ107+各项系数!$J$5+各项系数!$L$5)</f>
        <v>254.133055507413</v>
      </c>
      <c r="BC107" s="262">
        <f t="shared" si="401"/>
        <v>249.150054419032</v>
      </c>
      <c r="BD107" s="176">
        <f>BE107+各项系数!$M$9*$NS107</f>
        <v>255.038964988982</v>
      </c>
      <c r="BE107" s="176">
        <f>BF107*(1+$BI107+(VLOOKUP($AM107,$A$12:$B$214,2,0))+各项系数!$J$6+各项系数!$M$5)*(1+$E$2)</f>
        <v>253.580603072893</v>
      </c>
      <c r="BF107" s="262">
        <f>BG107+各项系数!$L$9*$NS107</f>
        <v>258.75571742132</v>
      </c>
      <c r="BG107" s="262">
        <f>BH107*(1+$BJ107+各项系数!$J$5+各项系数!$L$5)</f>
        <v>257.297355505231</v>
      </c>
      <c r="BH107" s="262">
        <f t="shared" si="402"/>
        <v>252.252309318854</v>
      </c>
      <c r="BI107" s="278"/>
      <c r="BJ107" s="279"/>
      <c r="BK107" s="95" t="s">
        <v>514</v>
      </c>
      <c r="BL107" s="176">
        <f>BM107+各项系数!$M$9*$NM107</f>
        <v>251.070941788566</v>
      </c>
      <c r="BM107" s="176">
        <f>BN107*(1+$CF107+(VLOOKUP($AM107,$A$12:$B$323,2,0))+各项系数!$J$6+各项系数!$M$5)*(1+$E$2)</f>
        <v>249.628956131741</v>
      </c>
      <c r="BN107" s="262">
        <f>BO107+各项系数!$L$9*$NM107</f>
        <v>254.723424624225</v>
      </c>
      <c r="BO107" s="262">
        <f>BP107*(1+$CG107+各项系数!$J$5+各项系数!$L$5)</f>
        <v>253.2814389674</v>
      </c>
      <c r="BP107" s="262">
        <f t="shared" si="403"/>
        <v>245.904309677088</v>
      </c>
      <c r="BQ107" s="176">
        <f>BR107+各项系数!$M$9*$NM107</f>
        <v>253.729451999423</v>
      </c>
      <c r="BR107" s="176">
        <f>BS107*(1+$CF107+(VLOOKUP($AM107,$A$12:$B$323,2,0))+各项系数!$J$6+各项系数!$M$5)*(1+$E$2)</f>
        <v>252.287466342598</v>
      </c>
      <c r="BS107" s="262">
        <f>BT107+各项系数!$L$9*$NM107</f>
        <v>257.436190145508</v>
      </c>
      <c r="BT107" s="262">
        <f>BU107*(1+$CG107+各项系数!$J$5+各项系数!$L$5)</f>
        <v>255.994204488683</v>
      </c>
      <c r="BU107" s="262">
        <f t="shared" si="404"/>
        <v>248.538062610372</v>
      </c>
      <c r="BV107" s="176">
        <f>BW107+各项系数!$M$9*$NT107</f>
        <v>253.42115630446</v>
      </c>
      <c r="BW107" s="176">
        <f>BX107*(1+$CF107+(VLOOKUP($AM107,$A$12:$B$214,2,0))+各项系数!$J$6+各项系数!$M$5)*(1+$E$2)</f>
        <v>251.962794388371</v>
      </c>
      <c r="BX107" s="262">
        <f>BY107+各项系数!$L$9*$NT$12</f>
        <v>257.104892233032</v>
      </c>
      <c r="BY107" s="262">
        <f>BZ107*(1+$CG107+各项系数!$J$5+各项系数!$L$5)</f>
        <v>257.096628829877</v>
      </c>
      <c r="BZ107" s="262">
        <f t="shared" si="343"/>
        <v>249.608377504735</v>
      </c>
      <c r="CA107" s="176">
        <f>CB107+各项系数!$M$9*$NT107</f>
        <v>256.089941077632</v>
      </c>
      <c r="CB107" s="176">
        <f>CC107*(1+$CF107+(VLOOKUP($AM107,$A$12:$B$214,2,0))+各项系数!$J$6+各项系数!$M$5)*(1+$E$2)</f>
        <v>254.631579161543</v>
      </c>
      <c r="CC107" s="262">
        <f>CD107+各项系数!$L$9*$NT$12</f>
        <v>259.828142001574</v>
      </c>
      <c r="CD107" s="262">
        <f>CE107*(1+$CG107+各项系数!$J$5+各项系数!$L$5)</f>
        <v>259.819878598419</v>
      </c>
      <c r="CE107" s="262">
        <f t="shared" si="405"/>
        <v>252.252309318854</v>
      </c>
      <c r="CF107" s="278">
        <f t="shared" si="406"/>
        <v>0</v>
      </c>
      <c r="CG107" s="278">
        <f t="shared" si="344"/>
        <v>0.01</v>
      </c>
      <c r="CH107" s="127"/>
      <c r="CI107" s="176">
        <f>CJ107+各项系数!$M$9*$NO107</f>
        <v>254.094922976724</v>
      </c>
      <c r="CJ107" s="176">
        <f>CK107*(1+$DC107+(VLOOKUP($AM107,$A$12:$B$323,2,0))+各项系数!$J$6+各项系数!$M$5)*(1+$E$2)+各项系数!$M$9*$NK107</f>
        <v>252.163625037572</v>
      </c>
      <c r="CK107" s="262">
        <f>CL107+各项系数!$L$9*$NO107</f>
        <v>255.838407531374</v>
      </c>
      <c r="CL107" s="262">
        <f>CM107*(1+$DD107+各项系数!$J$5+各项系数!$L$5)</f>
        <v>253.907109592222</v>
      </c>
      <c r="CM107" s="262">
        <f t="shared" si="345"/>
        <v>248.928538815904</v>
      </c>
      <c r="CN107" s="176">
        <f>CO107+各项系数!$M$9*$NO107</f>
        <v>257.003540240012</v>
      </c>
      <c r="CO107" s="176">
        <f>CP107*(1+$DC107+(VLOOKUP($AM107,$A$12:$B$323,2,0))+各项系数!$J$6+各项系数!$M$5)*(1+$E$2)+各项系数!$M$9*$NK107</f>
        <v>255.072242300859</v>
      </c>
      <c r="CP107" s="262">
        <f>CQ107+各项系数!$L$9*$NO107</f>
        <v>258.806384330647</v>
      </c>
      <c r="CQ107" s="262">
        <f>CR107*(1+$DD107+各项系数!$J$5+各项系数!$L$5)</f>
        <v>256.875086391495</v>
      </c>
      <c r="CR107" s="262">
        <f t="shared" si="346"/>
        <v>251.838319991661</v>
      </c>
      <c r="CS107" s="176">
        <f>CT107+各项系数!$M$9*$NU107</f>
        <v>256.541827815433</v>
      </c>
      <c r="CT107" s="176">
        <f t="shared" si="347"/>
        <v>254.593467632199</v>
      </c>
      <c r="CU107" s="262">
        <f>CV107+各项系数!$L$9*$NU107</f>
        <v>259.789252685917</v>
      </c>
      <c r="CV107" s="262">
        <f>CW107*(1+$DD107+各项系数!$J$5+各项系数!$L$5)</f>
        <v>257.840892502683</v>
      </c>
      <c r="CW107" s="262">
        <f t="shared" si="348"/>
        <v>252.785188728121</v>
      </c>
      <c r="CX107" s="176">
        <f>CY107+各项系数!$M$9*$NU107</f>
        <v>259.764988643935</v>
      </c>
      <c r="CY107" s="176">
        <f t="shared" si="349"/>
        <v>257.816628460701</v>
      </c>
      <c r="CZ107" s="262">
        <f>DA107+各项系数!$L$9*$NU107</f>
        <v>263.078192306838</v>
      </c>
      <c r="DA107" s="262">
        <f>DB107*(1+$DD107+各项系数!$J$5+各项系数!$L$5)</f>
        <v>261.129832123604</v>
      </c>
      <c r="DB107" s="262">
        <f t="shared" si="350"/>
        <v>256.009639336867</v>
      </c>
      <c r="DC107" s="278">
        <f t="shared" si="498"/>
        <v>0</v>
      </c>
      <c r="DD107" s="278">
        <f t="shared" si="351"/>
        <v>0</v>
      </c>
      <c r="DE107" s="95" t="s">
        <v>498</v>
      </c>
      <c r="DF107" s="95" t="s">
        <v>513</v>
      </c>
      <c r="DG107" s="176">
        <f>DH107+各项系数!$M$9*$NQ107</f>
        <v>257.013495627051</v>
      </c>
      <c r="DH107" s="176">
        <f>DI107*(1+$EA107+(VLOOKUP($AM107,$A$12:$B$323,2,0))+各项系数!$J$6+各项系数!$M$5)*(1+$E$2)+各项系数!$M$9*$NK107</f>
        <v>255.082197687898</v>
      </c>
      <c r="DI107" s="262">
        <f>DJ107+各项系数!$L$9*$NQ107</f>
        <v>258.81654288885</v>
      </c>
      <c r="DJ107" s="262">
        <f>DK107*(1+$EB107+各项系数!$J$5+各项系数!$L$5)</f>
        <v>256.885244949698</v>
      </c>
      <c r="DK107" s="262">
        <f t="shared" si="352"/>
        <v>249.4031504366</v>
      </c>
      <c r="DL107" s="176">
        <f>DM107+各项系数!$M$9*$NQ107</f>
        <v>259.77712745359</v>
      </c>
      <c r="DM107" s="176">
        <f>DN107*(1+$EA107+(VLOOKUP($AM107,$A$12:$B$323,2,0))+各项系数!$J$6+各项系数!$M$5)*(1+$E$2)+各项系数!$M$9*$NK107</f>
        <v>257.845829514437</v>
      </c>
      <c r="DN107" s="262">
        <f>DO107+各项系数!$L$9*$NQ107</f>
        <v>261.63657536491</v>
      </c>
      <c r="DO107" s="262">
        <f>DP107*(1+$EB107+各项系数!$J$5+各项系数!$L$5)</f>
        <v>259.705277425758</v>
      </c>
      <c r="DP107" s="262">
        <f t="shared" si="353"/>
        <v>252.141046044425</v>
      </c>
      <c r="DQ107" s="176">
        <f>DR107+各项系数!$M$9*$NV107</f>
        <v>259.499976720583</v>
      </c>
      <c r="DR107" s="176">
        <f t="shared" si="354"/>
        <v>257.551616537349</v>
      </c>
      <c r="DS107" s="262">
        <f>DT107+各项系数!$L$9*$NV107</f>
        <v>262.807771976887</v>
      </c>
      <c r="DT107" s="262">
        <f>DU107*(1+$EB107+各项系数!$J$5+各项系数!$L$5)</f>
        <v>260.859411793653</v>
      </c>
      <c r="DU107" s="262">
        <f t="shared" si="355"/>
        <v>253.261564848207</v>
      </c>
      <c r="DV107" s="176">
        <f>DW107+各项系数!$M$9*$NV107</f>
        <v>259.470840304421</v>
      </c>
      <c r="DW107" s="176">
        <f t="shared" si="356"/>
        <v>257.522480121188</v>
      </c>
      <c r="DX107" s="262">
        <f>DY107+各项系数!$L$9*$NV107</f>
        <v>262.778040939987</v>
      </c>
      <c r="DY107" s="262">
        <f>DZ107*(1+$EB107+各项系数!$J$5+各项系数!$L$5)</f>
        <v>260.829680756753</v>
      </c>
      <c r="DZ107" s="262">
        <f t="shared" si="357"/>
        <v>253.232699763838</v>
      </c>
      <c r="EA107" s="278">
        <f t="shared" si="492"/>
        <v>0</v>
      </c>
      <c r="EB107" s="278">
        <f t="shared" si="358"/>
        <v>0.01</v>
      </c>
      <c r="EC107" s="302" t="str">
        <f t="shared" si="408"/>
        <v>3+1</v>
      </c>
      <c r="ED107" s="304" t="str">
        <f t="shared" si="494"/>
        <v>3*120</v>
      </c>
      <c r="EE107" s="95">
        <f t="shared" si="495"/>
        <v>120</v>
      </c>
      <c r="EF107" s="95" t="str">
        <f>LOOKUP(EH107,{1,7,10,14,19,24,30,37,48,61},{1,"1+6","2+8","4+10","1+6+12","2+8+14","4+10+16","1+6+12+18","3+9+15+21","1+6+12+18+24"})</f>
        <v>2+8+14</v>
      </c>
      <c r="EG107" s="127">
        <f t="shared" si="359"/>
        <v>3</v>
      </c>
      <c r="EH107" s="262">
        <f>VLOOKUP(EE107,各项系数!$B$87:$C$124,2,0)</f>
        <v>24</v>
      </c>
      <c r="EI107" s="127">
        <f>IF(EH107=0,0,VLOOKUP(EH107,各项系数!$D$142:$E$195,2,0))*1</f>
        <v>6</v>
      </c>
      <c r="EJ107" s="307">
        <f t="shared" si="409"/>
        <v>244.921136962963</v>
      </c>
      <c r="EK107" s="95" t="str">
        <f t="shared" si="332"/>
        <v>1*70</v>
      </c>
      <c r="EL107" s="95" t="str">
        <f t="shared" si="360"/>
        <v>70</v>
      </c>
      <c r="EM107" s="95">
        <f t="shared" si="496"/>
        <v>70</v>
      </c>
      <c r="EN107" s="95" t="str">
        <f>IF(EP107=0,0,LOOKUP(EP107,{1,7,10,14,19,24,30,37,48,61},{1,"1+6","2+8","4+10","1+6+12","2+8+14","4+10+16","1+6+12+18","3+9+15+21","1+6+12+18+24"}))</f>
        <v>4+10</v>
      </c>
      <c r="EO107" s="95" t="str">
        <f t="shared" si="334"/>
        <v>1</v>
      </c>
      <c r="EP107" s="95">
        <f>IF(EM107=0,0,IF(EM107&lt;10,1,IF(AND(EM107&gt;=10,EM107&lt;=35),7,LOOKUP(EM107,{50,70,95,120,150,185,240,300},{10,14,19,24,30,37,48,61})*1)))</f>
        <v>14</v>
      </c>
      <c r="EQ107" s="95">
        <f>IF(EP107=0,0,VLOOKUP(EP107,各项系数!$D$142:$E$195,2,0))*1</f>
        <v>4.41</v>
      </c>
      <c r="ER107" s="95">
        <f t="shared" si="335"/>
        <v>242.295968589101</v>
      </c>
      <c r="ES107" s="304">
        <f t="shared" si="497"/>
        <v>4</v>
      </c>
      <c r="ET107" s="95">
        <f>VLOOKUP(ES107,各项系数!$D$142:$E$195,2,0)*1</f>
        <v>2.42</v>
      </c>
      <c r="EU107" s="311">
        <f>((各项系数!$F$76/4*$EJ107^2*$EG107*$EH107*1*10^-7)*(1-$H107)*AA107)*(VLOOKUP($EY$9,各项系数!$D$4:$F$143,3,0))*各项系数!$J$4</f>
        <v>3.03954934701534</v>
      </c>
      <c r="EV107" s="312">
        <f>EU107*(VLOOKUP($EY$9,各项系数!$D$4:$F$143,2,0))</f>
        <v>199.090482229505</v>
      </c>
      <c r="EW107" s="324">
        <f>(IF($EO107=0,0,(各项系数!$F$76/4*$ER107^2*$EO107*$EP107*1*10^-7))*(1-$K107)*$AF107)*(VLOOKUP($EY$9,各项系数!$D$4:$F$143,3,0))*各项系数!$J$4</f>
        <v>0.578421704096204</v>
      </c>
      <c r="EX107" s="325">
        <f>EW107*(VLOOKUP($EY$9,各项系数!$D$4:$F$143,2,0))</f>
        <v>37.8866216183014</v>
      </c>
      <c r="EY107" s="251">
        <f>((各项系数!$F$76/4*$EJ107^2*$EG107*$EH107*1*10^-7)*(1-$H107)*AA107+IF($EO107=0,0,(各项系数!$F$76/4*$ER107^2*$EO107*$EP107*1*10^-7))*(1-$K107)*$AF107)*(VLOOKUP($EY$9,各项系数!$D$4:$F$143,3,0))*各项系数!$J$4</f>
        <v>3.61797105111154</v>
      </c>
      <c r="EZ107" s="127">
        <v>1</v>
      </c>
      <c r="FA107" s="95">
        <f t="shared" si="445"/>
        <v>3.61797105111154</v>
      </c>
      <c r="FB107" s="314">
        <f>FA107*(VLOOKUP($EY$9,各项系数!$D$4:$F$143,2,0))</f>
        <v>236.977103847806</v>
      </c>
      <c r="FC107" s="329"/>
      <c r="FD107" s="304">
        <f>各项系数!$F$76/4*($MN107^2-MK107^2)*10^-2*(VLOOKUP(L107,各项系数!$D$1:$F$143,3,0))*10^-3*10^2*$EG107*各项系数!$J$4</f>
        <v>0.196759631286731</v>
      </c>
      <c r="FE107" s="341">
        <f>FD107*VLOOKUP(L107,各项系数!$D$1:$F$143,2,0)</f>
        <v>2.00694823912466</v>
      </c>
      <c r="FF107" s="127">
        <f>各项系数!$F$76/4*($MO107^2-ML107^2)*10^-2*(VLOOKUP(L107,各项系数!$D$1:$F$143,3,0))*10^-3*10^2*$EO107*各项系数!$J$4</f>
        <v>0.0445756007532287</v>
      </c>
      <c r="FG107" s="341">
        <f>FF107*VLOOKUP(L107,各项系数!$D$1:$F$143,2,0)</f>
        <v>0.454671127682933</v>
      </c>
      <c r="FH107" s="304">
        <f t="shared" si="410"/>
        <v>0.24133523203996</v>
      </c>
      <c r="FI107" s="127">
        <v>1</v>
      </c>
      <c r="FJ107" s="95">
        <f t="shared" si="446"/>
        <v>0.24133523203996</v>
      </c>
      <c r="FK107" s="341">
        <f>FJ107*VLOOKUP(L107,各项系数!$D$1:$F$143,2,0)</f>
        <v>2.46161936680759</v>
      </c>
      <c r="FL107" s="304"/>
      <c r="FM107" s="127"/>
      <c r="FN107" s="95"/>
      <c r="FO107" s="341"/>
      <c r="FP107" s="371">
        <f t="shared" si="447"/>
        <v>0.24133523203996</v>
      </c>
      <c r="FQ107" s="371">
        <f t="shared" si="448"/>
        <v>2.46161936680759</v>
      </c>
      <c r="FR107" s="365">
        <f>各项系数!$F$76/4*($MQ107^2-$MN107^2*$EG107-$MO107^2*$EO107)*10^-2</f>
        <v>3.64808822279644</v>
      </c>
      <c r="FS107" s="366">
        <f t="shared" si="411"/>
        <v>1</v>
      </c>
      <c r="FT107" s="367">
        <f t="shared" si="361"/>
        <v>3.64808822279644</v>
      </c>
      <c r="FU107" s="395">
        <f>$FT107*(VLOOKUP($FT$9,各项系数!$D$1:$F$143,3,0))*10^-3*10^2*各项系数!$J$55</f>
        <v>0.435581733801895</v>
      </c>
      <c r="FV107" s="396">
        <v>1</v>
      </c>
      <c r="FW107" s="397">
        <f t="shared" si="449"/>
        <v>0.435581733801895</v>
      </c>
      <c r="FX107" s="372">
        <f>FW107*(VLOOKUP($FT$9,各项系数!$D$1:$F$143,2,0))</f>
        <v>1.30674520140568</v>
      </c>
      <c r="FY107" s="395">
        <f>IF($BK107&lt;&gt;$FY$9,0,各项系数!$F$76/4*($MS107^2-$MQ107^2)*10^-2*(VLOOKUP($FY$9,各项系数!$D$1:$F$143,3,0))*10^-3*10^2)*各项系数!$J$4</f>
        <v>0</v>
      </c>
      <c r="FZ107" s="396">
        <v>1</v>
      </c>
      <c r="GA107" s="397">
        <f t="shared" si="450"/>
        <v>0</v>
      </c>
      <c r="GB107" s="372">
        <f>GA107*(VLOOKUP($FY$9,各项系数!$D$1:$F$143,2,0))</f>
        <v>0</v>
      </c>
      <c r="GC107" s="395">
        <f>IF($BK107&lt;&gt;$GC$9,0,各项系数!$F$76/4*($MS107^2-$MQ107^2)*10^-2*(VLOOKUP($GC$9,各项系数!$D$1:$F$143,3,0))*10^-3*10^2)*各项系数!$J$4</f>
        <v>0.0105966520646007</v>
      </c>
      <c r="GD107" s="396">
        <v>1</v>
      </c>
      <c r="GE107" s="397">
        <f t="shared" si="451"/>
        <v>0.0105966520646007</v>
      </c>
      <c r="GF107" s="372">
        <f>GE107*(VLOOKUP($GC$9,各项系数!$D$1:$F$143,2,0))</f>
        <v>0.136696811633349</v>
      </c>
      <c r="GG107" s="395">
        <f>IF($BK107&lt;&gt;$GG$9,0,各项系数!$F$76/4*($MS107^2-$MQ107^2)*10^-2*(VLOOKUP($GG$9,各项系数!$D$1:$F$143,3,0))*10^-3*10^2)*各项系数!$J$4</f>
        <v>0</v>
      </c>
      <c r="GH107" s="396">
        <v>1</v>
      </c>
      <c r="GI107" s="397">
        <f t="shared" si="452"/>
        <v>0</v>
      </c>
      <c r="GJ107" s="372">
        <f>GI107*(VLOOKUP($GG$9,各项系数!$D$1:$F$143,2,0))</f>
        <v>0</v>
      </c>
      <c r="GK107" s="395">
        <f>IF($BK107&lt;&gt;$GK$9,0,各项系数!$F$76/4*($MS107^2-$MQ107^2)*10^-2*(VLOOKUP($GK$9,各项系数!$D$1:$F$143,3,0))*10^-3*10^2)*各项系数!$J$4</f>
        <v>0</v>
      </c>
      <c r="GL107" s="396">
        <v>1</v>
      </c>
      <c r="GM107" s="397">
        <f t="shared" si="453"/>
        <v>0</v>
      </c>
      <c r="GN107" s="372">
        <f>GM107*(VLOOKUP($GK$9,各项系数!$D$1:$F$143,2,0))</f>
        <v>0</v>
      </c>
      <c r="GO107" s="397">
        <f t="shared" si="454"/>
        <v>0.0105966520646007</v>
      </c>
      <c r="GP107" s="397">
        <f t="shared" si="455"/>
        <v>0.136696811633349</v>
      </c>
      <c r="GQ107" s="408">
        <f>各项系数!$F$76/4*($MU107^2-$MS107^2)*10^-2*(VLOOKUP($S107,各项系数!$D$1:$F$143,3,0))*10^-3*10^2*各项系数!$J$4</f>
        <v>0.728739859115674</v>
      </c>
      <c r="GR107" s="396">
        <v>1</v>
      </c>
      <c r="GS107" s="397">
        <f t="shared" si="456"/>
        <v>0.728739859115674</v>
      </c>
      <c r="GT107" s="397">
        <f t="shared" si="457"/>
        <v>0</v>
      </c>
      <c r="GU107" s="397">
        <f>ROUND($GS107*(VLOOKUP($S107,各项系数!$D$1:$F$143,2,0))+$E$3*GS107,GT107)</f>
        <v>4</v>
      </c>
      <c r="GV107" s="406">
        <f>各项系数!$F$76/4*($MT107^2-$MS107^2)*10^-2*(VLOOKUP($GV$9,各项系数!$D$1:$F$143,3,0))*10^-3*10^2*各项系数!$J$4*PI()/4*R107</f>
        <v>0.0545875308793644</v>
      </c>
      <c r="GW107" s="396">
        <v>1</v>
      </c>
      <c r="GX107" s="397">
        <f t="shared" si="458"/>
        <v>0.0545875308793644</v>
      </c>
      <c r="GY107" s="397">
        <f>$GX107*(VLOOKUP($GV$9,各项系数!$D$1:$F$143,2,0))</f>
        <v>3.6846583343571</v>
      </c>
      <c r="GZ107" s="408">
        <f>各项系数!$F$76/4*($MV107^2-$MS107^2)*10^-2*(VLOOKUP($GZ$9,各项系数!$D$1:$F$143,3,0))*10^-3*10^2*各项系数!$J$4</f>
        <v>0.450346904865833</v>
      </c>
      <c r="HA107" s="396">
        <v>1</v>
      </c>
      <c r="HB107" s="397">
        <f t="shared" si="412"/>
        <v>0.450346904865833</v>
      </c>
      <c r="HC107" s="397">
        <f>HB107*(VLOOKUP($GZ$9,各项系数!$D$1:$F$143,2,0))</f>
        <v>7.65589738271916</v>
      </c>
      <c r="HD107" s="408">
        <f>各项系数!$F$76/4*($MW107^2-$MT107^2)*10^-2*(VLOOKUP($HD$9,各项系数!$D$1:$F$143,3,0))*10^-3*10^2*各项系数!$J$4</f>
        <v>0.452087397461405</v>
      </c>
      <c r="HE107" s="396">
        <v>1</v>
      </c>
      <c r="HF107" s="397">
        <f t="shared" si="413"/>
        <v>0.452087397461405</v>
      </c>
      <c r="HG107" s="397">
        <f>HF107*(VLOOKUP($HD$9,各项系数!$D$1:$F$143,2,0))</f>
        <v>7.68548575684388</v>
      </c>
      <c r="HH107" s="408">
        <f>各项系数!$F$76/4*($MV107^2-$MS107^2)*10^-2*(VLOOKUP($HH$9,各项系数!$D$1:$F$143,3,0))*10^-3*10^2*各项系数!$J$4</f>
        <v>0.450346904865833</v>
      </c>
      <c r="HI107" s="397">
        <v>1</v>
      </c>
      <c r="HJ107" s="397">
        <f t="shared" si="414"/>
        <v>0.450346904865833</v>
      </c>
      <c r="HK107" s="397">
        <f>HJ107*(VLOOKUP($HH$9,各项系数!$D$1:$F$143,2,0))</f>
        <v>7.65589738271916</v>
      </c>
      <c r="HL107" s="408">
        <f>各项系数!$F$76/4*($MW107^2-$MT107^2)*10^-2*(VLOOKUP($HL$9,各项系数!$D$1:$F$143,3,0))*10^-3*10^2*各项系数!$J$4</f>
        <v>0.452087397461405</v>
      </c>
      <c r="HM107" s="397">
        <v>1</v>
      </c>
      <c r="HN107" s="397">
        <f t="shared" si="362"/>
        <v>0.452087397461405</v>
      </c>
      <c r="HO107" s="397">
        <f>HN107*(VLOOKUP($HL$9,各项系数!$D$1:$F$143,2,0))</f>
        <v>7.68548575684388</v>
      </c>
      <c r="HP107" s="408">
        <f>各项系数!$F$76/4*($MV107^2-$MS107^2)*10^-2*(VLOOKUP(AN107,各项系数!$D$1:$F$143,3,0))*10^-3*10^2*各项系数!$J$4</f>
        <v>0.456558586312259</v>
      </c>
      <c r="HQ107" s="396">
        <v>1</v>
      </c>
      <c r="HR107" s="397">
        <f t="shared" si="459"/>
        <v>0.456558586312259</v>
      </c>
      <c r="HS107" s="397">
        <f>HR107*(VLOOKUP(AN107,各项系数!$D$1:$F$143,2,0))</f>
        <v>4.56558586312259</v>
      </c>
      <c r="HT107" s="408">
        <f>各项系数!$F$76/4*($MW107^2-$MT107^2)*10^-2*(VLOOKUP(AN107,各项系数!$D$1:$F$143,3,0))*10^-3*10^2*各项系数!$J$4</f>
        <v>0.458323085702251</v>
      </c>
      <c r="HU107" s="396">
        <v>1</v>
      </c>
      <c r="HV107" s="397">
        <f t="shared" si="460"/>
        <v>0.458323085702251</v>
      </c>
      <c r="HW107" s="397">
        <f>HV107*(VLOOKUP(AN107,各项系数!$D$1:$F$143,2,0))</f>
        <v>4.58323085702251</v>
      </c>
      <c r="HX107" s="408">
        <f>各项系数!$F$76/4*($MV107^2-$MS107^2)*10^-2*(VLOOKUP($HX$9,各项系数!$D$1:$F$143,3,0))*10^-3*10^2*各项系数!$J$4</f>
        <v>0.456558586312259</v>
      </c>
      <c r="HY107" s="397">
        <v>1</v>
      </c>
      <c r="HZ107" s="397">
        <f t="shared" si="461"/>
        <v>0.456558586312259</v>
      </c>
      <c r="IA107" s="397">
        <f>HZ107*(VLOOKUP($HX$9,各项系数!$D$1:$F$143,2,0))</f>
        <v>5.02214444943484</v>
      </c>
      <c r="IB107" s="408">
        <f>各项系数!$F$76/4*($MW107^2-$MT107^2)*10^-2*(VLOOKUP($IB$9,各项系数!$D$1:$F$143,3,0))*10^-3*10^2*各项系数!$J$4</f>
        <v>0.458323085702251</v>
      </c>
      <c r="IC107" s="397">
        <v>1</v>
      </c>
      <c r="ID107" s="397">
        <f t="shared" si="462"/>
        <v>0.458323085702251</v>
      </c>
      <c r="IE107" s="397">
        <f>ID107*(VLOOKUP($IB$9,各项系数!$D$1:$F$143,2,0))</f>
        <v>5.04155394272477</v>
      </c>
      <c r="IF107" s="395"/>
      <c r="IG107" s="408">
        <f t="shared" si="415"/>
        <v>0.0787315814033736</v>
      </c>
      <c r="IH107" s="396">
        <v>1</v>
      </c>
      <c r="II107" s="397">
        <f t="shared" si="463"/>
        <v>0.0787315814033736</v>
      </c>
      <c r="IJ107" s="397">
        <f>II107*(VLOOKUP($IG$8,各项系数!$D$1:$F$143,2,0))</f>
        <v>1.96828953508434</v>
      </c>
      <c r="IK107" s="408">
        <f>(各项系数!$F$76/4*($MX107^2-$MK107^2)*$EG107)*10^-2*(VLOOKUP($IG$8,各项系数!$D$1:$F$143,3,0))*10^-3*10^2*各项系数!$J$4</f>
        <v>0.0632791971308263</v>
      </c>
      <c r="IL107" s="396">
        <f>IK107*(VLOOKUP($IG$8,各项系数!$D$1:$F$143,2,0))</f>
        <v>1.58197992827066</v>
      </c>
      <c r="IM107" s="397">
        <f>(各项系数!$F$76/4*(($MM107+3*$X107)^2-MM107^2)*$EO107)*10^-2*(VLOOKUP($IG$8,各项系数!$D$1:$F$143,3,0))*10^-3*10^2*各项系数!$J$4</f>
        <v>0.0154523842725473</v>
      </c>
      <c r="IN107" s="396">
        <f>IM107*(VLOOKUP($IG$8,各项系数!$D$1:$F$143,2,0))</f>
        <v>0.386309606813683</v>
      </c>
      <c r="IO107" s="408">
        <f>各项系数!$F$76/4*($MZ107^2-$MX107^2)*10^-2*(VLOOKUP(L107,各项系数!$D$1:$F$143,3,0))*10^-3*10^2*$ES107*各项系数!$J$4</f>
        <v>0.272248977747914</v>
      </c>
      <c r="IP107" s="396">
        <v>1</v>
      </c>
      <c r="IQ107" s="397">
        <f t="shared" si="464"/>
        <v>0.272248977747914</v>
      </c>
      <c r="IR107" s="372">
        <f>IQ107*(VLOOKUP(L107,各项系数!$D$1:$F$143,2,0))</f>
        <v>2.77693957302872</v>
      </c>
      <c r="IS107" s="408">
        <f>IF($L107&lt;&gt;$IS$9,0,各项系数!$F$76/4*($MZ107^2-$MX107^2)*10^-2*各项系数!$F$12*10^-3*10^2)*$ES107*各项系数!$J$4</f>
        <v>0</v>
      </c>
      <c r="IT107" s="396">
        <v>1</v>
      </c>
      <c r="IU107" s="397">
        <f t="shared" si="465"/>
        <v>0</v>
      </c>
      <c r="IV107" s="372">
        <f>IU107*各项系数!$E$12</f>
        <v>0</v>
      </c>
      <c r="IW107" s="395">
        <f t="shared" si="466"/>
        <v>0.272248977747914</v>
      </c>
      <c r="IX107" s="395">
        <f t="shared" si="467"/>
        <v>2.77693957302872</v>
      </c>
      <c r="IY107" s="447">
        <f>各项系数!$F$76/4*($NB107^2-$MZ107^2*$EG107-$NA107^2*$EO107)*10^-2</f>
        <v>3.96800962106766</v>
      </c>
      <c r="IZ107" s="366">
        <f t="shared" si="487"/>
        <v>1</v>
      </c>
      <c r="JA107" s="367">
        <f t="shared" si="363"/>
        <v>3.96800962106766</v>
      </c>
      <c r="JB107" s="371">
        <f>IF($DE107&lt;&gt;$JB$9,0,$JA107*各项系数!$F$32*10^-3*10^2)*各项系数!$J$4</f>
        <v>0</v>
      </c>
      <c r="JC107" s="127">
        <v>1</v>
      </c>
      <c r="JD107" s="95">
        <f t="shared" si="468"/>
        <v>0</v>
      </c>
      <c r="JE107" s="341">
        <f>JD107*各项系数!$E$32</f>
        <v>0</v>
      </c>
      <c r="JF107" s="364">
        <f>IF($DE107&lt;&gt;$JF$9,0,$JA107*VLOOKUP($JF$9,各项系数!$D$4:$F$540,2,0)*10^-3*10^2)*各项系数!$J$4</f>
        <v>1.97408478648116</v>
      </c>
      <c r="JG107" s="123">
        <v>1</v>
      </c>
      <c r="JH107" s="251">
        <f t="shared" si="364"/>
        <v>1.97408478648116</v>
      </c>
      <c r="JI107" s="339">
        <f>JH107*VLOOKUP($JF$9,各项系数!$D$4:$F$540,3,0)</f>
        <v>2.36890174377739</v>
      </c>
      <c r="JJ107" s="371">
        <f t="shared" si="469"/>
        <v>1.97408478648116</v>
      </c>
      <c r="JK107" s="95">
        <f t="shared" si="470"/>
        <v>2.36890174377739</v>
      </c>
      <c r="JL107" s="371">
        <f>IF($DF107&lt;&gt;$JL$9,0,各项系数!$F$76/4*($NE107^2-$NC107^2)*10^-2*各项系数!$F$39*10^-3*10^2)*各项系数!$J$4</f>
        <v>0.00455939546228303</v>
      </c>
      <c r="JM107" s="127">
        <v>1</v>
      </c>
      <c r="JN107" s="95">
        <f t="shared" si="471"/>
        <v>0.00455939546228303</v>
      </c>
      <c r="JO107" s="341">
        <f>JN107*各项系数!$E$39</f>
        <v>0.0911879092456607</v>
      </c>
      <c r="JP107" s="371">
        <f>IF($DF107&lt;&gt;$JP$9,0,各项系数!$F$76/4*($NE107^2-$NC107^2)*10^-2*各项系数!$F$36*10^-3*10^2)*各项系数!$J$4</f>
        <v>0</v>
      </c>
      <c r="JQ107" s="127">
        <v>1</v>
      </c>
      <c r="JR107" s="95">
        <f t="shared" si="472"/>
        <v>0</v>
      </c>
      <c r="JS107" s="341">
        <f>JR107*各项系数!$E$36</f>
        <v>0</v>
      </c>
      <c r="JT107" s="371">
        <f>IF($DF107&lt;&gt;$JT$9,0,各项系数!$F$76/4*($NE107^2-$NC107^2)*10^-2*各项系数!$F$40*10^-3*10^2)*各项系数!$J$4</f>
        <v>0</v>
      </c>
      <c r="JU107" s="127">
        <v>1</v>
      </c>
      <c r="JV107" s="95">
        <f t="shared" si="473"/>
        <v>0</v>
      </c>
      <c r="JW107" s="341">
        <f>JV107*各项系数!$E$40</f>
        <v>0</v>
      </c>
      <c r="JX107" s="371">
        <f>IF($DF107&lt;&gt;$JX$9,0,各项系数!$F$76/4*($NE107^2-$NC107^2)*10^-2*各项系数!$F$38*10^-3*10^2)*各项系数!$J$4</f>
        <v>0</v>
      </c>
      <c r="JY107" s="127">
        <v>1</v>
      </c>
      <c r="JZ107" s="95">
        <f t="shared" si="474"/>
        <v>0</v>
      </c>
      <c r="KA107" s="341">
        <f>JZ107*各项系数!$E$38</f>
        <v>0</v>
      </c>
      <c r="KB107" s="371">
        <f>IF($DF107&lt;&gt;$KB$9,0,各项系数!$F$76/4*($NE107^2-$NC107^2)*10^-2*各项系数!$F$41*10^-3*10^2)*各项系数!$J$4</f>
        <v>0</v>
      </c>
      <c r="KC107" s="127">
        <v>1</v>
      </c>
      <c r="KD107" s="95">
        <f t="shared" si="475"/>
        <v>0</v>
      </c>
      <c r="KE107" s="341">
        <f>KD107*各项系数!$E$41</f>
        <v>0</v>
      </c>
      <c r="KF107" s="95">
        <f t="shared" si="476"/>
        <v>0.00455939546228303</v>
      </c>
      <c r="KG107" s="95">
        <f t="shared" si="477"/>
        <v>0.0911879092456607</v>
      </c>
      <c r="KH107" s="304">
        <f>各项系数!$F$76/4*($NG107^2-$NE107^2)*10^-2*各项系数!$F$44*10^-3*10^2*各项系数!$J$4*0.75*$U107</f>
        <v>1.13812724048532</v>
      </c>
      <c r="KI107" s="127">
        <v>1</v>
      </c>
      <c r="KJ107" s="95">
        <f t="shared" si="478"/>
        <v>1.13812724048532</v>
      </c>
      <c r="KK107" s="95">
        <f>ROUND(KJ107*各项系数!$E$43,GT107)</f>
        <v>7</v>
      </c>
      <c r="KL107" s="302">
        <f>各项系数!$F$76/4*($NF107^2-$NE107^2)*10^-2*各项系数!$F$46*10^-3*10^2*各项系数!$J$4*PI()/4*R107</f>
        <v>0.0568741469380345</v>
      </c>
      <c r="KM107" s="127">
        <v>1</v>
      </c>
      <c r="KN107" s="95">
        <f t="shared" si="479"/>
        <v>0.0568741469380345</v>
      </c>
      <c r="KO107" s="95">
        <f>KN107*各项系数!$E$46</f>
        <v>3.83900491831733</v>
      </c>
      <c r="KP107" s="304">
        <f>各项系数!$F$76/4*($NH107^2-$NE107^2)*10^-2*(VLOOKUP($KP$9,各项系数!$D$1:$F$143,3,0))*10^-3*10^2*各项系数!$J$4</f>
        <v>0.468154319734271</v>
      </c>
      <c r="KQ107" s="127">
        <v>1</v>
      </c>
      <c r="KR107" s="95">
        <f t="shared" si="416"/>
        <v>0.468154319734271</v>
      </c>
      <c r="KS107" s="95">
        <f>KR107*(VLOOKUP($KP$9,各项系数!$D$1:$F$143,2,0))</f>
        <v>7.95862343548261</v>
      </c>
      <c r="KT107" s="304">
        <f>各项系数!$F$76/4*($NI107^2-$NF107^2)*10^-2*(VLOOKUP($KT$9,各项系数!$D$1:$F$143,3,0))*10^-3*10^2*各项系数!$J$4</f>
        <v>0.469894812329842</v>
      </c>
      <c r="KU107" s="127">
        <v>1</v>
      </c>
      <c r="KV107" s="95">
        <f t="shared" si="417"/>
        <v>0.469894812329842</v>
      </c>
      <c r="KW107" s="95">
        <f>KV107*(VLOOKUP($KT$9,各项系数!$D$1:$F$143,2,0))</f>
        <v>7.98821180960732</v>
      </c>
      <c r="KX107" s="95">
        <f>各项系数!$F$76/4*($NH107^2-$NE107^2)*10^-2*(VLOOKUP($KX$9,各项系数!$D$1:$F$143,3,0))*10^-3*10^2*各项系数!$J$4</f>
        <v>0.468154319734271</v>
      </c>
      <c r="KY107" s="481">
        <v>1</v>
      </c>
      <c r="KZ107" s="95">
        <f t="shared" si="418"/>
        <v>0.468154319734271</v>
      </c>
      <c r="LA107" s="95">
        <f>KZ107*(VLOOKUP($KX$9,各项系数!$D$1:$F$143,2,0))</f>
        <v>7.95862343548261</v>
      </c>
      <c r="LB107" s="95">
        <f>各项系数!$F$76/4*($NI107^2-$NF107^2)*10^-2*(VLOOKUP($LB$9,各项系数!$D$1:$F$143,3,0))*10^-3*10^2*各项系数!$J$4</f>
        <v>0.469894812329842</v>
      </c>
      <c r="LC107" s="481">
        <v>1</v>
      </c>
      <c r="LD107" s="95">
        <f t="shared" si="419"/>
        <v>0.469894812329842</v>
      </c>
      <c r="LE107" s="95">
        <f>LD107*(VLOOKUP($LB$9,各项系数!$D$1:$F$143,2,0))</f>
        <v>7.98821180960732</v>
      </c>
      <c r="LF107" s="304">
        <f>各项系数!$F$76/4*($NH107^2-$NE107^2)*10^-2*(VLOOKUP(AN107,各项系数!$D$1:$F$143,3,0))*10^-3*10^2*各项系数!$J$4</f>
        <v>0.474611620696123</v>
      </c>
      <c r="LG107" s="127">
        <v>1</v>
      </c>
      <c r="LH107" s="95">
        <f t="shared" si="480"/>
        <v>0.474611620696123</v>
      </c>
      <c r="LI107" s="95">
        <f>LH107*(VLOOKUP(AN107,各项系数!$D$1:$F$143,2,0))</f>
        <v>4.74611620696123</v>
      </c>
      <c r="LJ107" s="304">
        <f>各项系数!$F$76/4*($NI107^2-$NF107^2)*10^-2*(VLOOKUP(AN107,各项系数!$D$1:$F$143,3,0))*10^-3*10^2*各项系数!$J$4</f>
        <v>0.476376120086116</v>
      </c>
      <c r="LK107" s="127">
        <v>1</v>
      </c>
      <c r="LL107" s="95">
        <f t="shared" si="481"/>
        <v>0.476376120086116</v>
      </c>
      <c r="LM107" s="95">
        <f>LL107*(VLOOKUP(AN107,各项系数!$D$1:$F$143,2,0))</f>
        <v>4.76376120086116</v>
      </c>
      <c r="LN107" s="95">
        <f>各项系数!$F$76/4*($NH107^2-$NE107^2)*10^-2*(VLOOKUP($LN$9,各项系数!$D$1:$F$143,3,0))*10^-3*10^2*各项系数!$J$4</f>
        <v>0.474611620696123</v>
      </c>
      <c r="LO107" s="481">
        <v>1</v>
      </c>
      <c r="LP107" s="95">
        <f t="shared" si="482"/>
        <v>0.474611620696123</v>
      </c>
      <c r="LQ107" s="95">
        <f>LP107*(VLOOKUP($LN$9,各项系数!$D$1:$F$143,2,0))</f>
        <v>5.22072782765736</v>
      </c>
      <c r="LR107" s="95">
        <f>各项系数!$F$76/4*($NI107^2-$NF107^2)*10^-2*(VLOOKUP($LR$9,各项系数!$D$1:$F$143,3,0))*10^-3*10^2*各项系数!$J$4</f>
        <v>0.476376120086116</v>
      </c>
      <c r="LS107" s="481">
        <v>1</v>
      </c>
      <c r="LT107" s="95">
        <f t="shared" si="483"/>
        <v>0.476376120086116</v>
      </c>
      <c r="LU107" s="95">
        <f>LT107*(VLOOKUP($LR$9,各项系数!$D$1:$F$143,2,0))</f>
        <v>5.24013732094728</v>
      </c>
      <c r="LV107" s="501">
        <f t="shared" si="420"/>
        <v>508.82233972</v>
      </c>
      <c r="LW107" s="501">
        <f t="shared" si="421"/>
        <v>339.21489315</v>
      </c>
      <c r="LX107" s="501">
        <f t="shared" si="422"/>
        <v>20.7822476195837</v>
      </c>
      <c r="LY107" s="519">
        <f t="shared" si="423"/>
        <v>169.60744657</v>
      </c>
      <c r="LZ107" s="516">
        <f t="shared" si="365"/>
        <v>1</v>
      </c>
      <c r="MA107" s="517">
        <f t="shared" si="366"/>
        <v>508.82233972</v>
      </c>
      <c r="MB107" s="501">
        <f t="shared" si="424"/>
        <v>14.69526822</v>
      </c>
      <c r="MC107" s="501">
        <f t="shared" si="425"/>
        <v>89.67253284</v>
      </c>
      <c r="MD107" s="501">
        <f t="shared" si="426"/>
        <v>64.55208807</v>
      </c>
      <c r="ME107" s="501">
        <f t="shared" si="427"/>
        <v>9.06588502165955</v>
      </c>
      <c r="MF107" s="501">
        <f t="shared" si="428"/>
        <v>25.12044477</v>
      </c>
      <c r="MG107" s="527">
        <f t="shared" si="429"/>
        <v>1</v>
      </c>
      <c r="MH107" s="517">
        <f t="shared" si="367"/>
        <v>89.67253284</v>
      </c>
      <c r="MI107" s="501">
        <f t="shared" si="430"/>
        <v>10.6852522145455</v>
      </c>
      <c r="MJ107" s="95">
        <f t="shared" si="368"/>
        <v>14.69526822</v>
      </c>
      <c r="MK107" s="95">
        <f t="shared" si="431"/>
        <v>14.69526822</v>
      </c>
      <c r="ML107" s="95">
        <f t="shared" si="484"/>
        <v>10.6852522147794</v>
      </c>
      <c r="MM107" s="95">
        <f t="shared" si="369"/>
        <v>10.6852522145455</v>
      </c>
      <c r="MN107" s="95">
        <f t="shared" si="370"/>
        <v>17.09526822</v>
      </c>
      <c r="MO107" s="251">
        <f t="shared" si="432"/>
        <v>12.8852522145455</v>
      </c>
      <c r="MP107" s="95">
        <f t="shared" si="433"/>
        <v>38.82348941</v>
      </c>
      <c r="MQ107" s="95">
        <f t="shared" si="485"/>
        <v>38.82348941</v>
      </c>
      <c r="MR107" s="314">
        <f t="shared" si="434"/>
        <v>38.82348941</v>
      </c>
      <c r="MS107" s="530">
        <f t="shared" si="371"/>
        <v>38.99948941</v>
      </c>
      <c r="MT107" s="532">
        <f t="shared" si="372"/>
        <v>39.15948941</v>
      </c>
      <c r="MU107" s="532">
        <f t="shared" si="373"/>
        <v>40.49948941</v>
      </c>
      <c r="MV107" s="532">
        <f t="shared" si="374"/>
        <v>43.79948941</v>
      </c>
      <c r="MW107" s="532">
        <f t="shared" si="375"/>
        <v>43.95948941</v>
      </c>
      <c r="MX107" s="314">
        <f t="shared" si="376"/>
        <v>15.29526822</v>
      </c>
      <c r="MY107" s="314">
        <f t="shared" si="377"/>
        <v>11.2852522145455</v>
      </c>
      <c r="MZ107" s="95">
        <f t="shared" si="378"/>
        <v>17.69526822</v>
      </c>
      <c r="NA107" s="95">
        <f t="shared" si="379"/>
        <v>13.6852522145455</v>
      </c>
      <c r="NB107" s="95">
        <f t="shared" si="435"/>
        <v>40.39648941</v>
      </c>
      <c r="NC107" s="314">
        <f t="shared" si="486"/>
        <v>40.39648941</v>
      </c>
      <c r="ND107" s="314">
        <f t="shared" si="436"/>
        <v>40.39648941</v>
      </c>
      <c r="NE107" s="537">
        <f t="shared" si="437"/>
        <v>40.63648941</v>
      </c>
      <c r="NF107" s="532">
        <f t="shared" si="380"/>
        <v>40.79648941</v>
      </c>
      <c r="NG107" s="180">
        <f t="shared" si="381"/>
        <v>42.13648941</v>
      </c>
      <c r="NH107" s="314">
        <f t="shared" si="382"/>
        <v>45.43648941</v>
      </c>
      <c r="NI107" s="532">
        <f t="shared" si="383"/>
        <v>45.59648941</v>
      </c>
      <c r="NK107" s="541">
        <f t="shared" si="384"/>
        <v>4.80661885608349</v>
      </c>
      <c r="NL107" s="541">
        <f t="shared" si="385"/>
        <v>245.902422218458</v>
      </c>
      <c r="NM107" s="541">
        <f t="shared" si="386"/>
        <v>4.80661885608349</v>
      </c>
      <c r="NN107" s="541">
        <f t="shared" si="387"/>
        <v>246.358980804771</v>
      </c>
      <c r="NO107" s="541">
        <f t="shared" si="388"/>
        <v>6.43765979717495</v>
      </c>
      <c r="NP107" s="541">
        <f t="shared" si="389"/>
        <v>249.314848422717</v>
      </c>
      <c r="NQ107" s="541">
        <f t="shared" si="390"/>
        <v>6.43765979717495</v>
      </c>
      <c r="NR107" s="541">
        <f t="shared" si="391"/>
        <v>249.789460043413</v>
      </c>
      <c r="NS107" s="541">
        <f t="shared" si="392"/>
        <v>4.86120638696285</v>
      </c>
      <c r="NT107" s="541">
        <f t="shared" si="393"/>
        <v>4.86120638696285</v>
      </c>
      <c r="NU107" s="541">
        <f t="shared" si="394"/>
        <v>6.49453394411298</v>
      </c>
      <c r="NV107" s="541">
        <f t="shared" si="395"/>
        <v>6.49453394411298</v>
      </c>
      <c r="NW107" s="11">
        <f t="shared" si="396"/>
        <v>5.53535871519916</v>
      </c>
      <c r="NX107" s="11">
        <f>各项系数!$M$9*NK107</f>
        <v>1.44198565682505</v>
      </c>
      <c r="NY107" s="11">
        <f t="shared" si="397"/>
        <v>4.86120638696285</v>
      </c>
    </row>
    <row r="108" s="11" customFormat="1" customHeight="1" spans="1:389">
      <c r="A108" s="81"/>
      <c r="B108" s="82"/>
      <c r="C108" s="83"/>
      <c r="D108" s="74" t="s">
        <v>349</v>
      </c>
      <c r="E108" s="550">
        <f t="shared" si="325"/>
        <v>46.36363771</v>
      </c>
      <c r="F108" s="84">
        <f>$F$28</f>
        <v>243.335870228497</v>
      </c>
      <c r="G108" s="74"/>
      <c r="H108" s="23"/>
      <c r="I108" s="174">
        <f>$F$25</f>
        <v>242.295968589101</v>
      </c>
      <c r="J108" s="78"/>
      <c r="K108" s="23"/>
      <c r="L108" s="128" t="s">
        <v>467</v>
      </c>
      <c r="M108" s="119">
        <f t="shared" si="339"/>
        <v>1.4</v>
      </c>
      <c r="N108" s="119">
        <f t="shared" ref="N108:N139" si="501">IF(EM108=0,0,VLOOKUP(EM108,$A$12:$C$46,3,0))</f>
        <v>1.1</v>
      </c>
      <c r="O108" s="74">
        <f t="shared" ref="O108:O117" si="502">$O$36</f>
        <v>0.08</v>
      </c>
      <c r="P108" s="120">
        <v>0.1</v>
      </c>
      <c r="Q108" s="165">
        <f t="shared" si="499"/>
        <v>0.1</v>
      </c>
      <c r="R108" s="182">
        <v>0.8</v>
      </c>
      <c r="S108" s="173" t="str">
        <f>各项系数!$D$43</f>
        <v>钢带</v>
      </c>
      <c r="T108" s="78">
        <v>0.5</v>
      </c>
      <c r="U108" s="78">
        <v>2</v>
      </c>
      <c r="V108" s="172"/>
      <c r="W108" s="174">
        <v>2.5</v>
      </c>
      <c r="X108" s="168">
        <f t="shared" si="500"/>
        <v>0.2</v>
      </c>
      <c r="Y108" s="221"/>
      <c r="Z108" s="222"/>
      <c r="AA108" s="223">
        <f>$AA$28</f>
        <v>1.015</v>
      </c>
      <c r="AB108" s="186">
        <f>PI()*EJ108*EJ108/4*EH108*(1-H108)*AA108*各项系数!$F$5*各项系数!$J$4*10^-7</f>
        <v>1.25260541945236</v>
      </c>
      <c r="AC108" s="224">
        <f t="shared" si="327"/>
        <v>243.335870228497</v>
      </c>
      <c r="AD108" s="186">
        <f t="shared" si="341"/>
        <v>141.608539825376</v>
      </c>
      <c r="AE108" s="186">
        <f>POWER(4*EU108/PI()/EG108/10^-7/EH108/(1-H108)/各项系数!$F$5/各项系数!$J$4,0.5)</f>
        <v>245.154096286311</v>
      </c>
      <c r="AF108" s="225">
        <f>$AA$25</f>
        <v>1.013</v>
      </c>
      <c r="AG108" s="23">
        <f>IF(EM108=0,0,PI()*ER108*ER108/4*EP108*(1-K108)*(1+AF108)*各项系数!$F$5*各项系数!$J$4*10^-7)</f>
        <v>1.14942042482296</v>
      </c>
      <c r="AH108" s="23">
        <f t="shared" si="328"/>
        <v>242.295968589101</v>
      </c>
      <c r="AI108" s="85">
        <f t="shared" si="398"/>
        <v>65.3912649972251</v>
      </c>
      <c r="AJ108" s="85">
        <f>IF(OR(EP108="",EP108=0),0,POWER(4*EW108/PI()/EO108/10^-7/EP108/(1-K108)/各项系数!$F$5/各项系数!$J$4,0.5))</f>
        <v>243.865806884974</v>
      </c>
      <c r="AK108" s="23">
        <f t="shared" si="342"/>
        <v>4.33623796245328</v>
      </c>
      <c r="AL108" s="23">
        <f t="shared" si="329"/>
        <v>302.801884217496</v>
      </c>
      <c r="AM108" s="127">
        <f t="shared" si="330"/>
        <v>150</v>
      </c>
      <c r="AN108" s="128" t="s">
        <v>486</v>
      </c>
      <c r="AO108" s="176">
        <f>AP108+各项系数!$M$9*$NK108</f>
        <v>296.864592370094</v>
      </c>
      <c r="AP108" s="176">
        <f>AQ108*(1+$BI108+(VLOOKUP($AM108,$A$12:$B$323,2,0))+各项系数!$J$6+各项系数!$M$5)*(1+$E$2)</f>
        <v>295.163922980174</v>
      </c>
      <c r="AQ108" s="262">
        <f>AR108+各项系数!$L$9*$NK108</f>
        <v>301.187676510382</v>
      </c>
      <c r="AR108" s="262">
        <f>AS108*(1+$BJ108+各项系数!$J$5+各项系数!$L$5)</f>
        <v>299.487007120462</v>
      </c>
      <c r="AS108" s="262">
        <f t="shared" si="399"/>
        <v>293.614712863198</v>
      </c>
      <c r="AT108" s="176">
        <f>AU108+各项系数!$M$9*$NM108</f>
        <v>300.273905854283</v>
      </c>
      <c r="AU108" s="176">
        <f>AV108*(1+$BI108+(VLOOKUP($AM108,$A$12:$B$323,2,0))+各项系数!$J$6+各项系数!$M$5)*(1+$E$2)</f>
        <v>298.573236464363</v>
      </c>
      <c r="AV108" s="262">
        <f>AW108+各项系数!$L$9*$NM108</f>
        <v>304.666567820778</v>
      </c>
      <c r="AW108" s="262">
        <f>AX108*(1+$BJ108+各项系数!$J$5+各项系数!$L$5)</f>
        <v>302.965898430858</v>
      </c>
      <c r="AX108" s="262">
        <f t="shared" si="400"/>
        <v>297.025390618488</v>
      </c>
      <c r="AY108" s="176">
        <f>AZ108+各项系数!$M$9*$NS108</f>
        <v>300.823353767485</v>
      </c>
      <c r="AZ108" s="176">
        <f>BA108*(1+$BI108+(VLOOKUP($AM108,$A$12:$B$214,2,0))+各项系数!$J$6+各项系数!$M$5)*(1+$E$2)</f>
        <v>299.105317422003</v>
      </c>
      <c r="BA108" s="262">
        <f>BB108+各项系数!$L$9*$NS108</f>
        <v>305.209507573472</v>
      </c>
      <c r="BB108" s="262">
        <f>BC108*(1+$BJ108+各项系数!$J$5+各项系数!$L$5)</f>
        <v>303.49147122799</v>
      </c>
      <c r="BC108" s="262">
        <f t="shared" si="401"/>
        <v>297.540658066657</v>
      </c>
      <c r="BD108" s="176">
        <f>BE108+各项系数!$M$9*$NS108</f>
        <v>304.245103296332</v>
      </c>
      <c r="BE108" s="176">
        <f>BF108*(1+$BI108+(VLOOKUP($AM108,$A$12:$B$214,2,0))+各项系数!$J$6+各项系数!$M$5)*(1+$E$2)</f>
        <v>302.52706695085</v>
      </c>
      <c r="BF108" s="262">
        <f>BG108+各项系数!$L$9*$NS108</f>
        <v>308.701088725357</v>
      </c>
      <c r="BG108" s="262">
        <f>BH108*(1+$BJ108+各项系数!$J$5+各项系数!$L$5)</f>
        <v>306.983052379875</v>
      </c>
      <c r="BH108" s="262">
        <f t="shared" si="402"/>
        <v>300.963776843015</v>
      </c>
      <c r="BI108" s="278"/>
      <c r="BJ108" s="279"/>
      <c r="BK108" s="95" t="s">
        <v>514</v>
      </c>
      <c r="BL108" s="176">
        <f>BM108+各项系数!$M$9*$NM108</f>
        <v>300.250642188867</v>
      </c>
      <c r="BM108" s="176">
        <f>BN108*(1+$CF108+(VLOOKUP($AM108,$A$12:$B$323,2,0))+各项系数!$J$6+各项系数!$M$5)*(1+$E$2)</f>
        <v>298.549972798947</v>
      </c>
      <c r="BN108" s="262">
        <f>BO108+各项系数!$L$9*$NM108</f>
        <v>304.642829386681</v>
      </c>
      <c r="BO108" s="262">
        <f>BP108*(1+$CG108+各项系数!$J$5+各项系数!$L$5)</f>
        <v>302.942159996761</v>
      </c>
      <c r="BP108" s="262">
        <f t="shared" si="403"/>
        <v>294.118601938603</v>
      </c>
      <c r="BQ108" s="176">
        <f>BR108+各项系数!$M$9*$NM108</f>
        <v>303.184754682344</v>
      </c>
      <c r="BR108" s="176">
        <f>BS108*(1+$CF108+(VLOOKUP($AM108,$A$12:$B$323,2,0))+各项系数!$J$6+各项系数!$M$5)*(1+$E$2)</f>
        <v>301.484085292424</v>
      </c>
      <c r="BS108" s="262">
        <f>BT108+各项系数!$L$9*$NM108</f>
        <v>307.636821726963</v>
      </c>
      <c r="BT108" s="262">
        <f>BU108*(1+$CG108+各项系数!$J$5+各项系数!$L$5)</f>
        <v>305.936152337043</v>
      </c>
      <c r="BU108" s="262">
        <f t="shared" si="404"/>
        <v>297.025390618488</v>
      </c>
      <c r="BV108" s="176">
        <f>BW108+各项系数!$M$9*$NT108</f>
        <v>302.574155663359</v>
      </c>
      <c r="BW108" s="176">
        <f>BX108*(1+$CF108+(VLOOKUP($AM108,$A$12:$B$214,2,0))+各项系数!$J$6+各项系数!$M$5)*(1+$E$2)</f>
        <v>300.856119317877</v>
      </c>
      <c r="BX108" s="262">
        <f>BY108+各项系数!$L$9*$NT$12</f>
        <v>306.996040120283</v>
      </c>
      <c r="BY108" s="262">
        <f>BZ108*(1+$CG108+各项系数!$J$5+各项系数!$L$5)</f>
        <v>306.987776717128</v>
      </c>
      <c r="BZ108" s="262">
        <f t="shared" si="343"/>
        <v>298.04638516226</v>
      </c>
      <c r="CA108" s="176">
        <f>CB108+各项系数!$M$9*$NT108</f>
        <v>305.518970825913</v>
      </c>
      <c r="CB108" s="176">
        <f>CC108*(1+$CF108+(VLOOKUP($AM108,$A$12:$B$214,2,0))+各项系数!$J$6+各项系数!$M$5)*(1+$E$2)</f>
        <v>303.800934480431</v>
      </c>
      <c r="CC108" s="262">
        <f>CD108+各项系数!$L$9*$NT$12</f>
        <v>310.00095355146</v>
      </c>
      <c r="CD108" s="262">
        <f>CE108*(1+$CG108+各项系数!$J$5+各项系数!$L$5)</f>
        <v>309.992690148306</v>
      </c>
      <c r="CE108" s="262">
        <f t="shared" si="405"/>
        <v>300.963776843015</v>
      </c>
      <c r="CF108" s="278">
        <f t="shared" si="406"/>
        <v>0</v>
      </c>
      <c r="CG108" s="278">
        <f t="shared" si="344"/>
        <v>0.01</v>
      </c>
      <c r="CH108" s="127"/>
      <c r="CI108" s="176">
        <f>CJ108+各项系数!$M$9*$NO108</f>
        <v>303.609201047061</v>
      </c>
      <c r="CJ108" s="176">
        <f>CK108*(1+$DC108+(VLOOKUP($AM108,$A$12:$B$323,2,0))+各项系数!$J$6+各项系数!$M$5)*(1+$E$2)+各项系数!$M$9*$NK108</f>
        <v>301.352270328548</v>
      </c>
      <c r="CK108" s="262">
        <f>CL108+各项系数!$L$9*$NO108</f>
        <v>305.766939733294</v>
      </c>
      <c r="CL108" s="262">
        <f>CM108*(1+$DD108+各项系数!$J$5+各项系数!$L$5)</f>
        <v>303.51000901478</v>
      </c>
      <c r="CM108" s="262">
        <f t="shared" si="345"/>
        <v>297.558832367432</v>
      </c>
      <c r="CN108" s="176">
        <f>CO108+各项系数!$M$9*$NO108</f>
        <v>306.802748375256</v>
      </c>
      <c r="CO108" s="176">
        <f>CP108*(1+$DC108+(VLOOKUP($AM108,$A$12:$B$323,2,0))+各项系数!$J$6+各项系数!$M$5)*(1+$E$2)+各项系数!$M$9*$NK108</f>
        <v>304.545817656743</v>
      </c>
      <c r="CP108" s="262">
        <f>CQ108+各项系数!$L$9*$NO108</f>
        <v>309.025661496758</v>
      </c>
      <c r="CQ108" s="262">
        <f>CR108*(1+$DD108+各项系数!$J$5+各项系数!$L$5)</f>
        <v>306.768730778245</v>
      </c>
      <c r="CR108" s="262">
        <f t="shared" si="346"/>
        <v>300.75365762573</v>
      </c>
      <c r="CS108" s="176">
        <f>CT108+各项系数!$M$9*$NU108</f>
        <v>306.045945086299</v>
      </c>
      <c r="CT108" s="176">
        <f t="shared" si="347"/>
        <v>303.770860017311</v>
      </c>
      <c r="CU108" s="262">
        <f>CV108+各项系数!$L$9*$NU108</f>
        <v>309.970265323787</v>
      </c>
      <c r="CV108" s="262">
        <f>CW108*(1+$DD108+各项系数!$J$5+各项系数!$L$5)</f>
        <v>307.695180254799</v>
      </c>
      <c r="CW108" s="262">
        <f t="shared" si="348"/>
        <v>301.661941426273</v>
      </c>
      <c r="CX108" s="176">
        <f>CY108+各项系数!$M$9*$NU108</f>
        <v>309.613740414611</v>
      </c>
      <c r="CY108" s="176">
        <f t="shared" si="349"/>
        <v>307.338655345623</v>
      </c>
      <c r="CZ108" s="262">
        <f>DA108+各项系数!$L$9*$NU108</f>
        <v>313.610872801656</v>
      </c>
      <c r="DA108" s="262">
        <f>DB108*(1+$DD108+各项系数!$J$5+各项系数!$L$5)</f>
        <v>311.335787732668</v>
      </c>
      <c r="DB108" s="262">
        <f t="shared" si="350"/>
        <v>305.231164443793</v>
      </c>
      <c r="DC108" s="278">
        <f t="shared" si="498"/>
        <v>0</v>
      </c>
      <c r="DD108" s="278">
        <f t="shared" si="351"/>
        <v>0</v>
      </c>
      <c r="DE108" s="95" t="s">
        <v>498</v>
      </c>
      <c r="DF108" s="95" t="s">
        <v>513</v>
      </c>
      <c r="DG108" s="176">
        <f>DH108+各项系数!$M$9*$NQ108</f>
        <v>307.055691388021</v>
      </c>
      <c r="DH108" s="176">
        <f>DI108*(1+$EA108+(VLOOKUP($AM108,$A$12:$B$323,2,0))+各项系数!$J$6+各项系数!$M$5)*(1+$E$2)+各项系数!$M$9*$NK108</f>
        <v>304.798760669508</v>
      </c>
      <c r="DI108" s="262">
        <f>DJ108+各项系数!$L$9*$NQ108</f>
        <v>309.283766611825</v>
      </c>
      <c r="DJ108" s="262">
        <f>DK108*(1+$EB108+各项系数!$J$5+各项系数!$L$5)</f>
        <v>307.026835893312</v>
      </c>
      <c r="DK108" s="262">
        <f t="shared" si="352"/>
        <v>298.084306692536</v>
      </c>
      <c r="DL108" s="176">
        <f>DM108+各项系数!$M$9*$NQ108</f>
        <v>310.11549335148</v>
      </c>
      <c r="DM108" s="176">
        <f>DN108*(1+$EA108+(VLOOKUP($AM108,$A$12:$B$323,2,0))+各项系数!$J$6+各项系数!$M$5)*(1+$E$2)+各项系数!$M$9*$NK108</f>
        <v>307.858562632967</v>
      </c>
      <c r="DN108" s="262">
        <f>DO108+各项系数!$L$9*$NQ108</f>
        <v>312.406013513313</v>
      </c>
      <c r="DO108" s="262">
        <f>DP108*(1+$EB108+各项系数!$J$5+各项系数!$L$5)</f>
        <v>310.1490827948</v>
      </c>
      <c r="DP108" s="262">
        <f t="shared" si="353"/>
        <v>301.115614363883</v>
      </c>
      <c r="DQ108" s="176">
        <f>DR108+各项系数!$M$9*$NV108</f>
        <v>309.534501193624</v>
      </c>
      <c r="DR108" s="176">
        <f t="shared" si="354"/>
        <v>307.259416124636</v>
      </c>
      <c r="DS108" s="262">
        <f>DT108+各项系数!$L$9*$NV108</f>
        <v>313.530016453711</v>
      </c>
      <c r="DT108" s="262">
        <f>DU108*(1+$EB108+各项系数!$J$5+各项系数!$L$5)</f>
        <v>311.254931384723</v>
      </c>
      <c r="DU108" s="262">
        <f t="shared" si="355"/>
        <v>302.189253771575</v>
      </c>
      <c r="DV108" s="176">
        <f>DW108+各项系数!$M$9*$NV108</f>
        <v>309.116204508222</v>
      </c>
      <c r="DW108" s="176">
        <f t="shared" si="356"/>
        <v>306.841119439234</v>
      </c>
      <c r="DX108" s="262">
        <f>DY108+各项系数!$L$9*$NV108</f>
        <v>313.103183101259</v>
      </c>
      <c r="DY108" s="262">
        <f>DZ108*(1+$EB108+各项系数!$J$5+各项系数!$L$5)</f>
        <v>310.828098032271</v>
      </c>
      <c r="DZ108" s="262">
        <f t="shared" si="357"/>
        <v>301.774852458516</v>
      </c>
      <c r="EA108" s="278">
        <f t="shared" si="492"/>
        <v>0</v>
      </c>
      <c r="EB108" s="278">
        <f t="shared" si="358"/>
        <v>0.01</v>
      </c>
      <c r="EC108" s="302" t="str">
        <f t="shared" si="408"/>
        <v>3+1</v>
      </c>
      <c r="ED108" s="304" t="str">
        <f t="shared" si="494"/>
        <v>3*150</v>
      </c>
      <c r="EE108" s="95">
        <f t="shared" si="495"/>
        <v>150</v>
      </c>
      <c r="EF108" s="95" t="str">
        <f>LOOKUP(EH108,{1,7,10,14,19,24,30,37,48,61},{1,"1+6","2+8","4+10","1+6+12","2+8+14","4+10+16","1+6+12+18","3+9+15+21","1+6+12+18+24"})</f>
        <v>4+10+16</v>
      </c>
      <c r="EG108" s="127">
        <f t="shared" si="359"/>
        <v>3</v>
      </c>
      <c r="EH108" s="262">
        <f>VLOOKUP(EE108,各项系数!$B$87:$C$124,2,0)</f>
        <v>30</v>
      </c>
      <c r="EI108" s="127">
        <f>IF(EH108=0,0,VLOOKUP(EH108,各项系数!$D$142:$E$195,2,0))*1</f>
        <v>6.41</v>
      </c>
      <c r="EJ108" s="307">
        <f t="shared" si="409"/>
        <v>243.335870228497</v>
      </c>
      <c r="EK108" s="95" t="str">
        <f t="shared" si="332"/>
        <v>1*70</v>
      </c>
      <c r="EL108" s="95" t="str">
        <f t="shared" si="360"/>
        <v>70</v>
      </c>
      <c r="EM108" s="95">
        <f t="shared" si="496"/>
        <v>70</v>
      </c>
      <c r="EN108" s="95" t="str">
        <f>IF(EP108=0,0,LOOKUP(EP108,{1,7,10,14,19,24,30,37,48,61},{1,"1+6","2+8","4+10","1+6+12","2+8+14","4+10+16","1+6+12+18","3+9+15+21","1+6+12+18+24"}))</f>
        <v>4+10</v>
      </c>
      <c r="EO108" s="95" t="str">
        <f t="shared" si="334"/>
        <v>1</v>
      </c>
      <c r="EP108" s="95">
        <f>IF(EM108=0,0,IF(EM108&lt;10,1,IF(AND(EM108&gt;=10,EM108&lt;=35),7,LOOKUP(EM108,{50,70,95,120,150,185,240,300},{10,14,19,24,30,37,48,61})*1)))</f>
        <v>14</v>
      </c>
      <c r="EQ108" s="95">
        <f>IF(EP108=0,0,VLOOKUP(EP108,各项系数!$D$142:$E$195,2,0))*1</f>
        <v>4.41</v>
      </c>
      <c r="ER108" s="95">
        <f t="shared" si="335"/>
        <v>242.295968589101</v>
      </c>
      <c r="ES108" s="304">
        <f t="shared" si="497"/>
        <v>4</v>
      </c>
      <c r="ET108" s="95">
        <f>VLOOKUP(ES108,各项系数!$D$142:$E$195,2,0)*1</f>
        <v>2.42</v>
      </c>
      <c r="EU108" s="311">
        <f>((各项系数!$F$76/4*$EJ108^2*$EG108*$EH108*1*10^-7)*(1-$H108)*AA108)*(VLOOKUP($EY$9,各项系数!$D$4:$F$143,3,0))*各项系数!$J$4</f>
        <v>3.75781625835707</v>
      </c>
      <c r="EV108" s="312">
        <f>EU108*(VLOOKUP($EY$9,各项系数!$D$4:$F$143,2,0))</f>
        <v>246.136964922388</v>
      </c>
      <c r="EW108" s="324">
        <f>(IF($EO108=0,0,(各项系数!$F$76/4*$ER108^2*$EO108*$EP108*1*10^-7))*(1-$K108)*$AF108)*(VLOOKUP($EY$9,各项系数!$D$4:$F$143,3,0))*各项系数!$J$4</f>
        <v>0.578421704096204</v>
      </c>
      <c r="EX108" s="325">
        <f>EW108*(VLOOKUP($EY$9,各项系数!$D$4:$F$143,2,0))</f>
        <v>37.8866216183014</v>
      </c>
      <c r="EY108" s="251">
        <f>((各项系数!$F$76/4*$EJ108^2*$EG108*$EH108*1*10^-7)*(1-$H108)*AA108+IF($EO108=0,0,(各项系数!$F$76/4*$ER108^2*$EO108*$EP108*1*10^-7))*(1-$K108)*$AF108)*(VLOOKUP($EY$9,各项系数!$D$4:$F$143,3,0))*各项系数!$J$4</f>
        <v>4.33623796245328</v>
      </c>
      <c r="EZ108" s="127">
        <v>1</v>
      </c>
      <c r="FA108" s="95">
        <f t="shared" si="445"/>
        <v>4.33623796245328</v>
      </c>
      <c r="FB108" s="314">
        <f>FA108*(VLOOKUP($EY$9,各项系数!$D$4:$F$143,2,0))</f>
        <v>284.02358654069</v>
      </c>
      <c r="FC108" s="329"/>
      <c r="FD108" s="304">
        <f>各项系数!$F$76/4*($MN108^2-MK108^2)*10^-2*(VLOOKUP(L108,各项系数!$D$1:$F$143,3,0))*10^-3*10^2*$EG108*各项系数!$J$4</f>
        <v>0.245475634791144</v>
      </c>
      <c r="FE108" s="341">
        <f>FD108*VLOOKUP(L108,各项系数!$D$1:$F$143,2,0)</f>
        <v>2.50385147486967</v>
      </c>
      <c r="FF108" s="127">
        <f>各项系数!$F$76/4*($MO108^2-ML108^2)*10^-2*(VLOOKUP(L108,各项系数!$D$1:$F$143,3,0))*10^-3*10^2*$EO108*各项系数!$J$4</f>
        <v>0.0445756007532287</v>
      </c>
      <c r="FG108" s="341">
        <f>FF108*VLOOKUP(L108,各项系数!$D$1:$F$143,2,0)</f>
        <v>0.454671127682933</v>
      </c>
      <c r="FH108" s="304">
        <f t="shared" si="410"/>
        <v>0.290051235544373</v>
      </c>
      <c r="FI108" s="127">
        <v>1</v>
      </c>
      <c r="FJ108" s="95">
        <f t="shared" si="446"/>
        <v>0.290051235544373</v>
      </c>
      <c r="FK108" s="341">
        <f>FJ108*VLOOKUP(L108,各项系数!$D$1:$F$143,2,0)</f>
        <v>2.9585226025526</v>
      </c>
      <c r="FL108" s="304"/>
      <c r="FM108" s="127"/>
      <c r="FN108" s="95"/>
      <c r="FO108" s="341"/>
      <c r="FP108" s="371">
        <f t="shared" si="447"/>
        <v>0.290051235544373</v>
      </c>
      <c r="FQ108" s="371">
        <f t="shared" si="448"/>
        <v>2.9585226025526</v>
      </c>
      <c r="FR108" s="365">
        <f>各项系数!$F$76/4*($MQ108^2-$MN108^2*$EG108-$MO108^2*$EO108)*10^-2</f>
        <v>4.0444189161645</v>
      </c>
      <c r="FS108" s="366">
        <f t="shared" si="411"/>
        <v>1</v>
      </c>
      <c r="FT108" s="367">
        <f t="shared" si="361"/>
        <v>4.0444189161645</v>
      </c>
      <c r="FU108" s="395">
        <f>$FT108*(VLOOKUP($FT$9,各项系数!$D$1:$F$143,3,0))*10^-3*10^2*各项系数!$J$55</f>
        <v>0.482903618590041</v>
      </c>
      <c r="FV108" s="396">
        <v>1</v>
      </c>
      <c r="FW108" s="397">
        <f t="shared" si="449"/>
        <v>0.482903618590041</v>
      </c>
      <c r="FX108" s="372">
        <f>FW108*(VLOOKUP($FT$9,各项系数!$D$1:$F$143,2,0))</f>
        <v>1.44871085577012</v>
      </c>
      <c r="FY108" s="395">
        <f>IF($BK108&lt;&gt;$FY$9,0,各项系数!$F$76/4*($MS108^2-$MQ108^2)*10^-2*(VLOOKUP($FY$9,各项系数!$D$1:$F$143,3,0))*10^-3*10^2)*各项系数!$J$4</f>
        <v>0</v>
      </c>
      <c r="FZ108" s="396">
        <v>1</v>
      </c>
      <c r="GA108" s="397">
        <f t="shared" si="450"/>
        <v>0</v>
      </c>
      <c r="GB108" s="372">
        <f>GA108*(VLOOKUP($FY$9,各项系数!$D$1:$F$143,2,0))</f>
        <v>0</v>
      </c>
      <c r="GC108" s="395">
        <f>IF($BK108&lt;&gt;$GC$9,0,各项系数!$F$76/4*($MS108^2-$MQ108^2)*10^-2*(VLOOKUP($GC$9,各项系数!$D$1:$F$143,3,0))*10^-3*10^2)*各项系数!$J$4</f>
        <v>0.0112404736541637</v>
      </c>
      <c r="GD108" s="396">
        <v>1</v>
      </c>
      <c r="GE108" s="397">
        <f t="shared" si="451"/>
        <v>0.0112404736541637</v>
      </c>
      <c r="GF108" s="372">
        <f>GE108*(VLOOKUP($GC$9,各项系数!$D$1:$F$143,2,0))</f>
        <v>0.145002110138712</v>
      </c>
      <c r="GG108" s="395">
        <f>IF($BK108&lt;&gt;$GG$9,0,各项系数!$F$76/4*($MS108^2-$MQ108^2)*10^-2*(VLOOKUP($GG$9,各项系数!$D$1:$F$143,3,0))*10^-3*10^2)*各项系数!$J$4</f>
        <v>0</v>
      </c>
      <c r="GH108" s="396">
        <v>1</v>
      </c>
      <c r="GI108" s="397">
        <f t="shared" si="452"/>
        <v>0</v>
      </c>
      <c r="GJ108" s="372">
        <f>GI108*(VLOOKUP($GG$9,各项系数!$D$1:$F$143,2,0))</f>
        <v>0</v>
      </c>
      <c r="GK108" s="395">
        <f>IF($BK108&lt;&gt;$GK$9,0,各项系数!$F$76/4*($MS108^2-$MQ108^2)*10^-2*(VLOOKUP($GK$9,各项系数!$D$1:$F$143,3,0))*10^-3*10^2)*各项系数!$J$4</f>
        <v>0</v>
      </c>
      <c r="GL108" s="396">
        <v>1</v>
      </c>
      <c r="GM108" s="397">
        <f t="shared" si="453"/>
        <v>0</v>
      </c>
      <c r="GN108" s="372">
        <f>GM108*(VLOOKUP($GK$9,各项系数!$D$1:$F$143,2,0))</f>
        <v>0</v>
      </c>
      <c r="GO108" s="397">
        <f t="shared" si="454"/>
        <v>0.0112404736541637</v>
      </c>
      <c r="GP108" s="397">
        <f t="shared" si="455"/>
        <v>0.145002110138712</v>
      </c>
      <c r="GQ108" s="408">
        <f>各项系数!$F$76/4*($MU108^2-$MS108^2)*10^-2*(VLOOKUP($S108,各项系数!$D$1:$F$143,3,0))*10^-3*10^2*各项系数!$J$4</f>
        <v>0.772082531553552</v>
      </c>
      <c r="GR108" s="396">
        <v>1</v>
      </c>
      <c r="GS108" s="397">
        <f t="shared" si="456"/>
        <v>0.772082531553552</v>
      </c>
      <c r="GT108" s="397">
        <f t="shared" si="457"/>
        <v>0</v>
      </c>
      <c r="GU108" s="397">
        <f>ROUND($GS108*(VLOOKUP($S108,各项系数!$D$1:$F$143,2,0))+$E$3*GS108,GT108)</f>
        <v>4</v>
      </c>
      <c r="GV108" s="406">
        <f>各项系数!$F$76/4*($MT108^2-$MS108^2)*10^-2*(VLOOKUP($GV$9,各项系数!$D$1:$F$143,3,0))*10^-3*10^2*各项系数!$J$4*PI()/4*R108</f>
        <v>0.0578898518737789</v>
      </c>
      <c r="GW108" s="396">
        <v>1</v>
      </c>
      <c r="GX108" s="397">
        <f t="shared" si="458"/>
        <v>0.0578898518737789</v>
      </c>
      <c r="GY108" s="397">
        <f>$GX108*(VLOOKUP($GV$9,各项系数!$D$1:$F$143,2,0))</f>
        <v>3.90756500148008</v>
      </c>
      <c r="GZ108" s="408">
        <f>各项系数!$F$76/4*($MV108^2-$MS108^2)*10^-2*(VLOOKUP($GZ$9,各项系数!$D$1:$F$143,3,0))*10^-3*10^2*各项系数!$J$4</f>
        <v>0.497033441725734</v>
      </c>
      <c r="HA108" s="396">
        <v>1</v>
      </c>
      <c r="HB108" s="397">
        <f t="shared" si="412"/>
        <v>0.497033441725734</v>
      </c>
      <c r="HC108" s="397">
        <f>HB108*(VLOOKUP($GZ$9,各项系数!$D$1:$F$143,2,0))</f>
        <v>8.44956850933748</v>
      </c>
      <c r="HD108" s="408">
        <f>各项系数!$F$76/4*($MW108^2-$MT108^2)*10^-2*(VLOOKUP($HD$9,各项系数!$D$1:$F$143,3,0))*10^-3*10^2*各项系数!$J$4</f>
        <v>0.498846454846121</v>
      </c>
      <c r="HE108" s="396">
        <v>1</v>
      </c>
      <c r="HF108" s="397">
        <f t="shared" si="413"/>
        <v>0.498846454846121</v>
      </c>
      <c r="HG108" s="397">
        <f>HF108*(VLOOKUP($HD$9,各项系数!$D$1:$F$143,2,0))</f>
        <v>8.48038973238405</v>
      </c>
      <c r="HH108" s="408">
        <f>各项系数!$F$76/4*($MV108^2-$MS108^2)*10^-2*(VLOOKUP($HH$9,各项系数!$D$1:$F$143,3,0))*10^-3*10^2*各项系数!$J$4</f>
        <v>0.497033441725734</v>
      </c>
      <c r="HI108" s="397">
        <v>1</v>
      </c>
      <c r="HJ108" s="397">
        <f t="shared" si="414"/>
        <v>0.497033441725734</v>
      </c>
      <c r="HK108" s="397">
        <f>HJ108*(VLOOKUP($HH$9,各项系数!$D$1:$F$143,2,0))</f>
        <v>8.44956850933748</v>
      </c>
      <c r="HL108" s="408">
        <f>各项系数!$F$76/4*($MW108^2-$MT108^2)*10^-2*(VLOOKUP($HL$9,各项系数!$D$1:$F$143,3,0))*10^-3*10^2*各项系数!$J$4</f>
        <v>0.498846454846121</v>
      </c>
      <c r="HM108" s="397">
        <v>1</v>
      </c>
      <c r="HN108" s="397">
        <f t="shared" si="362"/>
        <v>0.498846454846121</v>
      </c>
      <c r="HO108" s="397">
        <f>HN108*(VLOOKUP($HL$9,各项系数!$D$1:$F$143,2,0))</f>
        <v>8.48038973238405</v>
      </c>
      <c r="HP108" s="408">
        <f>各项系数!$F$76/4*($MV108^2-$MS108^2)*10^-2*(VLOOKUP(AN108,各项系数!$D$1:$F$143,3,0))*10^-3*10^2*各项系数!$J$4</f>
        <v>0.50388907540471</v>
      </c>
      <c r="HQ108" s="396">
        <v>1</v>
      </c>
      <c r="HR108" s="397">
        <f t="shared" si="459"/>
        <v>0.50388907540471</v>
      </c>
      <c r="HS108" s="397">
        <f>HR108*(VLOOKUP(AN108,各项系数!$D$1:$F$143,2,0))</f>
        <v>5.0388907540471</v>
      </c>
      <c r="HT108" s="408">
        <f>各项系数!$F$76/4*($MW108^2-$MT108^2)*10^-2*(VLOOKUP(AN108,各项系数!$D$1:$F$143,3,0))*10^-3*10^2*各项系数!$J$4</f>
        <v>0.505727095602619</v>
      </c>
      <c r="HU108" s="396">
        <v>1</v>
      </c>
      <c r="HV108" s="397">
        <f t="shared" si="460"/>
        <v>0.505727095602619</v>
      </c>
      <c r="HW108" s="397">
        <f>HV108*(VLOOKUP(AN108,各项系数!$D$1:$F$143,2,0))</f>
        <v>5.05727095602619</v>
      </c>
      <c r="HX108" s="408">
        <f>各项系数!$F$76/4*($MV108^2-$MS108^2)*10^-2*(VLOOKUP($HX$9,各项系数!$D$1:$F$143,3,0))*10^-3*10^2*各项系数!$J$4</f>
        <v>0.50388907540471</v>
      </c>
      <c r="HY108" s="397">
        <v>1</v>
      </c>
      <c r="HZ108" s="397">
        <f t="shared" si="461"/>
        <v>0.50388907540471</v>
      </c>
      <c r="IA108" s="397">
        <f>HZ108*(VLOOKUP($HX$9,各项系数!$D$1:$F$143,2,0))</f>
        <v>5.54277982945181</v>
      </c>
      <c r="IB108" s="408">
        <f>各项系数!$F$76/4*($MW108^2-$MT108^2)*10^-2*(VLOOKUP($IB$9,各项系数!$D$1:$F$143,3,0))*10^-3*10^2*各项系数!$J$4</f>
        <v>0.505727095602619</v>
      </c>
      <c r="IC108" s="397">
        <v>1</v>
      </c>
      <c r="ID108" s="397">
        <f t="shared" si="462"/>
        <v>0.505727095602619</v>
      </c>
      <c r="IE108" s="397">
        <f>ID108*(VLOOKUP($IB$9,各项系数!$D$1:$F$143,2,0))</f>
        <v>5.56299805162881</v>
      </c>
      <c r="IF108" s="395"/>
      <c r="IG108" s="408">
        <f t="shared" si="415"/>
        <v>0.082540338790546</v>
      </c>
      <c r="IH108" s="396">
        <v>1</v>
      </c>
      <c r="II108" s="397">
        <f t="shared" si="463"/>
        <v>0.082540338790546</v>
      </c>
      <c r="IJ108" s="397">
        <f>II108*(VLOOKUP($IG$8,各项系数!$D$1:$F$143,2,0))</f>
        <v>2.06350846976365</v>
      </c>
      <c r="IK108" s="408">
        <f>(各项系数!$F$76/4*($MX108^2-$MK108^2)*$EG108)*10^-2*(VLOOKUP($IG$8,各项系数!$D$1:$F$143,3,0))*10^-3*10^2*各项系数!$J$4</f>
        <v>0.0670879545179987</v>
      </c>
      <c r="IL108" s="396">
        <f>IK108*(VLOOKUP($IG$8,各项系数!$D$1:$F$143,2,0))</f>
        <v>1.67719886294997</v>
      </c>
      <c r="IM108" s="397">
        <f>(各项系数!$F$76/4*(($MM108+3*$X108)^2-MM108^2)*$EO108)*10^-2*(VLOOKUP($IG$8,各项系数!$D$1:$F$143,3,0))*10^-3*10^2*各项系数!$J$4</f>
        <v>0.0154523842725473</v>
      </c>
      <c r="IN108" s="396">
        <f>IM108*(VLOOKUP($IG$8,各项系数!$D$1:$F$143,2,0))</f>
        <v>0.386309606813683</v>
      </c>
      <c r="IO108" s="408">
        <f>各项系数!$F$76/4*($MZ108^2-$MX108^2)*10^-2*(VLOOKUP(L108,各项系数!$D$1:$F$143,3,0))*10^-3*10^2*$ES108*各项系数!$J$4</f>
        <v>0.338854116203622</v>
      </c>
      <c r="IP108" s="396">
        <v>1</v>
      </c>
      <c r="IQ108" s="397">
        <f t="shared" si="464"/>
        <v>0.338854116203622</v>
      </c>
      <c r="IR108" s="372">
        <f>IQ108*(VLOOKUP(L108,各项系数!$D$1:$F$143,2,0))</f>
        <v>3.45631198527695</v>
      </c>
      <c r="IS108" s="408">
        <f>IF($L108&lt;&gt;$IS$9,0,各项系数!$F$76/4*($MZ108^2-$MX108^2)*10^-2*各项系数!$F$12*10^-3*10^2)*$ES108*各项系数!$J$4</f>
        <v>0</v>
      </c>
      <c r="IT108" s="396">
        <v>1</v>
      </c>
      <c r="IU108" s="397">
        <f t="shared" si="465"/>
        <v>0</v>
      </c>
      <c r="IV108" s="372">
        <f>IU108*各项系数!$E$12</f>
        <v>0</v>
      </c>
      <c r="IW108" s="395">
        <f t="shared" si="466"/>
        <v>0.338854116203622</v>
      </c>
      <c r="IX108" s="395">
        <f t="shared" si="467"/>
        <v>3.45631198527695</v>
      </c>
      <c r="IY108" s="447">
        <f>各项系数!$F$76/4*($NB108^2-$MZ108^2*$EG108-$NA108^2*$EO108)*10^-2</f>
        <v>4.4616896443639</v>
      </c>
      <c r="IZ108" s="366">
        <f t="shared" si="487"/>
        <v>1</v>
      </c>
      <c r="JA108" s="367">
        <f t="shared" si="363"/>
        <v>4.4616896443639</v>
      </c>
      <c r="JB108" s="371">
        <f>IF($DE108&lt;&gt;$JB$9,0,$JA108*各项系数!$F$32*10^-3*10^2)*各项系数!$J$4</f>
        <v>0</v>
      </c>
      <c r="JC108" s="127">
        <v>1</v>
      </c>
      <c r="JD108" s="95">
        <f t="shared" si="468"/>
        <v>0</v>
      </c>
      <c r="JE108" s="341">
        <f>JD108*各项系数!$E$32</f>
        <v>0</v>
      </c>
      <c r="JF108" s="364">
        <f>IF($DE108&lt;&gt;$JF$9,0,$JA108*VLOOKUP($JF$9,各项系数!$D$4:$F$540,2,0)*10^-3*10^2)*各项系数!$J$4</f>
        <v>2.21969059807104</v>
      </c>
      <c r="JG108" s="123">
        <v>1</v>
      </c>
      <c r="JH108" s="251">
        <f t="shared" si="364"/>
        <v>2.21969059807104</v>
      </c>
      <c r="JI108" s="339">
        <f>JH108*VLOOKUP($JF$9,各项系数!$D$4:$F$540,3,0)</f>
        <v>2.66362871768525</v>
      </c>
      <c r="JJ108" s="371">
        <f t="shared" si="469"/>
        <v>2.21969059807104</v>
      </c>
      <c r="JK108" s="95">
        <f t="shared" si="470"/>
        <v>2.66362871768525</v>
      </c>
      <c r="JL108" s="371">
        <f>IF($DF108&lt;&gt;$JL$9,0,各项系数!$F$76/4*($NE108^2-$NC108^2)*10^-2*各项系数!$F$39*10^-3*10^2)*各项系数!$J$4</f>
        <v>0.00485267014886347</v>
      </c>
      <c r="JM108" s="127">
        <v>1</v>
      </c>
      <c r="JN108" s="95">
        <f t="shared" si="471"/>
        <v>0.00485267014886347</v>
      </c>
      <c r="JO108" s="341">
        <f>JN108*各项系数!$E$39</f>
        <v>0.0970534029772694</v>
      </c>
      <c r="JP108" s="371">
        <f>IF($DF108&lt;&gt;$JP$9,0,各项系数!$F$76/4*($NE108^2-$NC108^2)*10^-2*各项系数!$F$36*10^-3*10^2)*各项系数!$J$4</f>
        <v>0</v>
      </c>
      <c r="JQ108" s="127">
        <v>1</v>
      </c>
      <c r="JR108" s="95">
        <f t="shared" si="472"/>
        <v>0</v>
      </c>
      <c r="JS108" s="341">
        <f>JR108*各项系数!$E$36</f>
        <v>0</v>
      </c>
      <c r="JT108" s="371">
        <f>IF($DF108&lt;&gt;$JT$9,0,各项系数!$F$76/4*($NE108^2-$NC108^2)*10^-2*各项系数!$F$40*10^-3*10^2)*各项系数!$J$4</f>
        <v>0</v>
      </c>
      <c r="JU108" s="127">
        <v>1</v>
      </c>
      <c r="JV108" s="95">
        <f t="shared" si="473"/>
        <v>0</v>
      </c>
      <c r="JW108" s="341">
        <f>JV108*各项系数!$E$40</f>
        <v>0</v>
      </c>
      <c r="JX108" s="371">
        <f>IF($DF108&lt;&gt;$JX$9,0,各项系数!$F$76/4*($NE108^2-$NC108^2)*10^-2*各项系数!$F$38*10^-3*10^2)*各项系数!$J$4</f>
        <v>0</v>
      </c>
      <c r="JY108" s="127">
        <v>1</v>
      </c>
      <c r="JZ108" s="95">
        <f t="shared" si="474"/>
        <v>0</v>
      </c>
      <c r="KA108" s="341">
        <f>JZ108*各项系数!$E$38</f>
        <v>0</v>
      </c>
      <c r="KB108" s="371">
        <f>IF($DF108&lt;&gt;$KB$9,0,各项系数!$F$76/4*($NE108^2-$NC108^2)*10^-2*各项系数!$F$41*10^-3*10^2)*各项系数!$J$4</f>
        <v>0</v>
      </c>
      <c r="KC108" s="127">
        <v>1</v>
      </c>
      <c r="KD108" s="95">
        <f t="shared" si="475"/>
        <v>0</v>
      </c>
      <c r="KE108" s="341">
        <f>KD108*各项系数!$E$41</f>
        <v>0</v>
      </c>
      <c r="KF108" s="95">
        <f t="shared" si="476"/>
        <v>0.00485267014886347</v>
      </c>
      <c r="KG108" s="95">
        <f t="shared" si="477"/>
        <v>0.0970534029772694</v>
      </c>
      <c r="KH108" s="304">
        <f>各项系数!$F$76/4*($NG108^2-$NE108^2)*10^-2*各项系数!$F$44*10^-3*10^2*各项系数!$J$4*0.75*$U108</f>
        <v>1.20979624201841</v>
      </c>
      <c r="KI108" s="127">
        <v>1</v>
      </c>
      <c r="KJ108" s="95">
        <f t="shared" si="478"/>
        <v>1.20979624201841</v>
      </c>
      <c r="KK108" s="95">
        <f>ROUND(KJ108*各项系数!$E$43,GT108)</f>
        <v>7</v>
      </c>
      <c r="KL108" s="302">
        <f>各项系数!$F$76/4*($NF108^2-$NE108^2)*10^-2*各项系数!$F$46*10^-3*10^2*各项系数!$J$4*PI()/4*R108</f>
        <v>0.0605145015831504</v>
      </c>
      <c r="KM108" s="127">
        <v>1</v>
      </c>
      <c r="KN108" s="95">
        <f t="shared" si="479"/>
        <v>0.0605145015831504</v>
      </c>
      <c r="KO108" s="95">
        <f>KN108*各项系数!$E$46</f>
        <v>4.08472885686265</v>
      </c>
      <c r="KP108" s="304">
        <f>各项系数!$F$76/4*($NH108^2-$NE108^2)*10^-2*(VLOOKUP($KP$9,各项系数!$D$1:$F$143,3,0))*10^-3*10^2*各项系数!$J$4</f>
        <v>0.518325014558275</v>
      </c>
      <c r="KQ108" s="127">
        <v>1</v>
      </c>
      <c r="KR108" s="95">
        <f t="shared" si="416"/>
        <v>0.518325014558275</v>
      </c>
      <c r="KS108" s="95">
        <f>KR108*(VLOOKUP($KP$9,各项系数!$D$1:$F$143,2,0))</f>
        <v>8.81152524749068</v>
      </c>
      <c r="KT108" s="304">
        <f>各项系数!$F$76/4*($NI108^2-$NF108^2)*10^-2*(VLOOKUP($KT$9,各项系数!$D$1:$F$143,3,0))*10^-3*10^2*各项系数!$J$4</f>
        <v>0.520138027678661</v>
      </c>
      <c r="KU108" s="127">
        <v>1</v>
      </c>
      <c r="KV108" s="95">
        <f t="shared" si="417"/>
        <v>0.520138027678661</v>
      </c>
      <c r="KW108" s="95">
        <f>KV108*(VLOOKUP($KT$9,各项系数!$D$1:$F$143,2,0))</f>
        <v>8.84234647053725</v>
      </c>
      <c r="KX108" s="95">
        <f>各项系数!$F$76/4*($NH108^2-$NE108^2)*10^-2*(VLOOKUP($KX$9,各项系数!$D$1:$F$143,3,0))*10^-3*10^2*各项系数!$J$4</f>
        <v>0.518325014558275</v>
      </c>
      <c r="KY108" s="481">
        <v>1</v>
      </c>
      <c r="KZ108" s="95">
        <f t="shared" si="418"/>
        <v>0.518325014558275</v>
      </c>
      <c r="LA108" s="95">
        <f>KZ108*(VLOOKUP($KX$9,各项系数!$D$1:$F$143,2,0))</f>
        <v>8.81152524749068</v>
      </c>
      <c r="LB108" s="95">
        <f>各项系数!$F$76/4*($NI108^2-$NF108^2)*10^-2*(VLOOKUP($LB$9,各项系数!$D$1:$F$143,3,0))*10^-3*10^2*各项系数!$J$4</f>
        <v>0.520138027678661</v>
      </c>
      <c r="LC108" s="481">
        <v>1</v>
      </c>
      <c r="LD108" s="95">
        <f t="shared" si="419"/>
        <v>0.520138027678661</v>
      </c>
      <c r="LE108" s="95">
        <f>LD108*(VLOOKUP($LB$9,各项系数!$D$1:$F$143,2,0))</f>
        <v>8.84234647053725</v>
      </c>
      <c r="LF108" s="304">
        <f>各项系数!$F$76/4*($NH108^2-$NE108^2)*10^-2*(VLOOKUP(AN108,各项系数!$D$1:$F$143,3,0))*10^-3*10^2*各项系数!$J$4</f>
        <v>0.525474325103906</v>
      </c>
      <c r="LG108" s="127">
        <v>1</v>
      </c>
      <c r="LH108" s="95">
        <f t="shared" si="480"/>
        <v>0.525474325103906</v>
      </c>
      <c r="LI108" s="95">
        <f>LH108*(VLOOKUP(AN108,各项系数!$D$1:$F$143,2,0))</f>
        <v>5.25474325103906</v>
      </c>
      <c r="LJ108" s="304">
        <f>各项系数!$F$76/4*($NI108^2-$NF108^2)*10^-2*(VLOOKUP(AN108,各项系数!$D$1:$F$143,3,0))*10^-3*10^2*各项系数!$J$4</f>
        <v>0.527312345301815</v>
      </c>
      <c r="LK108" s="127">
        <v>1</v>
      </c>
      <c r="LL108" s="95">
        <f t="shared" si="481"/>
        <v>0.527312345301815</v>
      </c>
      <c r="LM108" s="95">
        <f>LL108*(VLOOKUP(AN108,各项系数!$D$1:$F$143,2,0))</f>
        <v>5.27312345301815</v>
      </c>
      <c r="LN108" s="95">
        <f>各项系数!$F$76/4*($NH108^2-$NE108^2)*10^-2*(VLOOKUP($LN$9,各项系数!$D$1:$F$143,3,0))*10^-3*10^2*各项系数!$J$4</f>
        <v>0.525474325103906</v>
      </c>
      <c r="LO108" s="481">
        <v>1</v>
      </c>
      <c r="LP108" s="95">
        <f t="shared" si="482"/>
        <v>0.525474325103906</v>
      </c>
      <c r="LQ108" s="95">
        <f>LP108*(VLOOKUP($LN$9,各项系数!$D$1:$F$143,2,0))</f>
        <v>5.78021757614297</v>
      </c>
      <c r="LR108" s="95">
        <f>各项系数!$F$76/4*($NI108^2-$NF108^2)*10^-2*(VLOOKUP($LR$9,各项系数!$D$1:$F$143,3,0))*10^-3*10^2*各项系数!$J$4</f>
        <v>0.527312345301815</v>
      </c>
      <c r="LS108" s="481">
        <v>1</v>
      </c>
      <c r="LT108" s="95">
        <f t="shared" si="483"/>
        <v>0.527312345301815</v>
      </c>
      <c r="LU108" s="95">
        <f>LT108*(VLOOKUP($LR$9,各项系数!$D$1:$F$143,2,0))</f>
        <v>5.80043579831997</v>
      </c>
      <c r="LV108" s="501">
        <f t="shared" si="420"/>
        <v>573.24392478</v>
      </c>
      <c r="LW108" s="501">
        <f t="shared" si="421"/>
        <v>418.54740756</v>
      </c>
      <c r="LX108" s="501">
        <f t="shared" si="422"/>
        <v>23.0848675684262</v>
      </c>
      <c r="LY108" s="519">
        <f t="shared" si="423"/>
        <v>154.69651722</v>
      </c>
      <c r="LZ108" s="516">
        <f t="shared" si="365"/>
        <v>1</v>
      </c>
      <c r="MA108" s="517">
        <f t="shared" si="366"/>
        <v>573.24392478</v>
      </c>
      <c r="MB108" s="501">
        <f t="shared" si="424"/>
        <v>15.59782927</v>
      </c>
      <c r="MC108" s="501">
        <f t="shared" si="425"/>
        <v>89.67253284</v>
      </c>
      <c r="MD108" s="501">
        <f t="shared" si="426"/>
        <v>64.55208807</v>
      </c>
      <c r="ME108" s="501">
        <f t="shared" si="427"/>
        <v>9.06588502165955</v>
      </c>
      <c r="MF108" s="501">
        <f t="shared" si="428"/>
        <v>25.12044477</v>
      </c>
      <c r="MG108" s="527">
        <f t="shared" si="429"/>
        <v>1</v>
      </c>
      <c r="MH108" s="517">
        <f t="shared" si="367"/>
        <v>89.67253284</v>
      </c>
      <c r="MI108" s="501">
        <f t="shared" si="430"/>
        <v>10.6852522145455</v>
      </c>
      <c r="MJ108" s="95">
        <f t="shared" si="368"/>
        <v>15.59782927</v>
      </c>
      <c r="MK108" s="95">
        <f t="shared" si="431"/>
        <v>15.59782927</v>
      </c>
      <c r="ML108" s="95">
        <f t="shared" si="484"/>
        <v>10.6852522147794</v>
      </c>
      <c r="MM108" s="95">
        <f t="shared" si="369"/>
        <v>10.6852522145455</v>
      </c>
      <c r="MN108" s="95">
        <f t="shared" si="370"/>
        <v>18.39782927</v>
      </c>
      <c r="MO108" s="251">
        <f t="shared" si="432"/>
        <v>12.8852522145455</v>
      </c>
      <c r="MP108" s="95">
        <f t="shared" si="433"/>
        <v>41.18763771</v>
      </c>
      <c r="MQ108" s="95">
        <f t="shared" si="485"/>
        <v>41.18763771</v>
      </c>
      <c r="MR108" s="314">
        <f t="shared" si="434"/>
        <v>41.18763771</v>
      </c>
      <c r="MS108" s="530">
        <f t="shared" si="371"/>
        <v>41.36363771</v>
      </c>
      <c r="MT108" s="532">
        <f t="shared" si="372"/>
        <v>41.52363771</v>
      </c>
      <c r="MU108" s="532">
        <f t="shared" si="373"/>
        <v>42.86363771</v>
      </c>
      <c r="MV108" s="532">
        <f t="shared" si="374"/>
        <v>46.36363771</v>
      </c>
      <c r="MW108" s="532">
        <f t="shared" si="375"/>
        <v>46.52363771</v>
      </c>
      <c r="MX108" s="314">
        <f t="shared" si="376"/>
        <v>16.19782927</v>
      </c>
      <c r="MY108" s="314">
        <f t="shared" si="377"/>
        <v>11.2852522145455</v>
      </c>
      <c r="MZ108" s="95">
        <f t="shared" si="378"/>
        <v>18.99782927</v>
      </c>
      <c r="NA108" s="95">
        <f t="shared" si="379"/>
        <v>14.0852522145455</v>
      </c>
      <c r="NB108" s="95">
        <f t="shared" si="435"/>
        <v>43.00263771</v>
      </c>
      <c r="NC108" s="314">
        <f t="shared" si="486"/>
        <v>43.00263771</v>
      </c>
      <c r="ND108" s="314">
        <f t="shared" si="436"/>
        <v>43.00263771</v>
      </c>
      <c r="NE108" s="537">
        <f t="shared" si="437"/>
        <v>43.24263771</v>
      </c>
      <c r="NF108" s="532">
        <f t="shared" si="380"/>
        <v>43.40263771</v>
      </c>
      <c r="NG108" s="180">
        <f t="shared" si="381"/>
        <v>44.74263771</v>
      </c>
      <c r="NH108" s="314">
        <f t="shared" si="382"/>
        <v>48.24263771</v>
      </c>
      <c r="NI108" s="532">
        <f t="shared" si="383"/>
        <v>48.40263771</v>
      </c>
      <c r="NK108" s="541">
        <f t="shared" si="384"/>
        <v>5.66889796639979</v>
      </c>
      <c r="NL108" s="541">
        <f t="shared" si="385"/>
        <v>294.069383990881</v>
      </c>
      <c r="NM108" s="541">
        <f t="shared" si="386"/>
        <v>5.66889796639979</v>
      </c>
      <c r="NN108" s="541">
        <f t="shared" si="387"/>
        <v>294.573273066286</v>
      </c>
      <c r="NO108" s="541">
        <f t="shared" si="388"/>
        <v>7.5231023950438</v>
      </c>
      <c r="NP108" s="541">
        <f t="shared" si="389"/>
        <v>297.945141974245</v>
      </c>
      <c r="NQ108" s="541">
        <f t="shared" si="390"/>
        <v>7.5231023950438</v>
      </c>
      <c r="NR108" s="541">
        <f t="shared" si="391"/>
        <v>298.470616299349</v>
      </c>
      <c r="NS108" s="541">
        <f t="shared" si="392"/>
        <v>5.72678781827357</v>
      </c>
      <c r="NT108" s="541">
        <f t="shared" si="393"/>
        <v>5.72678781827357</v>
      </c>
      <c r="NU108" s="541">
        <f t="shared" si="394"/>
        <v>7.58361689662695</v>
      </c>
      <c r="NV108" s="541">
        <f t="shared" si="395"/>
        <v>7.58361689662695</v>
      </c>
      <c r="NW108" s="11">
        <f t="shared" si="396"/>
        <v>6.44098049795334</v>
      </c>
      <c r="NX108" s="11">
        <f>各项系数!$M$9*NK108</f>
        <v>1.70066938991994</v>
      </c>
      <c r="NY108" s="11">
        <f t="shared" si="397"/>
        <v>5.72678781827357</v>
      </c>
    </row>
    <row r="109" s="11" customFormat="1" customHeight="1" spans="1:389">
      <c r="A109" s="81"/>
      <c r="B109" s="82"/>
      <c r="C109" s="83"/>
      <c r="D109" s="74" t="s">
        <v>353</v>
      </c>
      <c r="E109" s="550">
        <f t="shared" si="325"/>
        <v>51.26862516</v>
      </c>
      <c r="F109" s="84">
        <f>$F$29</f>
        <v>245.09808262108</v>
      </c>
      <c r="G109" s="74"/>
      <c r="H109" s="23"/>
      <c r="I109" s="174">
        <f>$F$26</f>
        <v>245.088056587712</v>
      </c>
      <c r="J109" s="78"/>
      <c r="K109" s="23"/>
      <c r="L109" s="128" t="s">
        <v>467</v>
      </c>
      <c r="M109" s="119">
        <f t="shared" si="339"/>
        <v>1.6</v>
      </c>
      <c r="N109" s="119">
        <f t="shared" si="501"/>
        <v>1.1</v>
      </c>
      <c r="O109" s="74">
        <f t="shared" si="502"/>
        <v>0.08</v>
      </c>
      <c r="P109" s="120">
        <v>0.1</v>
      </c>
      <c r="Q109" s="165">
        <f t="shared" si="499"/>
        <v>0.1</v>
      </c>
      <c r="R109" s="182">
        <v>0.8</v>
      </c>
      <c r="S109" s="173" t="str">
        <f>各项系数!$D$43</f>
        <v>钢带</v>
      </c>
      <c r="T109" s="78">
        <v>0.5</v>
      </c>
      <c r="U109" s="78">
        <v>2</v>
      </c>
      <c r="V109" s="172"/>
      <c r="W109" s="174">
        <v>2.7</v>
      </c>
      <c r="X109" s="168">
        <f t="shared" si="500"/>
        <v>0.2</v>
      </c>
      <c r="Y109" s="221"/>
      <c r="Z109" s="222"/>
      <c r="AA109" s="223">
        <f>$AA$29</f>
        <v>1.015</v>
      </c>
      <c r="AB109" s="186">
        <f>PI()*EJ109*EJ109/4*EH109*(1-H109)*AA109*各项系数!$F$5*各项系数!$J$4*10^-7</f>
        <v>1.56733675087884</v>
      </c>
      <c r="AC109" s="224">
        <f t="shared" si="327"/>
        <v>245.09808262108</v>
      </c>
      <c r="AD109" s="186">
        <f t="shared" si="341"/>
        <v>177.189293020653</v>
      </c>
      <c r="AE109" s="186">
        <f>POWER(4*EU109/PI()/EG109/10^-7/EH109/(1-H109)/各项系数!$F$5/各项系数!$J$4,0.5)</f>
        <v>246.929476077883</v>
      </c>
      <c r="AF109" s="225">
        <f>$AA$26</f>
        <v>1.013</v>
      </c>
      <c r="AG109" s="23">
        <f>IF(EM109=0,0,PI()*ER109*ER109/4*EP109*(1-K109)*(1+AF109)*各项系数!$F$5*各项系数!$J$4*10^-7)</f>
        <v>1.59608639301842</v>
      </c>
      <c r="AH109" s="23">
        <f t="shared" si="328"/>
        <v>245.088056587712</v>
      </c>
      <c r="AI109" s="85">
        <f t="shared" si="398"/>
        <v>90.8023783381159</v>
      </c>
      <c r="AJ109" s="85">
        <f>IF(OR(EP109="",EP109=0),0,POWER(4*EW109/PI()/EO109/10^-7/EP109/(1-K109)/各项系数!$F$5/各项系数!$J$4,0.5))</f>
        <v>246.675984853019</v>
      </c>
      <c r="AK109" s="23">
        <f t="shared" si="342"/>
        <v>5.50520723034523</v>
      </c>
      <c r="AL109" s="23">
        <f t="shared" si="329"/>
        <v>383.849862996435</v>
      </c>
      <c r="AM109" s="127">
        <f t="shared" si="330"/>
        <v>185</v>
      </c>
      <c r="AN109" s="128" t="s">
        <v>486</v>
      </c>
      <c r="AO109" s="176">
        <f>AP109+各项系数!$M$9*$NK109</f>
        <v>376.323395094544</v>
      </c>
      <c r="AP109" s="176">
        <f>AQ109*(1+$BI109+(VLOOKUP($AM109,$A$12:$B$323,2,0))+各项系数!$J$6+各项系数!$M$5)*(1+$E$2)</f>
        <v>374.185305912128</v>
      </c>
      <c r="AQ109" s="262">
        <f>AR109+各项系数!$L$9*$NK109</f>
        <v>381.821740726661</v>
      </c>
      <c r="AR109" s="262">
        <f>AS109*(1+$BJ109+各项系数!$J$5+各项系数!$L$5)</f>
        <v>379.683651544246</v>
      </c>
      <c r="AS109" s="262">
        <f t="shared" si="399"/>
        <v>372.238874062986</v>
      </c>
      <c r="AT109" s="176">
        <f>AU109+各项系数!$M$9*$NM109</f>
        <v>380.400405837294</v>
      </c>
      <c r="AU109" s="176">
        <f>AV109*(1+$BI109+(VLOOKUP($AM109,$A$12:$B$323,2,0))+各项系数!$J$6+各项系数!$M$5)*(1+$E$2)</f>
        <v>378.262316654879</v>
      </c>
      <c r="AV109" s="262">
        <f>AW109+各项系数!$L$9*$NM109</f>
        <v>385.981955770284</v>
      </c>
      <c r="AW109" s="262">
        <f>AX109*(1+$BJ109+各项系数!$J$5+各项系数!$L$5)</f>
        <v>383.843866587869</v>
      </c>
      <c r="AX109" s="262">
        <f t="shared" si="400"/>
        <v>376.317516262616</v>
      </c>
      <c r="AY109" s="176">
        <f>AZ109+各项系数!$M$9*$NS109</f>
        <v>380.711952642987</v>
      </c>
      <c r="AZ109" s="176">
        <f>BA109*(1+$BI109+(VLOOKUP($AM109,$A$12:$B$214,2,0))+各项系数!$J$6+各项系数!$M$5)*(1+$E$2)</f>
        <v>378.554608690108</v>
      </c>
      <c r="BA109" s="262">
        <f>BB109+各项系数!$L$9*$NS109</f>
        <v>386.280212949089</v>
      </c>
      <c r="BB109" s="262">
        <f>BC109*(1+$BJ109+各项系数!$J$5+各项系数!$L$5)</f>
        <v>384.12286899621</v>
      </c>
      <c r="BC109" s="262">
        <f t="shared" si="401"/>
        <v>376.5910480355</v>
      </c>
      <c r="BD109" s="176">
        <f>BE109+各项系数!$M$9*$NS109</f>
        <v>384.802394313969</v>
      </c>
      <c r="BE109" s="176">
        <f>BF109*(1+$BI109+(VLOOKUP($AM109,$A$12:$B$214,2,0))+各项系数!$J$6+各项系数!$M$5)*(1+$E$2)</f>
        <v>382.64505036109</v>
      </c>
      <c r="BF109" s="262">
        <f>BG109+各项系数!$L$9*$NS109</f>
        <v>390.45413302152</v>
      </c>
      <c r="BG109" s="262">
        <f>BH109*(1+$BJ109+各项系数!$J$5+各项系数!$L$5)</f>
        <v>388.296789068641</v>
      </c>
      <c r="BH109" s="262">
        <f t="shared" si="402"/>
        <v>380.683126537883</v>
      </c>
      <c r="BI109" s="278"/>
      <c r="BJ109" s="279"/>
      <c r="BK109" s="95" t="s">
        <v>514</v>
      </c>
      <c r="BL109" s="176">
        <f>BM109+各项系数!$M$9*$NM109</f>
        <v>380.57957351879</v>
      </c>
      <c r="BM109" s="176">
        <f>BN109*(1+$CF109+(VLOOKUP($AM109,$A$12:$B$323,2,0))+各项系数!$J$6+各项系数!$M$5)*(1+$E$2)</f>
        <v>378.441484336375</v>
      </c>
      <c r="BN109" s="262">
        <f>BO109+各项系数!$L$9*$NM109</f>
        <v>386.164779935076</v>
      </c>
      <c r="BO109" s="262">
        <f>BP109*(1+$CG109+各项系数!$J$5+各项系数!$L$5)</f>
        <v>384.02669075266</v>
      </c>
      <c r="BP109" s="262">
        <f t="shared" si="403"/>
        <v>372.84144733268</v>
      </c>
      <c r="BQ109" s="176">
        <f>BR109+各项系数!$M$9*$NM109</f>
        <v>384.088317496668</v>
      </c>
      <c r="BR109" s="176">
        <f>BS109*(1+$CF109+(VLOOKUP($AM109,$A$12:$B$323,2,0))+各项系数!$J$6+各项系数!$M$5)*(1+$E$2)</f>
        <v>381.950228314252</v>
      </c>
      <c r="BS109" s="262">
        <f>BT109+各项系数!$L$9*$NM109</f>
        <v>389.745130932911</v>
      </c>
      <c r="BT109" s="262">
        <f>BU109*(1+$CG109+各项系数!$J$5+各项系数!$L$5)</f>
        <v>387.607041750495</v>
      </c>
      <c r="BU109" s="262">
        <f t="shared" si="404"/>
        <v>376.317516262616</v>
      </c>
      <c r="BV109" s="176">
        <f>BW109+各项系数!$M$9*$NT109</f>
        <v>382.906687154829</v>
      </c>
      <c r="BW109" s="176">
        <f>BX109*(1+$CF109+(VLOOKUP($AM109,$A$12:$B$214,2,0))+各项系数!$J$6+各项系数!$M$5)*(1+$E$2)</f>
        <v>380.749343201949</v>
      </c>
      <c r="BX109" s="262">
        <f>BY109+各项系数!$L$9*$NT$12</f>
        <v>388.519737961173</v>
      </c>
      <c r="BY109" s="262">
        <f>BZ109*(1+$CG109+各项系数!$J$5+各项系数!$L$5)</f>
        <v>388.511474558018</v>
      </c>
      <c r="BZ109" s="262">
        <f t="shared" si="343"/>
        <v>377.195606367008</v>
      </c>
      <c r="CA109" s="176">
        <f>CB109+各项系数!$M$9*$NT109</f>
        <v>386.426990015311</v>
      </c>
      <c r="CB109" s="176">
        <f>CC109*(1+$CF109+(VLOOKUP($AM109,$A$12:$B$214,2,0))+各项系数!$J$6+各项系数!$M$5)*(1+$E$2)</f>
        <v>384.269646062431</v>
      </c>
      <c r="CC109" s="262">
        <f>CD109+各项系数!$L$9*$NT$12</f>
        <v>392.111883737175</v>
      </c>
      <c r="CD109" s="262">
        <f>CE109*(1+$CG109+各项系数!$J$5+各项系数!$L$5)</f>
        <v>392.10362033402</v>
      </c>
      <c r="CE109" s="262">
        <f t="shared" si="405"/>
        <v>380.683126537883</v>
      </c>
      <c r="CF109" s="278">
        <f t="shared" si="406"/>
        <v>0</v>
      </c>
      <c r="CG109" s="278">
        <f t="shared" si="344"/>
        <v>0.01</v>
      </c>
      <c r="CH109" s="127"/>
      <c r="CI109" s="176">
        <f>CJ109+各项系数!$M$9*$NO109</f>
        <v>384.507591555561</v>
      </c>
      <c r="CJ109" s="176">
        <f>CK109*(1+$DC109+(VLOOKUP($AM109,$A$12:$B$323,2,0))+各项系数!$J$6+各项系数!$M$5)*(1+$E$2)+各项系数!$M$9*$NK109</f>
        <v>381.679191267593</v>
      </c>
      <c r="CK109" s="262">
        <f>CL109+各项系数!$L$9*$NO109</f>
        <v>387.286838862426</v>
      </c>
      <c r="CL109" s="262">
        <f>CM109*(1+$DD109+各项系数!$J$5+各项系数!$L$5)</f>
        <v>384.458438574458</v>
      </c>
      <c r="CM109" s="262">
        <f t="shared" si="345"/>
        <v>376.920037818096</v>
      </c>
      <c r="CN109" s="176">
        <f>CO109+各项系数!$M$9*$NO109</f>
        <v>388.32156279953</v>
      </c>
      <c r="CO109" s="176">
        <f>CP109*(1+$DC109+(VLOOKUP($AM109,$A$12:$B$323,2,0))+各项系数!$J$6+各项系数!$M$5)*(1+$E$2)+各项系数!$M$9*$NK109</f>
        <v>385.493162511562</v>
      </c>
      <c r="CP109" s="262">
        <f>CQ109+各项系数!$L$9*$NO109</f>
        <v>391.178646254231</v>
      </c>
      <c r="CQ109" s="262">
        <f>CR109*(1+$DD109+各项系数!$J$5+各项系数!$L$5)</f>
        <v>388.350245966263</v>
      </c>
      <c r="CR109" s="262">
        <f t="shared" si="346"/>
        <v>380.735535261043</v>
      </c>
      <c r="CS109" s="176">
        <f>CT109+各项系数!$M$9*$NU109</f>
        <v>386.959720889858</v>
      </c>
      <c r="CT109" s="176">
        <f t="shared" si="347"/>
        <v>384.111177026419</v>
      </c>
      <c r="CU109" s="262">
        <f>CV109+各项系数!$L$9*$NU109</f>
        <v>391.950180639203</v>
      </c>
      <c r="CV109" s="262">
        <f>CW109*(1+$DD109+各项系数!$J$5+各项系数!$L$5)</f>
        <v>389.101636775763</v>
      </c>
      <c r="CW109" s="262">
        <f t="shared" si="348"/>
        <v>381.472192917415</v>
      </c>
      <c r="CX109" s="176">
        <f>CY109+各项系数!$M$9*$NU109</f>
        <v>391.228206303213</v>
      </c>
      <c r="CY109" s="176">
        <f t="shared" si="349"/>
        <v>388.379662439774</v>
      </c>
      <c r="CZ109" s="262">
        <f>DA109+各项系数!$L$9*$NU109</f>
        <v>396.305777999769</v>
      </c>
      <c r="DA109" s="262">
        <f>DB109*(1+$DD109+各项系数!$J$5+各项系数!$L$5)</f>
        <v>393.457234136329</v>
      </c>
      <c r="DB109" s="262">
        <f t="shared" si="350"/>
        <v>385.742386408166</v>
      </c>
      <c r="DC109" s="278">
        <f t="shared" si="498"/>
        <v>0</v>
      </c>
      <c r="DD109" s="278">
        <f t="shared" si="351"/>
        <v>0</v>
      </c>
      <c r="DE109" s="95" t="s">
        <v>498</v>
      </c>
      <c r="DF109" s="95" t="s">
        <v>513</v>
      </c>
      <c r="DG109" s="176">
        <f>DH109+各项系数!$M$9*$NQ109</f>
        <v>388.836207216347</v>
      </c>
      <c r="DH109" s="176">
        <f>DI109*(1+$EA109+(VLOOKUP($AM109,$A$12:$B$323,2,0))+各项系数!$J$6+各项系数!$M$5)*(1+$E$2)+各项系数!$M$9*$NK109</f>
        <v>386.007806928379</v>
      </c>
      <c r="DI109" s="262">
        <f>DJ109+各项系数!$L$9*$NQ109</f>
        <v>391.70379361833</v>
      </c>
      <c r="DJ109" s="262">
        <f>DK109*(1+$EB109+各项系数!$J$5+各项系数!$L$5)</f>
        <v>388.875393330363</v>
      </c>
      <c r="DK109" s="262">
        <f t="shared" si="352"/>
        <v>377.548925563459</v>
      </c>
      <c r="DL109" s="176">
        <f>DM109+各项系数!$M$9*$NQ109</f>
        <v>392.498178631744</v>
      </c>
      <c r="DM109" s="176">
        <f>DN109*(1+$EA109+(VLOOKUP($AM109,$A$12:$B$323,2,0))+各项系数!$J$6+各项系数!$M$5)*(1+$E$2)+各项系数!$M$9*$NK109</f>
        <v>389.669778343776</v>
      </c>
      <c r="DN109" s="262">
        <f>DO109+各项系数!$L$9*$NQ109</f>
        <v>395.440499144245</v>
      </c>
      <c r="DO109" s="262">
        <f>DP109*(1+$EB109+各项系数!$J$5+各项系数!$L$5)</f>
        <v>392.612098856277</v>
      </c>
      <c r="DP109" s="262">
        <f t="shared" si="353"/>
        <v>381.176795006095</v>
      </c>
      <c r="DQ109" s="176">
        <f>DR109+各项系数!$M$9*$NV109</f>
        <v>391.334951392013</v>
      </c>
      <c r="DR109" s="176">
        <f t="shared" si="354"/>
        <v>388.486407528573</v>
      </c>
      <c r="DS109" s="262">
        <f>DT109+各项系数!$L$9*$NV109</f>
        <v>396.414701559769</v>
      </c>
      <c r="DT109" s="262">
        <f>DU109*(1+$EB109+各项系数!$J$5+各项系数!$L$5)</f>
        <v>393.566157696329</v>
      </c>
      <c r="DU109" s="262">
        <f t="shared" si="355"/>
        <v>382.103065724591</v>
      </c>
      <c r="DV109" s="176">
        <f>DW109+各项系数!$M$9*$NV109</f>
        <v>390.62272914468</v>
      </c>
      <c r="DW109" s="176">
        <f t="shared" si="356"/>
        <v>387.77418528124</v>
      </c>
      <c r="DX109" s="262">
        <f>DY109+各项系数!$L$9*$NV109</f>
        <v>395.687944164531</v>
      </c>
      <c r="DY109" s="262">
        <f>DZ109*(1+$EB109+各项系数!$J$5+各项系数!$L$5)</f>
        <v>392.839400301091</v>
      </c>
      <c r="DZ109" s="262">
        <f t="shared" si="357"/>
        <v>381.397476020477</v>
      </c>
      <c r="EA109" s="278">
        <f t="shared" si="492"/>
        <v>0</v>
      </c>
      <c r="EB109" s="278">
        <f t="shared" si="358"/>
        <v>0.01</v>
      </c>
      <c r="EC109" s="302" t="str">
        <f t="shared" si="408"/>
        <v>3+1</v>
      </c>
      <c r="ED109" s="304" t="str">
        <f t="shared" si="494"/>
        <v>3*185</v>
      </c>
      <c r="EE109" s="95">
        <f t="shared" si="495"/>
        <v>185</v>
      </c>
      <c r="EF109" s="95" t="str">
        <f>LOOKUP(EH109,{1,7,10,14,19,24,30,37,48,61},{1,"1+6","2+8","4+10","1+6+12","2+8+14","4+10+16","1+6+12+18","3+9+15+21","1+6+12+18+24"})</f>
        <v>1+6+12+18</v>
      </c>
      <c r="EG109" s="127">
        <f t="shared" si="359"/>
        <v>3</v>
      </c>
      <c r="EH109" s="262">
        <f>VLOOKUP(EE109,各项系数!$B$87:$C$124,2,0)</f>
        <v>37</v>
      </c>
      <c r="EI109" s="127">
        <f>IF(EH109=0,0,VLOOKUP(EH109,各项系数!$D$142:$E$195,2,0))*1</f>
        <v>7</v>
      </c>
      <c r="EJ109" s="307">
        <f t="shared" si="409"/>
        <v>245.09808262108</v>
      </c>
      <c r="EK109" s="95" t="str">
        <f t="shared" si="332"/>
        <v>1*95</v>
      </c>
      <c r="EL109" s="95" t="str">
        <f t="shared" si="360"/>
        <v>95</v>
      </c>
      <c r="EM109" s="95">
        <f t="shared" si="496"/>
        <v>95</v>
      </c>
      <c r="EN109" s="95" t="str">
        <f>IF(EP109=0,0,LOOKUP(EP109,{1,7,10,14,19,24,30,37,48,61},{1,"1+6","2+8","4+10","1+6+12","2+8+14","4+10+16","1+6+12+18","3+9+15+21","1+6+12+18+24"}))</f>
        <v>1+6+12</v>
      </c>
      <c r="EO109" s="95" t="str">
        <f t="shared" si="334"/>
        <v>1</v>
      </c>
      <c r="EP109" s="95">
        <f>IF(EM109=0,0,IF(EM109&lt;10,1,IF(AND(EM109&gt;=10,EM109&lt;=35),7,LOOKUP(EM109,{50,70,95,120,150,185,240,300},{10,14,19,24,30,37,48,61})*1)))</f>
        <v>19</v>
      </c>
      <c r="EQ109" s="95">
        <f>IF(EP109=0,0,VLOOKUP(EP109,各项系数!$D$142:$E$195,2,0))*1</f>
        <v>5</v>
      </c>
      <c r="ER109" s="95">
        <f t="shared" si="335"/>
        <v>245.088056587712</v>
      </c>
      <c r="ES109" s="304">
        <f t="shared" si="497"/>
        <v>4</v>
      </c>
      <c r="ET109" s="95">
        <f>VLOOKUP(ES109,各项系数!$D$142:$E$195,2,0)*1</f>
        <v>2.42</v>
      </c>
      <c r="EU109" s="311">
        <f>((各项系数!$F$76/4*$EJ109^2*$EG109*$EH109*1*10^-7)*(1-$H109)*AA109)*(VLOOKUP($EY$9,各项系数!$D$4:$F$143,3,0))*各项系数!$J$4</f>
        <v>4.7020102526365</v>
      </c>
      <c r="EV109" s="312">
        <f>EU109*(VLOOKUP($EY$9,各项系数!$D$4:$F$143,2,0))</f>
        <v>307.981671547691</v>
      </c>
      <c r="EW109" s="324">
        <f>(IF($EO109=0,0,(各项系数!$F$76/4*$ER109^2*$EO109*$EP109*1*10^-7))*(1-$K109)*$AF109)*(VLOOKUP($EY$9,各项系数!$D$4:$F$143,3,0))*各项系数!$J$4</f>
        <v>0.803196977708721</v>
      </c>
      <c r="EX109" s="325">
        <f>EW109*(VLOOKUP($EY$9,各项系数!$D$4:$F$143,2,0))</f>
        <v>52.6094020399212</v>
      </c>
      <c r="EY109" s="251">
        <f>((各项系数!$F$76/4*$EJ109^2*$EG109*$EH109*1*10^-7)*(1-$H109)*AA109+IF($EO109=0,0,(各项系数!$F$76/4*$ER109^2*$EO109*$EP109*1*10^-7))*(1-$K109)*$AF109)*(VLOOKUP($EY$9,各项系数!$D$4:$F$143,3,0))*各项系数!$J$4</f>
        <v>5.50520723034523</v>
      </c>
      <c r="EZ109" s="127">
        <v>1</v>
      </c>
      <c r="FA109" s="95">
        <f t="shared" si="445"/>
        <v>5.50520723034523</v>
      </c>
      <c r="FB109" s="314">
        <f>FA109*(VLOOKUP($EY$9,各项系数!$D$4:$F$143,2,0))</f>
        <v>360.591073587612</v>
      </c>
      <c r="FC109" s="329"/>
      <c r="FD109" s="304">
        <f>各项系数!$F$76/4*($MN109^2-MK109^2)*10^-2*(VLOOKUP(L109,各项系数!$D$1:$F$143,3,0))*10^-3*10^2*$EG109*各项系数!$J$4</f>
        <v>0.309575902278193</v>
      </c>
      <c r="FE109" s="341">
        <f>FD109*VLOOKUP(L109,各项系数!$D$1:$F$143,2,0)</f>
        <v>3.15767420323757</v>
      </c>
      <c r="FF109" s="127">
        <f>各项系数!$F$76/4*($MO109^2-ML109^2)*10^-2*(VLOOKUP(L109,各项系数!$D$1:$F$143,3,0))*10^-3*10^2*$EO109*各项系数!$J$4</f>
        <v>0.0505106312626931</v>
      </c>
      <c r="FG109" s="341">
        <f>FF109*VLOOKUP(L109,各项系数!$D$1:$F$143,2,0)</f>
        <v>0.515208438879469</v>
      </c>
      <c r="FH109" s="304">
        <f t="shared" si="410"/>
        <v>0.360086533540886</v>
      </c>
      <c r="FI109" s="127">
        <v>1</v>
      </c>
      <c r="FJ109" s="95">
        <f t="shared" si="446"/>
        <v>0.360086533540886</v>
      </c>
      <c r="FK109" s="341">
        <f>FJ109*VLOOKUP(L109,各项系数!$D$1:$F$143,2,0)</f>
        <v>3.67288264211704</v>
      </c>
      <c r="FL109" s="304"/>
      <c r="FM109" s="127"/>
      <c r="FN109" s="95"/>
      <c r="FO109" s="341"/>
      <c r="FP109" s="371">
        <f t="shared" si="447"/>
        <v>0.360086533540886</v>
      </c>
      <c r="FQ109" s="371">
        <f t="shared" si="448"/>
        <v>3.67288264211704</v>
      </c>
      <c r="FR109" s="365">
        <f>各项系数!$F$76/4*($MQ109^2-$MN109^2*$EG109-$MO109^2*$EO109)*10^-2</f>
        <v>4.99262121303732</v>
      </c>
      <c r="FS109" s="366">
        <f t="shared" si="411"/>
        <v>1</v>
      </c>
      <c r="FT109" s="367">
        <f t="shared" si="361"/>
        <v>4.99262121303732</v>
      </c>
      <c r="FU109" s="395">
        <f>$FT109*(VLOOKUP($FT$9,各项系数!$D$1:$F$143,3,0))*10^-3*10^2*各项系数!$J$55</f>
        <v>0.596118972836656</v>
      </c>
      <c r="FV109" s="396">
        <v>1</v>
      </c>
      <c r="FW109" s="397">
        <f t="shared" si="449"/>
        <v>0.596118972836656</v>
      </c>
      <c r="FX109" s="372">
        <f>FW109*(VLOOKUP($FT$9,各项系数!$D$1:$F$143,2,0))</f>
        <v>1.78835691850997</v>
      </c>
      <c r="FY109" s="395">
        <f>IF($BK109&lt;&gt;$FY$9,0,各项系数!$F$76/4*($MS109^2-$MQ109^2)*10^-2*(VLOOKUP($FY$9,各项系数!$D$1:$F$143,3,0))*10^-3*10^2)*各项系数!$J$4</f>
        <v>0</v>
      </c>
      <c r="FZ109" s="396">
        <v>1</v>
      </c>
      <c r="GA109" s="397">
        <f t="shared" si="450"/>
        <v>0</v>
      </c>
      <c r="GB109" s="372">
        <f>GA109*(VLOOKUP($FY$9,各项系数!$D$1:$F$143,2,0))</f>
        <v>0</v>
      </c>
      <c r="GC109" s="395">
        <f>IF($BK109&lt;&gt;$GC$9,0,各项系数!$F$76/4*($MS109^2-$MQ109^2)*10^-2*(VLOOKUP($GC$9,各项系数!$D$1:$F$143,3,0))*10^-3*10^2)*各项系数!$J$4</f>
        <v>0.0124673037058236</v>
      </c>
      <c r="GD109" s="396">
        <v>1</v>
      </c>
      <c r="GE109" s="397">
        <f t="shared" si="451"/>
        <v>0.0124673037058236</v>
      </c>
      <c r="GF109" s="372">
        <f>GE109*(VLOOKUP($GC$9,各项系数!$D$1:$F$143,2,0))</f>
        <v>0.160828217805125</v>
      </c>
      <c r="GG109" s="395">
        <f>IF($BK109&lt;&gt;$GG$9,0,各项系数!$F$76/4*($MS109^2-$MQ109^2)*10^-2*(VLOOKUP($GG$9,各项系数!$D$1:$F$143,3,0))*10^-3*10^2)*各项系数!$J$4</f>
        <v>0</v>
      </c>
      <c r="GH109" s="396">
        <v>1</v>
      </c>
      <c r="GI109" s="397">
        <f t="shared" si="452"/>
        <v>0</v>
      </c>
      <c r="GJ109" s="372">
        <f>GI109*(VLOOKUP($GG$9,各项系数!$D$1:$F$143,2,0))</f>
        <v>0</v>
      </c>
      <c r="GK109" s="395">
        <f>IF($BK109&lt;&gt;$GK$9,0,各项系数!$F$76/4*($MS109^2-$MQ109^2)*10^-2*(VLOOKUP($GK$9,各项系数!$D$1:$F$143,3,0))*10^-3*10^2)*各项系数!$J$4</f>
        <v>0</v>
      </c>
      <c r="GL109" s="396">
        <v>1</v>
      </c>
      <c r="GM109" s="397">
        <f t="shared" si="453"/>
        <v>0</v>
      </c>
      <c r="GN109" s="372">
        <f>GM109*(VLOOKUP($GK$9,各项系数!$D$1:$F$143,2,0))</f>
        <v>0</v>
      </c>
      <c r="GO109" s="397">
        <f t="shared" si="454"/>
        <v>0.0124673037058236</v>
      </c>
      <c r="GP109" s="397">
        <f t="shared" si="455"/>
        <v>0.160828217805125</v>
      </c>
      <c r="GQ109" s="408">
        <f>各项系数!$F$76/4*($MU109^2-$MS109^2)*10^-2*(VLOOKUP($S109,各项系数!$D$1:$F$143,3,0))*10^-3*10^2*各项系数!$J$4</f>
        <v>0.854673879728328</v>
      </c>
      <c r="GR109" s="396">
        <v>1</v>
      </c>
      <c r="GS109" s="397">
        <f t="shared" si="456"/>
        <v>0.854673879728328</v>
      </c>
      <c r="GT109" s="397">
        <f t="shared" si="457"/>
        <v>0</v>
      </c>
      <c r="GU109" s="397">
        <f>ROUND($GS109*(VLOOKUP($S109,各项系数!$D$1:$F$143,2,0))+$E$3*GS109,GT109)</f>
        <v>5</v>
      </c>
      <c r="GV109" s="406">
        <f>各项系数!$F$76/4*($MT109^2-$MS109^2)*10^-2*(VLOOKUP($GV$9,各项系数!$D$1:$F$143,3,0))*10^-3*10^2*各项系数!$J$4*PI()/4*R109</f>
        <v>0.0641825682129835</v>
      </c>
      <c r="GW109" s="396">
        <v>1</v>
      </c>
      <c r="GX109" s="397">
        <f t="shared" si="458"/>
        <v>0.0641825682129835</v>
      </c>
      <c r="GY109" s="397">
        <f>$GX109*(VLOOKUP($GV$9,各项系数!$D$1:$F$143,2,0))</f>
        <v>4.33232335437639</v>
      </c>
      <c r="GZ109" s="408">
        <f>各项系数!$F$76/4*($MV109^2-$MS109^2)*10^-2*(VLOOKUP($GZ$9,各项系数!$D$1:$F$143,3,0))*10^-3*10^2*各项系数!$J$4</f>
        <v>0.594374993915998</v>
      </c>
      <c r="HA109" s="396">
        <v>1</v>
      </c>
      <c r="HB109" s="397">
        <f t="shared" si="412"/>
        <v>0.594374993915998</v>
      </c>
      <c r="HC109" s="397">
        <f>HB109*(VLOOKUP($GZ$9,各项系数!$D$1:$F$143,2,0))</f>
        <v>10.104374896572</v>
      </c>
      <c r="HD109" s="408">
        <f>各项系数!$F$76/4*($MW109^2-$MT109^2)*10^-2*(VLOOKUP($HD$9,各项系数!$D$1:$F$143,3,0))*10^-3*10^2*各项系数!$J$4</f>
        <v>0.596333048086016</v>
      </c>
      <c r="HE109" s="396">
        <v>1</v>
      </c>
      <c r="HF109" s="397">
        <f t="shared" si="413"/>
        <v>0.596333048086016</v>
      </c>
      <c r="HG109" s="397">
        <f>HF109*(VLOOKUP($HD$9,各项系数!$D$1:$F$143,2,0))</f>
        <v>10.1376618174623</v>
      </c>
      <c r="HH109" s="408">
        <f>各项系数!$F$76/4*($MV109^2-$MS109^2)*10^-2*(VLOOKUP($HH$9,各项系数!$D$1:$F$143,3,0))*10^-3*10^2*各项系数!$J$4</f>
        <v>0.594374993915998</v>
      </c>
      <c r="HI109" s="397">
        <v>1</v>
      </c>
      <c r="HJ109" s="397">
        <f t="shared" si="414"/>
        <v>0.594374993915998</v>
      </c>
      <c r="HK109" s="397">
        <f>HJ109*(VLOOKUP($HH$9,各项系数!$D$1:$F$143,2,0))</f>
        <v>10.104374896572</v>
      </c>
      <c r="HL109" s="408">
        <f>各项系数!$F$76/4*($MW109^2-$MT109^2)*10^-2*(VLOOKUP($HL$9,各项系数!$D$1:$F$143,3,0))*10^-3*10^2*各项系数!$J$4</f>
        <v>0.596333048086016</v>
      </c>
      <c r="HM109" s="397">
        <v>1</v>
      </c>
      <c r="HN109" s="397">
        <f t="shared" si="362"/>
        <v>0.596333048086016</v>
      </c>
      <c r="HO109" s="397">
        <f>HN109*(VLOOKUP($HL$9,各项系数!$D$1:$F$143,2,0))</f>
        <v>10.1376618174623</v>
      </c>
      <c r="HP109" s="408">
        <f>各项系数!$F$76/4*($MV109^2-$MS109^2)*10^-2*(VLOOKUP(AN109,各项系数!$D$1:$F$143,3,0))*10^-3*10^2*各项系数!$J$4</f>
        <v>0.60257326969415</v>
      </c>
      <c r="HQ109" s="396">
        <v>1</v>
      </c>
      <c r="HR109" s="397">
        <f t="shared" si="459"/>
        <v>0.60257326969415</v>
      </c>
      <c r="HS109" s="397">
        <f>HR109*(VLOOKUP(AN109,各项系数!$D$1:$F$143,2,0))</f>
        <v>6.0257326969415</v>
      </c>
      <c r="HT109" s="408">
        <f>各项系数!$F$76/4*($MW109^2-$MT109^2)*10^-2*(VLOOKUP(AN109,各项系数!$D$1:$F$143,3,0))*10^-3*10^2*各项系数!$J$4</f>
        <v>0.604558331507892</v>
      </c>
      <c r="HU109" s="396">
        <v>1</v>
      </c>
      <c r="HV109" s="397">
        <f t="shared" si="460"/>
        <v>0.604558331507892</v>
      </c>
      <c r="HW109" s="397">
        <f>HV109*(VLOOKUP(AN109,各项系数!$D$1:$F$143,2,0))</f>
        <v>6.04558331507892</v>
      </c>
      <c r="HX109" s="408">
        <f>各项系数!$F$76/4*($MV109^2-$MS109^2)*10^-2*(VLOOKUP($HX$9,各项系数!$D$1:$F$143,3,0))*10^-3*10^2*各项系数!$J$4</f>
        <v>0.60257326969415</v>
      </c>
      <c r="HY109" s="397">
        <v>1</v>
      </c>
      <c r="HZ109" s="397">
        <f t="shared" si="461"/>
        <v>0.60257326969415</v>
      </c>
      <c r="IA109" s="397">
        <f>HZ109*(VLOOKUP($HX$9,各项系数!$D$1:$F$143,2,0))</f>
        <v>6.62830596663565</v>
      </c>
      <c r="IB109" s="408">
        <f>各项系数!$F$76/4*($MW109^2-$MT109^2)*10^-2*(VLOOKUP($IB$9,各项系数!$D$1:$F$143,3,0))*10^-3*10^2*各项系数!$J$4</f>
        <v>0.604558331507892</v>
      </c>
      <c r="IC109" s="397">
        <v>1</v>
      </c>
      <c r="ID109" s="397">
        <f t="shared" si="462"/>
        <v>0.604558331507892</v>
      </c>
      <c r="IE109" s="397">
        <f>ID109*(VLOOKUP($IB$9,各项系数!$D$1:$F$143,2,0))</f>
        <v>6.65014164658681</v>
      </c>
      <c r="IF109" s="395"/>
      <c r="IG109" s="408">
        <f t="shared" si="415"/>
        <v>0.0913266289488106</v>
      </c>
      <c r="IH109" s="396">
        <v>1</v>
      </c>
      <c r="II109" s="397">
        <f t="shared" si="463"/>
        <v>0.0913266289488106</v>
      </c>
      <c r="IJ109" s="397">
        <f>II109*(VLOOKUP($IG$8,各项系数!$D$1:$F$143,2,0))</f>
        <v>2.28316572372027</v>
      </c>
      <c r="IK109" s="408">
        <f>(各项系数!$F$76/4*($MX109^2-$MK109^2)*$EG109)*10^-2*(VLOOKUP($IG$8,各项系数!$D$1:$F$143,3,0))*10^-3*10^2*各项系数!$J$4</f>
        <v>0.0736670019282505</v>
      </c>
      <c r="IL109" s="396">
        <f>IK109*(VLOOKUP($IG$8,各项系数!$D$1:$F$143,2,0))</f>
        <v>1.84167504820626</v>
      </c>
      <c r="IM109" s="397">
        <f>(各项系数!$F$76/4*(($MM109+3*$X109)^2-MM109^2)*$EO109)*10^-2*(VLOOKUP($IG$8,各项系数!$D$1:$F$143,3,0))*10^-3*10^2*各项系数!$J$4</f>
        <v>0.0176596270205602</v>
      </c>
      <c r="IN109" s="396">
        <f>IM109*(VLOOKUP($IG$8,各项系数!$D$1:$F$143,2,0))</f>
        <v>0.441490675514005</v>
      </c>
      <c r="IO109" s="408">
        <f>各项系数!$F$76/4*($MZ109^2-$MX109^2)*10^-2*(VLOOKUP(L109,各项系数!$D$1:$F$143,3,0))*10^-3*10^2*$ES109*各项系数!$J$4</f>
        <v>0.425971606636177</v>
      </c>
      <c r="IP109" s="396">
        <v>1</v>
      </c>
      <c r="IQ109" s="397">
        <f t="shared" si="464"/>
        <v>0.425971606636177</v>
      </c>
      <c r="IR109" s="372">
        <f>IQ109*(VLOOKUP(L109,各项系数!$D$1:$F$143,2,0))</f>
        <v>4.344910387689</v>
      </c>
      <c r="IS109" s="408">
        <f>IF($L109&lt;&gt;$IS$9,0,各项系数!$F$76/4*($MZ109^2-$MX109^2)*10^-2*各项系数!$F$12*10^-3*10^2)*$ES109*各项系数!$J$4</f>
        <v>0</v>
      </c>
      <c r="IT109" s="396">
        <v>1</v>
      </c>
      <c r="IU109" s="397">
        <f t="shared" si="465"/>
        <v>0</v>
      </c>
      <c r="IV109" s="372">
        <f>IU109*各项系数!$E$12</f>
        <v>0</v>
      </c>
      <c r="IW109" s="395">
        <f t="shared" si="466"/>
        <v>0.425971606636177</v>
      </c>
      <c r="IX109" s="395">
        <f t="shared" si="467"/>
        <v>4.344910387689</v>
      </c>
      <c r="IY109" s="447">
        <f>各项系数!$F$76/4*($NB109^2-$MZ109^2*$EG109-$NA109^2*$EO109)*10^-2</f>
        <v>5.53479651086638</v>
      </c>
      <c r="IZ109" s="366">
        <f t="shared" si="487"/>
        <v>1</v>
      </c>
      <c r="JA109" s="367">
        <f t="shared" si="363"/>
        <v>5.53479651086638</v>
      </c>
      <c r="JB109" s="371">
        <f>IF($DE109&lt;&gt;$JB$9,0,$JA109*各项系数!$F$32*10^-3*10^2)*各项系数!$J$4</f>
        <v>0</v>
      </c>
      <c r="JC109" s="127">
        <v>1</v>
      </c>
      <c r="JD109" s="95">
        <f t="shared" si="468"/>
        <v>0</v>
      </c>
      <c r="JE109" s="341">
        <f>JD109*各项系数!$E$32</f>
        <v>0</v>
      </c>
      <c r="JF109" s="364">
        <f>IF($DE109&lt;&gt;$JF$9,0,$JA109*VLOOKUP($JF$9,各项系数!$D$4:$F$540,2,0)*10^-3*10^2)*各项系数!$J$4</f>
        <v>2.75356126415602</v>
      </c>
      <c r="JG109" s="123">
        <v>1</v>
      </c>
      <c r="JH109" s="251">
        <f t="shared" si="364"/>
        <v>2.75356126415602</v>
      </c>
      <c r="JI109" s="339">
        <f>JH109*VLOOKUP($JF$9,各项系数!$D$4:$F$540,3,0)</f>
        <v>3.30427351698723</v>
      </c>
      <c r="JJ109" s="371">
        <f t="shared" si="469"/>
        <v>2.75356126415602</v>
      </c>
      <c r="JK109" s="95">
        <f t="shared" si="470"/>
        <v>3.30427351698723</v>
      </c>
      <c r="JL109" s="371">
        <f>IF($DF109&lt;&gt;$JL$9,0,各项系数!$F$76/4*($NE109^2-$NC109^2)*10^-2*各项系数!$F$39*10^-3*10^2)*各项系数!$J$4</f>
        <v>0.00538685742308725</v>
      </c>
      <c r="JM109" s="127">
        <v>1</v>
      </c>
      <c r="JN109" s="95">
        <f t="shared" si="471"/>
        <v>0.00538685742308725</v>
      </c>
      <c r="JO109" s="341">
        <f>JN109*各项系数!$E$39</f>
        <v>0.107737148461745</v>
      </c>
      <c r="JP109" s="371">
        <f>IF($DF109&lt;&gt;$JP$9,0,各项系数!$F$76/4*($NE109^2-$NC109^2)*10^-2*各项系数!$F$36*10^-3*10^2)*各项系数!$J$4</f>
        <v>0</v>
      </c>
      <c r="JQ109" s="127">
        <v>1</v>
      </c>
      <c r="JR109" s="95">
        <f t="shared" si="472"/>
        <v>0</v>
      </c>
      <c r="JS109" s="341">
        <f>JR109*各项系数!$E$36</f>
        <v>0</v>
      </c>
      <c r="JT109" s="371">
        <f>IF($DF109&lt;&gt;$JT$9,0,各项系数!$F$76/4*($NE109^2-$NC109^2)*10^-2*各项系数!$F$40*10^-3*10^2)*各项系数!$J$4</f>
        <v>0</v>
      </c>
      <c r="JU109" s="127">
        <v>1</v>
      </c>
      <c r="JV109" s="95">
        <f t="shared" si="473"/>
        <v>0</v>
      </c>
      <c r="JW109" s="341">
        <f>JV109*各项系数!$E$40</f>
        <v>0</v>
      </c>
      <c r="JX109" s="371">
        <f>IF($DF109&lt;&gt;$JX$9,0,各项系数!$F$76/4*($NE109^2-$NC109^2)*10^-2*各项系数!$F$38*10^-3*10^2)*各项系数!$J$4</f>
        <v>0</v>
      </c>
      <c r="JY109" s="127">
        <v>1</v>
      </c>
      <c r="JZ109" s="95">
        <f t="shared" si="474"/>
        <v>0</v>
      </c>
      <c r="KA109" s="341">
        <f>JZ109*各项系数!$E$38</f>
        <v>0</v>
      </c>
      <c r="KB109" s="371">
        <f>IF($DF109&lt;&gt;$KB$9,0,各项系数!$F$76/4*($NE109^2-$NC109^2)*10^-2*各项系数!$F$41*10^-3*10^2)*各项系数!$J$4</f>
        <v>0</v>
      </c>
      <c r="KC109" s="127">
        <v>1</v>
      </c>
      <c r="KD109" s="95">
        <f t="shared" si="475"/>
        <v>0</v>
      </c>
      <c r="KE109" s="341">
        <f>KD109*各项系数!$E$41</f>
        <v>0</v>
      </c>
      <c r="KF109" s="95">
        <f t="shared" si="476"/>
        <v>0.00538685742308725</v>
      </c>
      <c r="KG109" s="95">
        <f t="shared" si="477"/>
        <v>0.107737148461745</v>
      </c>
      <c r="KH109" s="304">
        <f>各项系数!$F$76/4*($NG109^2-$NE109^2)*10^-2*各项系数!$F$44*10^-3*10^2*各项系数!$J$4*0.75*$U109</f>
        <v>1.34033825715684</v>
      </c>
      <c r="KI109" s="127">
        <v>1</v>
      </c>
      <c r="KJ109" s="95">
        <f t="shared" si="478"/>
        <v>1.34033825715684</v>
      </c>
      <c r="KK109" s="95">
        <f>ROUND(KJ109*各项系数!$E$43,GT109)</f>
        <v>8</v>
      </c>
      <c r="KL109" s="302">
        <f>各项系数!$F$76/4*($NF109^2-$NE109^2)*10^-2*各项系数!$F$46*10^-3*10^2*各项系数!$J$4*PI()/4*R109</f>
        <v>0.0671452515730554</v>
      </c>
      <c r="KM109" s="127">
        <v>1</v>
      </c>
      <c r="KN109" s="95">
        <f t="shared" si="479"/>
        <v>0.0671452515730554</v>
      </c>
      <c r="KO109" s="95">
        <f>KN109*各项系数!$E$46</f>
        <v>4.53230448118124</v>
      </c>
      <c r="KP109" s="304">
        <f>各项系数!$F$76/4*($NH109^2-$NE109^2)*10^-2*(VLOOKUP($KP$9,各项系数!$D$1:$F$143,3,0))*10^-3*10^2*各项系数!$J$4</f>
        <v>0.620331449507294</v>
      </c>
      <c r="KQ109" s="127">
        <v>1</v>
      </c>
      <c r="KR109" s="95">
        <f t="shared" si="416"/>
        <v>0.620331449507294</v>
      </c>
      <c r="KS109" s="95">
        <f>KR109*(VLOOKUP($KP$9,各项系数!$D$1:$F$143,2,0))</f>
        <v>10.545634641624</v>
      </c>
      <c r="KT109" s="304">
        <f>各项系数!$F$76/4*($NI109^2-$NF109^2)*10^-2*(VLOOKUP($KT$9,各项系数!$D$1:$F$143,3,0))*10^-3*10^2*各项系数!$J$4</f>
        <v>0.622289503677312</v>
      </c>
      <c r="KU109" s="127">
        <v>1</v>
      </c>
      <c r="KV109" s="95">
        <f t="shared" si="417"/>
        <v>0.622289503677312</v>
      </c>
      <c r="KW109" s="95">
        <f>KV109*(VLOOKUP($KT$9,各项系数!$D$1:$F$143,2,0))</f>
        <v>10.5789215625143</v>
      </c>
      <c r="KX109" s="95">
        <f>各项系数!$F$76/4*($NH109^2-$NE109^2)*10^-2*(VLOOKUP($KX$9,各项系数!$D$1:$F$143,3,0))*10^-3*10^2*各项系数!$J$4</f>
        <v>0.620331449507294</v>
      </c>
      <c r="KY109" s="481">
        <v>1</v>
      </c>
      <c r="KZ109" s="95">
        <f t="shared" si="418"/>
        <v>0.620331449507294</v>
      </c>
      <c r="LA109" s="95">
        <f>KZ109*(VLOOKUP($KX$9,各项系数!$D$1:$F$143,2,0))</f>
        <v>10.545634641624</v>
      </c>
      <c r="LB109" s="95">
        <f>各项系数!$F$76/4*($NI109^2-$NF109^2)*10^-2*(VLOOKUP($LB$9,各项系数!$D$1:$F$143,3,0))*10^-3*10^2*各项系数!$J$4</f>
        <v>0.622289503677312</v>
      </c>
      <c r="LC109" s="481">
        <v>1</v>
      </c>
      <c r="LD109" s="95">
        <f t="shared" si="419"/>
        <v>0.622289503677312</v>
      </c>
      <c r="LE109" s="95">
        <f>LD109*(VLOOKUP($LB$9,各项系数!$D$1:$F$143,2,0))</f>
        <v>10.5789215625143</v>
      </c>
      <c r="LF109" s="304">
        <f>各项系数!$F$76/4*($NH109^2-$NE109^2)*10^-2*(VLOOKUP(AN109,各项系数!$D$1:$F$143,3,0))*10^-3*10^2*各项系数!$J$4</f>
        <v>0.628887745362567</v>
      </c>
      <c r="LG109" s="127">
        <v>1</v>
      </c>
      <c r="LH109" s="95">
        <f t="shared" si="480"/>
        <v>0.628887745362567</v>
      </c>
      <c r="LI109" s="95">
        <f>LH109*(VLOOKUP(AN109,各项系数!$D$1:$F$143,2,0))</f>
        <v>6.28887745362567</v>
      </c>
      <c r="LJ109" s="304">
        <f>各项系数!$F$76/4*($NI109^2-$NF109^2)*10^-2*(VLOOKUP(AN109,各项系数!$D$1:$F$143,3,0))*10^-3*10^2*各项系数!$J$4</f>
        <v>0.630872807176309</v>
      </c>
      <c r="LK109" s="127">
        <v>1</v>
      </c>
      <c r="LL109" s="95">
        <f t="shared" si="481"/>
        <v>0.630872807176309</v>
      </c>
      <c r="LM109" s="95">
        <f>LL109*(VLOOKUP(AN109,各项系数!$D$1:$F$143,2,0))</f>
        <v>6.30872807176309</v>
      </c>
      <c r="LN109" s="95">
        <f>各项系数!$F$76/4*($NH109^2-$NE109^2)*10^-2*(VLOOKUP($LN$9,各项系数!$D$1:$F$143,3,0))*10^-3*10^2*各项系数!$J$4</f>
        <v>0.628887745362567</v>
      </c>
      <c r="LO109" s="481">
        <v>1</v>
      </c>
      <c r="LP109" s="95">
        <f t="shared" si="482"/>
        <v>0.628887745362567</v>
      </c>
      <c r="LQ109" s="95">
        <f>LP109*(VLOOKUP($LN$9,各项系数!$D$1:$F$143,2,0))</f>
        <v>6.91776519898824</v>
      </c>
      <c r="LR109" s="95">
        <f>各项系数!$F$76/4*($NI109^2-$NF109^2)*10^-2*(VLOOKUP($LR$9,各项系数!$D$1:$F$143,3,0))*10^-3*10^2*各项系数!$J$4</f>
        <v>0.630872807176309</v>
      </c>
      <c r="LS109" s="481">
        <v>1</v>
      </c>
      <c r="LT109" s="95">
        <f t="shared" si="483"/>
        <v>0.630872807176309</v>
      </c>
      <c r="LU109" s="95">
        <f>LT109*(VLOOKUP($LR$9,各项系数!$D$1:$F$143,2,0))</f>
        <v>6.9396008789394</v>
      </c>
      <c r="LV109" s="501">
        <f t="shared" si="420"/>
        <v>693.56480241</v>
      </c>
      <c r="LW109" s="501">
        <f t="shared" si="421"/>
        <v>523.71219774</v>
      </c>
      <c r="LX109" s="501">
        <f t="shared" si="422"/>
        <v>25.8226853797727</v>
      </c>
      <c r="LY109" s="519">
        <f t="shared" si="423"/>
        <v>169.85260467</v>
      </c>
      <c r="LZ109" s="516">
        <f t="shared" si="365"/>
        <v>1</v>
      </c>
      <c r="MA109" s="517">
        <f t="shared" si="366"/>
        <v>693.56480241</v>
      </c>
      <c r="MB109" s="501">
        <f t="shared" si="424"/>
        <v>17.15686581</v>
      </c>
      <c r="MC109" s="501">
        <f t="shared" si="425"/>
        <v>117.94354749</v>
      </c>
      <c r="MD109" s="501">
        <f t="shared" si="426"/>
        <v>89.63709639</v>
      </c>
      <c r="ME109" s="501">
        <f t="shared" si="427"/>
        <v>10.6831407272855</v>
      </c>
      <c r="MF109" s="501">
        <f t="shared" si="428"/>
        <v>28.3064511</v>
      </c>
      <c r="MG109" s="527">
        <f t="shared" si="429"/>
        <v>1</v>
      </c>
      <c r="MH109" s="517">
        <f t="shared" si="367"/>
        <v>117.94354749</v>
      </c>
      <c r="MI109" s="501">
        <f t="shared" si="430"/>
        <v>12.2544028296208</v>
      </c>
      <c r="MJ109" s="95">
        <f t="shared" si="368"/>
        <v>17.15686581</v>
      </c>
      <c r="MK109" s="95">
        <f t="shared" si="431"/>
        <v>17.15686581</v>
      </c>
      <c r="ML109" s="95">
        <f t="shared" si="484"/>
        <v>12.2544028293856</v>
      </c>
      <c r="MM109" s="95">
        <f t="shared" si="369"/>
        <v>12.2544028296208</v>
      </c>
      <c r="MN109" s="95">
        <f t="shared" si="370"/>
        <v>20.35686581</v>
      </c>
      <c r="MO109" s="251">
        <f t="shared" si="432"/>
        <v>14.4544028296208</v>
      </c>
      <c r="MP109" s="95">
        <f t="shared" si="433"/>
        <v>45.69262516</v>
      </c>
      <c r="MQ109" s="95">
        <f t="shared" si="485"/>
        <v>45.69262516</v>
      </c>
      <c r="MR109" s="314">
        <f t="shared" si="434"/>
        <v>45.69262516</v>
      </c>
      <c r="MS109" s="530">
        <f t="shared" si="371"/>
        <v>45.86862516</v>
      </c>
      <c r="MT109" s="532">
        <f t="shared" si="372"/>
        <v>46.02862516</v>
      </c>
      <c r="MU109" s="532">
        <f t="shared" si="373"/>
        <v>47.36862516</v>
      </c>
      <c r="MV109" s="532">
        <f t="shared" si="374"/>
        <v>51.26862516</v>
      </c>
      <c r="MW109" s="532">
        <f t="shared" si="375"/>
        <v>51.42862516</v>
      </c>
      <c r="MX109" s="314">
        <f t="shared" si="376"/>
        <v>17.75686581</v>
      </c>
      <c r="MY109" s="314">
        <f t="shared" si="377"/>
        <v>12.8544028296208</v>
      </c>
      <c r="MZ109" s="95">
        <f t="shared" si="378"/>
        <v>20.95686581</v>
      </c>
      <c r="NA109" s="95">
        <f t="shared" si="379"/>
        <v>16.0544028296208</v>
      </c>
      <c r="NB109" s="95">
        <f t="shared" si="435"/>
        <v>47.74962516</v>
      </c>
      <c r="NC109" s="314">
        <f t="shared" si="486"/>
        <v>47.74962516</v>
      </c>
      <c r="ND109" s="314">
        <f t="shared" si="436"/>
        <v>47.74962516</v>
      </c>
      <c r="NE109" s="537">
        <f t="shared" si="437"/>
        <v>47.98962516</v>
      </c>
      <c r="NF109" s="532">
        <f t="shared" si="380"/>
        <v>48.14962516</v>
      </c>
      <c r="NG109" s="180">
        <f t="shared" si="381"/>
        <v>49.48962516</v>
      </c>
      <c r="NH109" s="314">
        <f t="shared" si="382"/>
        <v>53.38962516</v>
      </c>
      <c r="NI109" s="532">
        <f t="shared" si="383"/>
        <v>53.54962516</v>
      </c>
      <c r="NK109" s="541">
        <f t="shared" si="384"/>
        <v>7.12696394138544</v>
      </c>
      <c r="NL109" s="541">
        <f t="shared" si="385"/>
        <v>372.754082501865</v>
      </c>
      <c r="NM109" s="541">
        <f t="shared" si="386"/>
        <v>7.12696394138544</v>
      </c>
      <c r="NN109" s="541">
        <f t="shared" si="387"/>
        <v>373.35665577156</v>
      </c>
      <c r="NO109" s="541">
        <f t="shared" si="388"/>
        <v>9.42800095989245</v>
      </c>
      <c r="NP109" s="541">
        <f t="shared" si="389"/>
        <v>377.36152849361</v>
      </c>
      <c r="NQ109" s="541">
        <f t="shared" si="390"/>
        <v>9.42800095989245</v>
      </c>
      <c r="NR109" s="541">
        <f t="shared" si="391"/>
        <v>377.990416238973</v>
      </c>
      <c r="NS109" s="541">
        <f t="shared" si="392"/>
        <v>7.19114650959842</v>
      </c>
      <c r="NT109" s="541">
        <f t="shared" si="393"/>
        <v>7.19114650959842</v>
      </c>
      <c r="NU109" s="541">
        <f t="shared" si="394"/>
        <v>9.49514621146551</v>
      </c>
      <c r="NV109" s="541">
        <f t="shared" si="395"/>
        <v>9.49514621146551</v>
      </c>
      <c r="NW109" s="11">
        <f t="shared" si="396"/>
        <v>7.98163782111376</v>
      </c>
      <c r="NX109" s="11">
        <f>各项系数!$M$9*NK109</f>
        <v>2.13808918241563</v>
      </c>
      <c r="NY109" s="11">
        <f t="shared" si="397"/>
        <v>7.19114650959842</v>
      </c>
    </row>
    <row r="110" s="11" customFormat="1" customHeight="1" spans="1:389">
      <c r="A110" s="81"/>
      <c r="B110" s="82"/>
      <c r="C110" s="83"/>
      <c r="D110" s="74" t="s">
        <v>357</v>
      </c>
      <c r="E110" s="550">
        <f t="shared" ref="E110:E125" si="503">MV110</f>
        <v>58.98229967</v>
      </c>
      <c r="F110" s="84">
        <f>$F$30</f>
        <v>246.701228113631</v>
      </c>
      <c r="G110" s="74"/>
      <c r="H110" s="23"/>
      <c r="I110" s="174">
        <f>$F$27</f>
        <v>244.921136962963</v>
      </c>
      <c r="J110" s="78"/>
      <c r="K110" s="23"/>
      <c r="L110" s="128" t="s">
        <v>467</v>
      </c>
      <c r="M110" s="119">
        <f t="shared" si="339"/>
        <v>1.7</v>
      </c>
      <c r="N110" s="119">
        <f t="shared" si="501"/>
        <v>1.2</v>
      </c>
      <c r="O110" s="74">
        <f t="shared" si="502"/>
        <v>0.08</v>
      </c>
      <c r="P110" s="120">
        <v>0.1</v>
      </c>
      <c r="Q110" s="165">
        <f t="shared" si="499"/>
        <v>0.1</v>
      </c>
      <c r="R110" s="182">
        <v>0.8</v>
      </c>
      <c r="S110" s="173" t="str">
        <f>各项系数!$D$43</f>
        <v>钢带</v>
      </c>
      <c r="T110" s="78">
        <v>0.5</v>
      </c>
      <c r="U110" s="78">
        <v>2</v>
      </c>
      <c r="V110" s="172"/>
      <c r="W110" s="174">
        <v>2.9</v>
      </c>
      <c r="X110" s="168">
        <f t="shared" si="500"/>
        <v>0.2</v>
      </c>
      <c r="Y110" s="221"/>
      <c r="Z110" s="222"/>
      <c r="AA110" s="223">
        <f>$AA$30</f>
        <v>1.015</v>
      </c>
      <c r="AB110" s="186">
        <f>PI()*EJ110*EJ110/4*EH110*(1-H110)*AA110*各项系数!$F$5*各项系数!$J$4*10^-7</f>
        <v>2.05998769246807</v>
      </c>
      <c r="AC110" s="224">
        <f t="shared" ref="AC110:AC125" si="504">EJ110</f>
        <v>246.701228113631</v>
      </c>
      <c r="AD110" s="186">
        <f t="shared" si="341"/>
        <v>232.884070800354</v>
      </c>
      <c r="AE110" s="186">
        <f>POWER(4*EU110/PI()/EG110/10^-7/EH110/(1-H110)/各项系数!$F$5/各项系数!$J$4,0.5)</f>
        <v>248.544600408187</v>
      </c>
      <c r="AF110" s="225">
        <f>$AA$27</f>
        <v>1.013</v>
      </c>
      <c r="AG110" s="23">
        <f>IF(EM110=0,0,PI()*ER110*ER110/4*EP110*(1-K110)*(1+AF110)*各项系数!$F$5*各项系数!$J$4*10^-7)</f>
        <v>2.01336388138923</v>
      </c>
      <c r="AH110" s="23">
        <f t="shared" ref="AH110:AH125" si="505">ER110</f>
        <v>244.921136962963</v>
      </c>
      <c r="AI110" s="85">
        <f t="shared" si="398"/>
        <v>114.541562217361</v>
      </c>
      <c r="AJ110" s="85">
        <f>IF(OR(EP110="",EP110=0),0,POWER(4*EW110/PI()/EO110/10^-7/EP110/(1-K110)/各项系数!$F$5/各项系数!$J$4,0.5))</f>
        <v>246.50798375415</v>
      </c>
      <c r="AK110" s="23">
        <f t="shared" si="342"/>
        <v>7.19314619307599</v>
      </c>
      <c r="AL110" s="23">
        <f t="shared" ref="AL110:AL125" si="506">AO110*(1+0.02)</f>
        <v>500.936435084951</v>
      </c>
      <c r="AM110" s="127">
        <f t="shared" ref="AM110:AM125" si="507">EE110*1</f>
        <v>240</v>
      </c>
      <c r="AN110" s="128" t="s">
        <v>486</v>
      </c>
      <c r="AO110" s="176">
        <f>AP110+各项系数!$M$9*$NK110</f>
        <v>491.11415204407</v>
      </c>
      <c r="AP110" s="176">
        <f>AQ110*(1+$BI110+(VLOOKUP($AM110,$A$12:$B$323,2,0))+各项系数!$J$6+各项系数!$M$5)*(1+$E$2)</f>
        <v>488.331711631947</v>
      </c>
      <c r="AQ110" s="262">
        <f>AR110+各项系数!$L$9*$NK110</f>
        <v>498.297664930558</v>
      </c>
      <c r="AR110" s="262">
        <f>AS110*(1+$BJ110+各项系数!$J$5+各项系数!$L$5)</f>
        <v>495.515224518434</v>
      </c>
      <c r="AS110" s="262">
        <f t="shared" si="399"/>
        <v>485.799239723955</v>
      </c>
      <c r="AT110" s="176">
        <f>AU110+各项系数!$M$9*$NM110</f>
        <v>496.17060642284</v>
      </c>
      <c r="AU110" s="176">
        <f>AV110*(1+$BI110+(VLOOKUP($AM110,$A$12:$B$323,2,0))+各项系数!$J$6+各项系数!$M$5)*(1+$E$2)</f>
        <v>493.388166010716</v>
      </c>
      <c r="AV110" s="262">
        <f>AW110+各项系数!$L$9*$NM110</f>
        <v>503.457312255833</v>
      </c>
      <c r="AW110" s="262">
        <f>AX110*(1+$BJ110+各项系数!$J$5+各项系数!$L$5)</f>
        <v>500.674871843709</v>
      </c>
      <c r="AX110" s="262">
        <f t="shared" si="400"/>
        <v>490.857717493833</v>
      </c>
      <c r="AY110" s="176">
        <f>AZ110+各项系数!$M$9*$NS110</f>
        <v>496.199550794055</v>
      </c>
      <c r="AZ110" s="176">
        <f>BA110*(1+$BI110+(VLOOKUP($AM110,$A$12:$B$214,2,0))+各项系数!$J$6+各项系数!$M$5)*(1+$E$2)</f>
        <v>493.394790816309</v>
      </c>
      <c r="BA110" s="262">
        <f>BB110+各项系数!$L$9*$NS110</f>
        <v>503.464072261539</v>
      </c>
      <c r="BB110" s="262">
        <f>BC110*(1+$BJ110+各项系数!$J$5+各项系数!$L$5)</f>
        <v>500.659312283793</v>
      </c>
      <c r="BC110" s="262">
        <f t="shared" si="401"/>
        <v>490.842463023327</v>
      </c>
      <c r="BD110" s="176">
        <f>BE110+各项系数!$M$9*$NS110</f>
        <v>501.270430984629</v>
      </c>
      <c r="BE110" s="176">
        <f>BF110*(1+$BI110+(VLOOKUP($AM110,$A$12:$B$214,2,0))+各项系数!$J$6+各项系数!$M$5)*(1+$E$2)</f>
        <v>498.465671006883</v>
      </c>
      <c r="BF110" s="262">
        <f>BG110+各项系数!$L$9*$NS110</f>
        <v>508.638439802942</v>
      </c>
      <c r="BG110" s="262">
        <f>BH110*(1+$BJ110+各项系数!$J$5+各项系数!$L$5)</f>
        <v>505.833679825196</v>
      </c>
      <c r="BH110" s="262">
        <f t="shared" si="402"/>
        <v>495.915372377643</v>
      </c>
      <c r="BI110" s="278"/>
      <c r="BJ110" s="279"/>
      <c r="BK110" s="95" t="s">
        <v>514</v>
      </c>
      <c r="BL110" s="176">
        <f>BM110+各项系数!$M$9*$NM110</f>
        <v>496.629342419249</v>
      </c>
      <c r="BM110" s="176">
        <f>BN110*(1+$CF110+(VLOOKUP($AM110,$A$12:$B$323,2,0))+各项系数!$J$6+各项系数!$M$5)*(1+$E$2)</f>
        <v>493.846902007125</v>
      </c>
      <c r="BN110" s="262">
        <f>BO110+各项系数!$L$9*$NM110</f>
        <v>503.925410211352</v>
      </c>
      <c r="BO110" s="262">
        <f>BP110*(1+$CG110+各项系数!$J$5+各项系数!$L$5)</f>
        <v>501.142969799229</v>
      </c>
      <c r="BP110" s="262">
        <f t="shared" si="403"/>
        <v>486.54657262061</v>
      </c>
      <c r="BQ110" s="176">
        <f>BR110+各项系数!$M$9*$NM110</f>
        <v>500.981012054279</v>
      </c>
      <c r="BR110" s="176">
        <f>BS110*(1+$CF110+(VLOOKUP($AM110,$A$12:$B$323,2,0))+各项系数!$J$6+各项系数!$M$5)*(1+$E$2)</f>
        <v>498.198571642156</v>
      </c>
      <c r="BS110" s="262">
        <f>BT110+各项系数!$L$9*$NM110</f>
        <v>508.365889430771</v>
      </c>
      <c r="BT110" s="262">
        <f>BU110*(1+$CG110+各项系数!$J$5+各项系数!$L$5)</f>
        <v>505.583449018648</v>
      </c>
      <c r="BU110" s="262">
        <f t="shared" si="404"/>
        <v>490.857717493833</v>
      </c>
      <c r="BV110" s="176">
        <f>BW110+各项系数!$M$9*$NT110</f>
        <v>499.02575025967</v>
      </c>
      <c r="BW110" s="176">
        <f>BX110*(1+$CF110+(VLOOKUP($AM110,$A$12:$B$214,2,0))+各项系数!$J$6+各项系数!$M$5)*(1+$E$2)</f>
        <v>496.220990281924</v>
      </c>
      <c r="BX110" s="262">
        <f>BY110+各项系数!$L$9*$NT$12</f>
        <v>506.347949267269</v>
      </c>
      <c r="BY110" s="262">
        <f>BZ110*(1+$CG110+各项系数!$J$5+各项系数!$L$5)</f>
        <v>506.339685864114</v>
      </c>
      <c r="BZ110" s="262">
        <f t="shared" si="343"/>
        <v>491.591928023412</v>
      </c>
      <c r="CA110" s="176">
        <f>CB110+各项系数!$M$9*$NT110</f>
        <v>503.38983499083</v>
      </c>
      <c r="CB110" s="176">
        <f>CC110*(1+$CF110+(VLOOKUP($AM110,$A$12:$B$214,2,0))+各项系数!$J$6+各项系数!$M$5)*(1+$E$2)</f>
        <v>500.585075013084</v>
      </c>
      <c r="CC110" s="262">
        <f>CD110+各项系数!$L$9*$NT$12</f>
        <v>510.801096952127</v>
      </c>
      <c r="CD110" s="262">
        <f>CE110*(1+$CG110+各项系数!$J$5+各项系数!$L$5)</f>
        <v>510.792833548972</v>
      </c>
      <c r="CE110" s="262">
        <f t="shared" si="405"/>
        <v>495.915372377643</v>
      </c>
      <c r="CF110" s="278">
        <f t="shared" si="406"/>
        <v>0</v>
      </c>
      <c r="CG110" s="278">
        <f t="shared" si="344"/>
        <v>0.01</v>
      </c>
      <c r="CH110" s="127"/>
      <c r="CI110" s="176">
        <f>CJ110+各项系数!$M$9*$NO110</f>
        <v>501.348606929592</v>
      </c>
      <c r="CJ110" s="176">
        <f>CK110*(1+$DC110+(VLOOKUP($AM110,$A$12:$B$323,2,0))+各项系数!$J$6+各项系数!$M$5)*(1+$E$2)+各项系数!$M$9*$NK110</f>
        <v>497.659604025984</v>
      </c>
      <c r="CK110" s="262">
        <f>CL110+各项系数!$L$9*$NO110</f>
        <v>504.976697565164</v>
      </c>
      <c r="CL110" s="262">
        <f>CM110*(1+$DD110+各项系数!$J$5+各项系数!$L$5)</f>
        <v>501.287694661555</v>
      </c>
      <c r="CM110" s="262">
        <f t="shared" si="345"/>
        <v>491.458524177995</v>
      </c>
      <c r="CN110" s="176">
        <f>CO110+各项系数!$M$9*$NO110</f>
        <v>506.122537402263</v>
      </c>
      <c r="CO110" s="176">
        <f>CP110*(1+$DC110+(VLOOKUP($AM110,$A$12:$B$323,2,0))+各项系数!$J$6+各项系数!$M$5)*(1+$E$2)+各项系数!$M$9*$NK110</f>
        <v>502.433534498655</v>
      </c>
      <c r="CP110" s="262">
        <f>CQ110+各项系数!$L$9*$NO110</f>
        <v>509.848055190338</v>
      </c>
      <c r="CQ110" s="262">
        <f>CR110*(1+$DD110+各项系数!$J$5+各项系数!$L$5)</f>
        <v>506.15905228673</v>
      </c>
      <c r="CR110" s="262">
        <f t="shared" si="346"/>
        <v>496.23436498699</v>
      </c>
      <c r="CS110" s="176">
        <f>CT110+各项系数!$M$9*$NU110</f>
        <v>503.853226235724</v>
      </c>
      <c r="CT110" s="176">
        <f t="shared" si="347"/>
        <v>500.141014961484</v>
      </c>
      <c r="CU110" s="262">
        <f>CV110+各项系数!$L$9*$NU110</f>
        <v>510.347974450494</v>
      </c>
      <c r="CV110" s="262">
        <f>CW110*(1+$DD110+各项系数!$J$5+各项系数!$L$5)</f>
        <v>506.635763176255</v>
      </c>
      <c r="CW110" s="262">
        <f t="shared" si="348"/>
        <v>496.701728604172</v>
      </c>
      <c r="CX110" s="176">
        <f>CY110+各项系数!$M$9*$NU110</f>
        <v>509.115338594031</v>
      </c>
      <c r="CY110" s="176">
        <f t="shared" si="349"/>
        <v>505.403127319792</v>
      </c>
      <c r="CZ110" s="262">
        <f>DA110+各项系数!$L$9*$NU110</f>
        <v>515.71747685693</v>
      </c>
      <c r="DA110" s="262">
        <f>DB110*(1+$DD110+各项系数!$J$5+各项系数!$L$5)</f>
        <v>512.005265582691</v>
      </c>
      <c r="DB110" s="262">
        <f t="shared" si="350"/>
        <v>501.965946649698</v>
      </c>
      <c r="DC110" s="278">
        <f t="shared" si="498"/>
        <v>0</v>
      </c>
      <c r="DD110" s="278">
        <f t="shared" si="351"/>
        <v>0</v>
      </c>
      <c r="DE110" s="95" t="s">
        <v>498</v>
      </c>
      <c r="DF110" s="95" t="s">
        <v>513</v>
      </c>
      <c r="DG110" s="176">
        <f>DH110+各项系数!$M$9*$NQ110</f>
        <v>506.947787667252</v>
      </c>
      <c r="DH110" s="176">
        <f>DI110*(1+$EA110+(VLOOKUP($AM110,$A$12:$B$323,2,0))+各项系数!$J$6+各项系数!$M$5)*(1+$E$2)+各项系数!$M$9*$NK110</f>
        <v>503.258784763644</v>
      </c>
      <c r="DI110" s="262">
        <f>DJ110+各项系数!$L$9*$NQ110</f>
        <v>510.690147297469</v>
      </c>
      <c r="DJ110" s="262">
        <f>DK110*(1+$EB110+各项系数!$J$5+各项系数!$L$5)</f>
        <v>507.001144393861</v>
      </c>
      <c r="DK110" s="262">
        <f t="shared" si="352"/>
        <v>492.234120770739</v>
      </c>
      <c r="DL110" s="176">
        <f>DM110+各项系数!$M$9*$NQ110</f>
        <v>511.464034920358</v>
      </c>
      <c r="DM110" s="176">
        <f>DN110*(1+$EA110+(VLOOKUP($AM110,$A$12:$B$323,2,0))+各项系数!$J$6+各项系数!$M$5)*(1+$E$2)+各项系数!$M$9*$NK110</f>
        <v>507.77503201675</v>
      </c>
      <c r="DN110" s="262">
        <f>DO110+各项系数!$L$9*$NQ110</f>
        <v>515.298562861864</v>
      </c>
      <c r="DO110" s="262">
        <f>DP110*(1+$EB110+各项系数!$J$5+各项系数!$L$5)</f>
        <v>511.609559958255</v>
      </c>
      <c r="DP110" s="262">
        <f t="shared" si="353"/>
        <v>496.708310639083</v>
      </c>
      <c r="DQ110" s="176">
        <f>DR110+各项系数!$M$9*$NV110</f>
        <v>509.505942521962</v>
      </c>
      <c r="DR110" s="176">
        <f t="shared" si="354"/>
        <v>505.793731247722</v>
      </c>
      <c r="DS110" s="262">
        <f>DT110+各项系数!$L$9*$NV110</f>
        <v>516.116052293594</v>
      </c>
      <c r="DT110" s="262">
        <f>DU110*(1+$EB110+各项系数!$J$5+各项系数!$L$5)</f>
        <v>512.403841019355</v>
      </c>
      <c r="DU110" s="262">
        <f t="shared" si="355"/>
        <v>497.479457300345</v>
      </c>
      <c r="DV110" s="176">
        <f>DW110+各项系数!$M$9*$NV110</f>
        <v>508.64067539272</v>
      </c>
      <c r="DW110" s="176">
        <f t="shared" si="356"/>
        <v>504.928464118481</v>
      </c>
      <c r="DX110" s="262">
        <f>DY110+各项系数!$L$9*$NV110</f>
        <v>515.233126651511</v>
      </c>
      <c r="DY110" s="262">
        <f>DZ110*(1+$EB110+各项系数!$J$5+各项系数!$L$5)</f>
        <v>511.520915377272</v>
      </c>
      <c r="DZ110" s="262">
        <f t="shared" si="357"/>
        <v>496.622247939099</v>
      </c>
      <c r="EA110" s="278">
        <f t="shared" si="492"/>
        <v>0</v>
      </c>
      <c r="EB110" s="278">
        <f t="shared" si="358"/>
        <v>0.01</v>
      </c>
      <c r="EC110" s="302" t="str">
        <f t="shared" si="408"/>
        <v>3+1</v>
      </c>
      <c r="ED110" s="304" t="str">
        <f t="shared" si="494"/>
        <v>3*240</v>
      </c>
      <c r="EE110" s="95">
        <f t="shared" si="495"/>
        <v>240</v>
      </c>
      <c r="EF110" s="95" t="str">
        <f>LOOKUP(EH110,{1,7,10,14,19,24,30,37,48,61},{1,"1+6","2+8","4+10","1+6+12","2+8+14","4+10+16","1+6+12+18","3+9+15+21","1+6+12+18+24"})</f>
        <v>3+9+15+21</v>
      </c>
      <c r="EG110" s="127">
        <f t="shared" si="359"/>
        <v>3</v>
      </c>
      <c r="EH110" s="262">
        <f>VLOOKUP(EE110,各项系数!$B$87:$C$124,2,0)</f>
        <v>48</v>
      </c>
      <c r="EI110" s="127">
        <f>IF(EH110=0,0,VLOOKUP(EH110,各项系数!$D$142:$E$195,2,0))*1</f>
        <v>8.15</v>
      </c>
      <c r="EJ110" s="307">
        <f t="shared" si="409"/>
        <v>246.701228113631</v>
      </c>
      <c r="EK110" s="95" t="str">
        <f t="shared" ref="EK110:EK125" si="508">IF(COUNTIF($D110,"*+*")&gt;0,MID($D110,FIND("+",$D110)+1,LEN($D110)),0)</f>
        <v>1*120</v>
      </c>
      <c r="EL110" s="95" t="str">
        <f t="shared" si="360"/>
        <v>120</v>
      </c>
      <c r="EM110" s="95">
        <f t="shared" si="496"/>
        <v>120</v>
      </c>
      <c r="EN110" s="95" t="str">
        <f>IF(EP110=0,0,LOOKUP(EP110,{1,7,10,14,19,24,30,37,48,61},{1,"1+6","2+8","4+10","1+6+12","2+8+14","4+10+16","1+6+12+18","3+9+15+21","1+6+12+18+24"}))</f>
        <v>2+8+14</v>
      </c>
      <c r="EO110" s="95" t="str">
        <f t="shared" ref="EO110:EO125" si="509">IF(EK110=0,0,MID(EK110,1,1))</f>
        <v>1</v>
      </c>
      <c r="EP110" s="95">
        <f>IF(EM110=0,0,IF(EM110&lt;10,1,IF(AND(EM110&gt;=10,EM110&lt;=35),7,LOOKUP(EM110,{50,70,95,120,150,185,240,300},{10,14,19,24,30,37,48,61})*1)))</f>
        <v>24</v>
      </c>
      <c r="EQ110" s="95">
        <f>IF(EP110=0,0,VLOOKUP(EP110,各项系数!$D$142:$E$195,2,0))*1</f>
        <v>6</v>
      </c>
      <c r="ER110" s="95">
        <f t="shared" ref="ER110:ER125" si="510">$I110-$J110</f>
        <v>244.921136962963</v>
      </c>
      <c r="ES110" s="304">
        <f t="shared" si="497"/>
        <v>4</v>
      </c>
      <c r="ET110" s="95">
        <f>VLOOKUP(ES110,各项系数!$D$142:$E$195,2,0)*1</f>
        <v>2.42</v>
      </c>
      <c r="EU110" s="311">
        <f>((各项系数!$F$76/4*$EJ110^2*$EG110*$EH110*1*10^-7)*(1-$H110)*AA110)*(VLOOKUP($EY$9,各项系数!$D$4:$F$143,3,0))*各项系数!$J$4</f>
        <v>6.1799630774042</v>
      </c>
      <c r="EV110" s="312">
        <f>EU110*(VLOOKUP($EY$9,各项系数!$D$4:$F$143,2,0))</f>
        <v>404.787581569975</v>
      </c>
      <c r="EW110" s="324">
        <f>(IF($EO110=0,0,(各项系数!$F$76/4*$ER110^2*$EO110*$EP110*1*10^-7))*(1-$K110)*$AF110)*(VLOOKUP($EY$9,各项系数!$D$4:$F$143,3,0))*各项系数!$J$4</f>
        <v>1.01318311567178</v>
      </c>
      <c r="EX110" s="325">
        <f>EW110*(VLOOKUP($EY$9,各项系数!$D$4:$F$143,2,0))</f>
        <v>66.3634940765016</v>
      </c>
      <c r="EY110" s="251">
        <f>((各项系数!$F$76/4*$EJ110^2*$EG110*$EH110*1*10^-7)*(1-$H110)*AA110+IF($EO110=0,0,(各项系数!$F$76/4*$ER110^2*$EO110*$EP110*1*10^-7))*(1-$K110)*$AF110)*(VLOOKUP($EY$9,各项系数!$D$4:$F$143,3,0))*各项系数!$J$4</f>
        <v>7.19314619307599</v>
      </c>
      <c r="EZ110" s="127">
        <v>1</v>
      </c>
      <c r="FA110" s="95">
        <f t="shared" si="445"/>
        <v>7.19314619307599</v>
      </c>
      <c r="FB110" s="314">
        <f>FA110*(VLOOKUP($EY$9,各项系数!$D$4:$F$143,2,0))</f>
        <v>471.151075646477</v>
      </c>
      <c r="FC110" s="329"/>
      <c r="FD110" s="304">
        <f>各项系数!$F$76/4*($MN110^2-MK110^2)*10^-2*(VLOOKUP(L110,各项系数!$D$1:$F$143,3,0))*10^-3*10^2*$EG110*各项系数!$J$4</f>
        <v>0.382397294970521</v>
      </c>
      <c r="FE110" s="341">
        <f>FD110*VLOOKUP(L110,各项系数!$D$1:$F$143,2,0)</f>
        <v>3.90045240869931</v>
      </c>
      <c r="FF110" s="127">
        <f>各项系数!$F$76/4*($MO110^2-ML110^2)*10^-2*(VLOOKUP(L110,各项系数!$D$1:$F$143,3,0))*10^-3*10^2*$EO110*各项系数!$J$4</f>
        <v>0.0655865437514609</v>
      </c>
      <c r="FG110" s="341">
        <f>FF110*VLOOKUP(L110,各项系数!$D$1:$F$143,2,0)</f>
        <v>0.668982746264902</v>
      </c>
      <c r="FH110" s="304">
        <f t="shared" si="410"/>
        <v>0.447983838721982</v>
      </c>
      <c r="FI110" s="127">
        <v>1</v>
      </c>
      <c r="FJ110" s="95">
        <f t="shared" si="446"/>
        <v>0.447983838721982</v>
      </c>
      <c r="FK110" s="341">
        <f>FJ110*VLOOKUP(L110,各项系数!$D$1:$F$143,2,0)</f>
        <v>4.56943515496422</v>
      </c>
      <c r="FL110" s="304"/>
      <c r="FM110" s="127"/>
      <c r="FN110" s="95"/>
      <c r="FO110" s="341"/>
      <c r="FP110" s="371">
        <f t="shared" si="447"/>
        <v>0.447983838721982</v>
      </c>
      <c r="FQ110" s="371">
        <f t="shared" si="448"/>
        <v>4.56943515496422</v>
      </c>
      <c r="FR110" s="365">
        <f>各项系数!$F$76/4*($MQ110^2-$MN110^2*$EG110-$MO110^2*$EO110)*10^-2</f>
        <v>6.75287174416455</v>
      </c>
      <c r="FS110" s="366">
        <f t="shared" si="411"/>
        <v>1</v>
      </c>
      <c r="FT110" s="367">
        <f t="shared" si="361"/>
        <v>6.75287174416455</v>
      </c>
      <c r="FU110" s="395">
        <f>$FT110*(VLOOKUP($FT$9,各项系数!$D$1:$F$143,3,0))*10^-3*10^2*各项系数!$J$55</f>
        <v>0.806292886253247</v>
      </c>
      <c r="FV110" s="396">
        <v>1</v>
      </c>
      <c r="FW110" s="397">
        <f t="shared" si="449"/>
        <v>0.806292886253247</v>
      </c>
      <c r="FX110" s="372">
        <f>FW110*(VLOOKUP($FT$9,各项系数!$D$1:$F$143,2,0))</f>
        <v>2.41887865875974</v>
      </c>
      <c r="FY110" s="395">
        <f>IF($BK110&lt;&gt;$FY$9,0,各项系数!$F$76/4*($MS110^2-$MQ110^2)*10^-2*(VLOOKUP($FY$9,各项系数!$D$1:$F$143,3,0))*10^-3*10^2)*各项系数!$J$4</f>
        <v>0</v>
      </c>
      <c r="FZ110" s="396">
        <v>1</v>
      </c>
      <c r="GA110" s="397">
        <f t="shared" si="450"/>
        <v>0</v>
      </c>
      <c r="GB110" s="372">
        <f>GA110*(VLOOKUP($FY$9,各项系数!$D$1:$F$143,2,0))</f>
        <v>0</v>
      </c>
      <c r="GC110" s="395">
        <f>IF($BK110&lt;&gt;$GC$9,0,各项系数!$F$76/4*($MS110^2-$MQ110^2)*10^-2*(VLOOKUP($GC$9,各项系数!$D$1:$F$143,3,0))*10^-3*10^2)*各项系数!$J$4</f>
        <v>0.0144590152869359</v>
      </c>
      <c r="GD110" s="396">
        <v>1</v>
      </c>
      <c r="GE110" s="397">
        <f t="shared" si="451"/>
        <v>0.0144590152869359</v>
      </c>
      <c r="GF110" s="372">
        <f>GE110*(VLOOKUP($GC$9,各项系数!$D$1:$F$143,2,0))</f>
        <v>0.186521297201473</v>
      </c>
      <c r="GG110" s="395">
        <f>IF($BK110&lt;&gt;$GG$9,0,各项系数!$F$76/4*($MS110^2-$MQ110^2)*10^-2*(VLOOKUP($GG$9,各项系数!$D$1:$F$143,3,0))*10^-3*10^2)*各项系数!$J$4</f>
        <v>0</v>
      </c>
      <c r="GH110" s="396">
        <v>1</v>
      </c>
      <c r="GI110" s="397">
        <f t="shared" si="452"/>
        <v>0</v>
      </c>
      <c r="GJ110" s="372">
        <f>GI110*(VLOOKUP($GG$9,各项系数!$D$1:$F$143,2,0))</f>
        <v>0</v>
      </c>
      <c r="GK110" s="395">
        <f>IF($BK110&lt;&gt;$GK$9,0,各项系数!$F$76/4*($MS110^2-$MQ110^2)*10^-2*(VLOOKUP($GK$9,各项系数!$D$1:$F$143,3,0))*10^-3*10^2)*各项系数!$J$4</f>
        <v>0</v>
      </c>
      <c r="GL110" s="396">
        <v>1</v>
      </c>
      <c r="GM110" s="397">
        <f t="shared" si="453"/>
        <v>0</v>
      </c>
      <c r="GN110" s="372">
        <f>GM110*(VLOOKUP($GK$9,各项系数!$D$1:$F$143,2,0))</f>
        <v>0</v>
      </c>
      <c r="GO110" s="397">
        <f t="shared" si="454"/>
        <v>0.0144590152869359</v>
      </c>
      <c r="GP110" s="397">
        <f t="shared" si="455"/>
        <v>0.186521297201473</v>
      </c>
      <c r="GQ110" s="408">
        <f>各项系数!$F$76/4*($MU110^2-$MS110^2)*10^-2*(VLOOKUP($S110,各项系数!$D$1:$F$143,3,0))*10^-3*10^2*各项系数!$J$4</f>
        <v>0.988757768883754</v>
      </c>
      <c r="GR110" s="396">
        <v>1</v>
      </c>
      <c r="GS110" s="397">
        <f t="shared" si="456"/>
        <v>0.988757768883754</v>
      </c>
      <c r="GT110" s="397">
        <f t="shared" si="457"/>
        <v>0</v>
      </c>
      <c r="GU110" s="397">
        <f>ROUND($GS110*(VLOOKUP($S110,各项系数!$D$1:$F$143,2,0))+$E$3*GS110,GT110)</f>
        <v>6</v>
      </c>
      <c r="GV110" s="406">
        <f>各项系数!$F$76/4*($MT110^2-$MS110^2)*10^-2*(VLOOKUP($GV$9,各项系数!$D$1:$F$143,3,0))*10^-3*10^2*各项系数!$J$4*PI()/4*R110</f>
        <v>0.074398552075199</v>
      </c>
      <c r="GW110" s="396">
        <v>1</v>
      </c>
      <c r="GX110" s="397">
        <f t="shared" si="458"/>
        <v>0.074398552075199</v>
      </c>
      <c r="GY110" s="397">
        <f>$GX110*(VLOOKUP($GV$9,各项系数!$D$1:$F$143,2,0))</f>
        <v>5.02190226507593</v>
      </c>
      <c r="GZ110" s="408">
        <f>各项系数!$F$76/4*($MV110^2-$MS110^2)*10^-2*(VLOOKUP($GZ$9,各项系数!$D$1:$F$143,3,0))*10^-3*10^2*各项系数!$J$4</f>
        <v>0.737165102142959</v>
      </c>
      <c r="HA110" s="396">
        <v>1</v>
      </c>
      <c r="HB110" s="397">
        <f t="shared" si="412"/>
        <v>0.737165102142959</v>
      </c>
      <c r="HC110" s="397">
        <f>HB110*(VLOOKUP($GZ$9,各项系数!$D$1:$F$143,2,0))</f>
        <v>12.5318067364303</v>
      </c>
      <c r="HD110" s="408">
        <f>各项系数!$F$76/4*($MW110^2-$MT110^2)*10^-2*(VLOOKUP($HD$9,各项系数!$D$1:$F$143,3,0))*10^-3*10^2*各项系数!$J$4</f>
        <v>0.739268197362608</v>
      </c>
      <c r="HE110" s="396">
        <v>1</v>
      </c>
      <c r="HF110" s="397">
        <f t="shared" si="413"/>
        <v>0.739268197362608</v>
      </c>
      <c r="HG110" s="397">
        <f>HF110*(VLOOKUP($HD$9,各项系数!$D$1:$F$143,2,0))</f>
        <v>12.5675593551643</v>
      </c>
      <c r="HH110" s="408">
        <f>各项系数!$F$76/4*($MV110^2-$MS110^2)*10^-2*(VLOOKUP($HH$9,各项系数!$D$1:$F$143,3,0))*10^-3*10^2*各项系数!$J$4</f>
        <v>0.737165102142959</v>
      </c>
      <c r="HI110" s="397">
        <v>1</v>
      </c>
      <c r="HJ110" s="397">
        <f t="shared" si="414"/>
        <v>0.737165102142959</v>
      </c>
      <c r="HK110" s="397">
        <f>HJ110*(VLOOKUP($HH$9,各项系数!$D$1:$F$143,2,0))</f>
        <v>12.5318067364303</v>
      </c>
      <c r="HL110" s="408">
        <f>各项系数!$F$76/4*($MW110^2-$MT110^2)*10^-2*(VLOOKUP($HL$9,各项系数!$D$1:$F$143,3,0))*10^-3*10^2*各项系数!$J$4</f>
        <v>0.739268197362608</v>
      </c>
      <c r="HM110" s="397">
        <v>1</v>
      </c>
      <c r="HN110" s="397">
        <f t="shared" si="362"/>
        <v>0.739268197362608</v>
      </c>
      <c r="HO110" s="397">
        <f>HN110*(VLOOKUP($HL$9,各项系数!$D$1:$F$143,2,0))</f>
        <v>12.5675593551643</v>
      </c>
      <c r="HP110" s="408">
        <f>各项系数!$F$76/4*($MV110^2-$MS110^2)*10^-2*(VLOOKUP(AN110,各项系数!$D$1:$F$143,3,0))*10^-3*10^2*各项系数!$J$4</f>
        <v>0.747332896655276</v>
      </c>
      <c r="HQ110" s="396">
        <v>1</v>
      </c>
      <c r="HR110" s="397">
        <f t="shared" si="459"/>
        <v>0.747332896655276</v>
      </c>
      <c r="HS110" s="397">
        <f>HR110*(VLOOKUP(AN110,各项系数!$D$1:$F$143,2,0))</f>
        <v>7.47332896655276</v>
      </c>
      <c r="HT110" s="408">
        <f>各项系数!$F$76/4*($MW110^2-$MT110^2)*10^-2*(VLOOKUP(AN110,各项系数!$D$1:$F$143,3,0))*10^-3*10^2*各项系数!$J$4</f>
        <v>0.749465000084851</v>
      </c>
      <c r="HU110" s="396">
        <v>1</v>
      </c>
      <c r="HV110" s="397">
        <f t="shared" si="460"/>
        <v>0.749465000084851</v>
      </c>
      <c r="HW110" s="397">
        <f>HV110*(VLOOKUP(AN110,各项系数!$D$1:$F$143,2,0))</f>
        <v>7.49465000084851</v>
      </c>
      <c r="HX110" s="408">
        <f>各项系数!$F$76/4*($MV110^2-$MS110^2)*10^-2*(VLOOKUP($HX$9,各项系数!$D$1:$F$143,3,0))*10^-3*10^2*各项系数!$J$4</f>
        <v>0.747332896655276</v>
      </c>
      <c r="HY110" s="397">
        <v>1</v>
      </c>
      <c r="HZ110" s="397">
        <f t="shared" si="461"/>
        <v>0.747332896655276</v>
      </c>
      <c r="IA110" s="397">
        <f>HZ110*(VLOOKUP($HX$9,各项系数!$D$1:$F$143,2,0))</f>
        <v>8.22066186320803</v>
      </c>
      <c r="IB110" s="408">
        <f>各项系数!$F$76/4*($MW110^2-$MT110^2)*10^-2*(VLOOKUP($IB$9,各项系数!$D$1:$F$143,3,0))*10^-3*10^2*各项系数!$J$4</f>
        <v>0.749465000084851</v>
      </c>
      <c r="IC110" s="397">
        <v>1</v>
      </c>
      <c r="ID110" s="397">
        <f t="shared" si="462"/>
        <v>0.749465000084851</v>
      </c>
      <c r="IE110" s="397">
        <f>ID110*(VLOOKUP($IB$9,各项系数!$D$1:$F$143,2,0))</f>
        <v>8.24411500093336</v>
      </c>
      <c r="IF110" s="395"/>
      <c r="IG110" s="408">
        <f t="shared" si="415"/>
        <v>0.107205883073773</v>
      </c>
      <c r="IH110" s="396">
        <v>1</v>
      </c>
      <c r="II110" s="397">
        <f t="shared" si="463"/>
        <v>0.107205883073773</v>
      </c>
      <c r="IJ110" s="397">
        <f>II110*(VLOOKUP($IG$8,各项系数!$D$1:$F$143,2,0))</f>
        <v>2.68014707684433</v>
      </c>
      <c r="IK110" s="408">
        <f>(各项系数!$F$76/4*($MX110^2-$MK110^2)*$EG110)*10^-2*(VLOOKUP($IG$8,各项系数!$D$1:$F$143,3,0))*10^-3*10^2*各项系数!$J$4</f>
        <v>0.0861128173667008</v>
      </c>
      <c r="IL110" s="396">
        <f>IK110*(VLOOKUP($IG$8,各项系数!$D$1:$F$143,2,0))</f>
        <v>2.15282043416752</v>
      </c>
      <c r="IM110" s="397">
        <f>(各项系数!$F$76/4*(($MM110+3*$X110)^2-MM110^2)*$EO110)*10^-2*(VLOOKUP($IG$8,各项系数!$D$1:$F$143,3,0))*10^-3*10^2*各项系数!$J$4</f>
        <v>0.0210930657070723</v>
      </c>
      <c r="IN110" s="396">
        <f>IM110*(VLOOKUP($IG$8,各项系数!$D$1:$F$143,2,0))</f>
        <v>0.527326642676808</v>
      </c>
      <c r="IO110" s="408">
        <f>各项系数!$F$76/4*($MZ110^2-$MX110^2)*10^-2*(VLOOKUP(L110,各项系数!$D$1:$F$143,3,0))*10^-3*10^2*$ES110*各项系数!$J$4</f>
        <v>0.523892030450859</v>
      </c>
      <c r="IP110" s="396">
        <v>1</v>
      </c>
      <c r="IQ110" s="397">
        <f t="shared" si="464"/>
        <v>0.523892030450859</v>
      </c>
      <c r="IR110" s="372">
        <f>IQ110*(VLOOKUP(L110,各项系数!$D$1:$F$143,2,0))</f>
        <v>5.34369871059876</v>
      </c>
      <c r="IS110" s="408">
        <f>IF($L110&lt;&gt;$IS$9,0,各项系数!$F$76/4*($MZ110^2-$MX110^2)*10^-2*各项系数!$F$12*10^-3*10^2)*$ES110*各项系数!$J$4</f>
        <v>0</v>
      </c>
      <c r="IT110" s="396">
        <v>1</v>
      </c>
      <c r="IU110" s="397">
        <f t="shared" si="465"/>
        <v>0</v>
      </c>
      <c r="IV110" s="372">
        <f>IU110*各项系数!$E$12</f>
        <v>0</v>
      </c>
      <c r="IW110" s="395">
        <f t="shared" si="466"/>
        <v>0.523892030450859</v>
      </c>
      <c r="IX110" s="395">
        <f t="shared" si="467"/>
        <v>5.34369871059876</v>
      </c>
      <c r="IY110" s="447">
        <f>各项系数!$F$76/4*($NB110^2-$MZ110^2*$EG110-$NA110^2*$EO110)*10^-2</f>
        <v>7.37594512878966</v>
      </c>
      <c r="IZ110" s="366">
        <f t="shared" si="487"/>
        <v>1</v>
      </c>
      <c r="JA110" s="367">
        <f t="shared" si="363"/>
        <v>7.37594512878966</v>
      </c>
      <c r="JB110" s="371">
        <f>IF($DE110&lt;&gt;$JB$9,0,$JA110*各项系数!$F$32*10^-3*10^2)*各项系数!$J$4</f>
        <v>0</v>
      </c>
      <c r="JC110" s="127">
        <v>1</v>
      </c>
      <c r="JD110" s="95">
        <f t="shared" si="468"/>
        <v>0</v>
      </c>
      <c r="JE110" s="341">
        <f>JD110*各项系数!$E$32</f>
        <v>0</v>
      </c>
      <c r="JF110" s="364">
        <f>IF($DE110&lt;&gt;$JF$9,0,$JA110*VLOOKUP($JF$9,各项系数!$D$4:$F$540,2,0)*10^-3*10^2)*各项系数!$J$4</f>
        <v>3.66953270157286</v>
      </c>
      <c r="JG110" s="123">
        <v>1</v>
      </c>
      <c r="JH110" s="251">
        <f t="shared" si="364"/>
        <v>3.66953270157286</v>
      </c>
      <c r="JI110" s="339">
        <f>JH110*VLOOKUP($JF$9,各项系数!$D$4:$F$540,3,0)</f>
        <v>4.40343924188743</v>
      </c>
      <c r="JJ110" s="371">
        <f t="shared" si="469"/>
        <v>3.66953270157286</v>
      </c>
      <c r="JK110" s="95">
        <f t="shared" si="470"/>
        <v>4.40343924188743</v>
      </c>
      <c r="JL110" s="371">
        <f>IF($DF110&lt;&gt;$JL$9,0,各项系数!$F$76/4*($NE110^2-$NC110^2)*10^-2*各项系数!$F$39*10^-3*10^2)*各项系数!$J$4</f>
        <v>0.00620987873759634</v>
      </c>
      <c r="JM110" s="127">
        <v>1</v>
      </c>
      <c r="JN110" s="95">
        <f t="shared" si="471"/>
        <v>0.00620987873759634</v>
      </c>
      <c r="JO110" s="341">
        <f>JN110*各项系数!$E$39</f>
        <v>0.124197574751927</v>
      </c>
      <c r="JP110" s="371">
        <f>IF($DF110&lt;&gt;$JP$9,0,各项系数!$F$76/4*($NE110^2-$NC110^2)*10^-2*各项系数!$F$36*10^-3*10^2)*各项系数!$J$4</f>
        <v>0</v>
      </c>
      <c r="JQ110" s="127">
        <v>1</v>
      </c>
      <c r="JR110" s="95">
        <f t="shared" si="472"/>
        <v>0</v>
      </c>
      <c r="JS110" s="341">
        <f>JR110*各项系数!$E$36</f>
        <v>0</v>
      </c>
      <c r="JT110" s="371">
        <f>IF($DF110&lt;&gt;$JT$9,0,各项系数!$F$76/4*($NE110^2-$NC110^2)*10^-2*各项系数!$F$40*10^-3*10^2)*各项系数!$J$4</f>
        <v>0</v>
      </c>
      <c r="JU110" s="127">
        <v>1</v>
      </c>
      <c r="JV110" s="95">
        <f t="shared" si="473"/>
        <v>0</v>
      </c>
      <c r="JW110" s="341">
        <f>JV110*各项系数!$E$40</f>
        <v>0</v>
      </c>
      <c r="JX110" s="371">
        <f>IF($DF110&lt;&gt;$JX$9,0,各项系数!$F$76/4*($NE110^2-$NC110^2)*10^-2*各项系数!$F$38*10^-3*10^2)*各项系数!$J$4</f>
        <v>0</v>
      </c>
      <c r="JY110" s="127">
        <v>1</v>
      </c>
      <c r="JZ110" s="95">
        <f t="shared" si="474"/>
        <v>0</v>
      </c>
      <c r="KA110" s="341">
        <f>JZ110*各项系数!$E$38</f>
        <v>0</v>
      </c>
      <c r="KB110" s="371">
        <f>IF($DF110&lt;&gt;$KB$9,0,各项系数!$F$76/4*($NE110^2-$NC110^2)*10^-2*各项系数!$F$41*10^-3*10^2)*各项系数!$J$4</f>
        <v>0</v>
      </c>
      <c r="KC110" s="127">
        <v>1</v>
      </c>
      <c r="KD110" s="95">
        <f t="shared" si="475"/>
        <v>0</v>
      </c>
      <c r="KE110" s="341">
        <f>KD110*各项系数!$E$41</f>
        <v>0</v>
      </c>
      <c r="KF110" s="95">
        <f t="shared" si="476"/>
        <v>0.00620987873759634</v>
      </c>
      <c r="KG110" s="95">
        <f t="shared" si="477"/>
        <v>0.124197574751927</v>
      </c>
      <c r="KH110" s="304">
        <f>各项系数!$F$76/4*($NG110^2-$NE110^2)*10^-2*各项系数!$F$44*10^-3*10^2*各项系数!$J$4*0.75*$U110</f>
        <v>1.54146409088998</v>
      </c>
      <c r="KI110" s="127">
        <v>1</v>
      </c>
      <c r="KJ110" s="95">
        <f t="shared" si="478"/>
        <v>1.54146409088998</v>
      </c>
      <c r="KK110" s="95">
        <f>ROUND(KJ110*各项系数!$E$43,GT110)</f>
        <v>9</v>
      </c>
      <c r="KL110" s="302">
        <f>各项系数!$F$76/4*($NF110^2-$NE110^2)*10^-2*各项系数!$F$46*10^-3*10^2*各项系数!$J$4*PI()/4*R110</f>
        <v>0.077361235435271</v>
      </c>
      <c r="KM110" s="127">
        <v>1</v>
      </c>
      <c r="KN110" s="95">
        <f t="shared" si="479"/>
        <v>0.077361235435271</v>
      </c>
      <c r="KO110" s="95">
        <f>KN110*各项系数!$E$46</f>
        <v>5.22188339188079</v>
      </c>
      <c r="KP110" s="304">
        <f>各项系数!$F$76/4*($NH110^2-$NE110^2)*10^-2*(VLOOKUP($KP$9,各项系数!$D$1:$F$143,3,0))*10^-3*10^2*各项系数!$J$4</f>
        <v>0.765044258148426</v>
      </c>
      <c r="KQ110" s="127">
        <v>1</v>
      </c>
      <c r="KR110" s="95">
        <f t="shared" si="416"/>
        <v>0.765044258148426</v>
      </c>
      <c r="KS110" s="95">
        <f>KR110*(VLOOKUP($KP$9,各项系数!$D$1:$F$143,2,0))</f>
        <v>13.0057523885232</v>
      </c>
      <c r="KT110" s="304">
        <f>各项系数!$F$76/4*($NI110^2-$NF110^2)*10^-2*(VLOOKUP($KT$9,各项系数!$D$1:$F$143,3,0))*10^-3*10^2*各项系数!$J$4</f>
        <v>0.767147353368074</v>
      </c>
      <c r="KU110" s="127">
        <v>1</v>
      </c>
      <c r="KV110" s="95">
        <f t="shared" si="417"/>
        <v>0.767147353368074</v>
      </c>
      <c r="KW110" s="95">
        <f>KV110*(VLOOKUP($KT$9,各项系数!$D$1:$F$143,2,0))</f>
        <v>13.0415050072573</v>
      </c>
      <c r="KX110" s="95">
        <f>各项系数!$F$76/4*($NH110^2-$NE110^2)*10^-2*(VLOOKUP($KX$9,各项系数!$D$1:$F$143,3,0))*10^-3*10^2*各项系数!$J$4</f>
        <v>0.765044258148426</v>
      </c>
      <c r="KY110" s="481">
        <v>1</v>
      </c>
      <c r="KZ110" s="95">
        <f t="shared" si="418"/>
        <v>0.765044258148426</v>
      </c>
      <c r="LA110" s="95">
        <f>KZ110*(VLOOKUP($KX$9,各项系数!$D$1:$F$143,2,0))</f>
        <v>13.0057523885232</v>
      </c>
      <c r="LB110" s="95">
        <f>各项系数!$F$76/4*($NI110^2-$NF110^2)*10^-2*(VLOOKUP($LB$9,各项系数!$D$1:$F$143,3,0))*10^-3*10^2*各项系数!$J$4</f>
        <v>0.767147353368074</v>
      </c>
      <c r="LC110" s="481">
        <v>1</v>
      </c>
      <c r="LD110" s="95">
        <f t="shared" si="419"/>
        <v>0.767147353368074</v>
      </c>
      <c r="LE110" s="95">
        <f>LD110*(VLOOKUP($LB$9,各项系数!$D$1:$F$143,2,0))</f>
        <v>13.0415050072573</v>
      </c>
      <c r="LF110" s="304">
        <f>各项系数!$F$76/4*($NH110^2-$NE110^2)*10^-2*(VLOOKUP(AN110,各项系数!$D$1:$F$143,3,0))*10^-3*10^2*各项系数!$J$4</f>
        <v>0.775596592743576</v>
      </c>
      <c r="LG110" s="127">
        <v>1</v>
      </c>
      <c r="LH110" s="95">
        <f t="shared" si="480"/>
        <v>0.775596592743576</v>
      </c>
      <c r="LI110" s="95">
        <f>LH110*(VLOOKUP(AN110,各项系数!$D$1:$F$143,2,0))</f>
        <v>7.75596592743576</v>
      </c>
      <c r="LJ110" s="304">
        <f>各项系数!$F$76/4*($NI110^2-$NF110^2)*10^-2*(VLOOKUP(AN110,各项系数!$D$1:$F$143,3,0))*10^-3*10^2*各项系数!$J$4</f>
        <v>0.777728696173151</v>
      </c>
      <c r="LK110" s="127">
        <v>1</v>
      </c>
      <c r="LL110" s="95">
        <f t="shared" si="481"/>
        <v>0.777728696173151</v>
      </c>
      <c r="LM110" s="95">
        <f>LL110*(VLOOKUP(AN110,各项系数!$D$1:$F$143,2,0))</f>
        <v>7.77728696173151</v>
      </c>
      <c r="LN110" s="95">
        <f>各项系数!$F$76/4*($NH110^2-$NE110^2)*10^-2*(VLOOKUP($LN$9,各项系数!$D$1:$F$143,3,0))*10^-3*10^2*各项系数!$J$4</f>
        <v>0.775596592743576</v>
      </c>
      <c r="LO110" s="481">
        <v>1</v>
      </c>
      <c r="LP110" s="95">
        <f t="shared" si="482"/>
        <v>0.775596592743576</v>
      </c>
      <c r="LQ110" s="95">
        <f>LP110*(VLOOKUP($LN$9,各项系数!$D$1:$F$143,2,0))</f>
        <v>8.53156252017934</v>
      </c>
      <c r="LR110" s="95">
        <f>各项系数!$F$76/4*($NI110^2-$NF110^2)*10^-2*(VLOOKUP($LR$9,各项系数!$D$1:$F$143,3,0))*10^-3*10^2*各项系数!$J$4</f>
        <v>0.777728696173151</v>
      </c>
      <c r="LS110" s="481">
        <v>1</v>
      </c>
      <c r="LT110" s="95">
        <f t="shared" si="483"/>
        <v>0.777728696173151</v>
      </c>
      <c r="LU110" s="95">
        <f>LT110*(VLOOKUP($LR$9,各项系数!$D$1:$F$143,2,0))</f>
        <v>8.55501565790466</v>
      </c>
      <c r="LV110" s="501">
        <f t="shared" si="420"/>
        <v>952.50875464</v>
      </c>
      <c r="LW110" s="501">
        <f t="shared" si="421"/>
        <v>688.32730222</v>
      </c>
      <c r="LX110" s="501">
        <f t="shared" si="422"/>
        <v>29.6041473599118</v>
      </c>
      <c r="LY110" s="519">
        <f t="shared" si="423"/>
        <v>264.18145242</v>
      </c>
      <c r="LZ110" s="516">
        <f t="shared" si="365"/>
        <v>1</v>
      </c>
      <c r="MA110" s="517">
        <f t="shared" si="366"/>
        <v>952.50875464</v>
      </c>
      <c r="MB110" s="501">
        <f t="shared" si="424"/>
        <v>20.10615008</v>
      </c>
      <c r="MC110" s="501">
        <f t="shared" si="425"/>
        <v>169.60744652</v>
      </c>
      <c r="MD110" s="501">
        <f t="shared" si="426"/>
        <v>113.07163105</v>
      </c>
      <c r="ME110" s="501">
        <f t="shared" si="427"/>
        <v>11.9986362575321</v>
      </c>
      <c r="MF110" s="501">
        <f t="shared" si="428"/>
        <v>56.53581547</v>
      </c>
      <c r="MG110" s="527">
        <f t="shared" si="429"/>
        <v>1</v>
      </c>
      <c r="MH110" s="517">
        <f t="shared" si="367"/>
        <v>169.60744652</v>
      </c>
      <c r="MI110" s="501">
        <f t="shared" si="430"/>
        <v>14.6952682177229</v>
      </c>
      <c r="MJ110" s="95">
        <f t="shared" si="368"/>
        <v>20.10615008</v>
      </c>
      <c r="MK110" s="95">
        <f t="shared" si="431"/>
        <v>20.10615008</v>
      </c>
      <c r="ML110" s="95">
        <f t="shared" si="484"/>
        <v>14.6952682177778</v>
      </c>
      <c r="MM110" s="95">
        <f t="shared" si="369"/>
        <v>14.6952682177229</v>
      </c>
      <c r="MN110" s="95">
        <f t="shared" si="370"/>
        <v>23.50615008</v>
      </c>
      <c r="MO110" s="251">
        <f t="shared" si="432"/>
        <v>17.0952682177229</v>
      </c>
      <c r="MP110" s="95">
        <f t="shared" si="433"/>
        <v>53.00629967</v>
      </c>
      <c r="MQ110" s="95">
        <f t="shared" si="485"/>
        <v>53.00629967</v>
      </c>
      <c r="MR110" s="314">
        <f t="shared" si="434"/>
        <v>53.00629967</v>
      </c>
      <c r="MS110" s="530">
        <f t="shared" si="371"/>
        <v>53.18229967</v>
      </c>
      <c r="MT110" s="532">
        <f t="shared" si="372"/>
        <v>53.34229967</v>
      </c>
      <c r="MU110" s="532">
        <f t="shared" si="373"/>
        <v>54.68229967</v>
      </c>
      <c r="MV110" s="532">
        <f t="shared" si="374"/>
        <v>58.98229967</v>
      </c>
      <c r="MW110" s="532">
        <f t="shared" si="375"/>
        <v>59.14229967</v>
      </c>
      <c r="MX110" s="314">
        <f t="shared" si="376"/>
        <v>20.70615008</v>
      </c>
      <c r="MY110" s="314">
        <f t="shared" si="377"/>
        <v>15.2952682177229</v>
      </c>
      <c r="MZ110" s="95">
        <f t="shared" si="378"/>
        <v>24.10615008</v>
      </c>
      <c r="NA110" s="95">
        <f t="shared" si="379"/>
        <v>18.6952682177229</v>
      </c>
      <c r="NB110" s="95">
        <f t="shared" si="435"/>
        <v>55.06329967</v>
      </c>
      <c r="NC110" s="314">
        <f t="shared" si="486"/>
        <v>55.06329967</v>
      </c>
      <c r="ND110" s="314">
        <f t="shared" si="436"/>
        <v>55.06329967</v>
      </c>
      <c r="NE110" s="537">
        <f t="shared" si="437"/>
        <v>55.30329967</v>
      </c>
      <c r="NF110" s="532">
        <f t="shared" si="380"/>
        <v>55.46329967</v>
      </c>
      <c r="NG110" s="180">
        <f t="shared" si="381"/>
        <v>56.80329967</v>
      </c>
      <c r="NH110" s="314">
        <f t="shared" si="382"/>
        <v>61.10329967</v>
      </c>
      <c r="NI110" s="532">
        <f t="shared" si="383"/>
        <v>61.26329967</v>
      </c>
      <c r="NK110" s="541">
        <f t="shared" si="384"/>
        <v>9.27480137374489</v>
      </c>
      <c r="NL110" s="541">
        <f t="shared" si="385"/>
        <v>486.46822247022</v>
      </c>
      <c r="NM110" s="541">
        <f t="shared" si="386"/>
        <v>9.27480137374489</v>
      </c>
      <c r="NN110" s="541">
        <f t="shared" si="387"/>
        <v>487.215555366875</v>
      </c>
      <c r="NO110" s="541">
        <f t="shared" si="388"/>
        <v>12.2966763453617</v>
      </c>
      <c r="NP110" s="541">
        <f t="shared" si="389"/>
        <v>491.985850820672</v>
      </c>
      <c r="NQ110" s="541">
        <f t="shared" si="390"/>
        <v>12.2966763453617</v>
      </c>
      <c r="NR110" s="541">
        <f t="shared" si="391"/>
        <v>492.761447413416</v>
      </c>
      <c r="NS110" s="541">
        <f t="shared" si="392"/>
        <v>9.34919992582009</v>
      </c>
      <c r="NT110" s="541">
        <f t="shared" si="393"/>
        <v>9.34919992582009</v>
      </c>
      <c r="NU110" s="541">
        <f t="shared" si="394"/>
        <v>12.374037580797</v>
      </c>
      <c r="NV110" s="541">
        <f t="shared" si="395"/>
        <v>12.374037580797</v>
      </c>
      <c r="NW110" s="11">
        <f t="shared" si="396"/>
        <v>10.2635591426286</v>
      </c>
      <c r="NX110" s="11">
        <f>各项系数!$M$9*NK110</f>
        <v>2.78244041212347</v>
      </c>
      <c r="NY110" s="11">
        <f t="shared" si="397"/>
        <v>9.34919992582009</v>
      </c>
    </row>
    <row r="111" s="11" customFormat="1" customHeight="1" spans="1:389">
      <c r="A111" s="81"/>
      <c r="B111" s="82"/>
      <c r="C111" s="83"/>
      <c r="D111" s="74" t="s">
        <v>361</v>
      </c>
      <c r="E111" s="550">
        <f t="shared" si="503"/>
        <v>64.28073456</v>
      </c>
      <c r="F111" s="84">
        <f>$F$31</f>
        <v>245.118138379664</v>
      </c>
      <c r="G111" s="74"/>
      <c r="H111" s="23"/>
      <c r="I111" s="174">
        <f>$F$28</f>
        <v>243.335870228497</v>
      </c>
      <c r="J111" s="78"/>
      <c r="K111" s="23"/>
      <c r="L111" s="128" t="s">
        <v>467</v>
      </c>
      <c r="M111" s="119">
        <f t="shared" si="339"/>
        <v>1.8</v>
      </c>
      <c r="N111" s="119">
        <f t="shared" si="501"/>
        <v>1.4</v>
      </c>
      <c r="O111" s="74">
        <f t="shared" si="502"/>
        <v>0.08</v>
      </c>
      <c r="P111" s="120">
        <v>0.1</v>
      </c>
      <c r="Q111" s="165">
        <f t="shared" si="499"/>
        <v>0.1</v>
      </c>
      <c r="R111" s="182">
        <v>0.8</v>
      </c>
      <c r="S111" s="173" t="str">
        <f>各项系数!$D$43</f>
        <v>钢带</v>
      </c>
      <c r="T111" s="78">
        <v>0.5</v>
      </c>
      <c r="U111" s="78">
        <v>2</v>
      </c>
      <c r="V111" s="172"/>
      <c r="W111" s="174">
        <v>3.2</v>
      </c>
      <c r="X111" s="168">
        <f t="shared" si="500"/>
        <v>0.2</v>
      </c>
      <c r="Y111" s="221"/>
      <c r="Z111" s="222"/>
      <c r="AA111" s="223">
        <f>$AA$31</f>
        <v>1.02</v>
      </c>
      <c r="AB111" s="186">
        <f>PI()*EJ111*EJ111/4*EH111*(1-H111)*AA111*各项系数!$F$5*各项系数!$J$4*10^-7</f>
        <v>2.59714160229395</v>
      </c>
      <c r="AC111" s="224">
        <f t="shared" si="504"/>
        <v>245.118138379664</v>
      </c>
      <c r="AD111" s="186">
        <f t="shared" si="341"/>
        <v>293.609962330657</v>
      </c>
      <c r="AE111" s="186">
        <f>POWER(4*EU111/PI()/EG111/10^-7/EH111/(1-H111)/各项系数!$F$5/各项系数!$J$4,0.5)</f>
        <v>247.557184904754</v>
      </c>
      <c r="AF111" s="225">
        <f>$AA$28</f>
        <v>1.015</v>
      </c>
      <c r="AG111" s="23">
        <f>IF(EM111=0,0,PI()*ER111*ER111/4*EP111*(1-K111)*(1+AF111)*各项系数!$F$5*各项系数!$J$4*10^-7)</f>
        <v>2.48669942876503</v>
      </c>
      <c r="AH111" s="23">
        <f t="shared" si="505"/>
        <v>243.335870228497</v>
      </c>
      <c r="AI111" s="85">
        <f t="shared" si="398"/>
        <v>141.608539825376</v>
      </c>
      <c r="AJ111" s="85">
        <f>IF(OR(EP111="",EP111=0),0,POWER(4*EW111/PI()/EO111/10^-7/EP111/(1-K111)/各项系数!$F$5/各项系数!$J$4,0.5))</f>
        <v>245.154096286311</v>
      </c>
      <c r="AK111" s="23">
        <f t="shared" si="342"/>
        <v>9.0440302263342</v>
      </c>
      <c r="AL111" s="23">
        <f t="shared" si="506"/>
        <v>628.705129039751</v>
      </c>
      <c r="AM111" s="127">
        <f t="shared" si="507"/>
        <v>300</v>
      </c>
      <c r="AN111" s="128" t="s">
        <v>486</v>
      </c>
      <c r="AO111" s="176">
        <f>AP111+各项系数!$M$9*$NK111</f>
        <v>616.377577489952</v>
      </c>
      <c r="AP111" s="176">
        <f>AQ111*(1+$BI111+(VLOOKUP($AM111,$A$12:$B$323,2,0))+各项系数!$J$6+各项系数!$M$5)*(1+$E$2)</f>
        <v>612.922380506144</v>
      </c>
      <c r="AQ111" s="262">
        <f>AR111+各项系数!$L$9*$NK111</f>
        <v>625.431000516474</v>
      </c>
      <c r="AR111" s="262">
        <f>AS111*(1+$BJ111+各项系数!$J$5+各项系数!$L$5)</f>
        <v>621.975803532666</v>
      </c>
      <c r="AS111" s="262">
        <f t="shared" si="399"/>
        <v>609.780199541829</v>
      </c>
      <c r="AT111" s="176">
        <f>AU111+各项系数!$M$9*$NM111</f>
        <v>622.45439943232</v>
      </c>
      <c r="AU111" s="176">
        <f>AV111*(1+$BI111+(VLOOKUP($AM111,$A$12:$B$323,2,0))+各项系数!$J$6+各项系数!$M$5)*(1+$E$2)</f>
        <v>618.999202448512</v>
      </c>
      <c r="AV111" s="262">
        <f>AW111+各项系数!$L$9*$NM111</f>
        <v>631.631839233175</v>
      </c>
      <c r="AW111" s="262">
        <f>AX111*(1+$BJ111+各项系数!$J$5+各项系数!$L$5)</f>
        <v>628.176642249367</v>
      </c>
      <c r="AX111" s="262">
        <f t="shared" si="400"/>
        <v>615.859453185654</v>
      </c>
      <c r="AY111" s="176">
        <f>AZ111+各项系数!$M$9*$NS111</f>
        <v>621.911899949049</v>
      </c>
      <c r="AZ111" s="176">
        <f>BA111*(1+$BI111+(VLOOKUP($AM111,$A$12:$B$214,2,0))+各项系数!$J$6+各项系数!$M$5)*(1+$E$2)</f>
        <v>618.432414520571</v>
      </c>
      <c r="BA111" s="262">
        <f>BB111+各项系数!$L$9*$NS111</f>
        <v>631.053484204664</v>
      </c>
      <c r="BB111" s="262">
        <f>BC111*(1+$BJ111+各项系数!$J$5+各项系数!$L$5)</f>
        <v>627.573998776186</v>
      </c>
      <c r="BC111" s="262">
        <f t="shared" si="401"/>
        <v>615.268626251163</v>
      </c>
      <c r="BD111" s="176">
        <f>BE111+各项系数!$M$9*$NS111</f>
        <v>628.004640028581</v>
      </c>
      <c r="BE111" s="176">
        <f>BF111*(1+$BI111+(VLOOKUP($AM111,$A$12:$B$214,2,0))+各项系数!$J$6+各项系数!$M$5)*(1+$E$2)</f>
        <v>624.525154600102</v>
      </c>
      <c r="BF111" s="262">
        <f>BG111+各项系数!$L$9*$NS111</f>
        <v>637.270565918472</v>
      </c>
      <c r="BG111" s="262">
        <f>BH111*(1+$BJ111+各项系数!$J$5+各项系数!$L$5)</f>
        <v>633.791080489993</v>
      </c>
      <c r="BH111" s="262">
        <f t="shared" si="402"/>
        <v>621.363804401954</v>
      </c>
      <c r="BI111" s="278"/>
      <c r="BJ111" s="279"/>
      <c r="BK111" s="95" t="s">
        <v>514</v>
      </c>
      <c r="BL111" s="176">
        <f>BM111+各项系数!$M$9*$NM111</f>
        <v>623.260006961369</v>
      </c>
      <c r="BM111" s="176">
        <f>BN111*(1+$CF111+(VLOOKUP($AM111,$A$12:$B$323,2,0))+各项系数!$J$6+各项系数!$M$5)*(1+$E$2)</f>
        <v>619.804809977561</v>
      </c>
      <c r="BN111" s="262">
        <f>BO111+各项系数!$L$9*$NM111</f>
        <v>632.453887732205</v>
      </c>
      <c r="BO111" s="262">
        <f>BP111*(1+$CG111+各项系数!$J$5+各项系数!$L$5)</f>
        <v>628.998690748397</v>
      </c>
      <c r="BP111" s="262">
        <f t="shared" si="403"/>
        <v>610.678340532424</v>
      </c>
      <c r="BQ111" s="176">
        <f>BR111+各项系数!$M$9*$NM111</f>
        <v>628.489822073539</v>
      </c>
      <c r="BR111" s="176">
        <f>BS111*(1+$CF111+(VLOOKUP($AM111,$A$12:$B$323,2,0))+各项系数!$J$6+各项系数!$M$5)*(1+$E$2)</f>
        <v>625.034625089731</v>
      </c>
      <c r="BS111" s="262">
        <f>BT111+各项系数!$L$9*$NM111</f>
        <v>637.790433765032</v>
      </c>
      <c r="BT111" s="262">
        <f>BU111*(1+$CG111+各项系数!$J$5+各项系数!$L$5)</f>
        <v>634.335236781224</v>
      </c>
      <c r="BU111" s="262">
        <f t="shared" si="404"/>
        <v>615.859453185654</v>
      </c>
      <c r="BV111" s="176">
        <f>BW111+各项系数!$M$9*$NT111</f>
        <v>625.448693198313</v>
      </c>
      <c r="BW111" s="176">
        <f>BX111*(1+$CF111+(VLOOKUP($AM111,$A$12:$B$214,2,0))+各项系数!$J$6+各项系数!$M$5)*(1+$E$2)</f>
        <v>621.969207769835</v>
      </c>
      <c r="BX111" s="262">
        <f>BY111+各项系数!$L$9*$NT$12</f>
        <v>634.662456907995</v>
      </c>
      <c r="BY111" s="262">
        <f>BZ111*(1+$CG111+各项系数!$J$5+各项系数!$L$5)</f>
        <v>634.65419350484</v>
      </c>
      <c r="BZ111" s="262">
        <f t="shared" si="343"/>
        <v>616.169119907611</v>
      </c>
      <c r="CA111" s="176">
        <f>CB111+各项系数!$M$9*$NT111</f>
        <v>630.692207726903</v>
      </c>
      <c r="CB111" s="176">
        <f>CC111*(1+$CF111+(VLOOKUP($AM111,$A$12:$B$214,2,0))+各项系数!$J$6+各项系数!$M$5)*(1+$E$2)</f>
        <v>627.212722298425</v>
      </c>
      <c r="CC111" s="262">
        <f>CD111+各项系数!$L$9*$NT$12</f>
        <v>640.012981937168</v>
      </c>
      <c r="CD111" s="262">
        <f>CE111*(1+$CG111+各项系数!$J$5+各项系数!$L$5)</f>
        <v>640.004718534013</v>
      </c>
      <c r="CE111" s="262">
        <f t="shared" si="405"/>
        <v>621.363804401954</v>
      </c>
      <c r="CF111" s="278">
        <f t="shared" si="406"/>
        <v>0</v>
      </c>
      <c r="CG111" s="278">
        <f t="shared" si="344"/>
        <v>0.01</v>
      </c>
      <c r="CH111" s="127"/>
      <c r="CI111" s="176">
        <f>CJ111+各项系数!$M$9*$NO111</f>
        <v>628.151258535024</v>
      </c>
      <c r="CJ111" s="176">
        <f>CK111*(1+$DC111+(VLOOKUP($AM111,$A$12:$B$323,2,0))+各项系数!$J$6+各项系数!$M$5)*(1+$E$2)+各项系数!$M$9*$NK111</f>
        <v>623.649395882574</v>
      </c>
      <c r="CK111" s="262">
        <f>CL111+各项系数!$L$9*$NO111</f>
        <v>632.851223366088</v>
      </c>
      <c r="CL111" s="262">
        <f>CM111*(1+$DD111+各项系数!$J$5+各项系数!$L$5)</f>
        <v>628.349360713639</v>
      </c>
      <c r="CM111" s="262">
        <f t="shared" si="345"/>
        <v>616.028785013371</v>
      </c>
      <c r="CN111" s="176">
        <f>CO111+各项系数!$M$9*$NO111</f>
        <v>633.934114879018</v>
      </c>
      <c r="CO111" s="176">
        <f>CP111*(1+$DC111+(VLOOKUP($AM111,$A$12:$B$323,2,0))+各项系数!$J$6+各项系数!$M$5)*(1+$E$2)+各项系数!$M$9*$NK111</f>
        <v>629.432252226569</v>
      </c>
      <c r="CP111" s="262">
        <f>CQ111+各项系数!$L$9*$NO111</f>
        <v>638.752097186491</v>
      </c>
      <c r="CQ111" s="262">
        <f>CR111*(1+$DD111+各项系数!$J$5+各项系数!$L$5)</f>
        <v>634.250234534042</v>
      </c>
      <c r="CR111" s="262">
        <f t="shared" si="346"/>
        <v>621.813955425531</v>
      </c>
      <c r="CS111" s="176">
        <f>CT111+各项系数!$M$9*$NU111</f>
        <v>630.420540510331</v>
      </c>
      <c r="CT111" s="176">
        <f t="shared" si="347"/>
        <v>625.893551313251</v>
      </c>
      <c r="CU111" s="262">
        <f>CV111+各项系数!$L$9*$NU111</f>
        <v>638.666889095155</v>
      </c>
      <c r="CV111" s="262">
        <f>CW111*(1+$DD111+各项系数!$J$5+各项系数!$L$5)</f>
        <v>634.139899898075</v>
      </c>
      <c r="CW111" s="262">
        <f t="shared" si="348"/>
        <v>621.705784213799</v>
      </c>
      <c r="CX111" s="176">
        <f>CY111+各项系数!$M$9*$NU111</f>
        <v>636.712257304408</v>
      </c>
      <c r="CY111" s="176">
        <f t="shared" si="349"/>
        <v>632.185268107328</v>
      </c>
      <c r="CZ111" s="262">
        <f>DA111+各项系数!$L$9*$NU111</f>
        <v>645.087008272783</v>
      </c>
      <c r="DA111" s="262">
        <f>DB111*(1+$DD111+各项系数!$J$5+各项系数!$L$5)</f>
        <v>640.560019075703</v>
      </c>
      <c r="DB111" s="262">
        <f t="shared" si="350"/>
        <v>628.00001870167</v>
      </c>
      <c r="DC111" s="278">
        <f t="shared" si="498"/>
        <v>0</v>
      </c>
      <c r="DD111" s="278">
        <f t="shared" si="351"/>
        <v>0</v>
      </c>
      <c r="DE111" s="95" t="s">
        <v>498</v>
      </c>
      <c r="DF111" s="95" t="s">
        <v>513</v>
      </c>
      <c r="DG111" s="176">
        <f>DH111+各项系数!$M$9*$NQ111</f>
        <v>635.124608905466</v>
      </c>
      <c r="DH111" s="176">
        <f>DI111*(1+$EA111+(VLOOKUP($AM111,$A$12:$B$323,2,0))+各项系数!$J$6+各项系数!$M$5)*(1+$E$2)+各项系数!$M$9*$NK111</f>
        <v>630.622746253016</v>
      </c>
      <c r="DI111" s="262">
        <f>DJ111+各项系数!$L$9*$NQ111</f>
        <v>639.966887009396</v>
      </c>
      <c r="DJ111" s="262">
        <f>DK111*(1+$EB111+各项系数!$J$5+各项系数!$L$5)</f>
        <v>635.465024356947</v>
      </c>
      <c r="DK111" s="262">
        <f t="shared" si="352"/>
        <v>616.956334327133</v>
      </c>
      <c r="DL111" s="176">
        <f>DM111+各项系数!$M$9*$NQ111</f>
        <v>640.52566672288</v>
      </c>
      <c r="DM111" s="176">
        <f>DN111*(1+$EA111+(VLOOKUP($AM111,$A$12:$B$323,2,0))+各项系数!$J$6+各项系数!$M$5)*(1+$E$2)+各项系数!$M$9*$NK111</f>
        <v>636.023804070431</v>
      </c>
      <c r="DN111" s="262">
        <f>DO111+各项系数!$L$9*$NQ111</f>
        <v>645.478170496554</v>
      </c>
      <c r="DO111" s="262">
        <f>DP111*(1+$EB111+各项系数!$J$5+各项系数!$L$5)</f>
        <v>640.976307844105</v>
      </c>
      <c r="DP111" s="262">
        <f t="shared" si="353"/>
        <v>622.307094994276</v>
      </c>
      <c r="DQ111" s="176">
        <f>DR111+各项系数!$M$9*$NV111</f>
        <v>637.45190025385</v>
      </c>
      <c r="DR111" s="176">
        <f t="shared" si="354"/>
        <v>632.92491105677</v>
      </c>
      <c r="DS111" s="262">
        <f>DT111+各项系数!$L$9*$NV111</f>
        <v>645.841745976296</v>
      </c>
      <c r="DT111" s="262">
        <f>DU111*(1+$EB111+各项系数!$J$5+各项系数!$L$5)</f>
        <v>641.314756779216</v>
      </c>
      <c r="DU111" s="262">
        <f t="shared" si="355"/>
        <v>622.635686193414</v>
      </c>
      <c r="DV111" s="176">
        <f>DW111+各项系数!$M$9*$NV111</f>
        <v>636.631760413273</v>
      </c>
      <c r="DW111" s="176">
        <f t="shared" si="356"/>
        <v>632.104771216193</v>
      </c>
      <c r="DX111" s="262">
        <f>DY111+各项系数!$L$9*$NV111</f>
        <v>645.004868587952</v>
      </c>
      <c r="DY111" s="262">
        <f>DZ111*(1+$EB111+各项系数!$J$5+各项系数!$L$5)</f>
        <v>640.477879390872</v>
      </c>
      <c r="DZ111" s="262">
        <f t="shared" si="357"/>
        <v>621.823183874633</v>
      </c>
      <c r="EA111" s="278">
        <f t="shared" ref="EA111:EA123" si="511">BI111+$EA$2</f>
        <v>0</v>
      </c>
      <c r="EB111" s="278">
        <f t="shared" si="358"/>
        <v>0.01</v>
      </c>
      <c r="EC111" s="302" t="str">
        <f t="shared" si="408"/>
        <v>3+1</v>
      </c>
      <c r="ED111" s="304" t="str">
        <f t="shared" si="494"/>
        <v>3*300</v>
      </c>
      <c r="EE111" s="95">
        <f t="shared" si="495"/>
        <v>300</v>
      </c>
      <c r="EF111" s="95" t="str">
        <f>LOOKUP(EH111,{1,7,10,14,19,24,30,37,48,61},{1,"1+6","2+8","4+10","1+6+12","2+8+14","4+10+16","1+6+12+18","3+9+15+21","1+6+12+18+24"})</f>
        <v>1+6+12+18+24</v>
      </c>
      <c r="EG111" s="127">
        <f t="shared" si="359"/>
        <v>3</v>
      </c>
      <c r="EH111" s="262">
        <f>VLOOKUP(EE111,各项系数!$B$87:$C$124,2,0)</f>
        <v>61</v>
      </c>
      <c r="EI111" s="127">
        <f>IF(EH111=0,0,VLOOKUP(EH111,各项系数!$D$142:$E$195,2,0))*1</f>
        <v>9</v>
      </c>
      <c r="EJ111" s="307">
        <f t="shared" si="409"/>
        <v>245.118138379664</v>
      </c>
      <c r="EK111" s="95" t="str">
        <f t="shared" si="508"/>
        <v>1*150</v>
      </c>
      <c r="EL111" s="95" t="str">
        <f t="shared" si="360"/>
        <v>150</v>
      </c>
      <c r="EM111" s="95">
        <f t="shared" si="496"/>
        <v>150</v>
      </c>
      <c r="EN111" s="95" t="str">
        <f>IF(EP111=0,0,LOOKUP(EP111,{1,7,10,14,19,24,30,37,48,61},{1,"1+6","2+8","4+10","1+6+12","2+8+14","4+10+16","1+6+12+18","3+9+15+21","1+6+12+18+24"}))</f>
        <v>4+10+16</v>
      </c>
      <c r="EO111" s="95" t="str">
        <f t="shared" si="509"/>
        <v>1</v>
      </c>
      <c r="EP111" s="95">
        <f>IF(EM111=0,0,IF(EM111&lt;10,1,IF(AND(EM111&gt;=10,EM111&lt;=35),7,LOOKUP(EM111,{50,70,95,120,150,185,240,300},{10,14,19,24,30,37,48,61})*1)))</f>
        <v>30</v>
      </c>
      <c r="EQ111" s="95">
        <f>IF(EP111=0,0,VLOOKUP(EP111,各项系数!$D$142:$E$195,2,0))*1</f>
        <v>6.41</v>
      </c>
      <c r="ER111" s="95">
        <f t="shared" si="510"/>
        <v>243.335870228497</v>
      </c>
      <c r="ES111" s="304">
        <f t="shared" si="497"/>
        <v>4</v>
      </c>
      <c r="ET111" s="95">
        <f>VLOOKUP(ES111,各项系数!$D$142:$E$195,2,0)*1</f>
        <v>2.42</v>
      </c>
      <c r="EU111" s="311">
        <f>((各项系数!$F$76/4*$EJ111^2*$EG111*$EH111*1*10^-7)*(1-$H111)*AA111)*(VLOOKUP($EY$9,各项系数!$D$4:$F$143,3,0))*各项系数!$J$4</f>
        <v>7.79142480688184</v>
      </c>
      <c r="EV111" s="312">
        <f>EU111*(VLOOKUP($EY$9,各项系数!$D$4:$F$143,2,0))</f>
        <v>510.338324850761</v>
      </c>
      <c r="EW111" s="324">
        <f>(IF($EO111=0,0,(各项系数!$F$76/4*$ER111^2*$EO111*$EP111*1*10^-7))*(1-$K111)*$AF111)*(VLOOKUP($EY$9,各项系数!$D$4:$F$143,3,0))*各项系数!$J$4</f>
        <v>1.25260541945236</v>
      </c>
      <c r="EX111" s="325">
        <f>EW111*(VLOOKUP($EY$9,各项系数!$D$4:$F$143,2,0))</f>
        <v>82.0456549741294</v>
      </c>
      <c r="EY111" s="251">
        <f>((各项系数!$F$76/4*$EJ111^2*$EG111*$EH111*1*10^-7)*(1-$H111)*AA111+IF($EO111=0,0,(各项系数!$F$76/4*$ER111^2*$EO111*$EP111*1*10^-7))*(1-$K111)*$AF111)*(VLOOKUP($EY$9,各项系数!$D$4:$F$143,3,0))*各项系数!$J$4</f>
        <v>9.0440302263342</v>
      </c>
      <c r="EZ111" s="127">
        <v>1</v>
      </c>
      <c r="FA111" s="95">
        <f t="shared" si="445"/>
        <v>9.0440302263342</v>
      </c>
      <c r="FB111" s="314">
        <f>FA111*(VLOOKUP($EY$9,各项系数!$D$4:$F$143,2,0))</f>
        <v>592.38397982489</v>
      </c>
      <c r="FC111" s="329"/>
      <c r="FD111" s="304">
        <f>各项系数!$F$76/4*($MN111^2-MK111^2)*10^-2*(VLOOKUP(L111,各项系数!$D$1:$F$143,3,0))*10^-3*10^2*$EG111*各项系数!$J$4</f>
        <v>0.443038378363465</v>
      </c>
      <c r="FE111" s="341">
        <f>FD111*VLOOKUP(L111,各项系数!$D$1:$F$143,2,0)</f>
        <v>4.51899145930734</v>
      </c>
      <c r="FF111" s="127">
        <f>各项系数!$F$76/4*($MO111^2-ML111^2)*10^-2*(VLOOKUP(L111,各项系数!$D$1:$F$143,3,0))*10^-3*10^2*$EO111*各项系数!$J$4</f>
        <v>0.081825211659405</v>
      </c>
      <c r="FG111" s="341">
        <f>FF111*VLOOKUP(L111,各项系数!$D$1:$F$143,2,0)</f>
        <v>0.834617158925931</v>
      </c>
      <c r="FH111" s="304">
        <f t="shared" si="410"/>
        <v>0.52486359002287</v>
      </c>
      <c r="FI111" s="127">
        <v>1</v>
      </c>
      <c r="FJ111" s="95">
        <f t="shared" si="446"/>
        <v>0.52486359002287</v>
      </c>
      <c r="FK111" s="341">
        <f>FJ111*VLOOKUP(L111,各项系数!$D$1:$F$143,2,0)</f>
        <v>5.35360861823327</v>
      </c>
      <c r="FL111" s="304"/>
      <c r="FM111" s="127"/>
      <c r="FN111" s="95"/>
      <c r="FO111" s="341"/>
      <c r="FP111" s="371">
        <f t="shared" si="447"/>
        <v>0.52486359002287</v>
      </c>
      <c r="FQ111" s="371">
        <f t="shared" si="448"/>
        <v>5.35360861823327</v>
      </c>
      <c r="FR111" s="365">
        <f>各项系数!$F$76/4*($MQ111^2-$MN111^2*$EG111-$MO111^2*$EO111)*10^-2</f>
        <v>7.97926913261539</v>
      </c>
      <c r="FS111" s="366">
        <f t="shared" si="411"/>
        <v>1</v>
      </c>
      <c r="FT111" s="367">
        <f t="shared" si="361"/>
        <v>7.97926913261539</v>
      </c>
      <c r="FU111" s="395">
        <f>$FT111*(VLOOKUP($FT$9,各项系数!$D$1:$F$143,3,0))*10^-3*10^2*各项系数!$J$55</f>
        <v>0.952724734434278</v>
      </c>
      <c r="FV111" s="396">
        <v>1</v>
      </c>
      <c r="FW111" s="397">
        <f t="shared" si="449"/>
        <v>0.952724734434278</v>
      </c>
      <c r="FX111" s="372">
        <f>FW111*(VLOOKUP($FT$9,各项系数!$D$1:$F$143,2,0))</f>
        <v>2.85817420330283</v>
      </c>
      <c r="FY111" s="395">
        <f>IF($BK111&lt;&gt;$FY$9,0,各项系数!$F$76/4*($MS111^2-$MQ111^2)*10^-2*(VLOOKUP($FY$9,各项系数!$D$1:$F$143,3,0))*10^-3*10^2)*各项系数!$J$4</f>
        <v>0</v>
      </c>
      <c r="FZ111" s="396">
        <v>1</v>
      </c>
      <c r="GA111" s="397">
        <f t="shared" si="450"/>
        <v>0</v>
      </c>
      <c r="GB111" s="372">
        <f>GA111*(VLOOKUP($FY$9,各项系数!$D$1:$F$143,2,0))</f>
        <v>0</v>
      </c>
      <c r="GC111" s="395">
        <f>IF($BK111&lt;&gt;$GC$9,0,各项系数!$F$76/4*($MS111^2-$MQ111^2)*10^-2*(VLOOKUP($GC$9,各项系数!$D$1:$F$143,3,0))*10^-3*10^2)*各项系数!$J$4</f>
        <v>0.0157385263139467</v>
      </c>
      <c r="GD111" s="396">
        <v>1</v>
      </c>
      <c r="GE111" s="397">
        <f t="shared" si="451"/>
        <v>0.0157385263139467</v>
      </c>
      <c r="GF111" s="372">
        <f>GE111*(VLOOKUP($GC$9,各项系数!$D$1:$F$143,2,0))</f>
        <v>0.203026989449912</v>
      </c>
      <c r="GG111" s="395">
        <f>IF($BK111&lt;&gt;$GG$9,0,各项系数!$F$76/4*($MS111^2-$MQ111^2)*10^-2*(VLOOKUP($GG$9,各项系数!$D$1:$F$143,3,0))*10^-3*10^2)*各项系数!$J$4</f>
        <v>0</v>
      </c>
      <c r="GH111" s="396">
        <v>1</v>
      </c>
      <c r="GI111" s="397">
        <f t="shared" si="452"/>
        <v>0</v>
      </c>
      <c r="GJ111" s="372">
        <f>GI111*(VLOOKUP($GG$9,各项系数!$D$1:$F$143,2,0))</f>
        <v>0</v>
      </c>
      <c r="GK111" s="395">
        <f>IF($BK111&lt;&gt;$GK$9,0,各项系数!$F$76/4*($MS111^2-$MQ111^2)*10^-2*(VLOOKUP($GK$9,各项系数!$D$1:$F$143,3,0))*10^-3*10^2)*各项系数!$J$4</f>
        <v>0</v>
      </c>
      <c r="GL111" s="396">
        <v>1</v>
      </c>
      <c r="GM111" s="397">
        <f t="shared" si="453"/>
        <v>0</v>
      </c>
      <c r="GN111" s="372">
        <f>GM111*(VLOOKUP($GK$9,各项系数!$D$1:$F$143,2,0))</f>
        <v>0</v>
      </c>
      <c r="GO111" s="397">
        <f t="shared" si="454"/>
        <v>0.0157385263139467</v>
      </c>
      <c r="GP111" s="397">
        <f t="shared" si="455"/>
        <v>0.203026989449912</v>
      </c>
      <c r="GQ111" s="408">
        <f>各项系数!$F$76/4*($MU111^2-$MS111^2)*10^-2*(VLOOKUP($S111,各项系数!$D$1:$F$143,3,0))*10^-3*10^2*各项系数!$J$4</f>
        <v>1.0748956496622</v>
      </c>
      <c r="GR111" s="396">
        <v>1</v>
      </c>
      <c r="GS111" s="397">
        <f t="shared" si="456"/>
        <v>1.0748956496622</v>
      </c>
      <c r="GT111" s="397">
        <f t="shared" si="457"/>
        <v>0</v>
      </c>
      <c r="GU111" s="397">
        <f>ROUND($GS111*(VLOOKUP($S111,各项系数!$D$1:$F$143,2,0))+$E$3*GS111,GT111)</f>
        <v>6</v>
      </c>
      <c r="GV111" s="406">
        <f>各项系数!$F$76/4*($MT111^2-$MS111^2)*10^-2*(VLOOKUP($GV$9,各项系数!$D$1:$F$143,3,0))*10^-3*10^2*各项系数!$J$4*PI()/4*R111</f>
        <v>0.0809614822340798</v>
      </c>
      <c r="GW111" s="396">
        <v>1</v>
      </c>
      <c r="GX111" s="397">
        <f t="shared" si="458"/>
        <v>0.0809614822340798</v>
      </c>
      <c r="GY111" s="397">
        <f>$GX111*(VLOOKUP($GV$9,各项系数!$D$1:$F$143,2,0))</f>
        <v>5.46490005080038</v>
      </c>
      <c r="GZ111" s="408">
        <f>各项系数!$F$76/4*($MV111^2-$MS111^2)*10^-2*(VLOOKUP($GZ$9,各项系数!$D$1:$F$143,3,0))*10^-3*10^2*各项系数!$J$4</f>
        <v>0.885921385281083</v>
      </c>
      <c r="HA111" s="396">
        <v>1</v>
      </c>
      <c r="HB111" s="397">
        <f t="shared" si="412"/>
        <v>0.885921385281083</v>
      </c>
      <c r="HC111" s="397">
        <f>HB111*(VLOOKUP($GZ$9,各项系数!$D$1:$F$143,2,0))</f>
        <v>15.0606635497784</v>
      </c>
      <c r="HD111" s="408">
        <f>各项系数!$F$76/4*($MW111^2-$MT111^2)*10^-2*(VLOOKUP($HD$9,各项系数!$D$1:$F$143,3,0))*10^-3*10^2*各项系数!$J$4</f>
        <v>0.888242042075178</v>
      </c>
      <c r="HE111" s="396">
        <v>1</v>
      </c>
      <c r="HF111" s="397">
        <f t="shared" si="413"/>
        <v>0.888242042075178</v>
      </c>
      <c r="HG111" s="397">
        <f>HF111*(VLOOKUP($HD$9,各项系数!$D$1:$F$143,2,0))</f>
        <v>15.100114715278</v>
      </c>
      <c r="HH111" s="408">
        <f>各项系数!$F$76/4*($MV111^2-$MS111^2)*10^-2*(VLOOKUP($HH$9,各项系数!$D$1:$F$143,3,0))*10^-3*10^2*各项系数!$J$4</f>
        <v>0.885921385281083</v>
      </c>
      <c r="HI111" s="397">
        <v>1</v>
      </c>
      <c r="HJ111" s="397">
        <f t="shared" si="414"/>
        <v>0.885921385281083</v>
      </c>
      <c r="HK111" s="397">
        <f>HJ111*(VLOOKUP($HH$9,各项系数!$D$1:$F$143,2,0))</f>
        <v>15.0606635497784</v>
      </c>
      <c r="HL111" s="408">
        <f>各项系数!$F$76/4*($MW111^2-$MT111^2)*10^-2*(VLOOKUP($HL$9,各项系数!$D$1:$F$143,3,0))*10^-3*10^2*各项系数!$J$4</f>
        <v>0.888242042075178</v>
      </c>
      <c r="HM111" s="397">
        <v>1</v>
      </c>
      <c r="HN111" s="397">
        <f t="shared" si="362"/>
        <v>0.888242042075178</v>
      </c>
      <c r="HO111" s="397">
        <f>HN111*(VLOOKUP($HL$9,各项系数!$D$1:$F$143,2,0))</f>
        <v>15.100114715278</v>
      </c>
      <c r="HP111" s="408">
        <f>各项系数!$F$76/4*($MV111^2-$MS111^2)*10^-2*(VLOOKUP(AN111,各项系数!$D$1:$F$143,3,0))*10^-3*10^2*各项系数!$J$4</f>
        <v>0.898140990595305</v>
      </c>
      <c r="HQ111" s="396">
        <v>1</v>
      </c>
      <c r="HR111" s="397">
        <f t="shared" si="459"/>
        <v>0.898140990595305</v>
      </c>
      <c r="HS111" s="397">
        <f>HR111*(VLOOKUP(AN111,各项系数!$D$1:$F$143,2,0))</f>
        <v>8.98140990595305</v>
      </c>
      <c r="HT111" s="408">
        <f>各项系数!$F$76/4*($MW111^2-$MT111^2)*10^-2*(VLOOKUP(AN111,各项系数!$D$1:$F$143,3,0))*10^-3*10^2*各项系数!$J$4</f>
        <v>0.900493656448629</v>
      </c>
      <c r="HU111" s="396">
        <v>1</v>
      </c>
      <c r="HV111" s="397">
        <f t="shared" si="460"/>
        <v>0.900493656448629</v>
      </c>
      <c r="HW111" s="397">
        <f>HV111*(VLOOKUP(AN111,各项系数!$D$1:$F$143,2,0))</f>
        <v>9.00493656448629</v>
      </c>
      <c r="HX111" s="408">
        <f>各项系数!$F$76/4*($MV111^2-$MS111^2)*10^-2*(VLOOKUP($HX$9,各项系数!$D$1:$F$143,3,0))*10^-3*10^2*各项系数!$J$4</f>
        <v>0.898140990595305</v>
      </c>
      <c r="HY111" s="397">
        <v>1</v>
      </c>
      <c r="HZ111" s="397">
        <f t="shared" si="461"/>
        <v>0.898140990595305</v>
      </c>
      <c r="IA111" s="397">
        <f>HZ111*(VLOOKUP($HX$9,各项系数!$D$1:$F$143,2,0))</f>
        <v>9.87955089654835</v>
      </c>
      <c r="IB111" s="408">
        <f>各项系数!$F$76/4*($MW111^2-$MT111^2)*10^-2*(VLOOKUP($IB$9,各项系数!$D$1:$F$143,3,0))*10^-3*10^2*各项系数!$J$4</f>
        <v>0.900493656448629</v>
      </c>
      <c r="IC111" s="397">
        <v>1</v>
      </c>
      <c r="ID111" s="397">
        <f t="shared" si="462"/>
        <v>0.900493656448629</v>
      </c>
      <c r="IE111" s="397">
        <f>ID111*(VLOOKUP($IB$9,各项系数!$D$1:$F$143,2,0))</f>
        <v>9.90543022093491</v>
      </c>
      <c r="IF111" s="395"/>
      <c r="IG111" s="408">
        <f t="shared" si="415"/>
        <v>0.116723275561912</v>
      </c>
      <c r="IH111" s="396">
        <v>1</v>
      </c>
      <c r="II111" s="397">
        <f t="shared" si="463"/>
        <v>0.116723275561912</v>
      </c>
      <c r="IJ111" s="397">
        <f>II111*(VLOOKUP($IG$8,各项系数!$D$1:$F$143,2,0))</f>
        <v>2.91808188904779</v>
      </c>
      <c r="IK111" s="408">
        <f>(各项系数!$F$76/4*($MX111^2-$MK111^2)*$EG111)*10^-2*(VLOOKUP($IG$8,各项系数!$D$1:$F$143,3,0))*10^-3*10^2*各项系数!$J$4</f>
        <v>0.0943606240392495</v>
      </c>
      <c r="IL111" s="396">
        <f>IK111*(VLOOKUP($IG$8,各项系数!$D$1:$F$143,2,0))</f>
        <v>2.35901560098124</v>
      </c>
      <c r="IM111" s="397">
        <f>(各项系数!$F$76/4*(($MM111+3*$X111)^2-MM111^2)*$EO111)*10^-2*(VLOOKUP($IG$8,各项系数!$D$1:$F$143,3,0))*10^-3*10^2*各项系数!$J$4</f>
        <v>0.0223626515226621</v>
      </c>
      <c r="IN111" s="396">
        <f>IM111*(VLOOKUP($IG$8,各项系数!$D$1:$F$143,2,0))</f>
        <v>0.559066288066553</v>
      </c>
      <c r="IO111" s="408">
        <f>各项系数!$F$76/4*($MZ111^2-$MX111^2)*10^-2*(VLOOKUP(L111,各项系数!$D$1:$F$143,3,0))*10^-3*10^2*$ES111*各项系数!$J$4</f>
        <v>0.605572041866364</v>
      </c>
      <c r="IP111" s="396">
        <v>1</v>
      </c>
      <c r="IQ111" s="397">
        <f t="shared" si="464"/>
        <v>0.605572041866364</v>
      </c>
      <c r="IR111" s="372">
        <f>IQ111*(VLOOKUP(L111,各项系数!$D$1:$F$143,2,0))</f>
        <v>6.17683482703691</v>
      </c>
      <c r="IS111" s="408">
        <f>IF($L111&lt;&gt;$IS$9,0,各项系数!$F$76/4*($MZ111^2-$MX111^2)*10^-2*各项系数!$F$12*10^-3*10^2)*$ES111*各项系数!$J$4</f>
        <v>0</v>
      </c>
      <c r="IT111" s="396">
        <v>1</v>
      </c>
      <c r="IU111" s="397">
        <f t="shared" si="465"/>
        <v>0</v>
      </c>
      <c r="IV111" s="372">
        <f>IU111*各项系数!$E$12</f>
        <v>0</v>
      </c>
      <c r="IW111" s="395">
        <f t="shared" si="466"/>
        <v>0.605572041866364</v>
      </c>
      <c r="IX111" s="395">
        <f t="shared" si="467"/>
        <v>6.17683482703691</v>
      </c>
      <c r="IY111" s="447">
        <f>各项系数!$F$76/4*($NB111^2-$MZ111^2*$EG111-$NA111^2*$EO111)*10^-2</f>
        <v>8.60954039497902</v>
      </c>
      <c r="IZ111" s="366">
        <f t="shared" si="487"/>
        <v>1</v>
      </c>
      <c r="JA111" s="367">
        <f t="shared" si="363"/>
        <v>8.60954039497902</v>
      </c>
      <c r="JB111" s="371">
        <f>IF($DE111&lt;&gt;$JB$9,0,$JA111*各项系数!$F$32*10^-3*10^2)*各项系数!$J$4</f>
        <v>0</v>
      </c>
      <c r="JC111" s="127">
        <v>1</v>
      </c>
      <c r="JD111" s="95">
        <f t="shared" si="468"/>
        <v>0</v>
      </c>
      <c r="JE111" s="341">
        <f>JD111*各项系数!$E$32</f>
        <v>0</v>
      </c>
      <c r="JF111" s="364">
        <f>IF($DE111&lt;&gt;$JF$9,0,$JA111*VLOOKUP($JF$9,各项系数!$D$4:$F$540,2,0)*10^-3*10^2)*各项系数!$J$4</f>
        <v>4.28324634650206</v>
      </c>
      <c r="JG111" s="123">
        <v>1</v>
      </c>
      <c r="JH111" s="251">
        <f t="shared" si="364"/>
        <v>4.28324634650206</v>
      </c>
      <c r="JI111" s="339">
        <f>JH111*VLOOKUP($JF$9,各项系数!$D$4:$F$540,3,0)</f>
        <v>5.13989561580248</v>
      </c>
      <c r="JJ111" s="371">
        <f t="shared" si="469"/>
        <v>4.28324634650206</v>
      </c>
      <c r="JK111" s="95">
        <f t="shared" si="470"/>
        <v>5.13989561580248</v>
      </c>
      <c r="JL111" s="371">
        <f>IF($DF111&lt;&gt;$JL$9,0,各项系数!$F$76/4*($NE111^2-$NC111^2)*10^-2*各项系数!$F$39*10^-3*10^2)*各项系数!$J$4</f>
        <v>0.0067249859487657</v>
      </c>
      <c r="JM111" s="127">
        <v>1</v>
      </c>
      <c r="JN111" s="95">
        <f t="shared" si="471"/>
        <v>0.0067249859487657</v>
      </c>
      <c r="JO111" s="341">
        <f>JN111*各项系数!$E$39</f>
        <v>0.134499718975314</v>
      </c>
      <c r="JP111" s="371">
        <f>IF($DF111&lt;&gt;$JP$9,0,各项系数!$F$76/4*($NE111^2-$NC111^2)*10^-2*各项系数!$F$36*10^-3*10^2)*各项系数!$J$4</f>
        <v>0</v>
      </c>
      <c r="JQ111" s="127">
        <v>1</v>
      </c>
      <c r="JR111" s="95">
        <f t="shared" si="472"/>
        <v>0</v>
      </c>
      <c r="JS111" s="341">
        <f>JR111*各项系数!$E$36</f>
        <v>0</v>
      </c>
      <c r="JT111" s="371">
        <f>IF($DF111&lt;&gt;$JT$9,0,各项系数!$F$76/4*($NE111^2-$NC111^2)*10^-2*各项系数!$F$40*10^-3*10^2)*各项系数!$J$4</f>
        <v>0</v>
      </c>
      <c r="JU111" s="127">
        <v>1</v>
      </c>
      <c r="JV111" s="95">
        <f t="shared" si="473"/>
        <v>0</v>
      </c>
      <c r="JW111" s="341">
        <f>JV111*各项系数!$E$40</f>
        <v>0</v>
      </c>
      <c r="JX111" s="371">
        <f>IF($DF111&lt;&gt;$JX$9,0,各项系数!$F$76/4*($NE111^2-$NC111^2)*10^-2*各项系数!$F$38*10^-3*10^2)*各项系数!$J$4</f>
        <v>0</v>
      </c>
      <c r="JY111" s="127">
        <v>1</v>
      </c>
      <c r="JZ111" s="95">
        <f t="shared" si="474"/>
        <v>0</v>
      </c>
      <c r="KA111" s="341">
        <f>JZ111*各项系数!$E$38</f>
        <v>0</v>
      </c>
      <c r="KB111" s="371">
        <f>IF($DF111&lt;&gt;$KB$9,0,各项系数!$F$76/4*($NE111^2-$NC111^2)*10^-2*各项系数!$F$41*10^-3*10^2)*各项系数!$J$4</f>
        <v>0</v>
      </c>
      <c r="KC111" s="127">
        <v>1</v>
      </c>
      <c r="KD111" s="95">
        <f t="shared" si="475"/>
        <v>0</v>
      </c>
      <c r="KE111" s="341">
        <f>KD111*各项系数!$E$41</f>
        <v>0</v>
      </c>
      <c r="KF111" s="95">
        <f t="shared" si="476"/>
        <v>0.0067249859487657</v>
      </c>
      <c r="KG111" s="95">
        <f t="shared" si="477"/>
        <v>0.134499718975314</v>
      </c>
      <c r="KH111" s="304">
        <f>各项系数!$F$76/4*($NG111^2-$NE111^2)*10^-2*各项系数!$F$44*10^-3*10^2*各项系数!$J$4*0.75*$U111</f>
        <v>1.66734341561952</v>
      </c>
      <c r="KI111" s="127">
        <v>1</v>
      </c>
      <c r="KJ111" s="95">
        <f t="shared" si="478"/>
        <v>1.66734341561952</v>
      </c>
      <c r="KK111" s="95">
        <f>ROUND(KJ111*各项系数!$E$43,GT111)</f>
        <v>10</v>
      </c>
      <c r="KL111" s="302">
        <f>各项系数!$F$76/4*($NF111^2-$NE111^2)*10^-2*各项系数!$F$46*10^-3*10^2*各项系数!$J$4*PI()/4*R111</f>
        <v>0.083755148768803</v>
      </c>
      <c r="KM111" s="127">
        <v>1</v>
      </c>
      <c r="KN111" s="95">
        <f t="shared" si="479"/>
        <v>0.083755148768803</v>
      </c>
      <c r="KO111" s="95">
        <f>KN111*各项系数!$E$46</f>
        <v>5.6534725418942</v>
      </c>
      <c r="KP111" s="304">
        <f>各项系数!$F$76/4*($NH111^2-$NE111^2)*10^-2*(VLOOKUP($KP$9,各项系数!$D$1:$F$143,3,0))*10^-3*10^2*各项系数!$J$4</f>
        <v>0.91492959520727</v>
      </c>
      <c r="KQ111" s="127">
        <v>1</v>
      </c>
      <c r="KR111" s="95">
        <f t="shared" si="416"/>
        <v>0.91492959520727</v>
      </c>
      <c r="KS111" s="95">
        <f>KR111*(VLOOKUP($KP$9,各项系数!$D$1:$F$143,2,0))</f>
        <v>15.5538031185236</v>
      </c>
      <c r="KT111" s="304">
        <f>各项系数!$F$76/4*($NI111^2-$NF111^2)*10^-2*(VLOOKUP($KT$9,各项系数!$D$1:$F$143,3,0))*10^-3*10^2*各项系数!$J$4</f>
        <v>0.917250252001364</v>
      </c>
      <c r="KU111" s="127">
        <v>1</v>
      </c>
      <c r="KV111" s="95">
        <f t="shared" si="417"/>
        <v>0.917250252001364</v>
      </c>
      <c r="KW111" s="95">
        <f>KV111*(VLOOKUP($KT$9,各项系数!$D$1:$F$143,2,0))</f>
        <v>15.5932542840232</v>
      </c>
      <c r="KX111" s="95">
        <f>各项系数!$F$76/4*($NH111^2-$NE111^2)*10^-2*(VLOOKUP($KX$9,各项系数!$D$1:$F$143,3,0))*10^-3*10^2*各项系数!$J$4</f>
        <v>0.91492959520727</v>
      </c>
      <c r="KY111" s="481">
        <v>1</v>
      </c>
      <c r="KZ111" s="95">
        <f t="shared" si="418"/>
        <v>0.91492959520727</v>
      </c>
      <c r="LA111" s="95">
        <f>KZ111*(VLOOKUP($KX$9,各项系数!$D$1:$F$143,2,0))</f>
        <v>15.5538031185236</v>
      </c>
      <c r="LB111" s="95">
        <f>各项系数!$F$76/4*($NI111^2-$NF111^2)*10^-2*(VLOOKUP($LB$9,各项系数!$D$1:$F$143,3,0))*10^-3*10^2*各项系数!$J$4</f>
        <v>0.917250252001364</v>
      </c>
      <c r="LC111" s="481">
        <v>1</v>
      </c>
      <c r="LD111" s="95">
        <f t="shared" si="419"/>
        <v>0.917250252001364</v>
      </c>
      <c r="LE111" s="95">
        <f>LD111*(VLOOKUP($LB$9,各项系数!$D$1:$F$143,2,0))</f>
        <v>15.5932542840232</v>
      </c>
      <c r="LF111" s="304">
        <f>各项系数!$F$76/4*($NH111^2-$NE111^2)*10^-2*(VLOOKUP(AN111,各项系数!$D$1:$F$143,3,0))*10^-3*10^2*各项系数!$J$4</f>
        <v>0.927549313761853</v>
      </c>
      <c r="LG111" s="127">
        <v>1</v>
      </c>
      <c r="LH111" s="95">
        <f t="shared" si="480"/>
        <v>0.927549313761853</v>
      </c>
      <c r="LI111" s="95">
        <f>LH111*(VLOOKUP(AN111,各项系数!$D$1:$F$143,2,0))</f>
        <v>9.27549313761853</v>
      </c>
      <c r="LJ111" s="304">
        <f>各项系数!$F$76/4*($NI111^2-$NF111^2)*10^-2*(VLOOKUP(AN111,各项系数!$D$1:$F$143,3,0))*10^-3*10^2*各项系数!$J$4</f>
        <v>0.929901979615176</v>
      </c>
      <c r="LK111" s="127">
        <v>1</v>
      </c>
      <c r="LL111" s="95">
        <f t="shared" si="481"/>
        <v>0.929901979615176</v>
      </c>
      <c r="LM111" s="95">
        <f>LL111*(VLOOKUP(AN111,各项系数!$D$1:$F$143,2,0))</f>
        <v>9.29901979615176</v>
      </c>
      <c r="LN111" s="95">
        <f>各项系数!$F$76/4*($NH111^2-$NE111^2)*10^-2*(VLOOKUP($LN$9,各项系数!$D$1:$F$143,3,0))*10^-3*10^2*各项系数!$J$4</f>
        <v>0.927549313761853</v>
      </c>
      <c r="LO111" s="481">
        <v>1</v>
      </c>
      <c r="LP111" s="95">
        <f t="shared" si="482"/>
        <v>0.927549313761853</v>
      </c>
      <c r="LQ111" s="95">
        <f>LP111*(VLOOKUP($LN$9,各项系数!$D$1:$F$143,2,0))</f>
        <v>10.2030424513804</v>
      </c>
      <c r="LR111" s="95">
        <f>各项系数!$F$76/4*($NI111^2-$NF111^2)*10^-2*(VLOOKUP($LR$9,各项系数!$D$1:$F$143,3,0))*10^-3*10^2*各项系数!$J$4</f>
        <v>0.929901979615176</v>
      </c>
      <c r="LS111" s="481">
        <v>1</v>
      </c>
      <c r="LT111" s="95">
        <f t="shared" si="483"/>
        <v>0.929901979615176</v>
      </c>
      <c r="LU111" s="95">
        <f>LT111*(VLOOKUP($LR$9,各项系数!$D$1:$F$143,2,0))</f>
        <v>10.2289217757669</v>
      </c>
      <c r="LV111" s="501">
        <f t="shared" si="420"/>
        <v>1146.69271336</v>
      </c>
      <c r="LW111" s="501">
        <f t="shared" si="421"/>
        <v>863.55871006</v>
      </c>
      <c r="LX111" s="501">
        <f t="shared" si="422"/>
        <v>33.1589670956271</v>
      </c>
      <c r="LY111" s="519">
        <f t="shared" si="423"/>
        <v>283.1340033</v>
      </c>
      <c r="LZ111" s="516">
        <f t="shared" si="365"/>
        <v>1</v>
      </c>
      <c r="MA111" s="517">
        <f t="shared" si="366"/>
        <v>1146.69271336</v>
      </c>
      <c r="MB111" s="501">
        <f t="shared" si="424"/>
        <v>22.06063242</v>
      </c>
      <c r="MC111" s="501">
        <f t="shared" si="425"/>
        <v>191.08130855</v>
      </c>
      <c r="MD111" s="501">
        <f t="shared" si="426"/>
        <v>139.51580252</v>
      </c>
      <c r="ME111" s="501">
        <f t="shared" si="427"/>
        <v>13.3280545048377</v>
      </c>
      <c r="MF111" s="501">
        <f t="shared" si="428"/>
        <v>51.56550603</v>
      </c>
      <c r="MG111" s="527">
        <f t="shared" si="429"/>
        <v>1</v>
      </c>
      <c r="MH111" s="517">
        <f t="shared" si="367"/>
        <v>191.08130855</v>
      </c>
      <c r="MI111" s="501">
        <f t="shared" si="430"/>
        <v>15.5978292818456</v>
      </c>
      <c r="MJ111" s="95">
        <f t="shared" si="368"/>
        <v>22.06063242</v>
      </c>
      <c r="MK111" s="95">
        <f t="shared" si="431"/>
        <v>22.06063242</v>
      </c>
      <c r="ML111" s="95">
        <f t="shared" si="484"/>
        <v>15.5978292816467</v>
      </c>
      <c r="MM111" s="95">
        <f t="shared" si="369"/>
        <v>15.5978292818456</v>
      </c>
      <c r="MN111" s="95">
        <f t="shared" si="370"/>
        <v>25.66063242</v>
      </c>
      <c r="MO111" s="251">
        <f t="shared" si="432"/>
        <v>18.3978292818456</v>
      </c>
      <c r="MP111" s="95">
        <f t="shared" si="433"/>
        <v>57.70473456</v>
      </c>
      <c r="MQ111" s="95">
        <f t="shared" si="485"/>
        <v>57.70473456</v>
      </c>
      <c r="MR111" s="314">
        <f t="shared" si="434"/>
        <v>57.70473456</v>
      </c>
      <c r="MS111" s="530">
        <f t="shared" si="371"/>
        <v>57.88073456</v>
      </c>
      <c r="MT111" s="532">
        <f t="shared" si="372"/>
        <v>58.04073456</v>
      </c>
      <c r="MU111" s="532">
        <f t="shared" si="373"/>
        <v>59.38073456</v>
      </c>
      <c r="MV111" s="532">
        <f t="shared" si="374"/>
        <v>64.28073456</v>
      </c>
      <c r="MW111" s="532">
        <f t="shared" si="375"/>
        <v>64.44073456</v>
      </c>
      <c r="MX111" s="314">
        <f t="shared" si="376"/>
        <v>22.66063242</v>
      </c>
      <c r="MY111" s="314">
        <f t="shared" si="377"/>
        <v>16.1978292818456</v>
      </c>
      <c r="MZ111" s="95">
        <f t="shared" si="378"/>
        <v>26.26063242</v>
      </c>
      <c r="NA111" s="95">
        <f t="shared" si="379"/>
        <v>19.7978292818456</v>
      </c>
      <c r="NB111" s="95">
        <f t="shared" si="435"/>
        <v>59.64073456</v>
      </c>
      <c r="NC111" s="314">
        <f t="shared" si="486"/>
        <v>59.64073456</v>
      </c>
      <c r="ND111" s="314">
        <f t="shared" si="436"/>
        <v>59.64073456</v>
      </c>
      <c r="NE111" s="537">
        <f t="shared" si="437"/>
        <v>59.88073456</v>
      </c>
      <c r="NF111" s="532">
        <f t="shared" si="380"/>
        <v>60.04073456</v>
      </c>
      <c r="NG111" s="180">
        <f t="shared" si="381"/>
        <v>61.38073456</v>
      </c>
      <c r="NH111" s="314">
        <f t="shared" si="382"/>
        <v>66.28073456</v>
      </c>
      <c r="NI111" s="532">
        <f t="shared" si="383"/>
        <v>66.44073456</v>
      </c>
      <c r="NK111" s="541">
        <f t="shared" si="384"/>
        <v>11.51732327936</v>
      </c>
      <c r="NL111" s="541">
        <f t="shared" si="385"/>
        <v>610.614816700755</v>
      </c>
      <c r="NM111" s="541">
        <f t="shared" si="386"/>
        <v>11.51732327936</v>
      </c>
      <c r="NN111" s="541">
        <f t="shared" si="387"/>
        <v>611.51295769135</v>
      </c>
      <c r="NO111" s="541">
        <f t="shared" si="388"/>
        <v>15.0062088414978</v>
      </c>
      <c r="NP111" s="541">
        <f t="shared" si="389"/>
        <v>616.587851301438</v>
      </c>
      <c r="NQ111" s="541">
        <f t="shared" si="390"/>
        <v>15.0062088414978</v>
      </c>
      <c r="NR111" s="541">
        <f t="shared" si="391"/>
        <v>617.5154006152</v>
      </c>
      <c r="NS111" s="541">
        <f t="shared" si="392"/>
        <v>11.5982847615941</v>
      </c>
      <c r="NT111" s="541">
        <f t="shared" si="393"/>
        <v>11.5982847615941</v>
      </c>
      <c r="NU111" s="541">
        <f t="shared" si="394"/>
        <v>15.0899639902666</v>
      </c>
      <c r="NV111" s="541">
        <f t="shared" si="395"/>
        <v>15.0899639902666</v>
      </c>
      <c r="NW111" s="11">
        <f t="shared" si="396"/>
        <v>12.5922189290222</v>
      </c>
      <c r="NX111" s="11">
        <f>各项系数!$M$9*NK111</f>
        <v>3.455196983808</v>
      </c>
      <c r="NY111" s="11">
        <f t="shared" si="397"/>
        <v>11.5982847615941</v>
      </c>
    </row>
    <row r="112" s="11" customFormat="1" customHeight="1" spans="1:389">
      <c r="A112" s="81"/>
      <c r="B112" s="82"/>
      <c r="C112" s="83"/>
      <c r="D112" s="261" t="s">
        <v>368</v>
      </c>
      <c r="E112" s="550">
        <f t="shared" si="503"/>
        <v>72.02945135</v>
      </c>
      <c r="F112" s="84">
        <f>$F$32</f>
        <v>277.181191063812</v>
      </c>
      <c r="G112" s="74"/>
      <c r="H112" s="23"/>
      <c r="I112" s="174">
        <f>$F$29</f>
        <v>245.09808262108</v>
      </c>
      <c r="J112" s="78"/>
      <c r="K112" s="23"/>
      <c r="L112" s="128" t="s">
        <v>467</v>
      </c>
      <c r="M112" s="119">
        <f t="shared" si="339"/>
        <v>2</v>
      </c>
      <c r="N112" s="119">
        <f t="shared" si="501"/>
        <v>1.6</v>
      </c>
      <c r="O112" s="74">
        <f t="shared" si="502"/>
        <v>0.08</v>
      </c>
      <c r="P112" s="120">
        <v>0.1</v>
      </c>
      <c r="Q112" s="165">
        <f t="shared" si="499"/>
        <v>0.1</v>
      </c>
      <c r="R112" s="182">
        <v>0.8</v>
      </c>
      <c r="S112" s="173" t="str">
        <f>各项系数!$D$43</f>
        <v>钢带</v>
      </c>
      <c r="T112" s="78">
        <v>0.5</v>
      </c>
      <c r="U112" s="78">
        <v>2</v>
      </c>
      <c r="V112" s="172"/>
      <c r="W112" s="174">
        <v>3.5</v>
      </c>
      <c r="X112" s="168">
        <f t="shared" si="500"/>
        <v>0.2</v>
      </c>
      <c r="Y112" s="221"/>
      <c r="Z112" s="222"/>
      <c r="AA112" s="223">
        <f>$AA$32</f>
        <v>1.02</v>
      </c>
      <c r="AB112" s="186">
        <f>PI()*EJ112*EJ112/4*EH112*(1-H112)*AA112*各项系数!$F$5*各项系数!$J$4*10^-7</f>
        <v>3.32102575101844</v>
      </c>
      <c r="AC112" s="224">
        <f t="shared" si="504"/>
        <v>277.181191063812</v>
      </c>
      <c r="AD112" s="186">
        <f t="shared" si="341"/>
        <v>375.445930554735</v>
      </c>
      <c r="AE112" s="186">
        <f>POWER(4*EU112/PI()/EG112/10^-7/EH112/(1-H112)/各项系数!$F$5/各项系数!$J$4,0.5)</f>
        <v>279.939280797005</v>
      </c>
      <c r="AF112" s="225">
        <f>$AA$29</f>
        <v>1.015</v>
      </c>
      <c r="AG112" s="23">
        <f>IF(EM112=0,0,PI()*ER112*ER112/4*EP112*(1-K112)*(1+AF112)*各项系数!$F$5*各项系数!$J$4*10^-7)</f>
        <v>3.11151088967572</v>
      </c>
      <c r="AH112" s="23">
        <f t="shared" si="505"/>
        <v>245.09808262108</v>
      </c>
      <c r="AI112" s="85">
        <f t="shared" si="398"/>
        <v>177.189293020653</v>
      </c>
      <c r="AJ112" s="85">
        <f>IF(OR(EP112="",EP112=0),0,POWER(4*EW112/PI()/EO112/10^-7/EP112/(1-K112)/各项系数!$F$5/各项系数!$J$4,0.5))</f>
        <v>246.929476077883</v>
      </c>
      <c r="AK112" s="23">
        <f t="shared" si="342"/>
        <v>11.5304140039342</v>
      </c>
      <c r="AL112" s="23">
        <f t="shared" si="506"/>
        <v>800.881456398233</v>
      </c>
      <c r="AM112" s="127">
        <f t="shared" si="507"/>
        <v>400</v>
      </c>
      <c r="AN112" s="128" t="s">
        <v>486</v>
      </c>
      <c r="AO112" s="176">
        <f>AP112+各项系数!$M$9*$NK112</f>
        <v>785.17789842964</v>
      </c>
      <c r="AP112" s="176">
        <f>AQ112*(1+$BI112+(VLOOKUP($AM112,$A$12:$B$323,2,0))+各项系数!$J$6+各项系数!$M$5)*(1+$E$2)</f>
        <v>780.794623166615</v>
      </c>
      <c r="AQ112" s="262">
        <f>AR112+各项系数!$L$9*$NK112</f>
        <v>796.729207312872</v>
      </c>
      <c r="AR112" s="262">
        <f>AS112*(1+$BJ112+各项系数!$J$5+各项系数!$L$5)</f>
        <v>792.345932049846</v>
      </c>
      <c r="AS112" s="262">
        <f t="shared" si="399"/>
        <v>776.809737303771</v>
      </c>
      <c r="AT112" s="176">
        <f>AU112+各项系数!$M$9*$NM112</f>
        <v>792.63495745732</v>
      </c>
      <c r="AU112" s="176">
        <f>AV112*(1+$BI112+(VLOOKUP($AM112,$A$12:$B$323,2,0))+各项系数!$J$6+各项系数!$M$5)*(1+$E$2)</f>
        <v>788.251682194294</v>
      </c>
      <c r="AV112" s="262">
        <f>AW112+各项系数!$L$9*$NM112</f>
        <v>804.338451218667</v>
      </c>
      <c r="AW112" s="262">
        <f>AX112*(1+$BJ112+各项系数!$J$5+各项系数!$L$5)</f>
        <v>799.955175955642</v>
      </c>
      <c r="AX112" s="262">
        <f t="shared" si="400"/>
        <v>784.269780348668</v>
      </c>
      <c r="AY112" s="176">
        <f>AZ112+各项系数!$M$9*$NS112</f>
        <v>791.394113112931</v>
      </c>
      <c r="AZ112" s="176">
        <f>BA112*(1+$BI112+(VLOOKUP($AM112,$A$12:$B$214,2,0))+各项系数!$J$6+各项系数!$M$5)*(1+$E$2)</f>
        <v>786.983553735606</v>
      </c>
      <c r="BA112" s="262">
        <f>BB112+各项系数!$L$9*$NS112</f>
        <v>803.044442587353</v>
      </c>
      <c r="BB112" s="262">
        <f>BC112*(1+$BJ112+各项系数!$J$5+各项系数!$L$5)</f>
        <v>798.633883210028</v>
      </c>
      <c r="BC112" s="262">
        <f t="shared" si="401"/>
        <v>782.974395303949</v>
      </c>
      <c r="BD112" s="176">
        <f>BE112+各项系数!$M$9*$NS112</f>
        <v>798.868582603133</v>
      </c>
      <c r="BE112" s="176">
        <f>BF112*(1+$BI112+(VLOOKUP($AM112,$A$12:$B$214,2,0))+各项系数!$J$6+各项系数!$M$5)*(1+$E$2)</f>
        <v>794.458023225808</v>
      </c>
      <c r="BF112" s="262">
        <f>BG112+各项系数!$L$9*$NS112</f>
        <v>810.671452271233</v>
      </c>
      <c r="BG112" s="262">
        <f>BH112*(1+$BJ112+各项系数!$J$5+各项系数!$L$5)</f>
        <v>806.260892893907</v>
      </c>
      <c r="BH112" s="262">
        <f t="shared" si="402"/>
        <v>790.451855778341</v>
      </c>
      <c r="BI112" s="278"/>
      <c r="BJ112" s="279"/>
      <c r="BK112" s="95" t="s">
        <v>514</v>
      </c>
      <c r="BL112" s="176">
        <f>BM112+各项系数!$M$9*$NM112</f>
        <v>793.903130955799</v>
      </c>
      <c r="BM112" s="176">
        <f>BN112*(1+$CF112+(VLOOKUP($AM112,$A$12:$B$323,2,0))+各项系数!$J$6+各项系数!$M$5)*(1+$E$2)</f>
        <v>789.519855692774</v>
      </c>
      <c r="BN112" s="262">
        <f>BO112+各项系数!$L$9*$NM112</f>
        <v>805.632505808953</v>
      </c>
      <c r="BO112" s="262">
        <f>BP112*(1+$CG112+各项系数!$J$5+各项系数!$L$5)</f>
        <v>801.249230545927</v>
      </c>
      <c r="BP112" s="262">
        <f t="shared" si="403"/>
        <v>777.911874316434</v>
      </c>
      <c r="BQ112" s="176">
        <f>BR112+各项系数!$M$9*$NM112</f>
        <v>800.320801304737</v>
      </c>
      <c r="BR112" s="176">
        <f>BS112*(1+$CF112+(VLOOKUP($AM112,$A$12:$B$323,2,0))+各项系数!$J$6+各项系数!$M$5)*(1+$E$2)</f>
        <v>795.937526041711</v>
      </c>
      <c r="BS112" s="262">
        <f>BT112+各项系数!$L$9*$NM112</f>
        <v>812.181149022154</v>
      </c>
      <c r="BT112" s="262">
        <f>BU112*(1+$CG112+各项系数!$J$5+各项系数!$L$5)</f>
        <v>807.797873759128</v>
      </c>
      <c r="BU112" s="262">
        <f t="shared" si="404"/>
        <v>784.269780348668</v>
      </c>
      <c r="BV112" s="176">
        <f>BW112+各项系数!$M$9*$NT112</f>
        <v>795.868106649428</v>
      </c>
      <c r="BW112" s="176">
        <f>BX112*(1+$CF112+(VLOOKUP($AM112,$A$12:$B$214,2,0))+各项系数!$J$6+各项系数!$M$5)*(1+$E$2)</f>
        <v>791.457547272103</v>
      </c>
      <c r="BX112" s="262">
        <f>BY112+各项系数!$L$9*$NT$12</f>
        <v>807.609742114391</v>
      </c>
      <c r="BY112" s="262">
        <f>BZ112*(1+$CG112+各项系数!$J$5+各项系数!$L$5)</f>
        <v>807.601478711236</v>
      </c>
      <c r="BZ112" s="262">
        <f t="shared" si="343"/>
        <v>784.079105544889</v>
      </c>
      <c r="CA112" s="176">
        <f>CB112+各项系数!$M$9*$NT112</f>
        <v>802.300760735074</v>
      </c>
      <c r="CB112" s="176">
        <f>CC112*(1+$CF112+(VLOOKUP($AM112,$A$12:$B$214,2,0))+各项系数!$J$6+各项系数!$M$5)*(1+$E$2)</f>
        <v>797.890201357749</v>
      </c>
      <c r="CC112" s="262">
        <f>CD112+各项系数!$L$9*$NT$12</f>
        <v>814.173674854846</v>
      </c>
      <c r="CD112" s="262">
        <f>CE112*(1+$CG112+各项系数!$J$5+各项系数!$L$5)</f>
        <v>814.165411451691</v>
      </c>
      <c r="CE112" s="262">
        <f t="shared" si="405"/>
        <v>790.451855778341</v>
      </c>
      <c r="CF112" s="278">
        <f t="shared" si="406"/>
        <v>0</v>
      </c>
      <c r="CG112" s="278">
        <f t="shared" si="344"/>
        <v>0.01</v>
      </c>
      <c r="CH112" s="127"/>
      <c r="CI112" s="176">
        <f>CJ112+各项系数!$M$9*$NO112</f>
        <v>799.47450032378</v>
      </c>
      <c r="CJ112" s="176">
        <f>CK112*(1+$DC112+(VLOOKUP($AM112,$A$12:$B$323,2,0))+各项系数!$J$6+各项系数!$M$5)*(1+$E$2)+各项系数!$M$9*$NK112</f>
        <v>793.794625765534</v>
      </c>
      <c r="CK112" s="262">
        <f>CL112+各项系数!$L$9*$NO112</f>
        <v>805.521786227049</v>
      </c>
      <c r="CL112" s="262">
        <f>CM112*(1+$DD112+各项系数!$J$5+各项系数!$L$5)</f>
        <v>799.841911668803</v>
      </c>
      <c r="CM112" s="262">
        <f t="shared" si="345"/>
        <v>784.158736930199</v>
      </c>
      <c r="CN112" s="176">
        <f>CO112+各项系数!$M$9*$NO112</f>
        <v>806.610034478239</v>
      </c>
      <c r="CO112" s="176">
        <f>CP112*(1+$DC112+(VLOOKUP($AM112,$A$12:$B$323,2,0))+各项系数!$J$6+各项系数!$M$5)*(1+$E$2)+各项系数!$M$9*$NK112</f>
        <v>800.930159919993</v>
      </c>
      <c r="CP112" s="262">
        <f>CQ112+各项系数!$L$9*$NO112</f>
        <v>812.802943527518</v>
      </c>
      <c r="CQ112" s="262">
        <f>CR112*(1+$DD112+各项系数!$J$5+各项系数!$L$5)</f>
        <v>807.123068969271</v>
      </c>
      <c r="CR112" s="262">
        <f t="shared" si="346"/>
        <v>791.297126440462</v>
      </c>
      <c r="CS112" s="176">
        <f>CT112+各项系数!$M$9*$NU112</f>
        <v>801.497596244065</v>
      </c>
      <c r="CT112" s="176">
        <f t="shared" si="347"/>
        <v>795.789599471559</v>
      </c>
      <c r="CU112" s="262">
        <f>CV112+各项系数!$L$9*$NU112</f>
        <v>812.030203542407</v>
      </c>
      <c r="CV112" s="262">
        <f>CW112*(1+$DD112+各项系数!$J$5+各项系数!$L$5)</f>
        <v>806.322206769901</v>
      </c>
      <c r="CW112" s="262">
        <f t="shared" si="348"/>
        <v>790.511967421471</v>
      </c>
      <c r="CX112" s="176">
        <f>CY112+各项系数!$M$9*$NU112</f>
        <v>809.1896965158</v>
      </c>
      <c r="CY112" s="176">
        <f t="shared" si="349"/>
        <v>803.481699743294</v>
      </c>
      <c r="CZ112" s="262">
        <f>DA112+各项系数!$L$9*$NU112</f>
        <v>819.879285452341</v>
      </c>
      <c r="DA112" s="262">
        <f>DB112*(1+$DD112+各项系数!$J$5+各项系数!$L$5)</f>
        <v>814.171288679835</v>
      </c>
      <c r="DB112" s="262">
        <f t="shared" si="350"/>
        <v>798.207145764544</v>
      </c>
      <c r="DC112" s="278">
        <f t="shared" si="498"/>
        <v>0</v>
      </c>
      <c r="DD112" s="278">
        <f t="shared" si="351"/>
        <v>0</v>
      </c>
      <c r="DE112" s="95" t="s">
        <v>498</v>
      </c>
      <c r="DF112" s="95" t="s">
        <v>513</v>
      </c>
      <c r="DG112" s="176">
        <f>DH112+各项系数!$M$9*$NQ112</f>
        <v>808.304220754064</v>
      </c>
      <c r="DH112" s="176">
        <f>DI112*(1+$EA112+(VLOOKUP($AM112,$A$12:$B$323,2,0))+各项系数!$J$6+各项系数!$M$5)*(1+$E$2)+各项系数!$M$9*$NK112</f>
        <v>802.624346195818</v>
      </c>
      <c r="DI112" s="262">
        <f>DJ112+各项系数!$L$9*$NQ112</f>
        <v>814.531705033462</v>
      </c>
      <c r="DJ112" s="262">
        <f>DK112*(1+$EB112+各项系数!$J$5+各项系数!$L$5)</f>
        <v>808.851830475215</v>
      </c>
      <c r="DK112" s="262">
        <f t="shared" si="352"/>
        <v>785.293039296326</v>
      </c>
      <c r="DL112" s="176">
        <f>DM112+各项系数!$M$9*$NQ112</f>
        <v>814.909187811862</v>
      </c>
      <c r="DM112" s="176">
        <f>DN112*(1+$EA112+(VLOOKUP($AM112,$A$12:$B$323,2,0))+各项系数!$J$6+各项系数!$M$5)*(1+$E$2)+各项系数!$M$9*$NK112</f>
        <v>809.229313253616</v>
      </c>
      <c r="DN112" s="262">
        <f>DO112+各项系数!$L$9*$NQ112</f>
        <v>821.271467337337</v>
      </c>
      <c r="DO112" s="262">
        <f>DP112*(1+$EB112+各项系数!$J$5+各项系数!$L$5)</f>
        <v>815.591592779091</v>
      </c>
      <c r="DP112" s="262">
        <f t="shared" si="353"/>
        <v>791.836497843777</v>
      </c>
      <c r="DQ112" s="176">
        <f>DR112+各项系数!$M$9*$NV112</f>
        <v>810.392175749786</v>
      </c>
      <c r="DR112" s="176">
        <f t="shared" si="354"/>
        <v>804.68417897728</v>
      </c>
      <c r="DS112" s="262">
        <f>DT112+各项系数!$L$9*$NV112</f>
        <v>821.106305078857</v>
      </c>
      <c r="DT112" s="262">
        <f>DU112*(1+$EB112+各项系数!$J$5+各项系数!$L$5)</f>
        <v>815.398308306351</v>
      </c>
      <c r="DU112" s="262">
        <f t="shared" si="355"/>
        <v>791.648843015875</v>
      </c>
      <c r="DV112" s="176">
        <f>DW112+各项系数!$M$9*$NV112</f>
        <v>809.210548020494</v>
      </c>
      <c r="DW112" s="176">
        <f t="shared" si="356"/>
        <v>803.502551247988</v>
      </c>
      <c r="DX112" s="262">
        <f>DY112+各项系数!$L$9*$NV112</f>
        <v>819.900562497947</v>
      </c>
      <c r="DY112" s="262">
        <f>DZ112*(1+$EB112+各项系数!$J$5+各项系数!$L$5)</f>
        <v>814.192565725441</v>
      </c>
      <c r="DZ112" s="262">
        <f t="shared" si="357"/>
        <v>790.478219150913</v>
      </c>
      <c r="EA112" s="278">
        <f t="shared" si="511"/>
        <v>0</v>
      </c>
      <c r="EB112" s="278">
        <f t="shared" si="358"/>
        <v>0.01</v>
      </c>
      <c r="EC112" s="302" t="str">
        <f t="shared" si="408"/>
        <v>3+1</v>
      </c>
      <c r="ED112" s="304" t="str">
        <f t="shared" si="494"/>
        <v>3*400</v>
      </c>
      <c r="EE112" s="95">
        <f t="shared" si="495"/>
        <v>400</v>
      </c>
      <c r="EF112" s="95" t="str">
        <f>LOOKUP(EH112,{1,7,10,14,19,24,30,37,48,61},{1,"1+6","2+8","4+10","1+6+12","2+8+14","4+10+16","1+6+12+18","3+9+15+21","1+6+12+18+24"})</f>
        <v>1+6+12+18+24</v>
      </c>
      <c r="EG112" s="127">
        <f t="shared" si="359"/>
        <v>3</v>
      </c>
      <c r="EH112" s="262">
        <f>VLOOKUP(EE112,各项系数!$B$87:$C$124,2,0)</f>
        <v>61</v>
      </c>
      <c r="EI112" s="127">
        <f>IF(EH112=0,0,VLOOKUP(EH112,各项系数!$D$142:$E$195,2,0))*1</f>
        <v>9</v>
      </c>
      <c r="EJ112" s="307">
        <f t="shared" si="409"/>
        <v>277.181191063812</v>
      </c>
      <c r="EK112" s="95" t="str">
        <f t="shared" si="508"/>
        <v>1*185</v>
      </c>
      <c r="EL112" s="95" t="str">
        <f t="shared" si="360"/>
        <v>185</v>
      </c>
      <c r="EM112" s="95">
        <f t="shared" si="496"/>
        <v>185</v>
      </c>
      <c r="EN112" s="95" t="str">
        <f>IF(EP112=0,0,LOOKUP(EP112,{1,7,10,14,19,24,30,37,48,61},{1,"1+6","2+8","4+10","1+6+12","2+8+14","4+10+16","1+6+12+18","3+9+15+21","1+6+12+18+24"}))</f>
        <v>1+6+12+18</v>
      </c>
      <c r="EO112" s="95" t="str">
        <f t="shared" si="509"/>
        <v>1</v>
      </c>
      <c r="EP112" s="95">
        <f>IF(EM112=0,0,IF(EM112&lt;10,1,IF(AND(EM112&gt;=10,EM112&lt;=35),7,LOOKUP(EM112,{50,70,95,120,150,185,240,300},{10,14,19,24,30,37,48,61})*1)))</f>
        <v>37</v>
      </c>
      <c r="EQ112" s="95">
        <f>IF(EP112=0,0,VLOOKUP(EP112,各项系数!$D$142:$E$195,2,0))*1</f>
        <v>7</v>
      </c>
      <c r="ER112" s="95">
        <f t="shared" si="510"/>
        <v>245.09808262108</v>
      </c>
      <c r="ES112" s="304">
        <f t="shared" si="497"/>
        <v>4</v>
      </c>
      <c r="ET112" s="95">
        <f>VLOOKUP(ES112,各项系数!$D$142:$E$195,2,0)*1</f>
        <v>2.42</v>
      </c>
      <c r="EU112" s="311">
        <f>((各项系数!$F$76/4*$EJ112^2*$EG112*$EH112*1*10^-7)*(1-$H112)*AA112)*(VLOOKUP($EY$9,各项系数!$D$4:$F$143,3,0))*各项系数!$J$4</f>
        <v>9.96307725305532</v>
      </c>
      <c r="EV112" s="312">
        <f>EU112*(VLOOKUP($EY$9,各项系数!$D$4:$F$143,2,0))</f>
        <v>652.581560075124</v>
      </c>
      <c r="EW112" s="324">
        <f>(IF($EO112=0,0,(各项系数!$F$76/4*$ER112^2*$EO112*$EP112*1*10^-7))*(1-$K112)*$AF112)*(VLOOKUP($EY$9,各项系数!$D$4:$F$143,3,0))*各项系数!$J$4</f>
        <v>1.56733675087884</v>
      </c>
      <c r="EX112" s="325">
        <f>EW112*(VLOOKUP($EY$9,各项系数!$D$4:$F$143,2,0))</f>
        <v>102.660557182564</v>
      </c>
      <c r="EY112" s="251">
        <f>((各项系数!$F$76/4*$EJ112^2*$EG112*$EH112*1*10^-7)*(1-$H112)*AA112+IF($EO112=0,0,(各项系数!$F$76/4*$ER112^2*$EO112*$EP112*1*10^-7))*(1-$K112)*$AF112)*(VLOOKUP($EY$9,各项系数!$D$4:$F$143,3,0))*各项系数!$J$4</f>
        <v>11.5304140039342</v>
      </c>
      <c r="EZ112" s="127">
        <v>1</v>
      </c>
      <c r="FA112" s="95">
        <f t="shared" si="445"/>
        <v>11.5304140039342</v>
      </c>
      <c r="FB112" s="314">
        <f>FA112*(VLOOKUP($EY$9,各项系数!$D$4:$F$143,2,0))</f>
        <v>755.242117257687</v>
      </c>
      <c r="FC112" s="329"/>
      <c r="FD112" s="304">
        <f>各项系数!$F$76/4*($MN112^2-MK112^2)*10^-2*(VLOOKUP(L112,各项系数!$D$1:$F$143,3,0))*10^-3*10^2*$EG112*各项系数!$J$4</f>
        <v>0.55592492409914</v>
      </c>
      <c r="FE112" s="341">
        <f>FD112*VLOOKUP(L112,各项系数!$D$1:$F$143,2,0)</f>
        <v>5.67043422581123</v>
      </c>
      <c r="FF112" s="127">
        <f>各项系数!$F$76/4*($MO112^2-ML112^2)*10^-2*(VLOOKUP(L112,各项系数!$D$1:$F$143,3,0))*10^-3*10^2*$EO112*各项系数!$J$4</f>
        <v>0.103191967285665</v>
      </c>
      <c r="FG112" s="341">
        <f>FF112*VLOOKUP(L112,各项系数!$D$1:$F$143,2,0)</f>
        <v>1.05255806631378</v>
      </c>
      <c r="FH112" s="304">
        <f t="shared" si="410"/>
        <v>0.659116891384805</v>
      </c>
      <c r="FI112" s="127">
        <v>1</v>
      </c>
      <c r="FJ112" s="95">
        <f t="shared" si="446"/>
        <v>0.659116891384805</v>
      </c>
      <c r="FK112" s="341">
        <f>FJ112*VLOOKUP(L112,各项系数!$D$1:$F$143,2,0)</f>
        <v>6.72299229212502</v>
      </c>
      <c r="FL112" s="304"/>
      <c r="FM112" s="127"/>
      <c r="FN112" s="95"/>
      <c r="FO112" s="341"/>
      <c r="FP112" s="371">
        <f t="shared" si="447"/>
        <v>0.659116891384805</v>
      </c>
      <c r="FQ112" s="371">
        <f t="shared" si="448"/>
        <v>6.72299229212502</v>
      </c>
      <c r="FR112" s="365">
        <f>各项系数!$F$76/4*($MQ112^2-$MN112^2*$EG112-$MO112^2*$EO112)*10^-2</f>
        <v>10.0366193694229</v>
      </c>
      <c r="FS112" s="366">
        <f t="shared" si="411"/>
        <v>1</v>
      </c>
      <c r="FT112" s="367">
        <f t="shared" si="361"/>
        <v>10.0366193694229</v>
      </c>
      <c r="FU112" s="395">
        <f>$FT112*(VLOOKUP($FT$9,各项系数!$D$1:$F$143,3,0))*10^-3*10^2*各项系数!$J$55</f>
        <v>1.19837235270909</v>
      </c>
      <c r="FV112" s="396">
        <v>1</v>
      </c>
      <c r="FW112" s="397">
        <f t="shared" si="449"/>
        <v>1.19837235270909</v>
      </c>
      <c r="FX112" s="372">
        <f>FW112*(VLOOKUP($FT$9,各项系数!$D$1:$F$143,2,0))</f>
        <v>3.59511705812728</v>
      </c>
      <c r="FY112" s="395">
        <f>IF($BK112&lt;&gt;$FY$9,0,各项系数!$F$76/4*($MS112^2-$MQ112^2)*10^-2*(VLOOKUP($FY$9,各项系数!$D$1:$F$143,3,0))*10^-3*10^2)*各项系数!$J$4</f>
        <v>0</v>
      </c>
      <c r="FZ112" s="396">
        <v>1</v>
      </c>
      <c r="GA112" s="397">
        <f t="shared" si="450"/>
        <v>0</v>
      </c>
      <c r="GB112" s="372">
        <f>GA112*(VLOOKUP($FY$9,各项系数!$D$1:$F$143,2,0))</f>
        <v>0</v>
      </c>
      <c r="GC112" s="395">
        <f>IF($BK112&lt;&gt;$GC$9,0,各项系数!$F$76/4*($MS112^2-$MQ112^2)*10^-2*(VLOOKUP($GC$9,各项系数!$D$1:$F$143,3,0))*10^-3*10^2)*各项系数!$J$4</f>
        <v>0.0176853154418012</v>
      </c>
      <c r="GD112" s="396">
        <v>1</v>
      </c>
      <c r="GE112" s="397">
        <f t="shared" si="451"/>
        <v>0.0176853154418012</v>
      </c>
      <c r="GF112" s="372">
        <f>GE112*(VLOOKUP($GC$9,各项系数!$D$1:$F$143,2,0))</f>
        <v>0.228140569199235</v>
      </c>
      <c r="GG112" s="395">
        <f>IF($BK112&lt;&gt;$GG$9,0,各项系数!$F$76/4*($MS112^2-$MQ112^2)*10^-2*(VLOOKUP($GG$9,各项系数!$D$1:$F$143,3,0))*10^-3*10^2)*各项系数!$J$4</f>
        <v>0</v>
      </c>
      <c r="GH112" s="396">
        <v>1</v>
      </c>
      <c r="GI112" s="397">
        <f t="shared" si="452"/>
        <v>0</v>
      </c>
      <c r="GJ112" s="372">
        <f>GI112*(VLOOKUP($GG$9,各项系数!$D$1:$F$143,2,0))</f>
        <v>0</v>
      </c>
      <c r="GK112" s="395">
        <f>IF($BK112&lt;&gt;$GK$9,0,各项系数!$F$76/4*($MS112^2-$MQ112^2)*10^-2*(VLOOKUP($GK$9,各项系数!$D$1:$F$143,3,0))*10^-3*10^2)*各项系数!$J$4</f>
        <v>0</v>
      </c>
      <c r="GL112" s="396">
        <v>1</v>
      </c>
      <c r="GM112" s="397">
        <f t="shared" si="453"/>
        <v>0</v>
      </c>
      <c r="GN112" s="372">
        <f>GM112*(VLOOKUP($GK$9,各项系数!$D$1:$F$143,2,0))</f>
        <v>0</v>
      </c>
      <c r="GO112" s="397">
        <f t="shared" si="454"/>
        <v>0.0176853154418012</v>
      </c>
      <c r="GP112" s="397">
        <f t="shared" si="455"/>
        <v>0.228140569199235</v>
      </c>
      <c r="GQ112" s="408">
        <f>各项系数!$F$76/4*($MU112^2-$MS112^2)*10^-2*(VLOOKUP($S112,各项系数!$D$1:$F$143,3,0))*10^-3*10^2*各项系数!$J$4</f>
        <v>1.20595531718819</v>
      </c>
      <c r="GR112" s="396">
        <v>1</v>
      </c>
      <c r="GS112" s="397">
        <f t="shared" si="456"/>
        <v>1.20595531718819</v>
      </c>
      <c r="GT112" s="397">
        <f t="shared" si="457"/>
        <v>0</v>
      </c>
      <c r="GU112" s="397">
        <f>ROUND($GS112*(VLOOKUP($S112,各项系数!$D$1:$F$143,2,0))+$E$3*GS112,GT112)</f>
        <v>7</v>
      </c>
      <c r="GV112" s="406">
        <f>各项系数!$F$76/4*($MT112^2-$MS112^2)*10^-2*(VLOOKUP($GV$9,各项系数!$D$1:$F$143,3,0))*10^-3*10^2*各项系数!$J$4*PI()/4*R112</f>
        <v>0.0909470476652915</v>
      </c>
      <c r="GW112" s="396">
        <v>1</v>
      </c>
      <c r="GX112" s="397">
        <f t="shared" si="458"/>
        <v>0.0909470476652915</v>
      </c>
      <c r="GY112" s="397">
        <f>$GX112*(VLOOKUP($GV$9,各项系数!$D$1:$F$143,2,0))</f>
        <v>6.13892571740718</v>
      </c>
      <c r="GZ112" s="408">
        <f>各项系数!$F$76/4*($MV112^2-$MS112^2)*10^-2*(VLOOKUP($GZ$9,各项系数!$D$1:$F$143,3,0))*10^-3*10^2*各项系数!$J$4</f>
        <v>1.08714195126644</v>
      </c>
      <c r="HA112" s="396">
        <v>1</v>
      </c>
      <c r="HB112" s="397">
        <f t="shared" si="412"/>
        <v>1.08714195126644</v>
      </c>
      <c r="HC112" s="397">
        <f>HB112*(VLOOKUP($GZ$9,各项系数!$D$1:$F$143,2,0))</f>
        <v>18.4814131715294</v>
      </c>
      <c r="HD112" s="408">
        <f>各项系数!$F$76/4*($MW112^2-$MT112^2)*10^-2*(VLOOKUP($HD$9,各项系数!$D$1:$F$143,3,0))*10^-3*10^2*各项系数!$J$4</f>
        <v>1.08968016963498</v>
      </c>
      <c r="HE112" s="396">
        <v>1</v>
      </c>
      <c r="HF112" s="397">
        <f t="shared" si="413"/>
        <v>1.08968016963498</v>
      </c>
      <c r="HG112" s="397">
        <f>HF112*(VLOOKUP($HD$9,各项系数!$D$1:$F$143,2,0))</f>
        <v>18.5245628837946</v>
      </c>
      <c r="HH112" s="408">
        <f>各项系数!$F$76/4*($MV112^2-$MS112^2)*10^-2*(VLOOKUP($HH$9,各项系数!$D$1:$F$143,3,0))*10^-3*10^2*各项系数!$J$4</f>
        <v>1.08714195126644</v>
      </c>
      <c r="HI112" s="397">
        <v>1</v>
      </c>
      <c r="HJ112" s="397">
        <f t="shared" si="414"/>
        <v>1.08714195126644</v>
      </c>
      <c r="HK112" s="397">
        <f>HJ112*(VLOOKUP($HH$9,各项系数!$D$1:$F$143,2,0))</f>
        <v>18.4814131715294</v>
      </c>
      <c r="HL112" s="408">
        <f>各项系数!$F$76/4*($MW112^2-$MT112^2)*10^-2*(VLOOKUP($HL$9,各项系数!$D$1:$F$143,3,0))*10^-3*10^2*各项系数!$J$4</f>
        <v>1.08968016963498</v>
      </c>
      <c r="HM112" s="397">
        <v>1</v>
      </c>
      <c r="HN112" s="397">
        <f t="shared" si="362"/>
        <v>1.08968016963498</v>
      </c>
      <c r="HO112" s="397">
        <f>HN112*(VLOOKUP($HL$9,各项系数!$D$1:$F$143,2,0))</f>
        <v>18.5245628837946</v>
      </c>
      <c r="HP112" s="408">
        <f>各项系数!$F$76/4*($MV112^2-$MS112^2)*10^-2*(VLOOKUP(AN112,各项系数!$D$1:$F$143,3,0))*10^-3*10^2*各项系数!$J$4</f>
        <v>1.10213701266321</v>
      </c>
      <c r="HQ112" s="396">
        <v>1</v>
      </c>
      <c r="HR112" s="397">
        <f t="shared" si="459"/>
        <v>1.10213701266321</v>
      </c>
      <c r="HS112" s="397">
        <f>HR112*(VLOOKUP(AN112,各项系数!$D$1:$F$143,2,0))</f>
        <v>11.0213701266321</v>
      </c>
      <c r="HT112" s="408">
        <f>各项系数!$F$76/4*($MW112^2-$MT112^2)*10^-2*(VLOOKUP(AN112,各项系数!$D$1:$F$143,3,0))*10^-3*10^2*各项系数!$J$4</f>
        <v>1.10471024094029</v>
      </c>
      <c r="HU112" s="396">
        <v>1</v>
      </c>
      <c r="HV112" s="397">
        <f t="shared" si="460"/>
        <v>1.10471024094029</v>
      </c>
      <c r="HW112" s="397">
        <f>HV112*(VLOOKUP(AN112,各项系数!$D$1:$F$143,2,0))</f>
        <v>11.0471024094029</v>
      </c>
      <c r="HX112" s="408">
        <f>各项系数!$F$76/4*($MV112^2-$MS112^2)*10^-2*(VLOOKUP($HX$9,各项系数!$D$1:$F$143,3,0))*10^-3*10^2*各项系数!$J$4</f>
        <v>1.10213701266321</v>
      </c>
      <c r="HY112" s="397">
        <v>1</v>
      </c>
      <c r="HZ112" s="397">
        <f t="shared" si="461"/>
        <v>1.10213701266321</v>
      </c>
      <c r="IA112" s="397">
        <f>HZ112*(VLOOKUP($HX$9,各项系数!$D$1:$F$143,2,0))</f>
        <v>12.1235071392954</v>
      </c>
      <c r="IB112" s="408">
        <f>各项系数!$F$76/4*($MW112^2-$MT112^2)*10^-2*(VLOOKUP($IB$9,各项系数!$D$1:$F$143,3,0))*10^-3*10^2*各项系数!$J$4</f>
        <v>1.10471024094029</v>
      </c>
      <c r="IC112" s="397">
        <v>1</v>
      </c>
      <c r="ID112" s="397">
        <f t="shared" si="462"/>
        <v>1.10471024094029</v>
      </c>
      <c r="IE112" s="397">
        <f>ID112*(VLOOKUP($IB$9,各项系数!$D$1:$F$143,2,0))</f>
        <v>12.1518126503432</v>
      </c>
      <c r="IF112" s="395"/>
      <c r="IG112" s="408">
        <f t="shared" si="415"/>
        <v>0.131093678201046</v>
      </c>
      <c r="IH112" s="396">
        <v>1</v>
      </c>
      <c r="II112" s="397">
        <f t="shared" si="463"/>
        <v>0.131093678201046</v>
      </c>
      <c r="IJ112" s="397">
        <f>II112*(VLOOKUP($IG$8,各项系数!$D$1:$F$143,2,0))</f>
        <v>3.27734195502615</v>
      </c>
      <c r="IK112" s="408">
        <f>(各项系数!$F$76/4*($MX112^2-$MK112^2)*$EG112)*10^-2*(VLOOKUP($IG$8,各项系数!$D$1:$F$143,3,0))*10^-3*10^2*各项系数!$J$4</f>
        <v>0.106538010928718</v>
      </c>
      <c r="IL112" s="396">
        <f>IK112*(VLOOKUP($IG$8,各项系数!$D$1:$F$143,2,0))</f>
        <v>2.66345027321794</v>
      </c>
      <c r="IM112" s="397">
        <f>(各项系数!$F$76/4*(($MM112+3*$X112)^2-MM112^2)*$EO112)*10^-2*(VLOOKUP($IG$8,各项系数!$D$1:$F$143,3,0))*10^-3*10^2*各项系数!$J$4</f>
        <v>0.0245556672723285</v>
      </c>
      <c r="IN112" s="396">
        <f>IM112*(VLOOKUP($IG$8,各项系数!$D$1:$F$143,2,0))</f>
        <v>0.613891681808213</v>
      </c>
      <c r="IO112" s="408">
        <f>各项系数!$F$76/4*($MZ112^2-$MX112^2)*10^-2*(VLOOKUP(L112,各项系数!$D$1:$F$143,3,0))*10^-3*10^2*$ES112*各项系数!$J$4</f>
        <v>0.757737903297086</v>
      </c>
      <c r="IP112" s="396">
        <v>1</v>
      </c>
      <c r="IQ112" s="397">
        <f t="shared" si="464"/>
        <v>0.757737903297086</v>
      </c>
      <c r="IR112" s="372">
        <f>IQ112*(VLOOKUP(L112,各项系数!$D$1:$F$143,2,0))</f>
        <v>7.72892661363028</v>
      </c>
      <c r="IS112" s="408">
        <f>IF($L112&lt;&gt;$IS$9,0,各项系数!$F$76/4*($MZ112^2-$MX112^2)*10^-2*各项系数!$F$12*10^-3*10^2)*$ES112*各项系数!$J$4</f>
        <v>0</v>
      </c>
      <c r="IT112" s="396">
        <v>1</v>
      </c>
      <c r="IU112" s="397">
        <f t="shared" si="465"/>
        <v>0</v>
      </c>
      <c r="IV112" s="372">
        <f>IU112*各项系数!$E$12</f>
        <v>0</v>
      </c>
      <c r="IW112" s="395">
        <f t="shared" si="466"/>
        <v>0.757737903297086</v>
      </c>
      <c r="IX112" s="395">
        <f t="shared" si="467"/>
        <v>7.72892661363028</v>
      </c>
      <c r="IY112" s="447">
        <f>各项系数!$F$76/4*($NB112^2-$MZ112^2*$EG112-$NA112^2*$EO112)*10^-2</f>
        <v>10.7483057910685</v>
      </c>
      <c r="IZ112" s="366">
        <f t="shared" si="487"/>
        <v>1</v>
      </c>
      <c r="JA112" s="367">
        <f t="shared" si="363"/>
        <v>10.7483057910685</v>
      </c>
      <c r="JB112" s="371">
        <f>IF($DE112&lt;&gt;$JB$9,0,$JA112*各项系数!$F$32*10^-3*10^2)*各项系数!$J$4</f>
        <v>0</v>
      </c>
      <c r="JC112" s="127">
        <v>1</v>
      </c>
      <c r="JD112" s="95">
        <f t="shared" si="468"/>
        <v>0</v>
      </c>
      <c r="JE112" s="341">
        <f>JD112*各项系数!$E$32</f>
        <v>0</v>
      </c>
      <c r="JF112" s="364">
        <f>IF($DE112&lt;&gt;$JF$9,0,$JA112*VLOOKUP($JF$9,各项系数!$D$4:$F$540,2,0)*10^-3*10^2)*各项系数!$J$4</f>
        <v>5.34728213105657</v>
      </c>
      <c r="JG112" s="123">
        <v>1</v>
      </c>
      <c r="JH112" s="251">
        <f t="shared" si="364"/>
        <v>5.34728213105657</v>
      </c>
      <c r="JI112" s="339">
        <f>JH112*VLOOKUP($JF$9,各项系数!$D$4:$F$540,3,0)</f>
        <v>6.41673855726789</v>
      </c>
      <c r="JJ112" s="371">
        <f t="shared" si="469"/>
        <v>5.34728213105657</v>
      </c>
      <c r="JK112" s="95">
        <f t="shared" si="470"/>
        <v>6.41673855726789</v>
      </c>
      <c r="JL112" s="371">
        <f>IF($DF112&lt;&gt;$JL$9,0,各项系数!$F$76/4*($NE112^2-$NC112^2)*10^-2*各项系数!$F$39*10^-3*10^2)*各项系数!$J$4</f>
        <v>0.00752944426606054</v>
      </c>
      <c r="JM112" s="127">
        <v>1</v>
      </c>
      <c r="JN112" s="95">
        <f t="shared" si="471"/>
        <v>0.00752944426606054</v>
      </c>
      <c r="JO112" s="341">
        <f>JN112*各项系数!$E$39</f>
        <v>0.150588885321211</v>
      </c>
      <c r="JP112" s="371">
        <f>IF($DF112&lt;&gt;$JP$9,0,各项系数!$F$76/4*($NE112^2-$NC112^2)*10^-2*各项系数!$F$36*10^-3*10^2)*各项系数!$J$4</f>
        <v>0</v>
      </c>
      <c r="JQ112" s="127">
        <v>1</v>
      </c>
      <c r="JR112" s="95">
        <f t="shared" si="472"/>
        <v>0</v>
      </c>
      <c r="JS112" s="341">
        <f>JR112*各项系数!$E$36</f>
        <v>0</v>
      </c>
      <c r="JT112" s="371">
        <f>IF($DF112&lt;&gt;$JT$9,0,各项系数!$F$76/4*($NE112^2-$NC112^2)*10^-2*各项系数!$F$40*10^-3*10^2)*各项系数!$J$4</f>
        <v>0</v>
      </c>
      <c r="JU112" s="127">
        <v>1</v>
      </c>
      <c r="JV112" s="95">
        <f t="shared" si="473"/>
        <v>0</v>
      </c>
      <c r="JW112" s="341">
        <f>JV112*各项系数!$E$40</f>
        <v>0</v>
      </c>
      <c r="JX112" s="371">
        <f>IF($DF112&lt;&gt;$JX$9,0,各项系数!$F$76/4*($NE112^2-$NC112^2)*10^-2*各项系数!$F$38*10^-3*10^2)*各项系数!$J$4</f>
        <v>0</v>
      </c>
      <c r="JY112" s="127">
        <v>1</v>
      </c>
      <c r="JZ112" s="95">
        <f t="shared" si="474"/>
        <v>0</v>
      </c>
      <c r="KA112" s="341">
        <f>JZ112*各项系数!$E$38</f>
        <v>0</v>
      </c>
      <c r="KB112" s="371">
        <f>IF($DF112&lt;&gt;$KB$9,0,各项系数!$F$76/4*($NE112^2-$NC112^2)*10^-2*各项系数!$F$41*10^-3*10^2)*各项系数!$J$4</f>
        <v>0</v>
      </c>
      <c r="KC112" s="127">
        <v>1</v>
      </c>
      <c r="KD112" s="95">
        <f t="shared" si="475"/>
        <v>0</v>
      </c>
      <c r="KE112" s="341">
        <f>KD112*各项系数!$E$41</f>
        <v>0</v>
      </c>
      <c r="KF112" s="95">
        <f t="shared" si="476"/>
        <v>0.00752944426606054</v>
      </c>
      <c r="KG112" s="95">
        <f t="shared" si="477"/>
        <v>0.150588885321211</v>
      </c>
      <c r="KH112" s="304">
        <f>各项系数!$F$76/4*($NG112^2-$NE112^2)*10^-2*各项系数!$F$44*10^-3*10^2*各项系数!$J$4*0.75*$U112</f>
        <v>1.8639329169085</v>
      </c>
      <c r="KI112" s="127">
        <v>1</v>
      </c>
      <c r="KJ112" s="95">
        <f t="shared" si="478"/>
        <v>1.8639329169085</v>
      </c>
      <c r="KK112" s="95">
        <f>ROUND(KJ112*各项系数!$E$43,GT112)</f>
        <v>11</v>
      </c>
      <c r="KL112" s="302">
        <f>各项系数!$F$76/4*($NF112^2-$NE112^2)*10^-2*各项系数!$F$46*10^-3*10^2*各项系数!$J$4*PI()/4*R112</f>
        <v>0.0937407142000187</v>
      </c>
      <c r="KM112" s="127">
        <v>1</v>
      </c>
      <c r="KN112" s="95">
        <f t="shared" si="479"/>
        <v>0.0937407142000187</v>
      </c>
      <c r="KO112" s="95">
        <f>KN112*各项系数!$E$46</f>
        <v>6.32749820850126</v>
      </c>
      <c r="KP112" s="304">
        <f>各项系数!$F$76/4*($NH112^2-$NE112^2)*10^-2*(VLOOKUP($KP$9,各项系数!$D$1:$F$143,3,0))*10^-3*10^2*各项系数!$J$4</f>
        <v>1.1188696808732</v>
      </c>
      <c r="KQ112" s="127">
        <v>1</v>
      </c>
      <c r="KR112" s="95">
        <f t="shared" si="416"/>
        <v>1.1188696808732</v>
      </c>
      <c r="KS112" s="95">
        <f>KR112*(VLOOKUP($KP$9,各项系数!$D$1:$F$143,2,0))</f>
        <v>19.0207845748445</v>
      </c>
      <c r="KT112" s="304">
        <f>各项系数!$F$76/4*($NI112^2-$NF112^2)*10^-2*(VLOOKUP($KT$9,各项系数!$D$1:$F$143,3,0))*10^-3*10^2*各项系数!$J$4</f>
        <v>1.12140789924174</v>
      </c>
      <c r="KU112" s="127">
        <v>1</v>
      </c>
      <c r="KV112" s="95">
        <f t="shared" si="417"/>
        <v>1.12140789924174</v>
      </c>
      <c r="KW112" s="95">
        <f>KV112*(VLOOKUP($KT$9,各项系数!$D$1:$F$143,2,0))</f>
        <v>19.0639342871096</v>
      </c>
      <c r="KX112" s="95">
        <f>各项系数!$F$76/4*($NH112^2-$NE112^2)*10^-2*(VLOOKUP($KX$9,各项系数!$D$1:$F$143,3,0))*10^-3*10^2*各项系数!$J$4</f>
        <v>1.1188696808732</v>
      </c>
      <c r="KY112" s="481">
        <v>1</v>
      </c>
      <c r="KZ112" s="95">
        <f t="shared" si="418"/>
        <v>1.1188696808732</v>
      </c>
      <c r="LA112" s="95">
        <f>KZ112*(VLOOKUP($KX$9,各项系数!$D$1:$F$143,2,0))</f>
        <v>19.0207845748445</v>
      </c>
      <c r="LB112" s="95">
        <f>各项系数!$F$76/4*($NI112^2-$NF112^2)*10^-2*(VLOOKUP($LB$9,各项系数!$D$1:$F$143,3,0))*10^-3*10^2*各项系数!$J$4</f>
        <v>1.12140789924174</v>
      </c>
      <c r="LC112" s="481">
        <v>1</v>
      </c>
      <c r="LD112" s="95">
        <f t="shared" si="419"/>
        <v>1.12140789924174</v>
      </c>
      <c r="LE112" s="95">
        <f>LD112*(VLOOKUP($LB$9,各项系数!$D$1:$F$143,2,0))</f>
        <v>19.0639342871096</v>
      </c>
      <c r="LF112" s="304">
        <f>各项系数!$F$76/4*($NH112^2-$NE112^2)*10^-2*(VLOOKUP(AN112,各项系数!$D$1:$F$143,3,0))*10^-3*10^2*各项系数!$J$4</f>
        <v>1.13430236612663</v>
      </c>
      <c r="LG112" s="127">
        <v>1</v>
      </c>
      <c r="LH112" s="95">
        <f t="shared" si="480"/>
        <v>1.13430236612663</v>
      </c>
      <c r="LI112" s="95">
        <f>LH112*(VLOOKUP(AN112,各项系数!$D$1:$F$143,2,0))</f>
        <v>11.3430236612663</v>
      </c>
      <c r="LJ112" s="304">
        <f>各项系数!$F$76/4*($NI112^2-$NF112^2)*10^-2*(VLOOKUP(AN112,各项系数!$D$1:$F$143,3,0))*10^-3*10^2*各项系数!$J$4</f>
        <v>1.1368755944037</v>
      </c>
      <c r="LK112" s="127">
        <v>1</v>
      </c>
      <c r="LL112" s="95">
        <f t="shared" si="481"/>
        <v>1.1368755944037</v>
      </c>
      <c r="LM112" s="95">
        <f>LL112*(VLOOKUP(AN112,各项系数!$D$1:$F$143,2,0))</f>
        <v>11.368755944037</v>
      </c>
      <c r="LN112" s="95">
        <f>各项系数!$F$76/4*($NH112^2-$NE112^2)*10^-2*(VLOOKUP($LN$9,各项系数!$D$1:$F$143,3,0))*10^-3*10^2*各项系数!$J$4</f>
        <v>1.13430236612663</v>
      </c>
      <c r="LO112" s="481">
        <v>1</v>
      </c>
      <c r="LP112" s="95">
        <f t="shared" si="482"/>
        <v>1.13430236612663</v>
      </c>
      <c r="LQ112" s="95">
        <f>LP112*(VLOOKUP($LN$9,各项系数!$D$1:$F$143,2,0))</f>
        <v>12.4773260273929</v>
      </c>
      <c r="LR112" s="95">
        <f>各项系数!$F$76/4*($NI112^2-$NF112^2)*10^-2*(VLOOKUP($LR$9,各项系数!$D$1:$F$143,3,0))*10^-3*10^2*各项系数!$J$4</f>
        <v>1.1368755944037</v>
      </c>
      <c r="LS112" s="481">
        <v>1</v>
      </c>
      <c r="LT112" s="95">
        <f t="shared" si="483"/>
        <v>1.1368755944037</v>
      </c>
      <c r="LU112" s="95">
        <f>LT112*(VLOOKUP($LR$9,各项系数!$D$1:$F$143,2,0))</f>
        <v>12.5056315384407</v>
      </c>
      <c r="LV112" s="501">
        <f t="shared" si="420"/>
        <v>1466.30281393</v>
      </c>
      <c r="LW112" s="501">
        <f t="shared" si="421"/>
        <v>1104.25273642</v>
      </c>
      <c r="LX112" s="501">
        <f t="shared" si="422"/>
        <v>37.4963765101637</v>
      </c>
      <c r="LY112" s="519">
        <f t="shared" si="423"/>
        <v>362.05007751</v>
      </c>
      <c r="LZ112" s="516">
        <f t="shared" si="365"/>
        <v>1</v>
      </c>
      <c r="MA112" s="517">
        <f t="shared" si="366"/>
        <v>1466.30281393</v>
      </c>
      <c r="MB112" s="501">
        <f t="shared" si="424"/>
        <v>24.94630719</v>
      </c>
      <c r="MC112" s="501">
        <f t="shared" si="425"/>
        <v>231.18826676</v>
      </c>
      <c r="MD112" s="501">
        <f t="shared" si="426"/>
        <v>174.57073258</v>
      </c>
      <c r="ME112" s="501">
        <f t="shared" si="427"/>
        <v>14.9087343552108</v>
      </c>
      <c r="MF112" s="501">
        <f t="shared" si="428"/>
        <v>56.61753418</v>
      </c>
      <c r="MG112" s="527">
        <f t="shared" si="429"/>
        <v>1</v>
      </c>
      <c r="MH112" s="517">
        <f t="shared" si="367"/>
        <v>231.18826676</v>
      </c>
      <c r="MI112" s="501">
        <f t="shared" si="430"/>
        <v>17.1568657836335</v>
      </c>
      <c r="MJ112" s="95">
        <f t="shared" si="368"/>
        <v>24.94630719</v>
      </c>
      <c r="MK112" s="95">
        <f t="shared" si="431"/>
        <v>24.94630719</v>
      </c>
      <c r="ML112" s="95">
        <f t="shared" si="484"/>
        <v>17.1568657834756</v>
      </c>
      <c r="MM112" s="95">
        <f t="shared" si="369"/>
        <v>17.1568657836335</v>
      </c>
      <c r="MN112" s="95">
        <f t="shared" si="370"/>
        <v>28.94630719</v>
      </c>
      <c r="MO112" s="251">
        <f t="shared" si="432"/>
        <v>20.3568657836335</v>
      </c>
      <c r="MP112" s="95">
        <f t="shared" si="433"/>
        <v>64.85345135</v>
      </c>
      <c r="MQ112" s="95">
        <f t="shared" si="485"/>
        <v>64.85345135</v>
      </c>
      <c r="MR112" s="314">
        <f t="shared" si="434"/>
        <v>64.85345135</v>
      </c>
      <c r="MS112" s="530">
        <f t="shared" si="371"/>
        <v>65.02945135</v>
      </c>
      <c r="MT112" s="532">
        <f t="shared" si="372"/>
        <v>65.18945135</v>
      </c>
      <c r="MU112" s="532">
        <f t="shared" si="373"/>
        <v>66.52945135</v>
      </c>
      <c r="MV112" s="532">
        <f t="shared" si="374"/>
        <v>72.02945135</v>
      </c>
      <c r="MW112" s="532">
        <f t="shared" si="375"/>
        <v>72.18945135</v>
      </c>
      <c r="MX112" s="314">
        <f t="shared" si="376"/>
        <v>25.54630719</v>
      </c>
      <c r="MY112" s="314">
        <f t="shared" si="377"/>
        <v>17.7568657836335</v>
      </c>
      <c r="MZ112" s="95">
        <f t="shared" si="378"/>
        <v>29.54630719</v>
      </c>
      <c r="NA112" s="95">
        <f t="shared" si="379"/>
        <v>21.7568657836335</v>
      </c>
      <c r="NB112" s="95">
        <f t="shared" si="435"/>
        <v>66.78945135</v>
      </c>
      <c r="NC112" s="314">
        <f t="shared" si="486"/>
        <v>66.78945135</v>
      </c>
      <c r="ND112" s="314">
        <f t="shared" si="436"/>
        <v>66.78945135</v>
      </c>
      <c r="NE112" s="537">
        <f t="shared" si="437"/>
        <v>67.02945135</v>
      </c>
      <c r="NF112" s="532">
        <f t="shared" si="380"/>
        <v>67.18945135</v>
      </c>
      <c r="NG112" s="180">
        <f t="shared" si="381"/>
        <v>68.52945135</v>
      </c>
      <c r="NH112" s="314">
        <f t="shared" si="382"/>
        <v>74.02945135</v>
      </c>
      <c r="NI112" s="532">
        <f t="shared" si="383"/>
        <v>74.18945135</v>
      </c>
      <c r="NK112" s="541">
        <f t="shared" si="384"/>
        <v>14.6109175434187</v>
      </c>
      <c r="NL112" s="541">
        <f t="shared" si="385"/>
        <v>777.862295370085</v>
      </c>
      <c r="NM112" s="541">
        <f t="shared" si="386"/>
        <v>14.6109175434187</v>
      </c>
      <c r="NN112" s="541">
        <f t="shared" si="387"/>
        <v>778.964432382748</v>
      </c>
      <c r="NO112" s="541">
        <f t="shared" si="388"/>
        <v>18.9329151941539</v>
      </c>
      <c r="NP112" s="541">
        <f t="shared" si="389"/>
        <v>784.772628612007</v>
      </c>
      <c r="NQ112" s="541">
        <f t="shared" si="390"/>
        <v>18.9329151941539</v>
      </c>
      <c r="NR112" s="541">
        <f t="shared" si="391"/>
        <v>785.906930978134</v>
      </c>
      <c r="NS112" s="541">
        <f t="shared" si="392"/>
        <v>14.701864591084</v>
      </c>
      <c r="NT112" s="541">
        <f t="shared" si="393"/>
        <v>14.701864591084</v>
      </c>
      <c r="NU112" s="541">
        <f t="shared" si="394"/>
        <v>19.0266559083539</v>
      </c>
      <c r="NV112" s="541">
        <f t="shared" si="395"/>
        <v>19.0266559083539</v>
      </c>
      <c r="NW112" s="11">
        <f t="shared" si="396"/>
        <v>15.8168728606069</v>
      </c>
      <c r="NX112" s="11">
        <f>各项系数!$M$9*NK112</f>
        <v>4.38327526302562</v>
      </c>
      <c r="NY112" s="11">
        <f t="shared" si="397"/>
        <v>14.701864591084</v>
      </c>
    </row>
    <row r="113" s="11" customFormat="1" customHeight="1" spans="1:389">
      <c r="A113" s="81"/>
      <c r="B113" s="82"/>
      <c r="C113" s="83"/>
      <c r="D113" s="261" t="s">
        <v>931</v>
      </c>
      <c r="E113" s="550">
        <f t="shared" si="503"/>
        <v>81.09195272</v>
      </c>
      <c r="F113" s="84">
        <f>$F$33</f>
        <v>314.103042329295</v>
      </c>
      <c r="G113" s="74"/>
      <c r="H113" s="23"/>
      <c r="I113" s="174">
        <f>$F$30</f>
        <v>246.701228113631</v>
      </c>
      <c r="J113" s="78"/>
      <c r="K113" s="23"/>
      <c r="L113" s="128" t="s">
        <v>467</v>
      </c>
      <c r="M113" s="119">
        <f t="shared" si="339"/>
        <v>2.2</v>
      </c>
      <c r="N113" s="119">
        <f t="shared" si="501"/>
        <v>1.7</v>
      </c>
      <c r="O113" s="74">
        <f t="shared" si="502"/>
        <v>0.08</v>
      </c>
      <c r="P113" s="120">
        <v>0.1</v>
      </c>
      <c r="Q113" s="165">
        <f t="shared" si="499"/>
        <v>0.1</v>
      </c>
      <c r="R113" s="182">
        <v>0.8</v>
      </c>
      <c r="S113" s="173" t="str">
        <f>各项系数!$D$43</f>
        <v>钢带</v>
      </c>
      <c r="T113" s="78">
        <v>0.5</v>
      </c>
      <c r="U113" s="78">
        <v>2</v>
      </c>
      <c r="V113" s="172"/>
      <c r="W113" s="174">
        <v>3.7</v>
      </c>
      <c r="X113" s="168">
        <f t="shared" si="500"/>
        <v>0.2</v>
      </c>
      <c r="Y113" s="221"/>
      <c r="Z113" s="222"/>
      <c r="AA113" s="223">
        <f>$AA$33</f>
        <v>1.02</v>
      </c>
      <c r="AB113" s="186">
        <f>PI()*EJ113*EJ113/4*EH113*(1-H113)*AA113*各项系数!$F$5*各项系数!$J$4*10^-7</f>
        <v>4.26470519939525</v>
      </c>
      <c r="AC113" s="224">
        <f t="shared" si="504"/>
        <v>314.103042329295</v>
      </c>
      <c r="AD113" s="186">
        <f t="shared" si="341"/>
        <v>482.13002011127</v>
      </c>
      <c r="AE113" s="186">
        <f>POWER(4*EU113/PI()/EG113/10^-7/EH113/(1-H113)/各项系数!$F$5/各项系数!$J$4,0.5)</f>
        <v>317.228522715927</v>
      </c>
      <c r="AF113" s="225">
        <f>$AA$30</f>
        <v>1.015</v>
      </c>
      <c r="AG113" s="23">
        <f>IF(EM113=0,0,PI()*ER113*ER113/4*EP113*(1-K113)*(1+AF113)*各项系数!$F$5*各项系数!$J$4*10^-7)</f>
        <v>4.08953221706715</v>
      </c>
      <c r="AH113" s="23">
        <f t="shared" si="505"/>
        <v>246.701228113631</v>
      </c>
      <c r="AI113" s="85">
        <f t="shared" si="398"/>
        <v>232.884070800354</v>
      </c>
      <c r="AJ113" s="85">
        <f>IF(OR(EP113="",EP113=0),0,POWER(4*EW113/PI()/EO113/10^-7/EP113/(1-K113)/各项系数!$F$5/各项系数!$J$4,0.5))</f>
        <v>248.544600408187</v>
      </c>
      <c r="AK113" s="23">
        <f t="shared" si="342"/>
        <v>14.8541032906538</v>
      </c>
      <c r="AL113" s="23">
        <f t="shared" si="506"/>
        <v>1030.25548113587</v>
      </c>
      <c r="AM113" s="127">
        <f t="shared" si="507"/>
        <v>500</v>
      </c>
      <c r="AN113" s="128" t="s">
        <v>486</v>
      </c>
      <c r="AO113" s="176">
        <f>AP113+各项系数!$M$9*$NK113</f>
        <v>1010.05439327046</v>
      </c>
      <c r="AP113" s="176">
        <f>AQ113*(1+$BI113+(VLOOKUP($AM113,$A$12:$B$323,2,0))+各项系数!$J$6+各项系数!$M$5)*(1+$E$2)</f>
        <v>1004.44923771173</v>
      </c>
      <c r="AQ113" s="262">
        <f>AR113+各项系数!$L$9*$NK113</f>
        <v>1024.94820174667</v>
      </c>
      <c r="AR113" s="262">
        <f>AS113*(1+$BJ113+各项系数!$J$5+各项系数!$L$5)</f>
        <v>1019.34304618794</v>
      </c>
      <c r="AS113" s="262">
        <f t="shared" si="399"/>
        <v>999.355927635233</v>
      </c>
      <c r="AT113" s="176">
        <f>AU113+各项系数!$M$9*$NM113</f>
        <v>1018.95705373803</v>
      </c>
      <c r="AU113" s="176">
        <f>AV113*(1+$BI113+(VLOOKUP($AM113,$A$12:$B$323,2,0))+各项系数!$J$6+各项系数!$M$5)*(1+$E$2)</f>
        <v>1013.3518981793</v>
      </c>
      <c r="AV113" s="262">
        <f>AW113+各项系数!$L$9*$NM113</f>
        <v>1034.03254916255</v>
      </c>
      <c r="AW113" s="262">
        <f>AX113*(1+$BJ113+各项系数!$J$5+各项系数!$L$5)</f>
        <v>1028.42739360382</v>
      </c>
      <c r="AX113" s="262">
        <f t="shared" si="400"/>
        <v>1008.26215059198</v>
      </c>
      <c r="AY113" s="176">
        <f>AZ113+各项系数!$M$9*$NS113</f>
        <v>1017.09569325271</v>
      </c>
      <c r="AZ113" s="176">
        <f>BA113*(1+$BI113+(VLOOKUP($AM113,$A$12:$B$214,2,0))+各项系数!$J$6+各项系数!$M$5)*(1+$E$2)</f>
        <v>1011.45962355865</v>
      </c>
      <c r="BA113" s="262">
        <f>BB113+各项系数!$L$9*$NS113</f>
        <v>1032.1016566925</v>
      </c>
      <c r="BB113" s="262">
        <f>BC113*(1+$BJ113+各项系数!$J$5+各项系数!$L$5)</f>
        <v>1026.46558699845</v>
      </c>
      <c r="BC113" s="262">
        <f t="shared" si="401"/>
        <v>1006.33881078279</v>
      </c>
      <c r="BD113" s="176">
        <f>BE113+各项系数!$M$9*$NS113</f>
        <v>1026.01675906637</v>
      </c>
      <c r="BE113" s="176">
        <f>BF113*(1+$BI113+(VLOOKUP($AM113,$A$12:$B$214,2,0))+各项系数!$J$6+各项系数!$M$5)*(1+$E$2)</f>
        <v>1020.38068937231</v>
      </c>
      <c r="BF113" s="262">
        <f>BG113+各项系数!$L$9*$NS113</f>
        <v>1041.20478507379</v>
      </c>
      <c r="BG113" s="262">
        <f>BH113*(1+$BJ113+各项系数!$J$5+各项系数!$L$5)</f>
        <v>1035.56871537973</v>
      </c>
      <c r="BH113" s="262">
        <f t="shared" si="402"/>
        <v>1015.26344645072</v>
      </c>
      <c r="BI113" s="278"/>
      <c r="BJ113" s="279"/>
      <c r="BK113" s="95" t="s">
        <v>514</v>
      </c>
      <c r="BL113" s="176">
        <f>BM113+各项系数!$M$9*$NM113</f>
        <v>1021.17624356584</v>
      </c>
      <c r="BM113" s="176">
        <f>BN113*(1+$CF113+(VLOOKUP($AM113,$A$12:$B$323,2,0))+各项系数!$J$6+各项系数!$M$5)*(1+$E$2)</f>
        <v>1015.57108800711</v>
      </c>
      <c r="BN113" s="262">
        <f>BO113+各项系数!$L$9*$NM113</f>
        <v>1036.29702857868</v>
      </c>
      <c r="BO113" s="262">
        <f>BP113*(1+$CG113+各项系数!$J$5+各项系数!$L$5)</f>
        <v>1030.69187301995</v>
      </c>
      <c r="BP113" s="262">
        <f t="shared" si="403"/>
        <v>1000.67172137859</v>
      </c>
      <c r="BQ113" s="176">
        <f>BR113+各项系数!$M$9*$NM113</f>
        <v>1028.83802281383</v>
      </c>
      <c r="BR113" s="176">
        <f>BS113*(1+$CF113+(VLOOKUP($AM113,$A$12:$B$323,2,0))+各项系数!$J$6+各项系数!$M$5)*(1+$E$2)</f>
        <v>1023.2328672551</v>
      </c>
      <c r="BS113" s="262">
        <f>BT113+各项系数!$L$9*$NM113</f>
        <v>1044.11517066847</v>
      </c>
      <c r="BT113" s="262">
        <f>BU113*(1+$CG113+各项系数!$J$5+各项系数!$L$5)</f>
        <v>1038.51001510974</v>
      </c>
      <c r="BU113" s="262">
        <f t="shared" si="404"/>
        <v>1008.26215059198</v>
      </c>
      <c r="BV113" s="176">
        <f>BW113+各项系数!$M$9*$NT113</f>
        <v>1022.77347147827</v>
      </c>
      <c r="BW113" s="176">
        <f>BX113*(1+$CF113+(VLOOKUP($AM113,$A$12:$B$214,2,0))+各项系数!$J$6+各项系数!$M$5)*(1+$E$2)</f>
        <v>1017.13740178422</v>
      </c>
      <c r="BX113" s="262">
        <f>BY113+各项系数!$L$9*$NT$12</f>
        <v>1037.89530794308</v>
      </c>
      <c r="BY113" s="262">
        <f>BZ113*(1+$CG113+各项系数!$J$5+各项系数!$L$5)</f>
        <v>1037.88704453992</v>
      </c>
      <c r="BZ113" s="262">
        <f t="shared" si="343"/>
        <v>1007.65732479604</v>
      </c>
      <c r="CA113" s="176">
        <f>CB113+各项系数!$M$9*$NT113</f>
        <v>1030.4510906765</v>
      </c>
      <c r="CB113" s="176">
        <f>CC113*(1+$CF113+(VLOOKUP($AM113,$A$12:$B$214,2,0))+各项系数!$J$6+各项系数!$M$5)*(1+$E$2)</f>
        <v>1024.81502098245</v>
      </c>
      <c r="CC113" s="262">
        <f>CD113+各项系数!$L$9*$NT$12</f>
        <v>1045.7296132474</v>
      </c>
      <c r="CD113" s="262">
        <f>CE113*(1+$CG113+各项系数!$J$5+各项系数!$L$5)</f>
        <v>1045.72134984424</v>
      </c>
      <c r="CE113" s="262">
        <f t="shared" si="405"/>
        <v>1015.26344645072</v>
      </c>
      <c r="CF113" s="278">
        <f t="shared" si="406"/>
        <v>0</v>
      </c>
      <c r="CG113" s="278">
        <f t="shared" si="344"/>
        <v>0.01</v>
      </c>
      <c r="CH113" s="127"/>
      <c r="CI113" s="176">
        <f>CJ113+各项系数!$M$9*$NO113</f>
        <v>1027.79101738126</v>
      </c>
      <c r="CJ113" s="176">
        <f>CK113*(1+$DC113+(VLOOKUP($AM113,$A$12:$B$323,2,0))+各项系数!$J$6+各项系数!$M$5)*(1+$E$2)+各项系数!$M$9*$NK113</f>
        <v>1020.52767579802</v>
      </c>
      <c r="CK113" s="262">
        <f>CL113+各项系数!$L$9*$NO113</f>
        <v>1035.63522473397</v>
      </c>
      <c r="CL113" s="262">
        <f>CM113*(1+$DD113+各项系数!$J$5+各项系数!$L$5)</f>
        <v>1028.37188315074</v>
      </c>
      <c r="CM113" s="262">
        <f t="shared" si="345"/>
        <v>1008.20772857915</v>
      </c>
      <c r="CN113" s="176">
        <f>CO113+各项系数!$M$9*$NO113</f>
        <v>1036.33321631345</v>
      </c>
      <c r="CO113" s="176">
        <f>CP113*(1+$DC113+(VLOOKUP($AM113,$A$12:$B$323,2,0))+各项系数!$J$6+各项系数!$M$5)*(1+$E$2)+各项系数!$M$9*$NK113</f>
        <v>1029.06987473022</v>
      </c>
      <c r="CP113" s="262">
        <f>CQ113+各项系数!$L$9*$NO113</f>
        <v>1044.35175425662</v>
      </c>
      <c r="CQ113" s="262">
        <f>CR113*(1+$DD113+各项系数!$J$5+各项系数!$L$5)</f>
        <v>1037.08841267339</v>
      </c>
      <c r="CR113" s="262">
        <f t="shared" si="346"/>
        <v>1016.75334575822</v>
      </c>
      <c r="CS113" s="176">
        <f>CT113+各项系数!$M$9*$NU113</f>
        <v>1029.42882277304</v>
      </c>
      <c r="CT113" s="176">
        <f t="shared" si="347"/>
        <v>1022.13367824947</v>
      </c>
      <c r="CU113" s="262">
        <f>CV113+各项系数!$L$9*$NU113</f>
        <v>1042.99354923416</v>
      </c>
      <c r="CV113" s="262">
        <f>CW113*(1+$DD113+各项系数!$J$5+各项系数!$L$5)</f>
        <v>1035.69840471059</v>
      </c>
      <c r="CW113" s="262">
        <f t="shared" si="348"/>
        <v>1015.39059285352</v>
      </c>
      <c r="CX113" s="176">
        <f>CY113+各项系数!$M$9*$NU113</f>
        <v>1038.59387445588</v>
      </c>
      <c r="CY113" s="176">
        <f t="shared" si="349"/>
        <v>1031.29872993231</v>
      </c>
      <c r="CZ113" s="262">
        <f>DA113+各项系数!$L$9*$NU113</f>
        <v>1052.34564278807</v>
      </c>
      <c r="DA113" s="262">
        <f>DB113*(1+$DD113+各项系数!$J$5+各项系数!$L$5)</f>
        <v>1045.0504982645</v>
      </c>
      <c r="DB113" s="262">
        <f t="shared" si="350"/>
        <v>1024.55931202402</v>
      </c>
      <c r="DC113" s="278">
        <f t="shared" si="498"/>
        <v>0</v>
      </c>
      <c r="DD113" s="278">
        <f t="shared" si="351"/>
        <v>0</v>
      </c>
      <c r="DE113" s="95" t="s">
        <v>498</v>
      </c>
      <c r="DF113" s="95" t="s">
        <v>513</v>
      </c>
      <c r="DG113" s="176">
        <f>DH113+各项系数!$M$9*$NQ113</f>
        <v>1039.03601487308</v>
      </c>
      <c r="DH113" s="176">
        <f>DI113*(1+$EA113+(VLOOKUP($AM113,$A$12:$B$323,2,0))+各项系数!$J$6+各项系数!$M$5)*(1+$E$2)+各项系数!$M$9*$NK113</f>
        <v>1031.77267328984</v>
      </c>
      <c r="DI113" s="262">
        <f>DJ113+各项系数!$L$9*$NQ113</f>
        <v>1047.10971197052</v>
      </c>
      <c r="DJ113" s="262">
        <f>DK113*(1+$EB113+各项系数!$J$5+各项系数!$L$5)</f>
        <v>1039.84637038729</v>
      </c>
      <c r="DK113" s="262">
        <f t="shared" si="352"/>
        <v>1009.55958290028</v>
      </c>
      <c r="DL113" s="176">
        <f>DM113+各项系数!$M$9*$NQ113</f>
        <v>1046.90777246138</v>
      </c>
      <c r="DM113" s="176">
        <f>DN113*(1+$EA113+(VLOOKUP($AM113,$A$12:$B$323,2,0))+各项系数!$J$6+各项系数!$M$5)*(1+$E$2)+各项系数!$M$9*$NK113</f>
        <v>1039.64443087814</v>
      </c>
      <c r="DN113" s="262">
        <f>DO113+各项系数!$L$9*$NQ113</f>
        <v>1055.14211767287</v>
      </c>
      <c r="DO113" s="262">
        <f>DP113*(1+$EB113+各项系数!$J$5+各项系数!$L$5)</f>
        <v>1047.87877608963</v>
      </c>
      <c r="DP113" s="262">
        <f t="shared" si="353"/>
        <v>1017.35803503848</v>
      </c>
      <c r="DQ113" s="176">
        <f>DR113+各项系数!$M$9*$NV113</f>
        <v>1040.74695817518</v>
      </c>
      <c r="DR113" s="176">
        <f t="shared" si="354"/>
        <v>1033.45181365161</v>
      </c>
      <c r="DS113" s="262">
        <f>DT113+各项系数!$L$9*$NV113</f>
        <v>1054.54266699144</v>
      </c>
      <c r="DT113" s="262">
        <f>DU113*(1+$EB113+各项系数!$J$5+各项系数!$L$5)</f>
        <v>1047.24752246787</v>
      </c>
      <c r="DU113" s="262">
        <f t="shared" si="355"/>
        <v>1016.74516744454</v>
      </c>
      <c r="DV113" s="176">
        <f>DW113+各项系数!$M$9*$NV113</f>
        <v>1038.95527946299</v>
      </c>
      <c r="DW113" s="176">
        <f t="shared" si="356"/>
        <v>1031.66013493942</v>
      </c>
      <c r="DX113" s="262">
        <f>DY113+各项系数!$L$9*$NV113</f>
        <v>1052.71442340758</v>
      </c>
      <c r="DY113" s="262">
        <f>DZ113*(1+$EB113+各项系数!$J$5+各项系数!$L$5)</f>
        <v>1045.41927888401</v>
      </c>
      <c r="DZ113" s="262">
        <f t="shared" si="357"/>
        <v>1014.97017367379</v>
      </c>
      <c r="EA113" s="278">
        <f t="shared" si="511"/>
        <v>0</v>
      </c>
      <c r="EB113" s="278">
        <f t="shared" si="358"/>
        <v>0.01</v>
      </c>
      <c r="EC113" s="302" t="str">
        <f t="shared" si="408"/>
        <v>3+1</v>
      </c>
      <c r="ED113" s="304" t="str">
        <f t="shared" si="494"/>
        <v>3*500</v>
      </c>
      <c r="EE113" s="95">
        <f t="shared" si="495"/>
        <v>500</v>
      </c>
      <c r="EF113" s="95" t="str">
        <f>LOOKUP(EH113,{1,7,10,14,19,24,30,37,48,61},{1,"1+6","2+8","4+10","1+6+12","2+8+14","4+10+16","1+6+12+18","3+9+15+21","1+6+12+18+24"})</f>
        <v>1+6+12+18+24</v>
      </c>
      <c r="EG113" s="127">
        <f t="shared" si="359"/>
        <v>3</v>
      </c>
      <c r="EH113" s="262">
        <f>VLOOKUP(EE113,各项系数!$B$87:$C$124,2,0)</f>
        <v>61</v>
      </c>
      <c r="EI113" s="127">
        <f>IF(EH113=0,0,VLOOKUP(EH113,各项系数!$D$142:$E$195,2,0))*1</f>
        <v>9</v>
      </c>
      <c r="EJ113" s="307">
        <f t="shared" si="409"/>
        <v>314.103042329295</v>
      </c>
      <c r="EK113" s="95" t="str">
        <f t="shared" si="508"/>
        <v>1*240</v>
      </c>
      <c r="EL113" s="95" t="str">
        <f t="shared" si="360"/>
        <v>240</v>
      </c>
      <c r="EM113" s="95">
        <f t="shared" si="496"/>
        <v>240</v>
      </c>
      <c r="EN113" s="95" t="str">
        <f>IF(EP113=0,0,LOOKUP(EP113,{1,7,10,14,19,24,30,37,48,61},{1,"1+6","2+8","4+10","1+6+12","2+8+14","4+10+16","1+6+12+18","3+9+15+21","1+6+12+18+24"}))</f>
        <v>3+9+15+21</v>
      </c>
      <c r="EO113" s="95" t="str">
        <f t="shared" si="509"/>
        <v>1</v>
      </c>
      <c r="EP113" s="95">
        <f>IF(EM113=0,0,IF(EM113&lt;10,1,IF(AND(EM113&gt;=10,EM113&lt;=35),7,LOOKUP(EM113,{50,70,95,120,150,185,240,300},{10,14,19,24,30,37,48,61})*1)))</f>
        <v>48</v>
      </c>
      <c r="EQ113" s="95">
        <f>IF(EP113=0,0,VLOOKUP(EP113,各项系数!$D$142:$E$195,2,0))*1</f>
        <v>8.15</v>
      </c>
      <c r="ER113" s="95">
        <f t="shared" si="510"/>
        <v>246.701228113631</v>
      </c>
      <c r="ES113" s="304">
        <f t="shared" si="497"/>
        <v>4</v>
      </c>
      <c r="ET113" s="95">
        <f>VLOOKUP(ES113,各项系数!$D$142:$E$195,2,0)*1</f>
        <v>2.42</v>
      </c>
      <c r="EU113" s="311">
        <f>((各项系数!$F$76/4*$EJ113^2*$EG113*$EH113*1*10^-7)*(1-$H113)*AA113)*(VLOOKUP($EY$9,各项系数!$D$4:$F$143,3,0))*各项系数!$J$4</f>
        <v>12.7941155981857</v>
      </c>
      <c r="EV113" s="312">
        <f>EU113*(VLOOKUP($EY$9,各项系数!$D$4:$F$143,2,0))</f>
        <v>838.014571681165</v>
      </c>
      <c r="EW113" s="324">
        <f>(IF($EO113=0,0,(各项系数!$F$76/4*$ER113^2*$EO113*$EP113*1*10^-7))*(1-$K113)*$AF113)*(VLOOKUP($EY$9,各项系数!$D$4:$F$143,3,0))*各项系数!$J$4</f>
        <v>2.05998769246807</v>
      </c>
      <c r="EX113" s="325">
        <f>EW113*(VLOOKUP($EY$9,各项系数!$D$4:$F$143,2,0))</f>
        <v>134.929193856658</v>
      </c>
      <c r="EY113" s="251">
        <f>((各项系数!$F$76/4*$EJ113^2*$EG113*$EH113*1*10^-7)*(1-$H113)*AA113+IF($EO113=0,0,(各项系数!$F$76/4*$ER113^2*$EO113*$EP113*1*10^-7))*(1-$K113)*$AF113)*(VLOOKUP($EY$9,各项系数!$D$4:$F$143,3,0))*各项系数!$J$4</f>
        <v>14.8541032906538</v>
      </c>
      <c r="EZ113" s="127">
        <v>1</v>
      </c>
      <c r="FA113" s="95">
        <f t="shared" si="445"/>
        <v>14.8541032906538</v>
      </c>
      <c r="FB113" s="314">
        <f>FA113*(VLOOKUP($EY$9,各项系数!$D$4:$F$143,2,0))</f>
        <v>972.943765537824</v>
      </c>
      <c r="FC113" s="329"/>
      <c r="FD113" s="304">
        <f>各项系数!$F$76/4*($MN113^2-MK113^2)*10^-2*(VLOOKUP(L113,各项系数!$D$1:$F$143,3,0))*10^-3*10^2*$EG113*各项系数!$J$4</f>
        <v>0.691467348511759</v>
      </c>
      <c r="FE113" s="341">
        <f>FD113*VLOOKUP(L113,各项系数!$D$1:$F$143,2,0)</f>
        <v>7.05296695481994</v>
      </c>
      <c r="FF113" s="127">
        <f>各项系数!$F$76/4*($MO113^2-ML113^2)*10^-2*(VLOOKUP(L113,各项系数!$D$1:$F$143,3,0))*10^-3*10^2*$EO113*各项系数!$J$4</f>
        <v>0.12746576505584</v>
      </c>
      <c r="FG113" s="341">
        <f>FF113*VLOOKUP(L113,各项系数!$D$1:$F$143,2,0)</f>
        <v>1.30015080356957</v>
      </c>
      <c r="FH113" s="304">
        <f t="shared" si="410"/>
        <v>0.8189331135676</v>
      </c>
      <c r="FI113" s="127">
        <v>1</v>
      </c>
      <c r="FJ113" s="95">
        <f t="shared" si="446"/>
        <v>0.8189331135676</v>
      </c>
      <c r="FK113" s="341">
        <f>FJ113*VLOOKUP(L113,各项系数!$D$1:$F$143,2,0)</f>
        <v>8.35311775838952</v>
      </c>
      <c r="FL113" s="304"/>
      <c r="FM113" s="127"/>
      <c r="FN113" s="95"/>
      <c r="FO113" s="341"/>
      <c r="FP113" s="371">
        <f t="shared" si="447"/>
        <v>0.8189331135676</v>
      </c>
      <c r="FQ113" s="371">
        <f t="shared" si="448"/>
        <v>8.35311775838952</v>
      </c>
      <c r="FR113" s="365">
        <f>各项系数!$F$76/4*($MQ113^2-$MN113^2*$EG113-$MO113^2*$EO113)*10^-2</f>
        <v>12.9607336742124</v>
      </c>
      <c r="FS113" s="366">
        <f t="shared" si="411"/>
        <v>1</v>
      </c>
      <c r="FT113" s="367">
        <f t="shared" si="361"/>
        <v>12.9607336742124</v>
      </c>
      <c r="FU113" s="395">
        <f>$FT113*(VLOOKUP($FT$9,各项系数!$D$1:$F$143,3,0))*10^-3*10^2*各项系数!$J$55</f>
        <v>1.54751160070096</v>
      </c>
      <c r="FV113" s="396">
        <v>1</v>
      </c>
      <c r="FW113" s="397">
        <f t="shared" si="449"/>
        <v>1.54751160070096</v>
      </c>
      <c r="FX113" s="372">
        <f>FW113*(VLOOKUP($FT$9,各项系数!$D$1:$F$143,2,0))</f>
        <v>4.64253480210288</v>
      </c>
      <c r="FY113" s="395">
        <f>IF($BK113&lt;&gt;$FY$9,0,各项系数!$F$76/4*($MS113^2-$MQ113^2)*10^-2*(VLOOKUP($FY$9,各项系数!$D$1:$F$143,3,0))*10^-3*10^2)*各项系数!$J$4</f>
        <v>0</v>
      </c>
      <c r="FZ113" s="396">
        <v>1</v>
      </c>
      <c r="GA113" s="397">
        <f t="shared" si="450"/>
        <v>0</v>
      </c>
      <c r="GB113" s="372">
        <f>GA113*(VLOOKUP($FY$9,各项系数!$D$1:$F$143,2,0))</f>
        <v>0</v>
      </c>
      <c r="GC113" s="395">
        <f>IF($BK113&lt;&gt;$GC$9,0,各项系数!$F$76/4*($MS113^2-$MQ113^2)*10^-2*(VLOOKUP($GC$9,各项系数!$D$1:$F$143,3,0))*10^-3*10^2)*各项系数!$J$4</f>
        <v>0.0200443490953265</v>
      </c>
      <c r="GD113" s="396">
        <v>1</v>
      </c>
      <c r="GE113" s="397">
        <f t="shared" si="451"/>
        <v>0.0200443490953265</v>
      </c>
      <c r="GF113" s="372">
        <f>GE113*(VLOOKUP($GC$9,各项系数!$D$1:$F$143,2,0))</f>
        <v>0.258572103329712</v>
      </c>
      <c r="GG113" s="395">
        <f>IF($BK113&lt;&gt;$GG$9,0,各项系数!$F$76/4*($MS113^2-$MQ113^2)*10^-2*(VLOOKUP($GG$9,各项系数!$D$1:$F$143,3,0))*10^-3*10^2)*各项系数!$J$4</f>
        <v>0</v>
      </c>
      <c r="GH113" s="396">
        <v>1</v>
      </c>
      <c r="GI113" s="397">
        <f t="shared" si="452"/>
        <v>0</v>
      </c>
      <c r="GJ113" s="372">
        <f>GI113*(VLOOKUP($GG$9,各项系数!$D$1:$F$143,2,0))</f>
        <v>0</v>
      </c>
      <c r="GK113" s="395">
        <f>IF($BK113&lt;&gt;$GK$9,0,各项系数!$F$76/4*($MS113^2-$MQ113^2)*10^-2*(VLOOKUP($GK$9,各项系数!$D$1:$F$143,3,0))*10^-3*10^2)*各项系数!$J$4</f>
        <v>0</v>
      </c>
      <c r="GL113" s="396">
        <v>1</v>
      </c>
      <c r="GM113" s="397">
        <f t="shared" si="453"/>
        <v>0</v>
      </c>
      <c r="GN113" s="372">
        <f>GM113*(VLOOKUP($GK$9,各项系数!$D$1:$F$143,2,0))</f>
        <v>0</v>
      </c>
      <c r="GO113" s="397">
        <f t="shared" si="454"/>
        <v>0.0200443490953265</v>
      </c>
      <c r="GP113" s="397">
        <f t="shared" si="455"/>
        <v>0.258572103329712</v>
      </c>
      <c r="GQ113" s="408">
        <f>各项系数!$F$76/4*($MU113^2-$MS113^2)*10^-2*(VLOOKUP($S113,各项系数!$D$1:$F$143,3,0))*10^-3*10^2*各项系数!$J$4</f>
        <v>1.36476767230677</v>
      </c>
      <c r="GR113" s="396">
        <v>1</v>
      </c>
      <c r="GS113" s="397">
        <f t="shared" si="456"/>
        <v>1.36476767230677</v>
      </c>
      <c r="GT113" s="397">
        <f t="shared" si="457"/>
        <v>0</v>
      </c>
      <c r="GU113" s="397">
        <f>ROUND($GS113*(VLOOKUP($S113,各项系数!$D$1:$F$143,2,0))+$E$3*GS113,GT113)</f>
        <v>8</v>
      </c>
      <c r="GV113" s="406">
        <f>各项系数!$F$76/4*($MT113^2-$MS113^2)*10^-2*(VLOOKUP($GV$9,各项系数!$D$1:$F$143,3,0))*10^-3*10^2*各项系数!$J$4*PI()/4*R113</f>
        <v>0.103047117757471</v>
      </c>
      <c r="GW113" s="396">
        <v>1</v>
      </c>
      <c r="GX113" s="397">
        <f t="shared" si="458"/>
        <v>0.103047117757471</v>
      </c>
      <c r="GY113" s="397">
        <f>$GX113*(VLOOKUP($GV$9,各项系数!$D$1:$F$143,2,0))</f>
        <v>6.95568044862929</v>
      </c>
      <c r="GZ113" s="408">
        <f>各项系数!$F$76/4*($MV113^2-$MS113^2)*10^-2*(VLOOKUP($GZ$9,各项系数!$D$1:$F$143,3,0))*10^-3*10^2*各项系数!$J$4</f>
        <v>1.29789178766677</v>
      </c>
      <c r="HA113" s="396">
        <v>1</v>
      </c>
      <c r="HB113" s="397">
        <f t="shared" si="412"/>
        <v>1.29789178766677</v>
      </c>
      <c r="HC113" s="397">
        <f>HB113*(VLOOKUP($GZ$9,各项系数!$D$1:$F$143,2,0))</f>
        <v>22.0641603903351</v>
      </c>
      <c r="HD113" s="408">
        <f>各项系数!$F$76/4*($MW113^2-$MT113^2)*10^-2*(VLOOKUP($HD$9,各项系数!$D$1:$F$143,3,0))*10^-3*10^2*各项系数!$J$4</f>
        <v>1.30057504708494</v>
      </c>
      <c r="HE113" s="396">
        <v>1</v>
      </c>
      <c r="HF113" s="397">
        <f t="shared" si="413"/>
        <v>1.30057504708494</v>
      </c>
      <c r="HG113" s="397">
        <f>HF113*(VLOOKUP($HD$9,各项系数!$D$1:$F$143,2,0))</f>
        <v>22.109775800444</v>
      </c>
      <c r="HH113" s="408">
        <f>各项系数!$F$76/4*($MV113^2-$MS113^2)*10^-2*(VLOOKUP($HH$9,各项系数!$D$1:$F$143,3,0))*10^-3*10^2*各项系数!$J$4</f>
        <v>1.29789178766677</v>
      </c>
      <c r="HI113" s="397">
        <v>1</v>
      </c>
      <c r="HJ113" s="397">
        <f t="shared" si="414"/>
        <v>1.29789178766677</v>
      </c>
      <c r="HK113" s="397">
        <f>HJ113*(VLOOKUP($HH$9,各项系数!$D$1:$F$143,2,0))</f>
        <v>22.0641603903351</v>
      </c>
      <c r="HL113" s="408">
        <f>各项系数!$F$76/4*($MW113^2-$MT113^2)*10^-2*(VLOOKUP($HL$9,各项系数!$D$1:$F$143,3,0))*10^-3*10^2*各项系数!$J$4</f>
        <v>1.30057504708494</v>
      </c>
      <c r="HM113" s="397">
        <v>1</v>
      </c>
      <c r="HN113" s="397">
        <f t="shared" si="362"/>
        <v>1.30057504708494</v>
      </c>
      <c r="HO113" s="397">
        <f>HN113*(VLOOKUP($HL$9,各项系数!$D$1:$F$143,2,0))</f>
        <v>22.109775800444</v>
      </c>
      <c r="HP113" s="408">
        <f>各项系数!$F$76/4*($MV113^2-$MS113^2)*10^-2*(VLOOKUP(AN113,各项系数!$D$1:$F$143,3,0))*10^-3*10^2*各项系数!$J$4</f>
        <v>1.31579374335873</v>
      </c>
      <c r="HQ113" s="396">
        <v>1</v>
      </c>
      <c r="HR113" s="397">
        <f t="shared" si="459"/>
        <v>1.31579374335873</v>
      </c>
      <c r="HS113" s="397">
        <f>HR113*(VLOOKUP(AN113,各项系数!$D$1:$F$143,2,0))</f>
        <v>13.1579374335873</v>
      </c>
      <c r="HT113" s="408">
        <f>各项系数!$F$76/4*($MW113^2-$MT113^2)*10^-2*(VLOOKUP(AN113,各项系数!$D$1:$F$143,3,0))*10^-3*10^2*各项系数!$J$4</f>
        <v>1.31851401325163</v>
      </c>
      <c r="HU113" s="396">
        <v>1</v>
      </c>
      <c r="HV113" s="397">
        <f t="shared" si="460"/>
        <v>1.31851401325163</v>
      </c>
      <c r="HW113" s="397">
        <f>HV113*(VLOOKUP(AN113,各项系数!$D$1:$F$143,2,0))</f>
        <v>13.1851401325163</v>
      </c>
      <c r="HX113" s="408">
        <f>各项系数!$F$76/4*($MV113^2-$MS113^2)*10^-2*(VLOOKUP($HX$9,各项系数!$D$1:$F$143,3,0))*10^-3*10^2*各项系数!$J$4</f>
        <v>1.31579374335873</v>
      </c>
      <c r="HY113" s="397">
        <v>1</v>
      </c>
      <c r="HZ113" s="397">
        <f t="shared" si="461"/>
        <v>1.31579374335873</v>
      </c>
      <c r="IA113" s="397">
        <f>HZ113*(VLOOKUP($HX$9,各项系数!$D$1:$F$143,2,0))</f>
        <v>14.473731176946</v>
      </c>
      <c r="IB113" s="408">
        <f>各项系数!$F$76/4*($MW113^2-$MT113^2)*10^-2*(VLOOKUP($IB$9,各项系数!$D$1:$F$143,3,0))*10^-3*10^2*各项系数!$J$4</f>
        <v>1.31851401325163</v>
      </c>
      <c r="IC113" s="397">
        <v>1</v>
      </c>
      <c r="ID113" s="397">
        <f t="shared" si="462"/>
        <v>1.31851401325163</v>
      </c>
      <c r="IE113" s="397">
        <f>ID113*(VLOOKUP($IB$9,各项系数!$D$1:$F$143,2,0))</f>
        <v>14.5036541457679</v>
      </c>
      <c r="IF113" s="395"/>
      <c r="IG113" s="408">
        <f t="shared" si="415"/>
        <v>0.149265017426797</v>
      </c>
      <c r="IH113" s="396">
        <v>1</v>
      </c>
      <c r="II113" s="397">
        <f t="shared" si="463"/>
        <v>0.149265017426797</v>
      </c>
      <c r="IJ113" s="397">
        <f>II113*(VLOOKUP($IG$8,各项系数!$D$1:$F$143,2,0))</f>
        <v>3.73162543566993</v>
      </c>
      <c r="IK113" s="408">
        <f>(各项系数!$F$76/4*($MX113^2-$MK113^2)*$EG113)*10^-2*(VLOOKUP($IG$8,各项系数!$D$1:$F$143,3,0))*10^-3*10^2*各项系数!$J$4</f>
        <v>0.120560744955396</v>
      </c>
      <c r="IL113" s="396">
        <f>IK113*(VLOOKUP($IG$8,各项系数!$D$1:$F$143,2,0))</f>
        <v>3.01401862388489</v>
      </c>
      <c r="IM113" s="397">
        <f>(各项系数!$F$76/4*(($MM113+3*$X113)^2-MM113^2)*$EO113)*10^-2*(VLOOKUP($IG$8,各项系数!$D$1:$F$143,3,0))*10^-3*10^2*各项系数!$J$4</f>
        <v>0.0287042724714015</v>
      </c>
      <c r="IN113" s="396">
        <f>IM113*(VLOOKUP($IG$8,各项系数!$D$1:$F$143,2,0))</f>
        <v>0.717606811785039</v>
      </c>
      <c r="IO113" s="408">
        <f>各项系数!$F$76/4*($MZ113^2-$MX113^2)*10^-2*(VLOOKUP(L113,各项系数!$D$1:$F$143,3,0))*10^-3*10^2*$ES113*各项系数!$J$4</f>
        <v>0.940111602963736</v>
      </c>
      <c r="IP113" s="396">
        <v>1</v>
      </c>
      <c r="IQ113" s="397">
        <f t="shared" si="464"/>
        <v>0.940111602963736</v>
      </c>
      <c r="IR113" s="372">
        <f>IQ113*(VLOOKUP(L113,各项系数!$D$1:$F$143,2,0))</f>
        <v>9.5891383502301</v>
      </c>
      <c r="IS113" s="408">
        <f>IF($L113&lt;&gt;$IS$9,0,各项系数!$F$76/4*($MZ113^2-$MX113^2)*10^-2*各项系数!$F$12*10^-3*10^2)*$ES113*各项系数!$J$4</f>
        <v>0</v>
      </c>
      <c r="IT113" s="396">
        <v>1</v>
      </c>
      <c r="IU113" s="397">
        <f t="shared" si="465"/>
        <v>0</v>
      </c>
      <c r="IV113" s="372">
        <f>IU113*各项系数!$E$12</f>
        <v>0</v>
      </c>
      <c r="IW113" s="395">
        <f t="shared" si="466"/>
        <v>0.940111602963736</v>
      </c>
      <c r="IX113" s="395">
        <f t="shared" si="467"/>
        <v>9.5891383502301</v>
      </c>
      <c r="IY113" s="447">
        <f>各项系数!$F$76/4*($NB113^2-$MZ113^2*$EG113-$NA113^2*$EO113)*10^-2</f>
        <v>13.8262959562336</v>
      </c>
      <c r="IZ113" s="366">
        <f t="shared" si="487"/>
        <v>1</v>
      </c>
      <c r="JA113" s="367">
        <f t="shared" si="363"/>
        <v>13.8262959562336</v>
      </c>
      <c r="JB113" s="371">
        <f>IF($DE113&lt;&gt;$JB$9,0,$JA113*各项系数!$F$32*10^-3*10^2)*各项系数!$J$4</f>
        <v>0</v>
      </c>
      <c r="JC113" s="127">
        <v>1</v>
      </c>
      <c r="JD113" s="95">
        <f t="shared" si="468"/>
        <v>0</v>
      </c>
      <c r="JE113" s="341">
        <f>JD113*各项系数!$E$32</f>
        <v>0</v>
      </c>
      <c r="JF113" s="364">
        <f>IF($DE113&lt;&gt;$JF$9,0,$JA113*VLOOKUP($JF$9,各项系数!$D$4:$F$540,2,0)*10^-3*10^2)*各项系数!$J$4</f>
        <v>6.8785822382262</v>
      </c>
      <c r="JG113" s="123">
        <v>1</v>
      </c>
      <c r="JH113" s="251">
        <f t="shared" si="364"/>
        <v>6.8785822382262</v>
      </c>
      <c r="JI113" s="339">
        <f>JH113*VLOOKUP($JF$9,各项系数!$D$4:$F$540,3,0)</f>
        <v>8.25429868587144</v>
      </c>
      <c r="JJ113" s="371">
        <f t="shared" si="469"/>
        <v>6.8785822382262</v>
      </c>
      <c r="JK113" s="95">
        <f t="shared" si="470"/>
        <v>8.25429868587144</v>
      </c>
      <c r="JL113" s="371">
        <f>IF($DF113&lt;&gt;$JL$9,0,各项系数!$F$76/4*($NE113^2-$NC113^2)*10^-2*各项系数!$F$39*10^-3*10^2)*各项系数!$J$4</f>
        <v>0.00851786791461715</v>
      </c>
      <c r="JM113" s="127">
        <v>1</v>
      </c>
      <c r="JN113" s="95">
        <f t="shared" si="471"/>
        <v>0.00851786791461715</v>
      </c>
      <c r="JO113" s="341">
        <f>JN113*各项系数!$E$39</f>
        <v>0.170357358292343</v>
      </c>
      <c r="JP113" s="371">
        <f>IF($DF113&lt;&gt;$JP$9,0,各项系数!$F$76/4*($NE113^2-$NC113^2)*10^-2*各项系数!$F$36*10^-3*10^2)*各项系数!$J$4</f>
        <v>0</v>
      </c>
      <c r="JQ113" s="127">
        <v>1</v>
      </c>
      <c r="JR113" s="95">
        <f t="shared" si="472"/>
        <v>0</v>
      </c>
      <c r="JS113" s="341">
        <f>JR113*各项系数!$E$36</f>
        <v>0</v>
      </c>
      <c r="JT113" s="371">
        <f>IF($DF113&lt;&gt;$JT$9,0,各项系数!$F$76/4*($NE113^2-$NC113^2)*10^-2*各项系数!$F$40*10^-3*10^2)*各项系数!$J$4</f>
        <v>0</v>
      </c>
      <c r="JU113" s="127">
        <v>1</v>
      </c>
      <c r="JV113" s="95">
        <f t="shared" si="473"/>
        <v>0</v>
      </c>
      <c r="JW113" s="341">
        <f>JV113*各项系数!$E$40</f>
        <v>0</v>
      </c>
      <c r="JX113" s="371">
        <f>IF($DF113&lt;&gt;$JX$9,0,各项系数!$F$76/4*($NE113^2-$NC113^2)*10^-2*各项系数!$F$38*10^-3*10^2)*各项系数!$J$4</f>
        <v>0</v>
      </c>
      <c r="JY113" s="127">
        <v>1</v>
      </c>
      <c r="JZ113" s="95">
        <f t="shared" si="474"/>
        <v>0</v>
      </c>
      <c r="KA113" s="341">
        <f>JZ113*各项系数!$E$38</f>
        <v>0</v>
      </c>
      <c r="KB113" s="371">
        <f>IF($DF113&lt;&gt;$KB$9,0,各项系数!$F$76/4*($NE113^2-$NC113^2)*10^-2*各项系数!$F$41*10^-3*10^2)*各项系数!$J$4</f>
        <v>0</v>
      </c>
      <c r="KC113" s="127">
        <v>1</v>
      </c>
      <c r="KD113" s="95">
        <f t="shared" si="475"/>
        <v>0</v>
      </c>
      <c r="KE113" s="341">
        <f>KD113*各项系数!$E$41</f>
        <v>0</v>
      </c>
      <c r="KF113" s="95">
        <f t="shared" si="476"/>
        <v>0.00851786791461715</v>
      </c>
      <c r="KG113" s="95">
        <f t="shared" si="477"/>
        <v>0.170357358292343</v>
      </c>
      <c r="KH113" s="304">
        <f>各项系数!$F$76/4*($NG113^2-$NE113^2)*10^-2*各项系数!$F$44*10^-3*10^2*各项系数!$J$4*0.75*$U113</f>
        <v>2.1054789460245</v>
      </c>
      <c r="KI113" s="127">
        <v>1</v>
      </c>
      <c r="KJ113" s="95">
        <f t="shared" si="478"/>
        <v>2.1054789460245</v>
      </c>
      <c r="KK113" s="95">
        <f>ROUND(KJ113*各项系数!$E$43,GT113)</f>
        <v>12</v>
      </c>
      <c r="KL113" s="302">
        <f>各项系数!$F$76/4*($NF113^2-$NE113^2)*10^-2*各项系数!$F$46*10^-3*10^2*各项系数!$J$4*PI()/4*R113</f>
        <v>0.106009801117539</v>
      </c>
      <c r="KM113" s="127">
        <v>1</v>
      </c>
      <c r="KN113" s="95">
        <f t="shared" si="479"/>
        <v>0.106009801117539</v>
      </c>
      <c r="KO113" s="95">
        <f>KN113*各项系数!$E$46</f>
        <v>7.15566157543388</v>
      </c>
      <c r="KP113" s="304">
        <f>各项系数!$F$76/4*($NH113^2-$NE113^2)*10^-2*(VLOOKUP($KP$9,各项系数!$D$1:$F$143,3,0))*10^-3*10^2*各项系数!$J$4</f>
        <v>1.33346174532892</v>
      </c>
      <c r="KQ113" s="127">
        <v>1</v>
      </c>
      <c r="KR113" s="95">
        <f t="shared" si="416"/>
        <v>1.33346174532892</v>
      </c>
      <c r="KS113" s="95">
        <f>KR113*(VLOOKUP($KP$9,各项系数!$D$1:$F$143,2,0))</f>
        <v>22.6688496705916</v>
      </c>
      <c r="KT113" s="304">
        <f>各项系数!$F$76/4*($NI113^2-$NF113^2)*10^-2*(VLOOKUP($KT$9,各项系数!$D$1:$F$143,3,0))*10^-3*10^2*各项系数!$J$4</f>
        <v>1.33614500474709</v>
      </c>
      <c r="KU113" s="127">
        <v>1</v>
      </c>
      <c r="KV113" s="95">
        <f t="shared" si="417"/>
        <v>1.33614500474709</v>
      </c>
      <c r="KW113" s="95">
        <f>KV113*(VLOOKUP($KT$9,各项系数!$D$1:$F$143,2,0))</f>
        <v>22.7144650807005</v>
      </c>
      <c r="KX113" s="95">
        <f>各项系数!$F$76/4*($NH113^2-$NE113^2)*10^-2*(VLOOKUP($KX$9,各项系数!$D$1:$F$143,3,0))*10^-3*10^2*各项系数!$J$4</f>
        <v>1.33346174532892</v>
      </c>
      <c r="KY113" s="481">
        <v>1</v>
      </c>
      <c r="KZ113" s="95">
        <f t="shared" si="418"/>
        <v>1.33346174532892</v>
      </c>
      <c r="LA113" s="95">
        <f>KZ113*(VLOOKUP($KX$9,各项系数!$D$1:$F$143,2,0))</f>
        <v>22.6688496705916</v>
      </c>
      <c r="LB113" s="95">
        <f>各项系数!$F$76/4*($NI113^2-$NF113^2)*10^-2*(VLOOKUP($LB$9,各项系数!$D$1:$F$143,3,0))*10^-3*10^2*各项系数!$J$4</f>
        <v>1.33614500474709</v>
      </c>
      <c r="LC113" s="481">
        <v>1</v>
      </c>
      <c r="LD113" s="95">
        <f t="shared" si="419"/>
        <v>1.33614500474709</v>
      </c>
      <c r="LE113" s="95">
        <f>LD113*(VLOOKUP($LB$9,各项系数!$D$1:$F$143,2,0))</f>
        <v>22.7144650807005</v>
      </c>
      <c r="LF113" s="304">
        <f>各项系数!$F$76/4*($NH113^2-$NE113^2)*10^-2*(VLOOKUP(AN113,各项系数!$D$1:$F$143,3,0))*10^-3*10^2*各项系数!$J$4</f>
        <v>1.35185432112656</v>
      </c>
      <c r="LG113" s="127">
        <v>1</v>
      </c>
      <c r="LH113" s="95">
        <f t="shared" si="480"/>
        <v>1.35185432112656</v>
      </c>
      <c r="LI113" s="95">
        <f>LH113*(VLOOKUP(AN113,各项系数!$D$1:$F$143,2,0))</f>
        <v>13.5185432112656</v>
      </c>
      <c r="LJ113" s="304">
        <f>各项系数!$F$76/4*($NI113^2-$NF113^2)*10^-2*(VLOOKUP(AN113,各项系数!$D$1:$F$143,3,0))*10^-3*10^2*各项系数!$J$4</f>
        <v>1.35457459101946</v>
      </c>
      <c r="LK113" s="127">
        <v>1</v>
      </c>
      <c r="LL113" s="95">
        <f t="shared" si="481"/>
        <v>1.35457459101946</v>
      </c>
      <c r="LM113" s="95">
        <f>LL113*(VLOOKUP(AN113,各项系数!$D$1:$F$143,2,0))</f>
        <v>13.5457459101946</v>
      </c>
      <c r="LN113" s="95">
        <f>各项系数!$F$76/4*($NH113^2-$NE113^2)*10^-2*(VLOOKUP($LN$9,各项系数!$D$1:$F$143,3,0))*10^-3*10^2*各项系数!$J$4</f>
        <v>1.35185432112656</v>
      </c>
      <c r="LO113" s="481">
        <v>1</v>
      </c>
      <c r="LP113" s="95">
        <f t="shared" si="482"/>
        <v>1.35185432112656</v>
      </c>
      <c r="LQ113" s="95">
        <f>LP113*(VLOOKUP($LN$9,各项系数!$D$1:$F$143,2,0))</f>
        <v>14.8703975323921</v>
      </c>
      <c r="LR113" s="95">
        <f>各项系数!$F$76/4*($NI113^2-$NF113^2)*10^-2*(VLOOKUP($LR$9,各项系数!$D$1:$F$143,3,0))*10^-3*10^2*各项系数!$J$4</f>
        <v>1.35457459101946</v>
      </c>
      <c r="LS113" s="481">
        <v>1</v>
      </c>
      <c r="LT113" s="95">
        <f t="shared" si="483"/>
        <v>1.35457459101946</v>
      </c>
      <c r="LU113" s="95">
        <f>LT113*(VLOOKUP($LR$9,各项系数!$D$1:$F$143,2,0))</f>
        <v>14.9003205012141</v>
      </c>
      <c r="LV113" s="501">
        <f t="shared" si="420"/>
        <v>1882.95716235</v>
      </c>
      <c r="LW113" s="501">
        <f t="shared" si="421"/>
        <v>1418.02946794</v>
      </c>
      <c r="LX113" s="501">
        <f t="shared" si="422"/>
        <v>42.4910719349485</v>
      </c>
      <c r="LY113" s="519">
        <f t="shared" si="423"/>
        <v>464.92769441</v>
      </c>
      <c r="LZ113" s="516">
        <f t="shared" si="365"/>
        <v>1</v>
      </c>
      <c r="MA113" s="517">
        <f t="shared" si="366"/>
        <v>1882.95716235</v>
      </c>
      <c r="MB113" s="501">
        <f t="shared" si="424"/>
        <v>28.26927378</v>
      </c>
      <c r="MC113" s="501">
        <f t="shared" si="425"/>
        <v>317.50291857</v>
      </c>
      <c r="MD113" s="501">
        <f t="shared" si="426"/>
        <v>229.44243407</v>
      </c>
      <c r="ME113" s="501">
        <f t="shared" si="427"/>
        <v>17.0919624472503</v>
      </c>
      <c r="MF113" s="501">
        <f t="shared" si="428"/>
        <v>88.0604845</v>
      </c>
      <c r="MG113" s="527">
        <f t="shared" si="429"/>
        <v>1</v>
      </c>
      <c r="MH113" s="517">
        <f t="shared" si="367"/>
        <v>317.50291857</v>
      </c>
      <c r="MI113" s="501">
        <f t="shared" si="430"/>
        <v>20.106150091257</v>
      </c>
      <c r="MJ113" s="95">
        <f t="shared" si="368"/>
        <v>28.26927378</v>
      </c>
      <c r="MK113" s="95">
        <f t="shared" si="431"/>
        <v>28.26927378</v>
      </c>
      <c r="ML113" s="95">
        <f t="shared" si="484"/>
        <v>20.1061500912609</v>
      </c>
      <c r="MM113" s="95">
        <f t="shared" si="369"/>
        <v>20.106150091257</v>
      </c>
      <c r="MN113" s="95">
        <f t="shared" si="370"/>
        <v>32.66927378</v>
      </c>
      <c r="MO113" s="251">
        <f t="shared" si="432"/>
        <v>23.506150091257</v>
      </c>
      <c r="MP113" s="95">
        <f t="shared" si="433"/>
        <v>73.51595272</v>
      </c>
      <c r="MQ113" s="95">
        <f t="shared" si="485"/>
        <v>73.51595272</v>
      </c>
      <c r="MR113" s="314">
        <f t="shared" si="434"/>
        <v>73.51595272</v>
      </c>
      <c r="MS113" s="530">
        <f t="shared" si="371"/>
        <v>73.69195272</v>
      </c>
      <c r="MT113" s="532">
        <f t="shared" si="372"/>
        <v>73.85195272</v>
      </c>
      <c r="MU113" s="532">
        <f t="shared" si="373"/>
        <v>75.19195272</v>
      </c>
      <c r="MV113" s="532">
        <f t="shared" si="374"/>
        <v>81.09195272</v>
      </c>
      <c r="MW113" s="532">
        <f t="shared" si="375"/>
        <v>81.25195272</v>
      </c>
      <c r="MX113" s="314">
        <f t="shared" si="376"/>
        <v>28.86927378</v>
      </c>
      <c r="MY113" s="314">
        <f t="shared" si="377"/>
        <v>20.706150091257</v>
      </c>
      <c r="MZ113" s="95">
        <f t="shared" si="378"/>
        <v>33.26927378</v>
      </c>
      <c r="NA113" s="95">
        <f t="shared" si="379"/>
        <v>25.106150091257</v>
      </c>
      <c r="NB113" s="95">
        <f t="shared" si="435"/>
        <v>75.57295272</v>
      </c>
      <c r="NC113" s="314">
        <f t="shared" si="486"/>
        <v>75.57295272</v>
      </c>
      <c r="ND113" s="314">
        <f t="shared" si="436"/>
        <v>75.57295272</v>
      </c>
      <c r="NE113" s="537">
        <f t="shared" si="437"/>
        <v>75.81295272</v>
      </c>
      <c r="NF113" s="532">
        <f t="shared" si="380"/>
        <v>75.97295272</v>
      </c>
      <c r="NG113" s="180">
        <f t="shared" si="381"/>
        <v>77.31295272</v>
      </c>
      <c r="NH113" s="314">
        <f t="shared" si="382"/>
        <v>83.21295272</v>
      </c>
      <c r="NI113" s="532">
        <f t="shared" si="383"/>
        <v>83.37295272</v>
      </c>
      <c r="NK113" s="541">
        <f t="shared" si="384"/>
        <v>18.6838518624323</v>
      </c>
      <c r="NL113" s="541">
        <f t="shared" si="385"/>
        <v>1000.6560784388</v>
      </c>
      <c r="NM113" s="541">
        <f t="shared" si="386"/>
        <v>18.6838518624323</v>
      </c>
      <c r="NN113" s="541">
        <f t="shared" si="387"/>
        <v>1001.97187218216</v>
      </c>
      <c r="NO113" s="541">
        <f t="shared" si="388"/>
        <v>24.2111386107831</v>
      </c>
      <c r="NP113" s="541">
        <f t="shared" si="389"/>
        <v>1008.92533539094</v>
      </c>
      <c r="NQ113" s="541">
        <f t="shared" si="390"/>
        <v>24.2111386107831</v>
      </c>
      <c r="NR113" s="541">
        <f t="shared" si="391"/>
        <v>1010.27718971206</v>
      </c>
      <c r="NS113" s="541">
        <f t="shared" si="392"/>
        <v>18.7868989801897</v>
      </c>
      <c r="NT113" s="541">
        <f t="shared" si="393"/>
        <v>18.7868989801897</v>
      </c>
      <c r="NU113" s="541">
        <f t="shared" si="394"/>
        <v>24.3171484119006</v>
      </c>
      <c r="NV113" s="541">
        <f t="shared" si="395"/>
        <v>24.3171484119006</v>
      </c>
      <c r="NW113" s="11">
        <f t="shared" si="396"/>
        <v>20.048619534739</v>
      </c>
      <c r="NX113" s="11">
        <f>各项系数!$M$9*NK113</f>
        <v>5.60515555872968</v>
      </c>
      <c r="NY113" s="11">
        <f t="shared" si="397"/>
        <v>18.7868989801897</v>
      </c>
    </row>
    <row r="114" s="11" customFormat="1" customHeight="1" spans="1:389">
      <c r="A114" s="81"/>
      <c r="B114" s="82"/>
      <c r="C114" s="83"/>
      <c r="D114" s="261" t="s">
        <v>932</v>
      </c>
      <c r="E114" s="550">
        <f t="shared" si="503"/>
        <v>90.56237976</v>
      </c>
      <c r="F114" s="84">
        <f>$F$34</f>
        <v>357.206594414564</v>
      </c>
      <c r="G114" s="74"/>
      <c r="H114" s="23"/>
      <c r="I114" s="174">
        <f>$F$31</f>
        <v>245.118138379664</v>
      </c>
      <c r="J114" s="78"/>
      <c r="K114" s="23"/>
      <c r="L114" s="128" t="s">
        <v>467</v>
      </c>
      <c r="M114" s="119">
        <f t="shared" si="339"/>
        <v>2.4</v>
      </c>
      <c r="N114" s="119">
        <f t="shared" si="501"/>
        <v>1.8</v>
      </c>
      <c r="O114" s="74">
        <f t="shared" si="502"/>
        <v>0.08</v>
      </c>
      <c r="P114" s="120">
        <v>0.1</v>
      </c>
      <c r="Q114" s="165">
        <f t="shared" ref="Q114:Q123" si="512">$Q$12</f>
        <v>0.1</v>
      </c>
      <c r="R114" s="182">
        <v>0.8</v>
      </c>
      <c r="S114" s="173" t="str">
        <f>各项系数!$D$43</f>
        <v>钢带</v>
      </c>
      <c r="T114" s="78">
        <v>0.5</v>
      </c>
      <c r="U114" s="78">
        <v>2</v>
      </c>
      <c r="V114" s="172"/>
      <c r="W114" s="174">
        <v>3.9</v>
      </c>
      <c r="X114" s="168">
        <f t="shared" ref="X114:X123" si="513">$X$12</f>
        <v>0.2</v>
      </c>
      <c r="Y114" s="221"/>
      <c r="Z114" s="222"/>
      <c r="AA114" s="223">
        <f>$AA$34</f>
        <v>1.03</v>
      </c>
      <c r="AB114" s="186">
        <f>PI()*EJ114*EJ114/4*EH114*(1-H114)*AA114*各项系数!$F$5*各项系数!$J$4*10^-7</f>
        <v>5.56955783990862</v>
      </c>
      <c r="AC114" s="224">
        <f t="shared" si="504"/>
        <v>357.206594414564</v>
      </c>
      <c r="AD114" s="186">
        <f t="shared" si="341"/>
        <v>629.645170725237</v>
      </c>
      <c r="AE114" s="186">
        <f>POWER(4*EU114/PI()/EG114/10^-7/EH114/(1-H114)/各项系数!$F$5/各项系数!$J$4,0.5)</f>
        <v>362.525099304928</v>
      </c>
      <c r="AF114" s="225">
        <f>$AA$31</f>
        <v>1.02</v>
      </c>
      <c r="AG114" s="23">
        <f>IF(EM114=0,0,PI()*ER114*ER114/4*EP114*(1-K114)*(1+AF114)*各项系数!$F$5*各项系数!$J$4*10^-7)</f>
        <v>5.14335885944488</v>
      </c>
      <c r="AH114" s="23">
        <f t="shared" si="505"/>
        <v>245.118138379664</v>
      </c>
      <c r="AI114" s="85">
        <f t="shared" si="398"/>
        <v>293.609962330657</v>
      </c>
      <c r="AJ114" s="85">
        <f>IF(OR(EP114="",EP114=0),0,POWER(4*EW114/PI()/EO114/10^-7/EP114/(1-K114)/各项系数!$F$5/各项系数!$J$4,0.5))</f>
        <v>247.557184904753</v>
      </c>
      <c r="AK114" s="23">
        <f t="shared" si="342"/>
        <v>19.3058151220198</v>
      </c>
      <c r="AL114" s="23">
        <f t="shared" si="506"/>
        <v>1336.31782016989</v>
      </c>
      <c r="AM114" s="127">
        <f t="shared" si="507"/>
        <v>630</v>
      </c>
      <c r="AN114" s="128" t="s">
        <v>486</v>
      </c>
      <c r="AO114" s="176">
        <f>AP114+各项系数!$M$9*$NK114</f>
        <v>1310.11550997048</v>
      </c>
      <c r="AP114" s="176">
        <f>AQ114*(1+$BI114+(VLOOKUP($AM114,$A$12:$B$323,2,0))+各项系数!$J$6+各项系数!$M$5)*(1+$E$2)</f>
        <v>1302.92453983375</v>
      </c>
      <c r="AQ114" s="262">
        <f>AR114+各项系数!$L$9*$NK114</f>
        <v>1329.51483656505</v>
      </c>
      <c r="AR114" s="262">
        <f>AS114*(1+$BJ114+各项系数!$J$5+各项系数!$L$5)</f>
        <v>1322.32386642832</v>
      </c>
      <c r="AS114" s="262">
        <f t="shared" si="399"/>
        <v>1296.39594747874</v>
      </c>
      <c r="AT114" s="176">
        <f>AU114+各项系数!$M$9*$NM114</f>
        <v>1320.6234479138</v>
      </c>
      <c r="AU114" s="176">
        <f>AV114*(1+$BI114+(VLOOKUP($AM114,$A$12:$B$323,2,0))+各项系数!$J$6+各项系数!$M$5)*(1+$E$2)</f>
        <v>1313.43247777706</v>
      </c>
      <c r="AV114" s="262">
        <f>AW114+各项系数!$L$9*$NM114</f>
        <v>1340.23722222149</v>
      </c>
      <c r="AW114" s="262">
        <f>AX114*(1+$BJ114+各项系数!$J$5+各项系数!$L$5)</f>
        <v>1333.04625208476</v>
      </c>
      <c r="AX114" s="262">
        <f t="shared" si="400"/>
        <v>1306.90809027918</v>
      </c>
      <c r="AY114" s="176">
        <f>AZ114+各项系数!$M$9*$NS114</f>
        <v>1318.02068011052</v>
      </c>
      <c r="AZ114" s="176">
        <f>BA114*(1+$BI114+(VLOOKUP($AM114,$A$12:$B$214,2,0))+各项系数!$J$6+各项系数!$M$5)*(1+$E$2)</f>
        <v>1310.79499487619</v>
      </c>
      <c r="BA114" s="262">
        <f>BB114+各项系数!$L$9*$NS114</f>
        <v>1337.54591313897</v>
      </c>
      <c r="BB114" s="262">
        <f>BC114*(1+$BJ114+各项系数!$J$5+各项系数!$L$5)</f>
        <v>1330.32022790464</v>
      </c>
      <c r="BC114" s="262">
        <f t="shared" si="401"/>
        <v>1304.23551755357</v>
      </c>
      <c r="BD114" s="176">
        <f>BE114+各项系数!$M$9*$NS114</f>
        <v>1328.5480182835</v>
      </c>
      <c r="BE114" s="176">
        <f>BF114*(1+$BI114+(VLOOKUP($AM114,$A$12:$B$214,2,0))+各项系数!$J$6+各项系数!$M$5)*(1+$E$2)</f>
        <v>1321.32233304917</v>
      </c>
      <c r="BF114" s="262">
        <f>BG114+各项系数!$L$9*$NS114</f>
        <v>1348.28809494814</v>
      </c>
      <c r="BG114" s="262">
        <f>BH114*(1+$BJ114+各项系数!$J$5+各项系数!$L$5)</f>
        <v>1341.0624097138</v>
      </c>
      <c r="BH114" s="262">
        <f t="shared" si="402"/>
        <v>1314.76706834687</v>
      </c>
      <c r="BI114" s="278"/>
      <c r="BJ114" s="279"/>
      <c r="BK114" s="95" t="s">
        <v>514</v>
      </c>
      <c r="BL114" s="176">
        <f>BM114+各项系数!$M$9*$NM114</f>
        <v>1324.38783917093</v>
      </c>
      <c r="BM114" s="176">
        <f>BN114*(1+$CF114+(VLOOKUP($AM114,$A$12:$B$323,2,0))+各项系数!$J$6+各项系数!$M$5)*(1+$E$2)</f>
        <v>1317.1968690342</v>
      </c>
      <c r="BN114" s="262">
        <f>BO114+各项系数!$L$9*$NM114</f>
        <v>1344.07843779</v>
      </c>
      <c r="BO114" s="262">
        <f>BP114*(1+$CG114+各项系数!$J$5+各项系数!$L$5)</f>
        <v>1336.88746765327</v>
      </c>
      <c r="BP114" s="262">
        <f t="shared" si="403"/>
        <v>1297.94899772162</v>
      </c>
      <c r="BQ114" s="176">
        <f>BR114+各项系数!$M$9*$NM114</f>
        <v>1333.43114719853</v>
      </c>
      <c r="BR114" s="176">
        <f>BS114*(1+$CF114+(VLOOKUP($AM114,$A$12:$B$323,2,0))+各项系数!$J$6+各项系数!$M$5)*(1+$E$2)</f>
        <v>1326.2401770618</v>
      </c>
      <c r="BS114" s="262">
        <f>BT114+各项系数!$L$9*$NM114</f>
        <v>1353.30630312428</v>
      </c>
      <c r="BT114" s="262">
        <f>BU114*(1+$CG114+各项系数!$J$5+各项系数!$L$5)</f>
        <v>1346.11533298755</v>
      </c>
      <c r="BU114" s="262">
        <f t="shared" si="404"/>
        <v>1306.90809027918</v>
      </c>
      <c r="BV114" s="176">
        <f>BW114+各项系数!$M$9*$NT114</f>
        <v>1325.29965796739</v>
      </c>
      <c r="BW114" s="176">
        <f>BX114*(1+$CF114+(VLOOKUP($AM114,$A$12:$B$214,2,0))+各项系数!$J$6+各项系数!$M$5)*(1+$E$2)</f>
        <v>1318.07397273306</v>
      </c>
      <c r="BX114" s="262">
        <f>BY114+各项系数!$L$9*$NT$12</f>
        <v>1344.97344156435</v>
      </c>
      <c r="BY114" s="262">
        <f>BZ114*(1+$CG114+各项系数!$J$5+各项系数!$L$5)</f>
        <v>1344.96517816119</v>
      </c>
      <c r="BZ114" s="262">
        <f t="shared" si="343"/>
        <v>1305.79143510795</v>
      </c>
      <c r="CA114" s="176">
        <f>CB114+各项系数!$M$9*$NT114</f>
        <v>1334.35966215875</v>
      </c>
      <c r="CB114" s="176">
        <f>CC114*(1+$CF114+(VLOOKUP($AM114,$A$12:$B$214,2,0))+各项系数!$J$6+各项系数!$M$5)*(1+$E$2)</f>
        <v>1327.13397692442</v>
      </c>
      <c r="CC114" s="262">
        <f>CD114+各项系数!$L$9*$NT$12</f>
        <v>1354.21834380043</v>
      </c>
      <c r="CD114" s="262">
        <f>CE114*(1+$CG114+各项系数!$J$5+各项系数!$L$5)</f>
        <v>1354.21008039727</v>
      </c>
      <c r="CE114" s="262">
        <f t="shared" si="405"/>
        <v>1314.76706834687</v>
      </c>
      <c r="CF114" s="278">
        <f t="shared" si="406"/>
        <v>0</v>
      </c>
      <c r="CG114" s="278">
        <f t="shared" si="344"/>
        <v>0.01</v>
      </c>
      <c r="CH114" s="127"/>
      <c r="CI114" s="176">
        <f>CJ114+各项系数!$M$9*$NO114</f>
        <v>1332.02408082188</v>
      </c>
      <c r="CJ114" s="176">
        <f>CK114*(1+$DC114+(VLOOKUP($AM114,$A$12:$B$323,2,0))+各项系数!$J$6+各项系数!$M$5)*(1+$E$2)+各项系数!$M$9*$NK114</f>
        <v>1322.76319237496</v>
      </c>
      <c r="CK114" s="262">
        <f>CL114+各项系数!$L$9*$NO114</f>
        <v>1342.42063493697</v>
      </c>
      <c r="CL114" s="262">
        <f>CM114*(1+$DD114+各项系数!$J$5+各项系数!$L$5)</f>
        <v>1333.15974649005</v>
      </c>
      <c r="CM114" s="262">
        <f t="shared" si="345"/>
        <v>1307.01935930397</v>
      </c>
      <c r="CN114" s="176">
        <f>CO114+各项系数!$M$9*$NO114</f>
        <v>1342.13039745284</v>
      </c>
      <c r="CO114" s="176">
        <f>CP114*(1+$DC114+(VLOOKUP($AM114,$A$12:$B$323,2,0))+各项系数!$J$6+各项系数!$M$5)*(1+$E$2)+各项系数!$M$9*$NK114</f>
        <v>1332.86950900592</v>
      </c>
      <c r="CP114" s="262">
        <f>CQ114+各项系数!$L$9*$NO114</f>
        <v>1352.73320292774</v>
      </c>
      <c r="CQ114" s="262">
        <f>CR114*(1+$DD114+各项系数!$J$5+各项系数!$L$5)</f>
        <v>1343.47231448082</v>
      </c>
      <c r="CR114" s="262">
        <f t="shared" si="346"/>
        <v>1317.12972007924</v>
      </c>
      <c r="CS114" s="176">
        <f>CT114+各项系数!$M$9*$NU114</f>
        <v>1332.95144626171</v>
      </c>
      <c r="CT114" s="176">
        <f t="shared" si="347"/>
        <v>1323.65490320713</v>
      </c>
      <c r="CU114" s="262">
        <f>CV114+各项系数!$L$9*$NU114</f>
        <v>1350.66826857871</v>
      </c>
      <c r="CV114" s="262">
        <f>CW114*(1+$DD114+各项系数!$J$5+各项系数!$L$5)</f>
        <v>1341.37172552413</v>
      </c>
      <c r="CW114" s="262">
        <f t="shared" si="348"/>
        <v>1315.07031914131</v>
      </c>
      <c r="CX114" s="176">
        <f>CY114+各项系数!$M$9*$NU114</f>
        <v>1343.75063015291</v>
      </c>
      <c r="CY114" s="176">
        <f t="shared" si="349"/>
        <v>1334.45408709834</v>
      </c>
      <c r="CZ114" s="262">
        <f>DA114+各项系数!$L$9*$NU114</f>
        <v>1361.6878439779</v>
      </c>
      <c r="DA114" s="262">
        <f>DB114*(1+$DD114+各项系数!$J$5+各项系数!$L$5)</f>
        <v>1352.39130092332</v>
      </c>
      <c r="DB114" s="262">
        <f t="shared" si="350"/>
        <v>1325.87382443463</v>
      </c>
      <c r="DC114" s="278">
        <f t="shared" si="498"/>
        <v>0</v>
      </c>
      <c r="DD114" s="278">
        <f t="shared" si="351"/>
        <v>0</v>
      </c>
      <c r="DE114" s="95" t="s">
        <v>498</v>
      </c>
      <c r="DF114" s="95" t="s">
        <v>513</v>
      </c>
      <c r="DG114" s="176">
        <f>DH114+各项系数!$M$9*$NQ114</f>
        <v>1346.44107533584</v>
      </c>
      <c r="DH114" s="176">
        <f>DI114*(1+$EA114+(VLOOKUP($AM114,$A$12:$B$323,2,0))+各项系数!$J$6+各项系数!$M$5)*(1+$E$2)+各项系数!$M$9*$NK114</f>
        <v>1337.18018688892</v>
      </c>
      <c r="DI114" s="262">
        <f>DJ114+各项系数!$L$9*$NQ114</f>
        <v>1357.13185382876</v>
      </c>
      <c r="DJ114" s="262">
        <f>DK114*(1+$EB114+各项系数!$J$5+各项系数!$L$5)</f>
        <v>1347.87096538184</v>
      </c>
      <c r="DK114" s="262">
        <f t="shared" si="352"/>
        <v>1308.61258774936</v>
      </c>
      <c r="DL114" s="176">
        <f>DM114+各项系数!$M$9*$NQ114</f>
        <v>1355.71833835814</v>
      </c>
      <c r="DM114" s="176">
        <f>DN114*(1+$EA114+(VLOOKUP($AM114,$A$12:$B$323,2,0))+各项系数!$J$6+各项系数!$M$5)*(1+$E$2)+各项系数!$M$9*$NK114</f>
        <v>1346.45744991122</v>
      </c>
      <c r="DN114" s="262">
        <f>DO114+各项系数!$L$9*$NQ114</f>
        <v>1366.59844874948</v>
      </c>
      <c r="DO114" s="262">
        <f>DP114*(1+$EB114+各项系数!$J$5+各项系数!$L$5)</f>
        <v>1357.33756030256</v>
      </c>
      <c r="DP114" s="262">
        <f t="shared" si="353"/>
        <v>1317.80345660442</v>
      </c>
      <c r="DQ114" s="176">
        <f>DR114+各项系数!$M$9*$NV114</f>
        <v>1347.45023444631</v>
      </c>
      <c r="DR114" s="176">
        <f t="shared" si="354"/>
        <v>1338.15369139174</v>
      </c>
      <c r="DS114" s="262">
        <f>DT114+各项系数!$L$9*$NV114</f>
        <v>1365.46295039973</v>
      </c>
      <c r="DT114" s="262">
        <f>DU114*(1+$EB114+各项系数!$J$5+各项系数!$L$5)</f>
        <v>1356.16640734516</v>
      </c>
      <c r="DU114" s="262">
        <f t="shared" si="355"/>
        <v>1316.66641489821</v>
      </c>
      <c r="DV114" s="176">
        <f>DW114+各项系数!$M$9*$NV114</f>
        <v>1344.79858466252</v>
      </c>
      <c r="DW114" s="176">
        <f t="shared" si="356"/>
        <v>1335.50204160795</v>
      </c>
      <c r="DX114" s="262">
        <f>DY114+各项系数!$L$9*$NV114</f>
        <v>1362.75718531423</v>
      </c>
      <c r="DY114" s="262">
        <f>DZ114*(1+$EB114+各项系数!$J$5+各项系数!$L$5)</f>
        <v>1353.46064225966</v>
      </c>
      <c r="DZ114" s="262">
        <f t="shared" si="357"/>
        <v>1314.03945850452</v>
      </c>
      <c r="EA114" s="278">
        <f t="shared" si="511"/>
        <v>0</v>
      </c>
      <c r="EB114" s="278">
        <f t="shared" si="358"/>
        <v>0.01</v>
      </c>
      <c r="EC114" s="302" t="str">
        <f t="shared" si="408"/>
        <v>3+1</v>
      </c>
      <c r="ED114" s="304" t="str">
        <f t="shared" si="494"/>
        <v>3*630</v>
      </c>
      <c r="EE114" s="95">
        <f t="shared" si="495"/>
        <v>630</v>
      </c>
      <c r="EF114" s="95" t="str">
        <f>LOOKUP(EH114,{1,7,10,14,19,24,30,37,48,61},{1,"1+6","2+8","4+10","1+6+12","2+8+14","4+10+16","1+6+12+18","3+9+15+21","1+6+12+18+24"})</f>
        <v>1+6+12+18+24</v>
      </c>
      <c r="EG114" s="127">
        <f t="shared" si="359"/>
        <v>3</v>
      </c>
      <c r="EH114" s="262">
        <f>VLOOKUP(EE114,各项系数!$B$87:$C$124,2,0)</f>
        <v>61</v>
      </c>
      <c r="EI114" s="127">
        <f>IF(EH114=0,0,VLOOKUP(EH114,各项系数!$D$142:$E$195,2,0))*1</f>
        <v>9</v>
      </c>
      <c r="EJ114" s="307">
        <f t="shared" si="409"/>
        <v>357.206594414564</v>
      </c>
      <c r="EK114" s="95" t="str">
        <f t="shared" si="508"/>
        <v>1*300</v>
      </c>
      <c r="EL114" s="95" t="str">
        <f t="shared" si="360"/>
        <v>300</v>
      </c>
      <c r="EM114" s="95">
        <f t="shared" si="496"/>
        <v>300</v>
      </c>
      <c r="EN114" s="95" t="str">
        <f>IF(EP114=0,0,LOOKUP(EP114,{1,7,10,14,19,24,30,37,48,61},{1,"1+6","2+8","4+10","1+6+12","2+8+14","4+10+16","1+6+12+18","3+9+15+21","1+6+12+18+24"}))</f>
        <v>1+6+12+18+24</v>
      </c>
      <c r="EO114" s="95" t="str">
        <f t="shared" si="509"/>
        <v>1</v>
      </c>
      <c r="EP114" s="95">
        <f>IF(EM114=0,0,IF(EM114&lt;10,1,IF(AND(EM114&gt;=10,EM114&lt;=35),7,LOOKUP(EM114,{50,70,95,120,150,185,240,300},{10,14,19,24,30,37,48,61})*1)))</f>
        <v>61</v>
      </c>
      <c r="EQ114" s="95">
        <f>IF(EP114=0,0,VLOOKUP(EP114,各项系数!$D$142:$E$195,2,0))*1</f>
        <v>9</v>
      </c>
      <c r="ER114" s="95">
        <f t="shared" si="510"/>
        <v>245.118138379664</v>
      </c>
      <c r="ES114" s="304">
        <f t="shared" si="497"/>
        <v>4</v>
      </c>
      <c r="ET114" s="95">
        <f>VLOOKUP(ES114,各项系数!$D$142:$E$195,2,0)*1</f>
        <v>2.42</v>
      </c>
      <c r="EU114" s="311">
        <f>((各项系数!$F$76/4*$EJ114^2*$EG114*$EH114*1*10^-7)*(1-$H114)*AA114)*(VLOOKUP($EY$9,各项系数!$D$4:$F$143,3,0))*各项系数!$J$4</f>
        <v>16.7086735197258</v>
      </c>
      <c r="EV114" s="312">
        <f>EU114*(VLOOKUP($EY$9,各项系数!$D$4:$F$143,2,0))</f>
        <v>1094.41811554204</v>
      </c>
      <c r="EW114" s="324">
        <f>(IF($EO114=0,0,(各项系数!$F$76/4*$ER114^2*$EO114*$EP114*1*10^-7))*(1-$K114)*$AF114)*(VLOOKUP($EY$9,各项系数!$D$4:$F$143,3,0))*各项系数!$J$4</f>
        <v>2.59714160229395</v>
      </c>
      <c r="EX114" s="325">
        <f>EW114*(VLOOKUP($EY$9,各项系数!$D$4:$F$143,2,0))</f>
        <v>170.112774950253</v>
      </c>
      <c r="EY114" s="251">
        <f>((各项系数!$F$76/4*$EJ114^2*$EG114*$EH114*1*10^-7)*(1-$H114)*AA114+IF($EO114=0,0,(各项系数!$F$76/4*$ER114^2*$EO114*$EP114*1*10^-7))*(1-$K114)*$AF114)*(VLOOKUP($EY$9,各项系数!$D$4:$F$143,3,0))*各项系数!$J$4</f>
        <v>19.3058151220198</v>
      </c>
      <c r="EZ114" s="127">
        <v>1</v>
      </c>
      <c r="FA114" s="95">
        <f t="shared" si="445"/>
        <v>19.3058151220198</v>
      </c>
      <c r="FB114" s="314">
        <f>FA114*(VLOOKUP($EY$9,各项系数!$D$4:$F$143,2,0))</f>
        <v>1264.5308904923</v>
      </c>
      <c r="FC114" s="329"/>
      <c r="FD114" s="304">
        <f>各项系数!$F$76/4*($MN114^2-MK114^2)*10^-2*(VLOOKUP(L114,各项系数!$D$1:$F$143,3,0))*10^-3*10^2*$EG114*各项系数!$J$4</f>
        <v>0.855319761400637</v>
      </c>
      <c r="FE114" s="341">
        <f>FD114*VLOOKUP(L114,各项系数!$D$1:$F$143,2,0)</f>
        <v>8.7242615662865</v>
      </c>
      <c r="FF114" s="127">
        <f>各项系数!$F$76/4*($MO114^2-ML114^2)*10^-2*(VLOOKUP(L114,各项系数!$D$1:$F$143,3,0))*10^-3*10^2*$EO114*各项系数!$J$4</f>
        <v>0.147679459668784</v>
      </c>
      <c r="FG114" s="341">
        <f>FF114*VLOOKUP(L114,各项系数!$D$1:$F$143,2,0)</f>
        <v>1.5063304886216</v>
      </c>
      <c r="FH114" s="304">
        <f t="shared" si="410"/>
        <v>1.00299922106942</v>
      </c>
      <c r="FI114" s="127">
        <v>1</v>
      </c>
      <c r="FJ114" s="95">
        <f t="shared" si="446"/>
        <v>1.00299922106942</v>
      </c>
      <c r="FK114" s="341">
        <f>FJ114*VLOOKUP(L114,各项系数!$D$1:$F$143,2,0)</f>
        <v>10.2305920549081</v>
      </c>
      <c r="FL114" s="304"/>
      <c r="FM114" s="127"/>
      <c r="FN114" s="95"/>
      <c r="FO114" s="341"/>
      <c r="FP114" s="371">
        <f t="shared" si="447"/>
        <v>1.00299922106942</v>
      </c>
      <c r="FQ114" s="371">
        <f t="shared" si="448"/>
        <v>10.2305920549081</v>
      </c>
      <c r="FR114" s="365">
        <f>各项系数!$F$76/4*($MQ114^2-$MN114^2*$EG114-$MO114^2*$EO114)*10^-2</f>
        <v>16.2298319781172</v>
      </c>
      <c r="FS114" s="366">
        <f t="shared" si="411"/>
        <v>1</v>
      </c>
      <c r="FT114" s="367">
        <f t="shared" si="361"/>
        <v>16.2298319781172</v>
      </c>
      <c r="FU114" s="395">
        <f>$FT114*(VLOOKUP($FT$9,各项系数!$D$1:$F$143,3,0))*10^-3*10^2*各项系数!$J$55</f>
        <v>1.93784193818719</v>
      </c>
      <c r="FV114" s="396">
        <v>1</v>
      </c>
      <c r="FW114" s="397">
        <f t="shared" si="449"/>
        <v>1.93784193818719</v>
      </c>
      <c r="FX114" s="372">
        <f>FW114*(VLOOKUP($FT$9,各项系数!$D$1:$F$143,2,0))</f>
        <v>5.81352581456158</v>
      </c>
      <c r="FY114" s="395">
        <f>IF($BK114&lt;&gt;$FY$9,0,各项系数!$F$76/4*($MS114^2-$MQ114^2)*10^-2*(VLOOKUP($FY$9,各项系数!$D$1:$F$143,3,0))*10^-3*10^2)*各项系数!$J$4</f>
        <v>0</v>
      </c>
      <c r="FZ114" s="396">
        <v>1</v>
      </c>
      <c r="GA114" s="397">
        <f t="shared" si="450"/>
        <v>0</v>
      </c>
      <c r="GB114" s="372">
        <f>GA114*(VLOOKUP($FY$9,各项系数!$D$1:$F$143,2,0))</f>
        <v>0</v>
      </c>
      <c r="GC114" s="395">
        <f>IF($BK114&lt;&gt;$GC$9,0,各项系数!$F$76/4*($MS114^2-$MQ114^2)*10^-2*(VLOOKUP($GC$9,各项系数!$D$1:$F$143,3,0))*10^-3*10^2)*各项系数!$J$4</f>
        <v>0.0225144719530636</v>
      </c>
      <c r="GD114" s="396">
        <v>1</v>
      </c>
      <c r="GE114" s="397">
        <f t="shared" si="451"/>
        <v>0.0225144719530636</v>
      </c>
      <c r="GF114" s="372">
        <f>GE114*(VLOOKUP($GC$9,各项系数!$D$1:$F$143,2,0))</f>
        <v>0.29043668819452</v>
      </c>
      <c r="GG114" s="395">
        <f>IF($BK114&lt;&gt;$GG$9,0,各项系数!$F$76/4*($MS114^2-$MQ114^2)*10^-2*(VLOOKUP($GG$9,各项系数!$D$1:$F$143,3,0))*10^-3*10^2)*各项系数!$J$4</f>
        <v>0</v>
      </c>
      <c r="GH114" s="396">
        <v>1</v>
      </c>
      <c r="GI114" s="397">
        <f t="shared" si="452"/>
        <v>0</v>
      </c>
      <c r="GJ114" s="372">
        <f>GI114*(VLOOKUP($GG$9,各项系数!$D$1:$F$143,2,0))</f>
        <v>0</v>
      </c>
      <c r="GK114" s="395">
        <f>IF($BK114&lt;&gt;$GK$9,0,各项系数!$F$76/4*($MS114^2-$MQ114^2)*10^-2*(VLOOKUP($GK$9,各项系数!$D$1:$F$143,3,0))*10^-3*10^2)*各项系数!$J$4</f>
        <v>0</v>
      </c>
      <c r="GL114" s="396">
        <v>1</v>
      </c>
      <c r="GM114" s="397">
        <f t="shared" si="453"/>
        <v>0</v>
      </c>
      <c r="GN114" s="372">
        <f>GM114*(VLOOKUP($GK$9,各项系数!$D$1:$F$143,2,0))</f>
        <v>0</v>
      </c>
      <c r="GO114" s="397">
        <f t="shared" si="454"/>
        <v>0.0225144719530636</v>
      </c>
      <c r="GP114" s="397">
        <f t="shared" si="455"/>
        <v>0.29043668819452</v>
      </c>
      <c r="GQ114" s="408">
        <f>各项系数!$F$76/4*($MU114^2-$MS114^2)*10^-2*(VLOOKUP($S114,各项系数!$D$1:$F$143,3,0))*10^-3*10^2*各项系数!$J$4</f>
        <v>1.53105865670331</v>
      </c>
      <c r="GR114" s="396">
        <v>1</v>
      </c>
      <c r="GS114" s="397">
        <f t="shared" si="456"/>
        <v>1.53105865670331</v>
      </c>
      <c r="GT114" s="397">
        <f t="shared" si="457"/>
        <v>0</v>
      </c>
      <c r="GU114" s="397">
        <f>ROUND($GS114*(VLOOKUP($S114,各项系数!$D$1:$F$143,2,0))+$E$3*GS114,GT114)</f>
        <v>9</v>
      </c>
      <c r="GV114" s="406">
        <f>各项系数!$F$76/4*($MT114^2-$MS114^2)*10^-2*(VLOOKUP($GV$9,各项系数!$D$1:$F$143,3,0))*10^-3*10^2*各项系数!$J$4*PI()/4*R114</f>
        <v>0.11571699199611</v>
      </c>
      <c r="GW114" s="396">
        <v>1</v>
      </c>
      <c r="GX114" s="397">
        <f t="shared" si="458"/>
        <v>0.11571699199611</v>
      </c>
      <c r="GY114" s="397">
        <f>$GX114*(VLOOKUP($GV$9,各项系数!$D$1:$F$143,2,0))</f>
        <v>7.81089695973744</v>
      </c>
      <c r="GZ114" s="408">
        <f>各项系数!$F$76/4*($MV114^2-$MS114^2)*10^-2*(VLOOKUP($GZ$9,各项系数!$D$1:$F$143,3,0))*10^-3*10^2*各项系数!$J$4</f>
        <v>1.53192030760092</v>
      </c>
      <c r="HA114" s="396">
        <v>1</v>
      </c>
      <c r="HB114" s="397">
        <f t="shared" si="412"/>
        <v>1.53192030760092</v>
      </c>
      <c r="HC114" s="397">
        <f>HB114*(VLOOKUP($GZ$9,各项系数!$D$1:$F$143,2,0))</f>
        <v>26.0426452292156</v>
      </c>
      <c r="HD114" s="408">
        <f>各项系数!$F$76/4*($MW114^2-$MT114^2)*10^-2*(VLOOKUP($HD$9,各项系数!$D$1:$F$143,3,0))*10^-3*10^2*各项系数!$J$4</f>
        <v>1.53474860806872</v>
      </c>
      <c r="HE114" s="396">
        <v>1</v>
      </c>
      <c r="HF114" s="397">
        <f t="shared" si="413"/>
        <v>1.53474860806872</v>
      </c>
      <c r="HG114" s="397">
        <f>HF114*(VLOOKUP($HD$9,各项系数!$D$1:$F$143,2,0))</f>
        <v>26.0907263371682</v>
      </c>
      <c r="HH114" s="408">
        <f>各项系数!$F$76/4*($MV114^2-$MS114^2)*10^-2*(VLOOKUP($HH$9,各项系数!$D$1:$F$143,3,0))*10^-3*10^2*各项系数!$J$4</f>
        <v>1.53192030760092</v>
      </c>
      <c r="HI114" s="397">
        <v>1</v>
      </c>
      <c r="HJ114" s="397">
        <f t="shared" si="414"/>
        <v>1.53192030760092</v>
      </c>
      <c r="HK114" s="397">
        <f>HJ114*(VLOOKUP($HH$9,各项系数!$D$1:$F$143,2,0))</f>
        <v>26.0426452292156</v>
      </c>
      <c r="HL114" s="408">
        <f>各项系数!$F$76/4*($MW114^2-$MT114^2)*10^-2*(VLOOKUP($HL$9,各项系数!$D$1:$F$143,3,0))*10^-3*10^2*各项系数!$J$4</f>
        <v>1.53474860806872</v>
      </c>
      <c r="HM114" s="397">
        <v>1</v>
      </c>
      <c r="HN114" s="397">
        <f t="shared" si="362"/>
        <v>1.53474860806872</v>
      </c>
      <c r="HO114" s="397">
        <f>HN114*(VLOOKUP($HL$9,各项系数!$D$1:$F$143,2,0))</f>
        <v>26.0907263371682</v>
      </c>
      <c r="HP114" s="408">
        <f>各项系数!$F$76/4*($MV114^2-$MS114^2)*10^-2*(VLOOKUP(AN114,各项系数!$D$1:$F$143,3,0))*10^-3*10^2*各项系数!$J$4</f>
        <v>1.55305024287817</v>
      </c>
      <c r="HQ114" s="396">
        <v>1</v>
      </c>
      <c r="HR114" s="397">
        <f t="shared" si="459"/>
        <v>1.55305024287817</v>
      </c>
      <c r="HS114" s="397">
        <f>HR114*(VLOOKUP(AN114,各项系数!$D$1:$F$143,2,0))</f>
        <v>15.5305024287817</v>
      </c>
      <c r="HT114" s="408">
        <f>各项系数!$F$76/4*($MW114^2-$MT114^2)*10^-2*(VLOOKUP(AN114,各项系数!$D$1:$F$143,3,0))*10^-3*10^2*各项系数!$J$4</f>
        <v>1.55591755438691</v>
      </c>
      <c r="HU114" s="396">
        <v>1</v>
      </c>
      <c r="HV114" s="397">
        <f t="shared" si="460"/>
        <v>1.55591755438691</v>
      </c>
      <c r="HW114" s="397">
        <f>HV114*(VLOOKUP(AN114,各项系数!$D$1:$F$143,2,0))</f>
        <v>15.5591755438691</v>
      </c>
      <c r="HX114" s="408">
        <f>各项系数!$F$76/4*($MV114^2-$MS114^2)*10^-2*(VLOOKUP($HX$9,各项系数!$D$1:$F$143,3,0))*10^-3*10^2*各项系数!$J$4</f>
        <v>1.55305024287817</v>
      </c>
      <c r="HY114" s="397">
        <v>1</v>
      </c>
      <c r="HZ114" s="397">
        <f t="shared" si="461"/>
        <v>1.55305024287817</v>
      </c>
      <c r="IA114" s="397">
        <f>HZ114*(VLOOKUP($HX$9,各项系数!$D$1:$F$143,2,0))</f>
        <v>17.0835526716599</v>
      </c>
      <c r="IB114" s="408">
        <f>各项系数!$F$76/4*($MW114^2-$MT114^2)*10^-2*(VLOOKUP($IB$9,各项系数!$D$1:$F$143,3,0))*10^-3*10^2*各项系数!$J$4</f>
        <v>1.55591755438691</v>
      </c>
      <c r="IC114" s="397">
        <v>1</v>
      </c>
      <c r="ID114" s="397">
        <f t="shared" si="462"/>
        <v>1.55591755438691</v>
      </c>
      <c r="IE114" s="397">
        <f>ID114*(VLOOKUP($IB$9,各项系数!$D$1:$F$143,2,0))</f>
        <v>17.115093098256</v>
      </c>
      <c r="IF114" s="395"/>
      <c r="IG114" s="408">
        <f t="shared" si="415"/>
        <v>0.168384799445345</v>
      </c>
      <c r="IH114" s="396">
        <v>1</v>
      </c>
      <c r="II114" s="397">
        <f t="shared" si="463"/>
        <v>0.168384799445345</v>
      </c>
      <c r="IJ114" s="397">
        <f>II114*(VLOOKUP($IG$8,各项系数!$D$1:$F$143,2,0))</f>
        <v>4.20961998613363</v>
      </c>
      <c r="IK114" s="408">
        <f>(各项系数!$F$76/4*($MX114^2-$MK114^2)*$EG114)*10^-2*(VLOOKUP($IG$8,各项系数!$D$1:$F$143,3,0))*10^-3*10^2*各项系数!$J$4</f>
        <v>0.136931258050774</v>
      </c>
      <c r="IL114" s="396">
        <f>IK114*(VLOOKUP($IG$8,各项系数!$D$1:$F$143,2,0))</f>
        <v>3.42328145126935</v>
      </c>
      <c r="IM114" s="397">
        <f>(各项系数!$F$76/4*(($MM114+3*$X114)^2-MM114^2)*$EO114)*10^-2*(VLOOKUP($IG$8,各项系数!$D$1:$F$143,3,0))*10^-3*10^2*各项系数!$J$4</f>
        <v>0.031453541394571</v>
      </c>
      <c r="IN114" s="396">
        <f>IM114*(VLOOKUP($IG$8,各项系数!$D$1:$F$143,2,0))</f>
        <v>0.786338534864276</v>
      </c>
      <c r="IO114" s="408">
        <f>各项系数!$F$76/4*($MZ114^2-$MX114^2)*10^-2*(VLOOKUP(L114,各项系数!$D$1:$F$143,3,0))*10^-3*10^2*$ES114*各项系数!$J$4</f>
        <v>1.16023195393206</v>
      </c>
      <c r="IP114" s="396">
        <v>1</v>
      </c>
      <c r="IQ114" s="397">
        <f t="shared" si="464"/>
        <v>1.16023195393206</v>
      </c>
      <c r="IR114" s="372">
        <f>IQ114*(VLOOKUP(L114,各项系数!$D$1:$F$143,2,0))</f>
        <v>11.834365930107</v>
      </c>
      <c r="IS114" s="408">
        <f>IF($L114&lt;&gt;$IS$9,0,各项系数!$F$76/4*($MZ114^2-$MX114^2)*10^-2*各项系数!$F$12*10^-3*10^2)*$ES114*各项系数!$J$4</f>
        <v>0</v>
      </c>
      <c r="IT114" s="396">
        <v>1</v>
      </c>
      <c r="IU114" s="397">
        <f t="shared" si="465"/>
        <v>0</v>
      </c>
      <c r="IV114" s="372">
        <f>IU114*各项系数!$E$12</f>
        <v>0</v>
      </c>
      <c r="IW114" s="395">
        <f t="shared" si="466"/>
        <v>1.16023195393206</v>
      </c>
      <c r="IX114" s="395">
        <f t="shared" si="467"/>
        <v>11.834365930107</v>
      </c>
      <c r="IY114" s="447">
        <f>各项系数!$F$76/4*($NB114^2-$MZ114^2*$EG114-$NA114^2*$EO114)*10^-2</f>
        <v>17.2883660261729</v>
      </c>
      <c r="IZ114" s="366">
        <f t="shared" si="487"/>
        <v>1</v>
      </c>
      <c r="JA114" s="367">
        <f t="shared" si="363"/>
        <v>17.2883660261729</v>
      </c>
      <c r="JB114" s="371">
        <f>IF($DE114&lt;&gt;$JB$9,0,$JA114*各项系数!$F$32*10^-3*10^2)*各项系数!$J$4</f>
        <v>0</v>
      </c>
      <c r="JC114" s="127">
        <v>1</v>
      </c>
      <c r="JD114" s="95">
        <f t="shared" si="468"/>
        <v>0</v>
      </c>
      <c r="JE114" s="341">
        <f>JD114*各项系数!$E$32</f>
        <v>0</v>
      </c>
      <c r="JF114" s="364">
        <f>IF($DE114&lt;&gt;$JF$9,0,$JA114*VLOOKUP($JF$9,各项系数!$D$4:$F$540,2,0)*10^-3*10^2)*各项系数!$J$4</f>
        <v>8.60096209802104</v>
      </c>
      <c r="JG114" s="123">
        <v>1</v>
      </c>
      <c r="JH114" s="251">
        <f t="shared" si="364"/>
        <v>8.60096209802104</v>
      </c>
      <c r="JI114" s="339">
        <f>JH114*VLOOKUP($JF$9,各项系数!$D$4:$F$540,3,0)</f>
        <v>10.3211545176252</v>
      </c>
      <c r="JJ114" s="371">
        <f t="shared" si="469"/>
        <v>8.60096209802104</v>
      </c>
      <c r="JK114" s="95">
        <f t="shared" si="470"/>
        <v>10.3211545176252</v>
      </c>
      <c r="JL114" s="371">
        <f>IF($DF114&lt;&gt;$JL$9,0,各项系数!$F$76/4*($NE114^2-$NC114^2)*10^-2*各项系数!$F$39*10^-3*10^2)*各项系数!$J$4</f>
        <v>0.00955219619301267</v>
      </c>
      <c r="JM114" s="127">
        <v>1</v>
      </c>
      <c r="JN114" s="95">
        <f t="shared" si="471"/>
        <v>0.00955219619301267</v>
      </c>
      <c r="JO114" s="341">
        <f>JN114*各项系数!$E$39</f>
        <v>0.191043923860253</v>
      </c>
      <c r="JP114" s="371">
        <f>IF($DF114&lt;&gt;$JP$9,0,各项系数!$F$76/4*($NE114^2-$NC114^2)*10^-2*各项系数!$F$36*10^-3*10^2)*各项系数!$J$4</f>
        <v>0</v>
      </c>
      <c r="JQ114" s="127">
        <v>1</v>
      </c>
      <c r="JR114" s="95">
        <f t="shared" si="472"/>
        <v>0</v>
      </c>
      <c r="JS114" s="341">
        <f>JR114*各项系数!$E$36</f>
        <v>0</v>
      </c>
      <c r="JT114" s="371">
        <f>IF($DF114&lt;&gt;$JT$9,0,各项系数!$F$76/4*($NE114^2-$NC114^2)*10^-2*各项系数!$F$40*10^-3*10^2)*各项系数!$J$4</f>
        <v>0</v>
      </c>
      <c r="JU114" s="127">
        <v>1</v>
      </c>
      <c r="JV114" s="95">
        <f t="shared" si="473"/>
        <v>0</v>
      </c>
      <c r="JW114" s="341">
        <f>JV114*各项系数!$E$40</f>
        <v>0</v>
      </c>
      <c r="JX114" s="371">
        <f>IF($DF114&lt;&gt;$JX$9,0,各项系数!$F$76/4*($NE114^2-$NC114^2)*10^-2*各项系数!$F$38*10^-3*10^2)*各项系数!$J$4</f>
        <v>0</v>
      </c>
      <c r="JY114" s="127">
        <v>1</v>
      </c>
      <c r="JZ114" s="95">
        <f t="shared" si="474"/>
        <v>0</v>
      </c>
      <c r="KA114" s="341">
        <f>JZ114*各项系数!$E$38</f>
        <v>0</v>
      </c>
      <c r="KB114" s="371">
        <f>IF($DF114&lt;&gt;$KB$9,0,各项系数!$F$76/4*($NE114^2-$NC114^2)*10^-2*各项系数!$F$41*10^-3*10^2)*各项系数!$J$4</f>
        <v>0</v>
      </c>
      <c r="KC114" s="127">
        <v>1</v>
      </c>
      <c r="KD114" s="95">
        <f t="shared" si="475"/>
        <v>0</v>
      </c>
      <c r="KE114" s="341">
        <f>KD114*各项系数!$E$41</f>
        <v>0</v>
      </c>
      <c r="KF114" s="95">
        <f t="shared" si="476"/>
        <v>0.00955219619301267</v>
      </c>
      <c r="KG114" s="95">
        <f t="shared" si="477"/>
        <v>0.191043923860253</v>
      </c>
      <c r="KH114" s="304">
        <f>各项系数!$F$76/4*($NG114^2-$NE114^2)*10^-2*各项系数!$F$44*10^-3*10^2*各项系数!$J$4*0.75*$U114</f>
        <v>2.35824291905745</v>
      </c>
      <c r="KI114" s="127">
        <v>1</v>
      </c>
      <c r="KJ114" s="95">
        <f t="shared" si="478"/>
        <v>2.35824291905745</v>
      </c>
      <c r="KK114" s="95">
        <f>ROUND(KJ114*各项系数!$E$43,GT114)</f>
        <v>14</v>
      </c>
      <c r="KL114" s="302">
        <f>各项系数!$F$76/4*($NF114^2-$NE114^2)*10^-2*各项系数!$F$46*10^-3*10^2*各项系数!$J$4*PI()/4*R114</f>
        <v>0.118848692181535</v>
      </c>
      <c r="KM114" s="127">
        <v>1</v>
      </c>
      <c r="KN114" s="95">
        <f t="shared" si="479"/>
        <v>0.118848692181535</v>
      </c>
      <c r="KO114" s="95">
        <f>KN114*各项系数!$E$46</f>
        <v>8.02228672225361</v>
      </c>
      <c r="KP114" s="304">
        <f>各项系数!$F$76/4*($NH114^2-$NE114^2)*10^-2*(VLOOKUP($KP$9,各项系数!$D$1:$F$143,3,0))*10^-3*10^2*各项系数!$J$4</f>
        <v>1.57155186790601</v>
      </c>
      <c r="KQ114" s="127">
        <v>1</v>
      </c>
      <c r="KR114" s="95">
        <f t="shared" si="416"/>
        <v>1.57155186790601</v>
      </c>
      <c r="KS114" s="95">
        <f>KR114*(VLOOKUP($KP$9,各项系数!$D$1:$F$143,2,0))</f>
        <v>26.7163817544022</v>
      </c>
      <c r="KT114" s="304">
        <f>各项系数!$F$76/4*($NI114^2-$NF114^2)*10^-2*(VLOOKUP($KT$9,各项系数!$D$1:$F$143,3,0))*10^-3*10^2*各项系数!$J$4</f>
        <v>1.57438016837381</v>
      </c>
      <c r="KU114" s="127">
        <v>1</v>
      </c>
      <c r="KV114" s="95">
        <f t="shared" si="417"/>
        <v>1.57438016837381</v>
      </c>
      <c r="KW114" s="95">
        <f>KV114*(VLOOKUP($KT$9,各项系数!$D$1:$F$143,2,0))</f>
        <v>26.7644628623548</v>
      </c>
      <c r="KX114" s="95">
        <f>各项系数!$F$76/4*($NH114^2-$NE114^2)*10^-2*(VLOOKUP($KX$9,各项系数!$D$1:$F$143,3,0))*10^-3*10^2*各项系数!$J$4</f>
        <v>1.57155186790601</v>
      </c>
      <c r="KY114" s="481">
        <v>1</v>
      </c>
      <c r="KZ114" s="95">
        <f t="shared" si="418"/>
        <v>1.57155186790601</v>
      </c>
      <c r="LA114" s="95">
        <f>KZ114*(VLOOKUP($KX$9,各项系数!$D$1:$F$143,2,0))</f>
        <v>26.7163817544022</v>
      </c>
      <c r="LB114" s="95">
        <f>各项系数!$F$76/4*($NI114^2-$NF114^2)*10^-2*(VLOOKUP($LB$9,各项系数!$D$1:$F$143,3,0))*10^-3*10^2*各项系数!$J$4</f>
        <v>1.57438016837381</v>
      </c>
      <c r="LC114" s="481">
        <v>1</v>
      </c>
      <c r="LD114" s="95">
        <f t="shared" si="419"/>
        <v>1.57438016837381</v>
      </c>
      <c r="LE114" s="95">
        <f>LD114*(VLOOKUP($LB$9,各项系数!$D$1:$F$143,2,0))</f>
        <v>26.7644628623548</v>
      </c>
      <c r="LF114" s="304">
        <f>各项系数!$F$76/4*($NH114^2-$NE114^2)*10^-2*(VLOOKUP(AN114,各项系数!$D$1:$F$143,3,0))*10^-3*10^2*各项系数!$J$4</f>
        <v>1.59322844539437</v>
      </c>
      <c r="LG114" s="127">
        <v>1</v>
      </c>
      <c r="LH114" s="95">
        <f t="shared" si="480"/>
        <v>1.59322844539437</v>
      </c>
      <c r="LI114" s="95">
        <f>LH114*(VLOOKUP(AN114,各项系数!$D$1:$F$143,2,0))</f>
        <v>15.9322844539437</v>
      </c>
      <c r="LJ114" s="304">
        <f>各项系数!$F$76/4*($NI114^2-$NF114^2)*10^-2*(VLOOKUP(AN114,各项系数!$D$1:$F$143,3,0))*10^-3*10^2*各项系数!$J$4</f>
        <v>1.59609575690311</v>
      </c>
      <c r="LK114" s="127">
        <v>1</v>
      </c>
      <c r="LL114" s="95">
        <f t="shared" si="481"/>
        <v>1.59609575690311</v>
      </c>
      <c r="LM114" s="95">
        <f>LL114*(VLOOKUP(AN114,各项系数!$D$1:$F$143,2,0))</f>
        <v>15.9609575690311</v>
      </c>
      <c r="LN114" s="95">
        <f>各项系数!$F$76/4*($NH114^2-$NE114^2)*10^-2*(VLOOKUP($LN$9,各项系数!$D$1:$F$143,3,0))*10^-3*10^2*各项系数!$J$4</f>
        <v>1.59322844539437</v>
      </c>
      <c r="LO114" s="481">
        <v>1</v>
      </c>
      <c r="LP114" s="95">
        <f t="shared" si="482"/>
        <v>1.59322844539437</v>
      </c>
      <c r="LQ114" s="95">
        <f>LP114*(VLOOKUP($LN$9,各项系数!$D$1:$F$143,2,0))</f>
        <v>17.5255128993381</v>
      </c>
      <c r="LR114" s="95">
        <f>各项系数!$F$76/4*($NI114^2-$NF114^2)*10^-2*(VLOOKUP($LR$9,各项系数!$D$1:$F$143,3,0))*10^-3*10^2*各项系数!$J$4</f>
        <v>1.59609575690311</v>
      </c>
      <c r="LS114" s="481">
        <v>1</v>
      </c>
      <c r="LT114" s="95">
        <f t="shared" si="483"/>
        <v>1.59609575690311</v>
      </c>
      <c r="LU114" s="95">
        <f>LT114*(VLOOKUP($LR$9,各项系数!$D$1:$F$143,2,0))</f>
        <v>17.5570533259342</v>
      </c>
      <c r="LV114" s="501">
        <f t="shared" si="420"/>
        <v>2435.20254864</v>
      </c>
      <c r="LW114" s="501">
        <f t="shared" si="421"/>
        <v>1833.91796873</v>
      </c>
      <c r="LX114" s="501">
        <f t="shared" si="422"/>
        <v>48.3220123710449</v>
      </c>
      <c r="LY114" s="519">
        <f t="shared" si="423"/>
        <v>601.28457991</v>
      </c>
      <c r="LZ114" s="516">
        <f t="shared" si="365"/>
        <v>1</v>
      </c>
      <c r="MA114" s="517">
        <f t="shared" si="366"/>
        <v>2435.20254864</v>
      </c>
      <c r="MB114" s="501">
        <f t="shared" si="424"/>
        <v>32.14859346</v>
      </c>
      <c r="MC114" s="501">
        <f t="shared" si="425"/>
        <v>382.23090564</v>
      </c>
      <c r="MD114" s="501">
        <f t="shared" si="426"/>
        <v>287.85290335</v>
      </c>
      <c r="ME114" s="501">
        <f t="shared" si="427"/>
        <v>19.1443385785994</v>
      </c>
      <c r="MF114" s="501">
        <f t="shared" si="428"/>
        <v>94.37800229</v>
      </c>
      <c r="MG114" s="527">
        <f t="shared" si="429"/>
        <v>1</v>
      </c>
      <c r="MH114" s="517">
        <f t="shared" si="367"/>
        <v>382.23090564</v>
      </c>
      <c r="MI114" s="501">
        <f t="shared" si="430"/>
        <v>22.0606324542335</v>
      </c>
      <c r="MJ114" s="95">
        <f t="shared" si="368"/>
        <v>32.14859346</v>
      </c>
      <c r="MK114" s="95">
        <f t="shared" si="431"/>
        <v>32.14859346</v>
      </c>
      <c r="ML114" s="95">
        <f t="shared" si="484"/>
        <v>22.0606324541698</v>
      </c>
      <c r="MM114" s="95">
        <f t="shared" si="369"/>
        <v>22.0606324542335</v>
      </c>
      <c r="MN114" s="95">
        <f t="shared" si="370"/>
        <v>36.94859346</v>
      </c>
      <c r="MO114" s="251">
        <f t="shared" si="432"/>
        <v>25.6606324542335</v>
      </c>
      <c r="MP114" s="95">
        <f t="shared" si="433"/>
        <v>82.58637976</v>
      </c>
      <c r="MQ114" s="95">
        <f t="shared" si="485"/>
        <v>82.58637976</v>
      </c>
      <c r="MR114" s="314">
        <f t="shared" si="434"/>
        <v>82.58637976</v>
      </c>
      <c r="MS114" s="530">
        <f t="shared" si="371"/>
        <v>82.76237976</v>
      </c>
      <c r="MT114" s="532">
        <f t="shared" si="372"/>
        <v>82.92237976</v>
      </c>
      <c r="MU114" s="532">
        <f t="shared" si="373"/>
        <v>84.26237976</v>
      </c>
      <c r="MV114" s="532">
        <f t="shared" si="374"/>
        <v>90.56237976</v>
      </c>
      <c r="MW114" s="532">
        <f t="shared" si="375"/>
        <v>90.72237976</v>
      </c>
      <c r="MX114" s="314">
        <f t="shared" si="376"/>
        <v>32.74859346</v>
      </c>
      <c r="MY114" s="314">
        <f t="shared" si="377"/>
        <v>22.6606324542335</v>
      </c>
      <c r="MZ114" s="95">
        <f t="shared" si="378"/>
        <v>37.54859346</v>
      </c>
      <c r="NA114" s="95">
        <f t="shared" si="379"/>
        <v>27.4606324542335</v>
      </c>
      <c r="NB114" s="95">
        <f t="shared" si="435"/>
        <v>84.76437976</v>
      </c>
      <c r="NC114" s="314">
        <f t="shared" si="486"/>
        <v>84.76437976</v>
      </c>
      <c r="ND114" s="314">
        <f t="shared" si="436"/>
        <v>84.76437976</v>
      </c>
      <c r="NE114" s="537">
        <f t="shared" si="437"/>
        <v>85.00437976</v>
      </c>
      <c r="NF114" s="532">
        <f t="shared" si="380"/>
        <v>85.16437976</v>
      </c>
      <c r="NG114" s="180">
        <f t="shared" si="381"/>
        <v>86.50437976</v>
      </c>
      <c r="NH114" s="314">
        <f t="shared" si="382"/>
        <v>92.80437976</v>
      </c>
      <c r="NI114" s="532">
        <f t="shared" si="383"/>
        <v>92.96437976</v>
      </c>
      <c r="NK114" s="541">
        <f t="shared" si="384"/>
        <v>23.9699004557764</v>
      </c>
      <c r="NL114" s="541">
        <f t="shared" si="385"/>
        <v>1297.90227796736</v>
      </c>
      <c r="NM114" s="541">
        <f t="shared" si="386"/>
        <v>23.9699004557764</v>
      </c>
      <c r="NN114" s="541">
        <f t="shared" si="387"/>
        <v>1299.45532821024</v>
      </c>
      <c r="NO114" s="541">
        <f t="shared" si="388"/>
        <v>30.8696281564002</v>
      </c>
      <c r="NP114" s="541">
        <f t="shared" si="389"/>
        <v>1307.80569783883</v>
      </c>
      <c r="NQ114" s="541">
        <f t="shared" si="390"/>
        <v>30.8696281564002</v>
      </c>
      <c r="NR114" s="541">
        <f t="shared" si="391"/>
        <v>1309.39892628422</v>
      </c>
      <c r="NS114" s="541">
        <f t="shared" si="392"/>
        <v>24.0856174477725</v>
      </c>
      <c r="NT114" s="541">
        <f t="shared" si="393"/>
        <v>24.0856174477725</v>
      </c>
      <c r="NU114" s="541">
        <f t="shared" si="394"/>
        <v>30.9884768485817</v>
      </c>
      <c r="NV114" s="541">
        <f t="shared" si="395"/>
        <v>30.9884768485817</v>
      </c>
      <c r="NW114" s="11">
        <f t="shared" si="396"/>
        <v>25.5009591124797</v>
      </c>
      <c r="NX114" s="11">
        <f>各项系数!$M$9*NK114</f>
        <v>7.19097013673293</v>
      </c>
      <c r="NY114" s="11">
        <f t="shared" si="397"/>
        <v>24.0856174477725</v>
      </c>
    </row>
    <row r="115" s="11" customFormat="1" customHeight="1" spans="1:389">
      <c r="A115" s="81"/>
      <c r="B115" s="82"/>
      <c r="C115" s="83"/>
      <c r="D115" s="261" t="s">
        <v>933</v>
      </c>
      <c r="E115" s="550">
        <f t="shared" si="503"/>
        <v>101.35566304</v>
      </c>
      <c r="F115" s="84">
        <f>$F$35</f>
        <v>404.218837505781</v>
      </c>
      <c r="G115" s="74"/>
      <c r="H115" s="23"/>
      <c r="I115" s="174">
        <f>$F$32</f>
        <v>277.181191063812</v>
      </c>
      <c r="J115" s="78"/>
      <c r="K115" s="23"/>
      <c r="L115" s="128" t="s">
        <v>467</v>
      </c>
      <c r="M115" s="119">
        <f t="shared" si="339"/>
        <v>2.6</v>
      </c>
      <c r="N115" s="119">
        <f t="shared" si="501"/>
        <v>2</v>
      </c>
      <c r="O115" s="74">
        <f t="shared" si="502"/>
        <v>0.08</v>
      </c>
      <c r="P115" s="120">
        <v>0.1</v>
      </c>
      <c r="Q115" s="165">
        <f t="shared" si="512"/>
        <v>0.1</v>
      </c>
      <c r="R115" s="182">
        <v>0.8</v>
      </c>
      <c r="S115" s="173" t="str">
        <f>各项系数!$D$43</f>
        <v>钢带</v>
      </c>
      <c r="T115" s="78">
        <v>0.5</v>
      </c>
      <c r="U115" s="78">
        <v>2</v>
      </c>
      <c r="V115" s="172"/>
      <c r="W115" s="174">
        <v>4.1</v>
      </c>
      <c r="X115" s="168">
        <f t="shared" si="513"/>
        <v>0.2</v>
      </c>
      <c r="Y115" s="221"/>
      <c r="Z115" s="222"/>
      <c r="AA115" s="223">
        <f>$AA$35</f>
        <v>1.03</v>
      </c>
      <c r="AB115" s="186">
        <f>PI()*EJ115*EJ115/4*EH115*(1-H115)*AA115*各项系数!$F$5*各项系数!$J$4*10^-7</f>
        <v>7.13205822938526</v>
      </c>
      <c r="AC115" s="224">
        <f t="shared" si="504"/>
        <v>404.218837505781</v>
      </c>
      <c r="AD115" s="186">
        <f t="shared" si="341"/>
        <v>806.287707308788</v>
      </c>
      <c r="AE115" s="186">
        <f>POWER(4*EU115/PI()/EG115/10^-7/EH115/(1-H115)/各项系数!$F$5/各项系数!$J$4,0.5)</f>
        <v>410.23731504138</v>
      </c>
      <c r="AF115" s="225">
        <f>$AA$31</f>
        <v>1.02</v>
      </c>
      <c r="AG115" s="23">
        <f>IF(EM115=0,0,PI()*ER115*ER115/4*EP115*(1-K115)*(1+AF115)*各项系数!$F$5*各项系数!$J$4*10^-7)</f>
        <v>6.57693335005614</v>
      </c>
      <c r="AH115" s="23">
        <f t="shared" si="505"/>
        <v>277.181191063812</v>
      </c>
      <c r="AI115" s="85">
        <f t="shared" si="398"/>
        <v>375.445930554736</v>
      </c>
      <c r="AJ115" s="85">
        <f>IF(OR(EP115="",EP115=0),0,POWER(4*EW115/PI()/EO115/10^-7/EP115/(1-K115)/各项系数!$F$5/各项系数!$J$4,0.5))</f>
        <v>279.939280797005</v>
      </c>
      <c r="AK115" s="23">
        <f t="shared" si="342"/>
        <v>24.7172004391742</v>
      </c>
      <c r="AL115" s="23">
        <f t="shared" si="506"/>
        <v>1708.47563298263</v>
      </c>
      <c r="AM115" s="127">
        <f t="shared" si="507"/>
        <v>800</v>
      </c>
      <c r="AN115" s="128" t="s">
        <v>486</v>
      </c>
      <c r="AO115" s="176">
        <f>AP115+各项系数!$M$9*$NK115</f>
        <v>1674.97611076728</v>
      </c>
      <c r="AP115" s="176">
        <f>AQ115*(1+$BI115+(VLOOKUP($AM115,$A$12:$B$323,2,0))+各项系数!$J$6+各项系数!$M$5)*(1+$E$2)</f>
        <v>1665.84156505571</v>
      </c>
      <c r="AQ115" s="262">
        <f>AR115+各项系数!$L$9*$NK115</f>
        <v>1699.8383316895</v>
      </c>
      <c r="AR115" s="262">
        <f>AS115*(1+$BJ115+各项系数!$J$5+各项系数!$L$5)</f>
        <v>1690.70378597792</v>
      </c>
      <c r="AS115" s="262">
        <f t="shared" si="399"/>
        <v>1657.5527313509</v>
      </c>
      <c r="AT115" s="176">
        <f>AU115+各项系数!$M$9*$NM115</f>
        <v>1687.37323739862</v>
      </c>
      <c r="AU115" s="176">
        <f>AV115*(1+$BI115+(VLOOKUP($AM115,$A$12:$B$323,2,0))+各项系数!$J$6+各项系数!$M$5)*(1+$E$2)</f>
        <v>1678.23869168705</v>
      </c>
      <c r="AV115" s="262">
        <f>AW115+各项系数!$L$9*$NM115</f>
        <v>1712.48846090515</v>
      </c>
      <c r="AW115" s="262">
        <f>AX115*(1+$BJ115+各项系数!$J$5+各项系数!$L$5)</f>
        <v>1703.35391519357</v>
      </c>
      <c r="AX115" s="262">
        <f t="shared" si="400"/>
        <v>1669.95481881723</v>
      </c>
      <c r="AY115" s="176">
        <f>AZ115+各项系数!$M$9*$NS115</f>
        <v>1683.87092592143</v>
      </c>
      <c r="AZ115" s="176">
        <f>BA115*(1+$BI115+(VLOOKUP($AM115,$A$12:$B$214,2,0))+各项系数!$J$6+各项系数!$M$5)*(1+$E$2)</f>
        <v>1674.6973098071</v>
      </c>
      <c r="BA115" s="262">
        <f>BB115+各项系数!$L$9*$NS115</f>
        <v>1708.87480592561</v>
      </c>
      <c r="BB115" s="262">
        <f>BC115*(1+$BJ115+各项系数!$J$5+各项系数!$L$5)</f>
        <v>1699.70118981129</v>
      </c>
      <c r="BC115" s="262">
        <f t="shared" si="401"/>
        <v>1666.37371550126</v>
      </c>
      <c r="BD115" s="176">
        <f>BE115+各项系数!$M$9*$NS115</f>
        <v>1696.28844766601</v>
      </c>
      <c r="BE115" s="176">
        <f>BF115*(1+$BI115+(VLOOKUP($AM115,$A$12:$B$214,2,0))+各项系数!$J$6+各项系数!$M$5)*(1+$E$2)</f>
        <v>1687.11483155168</v>
      </c>
      <c r="BF115" s="262">
        <f>BG115+各项系数!$L$9*$NS115</f>
        <v>1721.54574648131</v>
      </c>
      <c r="BG115" s="262">
        <f>BH115*(1+$BJ115+各项系数!$J$5+各项系数!$L$5)</f>
        <v>1712.37213036698</v>
      </c>
      <c r="BH115" s="262">
        <f t="shared" si="402"/>
        <v>1678.79620624214</v>
      </c>
      <c r="BI115" s="278"/>
      <c r="BJ115" s="279"/>
      <c r="BK115" s="95" t="s">
        <v>514</v>
      </c>
      <c r="BL115" s="176">
        <f>BM115+各项系数!$M$9*$NM115</f>
        <v>1693.06961905413</v>
      </c>
      <c r="BM115" s="176">
        <f>BN115*(1+$CF115+(VLOOKUP($AM115,$A$12:$B$323,2,0))+各项系数!$J$6+各项系数!$M$5)*(1+$E$2)</f>
        <v>1683.93507334255</v>
      </c>
      <c r="BN115" s="262">
        <f>BO115+各项系数!$L$9*$NM115</f>
        <v>1718.3010952475</v>
      </c>
      <c r="BO115" s="262">
        <f>BP115*(1+$CG115+各项系数!$J$5+各项系数!$L$5)</f>
        <v>1709.16654953593</v>
      </c>
      <c r="BP115" s="262">
        <f t="shared" si="403"/>
        <v>1659.38499954944</v>
      </c>
      <c r="BQ115" s="176">
        <f>BR115+各项系数!$M$9*$NM115</f>
        <v>1703.73879462303</v>
      </c>
      <c r="BR115" s="176">
        <f>BS115*(1+$CF115+(VLOOKUP($AM115,$A$12:$B$323,2,0))+各项系数!$J$6+各项系数!$M$5)*(1+$E$2)</f>
        <v>1694.60424891146</v>
      </c>
      <c r="BS115" s="262">
        <f>BT115+各项系数!$L$9*$NM115</f>
        <v>1729.18800909332</v>
      </c>
      <c r="BT115" s="262">
        <f>BU115*(1+$CG115+各项系数!$J$5+各项系数!$L$5)</f>
        <v>1720.05346338175</v>
      </c>
      <c r="BU115" s="262">
        <f t="shared" si="404"/>
        <v>1669.95481881723</v>
      </c>
      <c r="BV115" s="176">
        <f>BW115+各项系数!$M$9*$NT115</f>
        <v>1693.07187688405</v>
      </c>
      <c r="BW115" s="176">
        <f>BX115*(1+$CF115+(VLOOKUP($AM115,$A$12:$B$214,2,0))+各项系数!$J$6+各项系数!$M$5)*(1+$E$2)</f>
        <v>1683.89826076972</v>
      </c>
      <c r="BX115" s="262">
        <f>BY115+各项系数!$L$9*$NT$12</f>
        <v>1718.26353139767</v>
      </c>
      <c r="BY115" s="262">
        <f>BZ115*(1+$CG115+各项系数!$J$5+各项系数!$L$5)</f>
        <v>1718.25526799452</v>
      </c>
      <c r="BZ115" s="262">
        <f t="shared" si="343"/>
        <v>1668.20899805293</v>
      </c>
      <c r="CA115" s="176">
        <f>CB115+各项系数!$M$9*$NT115</f>
        <v>1703.75860483024</v>
      </c>
      <c r="CB115" s="176">
        <f>CC115*(1+$CF115+(VLOOKUP($AM115,$A$12:$B$214,2,0))+各项系数!$J$6+各项系数!$M$5)*(1+$E$2)</f>
        <v>1694.58498871591</v>
      </c>
      <c r="CC115" s="262">
        <f>CD115+各项系数!$L$9*$NT$12</f>
        <v>1729.16835583256</v>
      </c>
      <c r="CD115" s="262">
        <f>CE115*(1+$CG115+各项系数!$J$5+各项系数!$L$5)</f>
        <v>1729.1600924294</v>
      </c>
      <c r="CE115" s="262">
        <f t="shared" si="405"/>
        <v>1678.79620624214</v>
      </c>
      <c r="CF115" s="278">
        <f t="shared" si="406"/>
        <v>0</v>
      </c>
      <c r="CG115" s="278">
        <f t="shared" si="344"/>
        <v>0.01</v>
      </c>
      <c r="CH115" s="127"/>
      <c r="CI115" s="176">
        <f>CJ115+各项系数!$M$9*$NO115</f>
        <v>1701.80664488256</v>
      </c>
      <c r="CJ115" s="176">
        <f>CK115*(1+$DC115+(VLOOKUP($AM115,$A$12:$B$323,2,0))+各项系数!$J$6+各项系数!$M$5)*(1+$E$2)+各项系数!$M$9*$NK115</f>
        <v>1690.08389214531</v>
      </c>
      <c r="CK115" s="262">
        <f>CL115+各项系数!$L$9*$NO115</f>
        <v>1715.25443513646</v>
      </c>
      <c r="CL115" s="262">
        <f>CM115*(1+$DD115+各项系数!$J$5+各项系数!$L$5)</f>
        <v>1703.53168239921</v>
      </c>
      <c r="CM115" s="262">
        <f t="shared" si="345"/>
        <v>1670.12910039138</v>
      </c>
      <c r="CN115" s="176">
        <f>CO115+各项系数!$M$9*$NO115</f>
        <v>1713.78155423681</v>
      </c>
      <c r="CO115" s="176">
        <f>CP115*(1+$DC115+(VLOOKUP($AM115,$A$12:$B$323,2,0))+各项系数!$J$6+各项系数!$M$5)*(1+$E$2)+各项系数!$M$9*$NK115</f>
        <v>1702.05880149956</v>
      </c>
      <c r="CP115" s="262">
        <f>CQ115+各项系数!$L$9*$NO115</f>
        <v>1727.4737303959</v>
      </c>
      <c r="CQ115" s="262">
        <f>CR115*(1+$DD115+各项系数!$J$5+各项系数!$L$5)</f>
        <v>1715.75097765865</v>
      </c>
      <c r="CR115" s="262">
        <f t="shared" si="346"/>
        <v>1682.10880162613</v>
      </c>
      <c r="CS115" s="176">
        <f>CT115+各项系数!$M$9*$NU115</f>
        <v>1701.78007976165</v>
      </c>
      <c r="CT115" s="176">
        <f t="shared" si="347"/>
        <v>1690.01731711159</v>
      </c>
      <c r="CU115" s="262">
        <f>CV115+各项系数!$L$9*$NU115</f>
        <v>1724.5074664404</v>
      </c>
      <c r="CV115" s="262">
        <f>CW115*(1+$DD115+各项系数!$J$5+各项系数!$L$5)</f>
        <v>1712.74470379034</v>
      </c>
      <c r="CW115" s="262">
        <f t="shared" si="348"/>
        <v>1679.16147430426</v>
      </c>
      <c r="CX115" s="176">
        <f>CY115+各项系数!$M$9*$NU115</f>
        <v>1714.48338803052</v>
      </c>
      <c r="CY115" s="176">
        <f t="shared" si="349"/>
        <v>1702.72062538046</v>
      </c>
      <c r="CZ115" s="262">
        <f>DA115+各项系数!$L$9*$NU115</f>
        <v>1737.47002589843</v>
      </c>
      <c r="DA115" s="262">
        <f>DB115*(1+$DD115+各项系数!$J$5+各项系数!$L$5)</f>
        <v>1725.70726324837</v>
      </c>
      <c r="DB115" s="262">
        <f t="shared" si="350"/>
        <v>1691.86986592978</v>
      </c>
      <c r="DC115" s="278">
        <f t="shared" si="498"/>
        <v>0</v>
      </c>
      <c r="DD115" s="278">
        <f t="shared" si="351"/>
        <v>0</v>
      </c>
      <c r="DE115" s="95" t="s">
        <v>498</v>
      </c>
      <c r="DF115" s="95" t="s">
        <v>513</v>
      </c>
      <c r="DG115" s="176">
        <f>DH115+各项系数!$M$9*$NQ115</f>
        <v>1720.06603725222</v>
      </c>
      <c r="DH115" s="176">
        <f>DI115*(1+$EA115+(VLOOKUP($AM115,$A$12:$B$323,2,0))+各项系数!$J$6+各项系数!$M$5)*(1+$E$2)+各项系数!$M$9*$NK115</f>
        <v>1708.34328451497</v>
      </c>
      <c r="DI115" s="262">
        <f>DJ115+各项系数!$L$9*$NQ115</f>
        <v>1733.88646816672</v>
      </c>
      <c r="DJ115" s="262">
        <f>DK115*(1+$EB115+各项系数!$J$5+各项系数!$L$5)</f>
        <v>1722.16371542947</v>
      </c>
      <c r="DK115" s="262">
        <f t="shared" si="352"/>
        <v>1672.00360721308</v>
      </c>
      <c r="DL115" s="176">
        <f>DM115+各项系数!$M$9*$NQ115</f>
        <v>1730.98116550786</v>
      </c>
      <c r="DM115" s="176">
        <f>DN115*(1+$EA115+(VLOOKUP($AM115,$A$12:$B$323,2,0))+各项系数!$J$6+各项系数!$M$5)*(1+$E$2)+各项系数!$M$9*$NK115</f>
        <v>1719.25841277061</v>
      </c>
      <c r="DN115" s="262">
        <f>DO115+各项系数!$L$9*$NQ115</f>
        <v>1745.02435414187</v>
      </c>
      <c r="DO115" s="262">
        <f>DP115*(1+$EB115+各项系数!$J$5+各项系数!$L$5)</f>
        <v>1733.30160140462</v>
      </c>
      <c r="DP115" s="262">
        <f t="shared" si="353"/>
        <v>1682.81708874235</v>
      </c>
      <c r="DQ115" s="176">
        <f>DR115+各项系数!$M$9*$NV115</f>
        <v>1720.1310320837</v>
      </c>
      <c r="DR115" s="176">
        <f t="shared" si="354"/>
        <v>1708.36826943364</v>
      </c>
      <c r="DS115" s="262">
        <f>DT115+各项系数!$L$9*$NV115</f>
        <v>1743.23292799351</v>
      </c>
      <c r="DT115" s="262">
        <f>DU115*(1+$EB115+各项系数!$J$5+各项系数!$L$5)</f>
        <v>1731.47016534345</v>
      </c>
      <c r="DU115" s="262">
        <f t="shared" si="355"/>
        <v>1681.03899547908</v>
      </c>
      <c r="DV115" s="176">
        <f>DW115+各项系数!$M$9*$NV115</f>
        <v>1716.49118473571</v>
      </c>
      <c r="DW115" s="176">
        <f t="shared" si="356"/>
        <v>1704.72842208565</v>
      </c>
      <c r="DX115" s="262">
        <f>DY115+各项系数!$L$9*$NV115</f>
        <v>1739.51879804658</v>
      </c>
      <c r="DY115" s="262">
        <f>DZ115*(1+$EB115+各项系数!$J$5+各项系数!$L$5)</f>
        <v>1727.75603539653</v>
      </c>
      <c r="DZ115" s="262">
        <f t="shared" si="357"/>
        <v>1677.4330440743</v>
      </c>
      <c r="EA115" s="278">
        <f t="shared" si="511"/>
        <v>0</v>
      </c>
      <c r="EB115" s="278">
        <f t="shared" si="358"/>
        <v>0.01</v>
      </c>
      <c r="EC115" s="302" t="str">
        <f t="shared" si="408"/>
        <v>3+1</v>
      </c>
      <c r="ED115" s="304" t="str">
        <f t="shared" si="494"/>
        <v>3*800</v>
      </c>
      <c r="EE115" s="95">
        <f t="shared" si="495"/>
        <v>800</v>
      </c>
      <c r="EF115" s="95" t="str">
        <f>LOOKUP(EH115,{1,7,10,14,19,24,30,37,48,61},{1,"1+6","2+8","4+10","1+6+12","2+8+14","4+10+16","1+6+12+18","3+9+15+21","1+6+12+18+24"})</f>
        <v>1+6+12+18+24</v>
      </c>
      <c r="EG115" s="127">
        <f t="shared" si="359"/>
        <v>3</v>
      </c>
      <c r="EH115" s="262">
        <f>VLOOKUP(EE115,各项系数!$B$87:$C$124,2,0)</f>
        <v>61</v>
      </c>
      <c r="EI115" s="127">
        <f>IF(EH115=0,0,VLOOKUP(EH115,各项系数!$D$142:$E$195,2,0))*1</f>
        <v>9</v>
      </c>
      <c r="EJ115" s="307">
        <f t="shared" si="409"/>
        <v>404.218837505781</v>
      </c>
      <c r="EK115" s="95" t="str">
        <f t="shared" si="508"/>
        <v>1*400</v>
      </c>
      <c r="EL115" s="95" t="str">
        <f t="shared" si="360"/>
        <v>400</v>
      </c>
      <c r="EM115" s="95">
        <f t="shared" si="496"/>
        <v>400</v>
      </c>
      <c r="EN115" s="95" t="str">
        <f>IF(EP115=0,0,LOOKUP(EP115,{1,7,10,14,19,24,30,37,48,61},{1,"1+6","2+8","4+10","1+6+12","2+8+14","4+10+16","1+6+12+18","3+9+15+21","1+6+12+18+24"}))</f>
        <v>1+6+12+18+24</v>
      </c>
      <c r="EO115" s="95" t="str">
        <f t="shared" si="509"/>
        <v>1</v>
      </c>
      <c r="EP115" s="95">
        <f>IF(EM115=0,0,IF(EM115&lt;10,1,IF(AND(EM115&gt;=10,EM115&lt;=35),7,LOOKUP(EM115,{50,70,95,120,150,185,240,300},{10,14,19,24,30,37,48,61})*1)))</f>
        <v>61</v>
      </c>
      <c r="EQ115" s="95">
        <f>IF(EP115=0,0,VLOOKUP(EP115,各项系数!$D$142:$E$195,2,0))*1</f>
        <v>9</v>
      </c>
      <c r="ER115" s="95">
        <f t="shared" si="510"/>
        <v>277.181191063812</v>
      </c>
      <c r="ES115" s="304">
        <f t="shared" si="497"/>
        <v>4</v>
      </c>
      <c r="ET115" s="95">
        <f>VLOOKUP(ES115,各项系数!$D$142:$E$195,2,0)*1</f>
        <v>2.42</v>
      </c>
      <c r="EU115" s="311">
        <f>((各项系数!$F$76/4*$EJ115^2*$EG115*$EH115*1*10^-7)*(1-$H115)*AA115)*(VLOOKUP($EY$9,各项系数!$D$4:$F$143,3,0))*各项系数!$J$4</f>
        <v>21.3961746881558</v>
      </c>
      <c r="EV115" s="312">
        <f>EU115*(VLOOKUP($EY$9,各项系数!$D$4:$F$143,2,0))</f>
        <v>1401.4494420742</v>
      </c>
      <c r="EW115" s="324">
        <f>(IF($EO115=0,0,(各项系数!$F$76/4*$ER115^2*$EO115*$EP115*1*10^-7))*(1-$K115)*$AF115)*(VLOOKUP($EY$9,各项系数!$D$4:$F$143,3,0))*各项系数!$J$4</f>
        <v>3.32102575101844</v>
      </c>
      <c r="EX115" s="325">
        <f>EW115*(VLOOKUP($EY$9,各项系数!$D$4:$F$143,2,0))</f>
        <v>217.527186691708</v>
      </c>
      <c r="EY115" s="251">
        <f>((各项系数!$F$76/4*$EJ115^2*$EG115*$EH115*1*10^-7)*(1-$H115)*AA115+IF($EO115=0,0,(各项系数!$F$76/4*$ER115^2*$EO115*$EP115*1*10^-7))*(1-$K115)*$AF115)*(VLOOKUP($EY$9,各项系数!$D$4:$F$143,3,0))*各项系数!$J$4</f>
        <v>24.7172004391742</v>
      </c>
      <c r="EZ115" s="127">
        <v>1</v>
      </c>
      <c r="FA115" s="95">
        <f t="shared" si="445"/>
        <v>24.7172004391742</v>
      </c>
      <c r="FB115" s="314">
        <f>FA115*(VLOOKUP($EY$9,各项系数!$D$4:$F$143,2,0))</f>
        <v>1618.97662876591</v>
      </c>
      <c r="FC115" s="329"/>
      <c r="FD115" s="304">
        <f>各项系数!$F$76/4*($MN115^2-MK115^2)*10^-2*(VLOOKUP(L115,各项系数!$D$1:$F$143,3,0))*10^-3*10^2*$EG115*各项系数!$J$4</f>
        <v>1.04543896439943</v>
      </c>
      <c r="FE115" s="341">
        <f>FD115*VLOOKUP(L115,各项系数!$D$1:$F$143,2,0)</f>
        <v>10.6634774368742</v>
      </c>
      <c r="FF115" s="127">
        <f>各项系数!$F$76/4*($MO115^2-ML115^2)*10^-2*(VLOOKUP(L115,各项系数!$D$1:$F$143,3,0))*10^-3*10^2*$EO115*各项系数!$J$4</f>
        <v>0.185308308074129</v>
      </c>
      <c r="FG115" s="341">
        <f>FF115*VLOOKUP(L115,各项系数!$D$1:$F$143,2,0)</f>
        <v>1.89014474235612</v>
      </c>
      <c r="FH115" s="304">
        <f t="shared" si="410"/>
        <v>1.23074727247356</v>
      </c>
      <c r="FI115" s="127">
        <v>1</v>
      </c>
      <c r="FJ115" s="95">
        <f t="shared" si="446"/>
        <v>1.23074727247356</v>
      </c>
      <c r="FK115" s="341">
        <f>FJ115*VLOOKUP(L115,各项系数!$D$1:$F$143,2,0)</f>
        <v>12.5536221792303</v>
      </c>
      <c r="FL115" s="304"/>
      <c r="FM115" s="127"/>
      <c r="FN115" s="95"/>
      <c r="FO115" s="341"/>
      <c r="FP115" s="371">
        <f t="shared" si="447"/>
        <v>1.23074727247356</v>
      </c>
      <c r="FQ115" s="371">
        <f t="shared" si="448"/>
        <v>12.5536221792303</v>
      </c>
      <c r="FR115" s="365">
        <f>各项系数!$F$76/4*($MQ115^2-$MN115^2*$EG115-$MO115^2*$EO115)*10^-2</f>
        <v>20.5830539582006</v>
      </c>
      <c r="FS115" s="366">
        <f t="shared" si="411"/>
        <v>1</v>
      </c>
      <c r="FT115" s="367">
        <f t="shared" si="361"/>
        <v>20.5830539582006</v>
      </c>
      <c r="FU115" s="395">
        <f>$FT115*(VLOOKUP($FT$9,各项系数!$D$1:$F$143,3,0))*10^-3*10^2*各项系数!$J$55</f>
        <v>2.45761664260915</v>
      </c>
      <c r="FV115" s="396">
        <v>1</v>
      </c>
      <c r="FW115" s="397">
        <f t="shared" si="449"/>
        <v>2.45761664260915</v>
      </c>
      <c r="FX115" s="372">
        <f>FW115*(VLOOKUP($FT$9,各项系数!$D$1:$F$143,2,0))</f>
        <v>7.37284992782745</v>
      </c>
      <c r="FY115" s="395">
        <f>IF($BK115&lt;&gt;$FY$9,0,各项系数!$F$76/4*($MS115^2-$MQ115^2)*10^-2*(VLOOKUP($FY$9,各项系数!$D$1:$F$143,3,0))*10^-3*10^2)*各项系数!$J$4</f>
        <v>0</v>
      </c>
      <c r="FZ115" s="396">
        <v>1</v>
      </c>
      <c r="GA115" s="397">
        <f t="shared" si="450"/>
        <v>0</v>
      </c>
      <c r="GB115" s="372">
        <f>GA115*(VLOOKUP($FY$9,各项系数!$D$1:$F$143,2,0))</f>
        <v>0</v>
      </c>
      <c r="GC115" s="395">
        <f>IF($BK115&lt;&gt;$GC$9,0,各项系数!$F$76/4*($MS115^2-$MQ115^2)*10^-2*(VLOOKUP($GC$9,各项系数!$D$1:$F$143,3,0))*10^-3*10^2)*各项系数!$J$4</f>
        <v>0.0253448443802545</v>
      </c>
      <c r="GD115" s="396">
        <v>1</v>
      </c>
      <c r="GE115" s="397">
        <f t="shared" si="451"/>
        <v>0.0253448443802545</v>
      </c>
      <c r="GF115" s="372">
        <f>GE115*(VLOOKUP($GC$9,各项系数!$D$1:$F$143,2,0))</f>
        <v>0.326948492505284</v>
      </c>
      <c r="GG115" s="395">
        <f>IF($BK115&lt;&gt;$GG$9,0,各项系数!$F$76/4*($MS115^2-$MQ115^2)*10^-2*(VLOOKUP($GG$9,各项系数!$D$1:$F$143,3,0))*10^-3*10^2)*各项系数!$J$4</f>
        <v>0</v>
      </c>
      <c r="GH115" s="396">
        <v>1</v>
      </c>
      <c r="GI115" s="397">
        <f t="shared" si="452"/>
        <v>0</v>
      </c>
      <c r="GJ115" s="372">
        <f>GI115*(VLOOKUP($GG$9,各项系数!$D$1:$F$143,2,0))</f>
        <v>0</v>
      </c>
      <c r="GK115" s="395">
        <f>IF($BK115&lt;&gt;$GK$9,0,各项系数!$F$76/4*($MS115^2-$MQ115^2)*10^-2*(VLOOKUP($GK$9,各项系数!$D$1:$F$143,3,0))*10^-3*10^2)*各项系数!$J$4</f>
        <v>0</v>
      </c>
      <c r="GL115" s="396">
        <v>1</v>
      </c>
      <c r="GM115" s="397">
        <f t="shared" si="453"/>
        <v>0</v>
      </c>
      <c r="GN115" s="372">
        <f>GM115*(VLOOKUP($GK$9,各项系数!$D$1:$F$143,2,0))</f>
        <v>0</v>
      </c>
      <c r="GO115" s="397">
        <f t="shared" si="454"/>
        <v>0.0253448443802545</v>
      </c>
      <c r="GP115" s="397">
        <f t="shared" si="455"/>
        <v>0.326948492505284</v>
      </c>
      <c r="GQ115" s="408">
        <f>各项系数!$F$76/4*($MU115^2-$MS115^2)*10^-2*(VLOOKUP($S115,各项系数!$D$1:$F$143,3,0))*10^-3*10^2*各项系数!$J$4</f>
        <v>1.72160197953932</v>
      </c>
      <c r="GR115" s="396">
        <v>1</v>
      </c>
      <c r="GS115" s="397">
        <f t="shared" si="456"/>
        <v>1.72160197953932</v>
      </c>
      <c r="GT115" s="397">
        <f t="shared" si="457"/>
        <v>0</v>
      </c>
      <c r="GU115" s="397">
        <f>ROUND($GS115*(VLOOKUP($S115,各项系数!$D$1:$F$143,2,0))+$E$3*GS115,GT115)</f>
        <v>10</v>
      </c>
      <c r="GV115" s="406">
        <f>各项系数!$F$76/4*($MT115^2-$MS115^2)*10^-2*(VLOOKUP($GV$9,各项系数!$D$1:$F$143,3,0))*10^-3*10^2*各项系数!$J$4*PI()/4*R115</f>
        <v>0.130234675838718</v>
      </c>
      <c r="GW115" s="396">
        <v>1</v>
      </c>
      <c r="GX115" s="397">
        <f t="shared" si="458"/>
        <v>0.130234675838718</v>
      </c>
      <c r="GY115" s="397">
        <f>$GX115*(VLOOKUP($GV$9,各项系数!$D$1:$F$143,2,0))</f>
        <v>8.79084061911345</v>
      </c>
      <c r="GZ115" s="408">
        <f>各项系数!$F$76/4*($MV115^2-$MS115^2)*10^-2*(VLOOKUP($GZ$9,各项系数!$D$1:$F$143,3,0))*10^-3*10^2*各项系数!$J$4</f>
        <v>1.8073393795151</v>
      </c>
      <c r="HA115" s="396">
        <v>1</v>
      </c>
      <c r="HB115" s="397">
        <f t="shared" si="412"/>
        <v>1.8073393795151</v>
      </c>
      <c r="HC115" s="397">
        <f>HB115*(VLOOKUP($GZ$9,各项系数!$D$1:$F$143,2,0))</f>
        <v>30.7247694517568</v>
      </c>
      <c r="HD115" s="408">
        <f>各项系数!$F$76/4*($MW115^2-$MT115^2)*10^-2*(VLOOKUP($HD$9,各项系数!$D$1:$F$143,3,0))*10^-3*10^2*各项系数!$J$4</f>
        <v>1.81031272103254</v>
      </c>
      <c r="HE115" s="396">
        <v>1</v>
      </c>
      <c r="HF115" s="397">
        <f t="shared" si="413"/>
        <v>1.81031272103254</v>
      </c>
      <c r="HG115" s="397">
        <f>HF115*(VLOOKUP($HD$9,各项系数!$D$1:$F$143,2,0))</f>
        <v>30.7753162575532</v>
      </c>
      <c r="HH115" s="408">
        <f>各项系数!$F$76/4*($MV115^2-$MS115^2)*10^-2*(VLOOKUP($HH$9,各项系数!$D$1:$F$143,3,0))*10^-3*10^2*各项系数!$J$4</f>
        <v>1.8073393795151</v>
      </c>
      <c r="HI115" s="397">
        <v>1</v>
      </c>
      <c r="HJ115" s="397">
        <f t="shared" si="414"/>
        <v>1.8073393795151</v>
      </c>
      <c r="HK115" s="397">
        <f>HJ115*(VLOOKUP($HH$9,各项系数!$D$1:$F$143,2,0))</f>
        <v>30.7247694517568</v>
      </c>
      <c r="HL115" s="408">
        <f>各项系数!$F$76/4*($MW115^2-$MT115^2)*10^-2*(VLOOKUP($HL$9,各项系数!$D$1:$F$143,3,0))*10^-3*10^2*各项系数!$J$4</f>
        <v>1.81031272103254</v>
      </c>
      <c r="HM115" s="397">
        <v>1</v>
      </c>
      <c r="HN115" s="397">
        <f t="shared" si="362"/>
        <v>1.81031272103254</v>
      </c>
      <c r="HO115" s="397">
        <f>HN115*(VLOOKUP($HL$9,各项系数!$D$1:$F$143,2,0))</f>
        <v>30.7753162575532</v>
      </c>
      <c r="HP115" s="408">
        <f>各项系数!$F$76/4*($MV115^2-$MS115^2)*10^-2*(VLOOKUP(AN115,各项系数!$D$1:$F$143,3,0))*10^-3*10^2*各项系数!$J$4</f>
        <v>1.8322681985429</v>
      </c>
      <c r="HQ115" s="396">
        <v>1</v>
      </c>
      <c r="HR115" s="397">
        <f t="shared" si="459"/>
        <v>1.8322681985429</v>
      </c>
      <c r="HS115" s="397">
        <f>HR115*(VLOOKUP(AN115,各项系数!$D$1:$F$143,2,0))</f>
        <v>18.322681985429</v>
      </c>
      <c r="HT115" s="408">
        <f>各项系数!$F$76/4*($MW115^2-$MT115^2)*10^-2*(VLOOKUP(AN115,各项系数!$D$1:$F$143,3,0))*10^-3*10^2*各项系数!$J$4</f>
        <v>1.83528255166747</v>
      </c>
      <c r="HU115" s="396">
        <v>1</v>
      </c>
      <c r="HV115" s="397">
        <f t="shared" si="460"/>
        <v>1.83528255166747</v>
      </c>
      <c r="HW115" s="397">
        <f>HV115*(VLOOKUP(AN115,各项系数!$D$1:$F$143,2,0))</f>
        <v>18.3528255166747</v>
      </c>
      <c r="HX115" s="408">
        <f>各项系数!$F$76/4*($MV115^2-$MS115^2)*10^-2*(VLOOKUP($HX$9,各项系数!$D$1:$F$143,3,0))*10^-3*10^2*各项系数!$J$4</f>
        <v>1.8322681985429</v>
      </c>
      <c r="HY115" s="397">
        <v>1</v>
      </c>
      <c r="HZ115" s="397">
        <f t="shared" si="461"/>
        <v>1.8322681985429</v>
      </c>
      <c r="IA115" s="397">
        <f>HZ115*(VLOOKUP($HX$9,各项系数!$D$1:$F$143,2,0))</f>
        <v>20.1549501839719</v>
      </c>
      <c r="IB115" s="408">
        <f>各项系数!$F$76/4*($MW115^2-$MT115^2)*10^-2*(VLOOKUP($IB$9,各项系数!$D$1:$F$143,3,0))*10^-3*10^2*各项系数!$J$4</f>
        <v>1.83528255166747</v>
      </c>
      <c r="IC115" s="397">
        <v>1</v>
      </c>
      <c r="ID115" s="397">
        <f t="shared" si="462"/>
        <v>1.83528255166747</v>
      </c>
      <c r="IE115" s="397">
        <f>ID115*(VLOOKUP($IB$9,各项系数!$D$1:$F$143,2,0))</f>
        <v>20.1881080683422</v>
      </c>
      <c r="IF115" s="395"/>
      <c r="IG115" s="408">
        <f t="shared" si="415"/>
        <v>0.190298943102409</v>
      </c>
      <c r="IH115" s="396">
        <v>1</v>
      </c>
      <c r="II115" s="397">
        <f t="shared" si="463"/>
        <v>0.190298943102409</v>
      </c>
      <c r="IJ115" s="397">
        <f>II115*(VLOOKUP($IG$8,各项系数!$D$1:$F$143,2,0))</f>
        <v>4.75747357756022</v>
      </c>
      <c r="IK115" s="408">
        <f>(各项系数!$F$76/4*($MX115^2-$MK115^2)*$EG115)*10^-2*(VLOOKUP($IG$8,各项系数!$D$1:$F$143,3,0))*10^-3*10^2*各项系数!$J$4</f>
        <v>0.154786272784713</v>
      </c>
      <c r="IL115" s="396">
        <f>IK115*(VLOOKUP($IG$8,各项系数!$D$1:$F$143,2,0))</f>
        <v>3.86965681961783</v>
      </c>
      <c r="IM115" s="397">
        <f>(各项系数!$F$76/4*(($MM115+3*$X115)^2-MM115^2)*$EO115)*10^-2*(VLOOKUP($IG$8,各项系数!$D$1:$F$143,3,0))*10^-3*10^2*各项系数!$J$4</f>
        <v>0.0355126703176959</v>
      </c>
      <c r="IN115" s="396">
        <f>IM115*(VLOOKUP($IG$8,各项系数!$D$1:$F$143,2,0))</f>
        <v>0.887816757942398</v>
      </c>
      <c r="IO115" s="408">
        <f>各项系数!$F$76/4*($MZ115^2-$MX115^2)*10^-2*(VLOOKUP(L115,各项系数!$D$1:$F$143,3,0))*10^-3*10^2*$ES115*各项系数!$J$4</f>
        <v>1.41537469171361</v>
      </c>
      <c r="IP115" s="396">
        <v>1</v>
      </c>
      <c r="IQ115" s="397">
        <f t="shared" si="464"/>
        <v>1.41537469171361</v>
      </c>
      <c r="IR115" s="372">
        <f>IQ115*(VLOOKUP(L115,各项系数!$D$1:$F$143,2,0))</f>
        <v>14.4368218554788</v>
      </c>
      <c r="IS115" s="408">
        <f>IF($L115&lt;&gt;$IS$9,0,各项系数!$F$76/4*($MZ115^2-$MX115^2)*10^-2*各项系数!$F$12*10^-3*10^2)*$ES115*各项系数!$J$4</f>
        <v>0</v>
      </c>
      <c r="IT115" s="396">
        <v>1</v>
      </c>
      <c r="IU115" s="397">
        <f t="shared" si="465"/>
        <v>0</v>
      </c>
      <c r="IV115" s="372">
        <f>IU115*各项系数!$E$12</f>
        <v>0</v>
      </c>
      <c r="IW115" s="395">
        <f t="shared" si="466"/>
        <v>1.41537469171361</v>
      </c>
      <c r="IX115" s="395">
        <f t="shared" si="467"/>
        <v>14.4368218554788</v>
      </c>
      <c r="IY115" s="447">
        <f>各项系数!$F$76/4*($NB115^2-$MZ115^2*$EG115-$NA115^2*$EO115)*10^-2</f>
        <v>21.7733208440517</v>
      </c>
      <c r="IZ115" s="366">
        <f t="shared" si="487"/>
        <v>1</v>
      </c>
      <c r="JA115" s="367">
        <f t="shared" si="363"/>
        <v>21.7733208440517</v>
      </c>
      <c r="JB115" s="371">
        <f>IF($DE115&lt;&gt;$JB$9,0,$JA115*各项系数!$F$32*10^-3*10^2)*各项系数!$J$4</f>
        <v>0</v>
      </c>
      <c r="JC115" s="127">
        <v>1</v>
      </c>
      <c r="JD115" s="95">
        <f t="shared" si="468"/>
        <v>0</v>
      </c>
      <c r="JE115" s="341">
        <f>JD115*各项系数!$E$32</f>
        <v>0</v>
      </c>
      <c r="JF115" s="364">
        <f>IF($DE115&lt;&gt;$JF$9,0,$JA115*VLOOKUP($JF$9,各项系数!$D$4:$F$540,2,0)*10^-3*10^2)*各项系数!$J$4</f>
        <v>10.8322271199157</v>
      </c>
      <c r="JG115" s="123">
        <v>1</v>
      </c>
      <c r="JH115" s="251">
        <f t="shared" si="364"/>
        <v>10.8322271199157</v>
      </c>
      <c r="JI115" s="339">
        <f>JH115*VLOOKUP($JF$9,各项系数!$D$4:$F$540,3,0)</f>
        <v>12.9986725438989</v>
      </c>
      <c r="JJ115" s="371">
        <f t="shared" si="469"/>
        <v>10.8322271199157</v>
      </c>
      <c r="JK115" s="95">
        <f t="shared" si="470"/>
        <v>12.9986725438989</v>
      </c>
      <c r="JL115" s="371">
        <f>IF($DF115&lt;&gt;$JL$9,0,各项系数!$F$76/4*($NE115^2-$NC115^2)*10^-2*各项系数!$F$39*10^-3*10^2)*各项系数!$J$4</f>
        <v>0.0107217715761493</v>
      </c>
      <c r="JM115" s="127">
        <v>1</v>
      </c>
      <c r="JN115" s="95">
        <f t="shared" si="471"/>
        <v>0.0107217715761493</v>
      </c>
      <c r="JO115" s="341">
        <f>JN115*各项系数!$E$39</f>
        <v>0.214435431522986</v>
      </c>
      <c r="JP115" s="371">
        <f>IF($DF115&lt;&gt;$JP$9,0,各项系数!$F$76/4*($NE115^2-$NC115^2)*10^-2*各项系数!$F$36*10^-3*10^2)*各项系数!$J$4</f>
        <v>0</v>
      </c>
      <c r="JQ115" s="127">
        <v>1</v>
      </c>
      <c r="JR115" s="95">
        <f t="shared" si="472"/>
        <v>0</v>
      </c>
      <c r="JS115" s="341">
        <f>JR115*各项系数!$E$36</f>
        <v>0</v>
      </c>
      <c r="JT115" s="371">
        <f>IF($DF115&lt;&gt;$JT$9,0,各项系数!$F$76/4*($NE115^2-$NC115^2)*10^-2*各项系数!$F$40*10^-3*10^2)*各项系数!$J$4</f>
        <v>0</v>
      </c>
      <c r="JU115" s="127">
        <v>1</v>
      </c>
      <c r="JV115" s="95">
        <f t="shared" si="473"/>
        <v>0</v>
      </c>
      <c r="JW115" s="341">
        <f>JV115*各项系数!$E$40</f>
        <v>0</v>
      </c>
      <c r="JX115" s="371">
        <f>IF($DF115&lt;&gt;$JX$9,0,各项系数!$F$76/4*($NE115^2-$NC115^2)*10^-2*各项系数!$F$38*10^-3*10^2)*各项系数!$J$4</f>
        <v>0</v>
      </c>
      <c r="JY115" s="127">
        <v>1</v>
      </c>
      <c r="JZ115" s="95">
        <f t="shared" si="474"/>
        <v>0</v>
      </c>
      <c r="KA115" s="341">
        <f>JZ115*各项系数!$E$38</f>
        <v>0</v>
      </c>
      <c r="KB115" s="371">
        <f>IF($DF115&lt;&gt;$KB$9,0,各项系数!$F$76/4*($NE115^2-$NC115^2)*10^-2*各项系数!$F$41*10^-3*10^2)*各项系数!$J$4</f>
        <v>0</v>
      </c>
      <c r="KC115" s="127">
        <v>1</v>
      </c>
      <c r="KD115" s="95">
        <f t="shared" si="475"/>
        <v>0</v>
      </c>
      <c r="KE115" s="341">
        <f>KD115*各项系数!$E$41</f>
        <v>0</v>
      </c>
      <c r="KF115" s="95">
        <f t="shared" si="476"/>
        <v>0.0107217715761493</v>
      </c>
      <c r="KG115" s="95">
        <f t="shared" si="477"/>
        <v>0.214435431522986</v>
      </c>
      <c r="KH115" s="304">
        <f>各项系数!$F$76/4*($NG115^2-$NE115^2)*10^-2*各项系数!$F$44*10^-3*10^2*各项系数!$J$4*0.75*$U115</f>
        <v>2.64405790331149</v>
      </c>
      <c r="KI115" s="127">
        <v>1</v>
      </c>
      <c r="KJ115" s="95">
        <f t="shared" si="478"/>
        <v>2.64405790331149</v>
      </c>
      <c r="KK115" s="95">
        <f>ROUND(KJ115*各项系数!$E$43,GT115)</f>
        <v>15</v>
      </c>
      <c r="KL115" s="302">
        <f>各项系数!$F$76/4*($NF115^2-$NE115^2)*10^-2*各项系数!$F$46*10^-3*10^2*各项系数!$J$4*PI()/4*R115</f>
        <v>0.133366376024142</v>
      </c>
      <c r="KM115" s="127">
        <v>1</v>
      </c>
      <c r="KN115" s="95">
        <f t="shared" si="479"/>
        <v>0.133366376024142</v>
      </c>
      <c r="KO115" s="95">
        <f>KN115*各项系数!$E$46</f>
        <v>9.00223038162962</v>
      </c>
      <c r="KP115" s="304">
        <f>各项系数!$F$76/4*($NH115^2-$NE115^2)*10^-2*(VLOOKUP($KP$9,各项系数!$D$1:$F$143,3,0))*10^-3*10^2*各项系数!$J$4</f>
        <v>1.84900332752815</v>
      </c>
      <c r="KQ115" s="127">
        <v>1</v>
      </c>
      <c r="KR115" s="95">
        <f t="shared" si="416"/>
        <v>1.84900332752815</v>
      </c>
      <c r="KS115" s="95">
        <f>KR115*(VLOOKUP($KP$9,各项系数!$D$1:$F$143,2,0))</f>
        <v>31.4330565679786</v>
      </c>
      <c r="KT115" s="304">
        <f>各项系数!$F$76/4*($NI115^2-$NF115^2)*10^-2*(VLOOKUP($KT$9,各项系数!$D$1:$F$143,3,0))*10^-3*10^2*各项系数!$J$4</f>
        <v>1.85197666904558</v>
      </c>
      <c r="KU115" s="127">
        <v>1</v>
      </c>
      <c r="KV115" s="95">
        <f t="shared" si="417"/>
        <v>1.85197666904558</v>
      </c>
      <c r="KW115" s="95">
        <f>KV115*(VLOOKUP($KT$9,各项系数!$D$1:$F$143,2,0))</f>
        <v>31.4836033737749</v>
      </c>
      <c r="KX115" s="95">
        <f>各项系数!$F$76/4*($NH115^2-$NE115^2)*10^-2*(VLOOKUP($KX$9,各项系数!$D$1:$F$143,3,0))*10^-3*10^2*各项系数!$J$4</f>
        <v>1.84900332752815</v>
      </c>
      <c r="KY115" s="481">
        <v>1</v>
      </c>
      <c r="KZ115" s="95">
        <f t="shared" si="418"/>
        <v>1.84900332752815</v>
      </c>
      <c r="LA115" s="95">
        <f>KZ115*(VLOOKUP($KX$9,各项系数!$D$1:$F$143,2,0))</f>
        <v>31.4330565679786</v>
      </c>
      <c r="LB115" s="95">
        <f>各项系数!$F$76/4*($NI115^2-$NF115^2)*10^-2*(VLOOKUP($LB$9,各项系数!$D$1:$F$143,3,0))*10^-3*10^2*各项系数!$J$4</f>
        <v>1.85197666904558</v>
      </c>
      <c r="LC115" s="481">
        <v>1</v>
      </c>
      <c r="LD115" s="95">
        <f t="shared" si="419"/>
        <v>1.85197666904558</v>
      </c>
      <c r="LE115" s="95">
        <f>LD115*(VLOOKUP($LB$9,各项系数!$D$1:$F$143,2,0))</f>
        <v>31.4836033737749</v>
      </c>
      <c r="LF115" s="304">
        <f>各项系数!$F$76/4*($NH115^2-$NE115^2)*10^-2*(VLOOKUP(AN115,各项系数!$D$1:$F$143,3,0))*10^-3*10^2*各项系数!$J$4</f>
        <v>1.87450682170095</v>
      </c>
      <c r="LG115" s="127">
        <v>1</v>
      </c>
      <c r="LH115" s="95">
        <f t="shared" si="480"/>
        <v>1.87450682170095</v>
      </c>
      <c r="LI115" s="95">
        <f>LH115*(VLOOKUP(AN115,各项系数!$D$1:$F$143,2,0))</f>
        <v>18.7450682170095</v>
      </c>
      <c r="LJ115" s="304">
        <f>各项系数!$F$76/4*($NI115^2-$NF115^2)*10^-2*(VLOOKUP(AN115,各项系数!$D$1:$F$143,3,0))*10^-3*10^2*各项系数!$J$4</f>
        <v>1.87752117482552</v>
      </c>
      <c r="LK115" s="127">
        <v>1</v>
      </c>
      <c r="LL115" s="95">
        <f t="shared" si="481"/>
        <v>1.87752117482552</v>
      </c>
      <c r="LM115" s="95">
        <f>LL115*(VLOOKUP(AN115,各项系数!$D$1:$F$143,2,0))</f>
        <v>18.7752117482552</v>
      </c>
      <c r="LN115" s="95">
        <f>各项系数!$F$76/4*($NH115^2-$NE115^2)*10^-2*(VLOOKUP($LN$9,各项系数!$D$1:$F$143,3,0))*10^-3*10^2*各项系数!$J$4</f>
        <v>1.87450682170095</v>
      </c>
      <c r="LO115" s="481">
        <v>1</v>
      </c>
      <c r="LP115" s="95">
        <f t="shared" si="482"/>
        <v>1.87450682170095</v>
      </c>
      <c r="LQ115" s="95">
        <f>LP115*(VLOOKUP($LN$9,各项系数!$D$1:$F$143,2,0))</f>
        <v>20.6195750387105</v>
      </c>
      <c r="LR115" s="95">
        <f>各项系数!$F$76/4*($NI115^2-$NF115^2)*10^-2*(VLOOKUP($LR$9,各项系数!$D$1:$F$143,3,0))*10^-3*10^2*各项系数!$J$4</f>
        <v>1.87752117482552</v>
      </c>
      <c r="LS115" s="481">
        <v>1</v>
      </c>
      <c r="LT115" s="95">
        <f t="shared" si="483"/>
        <v>1.87752117482552</v>
      </c>
      <c r="LU115" s="95">
        <f>LT115*(VLOOKUP($LR$9,各项系数!$D$1:$F$143,2,0))</f>
        <v>20.6527329230808</v>
      </c>
      <c r="LV115" s="501">
        <f t="shared" si="420"/>
        <v>3118.38155905</v>
      </c>
      <c r="LW115" s="501">
        <f t="shared" si="421"/>
        <v>2348.41080373</v>
      </c>
      <c r="LX115" s="501">
        <f t="shared" si="422"/>
        <v>54.6817108601434</v>
      </c>
      <c r="LY115" s="519">
        <f t="shared" si="423"/>
        <v>769.97075532</v>
      </c>
      <c r="LZ115" s="516">
        <f t="shared" si="365"/>
        <v>1</v>
      </c>
      <c r="MA115" s="517">
        <f t="shared" si="366"/>
        <v>3118.38155905</v>
      </c>
      <c r="MB115" s="501">
        <f t="shared" si="424"/>
        <v>36.37969542</v>
      </c>
      <c r="MC115" s="501">
        <f t="shared" si="425"/>
        <v>488.76760487</v>
      </c>
      <c r="MD115" s="501">
        <f t="shared" si="426"/>
        <v>368.08424547</v>
      </c>
      <c r="ME115" s="501">
        <f t="shared" si="427"/>
        <v>21.6485430716806</v>
      </c>
      <c r="MF115" s="501">
        <f t="shared" si="428"/>
        <v>120.6833594</v>
      </c>
      <c r="MG115" s="527">
        <f t="shared" si="429"/>
        <v>1</v>
      </c>
      <c r="MH115" s="517">
        <f t="shared" si="367"/>
        <v>488.76760487</v>
      </c>
      <c r="MI115" s="501">
        <f t="shared" si="430"/>
        <v>24.946307195775</v>
      </c>
      <c r="MJ115" s="95">
        <f t="shared" si="368"/>
        <v>36.37969542</v>
      </c>
      <c r="MK115" s="95">
        <f t="shared" si="431"/>
        <v>36.37969542</v>
      </c>
      <c r="ML115" s="95">
        <f t="shared" si="484"/>
        <v>24.9463071957431</v>
      </c>
      <c r="MM115" s="95">
        <f t="shared" si="369"/>
        <v>24.946307195775</v>
      </c>
      <c r="MN115" s="95">
        <f t="shared" si="370"/>
        <v>41.57969542</v>
      </c>
      <c r="MO115" s="251">
        <f t="shared" si="432"/>
        <v>28.946307195775</v>
      </c>
      <c r="MP115" s="95">
        <f t="shared" si="433"/>
        <v>92.97966304</v>
      </c>
      <c r="MQ115" s="95">
        <f t="shared" si="485"/>
        <v>92.97966304</v>
      </c>
      <c r="MR115" s="314">
        <f t="shared" si="434"/>
        <v>92.97966304</v>
      </c>
      <c r="MS115" s="530">
        <f t="shared" si="371"/>
        <v>93.15566304</v>
      </c>
      <c r="MT115" s="532">
        <f t="shared" si="372"/>
        <v>93.31566304</v>
      </c>
      <c r="MU115" s="532">
        <f t="shared" si="373"/>
        <v>94.65566304</v>
      </c>
      <c r="MV115" s="532">
        <f t="shared" si="374"/>
        <v>101.35566304</v>
      </c>
      <c r="MW115" s="532">
        <f t="shared" si="375"/>
        <v>101.51566304</v>
      </c>
      <c r="MX115" s="314">
        <f t="shared" si="376"/>
        <v>36.97969542</v>
      </c>
      <c r="MY115" s="314">
        <f t="shared" si="377"/>
        <v>25.546307195775</v>
      </c>
      <c r="MZ115" s="95">
        <f t="shared" si="378"/>
        <v>42.17969542</v>
      </c>
      <c r="NA115" s="95">
        <f t="shared" si="379"/>
        <v>30.746307195775</v>
      </c>
      <c r="NB115" s="95">
        <f t="shared" si="435"/>
        <v>95.15766304</v>
      </c>
      <c r="NC115" s="314">
        <f t="shared" si="486"/>
        <v>95.15766304</v>
      </c>
      <c r="ND115" s="314">
        <f t="shared" si="436"/>
        <v>95.15766304</v>
      </c>
      <c r="NE115" s="537">
        <f t="shared" si="437"/>
        <v>95.39766304</v>
      </c>
      <c r="NF115" s="532">
        <f t="shared" si="380"/>
        <v>95.55766304</v>
      </c>
      <c r="NG115" s="180">
        <f t="shared" si="381"/>
        <v>96.89766304</v>
      </c>
      <c r="NH115" s="314">
        <f t="shared" si="382"/>
        <v>103.59766304</v>
      </c>
      <c r="NI115" s="532">
        <f t="shared" si="383"/>
        <v>103.75766304</v>
      </c>
      <c r="NK115" s="541">
        <f t="shared" si="384"/>
        <v>30.4484857052542</v>
      </c>
      <c r="NL115" s="541">
        <f t="shared" si="385"/>
        <v>1659.44287609326</v>
      </c>
      <c r="NM115" s="541">
        <f t="shared" si="386"/>
        <v>30.4484857052542</v>
      </c>
      <c r="NN115" s="541">
        <f t="shared" si="387"/>
        <v>1661.2751442918</v>
      </c>
      <c r="NO115" s="541">
        <f t="shared" si="388"/>
        <v>39.0758424575007</v>
      </c>
      <c r="NP115" s="541">
        <f t="shared" si="389"/>
        <v>1671.01691714932</v>
      </c>
      <c r="NQ115" s="541">
        <f t="shared" si="390"/>
        <v>39.0758424575007</v>
      </c>
      <c r="NR115" s="541">
        <f t="shared" si="391"/>
        <v>1672.89142397102</v>
      </c>
      <c r="NS115" s="541">
        <f t="shared" si="392"/>
        <v>30.5787203810929</v>
      </c>
      <c r="NT115" s="541">
        <f t="shared" si="393"/>
        <v>30.5787203810929</v>
      </c>
      <c r="NU115" s="541">
        <f t="shared" si="394"/>
        <v>39.2092088335249</v>
      </c>
      <c r="NV115" s="541">
        <f t="shared" si="395"/>
        <v>39.2092088335249</v>
      </c>
      <c r="NW115" s="11">
        <f t="shared" si="396"/>
        <v>32.1700876847935</v>
      </c>
      <c r="NX115" s="11">
        <f>各项系数!$M$9*NK115</f>
        <v>9.13454571157625</v>
      </c>
      <c r="NY115" s="11">
        <f t="shared" si="397"/>
        <v>30.5787203810929</v>
      </c>
    </row>
    <row r="116" s="11" customFormat="1" customHeight="1" spans="1:389">
      <c r="A116" s="81"/>
      <c r="B116" s="82"/>
      <c r="C116" s="83"/>
      <c r="D116" s="74" t="s">
        <v>325</v>
      </c>
      <c r="E116" s="550">
        <f t="shared" si="503"/>
        <v>16.81712393</v>
      </c>
      <c r="F116" s="84">
        <f>$F$20</f>
        <v>131.130294998433</v>
      </c>
      <c r="G116" s="74"/>
      <c r="H116" s="23"/>
      <c r="I116" s="174">
        <f>$F$203</f>
        <v>267.425148012862</v>
      </c>
      <c r="J116" s="78"/>
      <c r="K116" s="23"/>
      <c r="L116" s="128" t="s">
        <v>467</v>
      </c>
      <c r="M116" s="119">
        <f t="shared" si="339"/>
        <v>0.7</v>
      </c>
      <c r="N116" s="119">
        <f t="shared" si="501"/>
        <v>0.7</v>
      </c>
      <c r="O116" s="74">
        <f t="shared" si="502"/>
        <v>0.08</v>
      </c>
      <c r="P116" s="120">
        <v>0.1</v>
      </c>
      <c r="Q116" s="165">
        <f t="shared" si="512"/>
        <v>0.1</v>
      </c>
      <c r="R116" s="182">
        <v>0.8</v>
      </c>
      <c r="S116" s="173" t="str">
        <f>各项系数!$D$43</f>
        <v>钢带</v>
      </c>
      <c r="T116" s="78">
        <v>0.2</v>
      </c>
      <c r="U116" s="78">
        <v>2</v>
      </c>
      <c r="V116" s="172"/>
      <c r="W116" s="174">
        <v>1.8</v>
      </c>
      <c r="X116" s="168">
        <f t="shared" si="513"/>
        <v>0.2</v>
      </c>
      <c r="Y116" s="221"/>
      <c r="Z116" s="222"/>
      <c r="AA116" s="223">
        <f>$AA$20</f>
        <v>1.011</v>
      </c>
      <c r="AB116" s="186">
        <f>PI()*EJ116*EJ116/4*EH116*(1-H116)*AA116*各项系数!$F$5*各项系数!$J$4*10^-7</f>
        <v>0.0845415089527171</v>
      </c>
      <c r="AC116" s="224">
        <f t="shared" si="504"/>
        <v>131.130294998433</v>
      </c>
      <c r="AD116" s="186">
        <f t="shared" si="341"/>
        <v>9.55751863397041</v>
      </c>
      <c r="AE116" s="186">
        <f>POWER(4*EU116/PI()/EG116/10^-7/EH116/(1-H116)/各项系数!$F$5/各项系数!$J$4,0.5)</f>
        <v>131.849539109191</v>
      </c>
      <c r="AF116" s="225">
        <f>$AA$203</f>
        <v>1</v>
      </c>
      <c r="AG116" s="23">
        <f>IF(EM116=0,0,PI()*ER116*ER116/4*EP116*(1-K116)*(1+AF116)*各项系数!$F$5*各项系数!$J$4*10^-7)</f>
        <v>0.0993686085420593</v>
      </c>
      <c r="AH116" s="23">
        <f t="shared" si="505"/>
        <v>267.425148012862</v>
      </c>
      <c r="AI116" s="85">
        <f t="shared" si="398"/>
        <v>5.61686998219778</v>
      </c>
      <c r="AJ116" s="85">
        <f>IF(OR(EP116="",EP116=0),0,POWER(4*EW116/PI()/EO116/10^-7/EP116/(1-K116)/各项系数!$F$5/各项系数!$J$4,0.5))</f>
        <v>267.425148012862</v>
      </c>
      <c r="AK116" s="23">
        <f t="shared" si="342"/>
        <v>0.35299313540021</v>
      </c>
      <c r="AL116" s="23">
        <f t="shared" si="506"/>
        <v>25.9126917134713</v>
      </c>
      <c r="AM116" s="127">
        <f t="shared" si="507"/>
        <v>10</v>
      </c>
      <c r="AN116" s="128" t="s">
        <v>486</v>
      </c>
      <c r="AO116" s="176">
        <f>AP116+各项系数!$M$9*$NK116</f>
        <v>25.4045997190896</v>
      </c>
      <c r="AP116" s="176">
        <f>AQ116*(1+$BI116+(VLOOKUP($AM116,$A$12:$B$323,2,0))+各项系数!$J$6+各项系数!$M$5)*(1+$E$2)</f>
        <v>25.2260885616038</v>
      </c>
      <c r="AQ116" s="262">
        <f>AR116+各项系数!$L$9*$NK116</f>
        <v>25.740906695514</v>
      </c>
      <c r="AR116" s="262">
        <f>AS116*(1+$BJ116+各项系数!$J$5+各项系数!$L$5)</f>
        <v>25.5623955380283</v>
      </c>
      <c r="AS116" s="262">
        <f t="shared" si="399"/>
        <v>25.0611720961061</v>
      </c>
      <c r="AT116" s="176">
        <f>AU116+各项系数!$M$9*$NM116</f>
        <v>26.2449910263877</v>
      </c>
      <c r="AU116" s="176">
        <f>AV116*(1+$BI116+(VLOOKUP($AM116,$A$12:$B$323,2,0))+各项系数!$J$6+各项系数!$M$5)*(1+$E$2)</f>
        <v>26.0664798689019</v>
      </c>
      <c r="AV116" s="262">
        <f>AW116+各项系数!$L$9*$NM116</f>
        <v>26.5984488458183</v>
      </c>
      <c r="AW116" s="262">
        <f>AX116*(1+$BJ116+各项系数!$J$5+各项系数!$L$5)</f>
        <v>26.4199376883325</v>
      </c>
      <c r="AX116" s="262">
        <f t="shared" si="400"/>
        <v>25.9018996944436</v>
      </c>
      <c r="AY116" s="176">
        <f>AZ116+各项系数!$M$9*$NS116</f>
        <v>26.6820954444396</v>
      </c>
      <c r="AZ116" s="176">
        <f>BA116*(1+$BI116+(VLOOKUP($AM116,$A$12:$B$214,2,0))+各项系数!$J$6+各项系数!$M$5)*(1+$E$2)</f>
        <v>26.4980121274341</v>
      </c>
      <c r="BA116" s="262">
        <f>BB116+各项系数!$L$9*$NS116</f>
        <v>27.0387878851368</v>
      </c>
      <c r="BB116" s="262">
        <f>BC116*(1+$BJ116+各项系数!$J$5+各项系数!$L$5)</f>
        <v>26.8547045681313</v>
      </c>
      <c r="BC116" s="262">
        <f t="shared" si="401"/>
        <v>26.3281417334621</v>
      </c>
      <c r="BD116" s="176">
        <f>BE116+各项系数!$M$9*$NS116</f>
        <v>27.5314407038922</v>
      </c>
      <c r="BE116" s="176">
        <f>BF116*(1+$BI116+(VLOOKUP($AM116,$A$12:$B$214,2,0))+各项系数!$J$6+各项系数!$M$5)*(1+$E$2)</f>
        <v>27.3473573868867</v>
      </c>
      <c r="BF116" s="262">
        <f>BG116+各项系数!$L$9*$NS116</f>
        <v>27.905466721313</v>
      </c>
      <c r="BG116" s="262">
        <f>BH116*(1+$BJ116+各项系数!$J$5+各项系数!$L$5)</f>
        <v>27.7213834043075</v>
      </c>
      <c r="BH116" s="262">
        <f t="shared" si="402"/>
        <v>27.1778268669681</v>
      </c>
      <c r="BI116" s="278"/>
      <c r="BJ116" s="279"/>
      <c r="BK116" s="95" t="s">
        <v>514</v>
      </c>
      <c r="BL116" s="176">
        <f>BM116+各项系数!$M$9*$NM116</f>
        <v>25.7755747577429</v>
      </c>
      <c r="BM116" s="176">
        <f>BN116*(1+$CF116+(VLOOKUP($AM116,$A$12:$B$323,2,0))+各项系数!$J$6+各项系数!$M$5)*(1+$E$2)</f>
        <v>25.5970636002572</v>
      </c>
      <c r="BN116" s="262">
        <f>BO116+各项系数!$L$9*$NM116</f>
        <v>26.1194526533236</v>
      </c>
      <c r="BO116" s="262">
        <f>BP116*(1+$CG116+各项系数!$J$5+各项系数!$L$5)</f>
        <v>25.9409414958378</v>
      </c>
      <c r="BP116" s="262">
        <f t="shared" si="403"/>
        <v>25.1853800930464</v>
      </c>
      <c r="BQ116" s="176">
        <f>BR116+各项系数!$M$9*$NM116</f>
        <v>26.4988296433932</v>
      </c>
      <c r="BR116" s="176">
        <f>BS116*(1+$CF116+(VLOOKUP($AM116,$A$12:$B$323,2,0))+各项系数!$J$6+各项系数!$M$5)*(1+$E$2)</f>
        <v>26.3203184859074</v>
      </c>
      <c r="BS116" s="262">
        <f>BT116+各项系数!$L$9*$NM116</f>
        <v>26.8574678427627</v>
      </c>
      <c r="BT116" s="262">
        <f>BU116*(1+$CG116+各项系数!$J$5+各项系数!$L$5)</f>
        <v>26.6789566852769</v>
      </c>
      <c r="BU116" s="262">
        <f t="shared" si="404"/>
        <v>25.9018996944436</v>
      </c>
      <c r="BV116" s="176">
        <f>BW116+各项系数!$M$9*$NT116</f>
        <v>26.8945190842287</v>
      </c>
      <c r="BW116" s="176">
        <f>BX116*(1+$CF116+(VLOOKUP($AM116,$A$12:$B$214,2,0))+各项系数!$J$6+各项系数!$M$5)*(1+$E$2)</f>
        <v>26.7104357672233</v>
      </c>
      <c r="BX116" s="262">
        <f>BY116+各项系数!$L$9*$NT$12</f>
        <v>27.2555467012482</v>
      </c>
      <c r="BY116" s="262">
        <f>BZ116*(1+$CG116+各项系数!$J$5+各项系数!$L$5)</f>
        <v>27.2472832980932</v>
      </c>
      <c r="BZ116" s="262">
        <f t="shared" si="343"/>
        <v>26.4536731049449</v>
      </c>
      <c r="CA116" s="176">
        <f>CB116+各项系数!$M$9*$NT116</f>
        <v>27.625479891615</v>
      </c>
      <c r="CB116" s="176">
        <f>CC116*(1+$CF116+(VLOOKUP($AM116,$A$12:$B$214,2,0))+各项系数!$J$6+各项系数!$M$5)*(1+$E$2)</f>
        <v>27.4413965746095</v>
      </c>
      <c r="CC116" s="262">
        <f>CD116+各项系数!$L$9*$NT$12</f>
        <v>28.0014250761322</v>
      </c>
      <c r="CD116" s="262">
        <f>CE116*(1+$CG116+各项系数!$J$5+各项系数!$L$5)</f>
        <v>27.9931616729772</v>
      </c>
      <c r="CE116" s="262">
        <f t="shared" si="405"/>
        <v>27.1778268669681</v>
      </c>
      <c r="CF116" s="278">
        <f t="shared" si="406"/>
        <v>0</v>
      </c>
      <c r="CG116" s="278">
        <f t="shared" si="344"/>
        <v>0.01</v>
      </c>
      <c r="CH116" s="127"/>
      <c r="CI116" s="176">
        <f>CJ116+各项系数!$M$9*$NO116</f>
        <v>26.8127279705777</v>
      </c>
      <c r="CJ116" s="176">
        <f>CK116*(1+$DC116+(VLOOKUP($AM116,$A$12:$B$323,2,0))+各项系数!$J$6+各项系数!$M$5)*(1+$E$2)+各项系数!$M$9*$NK116</f>
        <v>26.5586958039183</v>
      </c>
      <c r="CK116" s="262">
        <f>CL116+各项系数!$L$9*$NO116</f>
        <v>26.9185557616658</v>
      </c>
      <c r="CL116" s="262">
        <f>CM116*(1+$DD116+各项系数!$J$5+各项系数!$L$5)</f>
        <v>26.6645235950065</v>
      </c>
      <c r="CM116" s="262">
        <f t="shared" si="345"/>
        <v>26.141689799026</v>
      </c>
      <c r="CN116" s="176">
        <f>CO116+各项系数!$M$9*$NO116</f>
        <v>27.5138898213465</v>
      </c>
      <c r="CO116" s="176">
        <f>CP116*(1+$DC116+(VLOOKUP($AM116,$A$12:$B$323,2,0))+各项系数!$J$6+各项系数!$M$5)*(1+$E$2)+各项系数!$M$9*$NK116</f>
        <v>27.2598576546871</v>
      </c>
      <c r="CP116" s="262">
        <f>CQ116+各项系数!$L$9*$NO116</f>
        <v>27.6340270379605</v>
      </c>
      <c r="CQ116" s="262">
        <f>CR116*(1+$DD116+各项系数!$J$5+各项系数!$L$5)</f>
        <v>27.3799948713012</v>
      </c>
      <c r="CR116" s="262">
        <f t="shared" si="346"/>
        <v>26.8431322267659</v>
      </c>
      <c r="CS116" s="176">
        <f>CT116+各项系数!$M$9*$NU116</f>
        <v>28.0718243114578</v>
      </c>
      <c r="CT116" s="176">
        <f t="shared" si="347"/>
        <v>27.8115143051121</v>
      </c>
      <c r="CU116" s="262">
        <f>CV116+各项系数!$L$9*$NU116</f>
        <v>28.3790962297062</v>
      </c>
      <c r="CV116" s="262">
        <f>CW116*(1+$DD116+各项系数!$J$5+各项系数!$L$5)</f>
        <v>28.1187862233605</v>
      </c>
      <c r="CW116" s="262">
        <f t="shared" si="348"/>
        <v>27.5674374738828</v>
      </c>
      <c r="CX116" s="176">
        <f>CY116+各项系数!$M$9*$NU116</f>
        <v>29.0154099173368</v>
      </c>
      <c r="CY116" s="176">
        <f t="shared" si="349"/>
        <v>28.755099910991</v>
      </c>
      <c r="CZ116" s="262">
        <f>DA116+各项系数!$L$9*$NU116</f>
        <v>29.3419386846847</v>
      </c>
      <c r="DA116" s="262">
        <f>DB116*(1+$DD116+各项系数!$J$5+各项系数!$L$5)</f>
        <v>29.081628678339</v>
      </c>
      <c r="DB116" s="262">
        <f t="shared" si="350"/>
        <v>28.5114006650382</v>
      </c>
      <c r="DC116" s="278">
        <f t="shared" si="498"/>
        <v>0</v>
      </c>
      <c r="DD116" s="278">
        <f t="shared" si="351"/>
        <v>0</v>
      </c>
      <c r="DE116" s="95" t="s">
        <v>498</v>
      </c>
      <c r="DF116" s="95" t="s">
        <v>513</v>
      </c>
      <c r="DG116" s="176">
        <f>DH116+各项系数!$M$9*$NQ116</f>
        <v>27.2083515278398</v>
      </c>
      <c r="DH116" s="176">
        <f>DI116*(1+$EA116+(VLOOKUP($AM116,$A$12:$B$323,2,0))+各项系数!$J$6+各项系数!$M$5)*(1+$E$2)+各项系数!$M$9*$NK116</f>
        <v>26.9543193611804</v>
      </c>
      <c r="DI116" s="262">
        <f>DJ116+各项系数!$L$9*$NQ116</f>
        <v>27.3222532690762</v>
      </c>
      <c r="DJ116" s="262">
        <f>DK116*(1+$EB116+各项系数!$J$5+各项系数!$L$5)</f>
        <v>27.0682211024168</v>
      </c>
      <c r="DK116" s="262">
        <f t="shared" si="352"/>
        <v>26.279826313026</v>
      </c>
      <c r="DL116" s="176">
        <f>DM116+各项系数!$M$9*$NQ116</f>
        <v>28.0127112397612</v>
      </c>
      <c r="DM116" s="176">
        <f>DN116*(1+$EA116+(VLOOKUP($AM116,$A$12:$B$323,2,0))+各项系数!$J$6+各项系数!$M$5)*(1+$E$2)+各项系数!$M$9*$NK116</f>
        <v>27.7586790731019</v>
      </c>
      <c r="DN116" s="262">
        <f>DO116+各项系数!$L$9*$NQ116</f>
        <v>28.1430284853225</v>
      </c>
      <c r="DO116" s="262">
        <f>DP116*(1+$EB116+各项系数!$J$5+各项系数!$L$5)</f>
        <v>27.8889963186632</v>
      </c>
      <c r="DP116" s="262">
        <f t="shared" si="353"/>
        <v>27.0766954550128</v>
      </c>
      <c r="DQ116" s="176">
        <f>DR116+各项系数!$M$9*$NV116</f>
        <v>28.4827560101967</v>
      </c>
      <c r="DR116" s="176">
        <f t="shared" si="354"/>
        <v>28.222446003851</v>
      </c>
      <c r="DS116" s="262">
        <f>DT116+各项系数!$L$9*$NV116</f>
        <v>28.7984142896439</v>
      </c>
      <c r="DT116" s="262">
        <f>DU116*(1+$EB116+各项系数!$J$5+各项系数!$L$5)</f>
        <v>28.5381042832981</v>
      </c>
      <c r="DU116" s="262">
        <f t="shared" si="355"/>
        <v>27.7068973624254</v>
      </c>
      <c r="DV116" s="176">
        <f>DW116+各项系数!$M$9*$NV116</f>
        <v>28.6463017392934</v>
      </c>
      <c r="DW116" s="176">
        <f t="shared" si="356"/>
        <v>28.3859917329477</v>
      </c>
      <c r="DX116" s="262">
        <f>DY116+各项系数!$L$9*$NV116</f>
        <v>28.9652976866813</v>
      </c>
      <c r="DY116" s="262">
        <f>DZ116*(1+$EB116+各项系数!$J$5+各项系数!$L$5)</f>
        <v>28.7049876803356</v>
      </c>
      <c r="DZ116" s="262">
        <f t="shared" si="357"/>
        <v>27.8689200779957</v>
      </c>
      <c r="EA116" s="278">
        <f t="shared" si="511"/>
        <v>0</v>
      </c>
      <c r="EB116" s="278">
        <f t="shared" si="358"/>
        <v>0.01</v>
      </c>
      <c r="EC116" s="302" t="str">
        <f t="shared" si="408"/>
        <v>3+2</v>
      </c>
      <c r="ED116" s="304" t="str">
        <f t="shared" si="494"/>
        <v>3*10</v>
      </c>
      <c r="EE116" s="95">
        <f t="shared" si="495"/>
        <v>10</v>
      </c>
      <c r="EF116" s="95" t="str">
        <f>LOOKUP(EH116,{1,7,10,14,19,24,30,37,48,61},{1,"1+6","2+8","4+10","1+6+12","2+8+14","4+10+16","1+6+12+18","3+9+15+21","1+6+12+18+24"})</f>
        <v>1+6</v>
      </c>
      <c r="EG116" s="127">
        <f t="shared" si="359"/>
        <v>3</v>
      </c>
      <c r="EH116" s="262">
        <f>VLOOKUP(EE116,各项系数!$B$87:$C$124,2,0)</f>
        <v>7</v>
      </c>
      <c r="EI116" s="127">
        <f>IF(EH116=0,0,VLOOKUP(EH116,各项系数!$D$142:$E$195,2,0))*1</f>
        <v>3</v>
      </c>
      <c r="EJ116" s="307">
        <f t="shared" si="409"/>
        <v>131.130294998433</v>
      </c>
      <c r="EK116" s="95" t="str">
        <f t="shared" si="508"/>
        <v>2*6</v>
      </c>
      <c r="EL116" s="95" t="str">
        <f t="shared" si="360"/>
        <v>6</v>
      </c>
      <c r="EM116" s="95">
        <f t="shared" si="496"/>
        <v>6</v>
      </c>
      <c r="EN116" s="95">
        <f>IF(EP116=0,0,LOOKUP(EP116,{1,7,10,14,19,24,30,37,48,61},{1,"1+6","2+8","4+10","1+6+12","2+8+14","4+10+16","1+6+12+18","3+9+15+21","1+6+12+18+24"}))</f>
        <v>1</v>
      </c>
      <c r="EO116" s="95" t="str">
        <f t="shared" si="509"/>
        <v>2</v>
      </c>
      <c r="EP116" s="95">
        <f>IF(EM116=0,0,IF(EM116&lt;10,1,IF(AND(EM116&gt;=10,EM116&lt;=35),7,LOOKUP(EM116,{50,70,95,120,150,185,240,300},{10,14,19,24,30,37,48,61})*1)))</f>
        <v>1</v>
      </c>
      <c r="EQ116" s="95">
        <f>IF(EP116=0,0,VLOOKUP(EP116,各项系数!$D$142:$E$195,2,0))*1</f>
        <v>1</v>
      </c>
      <c r="ER116" s="95">
        <f t="shared" si="510"/>
        <v>267.425148012862</v>
      </c>
      <c r="ES116" s="304">
        <f t="shared" si="497"/>
        <v>5</v>
      </c>
      <c r="ET116" s="95">
        <f>VLOOKUP(ES116,各项系数!$D$142:$E$195,2,0)*1</f>
        <v>2.7</v>
      </c>
      <c r="EU116" s="311">
        <f>((各项系数!$F$76/4*$EJ116^2*$EG116*$EH116*1*10^-7)*(1-$H116)*AA116)*(VLOOKUP($EY$9,各项系数!$D$4:$F$143,3,0))*各项系数!$J$4</f>
        <v>0.253624526858151</v>
      </c>
      <c r="EV116" s="312">
        <f>EU116*(VLOOKUP($EY$9,各项系数!$D$4:$F$143,2,0))</f>
        <v>16.6124065092089</v>
      </c>
      <c r="EW116" s="324">
        <f>(IF($EO116=0,0,(各项系数!$F$76/4*$ER116^2*$EO116*$EP116*1*10^-7))*(1-$K116)*$AF116)*(VLOOKUP($EY$9,各项系数!$D$4:$F$143,3,0))*各项系数!$J$4</f>
        <v>0.0993686085420592</v>
      </c>
      <c r="EX116" s="325">
        <f>EW116*(VLOOKUP($EY$9,各项系数!$D$4:$F$143,2,0))</f>
        <v>6.50864385950488</v>
      </c>
      <c r="EY116" s="251">
        <f>((各项系数!$F$76/4*$EJ116^2*$EG116*$EH116*1*10^-7)*(1-$H116)*AA116+IF($EO116=0,0,(各项系数!$F$76/4*$ER116^2*$EO116*$EP116*1*10^-7))*(1-$K116)*$AF116)*(VLOOKUP($EY$9,各项系数!$D$4:$F$143,3,0))*各项系数!$J$4</f>
        <v>0.35299313540021</v>
      </c>
      <c r="EZ116" s="127">
        <v>1</v>
      </c>
      <c r="FA116" s="95">
        <f t="shared" si="445"/>
        <v>0.35299313540021</v>
      </c>
      <c r="FB116" s="314">
        <f>FA116*(VLOOKUP($EY$9,各项系数!$D$4:$F$143,2,0))</f>
        <v>23.1210503687138</v>
      </c>
      <c r="FC116" s="329"/>
      <c r="FD116" s="304">
        <f>各项系数!$F$76/4*($MN116^2-MK116^2)*10^-2*(VLOOKUP(L116,各项系数!$D$1:$F$143,3,0))*10^-3*10^2*$EG116*各项系数!$J$4</f>
        <v>0.033460499527598</v>
      </c>
      <c r="FE116" s="341">
        <f>FD116*VLOOKUP(L116,各项系数!$D$1:$F$143,2,0)</f>
        <v>0.341297095181499</v>
      </c>
      <c r="FF116" s="127">
        <f>各项系数!$F$76/4*($MO116^2-ML116^2)*10^-2*(VLOOKUP(L116,各项系数!$D$1:$F$143,3,0))*10^-3*10^2*$EO116*各项系数!$J$4</f>
        <v>0.0162431823989364</v>
      </c>
      <c r="FG116" s="341">
        <f>FF116*VLOOKUP(L116,各项系数!$D$1:$F$143,2,0)</f>
        <v>0.165680460469151</v>
      </c>
      <c r="FH116" s="304">
        <f t="shared" si="410"/>
        <v>0.0497036819265343</v>
      </c>
      <c r="FI116" s="127">
        <v>1</v>
      </c>
      <c r="FJ116" s="95">
        <f t="shared" si="446"/>
        <v>0.0497036819265343</v>
      </c>
      <c r="FK116" s="341">
        <f>FJ116*VLOOKUP(L116,各项系数!$D$1:$F$143,2,0)</f>
        <v>0.50697755565065</v>
      </c>
      <c r="FL116" s="304"/>
      <c r="FM116" s="127"/>
      <c r="FN116" s="95"/>
      <c r="FO116" s="341"/>
      <c r="FP116" s="371">
        <f t="shared" si="447"/>
        <v>0.0497036819265343</v>
      </c>
      <c r="FQ116" s="371">
        <f t="shared" si="448"/>
        <v>0.50697755565065</v>
      </c>
      <c r="FR116" s="365">
        <f>各项系数!$F$76/4*($MQ116^2-$MN116^2*$EG116-$MO116^2*$EO116)*10^-2</f>
        <v>0.404638015463744</v>
      </c>
      <c r="FS116" s="366">
        <f t="shared" si="411"/>
        <v>1</v>
      </c>
      <c r="FT116" s="367">
        <f t="shared" si="361"/>
        <v>0.404638015463744</v>
      </c>
      <c r="FU116" s="395">
        <f>$FT116*(VLOOKUP($FT$9,各项系数!$D$1:$F$143,3,0))*10^-3*10^2*各项系数!$J$55</f>
        <v>0.048313779046371</v>
      </c>
      <c r="FV116" s="396">
        <v>1</v>
      </c>
      <c r="FW116" s="397">
        <f t="shared" si="449"/>
        <v>0.048313779046371</v>
      </c>
      <c r="FX116" s="372">
        <f>FW116*(VLOOKUP($FT$9,各项系数!$D$1:$F$143,2,0))</f>
        <v>0.144941337139113</v>
      </c>
      <c r="FY116" s="395">
        <f>IF($BK116&lt;&gt;$FY$9,0,各项系数!$F$76/4*($MS116^2-$MQ116^2)*10^-2*(VLOOKUP($FY$9,各项系数!$D$1:$F$143,3,0))*10^-3*10^2)*各项系数!$J$4</f>
        <v>0</v>
      </c>
      <c r="FZ116" s="396">
        <v>1</v>
      </c>
      <c r="GA116" s="397">
        <f t="shared" si="450"/>
        <v>0</v>
      </c>
      <c r="GB116" s="372">
        <f>GA116*(VLOOKUP($FY$9,各项系数!$D$1:$F$143,2,0))</f>
        <v>0</v>
      </c>
      <c r="GC116" s="395">
        <f>IF($BK116&lt;&gt;$GC$9,0,各项系数!$F$76/4*($MS116^2-$MQ116^2)*10^-2*(VLOOKUP($GC$9,各项系数!$D$1:$F$143,3,0))*10^-3*10^2)*各项系数!$J$4</f>
        <v>0.0035754159069397</v>
      </c>
      <c r="GD116" s="396">
        <v>1</v>
      </c>
      <c r="GE116" s="397">
        <f t="shared" si="451"/>
        <v>0.0035754159069397</v>
      </c>
      <c r="GF116" s="372">
        <f>GE116*(VLOOKUP($GC$9,各项系数!$D$1:$F$143,2,0))</f>
        <v>0.0461228651995222</v>
      </c>
      <c r="GG116" s="395">
        <f>IF($BK116&lt;&gt;$GG$9,0,各项系数!$F$76/4*($MS116^2-$MQ116^2)*10^-2*(VLOOKUP($GG$9,各项系数!$D$1:$F$143,3,0))*10^-3*10^2)*各项系数!$J$4</f>
        <v>0</v>
      </c>
      <c r="GH116" s="396">
        <v>1</v>
      </c>
      <c r="GI116" s="397">
        <f t="shared" si="452"/>
        <v>0</v>
      </c>
      <c r="GJ116" s="372">
        <f>GI116*(VLOOKUP($GG$9,各项系数!$D$1:$F$143,2,0))</f>
        <v>0</v>
      </c>
      <c r="GK116" s="395">
        <f>IF($BK116&lt;&gt;$GK$9,0,各项系数!$F$76/4*($MS116^2-$MQ116^2)*10^-2*(VLOOKUP($GK$9,各项系数!$D$1:$F$143,3,0))*10^-3*10^2)*各项系数!$J$4</f>
        <v>0</v>
      </c>
      <c r="GL116" s="396">
        <v>1</v>
      </c>
      <c r="GM116" s="397">
        <f t="shared" si="453"/>
        <v>0</v>
      </c>
      <c r="GN116" s="372">
        <f>GM116*(VLOOKUP($GK$9,各项系数!$D$1:$F$143,2,0))</f>
        <v>0</v>
      </c>
      <c r="GO116" s="397">
        <f t="shared" si="454"/>
        <v>0.0035754159069397</v>
      </c>
      <c r="GP116" s="397">
        <f t="shared" si="455"/>
        <v>0.0461228651995222</v>
      </c>
      <c r="GQ116" s="408">
        <f>各项系数!$F$76/4*($MU116^2-$MS116^2)*10^-2*(VLOOKUP($S116,各项系数!$D$1:$F$143,3,0))*10^-3*10^2*各项系数!$J$4</f>
        <v>0.0991254693794296</v>
      </c>
      <c r="GR116" s="396">
        <v>1</v>
      </c>
      <c r="GS116" s="397">
        <f t="shared" si="456"/>
        <v>0.0991254693794296</v>
      </c>
      <c r="GT116" s="397">
        <f t="shared" si="457"/>
        <v>0</v>
      </c>
      <c r="GU116" s="397">
        <f>ROUND($GS116*(VLOOKUP($S116,各项系数!$D$1:$F$143,2,0))+$E$3*GS116,GT116)</f>
        <v>1</v>
      </c>
      <c r="GV116" s="406">
        <f>各项系数!$F$76/4*($MT116^2-$MS116^2)*10^-2*(VLOOKUP($GV$9,各项系数!$D$1:$F$143,3,0))*10^-3*10^2*各项系数!$J$4*PI()/4*R116</f>
        <v>0.0185738650656447</v>
      </c>
      <c r="GW116" s="396">
        <v>1</v>
      </c>
      <c r="GX116" s="397">
        <f t="shared" si="458"/>
        <v>0.0185738650656447</v>
      </c>
      <c r="GY116" s="397">
        <f>$GX116*(VLOOKUP($GV$9,各项系数!$D$1:$F$143,2,0))</f>
        <v>1.25373589193102</v>
      </c>
      <c r="GZ116" s="408">
        <f>各项系数!$F$76/4*($MV116^2-$MS116^2)*10^-2*(VLOOKUP($GZ$9,各项系数!$D$1:$F$143,3,0))*10^-3*10^2*各项系数!$J$4</f>
        <v>0.122518092220032</v>
      </c>
      <c r="HA116" s="396">
        <v>1</v>
      </c>
      <c r="HB116" s="397">
        <f t="shared" si="412"/>
        <v>0.122518092220032</v>
      </c>
      <c r="HC116" s="397">
        <f>HB116*(VLOOKUP($GZ$9,各项系数!$D$1:$F$143,2,0))</f>
        <v>2.08280756774054</v>
      </c>
      <c r="HD116" s="408">
        <f>各项系数!$F$76/4*($MW116^2-$MT116^2)*10^-2*(VLOOKUP($HD$9,各项系数!$D$1:$F$143,3,0))*10^-3*10^2*各项系数!$J$4</f>
        <v>0.12382346166671</v>
      </c>
      <c r="HE116" s="396">
        <v>1</v>
      </c>
      <c r="HF116" s="397">
        <f t="shared" si="413"/>
        <v>0.12382346166671</v>
      </c>
      <c r="HG116" s="397">
        <f>HF116*(VLOOKUP($HD$9,各项系数!$D$1:$F$143,2,0))</f>
        <v>2.10499884833407</v>
      </c>
      <c r="HH116" s="408">
        <f>各项系数!$F$76/4*($MV116^2-$MS116^2)*10^-2*(VLOOKUP($HH$9,各项系数!$D$1:$F$143,3,0))*10^-3*10^2*各项系数!$J$4</f>
        <v>0.122518092220032</v>
      </c>
      <c r="HI116" s="397">
        <v>1</v>
      </c>
      <c r="HJ116" s="397">
        <f t="shared" si="414"/>
        <v>0.122518092220032</v>
      </c>
      <c r="HK116" s="397">
        <f>HJ116*(VLOOKUP($HH$9,各项系数!$D$1:$F$143,2,0))</f>
        <v>2.08280756774054</v>
      </c>
      <c r="HL116" s="408">
        <f>各项系数!$F$76/4*($MW116^2-$MT116^2)*10^-2*(VLOOKUP($HL$9,各项系数!$D$1:$F$143,3,0))*10^-3*10^2*各项系数!$J$4</f>
        <v>0.12382346166671</v>
      </c>
      <c r="HM116" s="397">
        <v>1</v>
      </c>
      <c r="HN116" s="397">
        <f t="shared" si="362"/>
        <v>0.12382346166671</v>
      </c>
      <c r="HO116" s="397">
        <f>HN116*(VLOOKUP($HL$9,各项系数!$D$1:$F$143,2,0))</f>
        <v>2.10499884833407</v>
      </c>
      <c r="HP116" s="408">
        <f>各项系数!$F$76/4*($MV116^2-$MS116^2)*10^-2*(VLOOKUP(AN116,各项系数!$D$1:$F$143,3,0))*10^-3*10^2*各项系数!$J$4</f>
        <v>0.124207996940308</v>
      </c>
      <c r="HQ116" s="396">
        <v>1</v>
      </c>
      <c r="HR116" s="397">
        <f t="shared" si="459"/>
        <v>0.124207996940308</v>
      </c>
      <c r="HS116" s="397">
        <f>HR116*(VLOOKUP(AN116,各项系数!$D$1:$F$143,2,0))</f>
        <v>1.24207996940308</v>
      </c>
      <c r="HT116" s="408">
        <f>各项系数!$F$76/4*($MW116^2-$MT116^2)*10^-2*(VLOOKUP(AN116,各项系数!$D$1:$F$143,3,0))*10^-3*10^2*各项系数!$J$4</f>
        <v>0.125531371482803</v>
      </c>
      <c r="HU116" s="396">
        <v>1</v>
      </c>
      <c r="HV116" s="397">
        <f t="shared" si="460"/>
        <v>0.125531371482803</v>
      </c>
      <c r="HW116" s="397">
        <f>HV116*(VLOOKUP(AN116,各项系数!$D$1:$F$143,2,0))</f>
        <v>1.25531371482803</v>
      </c>
      <c r="HX116" s="408">
        <f>各项系数!$F$76/4*($MV116^2-$MS116^2)*10^-2*(VLOOKUP($HX$9,各项系数!$D$1:$F$143,3,0))*10^-3*10^2*各项系数!$J$4</f>
        <v>0.124207996940308</v>
      </c>
      <c r="HY116" s="397">
        <v>1</v>
      </c>
      <c r="HZ116" s="397">
        <f t="shared" si="461"/>
        <v>0.124207996940308</v>
      </c>
      <c r="IA116" s="397">
        <f>HZ116*(VLOOKUP($HX$9,各项系数!$D$1:$F$143,2,0))</f>
        <v>1.36628796634339</v>
      </c>
      <c r="IB116" s="408">
        <f>各项系数!$F$76/4*($MW116^2-$MT116^2)*10^-2*(VLOOKUP($IB$9,各项系数!$D$1:$F$143,3,0))*10^-3*10^2*各项系数!$J$4</f>
        <v>0.125531371482803</v>
      </c>
      <c r="IC116" s="397">
        <v>1</v>
      </c>
      <c r="ID116" s="397">
        <f t="shared" si="462"/>
        <v>0.125531371482803</v>
      </c>
      <c r="IE116" s="397">
        <f>ID116*(VLOOKUP($IB$9,各项系数!$D$1:$F$143,2,0))</f>
        <v>1.38084508631083</v>
      </c>
      <c r="IF116" s="395"/>
      <c r="IG116" s="408">
        <f t="shared" si="415"/>
        <v>0.0262343101022238</v>
      </c>
      <c r="IH116" s="396">
        <v>1</v>
      </c>
      <c r="II116" s="397">
        <f t="shared" si="463"/>
        <v>0.0262343101022238</v>
      </c>
      <c r="IJ116" s="397">
        <f>II116*(VLOOKUP($IG$8,各项系数!$D$1:$F$143,2,0))</f>
        <v>0.655857752555596</v>
      </c>
      <c r="IK116" s="408">
        <f>(各项系数!$F$76/4*($MX116^2-$MK116^2)*$EG116)*10^-2*(VLOOKUP($IG$8,各项系数!$D$1:$F$143,3,0))*10^-3*10^2*各项系数!$J$4</f>
        <v>0.0178668596534847</v>
      </c>
      <c r="IL116" s="396">
        <f>IK116*(VLOOKUP($IG$8,各项系数!$D$1:$F$143,2,0))</f>
        <v>0.446671491337119</v>
      </c>
      <c r="IM116" s="397">
        <f>(各项系数!$F$76/4*(($MM116+3*$X116)^2-MM116^2)*$EO116)*10^-2*(VLOOKUP($IG$8,各项系数!$D$1:$F$143,3,0))*10^-3*10^2*各项系数!$J$4</f>
        <v>0.0083674504487391</v>
      </c>
      <c r="IN116" s="396">
        <f>IM116*(VLOOKUP($IG$8,各项系数!$D$1:$F$143,2,0))</f>
        <v>0.209186261218478</v>
      </c>
      <c r="IO116" s="408">
        <f>各项系数!$F$76/4*($MZ116^2-$MX116^2)*10^-2*(VLOOKUP(L116,各项系数!$D$1:$F$143,3,0))*10^-3*10^2*$ES116*各项系数!$J$4</f>
        <v>0.0629882928473068</v>
      </c>
      <c r="IP116" s="396">
        <v>1</v>
      </c>
      <c r="IQ116" s="397">
        <f t="shared" si="464"/>
        <v>0.0629882928473068</v>
      </c>
      <c r="IR116" s="372">
        <f>IQ116*(VLOOKUP(L116,各项系数!$D$1:$F$143,2,0))</f>
        <v>0.642480587042529</v>
      </c>
      <c r="IS116" s="408">
        <f>IF($L116&lt;&gt;$IS$9,0,各项系数!$F$76/4*($MZ116^2-$MX116^2)*10^-2*各项系数!$F$12*10^-3*10^2)*$ES116*各项系数!$J$4</f>
        <v>0</v>
      </c>
      <c r="IT116" s="396">
        <v>1</v>
      </c>
      <c r="IU116" s="397">
        <f t="shared" si="465"/>
        <v>0</v>
      </c>
      <c r="IV116" s="372">
        <f>IU116*各项系数!$E$12</f>
        <v>0</v>
      </c>
      <c r="IW116" s="395">
        <f t="shared" si="466"/>
        <v>0.0629882928473068</v>
      </c>
      <c r="IX116" s="395">
        <f t="shared" si="467"/>
        <v>0.642480587042529</v>
      </c>
      <c r="IY116" s="447">
        <f>各项系数!$F$76/4*($NB116^2-$MZ116^2*$EG116-$NA116^2*$EO116)*10^-2</f>
        <v>0.515358470074501</v>
      </c>
      <c r="IZ116" s="366">
        <f t="shared" si="487"/>
        <v>1</v>
      </c>
      <c r="JA116" s="367">
        <f t="shared" si="363"/>
        <v>0.515358470074501</v>
      </c>
      <c r="JB116" s="371">
        <f>IF($DE116&lt;&gt;$JB$9,0,$JA116*各项系数!$F$32*10^-3*10^2)*各项系数!$J$4</f>
        <v>0</v>
      </c>
      <c r="JC116" s="127">
        <v>1</v>
      </c>
      <c r="JD116" s="95">
        <f t="shared" si="468"/>
        <v>0</v>
      </c>
      <c r="JE116" s="341">
        <f>JD116*各项系数!$E$32</f>
        <v>0</v>
      </c>
      <c r="JF116" s="364">
        <f>IF($DE116&lt;&gt;$JF$9,0,$JA116*VLOOKUP($JF$9,各项系数!$D$4:$F$540,2,0)*10^-3*10^2)*各项系数!$J$4</f>
        <v>0.256390838862064</v>
      </c>
      <c r="JG116" s="123">
        <v>1</v>
      </c>
      <c r="JH116" s="251">
        <f t="shared" si="364"/>
        <v>0.256390838862064</v>
      </c>
      <c r="JI116" s="339">
        <f>JH116*VLOOKUP($JF$9,各项系数!$D$4:$F$540,3,0)</f>
        <v>0.307669006634477</v>
      </c>
      <c r="JJ116" s="371">
        <f t="shared" si="469"/>
        <v>0.256390838862064</v>
      </c>
      <c r="JK116" s="95">
        <f t="shared" si="470"/>
        <v>0.307669006634477</v>
      </c>
      <c r="JL116" s="371">
        <f>IF($DF116&lt;&gt;$JL$9,0,各项系数!$F$76/4*($NE116^2-$NC116^2)*10^-2*各项系数!$F$39*10^-3*10^2)*各项系数!$J$4</f>
        <v>0.00166334720394733</v>
      </c>
      <c r="JM116" s="127">
        <v>1</v>
      </c>
      <c r="JN116" s="95">
        <f t="shared" si="471"/>
        <v>0.00166334720394733</v>
      </c>
      <c r="JO116" s="341">
        <f>JN116*各项系数!$E$39</f>
        <v>0.0332669440789466</v>
      </c>
      <c r="JP116" s="371">
        <f>IF($DF116&lt;&gt;$JP$9,0,各项系数!$F$76/4*($NE116^2-$NC116^2)*10^-2*各项系数!$F$36*10^-3*10^2)*各项系数!$J$4</f>
        <v>0</v>
      </c>
      <c r="JQ116" s="127">
        <v>1</v>
      </c>
      <c r="JR116" s="95">
        <f t="shared" si="472"/>
        <v>0</v>
      </c>
      <c r="JS116" s="341">
        <f>JR116*各项系数!$E$36</f>
        <v>0</v>
      </c>
      <c r="JT116" s="371">
        <f>IF($DF116&lt;&gt;$JT$9,0,各项系数!$F$76/4*($NE116^2-$NC116^2)*10^-2*各项系数!$F$40*10^-3*10^2)*各项系数!$J$4</f>
        <v>0</v>
      </c>
      <c r="JU116" s="127">
        <v>1</v>
      </c>
      <c r="JV116" s="95">
        <f t="shared" si="473"/>
        <v>0</v>
      </c>
      <c r="JW116" s="341">
        <f>JV116*各项系数!$E$40</f>
        <v>0</v>
      </c>
      <c r="JX116" s="371">
        <f>IF($DF116&lt;&gt;$JX$9,0,各项系数!$F$76/4*($NE116^2-$NC116^2)*10^-2*各项系数!$F$38*10^-3*10^2)*各项系数!$J$4</f>
        <v>0</v>
      </c>
      <c r="JY116" s="127">
        <v>1</v>
      </c>
      <c r="JZ116" s="95">
        <f t="shared" si="474"/>
        <v>0</v>
      </c>
      <c r="KA116" s="341">
        <f>JZ116*各项系数!$E$38</f>
        <v>0</v>
      </c>
      <c r="KB116" s="371">
        <f>IF($DF116&lt;&gt;$KB$9,0,各项系数!$F$76/4*($NE116^2-$NC116^2)*10^-2*各项系数!$F$41*10^-3*10^2)*各项系数!$J$4</f>
        <v>0</v>
      </c>
      <c r="KC116" s="127">
        <v>1</v>
      </c>
      <c r="KD116" s="95">
        <f t="shared" si="475"/>
        <v>0</v>
      </c>
      <c r="KE116" s="341">
        <f>KD116*各项系数!$E$41</f>
        <v>0</v>
      </c>
      <c r="KF116" s="95">
        <f t="shared" si="476"/>
        <v>0.00166334720394733</v>
      </c>
      <c r="KG116" s="95">
        <f t="shared" si="477"/>
        <v>0.0332669440789466</v>
      </c>
      <c r="KH116" s="304">
        <f>各项系数!$F$76/4*($NG116^2-$NE116^2)*10^-2*各项系数!$F$44*10^-3*10^2*各项系数!$J$4*0.75*$U116</f>
        <v>0.167212184240453</v>
      </c>
      <c r="KI116" s="127">
        <v>1</v>
      </c>
      <c r="KJ116" s="95">
        <f t="shared" si="478"/>
        <v>0.167212184240453</v>
      </c>
      <c r="KK116" s="95">
        <f>ROUND(KJ116*各项系数!$E$43,GT116)</f>
        <v>1</v>
      </c>
      <c r="KL116" s="302">
        <f>各项系数!$F$76/4*($NF116^2-$NE116^2)*10^-2*各项系数!$F$46*10^-3*10^2*各项系数!$J$4*PI()/4*R116</f>
        <v>0.0209261322878804</v>
      </c>
      <c r="KM116" s="127">
        <v>1</v>
      </c>
      <c r="KN116" s="95">
        <f t="shared" si="479"/>
        <v>0.0209261322878804</v>
      </c>
      <c r="KO116" s="95">
        <f>KN116*各项系数!$E$46</f>
        <v>1.41251392943193</v>
      </c>
      <c r="KP116" s="304">
        <f>各项系数!$F$76/4*($NH116^2-$NE116^2)*10^-2*(VLOOKUP($KP$9,各项系数!$D$1:$F$143,3,0))*10^-3*10^2*各项系数!$J$4</f>
        <v>0.136257105646322</v>
      </c>
      <c r="KQ116" s="127">
        <v>1</v>
      </c>
      <c r="KR116" s="95">
        <f t="shared" si="416"/>
        <v>0.136257105646322</v>
      </c>
      <c r="KS116" s="95">
        <f>KR116*(VLOOKUP($KP$9,各项系数!$D$1:$F$143,2,0))</f>
        <v>2.31637079598747</v>
      </c>
      <c r="KT116" s="304">
        <f>各项系数!$F$76/4*($NI116^2-$NF116^2)*10^-2*(VLOOKUP($KT$9,各项系数!$D$1:$F$143,3,0))*10^-3*10^2*各项系数!$J$4</f>
        <v>0.137562475093</v>
      </c>
      <c r="KU116" s="127">
        <v>1</v>
      </c>
      <c r="KV116" s="95">
        <f t="shared" si="417"/>
        <v>0.137562475093</v>
      </c>
      <c r="KW116" s="95">
        <f>KV116*(VLOOKUP($KT$9,各项系数!$D$1:$F$143,2,0))</f>
        <v>2.338562076581</v>
      </c>
      <c r="KX116" s="95">
        <f>各项系数!$F$76/4*($NH116^2-$NE116^2)*10^-2*(VLOOKUP($KX$9,各项系数!$D$1:$F$143,3,0))*10^-3*10^2*各项系数!$J$4</f>
        <v>0.136257105646322</v>
      </c>
      <c r="KY116" s="481">
        <v>1</v>
      </c>
      <c r="KZ116" s="95">
        <f t="shared" si="418"/>
        <v>0.136257105646322</v>
      </c>
      <c r="LA116" s="95">
        <f>KZ116*(VLOOKUP($KX$9,各项系数!$D$1:$F$143,2,0))</f>
        <v>2.31637079598747</v>
      </c>
      <c r="LB116" s="95">
        <f>各项系数!$F$76/4*($NI116^2-$NF116^2)*10^-2*(VLOOKUP($LB$9,各项系数!$D$1:$F$143,3,0))*10^-3*10^2*各项系数!$J$4</f>
        <v>0.137562475093</v>
      </c>
      <c r="LC116" s="481">
        <v>1</v>
      </c>
      <c r="LD116" s="95">
        <f t="shared" si="419"/>
        <v>0.137562475093</v>
      </c>
      <c r="LE116" s="95">
        <f>LD116*(VLOOKUP($LB$9,各项系数!$D$1:$F$143,2,0))</f>
        <v>2.338562076581</v>
      </c>
      <c r="LF116" s="304">
        <f>各项系数!$F$76/4*($NH116^2-$NE116^2)*10^-2*(VLOOKUP(AN116,各项系数!$D$1:$F$143,3,0))*10^-3*10^2*各项系数!$J$4</f>
        <v>0.138136514000064</v>
      </c>
      <c r="LG116" s="127">
        <v>1</v>
      </c>
      <c r="LH116" s="95">
        <f t="shared" si="480"/>
        <v>0.138136514000064</v>
      </c>
      <c r="LI116" s="95">
        <f>LH116*(VLOOKUP(AN116,各项系数!$D$1:$F$143,2,0))</f>
        <v>1.38136514000064</v>
      </c>
      <c r="LJ116" s="304">
        <f>各项系数!$F$76/4*($NI116^2-$NF116^2)*10^-2*(VLOOKUP(AN116,各项系数!$D$1:$F$143,3,0))*10^-3*10^2*各项系数!$J$4</f>
        <v>0.139459888542559</v>
      </c>
      <c r="LK116" s="127">
        <v>1</v>
      </c>
      <c r="LL116" s="95">
        <f t="shared" si="481"/>
        <v>0.139459888542559</v>
      </c>
      <c r="LM116" s="95">
        <f>LL116*(VLOOKUP(AN116,各项系数!$D$1:$F$143,2,0))</f>
        <v>1.39459888542559</v>
      </c>
      <c r="LN116" s="95">
        <f>各项系数!$F$76/4*($NH116^2-$NE116^2)*10^-2*(VLOOKUP($LN$9,各项系数!$D$1:$F$143,3,0))*10^-3*10^2*各项系数!$J$4</f>
        <v>0.138136514000064</v>
      </c>
      <c r="LO116" s="481">
        <v>1</v>
      </c>
      <c r="LP116" s="95">
        <f t="shared" si="482"/>
        <v>0.138136514000064</v>
      </c>
      <c r="LQ116" s="95">
        <f>LP116*(VLOOKUP($LN$9,各项系数!$D$1:$F$143,2,0))</f>
        <v>1.51950165400071</v>
      </c>
      <c r="LR116" s="95">
        <f>各项系数!$F$76/4*($NI116^2-$NF116^2)*10^-2*(VLOOKUP($LR$9,各项系数!$D$1:$F$143,3,0))*10^-3*10^2*各项系数!$J$4</f>
        <v>0.139459888542559</v>
      </c>
      <c r="LS116" s="481">
        <v>1</v>
      </c>
      <c r="LT116" s="95">
        <f t="shared" si="483"/>
        <v>0.139459888542559</v>
      </c>
      <c r="LU116" s="95">
        <f>LT116*(VLOOKUP($LR$9,各项系数!$D$1:$F$143,2,0))</f>
        <v>1.53405877396815</v>
      </c>
      <c r="LV116" s="501">
        <f t="shared" si="420"/>
        <v>36.46361497</v>
      </c>
      <c r="LW116" s="501">
        <f t="shared" si="421"/>
        <v>28.36058942</v>
      </c>
      <c r="LX116" s="501">
        <f t="shared" si="422"/>
        <v>6.00914502750114</v>
      </c>
      <c r="LY116" s="519">
        <f t="shared" si="423"/>
        <v>8.10302555</v>
      </c>
      <c r="LZ116" s="516">
        <f t="shared" si="365"/>
        <v>1</v>
      </c>
      <c r="MA116" s="517">
        <f t="shared" si="366"/>
        <v>36.46361497</v>
      </c>
      <c r="MB116" s="501">
        <f t="shared" si="424"/>
        <v>3.93390885</v>
      </c>
      <c r="MC116" s="501">
        <f t="shared" si="425"/>
        <v>11.23373996</v>
      </c>
      <c r="MD116" s="501">
        <f t="shared" si="426"/>
        <v>11.23373996</v>
      </c>
      <c r="ME116" s="501">
        <f t="shared" si="427"/>
        <v>3.78196271165431</v>
      </c>
      <c r="MF116" s="501">
        <f t="shared" si="428"/>
        <v>0</v>
      </c>
      <c r="MG116" s="527">
        <f t="shared" si="429"/>
        <v>1</v>
      </c>
      <c r="MH116" s="517">
        <f t="shared" si="367"/>
        <v>11.23373996</v>
      </c>
      <c r="MI116" s="501">
        <f t="shared" si="430"/>
        <v>2.67425147960542</v>
      </c>
      <c r="MJ116" s="95">
        <f t="shared" si="368"/>
        <v>3.93390885</v>
      </c>
      <c r="MK116" s="95">
        <f t="shared" si="431"/>
        <v>3.93390885</v>
      </c>
      <c r="ML116" s="95">
        <f t="shared" si="484"/>
        <v>2.67425148012862</v>
      </c>
      <c r="MM116" s="95">
        <f t="shared" si="369"/>
        <v>2.67425147960542</v>
      </c>
      <c r="MN116" s="95">
        <f t="shared" si="370"/>
        <v>5.33390885</v>
      </c>
      <c r="MO116" s="251">
        <f t="shared" si="432"/>
        <v>4.07425147960542</v>
      </c>
      <c r="MP116" s="95">
        <f t="shared" si="433"/>
        <v>13.04112393</v>
      </c>
      <c r="MQ116" s="95">
        <f t="shared" si="485"/>
        <v>13.04112393</v>
      </c>
      <c r="MR116" s="314">
        <f t="shared" si="434"/>
        <v>13.04112393</v>
      </c>
      <c r="MS116" s="530">
        <f t="shared" si="371"/>
        <v>13.21712393</v>
      </c>
      <c r="MT116" s="532">
        <f t="shared" si="372"/>
        <v>13.37712393</v>
      </c>
      <c r="MU116" s="532">
        <f t="shared" si="373"/>
        <v>13.81712393</v>
      </c>
      <c r="MV116" s="532">
        <f t="shared" si="374"/>
        <v>16.81712393</v>
      </c>
      <c r="MW116" s="532">
        <f t="shared" si="375"/>
        <v>16.97712393</v>
      </c>
      <c r="MX116" s="314">
        <f t="shared" si="376"/>
        <v>4.53390885</v>
      </c>
      <c r="MY116" s="314">
        <f t="shared" si="377"/>
        <v>3.27425147960542</v>
      </c>
      <c r="MZ116" s="95">
        <f t="shared" si="378"/>
        <v>5.93390885</v>
      </c>
      <c r="NA116" s="95">
        <f t="shared" si="379"/>
        <v>4.67425147960542</v>
      </c>
      <c r="NB116" s="95">
        <f t="shared" si="435"/>
        <v>14.66112393</v>
      </c>
      <c r="NC116" s="314">
        <f t="shared" si="486"/>
        <v>14.66112393</v>
      </c>
      <c r="ND116" s="314">
        <f t="shared" si="436"/>
        <v>14.66112393</v>
      </c>
      <c r="NE116" s="537">
        <f t="shared" si="437"/>
        <v>14.90112393</v>
      </c>
      <c r="NF116" s="532">
        <f t="shared" si="380"/>
        <v>15.06112393</v>
      </c>
      <c r="NG116" s="180">
        <f t="shared" si="381"/>
        <v>15.50112393</v>
      </c>
      <c r="NH116" s="314">
        <f t="shared" si="382"/>
        <v>18.50112393</v>
      </c>
      <c r="NI116" s="532">
        <f t="shared" si="383"/>
        <v>18.66112393</v>
      </c>
      <c r="NK116" s="541">
        <f t="shared" si="384"/>
        <v>0.5950371916193</v>
      </c>
      <c r="NL116" s="541">
        <f t="shared" si="385"/>
        <v>25.2268525565753</v>
      </c>
      <c r="NM116" s="541">
        <f t="shared" si="386"/>
        <v>0.5950371916193</v>
      </c>
      <c r="NN116" s="541">
        <f t="shared" si="387"/>
        <v>25.3510605535156</v>
      </c>
      <c r="NO116" s="541">
        <f t="shared" si="388"/>
        <v>0.846773888864556</v>
      </c>
      <c r="NP116" s="541">
        <f t="shared" si="389"/>
        <v>26.3508760602444</v>
      </c>
      <c r="NQ116" s="541">
        <f t="shared" si="390"/>
        <v>0.846773888864556</v>
      </c>
      <c r="NR116" s="541">
        <f t="shared" si="391"/>
        <v>26.4890125742445</v>
      </c>
      <c r="NS116" s="541">
        <f t="shared" si="392"/>
        <v>0.613611056684945</v>
      </c>
      <c r="NT116" s="541">
        <f t="shared" si="393"/>
        <v>0.613611056684945</v>
      </c>
      <c r="NU116" s="541">
        <f t="shared" si="394"/>
        <v>0.867700021152436</v>
      </c>
      <c r="NV116" s="541">
        <f t="shared" si="395"/>
        <v>0.867700021152436</v>
      </c>
      <c r="NW116" s="11">
        <f t="shared" si="396"/>
        <v>0.694162660998729</v>
      </c>
      <c r="NX116" s="11">
        <f>各项系数!$M$9*NK116</f>
        <v>0.17851115748579</v>
      </c>
      <c r="NY116" s="11">
        <f t="shared" si="397"/>
        <v>0.613611056684944</v>
      </c>
    </row>
    <row r="117" customHeight="1" spans="1:389">
      <c r="A117" s="81"/>
      <c r="B117" s="82"/>
      <c r="C117" s="83"/>
      <c r="D117" s="69" t="s">
        <v>381</v>
      </c>
      <c r="E117" s="550">
        <f t="shared" si="503"/>
        <v>19.84387891</v>
      </c>
      <c r="F117" s="84">
        <f>$F$21</f>
        <v>165.416818206689</v>
      </c>
      <c r="G117" s="74"/>
      <c r="H117" s="23"/>
      <c r="I117" s="174">
        <f>$F$20</f>
        <v>131.130294998433</v>
      </c>
      <c r="J117" s="78"/>
      <c r="K117" s="23"/>
      <c r="L117" s="118" t="s">
        <v>467</v>
      </c>
      <c r="M117" s="119">
        <f t="shared" si="339"/>
        <v>0.7</v>
      </c>
      <c r="N117" s="119">
        <f t="shared" si="501"/>
        <v>0.7</v>
      </c>
      <c r="O117" s="74">
        <f t="shared" si="502"/>
        <v>0.08</v>
      </c>
      <c r="P117" s="120">
        <v>0.1</v>
      </c>
      <c r="Q117" s="165">
        <f t="shared" si="512"/>
        <v>0.1</v>
      </c>
      <c r="R117" s="182">
        <v>0.8</v>
      </c>
      <c r="S117" s="173" t="str">
        <f>各项系数!$D$43</f>
        <v>钢带</v>
      </c>
      <c r="T117" s="78">
        <v>0.2</v>
      </c>
      <c r="U117" s="78">
        <v>2</v>
      </c>
      <c r="V117" s="172"/>
      <c r="W117" s="174">
        <v>1.8</v>
      </c>
      <c r="X117" s="168">
        <f t="shared" si="513"/>
        <v>0.2</v>
      </c>
      <c r="Y117" s="221"/>
      <c r="Z117" s="222"/>
      <c r="AA117" s="223">
        <f>$AA$21</f>
        <v>1.011</v>
      </c>
      <c r="AB117" s="186">
        <f>PI()*EJ117*EJ117/4*EH117*(1-H117)*AA117*各项系数!$F$5*各项系数!$J$4*10^-7</f>
        <v>0.134531270768238</v>
      </c>
      <c r="AC117" s="224">
        <f t="shared" si="504"/>
        <v>165.416818206689</v>
      </c>
      <c r="AD117" s="186">
        <f t="shared" si="341"/>
        <v>15.2089209566661</v>
      </c>
      <c r="AE117" s="186">
        <f>POWER(4*EU117/PI()/EG117/10^-7/EH117/(1-H117)/各项系数!$F$5/各项系数!$J$4,0.5)</f>
        <v>166.32412244418</v>
      </c>
      <c r="AF117" s="225">
        <f>$AA$20</f>
        <v>1.011</v>
      </c>
      <c r="AG117" s="23">
        <f>IF(EM117=0,0,PI()*ER117*ER117/4*EP117*(1-K117)*(1+AF117)*各项系数!$F$5*各项系数!$J$4*10^-7)</f>
        <v>0.168163179529094</v>
      </c>
      <c r="AH117" s="23">
        <f t="shared" si="505"/>
        <v>131.130294998433</v>
      </c>
      <c r="AI117" s="85">
        <f t="shared" si="398"/>
        <v>9.55751863397041</v>
      </c>
      <c r="AJ117" s="85">
        <f>IF(OR(EP117="",EP117=0),0,POWER(4*EW117/PI()/EO117/10^-7/EP117/(1-K117)/各项系数!$F$5/各项系数!$J$4,0.5))</f>
        <v>131.849539109191</v>
      </c>
      <c r="AK117" s="23">
        <f t="shared" si="342"/>
        <v>0.572676830210148</v>
      </c>
      <c r="AL117" s="23">
        <f t="shared" si="506"/>
        <v>41.2481962168347</v>
      </c>
      <c r="AM117" s="250">
        <f t="shared" si="507"/>
        <v>16</v>
      </c>
      <c r="AN117" s="118" t="s">
        <v>486</v>
      </c>
      <c r="AO117" s="259">
        <f>AP117+各项系数!$M$9*$NK117</f>
        <v>40.4394080557202</v>
      </c>
      <c r="AP117" s="259">
        <f>AQ117*(1+$BI117+(VLOOKUP($AM117,$A$12:$B$323,2,0))+各项系数!$J$6+各项系数!$M$5)*(1+$E$2)</f>
        <v>40.1734029262747</v>
      </c>
      <c r="AQ117" s="260">
        <f>AR117+各项系数!$L$9*$NK117</f>
        <v>40.993268292117</v>
      </c>
      <c r="AR117" s="260">
        <f>AS117*(1+$BJ117+各项系数!$J$5+各项系数!$L$5)</f>
        <v>40.7272631626715</v>
      </c>
      <c r="AS117" s="260">
        <f t="shared" si="399"/>
        <v>39.9286893751681</v>
      </c>
      <c r="AT117" s="259">
        <f>AU117+各项系数!$M$9*$NM117</f>
        <v>41.4491832334832</v>
      </c>
      <c r="AU117" s="259">
        <f>AV117*(1+$BI117+(VLOOKUP($AM117,$A$12:$B$323,2,0))+各项系数!$J$6+各项系数!$M$5)*(1+$E$2)</f>
        <v>41.1831781040376</v>
      </c>
      <c r="AV117" s="260">
        <f>AW117+各项系数!$L$9*$NM117</f>
        <v>42.023651126569</v>
      </c>
      <c r="AW117" s="260">
        <f>AX117*(1+$BJ117+各项系数!$J$5+各项系数!$L$5)</f>
        <v>41.7576459971235</v>
      </c>
      <c r="AX117" s="260">
        <f t="shared" si="400"/>
        <v>40.9388686246308</v>
      </c>
      <c r="AY117" s="259">
        <f>AZ117+各项系数!$M$9*$NS117</f>
        <v>42.0046823477761</v>
      </c>
      <c r="AZ117" s="259">
        <f>BA117*(1+$BI117+(VLOOKUP($AM117,$A$12:$B$214,2,0))+各项系数!$J$6+各项系数!$M$5)*(1+$E$2)</f>
        <v>41.7318366971963</v>
      </c>
      <c r="BA117" s="260">
        <f>BB117+各项系数!$L$9*$NS117</f>
        <v>42.5835068338738</v>
      </c>
      <c r="BB117" s="260">
        <f>BC117*(1+$BJ117+各项系数!$J$5+各项系数!$L$5)</f>
        <v>42.3106611832941</v>
      </c>
      <c r="BC117" s="262">
        <f t="shared" si="401"/>
        <v>41.4810403757785</v>
      </c>
      <c r="BD117" s="259">
        <f>BE117+各项系数!$M$9*$NS117</f>
        <v>43.0234114776935</v>
      </c>
      <c r="BE117" s="259">
        <f>BF117*(1+$BI117+(VLOOKUP($AM117,$A$12:$B$214,2,0))+各项系数!$J$6+各项系数!$M$5)*(1+$E$2)</f>
        <v>42.7505658271138</v>
      </c>
      <c r="BF117" s="260">
        <f>BG117+各项系数!$L$9*$NS117</f>
        <v>43.6230263541978</v>
      </c>
      <c r="BG117" s="260">
        <f>BH117*(1+$BJ117+各项系数!$J$5+各项系数!$L$5)</f>
        <v>43.3501807036181</v>
      </c>
      <c r="BH117" s="262">
        <f t="shared" si="402"/>
        <v>42.5001771604099</v>
      </c>
      <c r="BI117" s="277"/>
      <c r="BJ117" s="272"/>
      <c r="BK117" s="69" t="s">
        <v>514</v>
      </c>
      <c r="BL117" s="259">
        <f>BM117+各项系数!$M$9*$NM117</f>
        <v>40.9813546541677</v>
      </c>
      <c r="BM117" s="259">
        <f>BN117*(1+$CF117+(VLOOKUP($AM117,$A$12:$B$323,2,0))+各项系数!$J$6+各项系数!$M$5)*(1+$E$2)</f>
        <v>40.7153495247221</v>
      </c>
      <c r="BN117" s="260">
        <f>BO117+各项系数!$L$9*$NM117</f>
        <v>41.5462750252266</v>
      </c>
      <c r="BO117" s="260">
        <f>BP117*(1+$CG117+各项系数!$J$5+各项系数!$L$5)</f>
        <v>41.2802698957811</v>
      </c>
      <c r="BP117" s="260">
        <f t="shared" si="403"/>
        <v>40.0779319376515</v>
      </c>
      <c r="BQ117" s="259">
        <f>BR117+各项系数!$M$9*$NM117</f>
        <v>41.8503841460046</v>
      </c>
      <c r="BR117" s="259">
        <f>BS117*(1+$CF117+(VLOOKUP($AM117,$A$12:$B$323,2,0))+各项系数!$J$6+各项系数!$M$5)*(1+$E$2)</f>
        <v>41.584379016559</v>
      </c>
      <c r="BS117" s="260">
        <f>BT117+各项系数!$L$9*$NM117</f>
        <v>42.4330398128153</v>
      </c>
      <c r="BT117" s="260">
        <f>BU117*(1+$CG117+各项系数!$J$5+各项系数!$L$5)</f>
        <v>42.1670346833698</v>
      </c>
      <c r="BU117" s="260">
        <f t="shared" si="404"/>
        <v>40.9388686246308</v>
      </c>
      <c r="BV117" s="259">
        <f>BW117+各项系数!$M$9*$NT117</f>
        <v>42.3038871978164</v>
      </c>
      <c r="BW117" s="259">
        <f>BX117*(1+$CF117+(VLOOKUP($AM117,$A$12:$B$214,2,0))+各项系数!$J$6+各项系数!$M$5)*(1+$E$2)</f>
        <v>42.0310415472367</v>
      </c>
      <c r="BX117" s="260">
        <f>BY117+各项系数!$L$9*$NT$12</f>
        <v>42.8888179053436</v>
      </c>
      <c r="BY117" s="260">
        <f>BZ117*(1+$CG117+各项系数!$J$5+各项系数!$L$5)</f>
        <v>42.8805545021886</v>
      </c>
      <c r="BZ117" s="262">
        <f t="shared" si="343"/>
        <v>41.6316063128045</v>
      </c>
      <c r="CA117" s="259">
        <f>CB117+各项系数!$M$9*$NT117</f>
        <v>43.1806226113893</v>
      </c>
      <c r="CB117" s="259">
        <f>CC117*(1+$CF117+(VLOOKUP($AM117,$A$12:$B$214,2,0))+各项系数!$J$6+各项系数!$M$5)*(1+$E$2)</f>
        <v>42.9077769608096</v>
      </c>
      <c r="CC117" s="260">
        <f>CD117+各项系数!$L$9*$NT$12</f>
        <v>43.7834458783771</v>
      </c>
      <c r="CD117" s="260">
        <f>CE117*(1+$CG117+各项系数!$J$5+各项系数!$L$5)</f>
        <v>43.7751824752222</v>
      </c>
      <c r="CE117" s="262">
        <f t="shared" si="405"/>
        <v>42.5001771604099</v>
      </c>
      <c r="CF117" s="277">
        <f t="shared" ref="CF117:CF161" si="514">BI117+$CF$2</f>
        <v>0</v>
      </c>
      <c r="CG117" s="277">
        <f t="shared" si="344"/>
        <v>0.01</v>
      </c>
      <c r="CH117" s="123"/>
      <c r="CI117" s="259">
        <f>CJ117+各项系数!$M$9*$NO117</f>
        <v>42.2437440128339</v>
      </c>
      <c r="CJ117" s="259">
        <f>CK117*(1+$DC117+(VLOOKUP($AM117,$A$12:$B$323,2,0))+各项系数!$J$6+各项系数!$M$5)*(1+$E$2)+各项系数!$M$9*$NK117</f>
        <v>41.8722546139221</v>
      </c>
      <c r="CK117" s="260">
        <f>CL117+各项系数!$L$9*$NO117</f>
        <v>42.4553566168128</v>
      </c>
      <c r="CL117" s="260">
        <f>CM117*(1+$DD117+各项系数!$J$5+各项系数!$L$5)</f>
        <v>42.0838672179011</v>
      </c>
      <c r="CM117" s="260">
        <f t="shared" si="345"/>
        <v>41.2586933508834</v>
      </c>
      <c r="CN117" s="259">
        <f>CO117+各项系数!$M$9*$NO117</f>
        <v>43.1142897340675</v>
      </c>
      <c r="CO117" s="259">
        <f>CP117*(1+$DC117+(VLOOKUP($AM117,$A$12:$B$323,2,0))+各项系数!$J$6+各项系数!$M$5)*(1+$E$2)+各项系数!$M$9*$NK117</f>
        <v>42.7428003351558</v>
      </c>
      <c r="CP117" s="260">
        <f>CQ117+各项系数!$L$9*$NO117</f>
        <v>43.3436685772553</v>
      </c>
      <c r="CQ117" s="260">
        <f>CR117*(1+$DD117+各项系数!$J$5+各项系数!$L$5)</f>
        <v>42.9721791783436</v>
      </c>
      <c r="CR117" s="260">
        <f t="shared" si="346"/>
        <v>42.1295874297486</v>
      </c>
      <c r="CS117" s="259">
        <f>CT117+各项系数!$M$9*$NU117</f>
        <v>43.7031249484601</v>
      </c>
      <c r="CT117" s="259">
        <f t="shared" si="347"/>
        <v>43.3240893482475</v>
      </c>
      <c r="CU117" s="260">
        <f>CV117+各项系数!$L$9*$NU117</f>
        <v>44.2082544369872</v>
      </c>
      <c r="CV117" s="260">
        <f>CW117*(1+$DD117+各项系数!$J$5+各项系数!$L$5)</f>
        <v>43.8292188367747</v>
      </c>
      <c r="CW117" s="262">
        <f t="shared" si="348"/>
        <v>42.9698223889948</v>
      </c>
      <c r="CX117" s="259">
        <f>CY117+各项系数!$M$9*$NU117</f>
        <v>44.8160944248038</v>
      </c>
      <c r="CY117" s="259">
        <f t="shared" si="349"/>
        <v>44.4370588245913</v>
      </c>
      <c r="CZ117" s="260">
        <f>DA117+各项系数!$L$9*$NU117</f>
        <v>45.3439375761135</v>
      </c>
      <c r="DA117" s="260">
        <f>DB117*(1+$DD117+各项系数!$J$5+各项系数!$L$5)</f>
        <v>44.964901975901</v>
      </c>
      <c r="DB117" s="262">
        <f t="shared" si="350"/>
        <v>44.0832372312755</v>
      </c>
      <c r="DC117" s="277">
        <f t="shared" si="498"/>
        <v>0</v>
      </c>
      <c r="DD117" s="277">
        <f t="shared" si="351"/>
        <v>0</v>
      </c>
      <c r="DE117" s="69" t="s">
        <v>498</v>
      </c>
      <c r="DF117" s="69" t="s">
        <v>513</v>
      </c>
      <c r="DG117" s="259">
        <f>DH117+各项系数!$M$9*$NQ117</f>
        <v>42.8127840953634</v>
      </c>
      <c r="DH117" s="259">
        <f>DI117*(1+$EA117+(VLOOKUP($AM117,$A$12:$B$323,2,0))+各项系数!$J$6+各项系数!$M$5)*(1+$E$2)+各项系数!$M$9*$NK117</f>
        <v>42.4412946964517</v>
      </c>
      <c r="DI117" s="260">
        <f>DJ117+各项系数!$L$9*$NQ117</f>
        <v>43.0360097622512</v>
      </c>
      <c r="DJ117" s="260">
        <f>DK117*(1+$EB117+各项系数!$J$5+各项系数!$L$5)</f>
        <v>42.6645203633394</v>
      </c>
      <c r="DK117" s="260">
        <f t="shared" si="352"/>
        <v>41.4218644304266</v>
      </c>
      <c r="DL117" s="259">
        <f>DM117+各项系数!$M$9*$NQ117</f>
        <v>43.7629184134715</v>
      </c>
      <c r="DM117" s="259">
        <f>DN117*(1+$EA117+(VLOOKUP($AM117,$A$12:$B$323,2,0))+各项系数!$J$6+各项系数!$M$5)*(1+$E$2)+各项系数!$M$9*$NK117</f>
        <v>43.3914290145598</v>
      </c>
      <c r="DN117" s="260">
        <f>DO117+各项系数!$L$9*$NQ117</f>
        <v>44.0055345766472</v>
      </c>
      <c r="DO117" s="260">
        <f>DP117*(1+$EB117+各项系数!$J$5+各项系数!$L$5)</f>
        <v>43.6340451777354</v>
      </c>
      <c r="DP117" s="260">
        <f t="shared" si="353"/>
        <v>42.3631506579956</v>
      </c>
      <c r="DQ117" s="259">
        <f>DR117+各项系数!$M$9*$NV117</f>
        <v>44.2902699098263</v>
      </c>
      <c r="DR117" s="259">
        <f t="shared" si="354"/>
        <v>43.9112343096137</v>
      </c>
      <c r="DS117" s="260">
        <f>DT117+各项系数!$L$9*$NV117</f>
        <v>44.8073819485854</v>
      </c>
      <c r="DT117" s="260">
        <f>DU117*(1+$EB117+各项系数!$J$5+各项系数!$L$5)</f>
        <v>44.4283463483729</v>
      </c>
      <c r="DU117" s="262">
        <f t="shared" si="355"/>
        <v>43.1343168430805</v>
      </c>
      <c r="DV117" s="259">
        <f>DW117+各项系数!$M$9*$NV117</f>
        <v>44.4721396536247</v>
      </c>
      <c r="DW117" s="259">
        <f t="shared" si="356"/>
        <v>44.0931040534122</v>
      </c>
      <c r="DX117" s="260">
        <f>DY117+各项系数!$L$9*$NV117</f>
        <v>44.9929633198083</v>
      </c>
      <c r="DY117" s="260">
        <f>DZ117*(1+$EB117+各项系数!$J$5+各项系数!$L$5)</f>
        <v>44.6139277195958</v>
      </c>
      <c r="DZ117" s="262">
        <f t="shared" si="357"/>
        <v>43.3144929316464</v>
      </c>
      <c r="EA117" s="277">
        <f t="shared" si="511"/>
        <v>0</v>
      </c>
      <c r="EB117" s="277">
        <f t="shared" si="358"/>
        <v>0.01</v>
      </c>
      <c r="EC117" s="302" t="str">
        <f t="shared" si="408"/>
        <v>3+2</v>
      </c>
      <c r="ED117" s="302" t="str">
        <f t="shared" si="494"/>
        <v>3*16</v>
      </c>
      <c r="EE117" s="251">
        <f t="shared" si="495"/>
        <v>16</v>
      </c>
      <c r="EF117" s="251" t="str">
        <f>LOOKUP(EH117,{1,7,10,14,19,24,30,37,48,61},{1,"1+6","2+8","4+10","1+6+12","2+8+14","4+10+16","1+6+12+18","3+9+15+21","1+6+12+18+24"})</f>
        <v>1+6</v>
      </c>
      <c r="EG117" s="250">
        <f t="shared" si="359"/>
        <v>3</v>
      </c>
      <c r="EH117" s="260">
        <f>VLOOKUP(EE117,各项系数!$B$87:$C$124,2,0)</f>
        <v>7</v>
      </c>
      <c r="EI117" s="250">
        <f>IF(EH117=0,0,VLOOKUP(EH117,各项系数!$D$142:$E$195,2,0))*1</f>
        <v>3</v>
      </c>
      <c r="EJ117" s="305">
        <f t="shared" si="409"/>
        <v>165.416818206689</v>
      </c>
      <c r="EK117" s="251" t="str">
        <f t="shared" si="508"/>
        <v>2*10</v>
      </c>
      <c r="EL117" s="251" t="str">
        <f t="shared" si="360"/>
        <v>10</v>
      </c>
      <c r="EM117" s="251">
        <f t="shared" si="496"/>
        <v>10</v>
      </c>
      <c r="EN117" s="251" t="str">
        <f>IF(EP117=0,0,LOOKUP(EP117,{1,7,10,14,19,24,30,37,48,61},{1,"1+6","2+8","4+10","1+6+12","2+8+14","4+10+16","1+6+12+18","3+9+15+21","1+6+12+18+24"}))</f>
        <v>1+6</v>
      </c>
      <c r="EO117" s="251" t="str">
        <f t="shared" si="509"/>
        <v>2</v>
      </c>
      <c r="EP117" s="251">
        <f>IF(EM117=0,0,IF(EM117&lt;10,1,IF(AND(EM117&gt;=10,EM117&lt;=35),7,LOOKUP(EM117,{50,70,95,120,150,185,240,300},{10,14,19,24,30,37,48,61})*1)))</f>
        <v>7</v>
      </c>
      <c r="EQ117" s="251">
        <f>IF(EP117=0,0,VLOOKUP(EP117,各项系数!$D$142:$E$195,2,0))*1</f>
        <v>3</v>
      </c>
      <c r="ER117" s="251">
        <f t="shared" si="510"/>
        <v>131.130294998433</v>
      </c>
      <c r="ES117" s="302">
        <f t="shared" si="497"/>
        <v>5</v>
      </c>
      <c r="ET117" s="251">
        <f>VLOOKUP(ES117,各项系数!$D$142:$E$195,2,0)*1</f>
        <v>2.7</v>
      </c>
      <c r="EU117" s="311">
        <f>((各项系数!$F$76/4*$EJ117^2*$EG117*$EH117*1*10^-7)*(1-$H117)*AA117)*(VLOOKUP($EY$9,各项系数!$D$4:$F$143,3,0))*各项系数!$J$4</f>
        <v>0.403593812304714</v>
      </c>
      <c r="EV117" s="312">
        <f>EU117*(VLOOKUP($EY$9,各项系数!$D$4:$F$143,2,0))</f>
        <v>26.4353947059588</v>
      </c>
      <c r="EW117" s="324">
        <f>(IF($EO117=0,0,(各项系数!$F$76/4*$ER117^2*$EO117*$EP117*1*10^-7))*(1-$K117)*$AF117)*(VLOOKUP($EY$9,各项系数!$D$4:$F$143,3,0))*各项系数!$J$4</f>
        <v>0.169083017905434</v>
      </c>
      <c r="EX117" s="325">
        <f>EW117*(VLOOKUP($EY$9,各项系数!$D$4:$F$143,2,0))</f>
        <v>11.0749376728059</v>
      </c>
      <c r="EY117" s="251">
        <f>((各项系数!$F$76/4*$EJ117^2*$EG117*$EH117*1*10^-7)*(1-$H117)*AA117+IF($EO117=0,0,(各项系数!$F$76/4*$ER117^2*$EO117*$EP117*1*10^-7))*(1-$K117)*$AF117)*(VLOOKUP($EY$9,各项系数!$D$4:$F$143,3,0))*各项系数!$J$4</f>
        <v>0.572676830210148</v>
      </c>
      <c r="EZ117" s="123">
        <v>1</v>
      </c>
      <c r="FA117" s="251">
        <f t="shared" ref="FA117:FA157" si="515">EZ117*EY117</f>
        <v>0.572676830210148</v>
      </c>
      <c r="FB117" s="326">
        <f>FA117*(VLOOKUP($EY$9,各项系数!$D$4:$F$143,2,0))</f>
        <v>37.5103323787647</v>
      </c>
      <c r="FC117" s="327"/>
      <c r="FD117" s="302">
        <f>各项系数!$F$76/4*($MN117^2-MK117^2)*10^-2*(VLOOKUP(L117,各项系数!$D$1:$F$143,3,0))*10^-3*10^2*$EG117*各项系数!$J$4</f>
        <v>0.0408877767385716</v>
      </c>
      <c r="FE117" s="339">
        <f>FD117*VLOOKUP(L117,各项系数!$D$1:$F$143,2,0)</f>
        <v>0.417055322733431</v>
      </c>
      <c r="FF117" s="250">
        <f>各项系数!$F$76/4*($MO117^2-ML117^2)*10^-2*(VLOOKUP(L117,各项系数!$D$1:$F$143,3,0))*10^-3*10^2*$EO117*各项系数!$J$4</f>
        <v>0.0223069996785088</v>
      </c>
      <c r="FG117" s="339">
        <f>FF117*VLOOKUP(L117,各项系数!$D$1:$F$143,2,0)</f>
        <v>0.22753139672079</v>
      </c>
      <c r="FH117" s="302">
        <f t="shared" si="410"/>
        <v>0.0631947764170804</v>
      </c>
      <c r="FI117" s="123">
        <v>1</v>
      </c>
      <c r="FJ117" s="251">
        <f t="shared" ref="FJ117:FJ157" si="516">FI117*FH117</f>
        <v>0.0631947764170804</v>
      </c>
      <c r="FK117" s="339">
        <f>FJ117*VLOOKUP(L117,各项系数!$D$1:$F$143,2,0)</f>
        <v>0.64458671945422</v>
      </c>
      <c r="FL117" s="302"/>
      <c r="FM117" s="123"/>
      <c r="FN117" s="251"/>
      <c r="FO117" s="339"/>
      <c r="FP117" s="364">
        <f t="shared" ref="FP117:FP157" si="517">FJ117</f>
        <v>0.0631947764170804</v>
      </c>
      <c r="FQ117" s="364">
        <f t="shared" ref="FQ117:FQ157" si="518">FK117</f>
        <v>0.64458671945422</v>
      </c>
      <c r="FR117" s="365">
        <f>各项系数!$F$76/4*($MQ117^2-$MN117^2*$EG117-$MO117^2*$EO117)*10^-2</f>
        <v>0.626992569466702</v>
      </c>
      <c r="FS117" s="366">
        <f t="shared" si="411"/>
        <v>1</v>
      </c>
      <c r="FT117" s="367">
        <f t="shared" si="361"/>
        <v>0.626992569466702</v>
      </c>
      <c r="FU117" s="388">
        <f>$FT117*(VLOOKUP($FT$9,各项系数!$D$1:$F$143,3,0))*10^-3*10^2*各项系数!$J$55</f>
        <v>0.0748629127943242</v>
      </c>
      <c r="FV117" s="389">
        <v>1</v>
      </c>
      <c r="FW117" s="390">
        <f t="shared" ref="FW117:FW157" si="519">FV117*FU117</f>
        <v>0.0748629127943242</v>
      </c>
      <c r="FX117" s="367">
        <f>FW117*(VLOOKUP($FT$9,各项系数!$D$1:$F$143,2,0))</f>
        <v>0.224588738382973</v>
      </c>
      <c r="FY117" s="388">
        <f>IF($BK117&lt;&gt;$FY$9,0,各项系数!$F$76/4*($MS117^2-$MQ117^2)*10^-2*(VLOOKUP($FY$9,各项系数!$D$1:$F$143,3,0))*10^-3*10^2)*各项系数!$J$4</f>
        <v>0</v>
      </c>
      <c r="FZ117" s="389">
        <v>1</v>
      </c>
      <c r="GA117" s="390">
        <f t="shared" ref="GA117:GA157" si="520">FZ117*FY117</f>
        <v>0</v>
      </c>
      <c r="GB117" s="367">
        <f>GA117*(VLOOKUP($FY$9,各项系数!$D$1:$F$143,2,0))</f>
        <v>0</v>
      </c>
      <c r="GC117" s="388">
        <f>IF($BK117&lt;&gt;$GC$9,0,各项系数!$F$76/4*($MS117^2-$MQ117^2)*10^-2*(VLOOKUP($GC$9,各项系数!$D$1:$F$143,3,0))*10^-3*10^2)*各项系数!$J$4</f>
        <v>0.00439968323502639</v>
      </c>
      <c r="GD117" s="389">
        <v>1</v>
      </c>
      <c r="GE117" s="390">
        <f t="shared" ref="GE117:GE157" si="521">GD117*GC117</f>
        <v>0.00439968323502639</v>
      </c>
      <c r="GF117" s="367">
        <f>GE117*(VLOOKUP($GC$9,各项系数!$D$1:$F$143,2,0))</f>
        <v>0.0567559137318404</v>
      </c>
      <c r="GG117" s="388">
        <f>IF($BK117&lt;&gt;$GG$9,0,各项系数!$F$76/4*($MS117^2-$MQ117^2)*10^-2*(VLOOKUP($GG$9,各项系数!$D$1:$F$143,3,0))*10^-3*10^2)*各项系数!$J$4</f>
        <v>0</v>
      </c>
      <c r="GH117" s="389">
        <v>1</v>
      </c>
      <c r="GI117" s="390">
        <f t="shared" ref="GI117:GI157" si="522">GH117*GG117</f>
        <v>0</v>
      </c>
      <c r="GJ117" s="367">
        <f>GI117*(VLOOKUP($GG$9,各项系数!$D$1:$F$143,2,0))</f>
        <v>0</v>
      </c>
      <c r="GK117" s="388">
        <f>IF($BK117&lt;&gt;$GK$9,0,各项系数!$F$76/4*($MS117^2-$MQ117^2)*10^-2*(VLOOKUP($GK$9,各项系数!$D$1:$F$143,3,0))*10^-3*10^2)*各项系数!$J$4</f>
        <v>0</v>
      </c>
      <c r="GL117" s="389">
        <v>1</v>
      </c>
      <c r="GM117" s="390">
        <f t="shared" ref="GM117:GM157" si="523">GL117*GK117</f>
        <v>0</v>
      </c>
      <c r="GN117" s="367">
        <f>GM117*(VLOOKUP($GK$9,各项系数!$D$1:$F$143,2,0))</f>
        <v>0</v>
      </c>
      <c r="GO117" s="390">
        <f t="shared" ref="GO117:GO157" si="524">GM117+GI117+GE117+GA117</f>
        <v>0.00439968323502639</v>
      </c>
      <c r="GP117" s="390">
        <f t="shared" ref="GP117:GP157" si="525">GN117+GJ117+GF117+GB117</f>
        <v>0.0567559137318404</v>
      </c>
      <c r="GQ117" s="406">
        <f>各项系数!$F$76/4*($MU117^2-$MS117^2)*10^-2*(VLOOKUP($S117,各项系数!$D$1:$F$143,3,0))*10^-3*10^2*各项系数!$J$4</f>
        <v>0.12132164880656</v>
      </c>
      <c r="GR117" s="389">
        <v>1</v>
      </c>
      <c r="GS117" s="390">
        <f t="shared" ref="GS117:GS157" si="526">$GR117*$GQ117</f>
        <v>0.12132164880656</v>
      </c>
      <c r="GT117" s="390">
        <f t="shared" si="457"/>
        <v>0</v>
      </c>
      <c r="GU117" s="390">
        <f>ROUND($GS117*(VLOOKUP($S117,各项系数!$D$1:$F$143,2,0))+$E$3*GS117,GT117)</f>
        <v>1</v>
      </c>
      <c r="GV117" s="406">
        <f>各项系数!$F$76/4*($MT117^2-$MS117^2)*10^-2*(VLOOKUP($GV$9,各项系数!$D$1:$F$143,3,0))*10^-3*10^2*各项系数!$J$4*PI()/4*R117</f>
        <v>0.0228017371138591</v>
      </c>
      <c r="GW117" s="389">
        <v>1</v>
      </c>
      <c r="GX117" s="390">
        <f t="shared" ref="GX117:GX157" si="527">$GW117*$GV117</f>
        <v>0.0228017371138591</v>
      </c>
      <c r="GY117" s="390">
        <f>$GX117*(VLOOKUP($GV$9,各项系数!$D$1:$F$143,2,0))</f>
        <v>1.53911725518549</v>
      </c>
      <c r="GZ117" s="406">
        <f>各项系数!$F$76/4*($MV117^2-$MS117^2)*10^-2*(VLOOKUP($GZ$9,各项系数!$D$1:$F$143,3,0))*10^-3*10^2*各项系数!$J$4</f>
        <v>0.147212051429242</v>
      </c>
      <c r="HA117" s="389">
        <v>1</v>
      </c>
      <c r="HB117" s="390">
        <f t="shared" si="412"/>
        <v>0.147212051429242</v>
      </c>
      <c r="HC117" s="390">
        <f>HB117*(VLOOKUP($GZ$9,各项系数!$D$1:$F$143,2,0))</f>
        <v>2.50260487429712</v>
      </c>
      <c r="HD117" s="406">
        <f>各项系数!$F$76/4*($MW117^2-$MT117^2)*10^-2*(VLOOKUP($HD$9,各项系数!$D$1:$F$143,3,0))*10^-3*10^2*各项系数!$J$4</f>
        <v>0.148517420875921</v>
      </c>
      <c r="HE117" s="389">
        <v>1</v>
      </c>
      <c r="HF117" s="390">
        <f t="shared" si="413"/>
        <v>0.148517420875921</v>
      </c>
      <c r="HG117" s="390">
        <f>HF117*(VLOOKUP($HD$9,各项系数!$D$1:$F$143,2,0))</f>
        <v>2.52479615489065</v>
      </c>
      <c r="HH117" s="406">
        <f>各项系数!$F$76/4*($MV117^2-$MS117^2)*10^-2*(VLOOKUP($HH$9,各项系数!$D$1:$F$143,3,0))*10^-3*10^2*各项系数!$J$4</f>
        <v>0.147212051429242</v>
      </c>
      <c r="HI117" s="420">
        <v>1</v>
      </c>
      <c r="HJ117" s="390">
        <f t="shared" si="414"/>
        <v>0.147212051429242</v>
      </c>
      <c r="HK117" s="390">
        <f>HJ117*(VLOOKUP($HH$9,各项系数!$D$1:$F$143,2,0))</f>
        <v>2.50260487429712</v>
      </c>
      <c r="HL117" s="406">
        <f>各项系数!$F$76/4*($MW117^2-$MT117^2)*10^-2*(VLOOKUP($HL$9,各项系数!$D$1:$F$143,3,0))*10^-3*10^2*各项系数!$J$4</f>
        <v>0.148517420875921</v>
      </c>
      <c r="HM117" s="420">
        <v>1</v>
      </c>
      <c r="HN117" s="390">
        <f t="shared" si="362"/>
        <v>0.148517420875921</v>
      </c>
      <c r="HO117" s="390">
        <f>HN117*(VLOOKUP($HL$9,各项系数!$D$1:$F$143,2,0))</f>
        <v>2.52479615489065</v>
      </c>
      <c r="HP117" s="406">
        <f>各项系数!$F$76/4*($MV117^2-$MS117^2)*10^-2*(VLOOKUP(AN117,各项系数!$D$1:$F$143,3,0))*10^-3*10^2*各项系数!$J$4</f>
        <v>0.149242562483439</v>
      </c>
      <c r="HQ117" s="389">
        <v>1</v>
      </c>
      <c r="HR117" s="390">
        <f t="shared" ref="HR117:HR157" si="528">HQ117*HP117</f>
        <v>0.149242562483439</v>
      </c>
      <c r="HS117" s="390">
        <f>HR117*(VLOOKUP(AN117,各项系数!$D$1:$F$143,2,0))</f>
        <v>1.49242562483439</v>
      </c>
      <c r="HT117" s="406">
        <f>各项系数!$F$76/4*($MW117^2-$MT117^2)*10^-2*(VLOOKUP(AN117,各项系数!$D$1:$F$143,3,0))*10^-3*10^2*各项系数!$J$4</f>
        <v>0.150565937025933</v>
      </c>
      <c r="HU117" s="389">
        <v>1</v>
      </c>
      <c r="HV117" s="390">
        <f t="shared" ref="HV117:HV157" si="529">HU117*HT117</f>
        <v>0.150565937025933</v>
      </c>
      <c r="HW117" s="390">
        <f>HV117*(VLOOKUP(AN117,各项系数!$D$1:$F$143,2,0))</f>
        <v>1.50565937025933</v>
      </c>
      <c r="HX117" s="406">
        <f>各项系数!$F$76/4*($MV117^2-$MS117^2)*10^-2*(VLOOKUP($HX$9,各项系数!$D$1:$F$143,3,0))*10^-3*10^2*各项系数!$J$4</f>
        <v>0.149242562483439</v>
      </c>
      <c r="HY117" s="420">
        <v>1</v>
      </c>
      <c r="HZ117" s="390">
        <f t="shared" ref="HZ117:HZ157" si="530">HY117*HX117</f>
        <v>0.149242562483439</v>
      </c>
      <c r="IA117" s="390">
        <f>HZ117*(VLOOKUP($HX$9,各项系数!$D$1:$F$143,2,0))</f>
        <v>1.64166818731783</v>
      </c>
      <c r="IB117" s="406">
        <f>各项系数!$F$76/4*($MW117^2-$MT117^2)*10^-2*(VLOOKUP($IB$9,各项系数!$D$1:$F$143,3,0))*10^-3*10^2*各项系数!$J$4</f>
        <v>0.150565937025933</v>
      </c>
      <c r="IC117" s="420">
        <v>1</v>
      </c>
      <c r="ID117" s="390">
        <f t="shared" ref="ID117:ID157" si="531">IC117*IB117</f>
        <v>0.150565937025933</v>
      </c>
      <c r="IE117" s="390">
        <f>ID117*(VLOOKUP($IB$9,各项系数!$D$1:$F$143,2,0))</f>
        <v>1.65622530728527</v>
      </c>
      <c r="IF117" s="429"/>
      <c r="IG117" s="406">
        <f t="shared" si="415"/>
        <v>0.0341187159732391</v>
      </c>
      <c r="IH117" s="389">
        <v>1</v>
      </c>
      <c r="II117" s="390">
        <f t="shared" ref="II117:II157" si="532">IH117*IG117</f>
        <v>0.0341187159732391</v>
      </c>
      <c r="IJ117" s="390">
        <f>II117*(VLOOKUP($IG$8,各项系数!$D$1:$F$143,2,0))</f>
        <v>0.852967899330977</v>
      </c>
      <c r="IK117" s="406">
        <f>(各项系数!$F$76/4*($MX117^2-$MK117^2)*$EG117)*10^-2*(VLOOKUP($IG$8,各项系数!$D$1:$F$143,3,0))*10^-3*10^2*各项系数!$J$4</f>
        <v>0.0222074762053525</v>
      </c>
      <c r="IL117" s="389">
        <f>IK117*(VLOOKUP($IG$8,各项系数!$D$1:$F$143,2,0))</f>
        <v>0.555186905133813</v>
      </c>
      <c r="IM117" s="390">
        <f>(各项系数!$F$76/4*(($MM117+3*$X117)^2-MM117^2)*$EO117)*10^-2*(VLOOKUP($IG$8,各项系数!$D$1:$F$143,3,0))*10^-3*10^2*各项系数!$J$4</f>
        <v>0.0119112397678866</v>
      </c>
      <c r="IN117" s="389">
        <f>IM117*(VLOOKUP($IG$8,各项系数!$D$1:$F$143,2,0))</f>
        <v>0.297780994197165</v>
      </c>
      <c r="IO117" s="406">
        <f>各项系数!$F$76/4*($MZ117^2-$MX117^2)*10^-2*(VLOOKUP(L117,各项系数!$D$1:$F$143,3,0))*10^-3*10^2*$ES117*各项系数!$J$4</f>
        <v>0.0753670881989296</v>
      </c>
      <c r="IP117" s="389">
        <v>1</v>
      </c>
      <c r="IQ117" s="390">
        <f t="shared" ref="IQ117:IQ157" si="533">IP117*IO117</f>
        <v>0.0753670881989296</v>
      </c>
      <c r="IR117" s="367">
        <f>IQ117*(VLOOKUP(L117,各项系数!$D$1:$F$143,2,0))</f>
        <v>0.768744299629082</v>
      </c>
      <c r="IS117" s="406">
        <f>IF($L117&lt;&gt;$IS$9,0,各项系数!$F$76/4*($MZ117^2-$MX117^2)*10^-2*各项系数!$F$12*10^-3*10^2)*$ES117*各项系数!$J$4</f>
        <v>0</v>
      </c>
      <c r="IT117" s="389">
        <v>1</v>
      </c>
      <c r="IU117" s="390">
        <f t="shared" ref="IU117:IU157" si="534">IT117*IS117</f>
        <v>0</v>
      </c>
      <c r="IV117" s="367">
        <f>IU117*各项系数!$E$12</f>
        <v>0</v>
      </c>
      <c r="IW117" s="388">
        <f t="shared" ref="IW117:IW157" si="535">IQ117</f>
        <v>0.0753670881989296</v>
      </c>
      <c r="IX117" s="388">
        <f t="shared" ref="IX117:IX157" si="536">IR117</f>
        <v>0.768744299629082</v>
      </c>
      <c r="IY117" s="447">
        <f>各项系数!$F$76/4*($NB117^2-$MZ117^2*$EG117-$NA117^2*$EO117)*10^-2</f>
        <v>0.761907716866667</v>
      </c>
      <c r="IZ117" s="366">
        <f t="shared" si="487"/>
        <v>1</v>
      </c>
      <c r="JA117" s="367">
        <f t="shared" si="363"/>
        <v>0.761907716866667</v>
      </c>
      <c r="JB117" s="364">
        <f>IF($DE117&lt;&gt;$JB$9,0,$JA117*各项系数!$F$32*10^-3*10^2)*各项系数!$J$4</f>
        <v>0</v>
      </c>
      <c r="JC117" s="123">
        <v>1</v>
      </c>
      <c r="JD117" s="251">
        <f t="shared" ref="JD117:JD157" si="537">JC117*JB117</f>
        <v>0</v>
      </c>
      <c r="JE117" s="339">
        <f>JD117*各项系数!$E$32</f>
        <v>0</v>
      </c>
      <c r="JF117" s="364">
        <f>IF($DE117&lt;&gt;$JF$9,0,$JA117*VLOOKUP($JF$9,各项系数!$D$4:$F$540,2,0)*10^-3*10^2)*各项系数!$J$4</f>
        <v>0.379049089141167</v>
      </c>
      <c r="JG117" s="123">
        <v>1</v>
      </c>
      <c r="JH117" s="251">
        <f t="shared" si="364"/>
        <v>0.379049089141167</v>
      </c>
      <c r="JI117" s="339">
        <f>JH117*VLOOKUP($JF$9,各项系数!$D$4:$F$540,3,0)</f>
        <v>0.4548589069694</v>
      </c>
      <c r="JJ117" s="364">
        <f t="shared" ref="JJ117:JJ157" si="538">JH117+JD117</f>
        <v>0.379049089141167</v>
      </c>
      <c r="JK117" s="251">
        <f t="shared" ref="JK117:JK157" si="539">JI117+JE117</f>
        <v>0.4548589069694</v>
      </c>
      <c r="JL117" s="364">
        <f>IF($DF117&lt;&gt;$JL$9,0,各项系数!$F$76/4*($NE117^2-$NC117^2)*10^-2*各项系数!$F$39*10^-3*10^2)*各项系数!$J$4</f>
        <v>0.00200395353786746</v>
      </c>
      <c r="JM117" s="123">
        <v>1</v>
      </c>
      <c r="JN117" s="251">
        <f t="shared" ref="JN117:JN157" si="540">JM117*JL117</f>
        <v>0.00200395353786746</v>
      </c>
      <c r="JO117" s="339">
        <f>JN117*各项系数!$E$39</f>
        <v>0.0400790707573492</v>
      </c>
      <c r="JP117" s="364">
        <f>IF($DF117&lt;&gt;$JP$9,0,各项系数!$F$76/4*($NE117^2-$NC117^2)*10^-2*各项系数!$F$36*10^-3*10^2)*各项系数!$J$4</f>
        <v>0</v>
      </c>
      <c r="JQ117" s="123">
        <v>1</v>
      </c>
      <c r="JR117" s="251">
        <f t="shared" ref="JR117:JR157" si="541">JQ117*JP117</f>
        <v>0</v>
      </c>
      <c r="JS117" s="339">
        <f>JR117*各项系数!$E$36</f>
        <v>0</v>
      </c>
      <c r="JT117" s="364">
        <f>IF($DF117&lt;&gt;$JT$9,0,各项系数!$F$76/4*($NE117^2-$NC117^2)*10^-2*各项系数!$F$40*10^-3*10^2)*各项系数!$J$4</f>
        <v>0</v>
      </c>
      <c r="JU117" s="123">
        <v>1</v>
      </c>
      <c r="JV117" s="251">
        <f t="shared" ref="JV117:JV157" si="542">JU117*JT117</f>
        <v>0</v>
      </c>
      <c r="JW117" s="339">
        <f>JV117*各项系数!$E$40</f>
        <v>0</v>
      </c>
      <c r="JX117" s="364">
        <f>IF($DF117&lt;&gt;$JX$9,0,各项系数!$F$76/4*($NE117^2-$NC117^2)*10^-2*各项系数!$F$38*10^-3*10^2)*各项系数!$J$4</f>
        <v>0</v>
      </c>
      <c r="JY117" s="123">
        <v>1</v>
      </c>
      <c r="JZ117" s="251">
        <f t="shared" ref="JZ117:JZ157" si="543">JY117*JX117</f>
        <v>0</v>
      </c>
      <c r="KA117" s="339">
        <f>JZ117*各项系数!$E$38</f>
        <v>0</v>
      </c>
      <c r="KB117" s="364">
        <f>IF($DF117&lt;&gt;$KB$9,0,各项系数!$F$76/4*($NE117^2-$NC117^2)*10^-2*各项系数!$F$41*10^-3*10^2)*各项系数!$J$4</f>
        <v>0</v>
      </c>
      <c r="KC117" s="123">
        <v>1</v>
      </c>
      <c r="KD117" s="251">
        <f t="shared" ref="KD117:KD157" si="544">KC117*KB117</f>
        <v>0</v>
      </c>
      <c r="KE117" s="339">
        <f>KD117*各项系数!$E$41</f>
        <v>0</v>
      </c>
      <c r="KF117" s="251">
        <f t="shared" ref="KF117:KF157" si="545">KD117+JZ117+JV117+JR117+JN117</f>
        <v>0.00200395353786746</v>
      </c>
      <c r="KG117" s="251">
        <f t="shared" ref="KG117:KG157" si="546">KE117+KA117+JW117+JS117+JO117</f>
        <v>0.0400790707573492</v>
      </c>
      <c r="KH117" s="302">
        <f>各项系数!$F$76/4*($NG117^2-$NE117^2)*10^-2*各项系数!$F$44*10^-3*10^2*各项系数!$J$4*0.75*$U117</f>
        <v>0.200506453381148</v>
      </c>
      <c r="KI117" s="123">
        <v>1</v>
      </c>
      <c r="KJ117" s="251">
        <f t="shared" ref="KJ117:KJ157" si="547">KI117*KH117</f>
        <v>0.200506453381148</v>
      </c>
      <c r="KK117" s="251">
        <f>ROUND(KJ117*各项系数!$E$43,GT117)</f>
        <v>1</v>
      </c>
      <c r="KL117" s="302">
        <f>各项系数!$F$76/4*($NF117^2-$NE117^2)*10^-2*各项系数!$F$46*10^-3*10^2*各项系数!$J$4*PI()/4*R117</f>
        <v>0.0251540043360946</v>
      </c>
      <c r="KM117" s="123">
        <v>1</v>
      </c>
      <c r="KN117" s="251">
        <f t="shared" ref="KN117:KN157" si="548">$KL117*$KM117</f>
        <v>0.0251540043360946</v>
      </c>
      <c r="KO117" s="251">
        <f>KN117*各项系数!$E$46</f>
        <v>1.69789529268638</v>
      </c>
      <c r="KP117" s="302">
        <f>各项系数!$F$76/4*($NH117^2-$NE117^2)*10^-2*(VLOOKUP($KP$9,各项系数!$D$1:$F$143,3,0))*10^-3*10^2*各项系数!$J$4</f>
        <v>0.160951064855533</v>
      </c>
      <c r="KQ117" s="123">
        <v>1</v>
      </c>
      <c r="KR117" s="251">
        <f t="shared" si="416"/>
        <v>0.160951064855533</v>
      </c>
      <c r="KS117" s="251">
        <f>KR117*(VLOOKUP($KP$9,各项系数!$D$1:$F$143,2,0))</f>
        <v>2.73616810254405</v>
      </c>
      <c r="KT117" s="302">
        <f>各项系数!$F$76/4*($NI117^2-$NF117^2)*10^-2*(VLOOKUP($KT$9,各项系数!$D$1:$F$143,3,0))*10^-3*10^2*各项系数!$J$4</f>
        <v>0.162256434302211</v>
      </c>
      <c r="KU117" s="123">
        <v>1</v>
      </c>
      <c r="KV117" s="251">
        <f t="shared" si="417"/>
        <v>0.162256434302211</v>
      </c>
      <c r="KW117" s="251">
        <f>KV117*(VLOOKUP($KT$9,各项系数!$D$1:$F$143,2,0))</f>
        <v>2.75835938313758</v>
      </c>
      <c r="KX117" s="251">
        <f>各项系数!$F$76/4*($NH117^2-$NE117^2)*10^-2*(VLOOKUP($KX$9,各项系数!$D$1:$F$143,3,0))*10^-3*10^2*各项系数!$J$4</f>
        <v>0.160951064855533</v>
      </c>
      <c r="KY117" s="479">
        <v>1</v>
      </c>
      <c r="KZ117" s="251">
        <f t="shared" si="418"/>
        <v>0.160951064855533</v>
      </c>
      <c r="LA117" s="251">
        <f>KZ117*(VLOOKUP($KX$9,各项系数!$D$1:$F$143,2,0))</f>
        <v>2.73616810254405</v>
      </c>
      <c r="LB117" s="251">
        <f>各项系数!$F$76/4*($NI117^2-$NF117^2)*10^-2*(VLOOKUP($LB$9,各项系数!$D$1:$F$143,3,0))*10^-3*10^2*各项系数!$J$4</f>
        <v>0.162256434302211</v>
      </c>
      <c r="LC117" s="479">
        <v>1</v>
      </c>
      <c r="LD117" s="251">
        <f t="shared" si="419"/>
        <v>0.162256434302211</v>
      </c>
      <c r="LE117" s="251">
        <f>LD117*(VLOOKUP($LB$9,各项系数!$D$1:$F$143,2,0))</f>
        <v>2.75835938313758</v>
      </c>
      <c r="LF117" s="302">
        <f>各项系数!$F$76/4*($NH117^2-$NE117^2)*10^-2*(VLOOKUP(AN117,各项系数!$D$1:$F$143,3,0))*10^-3*10^2*各项系数!$J$4</f>
        <v>0.163171079543195</v>
      </c>
      <c r="LG117" s="123">
        <v>1</v>
      </c>
      <c r="LH117" s="251">
        <f t="shared" ref="LH117:LH157" si="549">LG117*LF117</f>
        <v>0.163171079543195</v>
      </c>
      <c r="LI117" s="251">
        <f>LH117*(VLOOKUP(AN117,各项系数!$D$1:$F$143,2,0))</f>
        <v>1.63171079543195</v>
      </c>
      <c r="LJ117" s="302">
        <f>各项系数!$F$76/4*($NI117^2-$NF117^2)*10^-2*(VLOOKUP(AN117,各项系数!$D$1:$F$143,3,0))*10^-3*10^2*各项系数!$J$4</f>
        <v>0.16449445408569</v>
      </c>
      <c r="LK117" s="123">
        <v>1</v>
      </c>
      <c r="LL117" s="251">
        <f t="shared" ref="LL117:LL157" si="550">LK117*LJ117</f>
        <v>0.16449445408569</v>
      </c>
      <c r="LM117" s="251">
        <f>LL117*(VLOOKUP(AN117,各项系数!$D$1:$F$143,2,0))</f>
        <v>1.6449445408569</v>
      </c>
      <c r="LN117" s="251">
        <f>各项系数!$F$76/4*($NH117^2-$NE117^2)*10^-2*(VLOOKUP($LN$9,各项系数!$D$1:$F$143,3,0))*10^-3*10^2*各项系数!$J$4</f>
        <v>0.163171079543195</v>
      </c>
      <c r="LO117" s="479">
        <v>1</v>
      </c>
      <c r="LP117" s="251">
        <f t="shared" ref="LP117:LP157" si="551">LO117*LN117</f>
        <v>0.163171079543195</v>
      </c>
      <c r="LQ117" s="251">
        <f>LP117*(VLOOKUP($LN$9,各项系数!$D$1:$F$143,2,0))</f>
        <v>1.79488187497515</v>
      </c>
      <c r="LR117" s="251">
        <f>各项系数!$F$76/4*($NI117^2-$NF117^2)*10^-2*(VLOOKUP($LR$9,各项系数!$D$1:$F$143,3,0))*10^-3*10^2*各项系数!$J$4</f>
        <v>0.16449445408569</v>
      </c>
      <c r="LS117" s="479">
        <v>1</v>
      </c>
      <c r="LT117" s="251">
        <f t="shared" ref="LT117:LT157" si="552">LS117*LR117</f>
        <v>0.16449445408569</v>
      </c>
      <c r="LU117" s="251">
        <f>LT117*(VLOOKUP($LR$9,各项系数!$D$1:$F$143,2,0))</f>
        <v>1.80943899494259</v>
      </c>
      <c r="LV117" s="499">
        <f t="shared" si="420"/>
        <v>58.02470889</v>
      </c>
      <c r="LW117" s="499">
        <f t="shared" si="421"/>
        <v>45.13032914</v>
      </c>
      <c r="LX117" s="499">
        <f t="shared" si="422"/>
        <v>7.5803508974164</v>
      </c>
      <c r="LY117" s="515">
        <f t="shared" si="423"/>
        <v>12.89437975</v>
      </c>
      <c r="LZ117" s="516">
        <f t="shared" si="365"/>
        <v>1</v>
      </c>
      <c r="MA117" s="517">
        <f t="shared" si="366"/>
        <v>58.02470889</v>
      </c>
      <c r="MB117" s="517">
        <f t="shared" si="424"/>
        <v>4.96250454</v>
      </c>
      <c r="MC117" s="499">
        <f t="shared" si="425"/>
        <v>24.30907664</v>
      </c>
      <c r="MD117" s="499">
        <f t="shared" si="426"/>
        <v>18.90705961</v>
      </c>
      <c r="ME117" s="499">
        <f t="shared" si="427"/>
        <v>4.90644636882102</v>
      </c>
      <c r="MF117" s="499">
        <f t="shared" si="428"/>
        <v>5.40201703</v>
      </c>
      <c r="MG117" s="516">
        <f t="shared" si="429"/>
        <v>1</v>
      </c>
      <c r="MH117" s="517">
        <f t="shared" si="367"/>
        <v>24.30907664</v>
      </c>
      <c r="MI117" s="517">
        <f t="shared" si="430"/>
        <v>3.93390884960784</v>
      </c>
      <c r="MJ117" s="251">
        <f t="shared" si="368"/>
        <v>4.96250454</v>
      </c>
      <c r="MK117" s="251">
        <f t="shared" si="431"/>
        <v>4.96250454</v>
      </c>
      <c r="ML117" s="251">
        <f t="shared" ref="ML117:ML157" si="553">$ER117*$EQ117*10^-2</f>
        <v>3.93390884995299</v>
      </c>
      <c r="MM117" s="251">
        <f t="shared" si="369"/>
        <v>3.93390884960784</v>
      </c>
      <c r="MN117" s="251">
        <f t="shared" si="370"/>
        <v>6.36250454</v>
      </c>
      <c r="MO117" s="251">
        <f t="shared" si="432"/>
        <v>5.33390884960784</v>
      </c>
      <c r="MP117" s="251">
        <f t="shared" si="433"/>
        <v>16.06787891</v>
      </c>
      <c r="MQ117" s="251">
        <f t="shared" ref="MQ117:MQ157" si="554">MP117</f>
        <v>16.06787891</v>
      </c>
      <c r="MR117" s="314">
        <f t="shared" si="434"/>
        <v>16.06787891</v>
      </c>
      <c r="MS117" s="530">
        <f t="shared" si="371"/>
        <v>16.24387891</v>
      </c>
      <c r="MT117" s="530">
        <f t="shared" si="372"/>
        <v>16.40387891</v>
      </c>
      <c r="MU117" s="530">
        <f t="shared" si="373"/>
        <v>16.84387891</v>
      </c>
      <c r="MV117" s="530">
        <f t="shared" si="374"/>
        <v>19.84387891</v>
      </c>
      <c r="MW117" s="530">
        <f t="shared" si="375"/>
        <v>20.00387891</v>
      </c>
      <c r="MX117" s="326">
        <f t="shared" si="376"/>
        <v>5.56250454</v>
      </c>
      <c r="MY117" s="326">
        <f t="shared" si="377"/>
        <v>4.53390884960784</v>
      </c>
      <c r="MZ117" s="251">
        <f t="shared" si="378"/>
        <v>6.96250454</v>
      </c>
      <c r="NA117" s="251">
        <f t="shared" si="379"/>
        <v>5.93390884960784</v>
      </c>
      <c r="NB117" s="251">
        <f t="shared" si="435"/>
        <v>17.68787891</v>
      </c>
      <c r="NC117" s="326">
        <f t="shared" ref="NC117:NC157" si="555">NB117</f>
        <v>17.68787891</v>
      </c>
      <c r="ND117" s="314">
        <f t="shared" si="436"/>
        <v>17.68787891</v>
      </c>
      <c r="NE117" s="537">
        <f t="shared" si="437"/>
        <v>17.92787891</v>
      </c>
      <c r="NF117" s="530">
        <f t="shared" si="380"/>
        <v>18.08787891</v>
      </c>
      <c r="NG117" s="538">
        <f t="shared" si="381"/>
        <v>18.52787891</v>
      </c>
      <c r="NH117" s="326">
        <f t="shared" si="382"/>
        <v>21.52787891</v>
      </c>
      <c r="NI117" s="530">
        <f t="shared" si="383"/>
        <v>21.68787891</v>
      </c>
      <c r="NK117" s="539">
        <f t="shared" si="384"/>
        <v>0.886683764818527</v>
      </c>
      <c r="NL117" s="539">
        <f t="shared" si="385"/>
        <v>40.1562207718889</v>
      </c>
      <c r="NM117" s="539">
        <f t="shared" si="386"/>
        <v>0.886683764818527</v>
      </c>
      <c r="NN117" s="539">
        <f t="shared" si="387"/>
        <v>40.3054633343723</v>
      </c>
      <c r="NO117" s="539">
        <f t="shared" si="388"/>
        <v>1.23829799637243</v>
      </c>
      <c r="NP117" s="539">
        <f t="shared" si="389"/>
        <v>41.5564743450806</v>
      </c>
      <c r="NQ117" s="539">
        <f t="shared" si="390"/>
        <v>1.23829799637243</v>
      </c>
      <c r="NR117" s="539">
        <f t="shared" si="391"/>
        <v>41.7196454246238</v>
      </c>
      <c r="NS117" s="539">
        <f t="shared" si="392"/>
        <v>0.909485501932386</v>
      </c>
      <c r="NT117" s="539">
        <f t="shared" si="393"/>
        <v>0.909485501932386</v>
      </c>
      <c r="NU117" s="539">
        <f t="shared" si="394"/>
        <v>1.26345200070853</v>
      </c>
      <c r="NV117" s="539">
        <f t="shared" si="395"/>
        <v>1.26345200070853</v>
      </c>
      <c r="NW117">
        <f t="shared" si="396"/>
        <v>1.00800541362509</v>
      </c>
      <c r="NX117">
        <f>各项系数!$M$9*NK117</f>
        <v>0.266005129445558</v>
      </c>
      <c r="NY117">
        <f t="shared" si="397"/>
        <v>0.909485501932386</v>
      </c>
    </row>
    <row r="118" customHeight="1" spans="1:389">
      <c r="A118" s="81"/>
      <c r="B118" s="82"/>
      <c r="C118" s="83"/>
      <c r="D118" s="69" t="s">
        <v>386</v>
      </c>
      <c r="E118" s="550">
        <f t="shared" si="503"/>
        <v>23.67458726</v>
      </c>
      <c r="F118" s="84">
        <f>$F$22</f>
        <v>208.046961644752</v>
      </c>
      <c r="G118" s="74"/>
      <c r="H118" s="23"/>
      <c r="I118" s="174">
        <f>$F$21</f>
        <v>165.416818206689</v>
      </c>
      <c r="J118" s="78"/>
      <c r="K118" s="23"/>
      <c r="L118" s="118" t="s">
        <v>467</v>
      </c>
      <c r="M118" s="119">
        <f t="shared" si="339"/>
        <v>0.9</v>
      </c>
      <c r="N118" s="119">
        <f t="shared" si="501"/>
        <v>0.7</v>
      </c>
      <c r="O118" s="74">
        <f t="shared" ref="O118:O127" si="556">$O$36</f>
        <v>0.08</v>
      </c>
      <c r="P118" s="120">
        <v>0.1</v>
      </c>
      <c r="Q118" s="165">
        <f t="shared" si="512"/>
        <v>0.1</v>
      </c>
      <c r="R118" s="182">
        <v>0.8</v>
      </c>
      <c r="S118" s="173" t="str">
        <f>各项系数!$D$43</f>
        <v>钢带</v>
      </c>
      <c r="T118" s="78">
        <v>0.2</v>
      </c>
      <c r="U118" s="78">
        <v>2</v>
      </c>
      <c r="V118" s="172"/>
      <c r="W118" s="174">
        <v>1.8</v>
      </c>
      <c r="X118" s="168">
        <f t="shared" si="513"/>
        <v>0.2</v>
      </c>
      <c r="Y118" s="221"/>
      <c r="Z118" s="222"/>
      <c r="AA118" s="223">
        <f>$AA$22</f>
        <v>1.011</v>
      </c>
      <c r="AB118" s="186">
        <f>PI()*EJ118*EJ118/4*EH118*(1-H118)*AA118*各项系数!$F$5*各项系数!$J$4*10^-7</f>
        <v>0.212807374667777</v>
      </c>
      <c r="AC118" s="224">
        <f t="shared" si="504"/>
        <v>208.046961644752</v>
      </c>
      <c r="AD118" s="186">
        <f t="shared" si="341"/>
        <v>24.0581280607511</v>
      </c>
      <c r="AE118" s="186">
        <f>POWER(4*EU118/PI()/EG118/10^-7/EH118/(1-H118)/各项系数!$F$5/各项系数!$J$4,0.5)</f>
        <v>209.188090412333</v>
      </c>
      <c r="AF118" s="225">
        <f>$AA$21</f>
        <v>1.011</v>
      </c>
      <c r="AG118" s="23">
        <f>IF(EM118=0,0,PI()*ER118*ER118/4*EP118*(1-K118)*(1+AF118)*各项系数!$F$5*各项系数!$J$4*10^-7)</f>
        <v>0.267598798728909</v>
      </c>
      <c r="AH118" s="23">
        <f t="shared" si="505"/>
        <v>165.416818206689</v>
      </c>
      <c r="AI118" s="85">
        <f t="shared" si="398"/>
        <v>15.2089209566661</v>
      </c>
      <c r="AJ118" s="85">
        <f>IF(OR(EP118="",EP118=0),0,POWER(4*EW118/PI()/EO118/10^-7/EP118/(1-K118)/各项系数!$F$5/各项系数!$J$4,0.5))</f>
        <v>166.32412244418</v>
      </c>
      <c r="AK118" s="23">
        <f t="shared" si="342"/>
        <v>0.907484665539808</v>
      </c>
      <c r="AL118" s="23">
        <f t="shared" si="506"/>
        <v>64.6458605425074</v>
      </c>
      <c r="AM118" s="250">
        <f t="shared" si="507"/>
        <v>25</v>
      </c>
      <c r="AN118" s="118" t="s">
        <v>486</v>
      </c>
      <c r="AO118" s="259">
        <f>AP118+各项系数!$M$9*$NK118</f>
        <v>63.3782946495171</v>
      </c>
      <c r="AP118" s="259">
        <f>AQ118*(1+$BI118+(VLOOKUP($AM118,$A$12:$B$323,2,0))+各项系数!$J$6+各项系数!$M$5)*(1+$E$2)</f>
        <v>62.9798529297009</v>
      </c>
      <c r="AQ118" s="260">
        <f>AR118+各项系数!$L$9*$NK118</f>
        <v>64.2651560507152</v>
      </c>
      <c r="AR118" s="260">
        <f>AS118*(1+$BJ118+各项系数!$J$5+各项系数!$L$5)</f>
        <v>63.866714330899</v>
      </c>
      <c r="AS118" s="260">
        <f t="shared" si="399"/>
        <v>62.6144258146069</v>
      </c>
      <c r="AT118" s="259">
        <f>AU118+各项系数!$M$9*$NM118</f>
        <v>64.6024446978039</v>
      </c>
      <c r="AU118" s="259">
        <f>AV118*(1+$BI118+(VLOOKUP($AM118,$A$12:$B$323,2,0))+各项系数!$J$6+各项系数!$M$5)*(1+$E$2)</f>
        <v>64.2040029779877</v>
      </c>
      <c r="AV118" s="260">
        <f>AW118+各项系数!$L$9*$NM118</f>
        <v>65.5142887530486</v>
      </c>
      <c r="AW118" s="260">
        <f>AX118*(1+$BJ118+各项系数!$J$5+各项系数!$L$5)</f>
        <v>65.1158470332325</v>
      </c>
      <c r="AX118" s="260">
        <f t="shared" si="400"/>
        <v>63.8390657188553</v>
      </c>
      <c r="AY118" s="259">
        <f>AZ118+各项系数!$M$9*$NS118</f>
        <v>65.3077859877875</v>
      </c>
      <c r="AZ118" s="259">
        <f>BA118*(1+$BI118+(VLOOKUP($AM118,$A$12:$B$214,2,0))+各项系数!$J$6+各项系数!$M$5)*(1+$E$2)</f>
        <v>64.9008984885789</v>
      </c>
      <c r="BA118" s="260">
        <f>BB118+各项系数!$L$9*$NS118</f>
        <v>66.2254066209989</v>
      </c>
      <c r="BB118" s="260">
        <f>BC118*(1+$BJ118+各项系数!$J$5+各项系数!$L$5)</f>
        <v>65.8185191217903</v>
      </c>
      <c r="BC118" s="262">
        <f t="shared" si="401"/>
        <v>64.5279599233238</v>
      </c>
      <c r="BD118" s="259">
        <f>BE118+各项系数!$M$9*$NS118</f>
        <v>66.5408899882288</v>
      </c>
      <c r="BE118" s="259">
        <f>BF118*(1+$BI118+(VLOOKUP($AM118,$A$12:$B$214,2,0))+各项系数!$J$6+各项系数!$M$5)*(1+$E$2)</f>
        <v>66.1340024890202</v>
      </c>
      <c r="BF118" s="260">
        <f>BG118+各项系数!$L$9*$NS118</f>
        <v>67.4836760092043</v>
      </c>
      <c r="BG118" s="260">
        <f>BH118*(1+$BJ118+各项系数!$J$5+各项系数!$L$5)</f>
        <v>67.0767885099957</v>
      </c>
      <c r="BH118" s="262">
        <f t="shared" si="402"/>
        <v>65.7615573627409</v>
      </c>
      <c r="BI118" s="277"/>
      <c r="BJ118" s="272"/>
      <c r="BK118" s="69" t="s">
        <v>514</v>
      </c>
      <c r="BL118" s="259">
        <f>BM118+各项系数!$M$9*$NM118</f>
        <v>64.1745434328964</v>
      </c>
      <c r="BM118" s="259">
        <f>BN118*(1+$CF118+(VLOOKUP($AM118,$A$12:$B$323,2,0))+各项系数!$J$6+各项系数!$M$5)*(1+$E$2)</f>
        <v>63.7761017130802</v>
      </c>
      <c r="BN118" s="260">
        <f>BO118+各项系数!$L$9*$NM118</f>
        <v>65.0776548092655</v>
      </c>
      <c r="BO118" s="260">
        <f>BP118*(1+$CG118+各项系数!$J$5+各项系数!$L$5)</f>
        <v>64.6792130894493</v>
      </c>
      <c r="BP118" s="260">
        <f t="shared" si="403"/>
        <v>62.7953525140285</v>
      </c>
      <c r="BQ118" s="259">
        <f>BR118+各项系数!$M$9*$NM118</f>
        <v>65.2280675418486</v>
      </c>
      <c r="BR118" s="259">
        <f>BS118*(1+$CF118+(VLOOKUP($AM118,$A$12:$B$323,2,0))+各项系数!$J$6+各项系数!$M$5)*(1+$E$2)</f>
        <v>64.8296258220325</v>
      </c>
      <c r="BS118" s="260">
        <f>BT118+各项系数!$L$9*$NM118</f>
        <v>66.1526794102372</v>
      </c>
      <c r="BT118" s="260">
        <f>BU118*(1+$CG118+各项系数!$J$5+各项系数!$L$5)</f>
        <v>65.754237690421</v>
      </c>
      <c r="BU118" s="260">
        <f t="shared" si="404"/>
        <v>63.8390657188553</v>
      </c>
      <c r="BV118" s="259">
        <f>BW118+各项系数!$M$9*$NT118</f>
        <v>65.7334716055629</v>
      </c>
      <c r="BW118" s="259">
        <f>BX118*(1+$CF118+(VLOOKUP($AM118,$A$12:$B$214,2,0))+各项系数!$J$6+各项系数!$M$5)*(1+$E$2)</f>
        <v>65.3265841063543</v>
      </c>
      <c r="BX118" s="260">
        <f>BY118+各项系数!$L$9*$NT$12</f>
        <v>66.6597797003615</v>
      </c>
      <c r="BY118" s="260">
        <f>BZ118*(1+$CG118+各项系数!$J$5+各项系数!$L$5)</f>
        <v>66.6515162972066</v>
      </c>
      <c r="BZ118" s="262">
        <f t="shared" si="343"/>
        <v>64.7102099972879</v>
      </c>
      <c r="CA118" s="259">
        <f>CB118+各项系数!$M$9*$NT118</f>
        <v>66.7947016362511</v>
      </c>
      <c r="CB118" s="259">
        <f>CC118*(1+$CF118+(VLOOKUP($AM118,$A$12:$B$214,2,0))+各项系数!$J$6+各项系数!$M$5)*(1+$E$2)</f>
        <v>66.3878141370425</v>
      </c>
      <c r="CC118" s="260">
        <f>CD118+各项系数!$L$9*$NT$12</f>
        <v>67.7426674867781</v>
      </c>
      <c r="CD118" s="260">
        <f>CE118*(1+$CG118+各项系数!$J$5+各项系数!$L$5)</f>
        <v>67.7344040836231</v>
      </c>
      <c r="CE118" s="262">
        <f t="shared" si="405"/>
        <v>65.7615573627409</v>
      </c>
      <c r="CF118" s="277">
        <f t="shared" si="514"/>
        <v>0</v>
      </c>
      <c r="CG118" s="277">
        <f t="shared" si="344"/>
        <v>0.01</v>
      </c>
      <c r="CH118" s="123"/>
      <c r="CI118" s="259">
        <f>CJ118+各项系数!$M$9*$NO118</f>
        <v>65.9396323704577</v>
      </c>
      <c r="CJ118" s="259">
        <f>CK118*(1+$DC118+(VLOOKUP($AM118,$A$12:$B$323,2,0))+各项系数!$J$6+各项系数!$M$5)*(1+$E$2)+各项系数!$M$9*$NK118</f>
        <v>65.3788938658214</v>
      </c>
      <c r="CK118" s="260">
        <f>CL118+各项系数!$L$9*$NO118</f>
        <v>66.3065838224543</v>
      </c>
      <c r="CL118" s="260">
        <f>CM118*(1+$DD118+各项系数!$J$5+各项系数!$L$5)</f>
        <v>65.745845317818</v>
      </c>
      <c r="CM118" s="260">
        <f t="shared" si="345"/>
        <v>64.4567110959</v>
      </c>
      <c r="CN118" s="259">
        <f>CO118+各项系数!$M$9*$NO118</f>
        <v>66.9888361420129</v>
      </c>
      <c r="CO118" s="259">
        <f>CP118*(1+$DC118+(VLOOKUP($AM118,$A$12:$B$323,2,0))+各项系数!$J$6+各项系数!$M$5)*(1+$E$2)+各项系数!$M$9*$NK118</f>
        <v>66.4280976373766</v>
      </c>
      <c r="CP118" s="260">
        <f>CQ118+各项系数!$L$9*$NO118</f>
        <v>67.377199915878</v>
      </c>
      <c r="CQ118" s="260">
        <f>CR118*(1+$DD118+各项系数!$J$5+各项系数!$L$5)</f>
        <v>66.8164614112417</v>
      </c>
      <c r="CR118" s="260">
        <f t="shared" si="346"/>
        <v>65.5063347169036</v>
      </c>
      <c r="CS118" s="259">
        <f>CT118+各项系数!$M$9*$NU118</f>
        <v>67.6718675659319</v>
      </c>
      <c r="CT118" s="259">
        <f t="shared" si="347"/>
        <v>67.1017965721451</v>
      </c>
      <c r="CU118" s="260">
        <f>CV118+各项系数!$L$9*$NU118</f>
        <v>68.4712209919848</v>
      </c>
      <c r="CV118" s="260">
        <f>CW118*(1+$DD118+各项系数!$J$5+各项系数!$L$5)</f>
        <v>67.901149998198</v>
      </c>
      <c r="CW118" s="262">
        <f t="shared" si="348"/>
        <v>66.5697549001941</v>
      </c>
      <c r="CX118" s="259">
        <f>CY118+各项系数!$M$9*$NU118</f>
        <v>69.0233875836168</v>
      </c>
      <c r="CY118" s="259">
        <f t="shared" si="349"/>
        <v>68.4533165898299</v>
      </c>
      <c r="CZ118" s="260">
        <f>DA118+各项系数!$L$9*$NU118</f>
        <v>69.8503230508469</v>
      </c>
      <c r="DA118" s="260">
        <f>DB118*(1+$DD118+各项系数!$J$5+各项系数!$L$5)</f>
        <v>69.2802520570601</v>
      </c>
      <c r="DB118" s="262">
        <f t="shared" si="350"/>
        <v>67.9218157422158</v>
      </c>
      <c r="DC118" s="277">
        <f t="shared" si="498"/>
        <v>0</v>
      </c>
      <c r="DD118" s="277">
        <f t="shared" si="351"/>
        <v>0</v>
      </c>
      <c r="DE118" s="69" t="s">
        <v>498</v>
      </c>
      <c r="DF118" s="69" t="s">
        <v>513</v>
      </c>
      <c r="DG118" s="259">
        <f>DH118+各项系数!$M$9*$NQ118</f>
        <v>66.7716016932245</v>
      </c>
      <c r="DH118" s="259">
        <f>DI118*(1+$EA118+(VLOOKUP($AM118,$A$12:$B$323,2,0))+各项系数!$J$6+各项系数!$M$5)*(1+$E$2)+各项系数!$M$9*$NK118</f>
        <v>66.2108631885882</v>
      </c>
      <c r="DI118" s="260">
        <f>DJ118+各项系数!$L$9*$NQ118</f>
        <v>67.1555321109918</v>
      </c>
      <c r="DJ118" s="260">
        <f>DK118*(1+$EB118+各项系数!$J$5+各项系数!$L$5)</f>
        <v>66.5947936063556</v>
      </c>
      <c r="DK118" s="260">
        <f t="shared" si="352"/>
        <v>64.6551394236462</v>
      </c>
      <c r="DL118" s="259">
        <f>DM118+各项系数!$M$9*$NQ118</f>
        <v>67.927036617135</v>
      </c>
      <c r="DM118" s="259">
        <f>DN118*(1+$EA118+(VLOOKUP($AM118,$A$12:$B$323,2,0))+各项系数!$J$6+各项系数!$M$5)*(1+$E$2)+各项系数!$M$9*$NK118</f>
        <v>67.3662981124987</v>
      </c>
      <c r="DN118" s="260">
        <f>DO118+各项系数!$L$9*$NQ118</f>
        <v>68.334547339472</v>
      </c>
      <c r="DO118" s="260">
        <f>DP118*(1+$EB118+各项系数!$J$5+各项系数!$L$5)</f>
        <v>67.7738088348357</v>
      </c>
      <c r="DP118" s="260">
        <f t="shared" si="353"/>
        <v>65.7998144027531</v>
      </c>
      <c r="DQ118" s="259">
        <f>DR118+各项系数!$M$9*$NV118</f>
        <v>68.525880532244</v>
      </c>
      <c r="DR118" s="259">
        <f t="shared" si="354"/>
        <v>67.9558095384572</v>
      </c>
      <c r="DS118" s="260">
        <f>DT118+各项系数!$L$9*$NV118</f>
        <v>69.342662794344</v>
      </c>
      <c r="DT118" s="260">
        <f>DU118*(1+$EB118+各项系数!$J$5+各项系数!$L$5)</f>
        <v>68.7725918005572</v>
      </c>
      <c r="DU118" s="262">
        <f t="shared" si="355"/>
        <v>66.7695066024827</v>
      </c>
      <c r="DV118" s="259">
        <f>DW118+各项系数!$M$9*$NV118</f>
        <v>68.455741545212</v>
      </c>
      <c r="DW118" s="259">
        <f t="shared" si="356"/>
        <v>67.8856705514252</v>
      </c>
      <c r="DX118" s="260">
        <f>DY118+各项系数!$L$9*$NV118</f>
        <v>69.2710923994135</v>
      </c>
      <c r="DY118" s="260">
        <f>DZ118*(1+$EB118+各项系数!$J$5+各项系数!$L$5)</f>
        <v>68.7010214056267</v>
      </c>
      <c r="DZ118" s="262">
        <f t="shared" si="357"/>
        <v>66.7000207821618</v>
      </c>
      <c r="EA118" s="277">
        <f t="shared" si="511"/>
        <v>0</v>
      </c>
      <c r="EB118" s="277">
        <f t="shared" si="358"/>
        <v>0.01</v>
      </c>
      <c r="EC118" s="302" t="str">
        <f t="shared" si="408"/>
        <v>3+2</v>
      </c>
      <c r="ED118" s="302" t="str">
        <f t="shared" si="494"/>
        <v>3*25</v>
      </c>
      <c r="EE118" s="251">
        <f t="shared" si="495"/>
        <v>25</v>
      </c>
      <c r="EF118" s="251" t="str">
        <f>LOOKUP(EH118,{1,7,10,14,19,24,30,37,48,61},{1,"1+6","2+8","4+10","1+6+12","2+8+14","4+10+16","1+6+12+18","3+9+15+21","1+6+12+18+24"})</f>
        <v>1+6</v>
      </c>
      <c r="EG118" s="250">
        <f t="shared" si="359"/>
        <v>3</v>
      </c>
      <c r="EH118" s="260">
        <f>VLOOKUP(EE118,各项系数!$B$87:$C$124,2,0)</f>
        <v>7</v>
      </c>
      <c r="EI118" s="250">
        <f>IF(EH118=0,0,VLOOKUP(EH118,各项系数!$D$142:$E$195,2,0))*1</f>
        <v>3</v>
      </c>
      <c r="EJ118" s="305">
        <f t="shared" si="409"/>
        <v>208.046961644752</v>
      </c>
      <c r="EK118" s="251" t="str">
        <f t="shared" si="508"/>
        <v>2*16</v>
      </c>
      <c r="EL118" s="251" t="str">
        <f t="shared" si="360"/>
        <v>16</v>
      </c>
      <c r="EM118" s="251">
        <f t="shared" si="496"/>
        <v>16</v>
      </c>
      <c r="EN118" s="251" t="str">
        <f>IF(EP118=0,0,LOOKUP(EP118,{1,7,10,14,19,24,30,37,48,61},{1,"1+6","2+8","4+10","1+6+12","2+8+14","4+10+16","1+6+12+18","3+9+15+21","1+6+12+18+24"}))</f>
        <v>1+6</v>
      </c>
      <c r="EO118" s="251" t="str">
        <f t="shared" si="509"/>
        <v>2</v>
      </c>
      <c r="EP118" s="251">
        <f>IF(EM118=0,0,IF(EM118&lt;10,1,IF(AND(EM118&gt;=10,EM118&lt;=35),7,LOOKUP(EM118,{50,70,95,120,150,185,240,300},{10,14,19,24,30,37,48,61})*1)))</f>
        <v>7</v>
      </c>
      <c r="EQ118" s="251">
        <f>IF(EP118=0,0,VLOOKUP(EP118,各项系数!$D$142:$E$195,2,0))*1</f>
        <v>3</v>
      </c>
      <c r="ER118" s="251">
        <f t="shared" si="510"/>
        <v>165.416818206689</v>
      </c>
      <c r="ES118" s="302">
        <f t="shared" si="497"/>
        <v>5</v>
      </c>
      <c r="ET118" s="251">
        <f>VLOOKUP(ES118,各项系数!$D$142:$E$195,2,0)*1</f>
        <v>2.7</v>
      </c>
      <c r="EU118" s="311">
        <f>((各项系数!$F$76/4*$EJ118^2*$EG118*$EH118*1*10^-7)*(1-$H118)*AA118)*(VLOOKUP($EY$9,各项系数!$D$4:$F$143,3,0))*各项系数!$J$4</f>
        <v>0.638422124003332</v>
      </c>
      <c r="EV118" s="312">
        <f>EU118*(VLOOKUP($EY$9,各项系数!$D$4:$F$143,2,0))</f>
        <v>41.8166491222182</v>
      </c>
      <c r="EW118" s="324">
        <f>(IF($EO118=0,0,(各项系数!$F$76/4*$ER118^2*$EO118*$EP118*1*10^-7))*(1-$K118)*$AF118)*(VLOOKUP($EY$9,各项系数!$D$4:$F$143,3,0))*各项系数!$J$4</f>
        <v>0.269062541536476</v>
      </c>
      <c r="EX118" s="325">
        <f>EW118*(VLOOKUP($EY$9,各项系数!$D$4:$F$143,2,0))</f>
        <v>17.6235964706392</v>
      </c>
      <c r="EY118" s="251">
        <f>((各项系数!$F$76/4*$EJ118^2*$EG118*$EH118*1*10^-7)*(1-$H118)*AA118+IF($EO118=0,0,(各项系数!$F$76/4*$ER118^2*$EO118*$EP118*1*10^-7))*(1-$K118)*$AF118)*(VLOOKUP($EY$9,各项系数!$D$4:$F$143,3,0))*各项系数!$J$4</f>
        <v>0.907484665539808</v>
      </c>
      <c r="EZ118" s="123">
        <v>1</v>
      </c>
      <c r="FA118" s="251">
        <f t="shared" si="515"/>
        <v>0.907484665539808</v>
      </c>
      <c r="FB118" s="326">
        <f>FA118*(VLOOKUP($EY$9,各项系数!$D$4:$F$143,2,0))</f>
        <v>59.4402455928574</v>
      </c>
      <c r="FC118" s="327"/>
      <c r="FD118" s="302">
        <f>各项系数!$F$76/4*($MN118^2-MK118^2)*10^-2*(VLOOKUP(L118,各项系数!$D$1:$F$143,3,0))*10^-3*10^2*$EG118*各项系数!$J$4</f>
        <v>0.0662999652497242</v>
      </c>
      <c r="FE118" s="339">
        <f>FD118*VLOOKUP(L118,各项系数!$D$1:$F$143,2,0)</f>
        <v>0.676259645547187</v>
      </c>
      <c r="FF118" s="250">
        <f>各项系数!$F$76/4*($MO118^2-ML118^2)*10^-2*(VLOOKUP(L118,各项系数!$D$1:$F$143,3,0))*10^-3*10^2*$EO118*各项系数!$J$4</f>
        <v>0.0272585178616569</v>
      </c>
      <c r="FG118" s="339">
        <f>FF118*VLOOKUP(L118,各项系数!$D$1:$F$143,2,0)</f>
        <v>0.2780368821889</v>
      </c>
      <c r="FH118" s="302">
        <f t="shared" si="410"/>
        <v>0.0935584831113811</v>
      </c>
      <c r="FI118" s="123">
        <v>1</v>
      </c>
      <c r="FJ118" s="251">
        <f t="shared" si="516"/>
        <v>0.0935584831113811</v>
      </c>
      <c r="FK118" s="339">
        <f>FJ118*VLOOKUP(L118,各项系数!$D$1:$F$143,2,0)</f>
        <v>0.954296527736087</v>
      </c>
      <c r="FL118" s="302"/>
      <c r="FM118" s="123"/>
      <c r="FN118" s="251"/>
      <c r="FO118" s="339"/>
      <c r="FP118" s="364">
        <f t="shared" si="517"/>
        <v>0.0935584831113811</v>
      </c>
      <c r="FQ118" s="364">
        <f t="shared" si="518"/>
        <v>0.954296527736087</v>
      </c>
      <c r="FR118" s="365">
        <f>各项系数!$F$76/4*($MQ118^2-$MN118^2*$EG118-$MO118^2*$EO118)*10^-2</f>
        <v>0.950316677448202</v>
      </c>
      <c r="FS118" s="366">
        <f t="shared" si="411"/>
        <v>1</v>
      </c>
      <c r="FT118" s="367">
        <f t="shared" si="361"/>
        <v>0.950316677448202</v>
      </c>
      <c r="FU118" s="388">
        <f>$FT118*(VLOOKUP($FT$9,各项系数!$D$1:$F$143,3,0))*10^-3*10^2*各项系数!$J$55</f>
        <v>0.113467811287315</v>
      </c>
      <c r="FV118" s="389">
        <v>1</v>
      </c>
      <c r="FW118" s="390">
        <f t="shared" si="519"/>
        <v>0.113467811287315</v>
      </c>
      <c r="FX118" s="367">
        <f>FW118*(VLOOKUP($FT$9,各项系数!$D$1:$F$143,2,0))</f>
        <v>0.340403433861946</v>
      </c>
      <c r="FY118" s="388">
        <f>IF($BK118&lt;&gt;$FY$9,0,各项系数!$F$76/4*($MS118^2-$MQ118^2)*10^-2*(VLOOKUP($FY$9,各项系数!$D$1:$F$143,3,0))*10^-3*10^2)*各项系数!$J$4</f>
        <v>0</v>
      </c>
      <c r="FZ118" s="389">
        <v>1</v>
      </c>
      <c r="GA118" s="390">
        <f t="shared" si="520"/>
        <v>0</v>
      </c>
      <c r="GB118" s="367">
        <f>GA118*(VLOOKUP($FY$9,各项系数!$D$1:$F$143,2,0))</f>
        <v>0</v>
      </c>
      <c r="GC118" s="388">
        <f>IF($BK118&lt;&gt;$GC$9,0,各项系数!$F$76/4*($MS118^2-$MQ118^2)*10^-2*(VLOOKUP($GC$9,各项系数!$D$1:$F$143,3,0))*10^-3*10^2)*各项系数!$J$4</f>
        <v>0.00544288883217525</v>
      </c>
      <c r="GD118" s="389">
        <v>1</v>
      </c>
      <c r="GE118" s="390">
        <f t="shared" si="521"/>
        <v>0.00544288883217525</v>
      </c>
      <c r="GF118" s="367">
        <f>GE118*(VLOOKUP($GC$9,各项系数!$D$1:$F$143,2,0))</f>
        <v>0.0702132659350608</v>
      </c>
      <c r="GG118" s="388">
        <f>IF($BK118&lt;&gt;$GG$9,0,各项系数!$F$76/4*($MS118^2-$MQ118^2)*10^-2*(VLOOKUP($GG$9,各项系数!$D$1:$F$143,3,0))*10^-3*10^2)*各项系数!$J$4</f>
        <v>0</v>
      </c>
      <c r="GH118" s="389">
        <v>1</v>
      </c>
      <c r="GI118" s="390">
        <f t="shared" si="522"/>
        <v>0</v>
      </c>
      <c r="GJ118" s="367">
        <f>GI118*(VLOOKUP($GG$9,各项系数!$D$1:$F$143,2,0))</f>
        <v>0</v>
      </c>
      <c r="GK118" s="388">
        <f>IF($BK118&lt;&gt;$GK$9,0,各项系数!$F$76/4*($MS118^2-$MQ118^2)*10^-2*(VLOOKUP($GK$9,各项系数!$D$1:$F$143,3,0))*10^-3*10^2)*各项系数!$J$4</f>
        <v>0</v>
      </c>
      <c r="GL118" s="389">
        <v>1</v>
      </c>
      <c r="GM118" s="390">
        <f t="shared" si="523"/>
        <v>0</v>
      </c>
      <c r="GN118" s="367">
        <f>GM118*(VLOOKUP($GK$9,各项系数!$D$1:$F$143,2,0))</f>
        <v>0</v>
      </c>
      <c r="GO118" s="390">
        <f t="shared" si="524"/>
        <v>0.00544288883217525</v>
      </c>
      <c r="GP118" s="390">
        <f t="shared" si="525"/>
        <v>0.0702132659350608</v>
      </c>
      <c r="GQ118" s="406">
        <f>各项系数!$F$76/4*($MU118^2-$MS118^2)*10^-2*(VLOOKUP($S118,各项系数!$D$1:$F$143,3,0))*10^-3*10^2*各项系数!$J$4</f>
        <v>0.149413479969452</v>
      </c>
      <c r="GR118" s="389">
        <v>1</v>
      </c>
      <c r="GS118" s="390">
        <f t="shared" si="526"/>
        <v>0.149413479969452</v>
      </c>
      <c r="GT118" s="390">
        <f t="shared" si="457"/>
        <v>0</v>
      </c>
      <c r="GU118" s="390">
        <f>ROUND($GS118*(VLOOKUP($S118,各项系数!$D$1:$F$143,2,0))+$E$3*GS118,GT118)</f>
        <v>1</v>
      </c>
      <c r="GV118" s="406">
        <f>各项系数!$F$76/4*($MT118^2-$MS118^2)*10^-2*(VLOOKUP($GV$9,各项系数!$D$1:$F$143,3,0))*10^-3*10^2*各项系数!$J$4*PI()/4*R118</f>
        <v>0.0281525979746961</v>
      </c>
      <c r="GW118" s="389">
        <v>1</v>
      </c>
      <c r="GX118" s="390">
        <f t="shared" si="527"/>
        <v>0.0281525979746961</v>
      </c>
      <c r="GY118" s="390">
        <f>$GX118*(VLOOKUP($GV$9,各项系数!$D$1:$F$143,2,0))</f>
        <v>1.90030036329199</v>
      </c>
      <c r="GZ118" s="406">
        <f>各项系数!$F$76/4*($MV118^2-$MS118^2)*10^-2*(VLOOKUP($GZ$9,各项系数!$D$1:$F$143,3,0))*10^-3*10^2*各项系数!$J$4</f>
        <v>0.178465111674404</v>
      </c>
      <c r="HA118" s="389">
        <v>1</v>
      </c>
      <c r="HB118" s="390">
        <f t="shared" si="412"/>
        <v>0.178465111674404</v>
      </c>
      <c r="HC118" s="390">
        <f>HB118*(VLOOKUP($GZ$9,各项系数!$D$1:$F$143,2,0))</f>
        <v>3.03390689846486</v>
      </c>
      <c r="HD118" s="406">
        <f>各项系数!$F$76/4*($MW118^2-$MT118^2)*10^-2*(VLOOKUP($HD$9,各项系数!$D$1:$F$143,3,0))*10^-3*10^2*各项系数!$J$4</f>
        <v>0.179770481121082</v>
      </c>
      <c r="HE118" s="389">
        <v>1</v>
      </c>
      <c r="HF118" s="390">
        <f t="shared" si="413"/>
        <v>0.179770481121082</v>
      </c>
      <c r="HG118" s="390">
        <f>HF118*(VLOOKUP($HD$9,各项系数!$D$1:$F$143,2,0))</f>
        <v>3.0560981790584</v>
      </c>
      <c r="HH118" s="406">
        <f>各项系数!$F$76/4*($MV118^2-$MS118^2)*10^-2*(VLOOKUP($HH$9,各项系数!$D$1:$F$143,3,0))*10^-3*10^2*各项系数!$J$4</f>
        <v>0.178465111674404</v>
      </c>
      <c r="HI118" s="420">
        <v>1</v>
      </c>
      <c r="HJ118" s="390">
        <f t="shared" si="414"/>
        <v>0.178465111674404</v>
      </c>
      <c r="HK118" s="390">
        <f>HJ118*(VLOOKUP($HH$9,各项系数!$D$1:$F$143,2,0))</f>
        <v>3.03390689846486</v>
      </c>
      <c r="HL118" s="406">
        <f>各项系数!$F$76/4*($MW118^2-$MT118^2)*10^-2*(VLOOKUP($HL$9,各项系数!$D$1:$F$143,3,0))*10^-3*10^2*各项系数!$J$4</f>
        <v>0.179770481121082</v>
      </c>
      <c r="HM118" s="420">
        <v>1</v>
      </c>
      <c r="HN118" s="390">
        <f t="shared" si="362"/>
        <v>0.179770481121082</v>
      </c>
      <c r="HO118" s="390">
        <f>HN118*(VLOOKUP($HL$9,各项系数!$D$1:$F$143,2,0))</f>
        <v>3.0560981790584</v>
      </c>
      <c r="HP118" s="406">
        <f>各项系数!$F$76/4*($MV118^2-$MS118^2)*10^-2*(VLOOKUP(AN118,各项系数!$D$1:$F$143,3,0))*10^-3*10^2*各项系数!$J$4</f>
        <v>0.180926699421637</v>
      </c>
      <c r="HQ118" s="389">
        <v>1</v>
      </c>
      <c r="HR118" s="390">
        <f t="shared" si="528"/>
        <v>0.180926699421637</v>
      </c>
      <c r="HS118" s="390">
        <f>HR118*(VLOOKUP(AN118,各项系数!$D$1:$F$143,2,0))</f>
        <v>1.80926699421637</v>
      </c>
      <c r="HT118" s="406">
        <f>各项系数!$F$76/4*($MW118^2-$MT118^2)*10^-2*(VLOOKUP(AN118,各项系数!$D$1:$F$143,3,0))*10^-3*10^2*各项系数!$J$4</f>
        <v>0.182250073964132</v>
      </c>
      <c r="HU118" s="389">
        <v>1</v>
      </c>
      <c r="HV118" s="390">
        <f t="shared" si="529"/>
        <v>0.182250073964132</v>
      </c>
      <c r="HW118" s="390">
        <f>HV118*(VLOOKUP(AN118,各项系数!$D$1:$F$143,2,0))</f>
        <v>1.82250073964132</v>
      </c>
      <c r="HX118" s="406">
        <f>各项系数!$F$76/4*($MV118^2-$MS118^2)*10^-2*(VLOOKUP($HX$9,各项系数!$D$1:$F$143,3,0))*10^-3*10^2*各项系数!$J$4</f>
        <v>0.180926699421637</v>
      </c>
      <c r="HY118" s="420">
        <v>1</v>
      </c>
      <c r="HZ118" s="390">
        <f t="shared" si="530"/>
        <v>0.180926699421637</v>
      </c>
      <c r="IA118" s="390">
        <f>HZ118*(VLOOKUP($HX$9,各项系数!$D$1:$F$143,2,0))</f>
        <v>1.99019369363801</v>
      </c>
      <c r="IB118" s="406">
        <f>各项系数!$F$76/4*($MW118^2-$MT118^2)*10^-2*(VLOOKUP($IB$9,各项系数!$D$1:$F$143,3,0))*10^-3*10^2*各项系数!$J$4</f>
        <v>0.182250073964132</v>
      </c>
      <c r="IC118" s="420">
        <v>1</v>
      </c>
      <c r="ID118" s="390">
        <f t="shared" si="531"/>
        <v>0.182250073964132</v>
      </c>
      <c r="IE118" s="390">
        <f>ID118*(VLOOKUP($IB$9,各项系数!$D$1:$F$143,2,0))</f>
        <v>2.00475081360545</v>
      </c>
      <c r="IF118" s="429"/>
      <c r="IG118" s="406">
        <f t="shared" si="415"/>
        <v>0.0424093653967525</v>
      </c>
      <c r="IH118" s="389">
        <v>1</v>
      </c>
      <c r="II118" s="390">
        <f t="shared" si="532"/>
        <v>0.0424093653967525</v>
      </c>
      <c r="IJ118" s="390">
        <f>II118*(VLOOKUP($IG$8,各项系数!$D$1:$F$143,2,0))</f>
        <v>1.06023413491881</v>
      </c>
      <c r="IK118" s="406">
        <f>(各项系数!$F$76/4*($MX118^2-$MK118^2)*$EG118)*10^-2*(VLOOKUP($IG$8,各项系数!$D$1:$F$143,3,0))*10^-3*10^2*各项系数!$J$4</f>
        <v>0.027604381241623</v>
      </c>
      <c r="IL118" s="389">
        <f>IK118*(VLOOKUP($IG$8,各项系数!$D$1:$F$143,2,0))</f>
        <v>0.690109531040575</v>
      </c>
      <c r="IM118" s="390">
        <f>(各项系数!$F$76/4*(($MM118+3*$X118)^2-MM118^2)*$EO118)*10^-2*(VLOOKUP($IG$8,各项系数!$D$1:$F$143,3,0))*10^-3*10^2*各项系数!$J$4</f>
        <v>0.0148049841551295</v>
      </c>
      <c r="IN118" s="389">
        <f>IM118*(VLOOKUP($IG$8,各项系数!$D$1:$F$143,2,0))</f>
        <v>0.370124603878239</v>
      </c>
      <c r="IO118" s="406">
        <f>各项系数!$F$76/4*($MZ118^2-$MX118^2)*10^-2*(VLOOKUP(L118,各项系数!$D$1:$F$143,3,0))*10^-3*10^2*$ES118*各项系数!$J$4</f>
        <v>0.11978381961313</v>
      </c>
      <c r="IP118" s="389">
        <v>1</v>
      </c>
      <c r="IQ118" s="390">
        <f t="shared" si="533"/>
        <v>0.11978381961313</v>
      </c>
      <c r="IR118" s="367">
        <f>IQ118*(VLOOKUP(L118,各项系数!$D$1:$F$143,2,0))</f>
        <v>1.22179496005392</v>
      </c>
      <c r="IS118" s="406">
        <f>IF($L118&lt;&gt;$IS$9,0,各项系数!$F$76/4*($MZ118^2-$MX118^2)*10^-2*各项系数!$F$12*10^-3*10^2)*$ES118*各项系数!$J$4</f>
        <v>0</v>
      </c>
      <c r="IT118" s="389">
        <v>1</v>
      </c>
      <c r="IU118" s="390">
        <f t="shared" si="534"/>
        <v>0</v>
      </c>
      <c r="IV118" s="367">
        <f>IU118*各项系数!$E$12</f>
        <v>0</v>
      </c>
      <c r="IW118" s="388">
        <f t="shared" si="535"/>
        <v>0.11978381961313</v>
      </c>
      <c r="IX118" s="388">
        <f t="shared" si="536"/>
        <v>1.22179496005392</v>
      </c>
      <c r="IY118" s="447">
        <f>各项系数!$F$76/4*($NB118^2-$MZ118^2*$EG118-$NA118^2*$EO118)*10^-2</f>
        <v>1.17333375346141</v>
      </c>
      <c r="IZ118" s="366">
        <f t="shared" si="487"/>
        <v>1</v>
      </c>
      <c r="JA118" s="367">
        <f t="shared" si="363"/>
        <v>1.17333375346141</v>
      </c>
      <c r="JB118" s="364">
        <f>IF($DE118&lt;&gt;$JB$9,0,$JA118*各项系数!$F$32*10^-3*10^2)*各项系数!$J$4</f>
        <v>0</v>
      </c>
      <c r="JC118" s="123">
        <v>1</v>
      </c>
      <c r="JD118" s="251">
        <f t="shared" si="537"/>
        <v>0</v>
      </c>
      <c r="JE118" s="339">
        <f>JD118*各项系数!$E$32</f>
        <v>0</v>
      </c>
      <c r="JF118" s="364">
        <f>IF($DE118&lt;&gt;$JF$9,0,$JA118*VLOOKUP($JF$9,各项系数!$D$4:$F$540,2,0)*10^-3*10^2)*各项系数!$J$4</f>
        <v>0.583733542347054</v>
      </c>
      <c r="JG118" s="123">
        <v>1</v>
      </c>
      <c r="JH118" s="251">
        <f t="shared" si="364"/>
        <v>0.583733542347054</v>
      </c>
      <c r="JI118" s="339">
        <f>JH118*VLOOKUP($JF$9,各项系数!$D$4:$F$540,3,0)</f>
        <v>0.700480250816465</v>
      </c>
      <c r="JJ118" s="364">
        <f t="shared" si="538"/>
        <v>0.583733542347054</v>
      </c>
      <c r="JK118" s="251">
        <f t="shared" si="539"/>
        <v>0.700480250816465</v>
      </c>
      <c r="JL118" s="364">
        <f>IF($DF118&lt;&gt;$JL$9,0,各项系数!$F$76/4*($NE118^2-$NC118^2)*10^-2*各项系数!$F$39*10^-3*10^2)*各项系数!$J$4</f>
        <v>0.00248364398960805</v>
      </c>
      <c r="JM118" s="123">
        <v>1</v>
      </c>
      <c r="JN118" s="251">
        <f t="shared" si="540"/>
        <v>0.00248364398960805</v>
      </c>
      <c r="JO118" s="339">
        <f>JN118*各项系数!$E$39</f>
        <v>0.049672879792161</v>
      </c>
      <c r="JP118" s="364">
        <f>IF($DF118&lt;&gt;$JP$9,0,各项系数!$F$76/4*($NE118^2-$NC118^2)*10^-2*各项系数!$F$36*10^-3*10^2)*各项系数!$J$4</f>
        <v>0</v>
      </c>
      <c r="JQ118" s="123">
        <v>1</v>
      </c>
      <c r="JR118" s="251">
        <f t="shared" si="541"/>
        <v>0</v>
      </c>
      <c r="JS118" s="339">
        <f>JR118*各项系数!$E$36</f>
        <v>0</v>
      </c>
      <c r="JT118" s="364">
        <f>IF($DF118&lt;&gt;$JT$9,0,各项系数!$F$76/4*($NE118^2-$NC118^2)*10^-2*各项系数!$F$40*10^-3*10^2)*各项系数!$J$4</f>
        <v>0</v>
      </c>
      <c r="JU118" s="123">
        <v>1</v>
      </c>
      <c r="JV118" s="251">
        <f t="shared" si="542"/>
        <v>0</v>
      </c>
      <c r="JW118" s="339">
        <f>JV118*各项系数!$E$40</f>
        <v>0</v>
      </c>
      <c r="JX118" s="364">
        <f>IF($DF118&lt;&gt;$JX$9,0,各项系数!$F$76/4*($NE118^2-$NC118^2)*10^-2*各项系数!$F$38*10^-3*10^2)*各项系数!$J$4</f>
        <v>0</v>
      </c>
      <c r="JY118" s="123">
        <v>1</v>
      </c>
      <c r="JZ118" s="251">
        <f t="shared" si="543"/>
        <v>0</v>
      </c>
      <c r="KA118" s="339">
        <f>JZ118*各项系数!$E$38</f>
        <v>0</v>
      </c>
      <c r="KB118" s="364">
        <f>IF($DF118&lt;&gt;$KB$9,0,各项系数!$F$76/4*($NE118^2-$NC118^2)*10^-2*各项系数!$F$41*10^-3*10^2)*各项系数!$J$4</f>
        <v>0</v>
      </c>
      <c r="KC118" s="123">
        <v>1</v>
      </c>
      <c r="KD118" s="251">
        <f t="shared" si="544"/>
        <v>0</v>
      </c>
      <c r="KE118" s="339">
        <f>KD118*各项系数!$E$41</f>
        <v>0</v>
      </c>
      <c r="KF118" s="251">
        <f t="shared" si="545"/>
        <v>0.00248364398960805</v>
      </c>
      <c r="KG118" s="251">
        <f t="shared" si="546"/>
        <v>0.049672879792161</v>
      </c>
      <c r="KH118" s="302">
        <f>各项系数!$F$76/4*($NG118^2-$NE118^2)*10^-2*各项系数!$F$44*10^-3*10^2*各项系数!$J$4*0.75*$U118</f>
        <v>0.24739619503879</v>
      </c>
      <c r="KI118" s="123">
        <v>1</v>
      </c>
      <c r="KJ118" s="251">
        <f t="shared" si="547"/>
        <v>0.24739619503879</v>
      </c>
      <c r="KK118" s="251">
        <f>ROUND(KJ118*各项系数!$E$43,GT118)</f>
        <v>1</v>
      </c>
      <c r="KL118" s="302">
        <f>各项系数!$F$76/4*($NF118^2-$NE118^2)*10^-2*各项系数!$F$46*10^-3*10^2*各项系数!$J$4*PI()/4*R118</f>
        <v>0.0311082971684315</v>
      </c>
      <c r="KM118" s="123">
        <v>1</v>
      </c>
      <c r="KN118" s="251">
        <f t="shared" si="548"/>
        <v>0.0311082971684315</v>
      </c>
      <c r="KO118" s="251">
        <f>KN118*各项系数!$E$46</f>
        <v>2.09981005886913</v>
      </c>
      <c r="KP118" s="302">
        <f>各项系数!$F$76/4*($NH118^2-$NE118^2)*10^-2*(VLOOKUP($KP$9,各项系数!$D$1:$F$143,3,0))*10^-3*10^2*各项系数!$J$4</f>
        <v>0.195728622606726</v>
      </c>
      <c r="KQ118" s="123">
        <v>1</v>
      </c>
      <c r="KR118" s="251">
        <f t="shared" si="416"/>
        <v>0.195728622606726</v>
      </c>
      <c r="KS118" s="251">
        <f>KR118*(VLOOKUP($KP$9,各项系数!$D$1:$F$143,2,0))</f>
        <v>3.32738658431433</v>
      </c>
      <c r="KT118" s="302">
        <f>各项系数!$F$76/4*($NI118^2-$NF118^2)*10^-2*(VLOOKUP($KT$9,各项系数!$D$1:$F$143,3,0))*10^-3*10^2*各项系数!$J$4</f>
        <v>0.197033992053404</v>
      </c>
      <c r="KU118" s="123">
        <v>1</v>
      </c>
      <c r="KV118" s="251">
        <f t="shared" si="417"/>
        <v>0.197033992053404</v>
      </c>
      <c r="KW118" s="251">
        <f>KV118*(VLOOKUP($KT$9,各项系数!$D$1:$F$143,2,0))</f>
        <v>3.34957786490787</v>
      </c>
      <c r="KX118" s="251">
        <f>各项系数!$F$76/4*($NH118^2-$NE118^2)*10^-2*(VLOOKUP($KX$9,各项系数!$D$1:$F$143,3,0))*10^-3*10^2*各项系数!$J$4</f>
        <v>0.195728622606726</v>
      </c>
      <c r="KY118" s="479">
        <v>1</v>
      </c>
      <c r="KZ118" s="251">
        <f t="shared" si="418"/>
        <v>0.195728622606726</v>
      </c>
      <c r="LA118" s="251">
        <f>KZ118*(VLOOKUP($KX$9,各项系数!$D$1:$F$143,2,0))</f>
        <v>3.32738658431433</v>
      </c>
      <c r="LB118" s="251">
        <f>各项系数!$F$76/4*($NI118^2-$NF118^2)*10^-2*(VLOOKUP($LB$9,各项系数!$D$1:$F$143,3,0))*10^-3*10^2*各项系数!$J$4</f>
        <v>0.197033992053404</v>
      </c>
      <c r="LC118" s="479">
        <v>1</v>
      </c>
      <c r="LD118" s="251">
        <f t="shared" si="419"/>
        <v>0.197033992053404</v>
      </c>
      <c r="LE118" s="251">
        <f>LD118*(VLOOKUP($LB$9,各项系数!$D$1:$F$143,2,0))</f>
        <v>3.34957786490787</v>
      </c>
      <c r="LF118" s="302">
        <f>各项系数!$F$76/4*($NH118^2-$NE118^2)*10^-2*(VLOOKUP(AN118,各项系数!$D$1:$F$143,3,0))*10^-3*10^2*各项系数!$J$4</f>
        <v>0.198428327746129</v>
      </c>
      <c r="LG118" s="123">
        <v>1</v>
      </c>
      <c r="LH118" s="251">
        <f t="shared" si="549"/>
        <v>0.198428327746129</v>
      </c>
      <c r="LI118" s="251">
        <f>LH118*(VLOOKUP(AN118,各项系数!$D$1:$F$143,2,0))</f>
        <v>1.98428327746129</v>
      </c>
      <c r="LJ118" s="302">
        <f>各项系数!$F$76/4*($NI118^2-$NF118^2)*10^-2*(VLOOKUP(AN118,各项系数!$D$1:$F$143,3,0))*10^-3*10^2*各项系数!$J$4</f>
        <v>0.199751702288623</v>
      </c>
      <c r="LK118" s="123">
        <v>1</v>
      </c>
      <c r="LL118" s="251">
        <f t="shared" si="550"/>
        <v>0.199751702288623</v>
      </c>
      <c r="LM118" s="251">
        <f>LL118*(VLOOKUP(AN118,各项系数!$D$1:$F$143,2,0))</f>
        <v>1.99751702288623</v>
      </c>
      <c r="LN118" s="251">
        <f>各项系数!$F$76/4*($NH118^2-$NE118^2)*10^-2*(VLOOKUP($LN$9,各项系数!$D$1:$F$143,3,0))*10^-3*10^2*各项系数!$J$4</f>
        <v>0.198428327746129</v>
      </c>
      <c r="LO118" s="479">
        <v>1</v>
      </c>
      <c r="LP118" s="251">
        <f t="shared" si="551"/>
        <v>0.198428327746129</v>
      </c>
      <c r="LQ118" s="251">
        <f>LP118*(VLOOKUP($LN$9,各项系数!$D$1:$F$143,2,0))</f>
        <v>2.18271160520742</v>
      </c>
      <c r="LR118" s="251">
        <f>各项系数!$F$76/4*($NI118^2-$NF118^2)*10^-2*(VLOOKUP($LR$9,各项系数!$D$1:$F$143,3,0))*10^-3*10^2*各项系数!$J$4</f>
        <v>0.199751702288623</v>
      </c>
      <c r="LS118" s="479">
        <v>1</v>
      </c>
      <c r="LT118" s="251">
        <f t="shared" si="552"/>
        <v>0.199751702288623</v>
      </c>
      <c r="LU118" s="251">
        <f>LT118*(VLOOKUP($LR$9,各项系数!$D$1:$F$143,2,0))</f>
        <v>2.19726872517486</v>
      </c>
      <c r="LV118" s="499">
        <f t="shared" si="420"/>
        <v>91.78599122</v>
      </c>
      <c r="LW118" s="499">
        <f t="shared" si="421"/>
        <v>71.38910428</v>
      </c>
      <c r="LX118" s="499">
        <f t="shared" si="422"/>
        <v>9.53390951459674</v>
      </c>
      <c r="LY118" s="515">
        <f t="shared" si="423"/>
        <v>20.39688694</v>
      </c>
      <c r="LZ118" s="516">
        <f t="shared" si="365"/>
        <v>1</v>
      </c>
      <c r="MA118" s="517">
        <f t="shared" si="366"/>
        <v>91.78599122</v>
      </c>
      <c r="MB118" s="517">
        <f t="shared" si="424"/>
        <v>6.24140886</v>
      </c>
      <c r="MC118" s="499">
        <f t="shared" si="425"/>
        <v>38.68313936</v>
      </c>
      <c r="MD118" s="499">
        <f t="shared" si="426"/>
        <v>30.08688609</v>
      </c>
      <c r="ME118" s="499">
        <f t="shared" si="427"/>
        <v>6.18933058963005</v>
      </c>
      <c r="MF118" s="499">
        <f t="shared" si="428"/>
        <v>8.59625327</v>
      </c>
      <c r="MG118" s="516">
        <f t="shared" si="429"/>
        <v>1</v>
      </c>
      <c r="MH118" s="517">
        <f t="shared" si="367"/>
        <v>38.68313936</v>
      </c>
      <c r="MI118" s="517">
        <f t="shared" si="430"/>
        <v>4.96250454647919</v>
      </c>
      <c r="MJ118" s="251">
        <f t="shared" si="368"/>
        <v>6.24140886</v>
      </c>
      <c r="MK118" s="251">
        <f t="shared" si="431"/>
        <v>6.24140886</v>
      </c>
      <c r="ML118" s="251">
        <f t="shared" si="553"/>
        <v>4.96250454620067</v>
      </c>
      <c r="MM118" s="251">
        <f t="shared" si="369"/>
        <v>4.96250454647919</v>
      </c>
      <c r="MN118" s="251">
        <f t="shared" si="370"/>
        <v>8.04140886</v>
      </c>
      <c r="MO118" s="251">
        <f t="shared" si="432"/>
        <v>6.36250454647919</v>
      </c>
      <c r="MP118" s="251">
        <f t="shared" si="433"/>
        <v>19.89858726</v>
      </c>
      <c r="MQ118" s="251">
        <f t="shared" si="554"/>
        <v>19.89858726</v>
      </c>
      <c r="MR118" s="314">
        <f t="shared" si="434"/>
        <v>19.89858726</v>
      </c>
      <c r="MS118" s="530">
        <f t="shared" si="371"/>
        <v>20.07458726</v>
      </c>
      <c r="MT118" s="530">
        <f t="shared" si="372"/>
        <v>20.23458726</v>
      </c>
      <c r="MU118" s="530">
        <f t="shared" si="373"/>
        <v>20.67458726</v>
      </c>
      <c r="MV118" s="530">
        <f t="shared" si="374"/>
        <v>23.67458726</v>
      </c>
      <c r="MW118" s="530">
        <f t="shared" si="375"/>
        <v>23.83458726</v>
      </c>
      <c r="MX118" s="326">
        <f t="shared" si="376"/>
        <v>6.84140886</v>
      </c>
      <c r="MY118" s="326">
        <f t="shared" si="377"/>
        <v>5.56250454647919</v>
      </c>
      <c r="MZ118" s="251">
        <f t="shared" si="378"/>
        <v>8.64140886</v>
      </c>
      <c r="NA118" s="251">
        <f t="shared" si="379"/>
        <v>7.36250454647919</v>
      </c>
      <c r="NB118" s="251">
        <f t="shared" si="435"/>
        <v>21.95058726</v>
      </c>
      <c r="NC118" s="326">
        <f t="shared" si="555"/>
        <v>21.95058726</v>
      </c>
      <c r="ND118" s="314">
        <f t="shared" si="436"/>
        <v>21.95058726</v>
      </c>
      <c r="NE118" s="537">
        <f t="shared" si="437"/>
        <v>22.19058726</v>
      </c>
      <c r="NF118" s="530">
        <f t="shared" si="380"/>
        <v>22.35058726</v>
      </c>
      <c r="NG118" s="538">
        <f t="shared" si="381"/>
        <v>22.79058726</v>
      </c>
      <c r="NH118" s="326">
        <f t="shared" si="382"/>
        <v>25.79058726</v>
      </c>
      <c r="NI118" s="530">
        <f t="shared" si="383"/>
        <v>25.95058726</v>
      </c>
      <c r="NK118" s="539">
        <f t="shared" si="384"/>
        <v>1.32813906605397</v>
      </c>
      <c r="NL118" s="539">
        <f t="shared" si="385"/>
        <v>62.8924626967958</v>
      </c>
      <c r="NM118" s="539">
        <f t="shared" si="386"/>
        <v>1.32813906605397</v>
      </c>
      <c r="NN118" s="539">
        <f t="shared" si="387"/>
        <v>63.0733893962174</v>
      </c>
      <c r="NO118" s="539">
        <f t="shared" si="388"/>
        <v>1.86912834878761</v>
      </c>
      <c r="NP118" s="539">
        <f t="shared" si="389"/>
        <v>64.8268356997783</v>
      </c>
      <c r="NQ118" s="539">
        <f t="shared" si="390"/>
        <v>1.86912834878761</v>
      </c>
      <c r="NR118" s="539">
        <f t="shared" si="391"/>
        <v>65.0252640275244</v>
      </c>
      <c r="NS118" s="539">
        <f t="shared" si="392"/>
        <v>1.35629166402867</v>
      </c>
      <c r="NT118" s="539">
        <f t="shared" si="393"/>
        <v>1.35629166402867</v>
      </c>
      <c r="NU118" s="539">
        <f t="shared" si="394"/>
        <v>1.90023664595604</v>
      </c>
      <c r="NV118" s="539">
        <f t="shared" si="395"/>
        <v>1.90023664595604</v>
      </c>
      <c r="NW118">
        <f t="shared" si="396"/>
        <v>1.47755254602342</v>
      </c>
      <c r="NX118">
        <f>各项系数!$M$9*NK118</f>
        <v>0.398441719816192</v>
      </c>
      <c r="NY118">
        <f t="shared" si="397"/>
        <v>1.35629166402867</v>
      </c>
    </row>
    <row r="119" customHeight="1" spans="1:389">
      <c r="A119" s="81"/>
      <c r="B119" s="82"/>
      <c r="C119" s="83"/>
      <c r="D119" s="69" t="s">
        <v>391</v>
      </c>
      <c r="E119" s="550">
        <f t="shared" si="503"/>
        <v>25.67316066</v>
      </c>
      <c r="F119" s="84">
        <f>$F$23</f>
        <v>245.05464536043</v>
      </c>
      <c r="G119" s="74"/>
      <c r="H119" s="23"/>
      <c r="I119" s="174">
        <f>$F$21</f>
        <v>165.416818206689</v>
      </c>
      <c r="J119" s="78"/>
      <c r="K119" s="23"/>
      <c r="L119" s="118" t="s">
        <v>467</v>
      </c>
      <c r="M119" s="119">
        <f t="shared" si="339"/>
        <v>0.9</v>
      </c>
      <c r="N119" s="119">
        <f t="shared" si="501"/>
        <v>0.7</v>
      </c>
      <c r="O119" s="74">
        <f t="shared" si="556"/>
        <v>0.08</v>
      </c>
      <c r="P119" s="120">
        <v>0.1</v>
      </c>
      <c r="Q119" s="165">
        <f t="shared" si="512"/>
        <v>0.1</v>
      </c>
      <c r="R119" s="182">
        <v>0.8</v>
      </c>
      <c r="S119" s="173" t="str">
        <f>各项系数!$D$43</f>
        <v>钢带</v>
      </c>
      <c r="T119" s="78">
        <v>0.2</v>
      </c>
      <c r="U119" s="78">
        <v>2</v>
      </c>
      <c r="V119" s="172"/>
      <c r="W119" s="174">
        <v>1.9</v>
      </c>
      <c r="X119" s="168">
        <f t="shared" si="513"/>
        <v>0.2</v>
      </c>
      <c r="Y119" s="221"/>
      <c r="Z119" s="222"/>
      <c r="AA119" s="223">
        <f>$AA$23</f>
        <v>1.011</v>
      </c>
      <c r="AB119" s="186">
        <f>PI()*EJ119*EJ119/4*EH119*(1-H119)*AA119*各项系数!$F$5*各项系数!$J$4*10^-7</f>
        <v>0.295249926304339</v>
      </c>
      <c r="AC119" s="224">
        <f t="shared" si="504"/>
        <v>245.05464536043</v>
      </c>
      <c r="AD119" s="186">
        <f t="shared" si="341"/>
        <v>33.3783570613855</v>
      </c>
      <c r="AE119" s="186">
        <f>POWER(4*EU119/PI()/EG119/10^-7/EH119/(1-H119)/各项系数!$F$5/各项系数!$J$4,0.5)</f>
        <v>246.398759704805</v>
      </c>
      <c r="AF119" s="225">
        <f>$AA$21</f>
        <v>1.011</v>
      </c>
      <c r="AG119" s="23">
        <f>IF(EM119=0,0,PI()*ER119*ER119/4*EP119*(1-K119)*(1+AF119)*各项系数!$F$5*各项系数!$J$4*10^-7)</f>
        <v>0.267598798728909</v>
      </c>
      <c r="AH119" s="23">
        <f t="shared" si="505"/>
        <v>165.416818206689</v>
      </c>
      <c r="AI119" s="85">
        <f t="shared" si="398"/>
        <v>15.2089209566661</v>
      </c>
      <c r="AJ119" s="85">
        <f>IF(OR(EP119="",EP119=0),0,POWER(4*EW119/PI()/EO119/10^-7/EP119/(1-K119)/各项系数!$F$5/各项系数!$J$4,0.5))</f>
        <v>166.32412244418</v>
      </c>
      <c r="AK119" s="23">
        <f t="shared" si="342"/>
        <v>1.15481232044949</v>
      </c>
      <c r="AL119" s="23">
        <f t="shared" si="506"/>
        <v>81.7811674787131</v>
      </c>
      <c r="AM119" s="250">
        <f t="shared" si="507"/>
        <v>35</v>
      </c>
      <c r="AN119" s="118" t="s">
        <v>486</v>
      </c>
      <c r="AO119" s="259">
        <f>AP119+各项系数!$M$9*$NK119</f>
        <v>80.1776151752089</v>
      </c>
      <c r="AP119" s="259">
        <f>AQ119*(1+$BI119+(VLOOKUP($AM119,$A$12:$B$323,2,0))+各项系数!$J$6+各项系数!$M$5)*(1+$E$2)</f>
        <v>79.6888110502721</v>
      </c>
      <c r="AQ119" s="260">
        <f>AR119+各项系数!$L$9*$NK119</f>
        <v>81.3151133166042</v>
      </c>
      <c r="AR119" s="260">
        <f>AS119*(1+$BJ119+各项系数!$J$5+各项系数!$L$5)</f>
        <v>80.8263091916673</v>
      </c>
      <c r="AS119" s="260">
        <f t="shared" si="399"/>
        <v>79.2414795996739</v>
      </c>
      <c r="AT119" s="259">
        <f>AU119+各项系数!$M$9*$NM119</f>
        <v>81.5819245915684</v>
      </c>
      <c r="AU119" s="259">
        <f>AV119*(1+$BI119+(VLOOKUP($AM119,$A$12:$B$323,2,0))+各项系数!$J$6+各项系数!$M$5)*(1+$E$2)</f>
        <v>81.0931204666315</v>
      </c>
      <c r="AV119" s="260">
        <f>AW119+各项系数!$L$9*$NM119</f>
        <v>82.7480821088077</v>
      </c>
      <c r="AW119" s="260">
        <f>AX119*(1+$BJ119+各项系数!$J$5+各项系数!$L$5)</f>
        <v>82.2592779838709</v>
      </c>
      <c r="AX119" s="260">
        <f t="shared" si="400"/>
        <v>80.6463509645793</v>
      </c>
      <c r="AY119" s="259">
        <f>AZ119+各项系数!$M$9*$NS119</f>
        <v>82.2788466388608</v>
      </c>
      <c r="AZ119" s="259">
        <f>BA119*(1+$BI119+(VLOOKUP($AM119,$A$12:$B$214,2,0))+各项系数!$J$6+各项系数!$M$5)*(1+$E$2)</f>
        <v>81.7808430423839</v>
      </c>
      <c r="BA119" s="260">
        <f>BB119+各项系数!$L$9*$NS119</f>
        <v>83.4498398391673</v>
      </c>
      <c r="BB119" s="260">
        <f>BC119*(1+$BJ119+各项系数!$J$5+各项系数!$L$5)</f>
        <v>82.9518362426903</v>
      </c>
      <c r="BC119" s="262">
        <f t="shared" si="401"/>
        <v>81.3253296496964</v>
      </c>
      <c r="BD119" s="259">
        <f>BE119+各项系数!$M$9*$NS119</f>
        <v>83.6926074491612</v>
      </c>
      <c r="BE119" s="259">
        <f>BF119*(1+$BI119+(VLOOKUP($AM119,$A$12:$B$214,2,0))+各项系数!$J$6+各项系数!$M$5)*(1+$E$2)</f>
        <v>83.1946038526843</v>
      </c>
      <c r="BF119" s="260">
        <f>BG119+各项系数!$L$9*$NS119</f>
        <v>84.8924529109023</v>
      </c>
      <c r="BG119" s="260">
        <f>BH119*(1+$BJ119+各项系数!$J$5+各项系数!$L$5)</f>
        <v>84.3944493144254</v>
      </c>
      <c r="BH119" s="262">
        <f t="shared" si="402"/>
        <v>82.7396561906131</v>
      </c>
      <c r="BI119" s="277"/>
      <c r="BJ119" s="272"/>
      <c r="BK119" s="69" t="s">
        <v>514</v>
      </c>
      <c r="BL119" s="259">
        <f>BM119+各项系数!$M$9*$NM119</f>
        <v>81.1636865415099</v>
      </c>
      <c r="BM119" s="259">
        <f>BN119*(1+$CF119+(VLOOKUP($AM119,$A$12:$B$323,2,0))+各项系数!$J$6+各项系数!$M$5)*(1+$E$2)</f>
        <v>80.6748824165731</v>
      </c>
      <c r="BN119" s="260">
        <f>BO119+各项系数!$L$9*$NM119</f>
        <v>82.3213085883399</v>
      </c>
      <c r="BO119" s="260">
        <f>BP119*(1+$CG119+各项系数!$J$5+各项系数!$L$5)</f>
        <v>81.8325044634031</v>
      </c>
      <c r="BP119" s="260">
        <f t="shared" si="403"/>
        <v>79.4490334596147</v>
      </c>
      <c r="BQ119" s="259">
        <f>BR119+各项系数!$M$9*$NM119</f>
        <v>82.3722588310213</v>
      </c>
      <c r="BR119" s="259">
        <f>BS119*(1+$CF119+(VLOOKUP($AM119,$A$12:$B$323,2,0))+各项系数!$J$6+各项系数!$M$5)*(1+$E$2)</f>
        <v>81.8834547060844</v>
      </c>
      <c r="BS119" s="260">
        <f>BT119+各项系数!$L$9*$NM119</f>
        <v>83.5545456184535</v>
      </c>
      <c r="BT119" s="260">
        <f>BU119*(1+$CG119+各项系数!$J$5+各项系数!$L$5)</f>
        <v>83.0657414935167</v>
      </c>
      <c r="BU119" s="260">
        <f t="shared" si="404"/>
        <v>80.6463509645793</v>
      </c>
      <c r="BV119" s="259">
        <f>BW119+各项系数!$M$9*$NT119</f>
        <v>82.8068043723633</v>
      </c>
      <c r="BW119" s="259">
        <f>BX119*(1+$CF119+(VLOOKUP($AM119,$A$12:$B$214,2,0))+各项系数!$J$6+各项系数!$M$5)*(1+$E$2)</f>
        <v>82.3088007758864</v>
      </c>
      <c r="BX119" s="260">
        <f>BY119+各项系数!$L$9*$NT$12</f>
        <v>83.9885722202922</v>
      </c>
      <c r="BY119" s="260">
        <f>BZ119*(1+$CG119+各项系数!$J$5+各项系数!$L$5)</f>
        <v>83.9803088171373</v>
      </c>
      <c r="BZ119" s="262">
        <f t="shared" si="343"/>
        <v>81.5342804049876</v>
      </c>
      <c r="CA119" s="259">
        <f>CB119+各项系数!$M$9*$NT119</f>
        <v>84.0235106903737</v>
      </c>
      <c r="CB119" s="259">
        <f>CC119*(1+$CF119+(VLOOKUP($AM119,$A$12:$B$214,2,0))+各项系数!$J$6+各项系数!$M$5)*(1+$E$2)</f>
        <v>83.5255070938968</v>
      </c>
      <c r="CC119" s="260">
        <f>CD119+各项系数!$L$9*$NT$12</f>
        <v>85.2301092794865</v>
      </c>
      <c r="CD119" s="260">
        <f>CE119*(1+$CG119+各项系数!$J$5+各项系数!$L$5)</f>
        <v>85.2218458763315</v>
      </c>
      <c r="CE119" s="262">
        <f t="shared" si="405"/>
        <v>82.7396561906131</v>
      </c>
      <c r="CF119" s="277">
        <f t="shared" si="514"/>
        <v>0</v>
      </c>
      <c r="CG119" s="277">
        <f t="shared" si="344"/>
        <v>0.01</v>
      </c>
      <c r="CH119" s="123"/>
      <c r="CI119" s="259">
        <f>CJ119+各项系数!$M$9*$NO119</f>
        <v>83.1187501627059</v>
      </c>
      <c r="CJ119" s="259">
        <f>CK119*(1+$DC119+(VLOOKUP($AM119,$A$12:$B$323,2,0))+各项系数!$J$6+各项系数!$M$5)*(1+$E$2)+各项系数!$M$9*$NK119</f>
        <v>82.4443760965951</v>
      </c>
      <c r="CK119" s="260">
        <f>CL119+各项系数!$L$9*$NO119</f>
        <v>83.6281346649574</v>
      </c>
      <c r="CL119" s="260">
        <f>CM119*(1+$DD119+各项系数!$J$5+各项系数!$L$5)</f>
        <v>82.9537605988465</v>
      </c>
      <c r="CM119" s="260">
        <f t="shared" si="345"/>
        <v>81.327216273379</v>
      </c>
      <c r="CN119" s="259">
        <f>CO119+各项系数!$M$9*$NO119</f>
        <v>84.3383940647376</v>
      </c>
      <c r="CO119" s="259">
        <f>CP119*(1+$DC119+(VLOOKUP($AM119,$A$12:$B$323,2,0))+各项系数!$J$6+各项系数!$M$5)*(1+$E$2)+各项系数!$M$9*$NK119</f>
        <v>83.6640199986267</v>
      </c>
      <c r="CP119" s="260">
        <f>CQ119+各项系数!$L$9*$NO119</f>
        <v>84.8726692588672</v>
      </c>
      <c r="CQ119" s="260">
        <f>CR119*(1+$DD119+各项系数!$J$5+各项系数!$L$5)</f>
        <v>84.1982951927564</v>
      </c>
      <c r="CR119" s="260">
        <f t="shared" si="346"/>
        <v>82.5473482281925</v>
      </c>
      <c r="CS119" s="259">
        <f>CT119+各项系数!$M$9*$NU119</f>
        <v>84.932363078441</v>
      </c>
      <c r="CT119" s="259">
        <f t="shared" si="347"/>
        <v>84.2479028310319</v>
      </c>
      <c r="CU119" s="260">
        <f>CV119+各项系数!$L$9*$NU119</f>
        <v>85.9672477867673</v>
      </c>
      <c r="CV119" s="260">
        <f>CW119*(1+$DD119+各项系数!$J$5+各项系数!$L$5)</f>
        <v>85.2827875393582</v>
      </c>
      <c r="CW119" s="262">
        <f t="shared" si="348"/>
        <v>83.6105760189787</v>
      </c>
      <c r="CX119" s="259">
        <f>CY119+各项系数!$M$9*$NU119</f>
        <v>86.4711185736095</v>
      </c>
      <c r="CY119" s="259">
        <f t="shared" si="349"/>
        <v>85.7866583262004</v>
      </c>
      <c r="CZ119" s="260">
        <f>DA119+各项系数!$L$9*$NU119</f>
        <v>87.5374064553066</v>
      </c>
      <c r="DA119" s="260">
        <f>DB119*(1+$DD119+各项系数!$J$5+各项系数!$L$5)</f>
        <v>86.8529462078975</v>
      </c>
      <c r="DB119" s="262">
        <f t="shared" si="350"/>
        <v>85.1499472626446</v>
      </c>
      <c r="DC119" s="277">
        <f t="shared" si="498"/>
        <v>0</v>
      </c>
      <c r="DD119" s="277">
        <f t="shared" si="351"/>
        <v>0</v>
      </c>
      <c r="DE119" s="69" t="s">
        <v>498</v>
      </c>
      <c r="DF119" s="69" t="s">
        <v>513</v>
      </c>
      <c r="DG119" s="259">
        <f>DH119+各项系数!$M$9*$NQ119</f>
        <v>84.1439093444639</v>
      </c>
      <c r="DH119" s="259">
        <f>DI119*(1+$EA119+(VLOOKUP($AM119,$A$12:$B$323,2,0))+各项系数!$J$6+各项系数!$M$5)*(1+$E$2)+各项系数!$M$9*$NK119</f>
        <v>83.4695352783531</v>
      </c>
      <c r="DI119" s="260">
        <f>DJ119+各项系数!$L$9*$NQ119</f>
        <v>84.6742154626697</v>
      </c>
      <c r="DJ119" s="260">
        <f>DK119*(1+$EB119+各项系数!$J$5+各项系数!$L$5)</f>
        <v>83.9998413965588</v>
      </c>
      <c r="DK119" s="260">
        <f t="shared" si="352"/>
        <v>81.553244074329</v>
      </c>
      <c r="DL119" s="259">
        <f>DM119+各项系数!$M$9*$NQ119</f>
        <v>85.4600541608757</v>
      </c>
      <c r="DM119" s="259">
        <f>DN119*(1+$EA119+(VLOOKUP($AM119,$A$12:$B$323,2,0))+各项系数!$J$6+各项系数!$M$5)*(1+$E$2)+各项系数!$M$9*$NK119</f>
        <v>84.7856800947648</v>
      </c>
      <c r="DN119" s="260">
        <f>DO119+各项系数!$L$9*$NQ119</f>
        <v>86.0172203773755</v>
      </c>
      <c r="DO119" s="260">
        <f>DP119*(1+$EB119+各项系数!$J$5+各项系数!$L$5)</f>
        <v>85.3428463112647</v>
      </c>
      <c r="DP119" s="260">
        <f t="shared" si="353"/>
        <v>82.8571323410336</v>
      </c>
      <c r="DQ119" s="259">
        <f>DR119+各项系数!$M$9*$NV119</f>
        <v>85.9813092118726</v>
      </c>
      <c r="DR119" s="259">
        <f t="shared" si="354"/>
        <v>85.2968489644635</v>
      </c>
      <c r="DS119" s="260">
        <f>DT119+各项系数!$L$9*$NV119</f>
        <v>87.0376009841465</v>
      </c>
      <c r="DT119" s="260">
        <f>DU119*(1+$EB119+各项系数!$J$5+各项系数!$L$5)</f>
        <v>86.3531407367374</v>
      </c>
      <c r="DU119" s="262">
        <f t="shared" si="355"/>
        <v>83.8380007152791</v>
      </c>
      <c r="DV119" s="259">
        <f>DW119+各项系数!$M$9*$NV119</f>
        <v>85.895437980238</v>
      </c>
      <c r="DW119" s="259">
        <f t="shared" si="356"/>
        <v>85.210977732829</v>
      </c>
      <c r="DX119" s="260">
        <f>DY119+各项系数!$L$9*$NV119</f>
        <v>86.9499772783969</v>
      </c>
      <c r="DY119" s="260">
        <f>DZ119*(1+$EB119+各项系数!$J$5+各项系数!$L$5)</f>
        <v>86.2655170309879</v>
      </c>
      <c r="DZ119" s="262">
        <f t="shared" si="357"/>
        <v>83.7529291562989</v>
      </c>
      <c r="EA119" s="277">
        <f t="shared" si="511"/>
        <v>0</v>
      </c>
      <c r="EB119" s="277">
        <f t="shared" si="358"/>
        <v>0.01</v>
      </c>
      <c r="EC119" s="302" t="str">
        <f t="shared" si="408"/>
        <v>3+2</v>
      </c>
      <c r="ED119" s="302" t="str">
        <f t="shared" si="494"/>
        <v>3*35</v>
      </c>
      <c r="EE119" s="251">
        <f t="shared" si="495"/>
        <v>35</v>
      </c>
      <c r="EF119" s="251" t="str">
        <f>LOOKUP(EH119,{1,7,10,14,19,24,30,37,48,61},{1,"1+6","2+8","4+10","1+6+12","2+8+14","4+10+16","1+6+12+18","3+9+15+21","1+6+12+18+24"})</f>
        <v>1+6</v>
      </c>
      <c r="EG119" s="250">
        <f t="shared" si="359"/>
        <v>3</v>
      </c>
      <c r="EH119" s="260">
        <f>VLOOKUP(EE119,各项系数!$B$87:$C$124,2,0)</f>
        <v>7</v>
      </c>
      <c r="EI119" s="250">
        <f>IF(EH119=0,0,VLOOKUP(EH119,各项系数!$D$142:$E$195,2,0))*1</f>
        <v>3</v>
      </c>
      <c r="EJ119" s="305">
        <f t="shared" si="409"/>
        <v>245.05464536043</v>
      </c>
      <c r="EK119" s="251" t="str">
        <f t="shared" si="508"/>
        <v>2*16</v>
      </c>
      <c r="EL119" s="251" t="str">
        <f t="shared" si="360"/>
        <v>16</v>
      </c>
      <c r="EM119" s="251">
        <f t="shared" si="496"/>
        <v>16</v>
      </c>
      <c r="EN119" s="251" t="str">
        <f>IF(EP119=0,0,LOOKUP(EP119,{1,7,10,14,19,24,30,37,48,61},{1,"1+6","2+8","4+10","1+6+12","2+8+14","4+10+16","1+6+12+18","3+9+15+21","1+6+12+18+24"}))</f>
        <v>1+6</v>
      </c>
      <c r="EO119" s="251" t="str">
        <f t="shared" si="509"/>
        <v>2</v>
      </c>
      <c r="EP119" s="251">
        <f>IF(EM119=0,0,IF(EM119&lt;10,1,IF(AND(EM119&gt;=10,EM119&lt;=35),7,LOOKUP(EM119,{50,70,95,120,150,185,240,300},{10,14,19,24,30,37,48,61})*1)))</f>
        <v>7</v>
      </c>
      <c r="EQ119" s="251">
        <f>IF(EP119=0,0,VLOOKUP(EP119,各项系数!$D$142:$E$195,2,0))*1</f>
        <v>3</v>
      </c>
      <c r="ER119" s="251">
        <f t="shared" si="510"/>
        <v>165.416818206689</v>
      </c>
      <c r="ES119" s="302">
        <f t="shared" si="497"/>
        <v>5</v>
      </c>
      <c r="ET119" s="251">
        <f>VLOOKUP(ES119,各项系数!$D$142:$E$195,2,0)*1</f>
        <v>2.7</v>
      </c>
      <c r="EU119" s="311">
        <f>((各项系数!$F$76/4*$EJ119^2*$EG119*$EH119*1*10^-7)*(1-$H119)*AA119)*(VLOOKUP($EY$9,各项系数!$D$4:$F$143,3,0))*各项系数!$J$4</f>
        <v>0.885749778913017</v>
      </c>
      <c r="EV119" s="312">
        <f>EU119*(VLOOKUP($EY$9,各项系数!$D$4:$F$143,2,0))</f>
        <v>58.0166105188026</v>
      </c>
      <c r="EW119" s="324">
        <f>(IF($EO119=0,0,(各项系数!$F$76/4*$ER119^2*$EO119*$EP119*1*10^-7))*(1-$K119)*$AF119)*(VLOOKUP($EY$9,各项系数!$D$4:$F$143,3,0))*各项系数!$J$4</f>
        <v>0.269062541536476</v>
      </c>
      <c r="EX119" s="325">
        <f>EW119*(VLOOKUP($EY$9,各项系数!$D$4:$F$143,2,0))</f>
        <v>17.6235964706392</v>
      </c>
      <c r="EY119" s="251">
        <f>((各项系数!$F$76/4*$EJ119^2*$EG119*$EH119*1*10^-7)*(1-$H119)*AA119+IF($EO119=0,0,(各项系数!$F$76/4*$ER119^2*$EO119*$EP119*1*10^-7))*(1-$K119)*$AF119)*(VLOOKUP($EY$9,各项系数!$D$4:$F$143,3,0))*各项系数!$J$4</f>
        <v>1.15481232044949</v>
      </c>
      <c r="EZ119" s="123">
        <v>1</v>
      </c>
      <c r="FA119" s="251">
        <f t="shared" si="515"/>
        <v>1.15481232044949</v>
      </c>
      <c r="FB119" s="326">
        <f>FA119*(VLOOKUP($EY$9,各项系数!$D$4:$F$143,2,0))</f>
        <v>75.6402069894418</v>
      </c>
      <c r="FC119" s="327"/>
      <c r="FD119" s="302">
        <f>各项系数!$F$76/4*($MN119^2-MK119^2)*10^-2*(VLOOKUP(L119,各项系数!$D$1:$F$143,3,0))*10^-3*10^2*$EG119*各项系数!$J$4</f>
        <v>0.0766072091492401</v>
      </c>
      <c r="FE119" s="339">
        <f>FD119*VLOOKUP(L119,各项系数!$D$1:$F$143,2,0)</f>
        <v>0.781393533322249</v>
      </c>
      <c r="FF119" s="250">
        <f>各项系数!$F$76/4*($MO119^2-ML119^2)*10^-2*(VLOOKUP(L119,各项系数!$D$1:$F$143,3,0))*10^-3*10^2*$EO119*各项系数!$J$4</f>
        <v>0.0272585178616569</v>
      </c>
      <c r="FG119" s="339">
        <f>FF119*VLOOKUP(L119,各项系数!$D$1:$F$143,2,0)</f>
        <v>0.2780368821889</v>
      </c>
      <c r="FH119" s="302">
        <f t="shared" si="410"/>
        <v>0.103865727010897</v>
      </c>
      <c r="FI119" s="123">
        <v>1</v>
      </c>
      <c r="FJ119" s="251">
        <f t="shared" si="516"/>
        <v>0.103865727010897</v>
      </c>
      <c r="FK119" s="339">
        <f>FJ119*VLOOKUP(L119,各项系数!$D$1:$F$143,2,0)</f>
        <v>1.05943041551115</v>
      </c>
      <c r="FL119" s="302"/>
      <c r="FM119" s="123"/>
      <c r="FN119" s="251"/>
      <c r="FO119" s="339"/>
      <c r="FP119" s="364">
        <f t="shared" si="517"/>
        <v>0.103865727010897</v>
      </c>
      <c r="FQ119" s="364">
        <f t="shared" si="518"/>
        <v>1.05943041551115</v>
      </c>
      <c r="FR119" s="365">
        <f>各项系数!$F$76/4*($MQ119^2-$MN119^2*$EG119-$MO119^2*$EO119)*10^-2</f>
        <v>1.08814044217679</v>
      </c>
      <c r="FS119" s="366">
        <f t="shared" si="411"/>
        <v>1</v>
      </c>
      <c r="FT119" s="367">
        <f t="shared" si="361"/>
        <v>1.08814044217679</v>
      </c>
      <c r="FU119" s="388">
        <f>$FT119*(VLOOKUP($FT$9,各项系数!$D$1:$F$143,3,0))*10^-3*10^2*各项系数!$J$55</f>
        <v>0.129923968795909</v>
      </c>
      <c r="FV119" s="389">
        <v>1</v>
      </c>
      <c r="FW119" s="390">
        <f t="shared" si="519"/>
        <v>0.129923968795909</v>
      </c>
      <c r="FX119" s="367">
        <f>FW119*(VLOOKUP($FT$9,各项系数!$D$1:$F$143,2,0))</f>
        <v>0.389771906387726</v>
      </c>
      <c r="FY119" s="388">
        <f>IF($BK119&lt;&gt;$FY$9,0,各项系数!$F$76/4*($MS119^2-$MQ119^2)*10^-2*(VLOOKUP($FY$9,各项系数!$D$1:$F$143,3,0))*10^-3*10^2)*各项系数!$J$4</f>
        <v>0</v>
      </c>
      <c r="FZ119" s="389">
        <v>1</v>
      </c>
      <c r="GA119" s="390">
        <f t="shared" si="520"/>
        <v>0</v>
      </c>
      <c r="GB119" s="367">
        <f>GA119*(VLOOKUP($FY$9,各项系数!$D$1:$F$143,2,0))</f>
        <v>0</v>
      </c>
      <c r="GC119" s="388">
        <f>IF($BK119&lt;&gt;$GC$9,0,各项系数!$F$76/4*($MS119^2-$MQ119^2)*10^-2*(VLOOKUP($GC$9,各项系数!$D$1:$F$143,3,0))*10^-3*10^2)*各项系数!$J$4</f>
        <v>0.00593268906396864</v>
      </c>
      <c r="GD119" s="389">
        <v>1</v>
      </c>
      <c r="GE119" s="390">
        <f t="shared" si="521"/>
        <v>0.00593268906396864</v>
      </c>
      <c r="GF119" s="367">
        <f>GE119*(VLOOKUP($GC$9,各项系数!$D$1:$F$143,2,0))</f>
        <v>0.0765316889251954</v>
      </c>
      <c r="GG119" s="388">
        <f>IF($BK119&lt;&gt;$GG$9,0,各项系数!$F$76/4*($MS119^2-$MQ119^2)*10^-2*(VLOOKUP($GG$9,各项系数!$D$1:$F$143,3,0))*10^-3*10^2)*各项系数!$J$4</f>
        <v>0</v>
      </c>
      <c r="GH119" s="389">
        <v>1</v>
      </c>
      <c r="GI119" s="390">
        <f t="shared" si="522"/>
        <v>0</v>
      </c>
      <c r="GJ119" s="367">
        <f>GI119*(VLOOKUP($GG$9,各项系数!$D$1:$F$143,2,0))</f>
        <v>0</v>
      </c>
      <c r="GK119" s="388">
        <f>IF($BK119&lt;&gt;$GK$9,0,各项系数!$F$76/4*($MS119^2-$MQ119^2)*10^-2*(VLOOKUP($GK$9,各项系数!$D$1:$F$143,3,0))*10^-3*10^2)*各项系数!$J$4</f>
        <v>0</v>
      </c>
      <c r="GL119" s="389">
        <v>1</v>
      </c>
      <c r="GM119" s="390">
        <f t="shared" si="523"/>
        <v>0</v>
      </c>
      <c r="GN119" s="367">
        <f>GM119*(VLOOKUP($GK$9,各项系数!$D$1:$F$143,2,0))</f>
        <v>0</v>
      </c>
      <c r="GO119" s="390">
        <f t="shared" si="524"/>
        <v>0.00593268906396864</v>
      </c>
      <c r="GP119" s="390">
        <f t="shared" si="525"/>
        <v>0.0765316889251954</v>
      </c>
      <c r="GQ119" s="406">
        <f>各项系数!$F$76/4*($MU119^2-$MS119^2)*10^-2*(VLOOKUP($S119,各项系数!$D$1:$F$143,3,0))*10^-3*10^2*各项系数!$J$4</f>
        <v>0.162603004117608</v>
      </c>
      <c r="GR119" s="389">
        <v>1</v>
      </c>
      <c r="GS119" s="390">
        <f t="shared" si="526"/>
        <v>0.162603004117608</v>
      </c>
      <c r="GT119" s="390">
        <f t="shared" si="457"/>
        <v>0</v>
      </c>
      <c r="GU119" s="390">
        <f>ROUND($GS119*(VLOOKUP($S119,各项系数!$D$1:$F$143,2,0))+$E$3*GS119,GT119)</f>
        <v>1</v>
      </c>
      <c r="GV119" s="406">
        <f>各项系数!$F$76/4*($MT119^2-$MS119^2)*10^-2*(VLOOKUP($GV$9,各项系数!$D$1:$F$143,3,0))*10^-3*10^2*各项系数!$J$4*PI()/4*R119</f>
        <v>0.0306649051336065</v>
      </c>
      <c r="GW119" s="389">
        <v>1</v>
      </c>
      <c r="GX119" s="390">
        <f t="shared" si="527"/>
        <v>0.0306649051336065</v>
      </c>
      <c r="GY119" s="390">
        <f>$GX119*(VLOOKUP($GV$9,各项系数!$D$1:$F$143,2,0))</f>
        <v>2.06988109651844</v>
      </c>
      <c r="GZ119" s="406">
        <f>各项系数!$F$76/4*($MV119^2-$MS119^2)*10^-2*(VLOOKUP($GZ$9,各项系数!$D$1:$F$143,3,0))*10^-3*10^2*各项系数!$J$4</f>
        <v>0.204729997900791</v>
      </c>
      <c r="HA119" s="389">
        <v>1</v>
      </c>
      <c r="HB119" s="390">
        <f t="shared" si="412"/>
        <v>0.204729997900791</v>
      </c>
      <c r="HC119" s="390">
        <f>HB119*(VLOOKUP($GZ$9,各项系数!$D$1:$F$143,2,0))</f>
        <v>3.48040996431345</v>
      </c>
      <c r="HD119" s="406">
        <f>各项系数!$F$76/4*($MW119^2-$MT119^2)*10^-2*(VLOOKUP($HD$9,各项系数!$D$1:$F$143,3,0))*10^-3*10^2*各项系数!$J$4</f>
        <v>0.206107887872285</v>
      </c>
      <c r="HE119" s="389">
        <v>1</v>
      </c>
      <c r="HF119" s="390">
        <f t="shared" si="413"/>
        <v>0.206107887872285</v>
      </c>
      <c r="HG119" s="390">
        <f>HF119*(VLOOKUP($HD$9,各项系数!$D$1:$F$143,2,0))</f>
        <v>3.50383409382884</v>
      </c>
      <c r="HH119" s="406">
        <f>各项系数!$F$76/4*($MV119^2-$MS119^2)*10^-2*(VLOOKUP($HH$9,各项系数!$D$1:$F$143,3,0))*10^-3*10^2*各项系数!$J$4</f>
        <v>0.204729997900791</v>
      </c>
      <c r="HI119" s="420">
        <v>1</v>
      </c>
      <c r="HJ119" s="390">
        <f t="shared" si="414"/>
        <v>0.204729997900791</v>
      </c>
      <c r="HK119" s="390">
        <f>HJ119*(VLOOKUP($HH$9,各项系数!$D$1:$F$143,2,0))</f>
        <v>3.48040996431345</v>
      </c>
      <c r="HL119" s="406">
        <f>各项系数!$F$76/4*($MW119^2-$MT119^2)*10^-2*(VLOOKUP($HL$9,各项系数!$D$1:$F$143,3,0))*10^-3*10^2*各项系数!$J$4</f>
        <v>0.206107887872285</v>
      </c>
      <c r="HM119" s="420">
        <v>1</v>
      </c>
      <c r="HN119" s="390">
        <f t="shared" si="362"/>
        <v>0.206107887872285</v>
      </c>
      <c r="HO119" s="390">
        <f>HN119*(VLOOKUP($HL$9,各项系数!$D$1:$F$143,2,0))</f>
        <v>3.50383409382884</v>
      </c>
      <c r="HP119" s="406">
        <f>各项系数!$F$76/4*($MV119^2-$MS119^2)*10^-2*(VLOOKUP(AN119,各项系数!$D$1:$F$143,3,0))*10^-3*10^2*各项系数!$J$4</f>
        <v>0.207553859940802</v>
      </c>
      <c r="HQ119" s="389">
        <v>1</v>
      </c>
      <c r="HR119" s="390">
        <f t="shared" si="528"/>
        <v>0.207553859940802</v>
      </c>
      <c r="HS119" s="390">
        <f>HR119*(VLOOKUP(AN119,各项系数!$D$1:$F$143,2,0))</f>
        <v>2.07553859940802</v>
      </c>
      <c r="HT119" s="406">
        <f>各项系数!$F$76/4*($MW119^2-$MT119^2)*10^-2*(VLOOKUP(AN119,各项系数!$D$1:$F$143,3,0))*10^-3*10^2*各项系数!$J$4</f>
        <v>0.208950755291213</v>
      </c>
      <c r="HU119" s="389">
        <v>1</v>
      </c>
      <c r="HV119" s="390">
        <f t="shared" si="529"/>
        <v>0.208950755291213</v>
      </c>
      <c r="HW119" s="390">
        <f>HV119*(VLOOKUP(AN119,各项系数!$D$1:$F$143,2,0))</f>
        <v>2.08950755291213</v>
      </c>
      <c r="HX119" s="406">
        <f>各项系数!$F$76/4*($MV119^2-$MS119^2)*10^-2*(VLOOKUP($HX$9,各项系数!$D$1:$F$143,3,0))*10^-3*10^2*各项系数!$J$4</f>
        <v>0.207553859940802</v>
      </c>
      <c r="HY119" s="420">
        <v>1</v>
      </c>
      <c r="HZ119" s="390">
        <f t="shared" si="530"/>
        <v>0.207553859940802</v>
      </c>
      <c r="IA119" s="390">
        <f>HZ119*(VLOOKUP($HX$9,各项系数!$D$1:$F$143,2,0))</f>
        <v>2.28309245934882</v>
      </c>
      <c r="IB119" s="406">
        <f>各项系数!$F$76/4*($MW119^2-$MT119^2)*10^-2*(VLOOKUP($IB$9,各项系数!$D$1:$F$143,3,0))*10^-3*10^2*各项系数!$J$4</f>
        <v>0.208950755291213</v>
      </c>
      <c r="IC119" s="420">
        <v>1</v>
      </c>
      <c r="ID119" s="390">
        <f t="shared" si="531"/>
        <v>0.208950755291213</v>
      </c>
      <c r="IE119" s="390">
        <f>ID119*(VLOOKUP($IB$9,各项系数!$D$1:$F$143,2,0))</f>
        <v>2.29845830820334</v>
      </c>
      <c r="IF119" s="429"/>
      <c r="IG119" s="406">
        <f t="shared" si="415"/>
        <v>0.047094476260169</v>
      </c>
      <c r="IH119" s="389">
        <v>1</v>
      </c>
      <c r="II119" s="390">
        <f t="shared" si="532"/>
        <v>0.047094476260169</v>
      </c>
      <c r="IJ119" s="390">
        <f>II119*(VLOOKUP($IG$8,各项系数!$D$1:$F$143,2,0))</f>
        <v>1.17736190650422</v>
      </c>
      <c r="IK119" s="406">
        <f>(各项系数!$F$76/4*($MX119^2-$MK119^2)*$EG119)*10^-2*(VLOOKUP($IG$8,各项系数!$D$1:$F$143,3,0))*10^-3*10^2*各项系数!$J$4</f>
        <v>0.0322894921050394</v>
      </c>
      <c r="IL119" s="389">
        <f>IK119*(VLOOKUP($IG$8,各项系数!$D$1:$F$143,2,0))</f>
        <v>0.807237302625985</v>
      </c>
      <c r="IM119" s="390">
        <f>(各项系数!$F$76/4*(($MM119+3*$X119)^2-MM119^2)*$EO119)*10^-2*(VLOOKUP($IG$8,各项系数!$D$1:$F$143,3,0))*10^-3*10^2*各项系数!$J$4</f>
        <v>0.0148049841551295</v>
      </c>
      <c r="IN119" s="389">
        <f>IM119*(VLOOKUP($IG$8,各项系数!$D$1:$F$143,2,0))</f>
        <v>0.370124603878239</v>
      </c>
      <c r="IO119" s="406">
        <f>各项系数!$F$76/4*($MZ119^2-$MX119^2)*10^-2*(VLOOKUP(L119,各项系数!$D$1:$F$143,3,0))*10^-3*10^2*$ES119*各项系数!$J$4</f>
        <v>0.136962559445656</v>
      </c>
      <c r="IP119" s="389">
        <v>1</v>
      </c>
      <c r="IQ119" s="390">
        <f t="shared" si="533"/>
        <v>0.136962559445656</v>
      </c>
      <c r="IR119" s="367">
        <f>IQ119*(VLOOKUP(L119,各项系数!$D$1:$F$143,2,0))</f>
        <v>1.39701810634569</v>
      </c>
      <c r="IS119" s="406">
        <f>IF($L119&lt;&gt;$IS$9,0,各项系数!$F$76/4*($MZ119^2-$MX119^2)*10^-2*各项系数!$F$12*10^-3*10^2)*$ES119*各项系数!$J$4</f>
        <v>0</v>
      </c>
      <c r="IT119" s="389">
        <v>1</v>
      </c>
      <c r="IU119" s="390">
        <f t="shared" si="534"/>
        <v>0</v>
      </c>
      <c r="IV119" s="367">
        <f>IU119*各项系数!$E$12</f>
        <v>0</v>
      </c>
      <c r="IW119" s="388">
        <f t="shared" si="535"/>
        <v>0.136962559445656</v>
      </c>
      <c r="IX119" s="388">
        <f t="shared" si="536"/>
        <v>1.39701810634569</v>
      </c>
      <c r="IY119" s="447">
        <f>各项系数!$F$76/4*($NB119^2-$MZ119^2*$EG119-$NA119^2*$EO119)*10^-2</f>
        <v>1.33773944052815</v>
      </c>
      <c r="IZ119" s="366">
        <f t="shared" si="487"/>
        <v>1</v>
      </c>
      <c r="JA119" s="367">
        <f t="shared" si="363"/>
        <v>1.33773944052815</v>
      </c>
      <c r="JB119" s="364">
        <f>IF($DE119&lt;&gt;$JB$9,0,$JA119*各项系数!$F$32*10^-3*10^2)*各项系数!$J$4</f>
        <v>0</v>
      </c>
      <c r="JC119" s="123">
        <v>1</v>
      </c>
      <c r="JD119" s="251">
        <f t="shared" si="537"/>
        <v>0</v>
      </c>
      <c r="JE119" s="339">
        <f>JD119*各项系数!$E$32</f>
        <v>0</v>
      </c>
      <c r="JF119" s="364">
        <f>IF($DE119&lt;&gt;$JF$9,0,$JA119*VLOOKUP($JF$9,各项系数!$D$4:$F$540,2,0)*10^-3*10^2)*各项系数!$J$4</f>
        <v>0.665525371662752</v>
      </c>
      <c r="JG119" s="123">
        <v>1</v>
      </c>
      <c r="JH119" s="251">
        <f t="shared" si="364"/>
        <v>0.665525371662752</v>
      </c>
      <c r="JI119" s="339">
        <f>JH119*VLOOKUP($JF$9,各项系数!$D$4:$F$540,3,0)</f>
        <v>0.798630445995303</v>
      </c>
      <c r="JJ119" s="364">
        <f t="shared" si="538"/>
        <v>0.665525371662752</v>
      </c>
      <c r="JK119" s="251">
        <f t="shared" si="539"/>
        <v>0.798630445995303</v>
      </c>
      <c r="JL119" s="364">
        <f>IF($DF119&lt;&gt;$JL$9,0,各项系数!$F$76/4*($NE119^2-$NC119^2)*10^-2*各项系数!$F$39*10^-3*10^2)*各项系数!$J$4</f>
        <v>0.00268604077960532</v>
      </c>
      <c r="JM119" s="123">
        <v>1</v>
      </c>
      <c r="JN119" s="251">
        <f t="shared" si="540"/>
        <v>0.00268604077960532</v>
      </c>
      <c r="JO119" s="339">
        <f>JN119*各项系数!$E$39</f>
        <v>0.0537208155921064</v>
      </c>
      <c r="JP119" s="364">
        <f>IF($DF119&lt;&gt;$JP$9,0,各项系数!$F$76/4*($NE119^2-$NC119^2)*10^-2*各项系数!$F$36*10^-3*10^2)*各项系数!$J$4</f>
        <v>0</v>
      </c>
      <c r="JQ119" s="123">
        <v>1</v>
      </c>
      <c r="JR119" s="251">
        <f t="shared" si="541"/>
        <v>0</v>
      </c>
      <c r="JS119" s="339">
        <f>JR119*各项系数!$E$36</f>
        <v>0</v>
      </c>
      <c r="JT119" s="364">
        <f>IF($DF119&lt;&gt;$JT$9,0,各项系数!$F$76/4*($NE119^2-$NC119^2)*10^-2*各项系数!$F$40*10^-3*10^2)*各项系数!$J$4</f>
        <v>0</v>
      </c>
      <c r="JU119" s="123">
        <v>1</v>
      </c>
      <c r="JV119" s="251">
        <f t="shared" si="542"/>
        <v>0</v>
      </c>
      <c r="JW119" s="339">
        <f>JV119*各项系数!$E$40</f>
        <v>0</v>
      </c>
      <c r="JX119" s="364">
        <f>IF($DF119&lt;&gt;$JX$9,0,各项系数!$F$76/4*($NE119^2-$NC119^2)*10^-2*各项系数!$F$38*10^-3*10^2)*各项系数!$J$4</f>
        <v>0</v>
      </c>
      <c r="JY119" s="123">
        <v>1</v>
      </c>
      <c r="JZ119" s="251">
        <f t="shared" si="543"/>
        <v>0</v>
      </c>
      <c r="KA119" s="339">
        <f>JZ119*各项系数!$E$38</f>
        <v>0</v>
      </c>
      <c r="KB119" s="364">
        <f>IF($DF119&lt;&gt;$KB$9,0,各项系数!$F$76/4*($NE119^2-$NC119^2)*10^-2*各项系数!$F$41*10^-3*10^2)*各项系数!$J$4</f>
        <v>0</v>
      </c>
      <c r="KC119" s="123">
        <v>1</v>
      </c>
      <c r="KD119" s="251">
        <f t="shared" si="544"/>
        <v>0</v>
      </c>
      <c r="KE119" s="339">
        <f>KD119*各项系数!$E$41</f>
        <v>0</v>
      </c>
      <c r="KF119" s="251">
        <f t="shared" si="545"/>
        <v>0.00268604077960532</v>
      </c>
      <c r="KG119" s="251">
        <f t="shared" si="546"/>
        <v>0.0537208155921064</v>
      </c>
      <c r="KH119" s="302">
        <f>各项系数!$F$76/4*($NG119^2-$NE119^2)*10^-2*各项系数!$F$44*10^-3*10^2*各项系数!$J$4*0.75*$U119</f>
        <v>0.267180481261026</v>
      </c>
      <c r="KI119" s="123">
        <v>1</v>
      </c>
      <c r="KJ119" s="251">
        <f t="shared" si="547"/>
        <v>0.267180481261026</v>
      </c>
      <c r="KK119" s="251">
        <f>ROUND(KJ119*各项系数!$E$43,GT119)</f>
        <v>2</v>
      </c>
      <c r="KL119" s="302">
        <f>各项系数!$F$76/4*($NF119^2-$NE119^2)*10^-2*各项系数!$F$46*10^-3*10^2*各项系数!$J$4*PI()/4*R119</f>
        <v>0.0336206043273419</v>
      </c>
      <c r="KM119" s="123">
        <v>1</v>
      </c>
      <c r="KN119" s="251">
        <f t="shared" si="548"/>
        <v>0.0336206043273419</v>
      </c>
      <c r="KO119" s="251">
        <f>KN119*各项系数!$E$46</f>
        <v>2.26939079209558</v>
      </c>
      <c r="KP119" s="302">
        <f>各项系数!$F$76/4*($NH119^2-$NE119^2)*10^-2*(VLOOKUP($KP$9,各项系数!$D$1:$F$143,3,0))*10^-3*10^2*各项系数!$J$4</f>
        <v>0.222952592773797</v>
      </c>
      <c r="KQ119" s="123">
        <v>1</v>
      </c>
      <c r="KR119" s="251">
        <f t="shared" si="416"/>
        <v>0.222952592773797</v>
      </c>
      <c r="KS119" s="251">
        <f>KR119*(VLOOKUP($KP$9,各项系数!$D$1:$F$143,2,0))</f>
        <v>3.79019407715455</v>
      </c>
      <c r="KT119" s="302">
        <f>各项系数!$F$76/4*($NI119^2-$NF119^2)*10^-2*(VLOOKUP($KT$9,各项系数!$D$1:$F$143,3,0))*10^-3*10^2*各项系数!$J$4</f>
        <v>0.224330482745291</v>
      </c>
      <c r="KU119" s="123">
        <v>1</v>
      </c>
      <c r="KV119" s="251">
        <f t="shared" si="417"/>
        <v>0.224330482745291</v>
      </c>
      <c r="KW119" s="251">
        <f>KV119*(VLOOKUP($KT$9,各项系数!$D$1:$F$143,2,0))</f>
        <v>3.81361820666995</v>
      </c>
      <c r="KX119" s="251">
        <f>各项系数!$F$76/4*($NH119^2-$NE119^2)*10^-2*(VLOOKUP($KX$9,各项系数!$D$1:$F$143,3,0))*10^-3*10^2*各项系数!$J$4</f>
        <v>0.222952592773797</v>
      </c>
      <c r="KY119" s="479">
        <v>1</v>
      </c>
      <c r="KZ119" s="251">
        <f t="shared" si="418"/>
        <v>0.222952592773797</v>
      </c>
      <c r="LA119" s="251">
        <f>KZ119*(VLOOKUP($KX$9,各项系数!$D$1:$F$143,2,0))</f>
        <v>3.79019407715455</v>
      </c>
      <c r="LB119" s="251">
        <f>各项系数!$F$76/4*($NI119^2-$NF119^2)*10^-2*(VLOOKUP($LB$9,各项系数!$D$1:$F$143,3,0))*10^-3*10^2*各项系数!$J$4</f>
        <v>0.224330482745291</v>
      </c>
      <c r="LC119" s="479">
        <v>1</v>
      </c>
      <c r="LD119" s="251">
        <f t="shared" si="419"/>
        <v>0.224330482745291</v>
      </c>
      <c r="LE119" s="251">
        <f>LD119*(VLOOKUP($LB$9,各项系数!$D$1:$F$143,2,0))</f>
        <v>3.81361820666995</v>
      </c>
      <c r="LF119" s="302">
        <f>各项系数!$F$76/4*($NH119^2-$NE119^2)*10^-2*(VLOOKUP(AN119,各项系数!$D$1:$F$143,3,0))*10^-3*10^2*各项系数!$J$4</f>
        <v>0.226027800949988</v>
      </c>
      <c r="LG119" s="123">
        <v>1</v>
      </c>
      <c r="LH119" s="251">
        <f t="shared" si="549"/>
        <v>0.226027800949988</v>
      </c>
      <c r="LI119" s="251">
        <f>LH119*(VLOOKUP(AN119,各项系数!$D$1:$F$143,2,0))</f>
        <v>2.26027800949988</v>
      </c>
      <c r="LJ119" s="302">
        <f>各项系数!$F$76/4*($NI119^2-$NF119^2)*10^-2*(VLOOKUP(AN119,各项系数!$D$1:$F$143,3,0))*10^-3*10^2*各项系数!$J$4</f>
        <v>0.227424696300399</v>
      </c>
      <c r="LK119" s="123">
        <v>1</v>
      </c>
      <c r="LL119" s="251">
        <f t="shared" si="550"/>
        <v>0.227424696300399</v>
      </c>
      <c r="LM119" s="251">
        <f>LL119*(VLOOKUP(AN119,各项系数!$D$1:$F$143,2,0))</f>
        <v>2.27424696300399</v>
      </c>
      <c r="LN119" s="251">
        <f>各项系数!$F$76/4*($NH119^2-$NE119^2)*10^-2*(VLOOKUP($LN$9,各项系数!$D$1:$F$143,3,0))*10^-3*10^2*各项系数!$J$4</f>
        <v>0.226027800949988</v>
      </c>
      <c r="LO119" s="479">
        <v>1</v>
      </c>
      <c r="LP119" s="251">
        <f t="shared" si="551"/>
        <v>0.226027800949988</v>
      </c>
      <c r="LQ119" s="251">
        <f>LP119*(VLOOKUP($LN$9,各项系数!$D$1:$F$143,2,0))</f>
        <v>2.48630581044986</v>
      </c>
      <c r="LR119" s="251">
        <f>各项系数!$F$76/4*($NI119^2-$NF119^2)*10^-2*(VLOOKUP($LR$9,各项系数!$D$1:$F$143,3,0))*10^-3*10^2*各项系数!$J$4</f>
        <v>0.227424696300399</v>
      </c>
      <c r="LS119" s="479">
        <v>1</v>
      </c>
      <c r="LT119" s="251">
        <f t="shared" si="552"/>
        <v>0.227424696300399</v>
      </c>
      <c r="LU119" s="251">
        <f>LT119*(VLOOKUP($LR$9,各项系数!$D$1:$F$143,2,0))</f>
        <v>2.50167165930438</v>
      </c>
      <c r="LV119" s="499">
        <f t="shared" si="420"/>
        <v>127.3443038</v>
      </c>
      <c r="LW119" s="499">
        <f t="shared" si="421"/>
        <v>99.04556962</v>
      </c>
      <c r="LX119" s="499">
        <f t="shared" si="422"/>
        <v>11.2298146009186</v>
      </c>
      <c r="LY119" s="515">
        <f t="shared" si="423"/>
        <v>28.29873418</v>
      </c>
      <c r="LZ119" s="516">
        <f t="shared" si="365"/>
        <v>1</v>
      </c>
      <c r="MA119" s="517">
        <f t="shared" si="366"/>
        <v>127.3443038</v>
      </c>
      <c r="MB119" s="517">
        <f t="shared" si="424"/>
        <v>7.35163935</v>
      </c>
      <c r="MC119" s="499">
        <f t="shared" si="425"/>
        <v>38.68313936</v>
      </c>
      <c r="MD119" s="499">
        <f t="shared" si="426"/>
        <v>30.08688609</v>
      </c>
      <c r="ME119" s="499">
        <f t="shared" si="427"/>
        <v>6.18933058963005</v>
      </c>
      <c r="MF119" s="499">
        <f t="shared" si="428"/>
        <v>8.59625327</v>
      </c>
      <c r="MG119" s="516">
        <f t="shared" si="429"/>
        <v>1</v>
      </c>
      <c r="MH119" s="517">
        <f t="shared" si="367"/>
        <v>38.68313936</v>
      </c>
      <c r="MI119" s="517">
        <f t="shared" si="430"/>
        <v>4.96250454647919</v>
      </c>
      <c r="MJ119" s="251">
        <f t="shared" si="368"/>
        <v>7.35163935</v>
      </c>
      <c r="MK119" s="251">
        <f t="shared" si="431"/>
        <v>7.35163935</v>
      </c>
      <c r="ML119" s="251">
        <f t="shared" si="553"/>
        <v>4.96250454620067</v>
      </c>
      <c r="MM119" s="251">
        <f t="shared" si="369"/>
        <v>4.96250454647919</v>
      </c>
      <c r="MN119" s="251">
        <f t="shared" si="370"/>
        <v>9.15163935</v>
      </c>
      <c r="MO119" s="251">
        <f t="shared" si="432"/>
        <v>6.36250454647919</v>
      </c>
      <c r="MP119" s="251">
        <f t="shared" si="433"/>
        <v>21.69716066</v>
      </c>
      <c r="MQ119" s="251">
        <f t="shared" si="554"/>
        <v>21.69716066</v>
      </c>
      <c r="MR119" s="314">
        <f t="shared" si="434"/>
        <v>21.69716066</v>
      </c>
      <c r="MS119" s="530">
        <f t="shared" si="371"/>
        <v>21.87316066</v>
      </c>
      <c r="MT119" s="530">
        <f t="shared" si="372"/>
        <v>22.03316066</v>
      </c>
      <c r="MU119" s="530">
        <f t="shared" si="373"/>
        <v>22.47316066</v>
      </c>
      <c r="MV119" s="530">
        <f t="shared" si="374"/>
        <v>25.67316066</v>
      </c>
      <c r="MW119" s="530">
        <f t="shared" si="375"/>
        <v>25.83316066</v>
      </c>
      <c r="MX119" s="326">
        <f t="shared" si="376"/>
        <v>7.95163935</v>
      </c>
      <c r="MY119" s="326">
        <f t="shared" si="377"/>
        <v>5.56250454647919</v>
      </c>
      <c r="MZ119" s="251">
        <f t="shared" si="378"/>
        <v>9.75163935</v>
      </c>
      <c r="NA119" s="251">
        <f t="shared" si="379"/>
        <v>7.36250454647919</v>
      </c>
      <c r="NB119" s="251">
        <f t="shared" si="435"/>
        <v>23.74916066</v>
      </c>
      <c r="NC119" s="326">
        <f t="shared" si="555"/>
        <v>23.74916066</v>
      </c>
      <c r="ND119" s="314">
        <f t="shared" si="436"/>
        <v>23.74916066</v>
      </c>
      <c r="NE119" s="537">
        <f t="shared" si="437"/>
        <v>23.98916066</v>
      </c>
      <c r="NF119" s="530">
        <f t="shared" si="380"/>
        <v>24.14916066</v>
      </c>
      <c r="NG119" s="538">
        <f t="shared" si="381"/>
        <v>24.58916066</v>
      </c>
      <c r="NH119" s="326">
        <f t="shared" si="382"/>
        <v>27.78916066</v>
      </c>
      <c r="NI119" s="530">
        <f t="shared" si="383"/>
        <v>27.94916066</v>
      </c>
      <c r="NK119" s="539">
        <f t="shared" si="384"/>
        <v>1.62934708312273</v>
      </c>
      <c r="NL119" s="539">
        <f t="shared" si="385"/>
        <v>79.5195164818628</v>
      </c>
      <c r="NM119" s="539">
        <f t="shared" si="386"/>
        <v>1.62934708312273</v>
      </c>
      <c r="NN119" s="539">
        <f t="shared" si="387"/>
        <v>79.7270703418036</v>
      </c>
      <c r="NO119" s="539">
        <f t="shared" si="388"/>
        <v>2.24791355370279</v>
      </c>
      <c r="NP119" s="539">
        <f t="shared" si="389"/>
        <v>81.6973408772572</v>
      </c>
      <c r="NQ119" s="539">
        <f t="shared" si="390"/>
        <v>2.24791355370279</v>
      </c>
      <c r="NR119" s="539">
        <f t="shared" si="391"/>
        <v>81.9233686782072</v>
      </c>
      <c r="NS119" s="539">
        <f t="shared" si="392"/>
        <v>1.66001198825633</v>
      </c>
      <c r="NT119" s="539">
        <f t="shared" si="393"/>
        <v>1.66001198825633</v>
      </c>
      <c r="NU119" s="539">
        <f t="shared" si="394"/>
        <v>2.28153415803013</v>
      </c>
      <c r="NV119" s="539">
        <f t="shared" si="395"/>
        <v>2.28153415803013</v>
      </c>
      <c r="NW119">
        <f t="shared" si="396"/>
        <v>1.79195008724033</v>
      </c>
      <c r="NX119">
        <f>各项系数!$M$9*NK119</f>
        <v>0.488804124936818</v>
      </c>
      <c r="NY119">
        <f t="shared" si="397"/>
        <v>1.66001198825633</v>
      </c>
    </row>
    <row r="120" customHeight="1" spans="1:389">
      <c r="A120" s="81"/>
      <c r="B120" s="82"/>
      <c r="C120" s="83"/>
      <c r="D120" s="69" t="s">
        <v>396</v>
      </c>
      <c r="E120" s="550">
        <f t="shared" si="503"/>
        <v>31.56028144</v>
      </c>
      <c r="F120" s="84">
        <f>$F$24</f>
        <v>238.573455311777</v>
      </c>
      <c r="G120" s="74"/>
      <c r="H120" s="23"/>
      <c r="I120" s="174">
        <f>$F$22</f>
        <v>208.046961644752</v>
      </c>
      <c r="J120" s="78"/>
      <c r="K120" s="23"/>
      <c r="L120" s="118" t="s">
        <v>467</v>
      </c>
      <c r="M120" s="124">
        <f t="shared" si="339"/>
        <v>1</v>
      </c>
      <c r="N120" s="124">
        <f t="shared" si="501"/>
        <v>0.9</v>
      </c>
      <c r="O120" s="69">
        <f t="shared" si="556"/>
        <v>0.08</v>
      </c>
      <c r="P120" s="120">
        <v>0.1</v>
      </c>
      <c r="Q120" s="162">
        <f t="shared" si="512"/>
        <v>0.1</v>
      </c>
      <c r="R120" s="86">
        <v>0.8</v>
      </c>
      <c r="S120" s="171" t="str">
        <f>各项系数!$D$43</f>
        <v>钢带</v>
      </c>
      <c r="T120" s="123">
        <v>0.5</v>
      </c>
      <c r="U120" s="123">
        <v>2</v>
      </c>
      <c r="V120" s="169"/>
      <c r="W120" s="170">
        <v>2</v>
      </c>
      <c r="X120" s="164">
        <f t="shared" si="513"/>
        <v>0.2</v>
      </c>
      <c r="Y120" s="219"/>
      <c r="Z120" s="220"/>
      <c r="AA120" s="217">
        <f>$AA$24</f>
        <v>1.011</v>
      </c>
      <c r="AB120" s="186">
        <f>PI()*EJ120*EJ120/4*EH120*(1-H120)*AA120*各项系数!$F$5*各项系数!$J$4*10^-7</f>
        <v>0.399769926055488</v>
      </c>
      <c r="AC120" s="186">
        <f t="shared" si="504"/>
        <v>238.573455311777</v>
      </c>
      <c r="AD120" s="186">
        <f t="shared" si="341"/>
        <v>45.1944679590854</v>
      </c>
      <c r="AE120" s="186">
        <f>POWER(4*EU120/PI()/EG120/10^-7/EH120/(1-H120)/各项系数!$F$5/各项系数!$J$4,0.5)</f>
        <v>239.882020603408</v>
      </c>
      <c r="AF120" s="218">
        <f>$AA$22</f>
        <v>1.011</v>
      </c>
      <c r="AG120" s="85">
        <f>IF(EM120=0,0,PI()*ER120*ER120/4*EP120*(1-K120)*(1+AF120)*各项系数!$F$5*各项系数!$J$4*10^-7)</f>
        <v>0.423299337741741</v>
      </c>
      <c r="AH120" s="85">
        <f t="shared" si="505"/>
        <v>208.046961644752</v>
      </c>
      <c r="AI120" s="85">
        <f t="shared" si="398"/>
        <v>24.0581280607511</v>
      </c>
      <c r="AJ120" s="85">
        <f>IF(OR(EP120="",EP120=0),0,POWER(4*EW120/PI()/EO120/10^-7/EP120/(1-K120)/各项系数!$F$5/各项系数!$J$4,0.5))</f>
        <v>209.188090412333</v>
      </c>
      <c r="AK120" s="85">
        <f t="shared" si="342"/>
        <v>1.62492452750202</v>
      </c>
      <c r="AL120" s="85">
        <f t="shared" si="506"/>
        <v>115.008800082405</v>
      </c>
      <c r="AM120" s="250">
        <f t="shared" si="507"/>
        <v>50</v>
      </c>
      <c r="AN120" s="118" t="s">
        <v>486</v>
      </c>
      <c r="AO120" s="259">
        <f>AP120+各项系数!$M$9*$NK120</f>
        <v>112.753725570985</v>
      </c>
      <c r="AP120" s="259">
        <f>AQ120*(1+$BI120+(VLOOKUP($AM120,$A$12:$B$323,2,0))+各项系数!$J$6+各项系数!$M$5)*(1+$E$2)</f>
        <v>112.061226517153</v>
      </c>
      <c r="AQ120" s="260">
        <f>AR120+各项系数!$L$9*$NK120</f>
        <v>114.348190323625</v>
      </c>
      <c r="AR120" s="260">
        <f>AS120*(1+$BJ120+各项系数!$J$5+各项系数!$L$5)</f>
        <v>113.655691269793</v>
      </c>
      <c r="AS120" s="260">
        <f t="shared" si="399"/>
        <v>111.427148303718</v>
      </c>
      <c r="AT120" s="259">
        <f>AU120+各项系数!$M$9*$NM120</f>
        <v>114.591790471595</v>
      </c>
      <c r="AU120" s="259">
        <f>AV120*(1+$BI120+(VLOOKUP($AM120,$A$12:$B$323,2,0))+各项系数!$J$6+各项系数!$M$5)*(1+$E$2)</f>
        <v>113.899291417763</v>
      </c>
      <c r="AV120" s="260">
        <f>AW120+各项系数!$L$9*$NM120</f>
        <v>116.223766752819</v>
      </c>
      <c r="AW120" s="260">
        <f>AX120*(1+$BJ120+各项系数!$J$5+各项系数!$L$5)</f>
        <v>115.531267698987</v>
      </c>
      <c r="AX120" s="260">
        <f t="shared" si="400"/>
        <v>113.265948724497</v>
      </c>
      <c r="AY120" s="259">
        <f>AZ120+各项系数!$M$9*$NS120</f>
        <v>115.396413439988</v>
      </c>
      <c r="AZ120" s="259">
        <f>BA120*(1+$BI120+(VLOOKUP($AM120,$A$12:$B$214,2,0))+各项系数!$J$6+各项系数!$M$5)*(1+$E$2)</f>
        <v>114.692331726765</v>
      </c>
      <c r="BA120" s="260">
        <f>BB120+各项系数!$L$9*$NS120</f>
        <v>117.032991557923</v>
      </c>
      <c r="BB120" s="260">
        <f>BC120*(1+$BJ120+各项系数!$J$5+各项系数!$L$5)</f>
        <v>116.328909844701</v>
      </c>
      <c r="BC120" s="262">
        <f t="shared" si="401"/>
        <v>114.047950828138</v>
      </c>
      <c r="BD120" s="259">
        <f>BE120+各项系数!$M$9*$NS120</f>
        <v>117.244427176325</v>
      </c>
      <c r="BE120" s="259">
        <f>BF120*(1+$BI120+(VLOOKUP($AM120,$A$12:$B$214,2,0))+各项系数!$J$6+各项系数!$M$5)*(1+$E$2)</f>
        <v>116.540345463102</v>
      </c>
      <c r="BF120" s="260">
        <f>BG120+各项系数!$L$9*$NS120</f>
        <v>118.918719860309</v>
      </c>
      <c r="BG120" s="260">
        <f>BH120*(1+$BJ120+各项系数!$J$5+各项系数!$L$5)</f>
        <v>118.214638147086</v>
      </c>
      <c r="BH120" s="262">
        <f t="shared" si="402"/>
        <v>115.89670406577</v>
      </c>
      <c r="BI120" s="277"/>
      <c r="BJ120" s="272"/>
      <c r="BK120" s="69" t="s">
        <v>514</v>
      </c>
      <c r="BL120" s="259">
        <f>BM120+各项系数!$M$9*$NM120</f>
        <v>114.119927218609</v>
      </c>
      <c r="BM120" s="259">
        <f>BN120*(1+$CF120+(VLOOKUP($AM120,$A$12:$B$323,2,0))+各项系数!$J$6+各项系数!$M$5)*(1+$E$2)</f>
        <v>113.427428164776</v>
      </c>
      <c r="BN120" s="260">
        <f>BO120+各项系数!$L$9*$NM120</f>
        <v>115.742273637527</v>
      </c>
      <c r="BO120" s="260">
        <f>BP120*(1+$CG120+各项系数!$J$5+各项系数!$L$5)</f>
        <v>115.049774583694</v>
      </c>
      <c r="BP120" s="260">
        <f t="shared" si="403"/>
        <v>111.698810275431</v>
      </c>
      <c r="BQ120" s="259">
        <f>BR120+各项系数!$M$9*$NM120</f>
        <v>115.701796769095</v>
      </c>
      <c r="BR120" s="259">
        <f>BS120*(1+$CF120+(VLOOKUP($AM120,$A$12:$B$323,2,0))+各项系数!$J$6+各项系数!$M$5)*(1+$E$2)</f>
        <v>115.009297715263</v>
      </c>
      <c r="BS120" s="260">
        <f>BT120+各项系数!$L$9*$NM120</f>
        <v>117.356426240064</v>
      </c>
      <c r="BT120" s="260">
        <f>BU120*(1+$CG120+各项系数!$J$5+各项系数!$L$5)</f>
        <v>116.663927186232</v>
      </c>
      <c r="BU120" s="260">
        <f t="shared" si="404"/>
        <v>113.265948724497</v>
      </c>
      <c r="BV120" s="259">
        <f>BW120+各项系数!$M$9*$NT120</f>
        <v>116.107881246554</v>
      </c>
      <c r="BW120" s="259">
        <f>BX120*(1+$CF120+(VLOOKUP($AM120,$A$12:$B$214,2,0))+各项系数!$J$6+各项系数!$M$5)*(1+$E$2)</f>
        <v>115.403799533332</v>
      </c>
      <c r="BX120" s="260">
        <f>BY120+各项系数!$L$9*$NT$12</f>
        <v>117.758979115644</v>
      </c>
      <c r="BY120" s="260">
        <f>BZ120*(1+$CG120+各项系数!$J$5+各项系数!$L$5)</f>
        <v>117.75071571249</v>
      </c>
      <c r="BZ120" s="262">
        <f t="shared" si="343"/>
        <v>114.321083216009</v>
      </c>
      <c r="CA120" s="259">
        <f>CB120+各项系数!$M$9*$NT120</f>
        <v>117.698312932303</v>
      </c>
      <c r="CB120" s="259">
        <f>CC120*(1+$CF120+(VLOOKUP($AM120,$A$12:$B$214,2,0))+各项系数!$J$6+各项系数!$M$5)*(1+$E$2)</f>
        <v>116.994231219081</v>
      </c>
      <c r="CC120" s="260">
        <f>CD120+各项系数!$L$9*$NT$12</f>
        <v>119.381868590898</v>
      </c>
      <c r="CD120" s="260">
        <f>CE120*(1+$CG120+各项系数!$J$5+各项系数!$L$5)</f>
        <v>119.373605187744</v>
      </c>
      <c r="CE120" s="262">
        <f t="shared" si="405"/>
        <v>115.89670406577</v>
      </c>
      <c r="CF120" s="277">
        <f t="shared" si="514"/>
        <v>0</v>
      </c>
      <c r="CG120" s="277">
        <f t="shared" si="344"/>
        <v>0.01</v>
      </c>
      <c r="CH120" s="123"/>
      <c r="CI120" s="259">
        <f>CJ120+各项系数!$M$9*$NO120</f>
        <v>116.576896678865</v>
      </c>
      <c r="CJ120" s="259">
        <f>CK120*(1+$DC120+(VLOOKUP($AM120,$A$12:$B$323,2,0))+各项系数!$J$6+各项系数!$M$5)*(1+$E$2)+各项系数!$M$9*$NK120</f>
        <v>115.62165080627</v>
      </c>
      <c r="CK120" s="260">
        <f>CL120+各项系数!$L$9*$NO120</f>
        <v>117.274644645345</v>
      </c>
      <c r="CL120" s="260">
        <f>CM120*(1+$DD120+各项系数!$J$5+各项系数!$L$5)</f>
        <v>116.31939877275</v>
      </c>
      <c r="CM120" s="260">
        <f t="shared" si="345"/>
        <v>114.038626247794</v>
      </c>
      <c r="CN120" s="259">
        <f>CO120+各项系数!$M$9*$NO120</f>
        <v>118.240419505441</v>
      </c>
      <c r="CO120" s="259">
        <f>CP120*(1+$DC120+(VLOOKUP($AM120,$A$12:$B$323,2,0))+各项系数!$J$6+各项系数!$M$5)*(1+$E$2)+各项系数!$M$9*$NK120</f>
        <v>117.285173632847</v>
      </c>
      <c r="CP120" s="260">
        <f>CQ120+各项系数!$L$9*$NO120</f>
        <v>118.972116917362</v>
      </c>
      <c r="CQ120" s="260">
        <f>CR120*(1+$DD120+各项系数!$J$5+各项系数!$L$5)</f>
        <v>118.016871044767</v>
      </c>
      <c r="CR120" s="260">
        <f t="shared" si="346"/>
        <v>115.702814749771</v>
      </c>
      <c r="CS120" s="259">
        <f>CT120+各项系数!$M$9*$NU120</f>
        <v>118.707734169053</v>
      </c>
      <c r="CT120" s="259">
        <f t="shared" si="347"/>
        <v>117.740109442106</v>
      </c>
      <c r="CU120" s="260">
        <f>CV120+各项系数!$L$9*$NU120</f>
        <v>120.142968818475</v>
      </c>
      <c r="CV120" s="260">
        <f>CW120*(1+$DD120+各项系数!$J$5+各项系数!$L$5)</f>
        <v>119.175344091528</v>
      </c>
      <c r="CW120" s="262">
        <f t="shared" si="348"/>
        <v>116.838572638753</v>
      </c>
      <c r="CX120" s="259">
        <f>CY120+各项系数!$M$9*$NU120</f>
        <v>120.673890329652</v>
      </c>
      <c r="CY120" s="259">
        <f t="shared" si="349"/>
        <v>119.706265602704</v>
      </c>
      <c r="CZ120" s="260">
        <f>DA120+各项系数!$L$9*$NU120</f>
        <v>122.149250615004</v>
      </c>
      <c r="DA120" s="260">
        <f>DB120*(1+$DD120+各项系数!$J$5+各项系数!$L$5)</f>
        <v>121.181625888057</v>
      </c>
      <c r="DB120" s="262">
        <f t="shared" si="350"/>
        <v>118.805515576526</v>
      </c>
      <c r="DC120" s="277">
        <f t="shared" si="498"/>
        <v>0</v>
      </c>
      <c r="DD120" s="277">
        <f t="shared" si="351"/>
        <v>0</v>
      </c>
      <c r="DE120" s="69" t="s">
        <v>498</v>
      </c>
      <c r="DF120" s="69" t="s">
        <v>513</v>
      </c>
      <c r="DG120" s="259">
        <f>DH120+各项系数!$M$9*$NQ120</f>
        <v>117.986316137424</v>
      </c>
      <c r="DH120" s="259">
        <f>DI120*(1+$EA120+(VLOOKUP($AM120,$A$12:$B$323,2,0))+各项系数!$J$6+各项系数!$M$5)*(1+$E$2)+各项系数!$M$9*$NK120</f>
        <v>117.03107026483</v>
      </c>
      <c r="DI120" s="260">
        <f>DJ120+各项系数!$L$9*$NQ120</f>
        <v>118.712827766324</v>
      </c>
      <c r="DJ120" s="260">
        <f>DK120*(1+$EB120+各项系数!$J$5+各项系数!$L$5)</f>
        <v>117.757581893729</v>
      </c>
      <c r="DK120" s="260">
        <f t="shared" si="352"/>
        <v>114.327749411387</v>
      </c>
      <c r="DL120" s="259">
        <f>DM120+各项系数!$M$9*$NQ120</f>
        <v>119.66986104415</v>
      </c>
      <c r="DM120" s="259">
        <f>DN120*(1+$EA120+(VLOOKUP($AM120,$A$12:$B$323,2,0))+各项系数!$J$6+各项系数!$M$5)*(1+$E$2)+各项系数!$M$9*$NK120</f>
        <v>118.714615171555</v>
      </c>
      <c r="DN120" s="260">
        <f>DO120+各项系数!$L$9*$NQ120</f>
        <v>120.43073073237</v>
      </c>
      <c r="DO120" s="260">
        <f>DP120*(1+$EB120+各项系数!$J$5+各项系数!$L$5)</f>
        <v>119.475484859775</v>
      </c>
      <c r="DP120" s="260">
        <f t="shared" si="353"/>
        <v>115.995616368714</v>
      </c>
      <c r="DQ120" s="259">
        <f>DR120+各项系数!$M$9*$NV120</f>
        <v>120.146077340314</v>
      </c>
      <c r="DR120" s="259">
        <f t="shared" si="354"/>
        <v>119.178452613367</v>
      </c>
      <c r="DS120" s="260">
        <f>DT120+各项系数!$L$9*$NV120</f>
        <v>121.610665932007</v>
      </c>
      <c r="DT120" s="260">
        <f>DU120*(1+$EB120+各项系数!$J$5+各项系数!$L$5)</f>
        <v>120.643041205059</v>
      </c>
      <c r="DU120" s="262">
        <f t="shared" si="355"/>
        <v>117.129166218504</v>
      </c>
      <c r="DV120" s="259">
        <f>DW120+各项系数!$M$9*$NV120</f>
        <v>119.865766928269</v>
      </c>
      <c r="DW120" s="259">
        <f t="shared" si="356"/>
        <v>118.898142201321</v>
      </c>
      <c r="DX120" s="260">
        <f>DY120+各项系数!$L$9*$NV120</f>
        <v>121.324634899307</v>
      </c>
      <c r="DY120" s="260">
        <f>DZ120*(1+$EB120+各项系数!$J$5+各项系数!$L$5)</f>
        <v>120.35701017236</v>
      </c>
      <c r="DZ120" s="262">
        <f t="shared" si="357"/>
        <v>116.851466186757</v>
      </c>
      <c r="EA120" s="277">
        <f t="shared" si="511"/>
        <v>0</v>
      </c>
      <c r="EB120" s="277">
        <f t="shared" si="358"/>
        <v>0.01</v>
      </c>
      <c r="EC120" s="302" t="str">
        <f t="shared" si="408"/>
        <v>3+2</v>
      </c>
      <c r="ED120" s="302" t="str">
        <f t="shared" si="494"/>
        <v>3*50</v>
      </c>
      <c r="EE120" s="251">
        <f t="shared" si="495"/>
        <v>50</v>
      </c>
      <c r="EF120" s="251" t="str">
        <f>LOOKUP(EH120,{1,7,10,14,19,24,30,37,48,61},{1,"1+6","2+8","4+10","1+6+12","2+8+14","4+10+16","1+6+12+18","3+9+15+21","1+6+12+18+24"})</f>
        <v>2+8</v>
      </c>
      <c r="EG120" s="250">
        <f t="shared" si="359"/>
        <v>3</v>
      </c>
      <c r="EH120" s="260">
        <f>VLOOKUP(EE120,各项系数!$B$87:$C$124,2,0)</f>
        <v>10</v>
      </c>
      <c r="EI120" s="250">
        <f>IF(EH120=0,0,VLOOKUP(EH120,各项系数!$D$142:$E$195,2,0))*1</f>
        <v>4</v>
      </c>
      <c r="EJ120" s="305">
        <f t="shared" si="409"/>
        <v>238.573455311777</v>
      </c>
      <c r="EK120" s="251" t="str">
        <f t="shared" si="508"/>
        <v>2*25</v>
      </c>
      <c r="EL120" s="251" t="str">
        <f t="shared" si="360"/>
        <v>25</v>
      </c>
      <c r="EM120" s="251">
        <f t="shared" si="496"/>
        <v>25</v>
      </c>
      <c r="EN120" s="251" t="str">
        <f>IF(EP120=0,0,LOOKUP(EP120,{1,7,10,14,19,24,30,37,48,61},{1,"1+6","2+8","4+10","1+6+12","2+8+14","4+10+16","1+6+12+18","3+9+15+21","1+6+12+18+24"}))</f>
        <v>1+6</v>
      </c>
      <c r="EO120" s="251" t="str">
        <f t="shared" si="509"/>
        <v>2</v>
      </c>
      <c r="EP120" s="251">
        <f>IF(EM120=0,0,IF(EM120&lt;10,1,IF(AND(EM120&gt;=10,EM120&lt;=35),7,LOOKUP(EM120,{50,70,95,120,150,185,240,300},{10,14,19,24,30,37,48,61})*1)))</f>
        <v>7</v>
      </c>
      <c r="EQ120" s="251">
        <f>IF(EP120=0,0,VLOOKUP(EP120,各项系数!$D$142:$E$195,2,0))*1</f>
        <v>3</v>
      </c>
      <c r="ER120" s="251">
        <f t="shared" si="510"/>
        <v>208.046961644752</v>
      </c>
      <c r="ES120" s="302">
        <f t="shared" si="497"/>
        <v>5</v>
      </c>
      <c r="ET120" s="251">
        <f>VLOOKUP(ES120,各项系数!$D$142:$E$195,2,0)*1</f>
        <v>2.7</v>
      </c>
      <c r="EU120" s="311">
        <f>((各项系数!$F$76/4*$EJ120^2*$EG120*$EH120*1*10^-7)*(1-$H120)*AA120)*(VLOOKUP($EY$9,各项系数!$D$4:$F$143,3,0))*各项系数!$J$4</f>
        <v>1.19930977816646</v>
      </c>
      <c r="EV120" s="312">
        <f>EU120*(VLOOKUP($EY$9,各项系数!$D$4:$F$143,2,0))</f>
        <v>78.5547904699034</v>
      </c>
      <c r="EW120" s="324">
        <f>(IF($EO120=0,0,(各项系数!$F$76/4*$ER120^2*$EO120*$EP120*1*10^-7))*(1-$K120)*$AF120)*(VLOOKUP($EY$9,各项系数!$D$4:$F$143,3,0))*各项系数!$J$4</f>
        <v>0.425614749335554</v>
      </c>
      <c r="EX120" s="325">
        <f>EW120*(VLOOKUP($EY$9,各项系数!$D$4:$F$143,2,0))</f>
        <v>27.8777660814788</v>
      </c>
      <c r="EY120" s="251">
        <f>((各项系数!$F$76/4*$EJ120^2*$EG120*$EH120*1*10^-7)*(1-$H120)*AA120+IF($EO120=0,0,(各项系数!$F$76/4*$ER120^2*$EO120*$EP120*1*10^-7))*(1-$K120)*$AF120)*(VLOOKUP($EY$9,各项系数!$D$4:$F$143,3,0))*各项系数!$J$4</f>
        <v>1.62492452750202</v>
      </c>
      <c r="EZ120" s="123">
        <v>1</v>
      </c>
      <c r="FA120" s="251">
        <f t="shared" si="515"/>
        <v>1.62492452750202</v>
      </c>
      <c r="FB120" s="326">
        <f>FA120*(VLOOKUP($EY$9,各项系数!$D$4:$F$143,2,0))</f>
        <v>106.432556551382</v>
      </c>
      <c r="FC120" s="327"/>
      <c r="FD120" s="302">
        <f>各项系数!$F$76/4*($MN120^2-MK120^2)*10^-2*(VLOOKUP(L120,各项系数!$D$1:$F$143,3,0))*10^-3*10^2*$EG120*各项系数!$J$4</f>
        <v>0.108754830064285</v>
      </c>
      <c r="FE120" s="339">
        <f>FD120*VLOOKUP(L120,各项系数!$D$1:$F$143,2,0)</f>
        <v>1.1092992666557</v>
      </c>
      <c r="FF120" s="250">
        <f>各项系数!$F$76/4*($MO120^2-ML120^2)*10^-2*(VLOOKUP(L120,各项系数!$D$1:$F$143,3,0))*10^-3*10^2*$EO120*各项系数!$J$4</f>
        <v>0.0441999767617441</v>
      </c>
      <c r="FG120" s="339">
        <f>FF120*VLOOKUP(L120,各项系数!$D$1:$F$143,2,0)</f>
        <v>0.45083976296979</v>
      </c>
      <c r="FH120" s="302">
        <f t="shared" si="410"/>
        <v>0.152954806826029</v>
      </c>
      <c r="FI120" s="123">
        <v>1</v>
      </c>
      <c r="FJ120" s="251">
        <f t="shared" si="516"/>
        <v>0.152954806826029</v>
      </c>
      <c r="FK120" s="339">
        <f>FJ120*VLOOKUP(L120,各项系数!$D$1:$F$143,2,0)</f>
        <v>1.56013902962549</v>
      </c>
      <c r="FL120" s="302"/>
      <c r="FM120" s="123"/>
      <c r="FN120" s="251"/>
      <c r="FO120" s="339"/>
      <c r="FP120" s="364">
        <f t="shared" si="517"/>
        <v>0.152954806826029</v>
      </c>
      <c r="FQ120" s="364">
        <f t="shared" si="518"/>
        <v>1.56013902962549</v>
      </c>
      <c r="FR120" s="365">
        <f>各项系数!$F$76/4*($MQ120^2-$MN120^2*$EG120-$MO120^2*$EO120)*10^-2</f>
        <v>1.7345682630818</v>
      </c>
      <c r="FS120" s="366">
        <f t="shared" si="411"/>
        <v>1</v>
      </c>
      <c r="FT120" s="367">
        <f t="shared" si="361"/>
        <v>1.7345682630818</v>
      </c>
      <c r="FU120" s="388">
        <f>$FT120*(VLOOKUP($FT$9,各项系数!$D$1:$F$143,3,0))*10^-3*10^2*各项系数!$J$55</f>
        <v>0.207107450611967</v>
      </c>
      <c r="FV120" s="389">
        <v>1</v>
      </c>
      <c r="FW120" s="390">
        <f t="shared" si="519"/>
        <v>0.207107450611967</v>
      </c>
      <c r="FX120" s="367">
        <f>FW120*(VLOOKUP($FT$9,各项系数!$D$1:$F$143,2,0))</f>
        <v>0.621322351835901</v>
      </c>
      <c r="FY120" s="388">
        <f>IF($BK120&lt;&gt;$FY$9,0,各项系数!$F$76/4*($MS120^2-$MQ120^2)*10^-2*(VLOOKUP($FY$9,各项系数!$D$1:$F$143,3,0))*10^-3*10^2)*各项系数!$J$4</f>
        <v>0</v>
      </c>
      <c r="FZ120" s="389">
        <v>1</v>
      </c>
      <c r="GA120" s="390">
        <f t="shared" si="520"/>
        <v>0</v>
      </c>
      <c r="GB120" s="367">
        <f>GA120*(VLOOKUP($FY$9,各项系数!$D$1:$F$143,2,0))</f>
        <v>0</v>
      </c>
      <c r="GC120" s="388">
        <f>IF($BK120&lt;&gt;$GC$9,0,各项系数!$F$76/4*($MS120^2-$MQ120^2)*10^-2*(VLOOKUP($GC$9,各项系数!$D$1:$F$143,3,0))*10^-3*10^2)*各项系数!$J$4</f>
        <v>0.00748144602672661</v>
      </c>
      <c r="GD120" s="389">
        <v>1</v>
      </c>
      <c r="GE120" s="390">
        <f t="shared" si="521"/>
        <v>0.00748144602672661</v>
      </c>
      <c r="GF120" s="367">
        <f>GE120*(VLOOKUP($GC$9,各项系数!$D$1:$F$143,2,0))</f>
        <v>0.0965106537447733</v>
      </c>
      <c r="GG120" s="388">
        <f>IF($BK120&lt;&gt;$GG$9,0,各项系数!$F$76/4*($MS120^2-$MQ120^2)*10^-2*(VLOOKUP($GG$9,各项系数!$D$1:$F$143,3,0))*10^-3*10^2)*各项系数!$J$4</f>
        <v>0</v>
      </c>
      <c r="GH120" s="389">
        <v>1</v>
      </c>
      <c r="GI120" s="390">
        <f t="shared" si="522"/>
        <v>0</v>
      </c>
      <c r="GJ120" s="367">
        <f>GI120*(VLOOKUP($GG$9,各项系数!$D$1:$F$143,2,0))</f>
        <v>0</v>
      </c>
      <c r="GK120" s="388">
        <f>IF($BK120&lt;&gt;$GK$9,0,各项系数!$F$76/4*($MS120^2-$MQ120^2)*10^-2*(VLOOKUP($GK$9,各项系数!$D$1:$F$143,3,0))*10^-3*10^2)*各项系数!$J$4</f>
        <v>0</v>
      </c>
      <c r="GL120" s="389">
        <v>1</v>
      </c>
      <c r="GM120" s="390">
        <f t="shared" si="523"/>
        <v>0</v>
      </c>
      <c r="GN120" s="367">
        <f>GM120*(VLOOKUP($GK$9,各项系数!$D$1:$F$143,2,0))</f>
        <v>0</v>
      </c>
      <c r="GO120" s="390">
        <f t="shared" si="524"/>
        <v>0.00748144602672661</v>
      </c>
      <c r="GP120" s="390">
        <f t="shared" si="525"/>
        <v>0.0965106537447733</v>
      </c>
      <c r="GQ120" s="406">
        <f>各项系数!$F$76/4*($MU120^2-$MS120^2)*10^-2*(VLOOKUP($S120,各项系数!$D$1:$F$143,3,0))*10^-3*10^2*各项系数!$J$4</f>
        <v>0.519021270822172</v>
      </c>
      <c r="GR120" s="389">
        <v>1</v>
      </c>
      <c r="GS120" s="390">
        <f t="shared" si="526"/>
        <v>0.519021270822172</v>
      </c>
      <c r="GT120" s="390">
        <f t="shared" si="457"/>
        <v>0</v>
      </c>
      <c r="GU120" s="390">
        <f>ROUND($GS120*(VLOOKUP($S120,各项系数!$D$1:$F$143,2,0))+$E$3*GS120,GT120)</f>
        <v>3</v>
      </c>
      <c r="GV120" s="406">
        <f>各项系数!$F$76/4*($MT120^2-$MS120^2)*10^-2*(VLOOKUP($GV$9,各项系数!$D$1:$F$143,3,0))*10^-3*10^2*各项系数!$J$4*PI()/4*R120</f>
        <v>0.03860886463461</v>
      </c>
      <c r="GW120" s="389">
        <v>1</v>
      </c>
      <c r="GX120" s="390">
        <f t="shared" si="527"/>
        <v>0.03860886463461</v>
      </c>
      <c r="GY120" s="390">
        <f>$GX120*(VLOOKUP($GV$9,各项系数!$D$1:$F$143,2,0))</f>
        <v>2.60609836283618</v>
      </c>
      <c r="GZ120" s="406">
        <f>各项系数!$F$76/4*($MV120^2-$MS120^2)*10^-2*(VLOOKUP($GZ$9,各项系数!$D$1:$F$143,3,0))*10^-3*10^2*各项系数!$J$4</f>
        <v>0.267965890465213</v>
      </c>
      <c r="HA120" s="389">
        <v>1</v>
      </c>
      <c r="HB120" s="390">
        <f t="shared" si="412"/>
        <v>0.267965890465213</v>
      </c>
      <c r="HC120" s="390">
        <f>HB120*(VLOOKUP($GZ$9,各项系数!$D$1:$F$143,2,0))</f>
        <v>4.55542013790861</v>
      </c>
      <c r="HD120" s="406">
        <f>各项系数!$F$76/4*($MW120^2-$MT120^2)*10^-2*(VLOOKUP($HD$9,各项系数!$D$1:$F$143,3,0))*10^-3*10^2*各项系数!$J$4</f>
        <v>0.269416300961522</v>
      </c>
      <c r="HE120" s="389">
        <v>1</v>
      </c>
      <c r="HF120" s="390">
        <f t="shared" si="413"/>
        <v>0.269416300961522</v>
      </c>
      <c r="HG120" s="390">
        <f>HF120*(VLOOKUP($HD$9,各项系数!$D$1:$F$143,2,0))</f>
        <v>4.58007711634587</v>
      </c>
      <c r="HH120" s="406">
        <f>各项系数!$F$76/4*($MV120^2-$MS120^2)*10^-2*(VLOOKUP($HH$9,各项系数!$D$1:$F$143,3,0))*10^-3*10^2*各项系数!$J$4</f>
        <v>0.267965890465213</v>
      </c>
      <c r="HI120" s="420">
        <v>1</v>
      </c>
      <c r="HJ120" s="390">
        <f t="shared" si="414"/>
        <v>0.267965890465213</v>
      </c>
      <c r="HK120" s="390">
        <f>HJ120*(VLOOKUP($HH$9,各项系数!$D$1:$F$143,2,0))</f>
        <v>4.55542013790861</v>
      </c>
      <c r="HL120" s="406">
        <f>各项系数!$F$76/4*($MW120^2-$MT120^2)*10^-2*(VLOOKUP($HL$9,各项系数!$D$1:$F$143,3,0))*10^-3*10^2*各项系数!$J$4</f>
        <v>0.269416300961522</v>
      </c>
      <c r="HM120" s="420">
        <v>1</v>
      </c>
      <c r="HN120" s="390">
        <f t="shared" si="362"/>
        <v>0.269416300961522</v>
      </c>
      <c r="HO120" s="390">
        <f>HN120*(VLOOKUP($HL$9,各项系数!$D$1:$F$143,2,0))</f>
        <v>4.58007711634587</v>
      </c>
      <c r="HP120" s="406">
        <f>各项系数!$F$76/4*($MV120^2-$MS120^2)*10^-2*(VLOOKUP(AN120,各项系数!$D$1:$F$143,3,0))*10^-3*10^2*各项系数!$J$4</f>
        <v>0.271661971713008</v>
      </c>
      <c r="HQ120" s="389">
        <v>1</v>
      </c>
      <c r="HR120" s="390">
        <f t="shared" si="528"/>
        <v>0.271661971713008</v>
      </c>
      <c r="HS120" s="390">
        <f>HR120*(VLOOKUP(AN120,各项系数!$D$1:$F$143,2,0))</f>
        <v>2.71661971713008</v>
      </c>
      <c r="HT120" s="406">
        <f>各项系数!$F$76/4*($MW120^2-$MT120^2)*10^-2*(VLOOKUP(AN120,各项系数!$D$1:$F$143,3,0))*10^-3*10^2*各项系数!$J$4</f>
        <v>0.273132387871336</v>
      </c>
      <c r="HU120" s="389">
        <v>1</v>
      </c>
      <c r="HV120" s="390">
        <f t="shared" si="529"/>
        <v>0.273132387871336</v>
      </c>
      <c r="HW120" s="390">
        <f>HV120*(VLOOKUP(AN120,各项系数!$D$1:$F$143,2,0))</f>
        <v>2.73132387871336</v>
      </c>
      <c r="HX120" s="406">
        <f>各项系数!$F$76/4*($MV120^2-$MS120^2)*10^-2*(VLOOKUP($HX$9,各项系数!$D$1:$F$143,3,0))*10^-3*10^2*各项系数!$J$4</f>
        <v>0.271661971713008</v>
      </c>
      <c r="HY120" s="420">
        <v>1</v>
      </c>
      <c r="HZ120" s="390">
        <f t="shared" si="530"/>
        <v>0.271661971713008</v>
      </c>
      <c r="IA120" s="390">
        <f>HZ120*(VLOOKUP($HX$9,各项系数!$D$1:$F$143,2,0))</f>
        <v>2.98828168884309</v>
      </c>
      <c r="IB120" s="406">
        <f>各项系数!$F$76/4*($MW120^2-$MT120^2)*10^-2*(VLOOKUP($IB$9,各项系数!$D$1:$F$143,3,0))*10^-3*10^2*各项系数!$J$4</f>
        <v>0.273132387871336</v>
      </c>
      <c r="IC120" s="420">
        <v>1</v>
      </c>
      <c r="ID120" s="390">
        <f t="shared" si="531"/>
        <v>0.273132387871336</v>
      </c>
      <c r="IE120" s="390">
        <f>ID120*(VLOOKUP($IB$9,各项系数!$D$1:$F$143,2,0))</f>
        <v>3.00445626658469</v>
      </c>
      <c r="IF120" s="429"/>
      <c r="IG120" s="406">
        <f t="shared" si="415"/>
        <v>0.0599395720638837</v>
      </c>
      <c r="IH120" s="389">
        <v>1</v>
      </c>
      <c r="II120" s="390">
        <f t="shared" si="532"/>
        <v>0.0599395720638837</v>
      </c>
      <c r="IJ120" s="390">
        <f>II120*(VLOOKUP($IG$8,各项系数!$D$1:$F$143,2,0))</f>
        <v>1.49848930159709</v>
      </c>
      <c r="IK120" s="406">
        <f>(各项系数!$F$76/4*($MX120^2-$MK120^2)*$EG120)*10^-2*(VLOOKUP($IG$8,各项系数!$D$1:$F$143,3,0))*10^-3*10^2*各项系数!$J$4</f>
        <v>0.0415366512666714</v>
      </c>
      <c r="IL120" s="389">
        <f>IK120*(VLOOKUP($IG$8,各项系数!$D$1:$F$143,2,0))</f>
        <v>1.03841628166679</v>
      </c>
      <c r="IM120" s="390">
        <f>(各项系数!$F$76/4*(($MM120+3*$X120)^2-MM120^2)*$EO120)*10^-2*(VLOOKUP($IG$8,各项系数!$D$1:$F$143,3,0))*10^-3*10^2*各项系数!$J$4</f>
        <v>0.0184029207972123</v>
      </c>
      <c r="IN120" s="389">
        <f>IM120*(VLOOKUP($IG$8,各项系数!$D$1:$F$143,2,0))</f>
        <v>0.460073019930306</v>
      </c>
      <c r="IO120" s="406">
        <f>各项系数!$F$76/4*($MZ120^2-$MX120^2)*10^-2*(VLOOKUP(L120,各项系数!$D$1:$F$143,3,0))*10^-3*10^2*$ES120*各项系数!$J$4</f>
        <v>0.191573469585203</v>
      </c>
      <c r="IP120" s="389">
        <v>1</v>
      </c>
      <c r="IQ120" s="390">
        <f t="shared" si="533"/>
        <v>0.191573469585203</v>
      </c>
      <c r="IR120" s="367">
        <f>IQ120*(VLOOKUP(L120,各项系数!$D$1:$F$143,2,0))</f>
        <v>1.95404938976907</v>
      </c>
      <c r="IS120" s="406">
        <f>IF($L120&lt;&gt;$IS$9,0,各项系数!$F$76/4*($MZ120^2-$MX120^2)*10^-2*各项系数!$F$12*10^-3*10^2)*$ES120*各项系数!$J$4</f>
        <v>0</v>
      </c>
      <c r="IT120" s="389">
        <v>1</v>
      </c>
      <c r="IU120" s="390">
        <f t="shared" si="534"/>
        <v>0</v>
      </c>
      <c r="IV120" s="367">
        <f>IU120*各项系数!$E$12</f>
        <v>0</v>
      </c>
      <c r="IW120" s="388">
        <f t="shared" si="535"/>
        <v>0.191573469585203</v>
      </c>
      <c r="IX120" s="388">
        <f t="shared" si="536"/>
        <v>1.95404938976907</v>
      </c>
      <c r="IY120" s="447">
        <f>各项系数!$F$76/4*($NB120^2-$MZ120^2*$EG120-$NA120^2*$EO120)*10^-2</f>
        <v>2.003794048223</v>
      </c>
      <c r="IZ120" s="366">
        <f t="shared" si="487"/>
        <v>1</v>
      </c>
      <c r="JA120" s="367">
        <f t="shared" si="363"/>
        <v>2.003794048223</v>
      </c>
      <c r="JB120" s="364">
        <f>IF($DE120&lt;&gt;$JB$9,0,$JA120*各项系数!$F$32*10^-3*10^2)*各项系数!$J$4</f>
        <v>0</v>
      </c>
      <c r="JC120" s="123">
        <v>1</v>
      </c>
      <c r="JD120" s="251">
        <f t="shared" si="537"/>
        <v>0</v>
      </c>
      <c r="JE120" s="339">
        <f>JD120*各项系数!$E$32</f>
        <v>0</v>
      </c>
      <c r="JF120" s="364">
        <f>IF($DE120&lt;&gt;$JF$9,0,$JA120*VLOOKUP($JF$9,各项系数!$D$4:$F$540,2,0)*10^-3*10^2)*各项系数!$J$4</f>
        <v>0.996887538990942</v>
      </c>
      <c r="JG120" s="123">
        <v>1</v>
      </c>
      <c r="JH120" s="251">
        <f t="shared" si="364"/>
        <v>0.996887538990942</v>
      </c>
      <c r="JI120" s="339">
        <f>JH120*VLOOKUP($JF$9,各项系数!$D$4:$F$540,3,0)</f>
        <v>1.19626504678913</v>
      </c>
      <c r="JJ120" s="364">
        <f t="shared" si="538"/>
        <v>0.996887538990942</v>
      </c>
      <c r="JK120" s="251">
        <f t="shared" si="539"/>
        <v>1.19626504678913</v>
      </c>
      <c r="JL120" s="364">
        <f>IF($DF120&lt;&gt;$JL$9,0,各项系数!$F$76/4*($NE120^2-$NC120^2)*10^-2*各项系数!$F$39*10^-3*10^2)*各项系数!$J$4</f>
        <v>0.00330171611626907</v>
      </c>
      <c r="JM120" s="123">
        <v>1</v>
      </c>
      <c r="JN120" s="251">
        <f t="shared" si="540"/>
        <v>0.00330171611626907</v>
      </c>
      <c r="JO120" s="339">
        <f>JN120*各项系数!$E$39</f>
        <v>0.0660343223253815</v>
      </c>
      <c r="JP120" s="364">
        <f>IF($DF120&lt;&gt;$JP$9,0,各项系数!$F$76/4*($NE120^2-$NC120^2)*10^-2*各项系数!$F$36*10^-3*10^2)*各项系数!$J$4</f>
        <v>0</v>
      </c>
      <c r="JQ120" s="123">
        <v>1</v>
      </c>
      <c r="JR120" s="251">
        <f t="shared" si="541"/>
        <v>0</v>
      </c>
      <c r="JS120" s="339">
        <f>JR120*各项系数!$E$36</f>
        <v>0</v>
      </c>
      <c r="JT120" s="364">
        <f>IF($DF120&lt;&gt;$JT$9,0,各项系数!$F$76/4*($NE120^2-$NC120^2)*10^-2*各项系数!$F$40*10^-3*10^2)*各项系数!$J$4</f>
        <v>0</v>
      </c>
      <c r="JU120" s="123">
        <v>1</v>
      </c>
      <c r="JV120" s="251">
        <f t="shared" si="542"/>
        <v>0</v>
      </c>
      <c r="JW120" s="339">
        <f>JV120*各项系数!$E$40</f>
        <v>0</v>
      </c>
      <c r="JX120" s="364">
        <f>IF($DF120&lt;&gt;$JX$9,0,各项系数!$F$76/4*($NE120^2-$NC120^2)*10^-2*各项系数!$F$38*10^-3*10^2)*各项系数!$J$4</f>
        <v>0</v>
      </c>
      <c r="JY120" s="123">
        <v>1</v>
      </c>
      <c r="JZ120" s="251">
        <f t="shared" si="543"/>
        <v>0</v>
      </c>
      <c r="KA120" s="339">
        <f>JZ120*各项系数!$E$38</f>
        <v>0</v>
      </c>
      <c r="KB120" s="364">
        <f>IF($DF120&lt;&gt;$KB$9,0,各项系数!$F$76/4*($NE120^2-$NC120^2)*10^-2*各项系数!$F$41*10^-3*10^2)*各项系数!$J$4</f>
        <v>0</v>
      </c>
      <c r="KC120" s="123">
        <v>1</v>
      </c>
      <c r="KD120" s="251">
        <f t="shared" si="544"/>
        <v>0</v>
      </c>
      <c r="KE120" s="339">
        <f>KD120*各项系数!$E$41</f>
        <v>0</v>
      </c>
      <c r="KF120" s="251">
        <f t="shared" si="545"/>
        <v>0.00330171611626907</v>
      </c>
      <c r="KG120" s="251">
        <f t="shared" si="546"/>
        <v>0.0660343223253815</v>
      </c>
      <c r="KH120" s="302">
        <f>各项系数!$F$76/4*($NG120^2-$NE120^2)*10^-2*各项系数!$F$44*10^-3*10^2*各项系数!$J$4*0.75*$U120</f>
        <v>0.830781850303159</v>
      </c>
      <c r="KI120" s="123">
        <v>1</v>
      </c>
      <c r="KJ120" s="251">
        <f t="shared" si="547"/>
        <v>0.830781850303159</v>
      </c>
      <c r="KK120" s="251">
        <f>ROUND(KJ120*各项系数!$E$43,GT120)</f>
        <v>5</v>
      </c>
      <c r="KL120" s="302">
        <f>各项系数!$F$76/4*($NF120^2-$NE120^2)*10^-2*各项系数!$F$46*10^-3*10^2*各项系数!$J$4*PI()/4*R120</f>
        <v>0.0412628478425955</v>
      </c>
      <c r="KM120" s="123">
        <v>1</v>
      </c>
      <c r="KN120" s="251">
        <f t="shared" si="548"/>
        <v>0.0412628478425955</v>
      </c>
      <c r="KO120" s="251">
        <f>KN120*各项系数!$E$46</f>
        <v>2.78524222937519</v>
      </c>
      <c r="KP120" s="302">
        <f>各项系数!$F$76/4*($NH120^2-$NE120^2)*10^-2*(VLOOKUP($KP$9,各项系数!$D$1:$F$143,3,0))*10^-3*10^2*各项系数!$J$4</f>
        <v>0.285189515108886</v>
      </c>
      <c r="KQ120" s="123">
        <v>1</v>
      </c>
      <c r="KR120" s="251">
        <f t="shared" si="416"/>
        <v>0.285189515108886</v>
      </c>
      <c r="KS120" s="251">
        <f>KR120*(VLOOKUP($KP$9,各项系数!$D$1:$F$143,2,0))</f>
        <v>4.84822175685106</v>
      </c>
      <c r="KT120" s="302">
        <f>各项系数!$F$76/4*($NI120^2-$NF120^2)*10^-2*(VLOOKUP($KT$9,各项系数!$D$1:$F$143,3,0))*10^-3*10^2*各项系数!$J$4</f>
        <v>0.286639925605195</v>
      </c>
      <c r="KU120" s="123">
        <v>1</v>
      </c>
      <c r="KV120" s="251">
        <f t="shared" si="417"/>
        <v>0.286639925605195</v>
      </c>
      <c r="KW120" s="251">
        <f>KV120*(VLOOKUP($KT$9,各项系数!$D$1:$F$143,2,0))</f>
        <v>4.87287873528832</v>
      </c>
      <c r="KX120" s="251">
        <f>各项系数!$F$76/4*($NH120^2-$NE120^2)*10^-2*(VLOOKUP($KX$9,各项系数!$D$1:$F$143,3,0))*10^-3*10^2*各项系数!$J$4</f>
        <v>0.285189515108886</v>
      </c>
      <c r="KY120" s="479">
        <v>1</v>
      </c>
      <c r="KZ120" s="251">
        <f t="shared" si="418"/>
        <v>0.285189515108886</v>
      </c>
      <c r="LA120" s="251">
        <f>KZ120*(VLOOKUP($KX$9,各项系数!$D$1:$F$143,2,0))</f>
        <v>4.84822175685106</v>
      </c>
      <c r="LB120" s="251">
        <f>各项系数!$F$76/4*($NI120^2-$NF120^2)*10^-2*(VLOOKUP($LB$9,各项系数!$D$1:$F$143,3,0))*10^-3*10^2*各项系数!$J$4</f>
        <v>0.286639925605195</v>
      </c>
      <c r="LC120" s="479">
        <v>1</v>
      </c>
      <c r="LD120" s="251">
        <f t="shared" si="419"/>
        <v>0.286639925605195</v>
      </c>
      <c r="LE120" s="251">
        <f>LD120*(VLOOKUP($LB$9,各项系数!$D$1:$F$143,2,0))</f>
        <v>4.87287873528832</v>
      </c>
      <c r="LF120" s="302">
        <f>各项系数!$F$76/4*($NH120^2-$NE120^2)*10^-2*(VLOOKUP(AN120,各项系数!$D$1:$F$143,3,0))*10^-3*10^2*各项系数!$J$4</f>
        <v>0.289123163593146</v>
      </c>
      <c r="LG120" s="123">
        <v>1</v>
      </c>
      <c r="LH120" s="251">
        <f t="shared" si="549"/>
        <v>0.289123163593146</v>
      </c>
      <c r="LI120" s="251">
        <f>LH120*(VLOOKUP(AN120,各项系数!$D$1:$F$143,2,0))</f>
        <v>2.89123163593146</v>
      </c>
      <c r="LJ120" s="302">
        <f>各项系数!$F$76/4*($NI120^2-$NF120^2)*10^-2*(VLOOKUP(AN120,各项系数!$D$1:$F$143,3,0))*10^-3*10^2*各项系数!$J$4</f>
        <v>0.290593579751474</v>
      </c>
      <c r="LK120" s="123">
        <v>1</v>
      </c>
      <c r="LL120" s="251">
        <f t="shared" si="550"/>
        <v>0.290593579751474</v>
      </c>
      <c r="LM120" s="251">
        <f>LL120*(VLOOKUP(AN120,各项系数!$D$1:$F$143,2,0))</f>
        <v>2.90593579751474</v>
      </c>
      <c r="LN120" s="251">
        <f>各项系数!$F$76/4*($NH120^2-$NE120^2)*10^-2*(VLOOKUP($LN$9,各项系数!$D$1:$F$143,3,0))*10^-3*10^2*各项系数!$J$4</f>
        <v>0.289123163593146</v>
      </c>
      <c r="LO120" s="479">
        <v>1</v>
      </c>
      <c r="LP120" s="251">
        <f t="shared" si="551"/>
        <v>0.289123163593146</v>
      </c>
      <c r="LQ120" s="251">
        <f>LP120*(VLOOKUP($LN$9,各项系数!$D$1:$F$143,2,0))</f>
        <v>3.18035479952461</v>
      </c>
      <c r="LR120" s="251">
        <f>各项系数!$F$76/4*($NI120^2-$NF120^2)*10^-2*(VLOOKUP($LR$9,各项系数!$D$1:$F$143,3,0))*10^-3*10^2*各项系数!$J$4</f>
        <v>0.290593579751474</v>
      </c>
      <c r="LS120" s="479">
        <v>1</v>
      </c>
      <c r="LT120" s="251">
        <f t="shared" si="552"/>
        <v>0.290593579751474</v>
      </c>
      <c r="LU120" s="251">
        <f>LT120*(VLOOKUP($LR$9,各项系数!$D$1:$F$143,2,0))</f>
        <v>3.19652937726621</v>
      </c>
      <c r="LV120" s="499">
        <f t="shared" si="420"/>
        <v>214.57314108</v>
      </c>
      <c r="LW120" s="499">
        <f t="shared" si="421"/>
        <v>134.10821318</v>
      </c>
      <c r="LX120" s="499">
        <f t="shared" si="422"/>
        <v>13.0672062926453</v>
      </c>
      <c r="LY120" s="515">
        <f t="shared" si="423"/>
        <v>80.4649279</v>
      </c>
      <c r="LZ120" s="516">
        <f t="shared" si="365"/>
        <v>1</v>
      </c>
      <c r="MA120" s="517">
        <f t="shared" si="366"/>
        <v>214.57314108</v>
      </c>
      <c r="MB120" s="517">
        <f t="shared" si="424"/>
        <v>9.5429382</v>
      </c>
      <c r="MC120" s="499">
        <f t="shared" si="425"/>
        <v>61.1906606</v>
      </c>
      <c r="MD120" s="499">
        <f t="shared" si="426"/>
        <v>47.59273619</v>
      </c>
      <c r="ME120" s="499">
        <f t="shared" si="427"/>
        <v>7.78440452181516</v>
      </c>
      <c r="MF120" s="499">
        <f t="shared" si="428"/>
        <v>13.59792441</v>
      </c>
      <c r="MG120" s="516">
        <f t="shared" si="429"/>
        <v>1</v>
      </c>
      <c r="MH120" s="517">
        <f t="shared" si="367"/>
        <v>61.1906606</v>
      </c>
      <c r="MI120" s="517">
        <f t="shared" si="430"/>
        <v>6.24140884914567</v>
      </c>
      <c r="MJ120" s="251">
        <f t="shared" si="368"/>
        <v>9.5429382</v>
      </c>
      <c r="MK120" s="251">
        <f t="shared" si="431"/>
        <v>9.5429382</v>
      </c>
      <c r="ML120" s="251">
        <f t="shared" si="553"/>
        <v>6.24140884934256</v>
      </c>
      <c r="MM120" s="251">
        <f t="shared" si="369"/>
        <v>6.24140884914567</v>
      </c>
      <c r="MN120" s="251">
        <f t="shared" si="370"/>
        <v>11.5429382</v>
      </c>
      <c r="MO120" s="251">
        <f t="shared" si="432"/>
        <v>8.04140884914568</v>
      </c>
      <c r="MP120" s="251">
        <f t="shared" si="433"/>
        <v>27.38428144</v>
      </c>
      <c r="MQ120" s="251">
        <f t="shared" si="554"/>
        <v>27.38428144</v>
      </c>
      <c r="MR120" s="314">
        <f t="shared" si="434"/>
        <v>27.38428144</v>
      </c>
      <c r="MS120" s="530">
        <f t="shared" si="371"/>
        <v>27.56028144</v>
      </c>
      <c r="MT120" s="530">
        <f t="shared" si="372"/>
        <v>27.72028144</v>
      </c>
      <c r="MU120" s="530">
        <f t="shared" si="373"/>
        <v>29.06028144</v>
      </c>
      <c r="MV120" s="530">
        <f t="shared" si="374"/>
        <v>31.56028144</v>
      </c>
      <c r="MW120" s="530">
        <f t="shared" si="375"/>
        <v>31.72028144</v>
      </c>
      <c r="MX120" s="326">
        <f t="shared" si="376"/>
        <v>10.1429382</v>
      </c>
      <c r="MY120" s="326">
        <f t="shared" si="377"/>
        <v>6.84140884914567</v>
      </c>
      <c r="MZ120" s="251">
        <f t="shared" si="378"/>
        <v>12.1429382</v>
      </c>
      <c r="NA120" s="251">
        <f t="shared" si="379"/>
        <v>8.84140884914567</v>
      </c>
      <c r="NB120" s="251">
        <f t="shared" si="435"/>
        <v>29.22028144</v>
      </c>
      <c r="NC120" s="326">
        <f t="shared" si="555"/>
        <v>29.22028144</v>
      </c>
      <c r="ND120" s="314">
        <f t="shared" si="436"/>
        <v>29.22028144</v>
      </c>
      <c r="NE120" s="537">
        <f t="shared" si="437"/>
        <v>29.46028144</v>
      </c>
      <c r="NF120" s="530">
        <f t="shared" si="380"/>
        <v>29.62028144</v>
      </c>
      <c r="NG120" s="538">
        <f t="shared" si="381"/>
        <v>30.96028144</v>
      </c>
      <c r="NH120" s="326">
        <f t="shared" si="382"/>
        <v>33.46028144</v>
      </c>
      <c r="NI120" s="530">
        <f t="shared" si="383"/>
        <v>33.62028144</v>
      </c>
      <c r="NK120" s="539">
        <f t="shared" si="384"/>
        <v>2.30833017944149</v>
      </c>
      <c r="NL120" s="539">
        <f t="shared" si="385"/>
        <v>111.877988066688</v>
      </c>
      <c r="NM120" s="539">
        <f t="shared" si="386"/>
        <v>2.30833017944149</v>
      </c>
      <c r="NN120" s="539">
        <f t="shared" si="387"/>
        <v>112.149650038401</v>
      </c>
      <c r="NO120" s="539">
        <f t="shared" si="388"/>
        <v>3.18415290864867</v>
      </c>
      <c r="NP120" s="539">
        <f t="shared" si="389"/>
        <v>114.498699267725</v>
      </c>
      <c r="NQ120" s="539">
        <f t="shared" si="390"/>
        <v>3.18415290864867</v>
      </c>
      <c r="NR120" s="539">
        <f t="shared" si="391"/>
        <v>114.787822431318</v>
      </c>
      <c r="NS120" s="539">
        <f t="shared" si="392"/>
        <v>2.3469390440761</v>
      </c>
      <c r="NT120" s="539">
        <f t="shared" si="393"/>
        <v>2.3469390440761</v>
      </c>
      <c r="NU120" s="539">
        <f t="shared" si="394"/>
        <v>3.22541575649127</v>
      </c>
      <c r="NV120" s="539">
        <f t="shared" si="395"/>
        <v>3.22541575649127</v>
      </c>
      <c r="NW120">
        <f t="shared" si="396"/>
        <v>2.82735145026367</v>
      </c>
      <c r="NX120">
        <f>各项系数!$M$9*NK120</f>
        <v>0.692499053832448</v>
      </c>
      <c r="NY120">
        <f t="shared" si="397"/>
        <v>2.3469390440761</v>
      </c>
    </row>
    <row r="121" customHeight="1" spans="1:389">
      <c r="A121" s="85"/>
      <c r="B121" s="86"/>
      <c r="C121" s="87"/>
      <c r="D121" s="69" t="s">
        <v>401</v>
      </c>
      <c r="E121" s="550">
        <f t="shared" si="503"/>
        <v>35.13387912</v>
      </c>
      <c r="F121" s="84">
        <f>$F$25</f>
        <v>242.295968589101</v>
      </c>
      <c r="G121" s="74"/>
      <c r="H121" s="23"/>
      <c r="I121" s="174">
        <f>$F$23</f>
        <v>245.05464536043</v>
      </c>
      <c r="J121" s="78"/>
      <c r="K121" s="23"/>
      <c r="L121" s="118" t="s">
        <v>467</v>
      </c>
      <c r="M121" s="124">
        <f t="shared" si="339"/>
        <v>1.1</v>
      </c>
      <c r="N121" s="124">
        <f t="shared" si="501"/>
        <v>0.9</v>
      </c>
      <c r="O121" s="69">
        <f t="shared" si="556"/>
        <v>0.08</v>
      </c>
      <c r="P121" s="120">
        <v>0.1</v>
      </c>
      <c r="Q121" s="162">
        <f t="shared" si="512"/>
        <v>0.1</v>
      </c>
      <c r="R121" s="86">
        <v>0.8</v>
      </c>
      <c r="S121" s="171" t="str">
        <f>各项系数!$D$43</f>
        <v>钢带</v>
      </c>
      <c r="T121" s="123">
        <v>0.5</v>
      </c>
      <c r="U121" s="123">
        <v>2</v>
      </c>
      <c r="V121" s="169"/>
      <c r="W121" s="170">
        <v>2.1</v>
      </c>
      <c r="X121" s="164">
        <f t="shared" si="513"/>
        <v>0.2</v>
      </c>
      <c r="Y121" s="219"/>
      <c r="Z121" s="220"/>
      <c r="AA121" s="217">
        <f>$AA$25</f>
        <v>1.013</v>
      </c>
      <c r="AB121" s="186">
        <f>PI()*EJ121*EJ121/4*EH121*(1-H121)*AA121*各项系数!$F$5*各项系数!$J$4*10^-7</f>
        <v>0.578421704096205</v>
      </c>
      <c r="AC121" s="186">
        <f t="shared" si="504"/>
        <v>242.295968589101</v>
      </c>
      <c r="AD121" s="186">
        <f t="shared" si="341"/>
        <v>65.3912649972251</v>
      </c>
      <c r="AE121" s="186">
        <f>POWER(4*EU121/PI()/EG121/10^-7/EH121/(1-H121)/各项系数!$F$5/各项系数!$J$4,0.5)</f>
        <v>243.865806884974</v>
      </c>
      <c r="AF121" s="218">
        <f>$AA$23</f>
        <v>1.011</v>
      </c>
      <c r="AG121" s="85">
        <f>IF(EM121=0,0,PI()*ER121*ER121/4*EP121*(1-K121)*(1+AF121)*各项系数!$F$5*各项系数!$J$4*10^-7)</f>
        <v>0.587287439958483</v>
      </c>
      <c r="AH121" s="85">
        <f t="shared" si="505"/>
        <v>245.05464536043</v>
      </c>
      <c r="AI121" s="85">
        <f t="shared" si="398"/>
        <v>33.3783570613855</v>
      </c>
      <c r="AJ121" s="85">
        <f>IF(OR(EP121="",EP121=0),0,POWER(4*EW121/PI()/EO121/10^-7/EP121/(1-K121)/各项系数!$F$5/各项系数!$J$4,0.5))</f>
        <v>246.398759704805</v>
      </c>
      <c r="AK121" s="85">
        <f t="shared" si="342"/>
        <v>2.32576496489729</v>
      </c>
      <c r="AL121" s="85">
        <f t="shared" si="506"/>
        <v>163.31871892597</v>
      </c>
      <c r="AM121" s="250">
        <f t="shared" si="507"/>
        <v>70</v>
      </c>
      <c r="AN121" s="118" t="s">
        <v>486</v>
      </c>
      <c r="AO121" s="259">
        <f>AP121+各项系数!$M$9*$NK121</f>
        <v>160.116391103892</v>
      </c>
      <c r="AP121" s="259">
        <f>AQ121*(1+$BI121+(VLOOKUP($AM121,$A$12:$B$323,2,0))+各项系数!$J$6+各项系数!$M$5)*(1+$E$2)</f>
        <v>159.170851742179</v>
      </c>
      <c r="AQ121" s="260">
        <f>AR121+各项系数!$L$9*$NK121</f>
        <v>162.419236471612</v>
      </c>
      <c r="AR121" s="260">
        <f>AS121*(1+$BJ121+各项系数!$J$5+各项系数!$L$5)</f>
        <v>161.473697109898</v>
      </c>
      <c r="AS121" s="260">
        <f t="shared" si="399"/>
        <v>158.307546186175</v>
      </c>
      <c r="AT121" s="259">
        <f>AU121+各项系数!$M$9*$NM121</f>
        <v>162.273147782882</v>
      </c>
      <c r="AU121" s="259">
        <f>AV121*(1+$BI121+(VLOOKUP($AM121,$A$12:$B$323,2,0))+各项系数!$J$6+各项系数!$M$5)*(1+$E$2)</f>
        <v>161.327608421169</v>
      </c>
      <c r="AV121" s="260">
        <f>AW121+各项系数!$L$9*$NM121</f>
        <v>164.62000859303</v>
      </c>
      <c r="AW121" s="260">
        <f>AX121*(1+$BJ121+各项系数!$J$5+各项系数!$L$5)</f>
        <v>163.674469231317</v>
      </c>
      <c r="AX121" s="260">
        <f t="shared" si="400"/>
        <v>160.465165913056</v>
      </c>
      <c r="AY121" s="259">
        <f>AZ121+各项系数!$M$9*$NS121</f>
        <v>163.080569650541</v>
      </c>
      <c r="AZ121" s="259">
        <f>BA121*(1+$BI121+(VLOOKUP($AM121,$A$12:$B$214,2,0))+各项系数!$J$6+各项系数!$M$5)*(1+$E$2)</f>
        <v>162.122033923397</v>
      </c>
      <c r="BA121" s="260">
        <f>BB121+各项系数!$L$9*$NS121</f>
        <v>165.430646860609</v>
      </c>
      <c r="BB121" s="260">
        <f>BC121*(1+$BJ121+各项系数!$J$5+各项系数!$L$5)</f>
        <v>164.472111133465</v>
      </c>
      <c r="BC121" s="262">
        <f t="shared" si="401"/>
        <v>161.247167777906</v>
      </c>
      <c r="BD121" s="259">
        <f>BE121+各项系数!$M$9*$NS121</f>
        <v>165.247772607045</v>
      </c>
      <c r="BE121" s="259">
        <f>BF121*(1+$BI121+(VLOOKUP($AM121,$A$12:$B$214,2,0))+各项系数!$J$6+各项系数!$M$5)*(1+$E$2)</f>
        <v>164.2892368799</v>
      </c>
      <c r="BF121" s="260">
        <f>BG121+各项系数!$L$9*$NS121</f>
        <v>167.642078448878</v>
      </c>
      <c r="BG121" s="260">
        <f>BH121*(1+$BJ121+各项系数!$J$5+各项系数!$L$5)</f>
        <v>166.683542721734</v>
      </c>
      <c r="BH121" s="262">
        <f t="shared" si="402"/>
        <v>163.415237962484</v>
      </c>
      <c r="BI121" s="277"/>
      <c r="BJ121" s="272"/>
      <c r="BK121" s="69" t="s">
        <v>514</v>
      </c>
      <c r="BL121" s="259">
        <f>BM121+各项系数!$M$9*$NM121</f>
        <v>161.989565356808</v>
      </c>
      <c r="BM121" s="259">
        <f>BN121*(1+$CF121+(VLOOKUP($AM121,$A$12:$B$323,2,0))+各项系数!$J$6+各项系数!$M$5)*(1+$E$2)</f>
        <v>161.044025995095</v>
      </c>
      <c r="BN121" s="260">
        <f>BO121+各项系数!$L$9*$NM121</f>
        <v>164.330638770505</v>
      </c>
      <c r="BO121" s="260">
        <f>BP121*(1+$CG121+各项系数!$J$5+各项系数!$L$5)</f>
        <v>163.385099408792</v>
      </c>
      <c r="BP121" s="260">
        <f t="shared" si="403"/>
        <v>158.626310105624</v>
      </c>
      <c r="BQ121" s="259">
        <f>BR121+各项系数!$M$9*$NM121</f>
        <v>163.84570640883</v>
      </c>
      <c r="BR121" s="259">
        <f>BS121*(1+$CF121+(VLOOKUP($AM121,$A$12:$B$323,2,0))+各项系数!$J$6+各项系数!$M$5)*(1+$E$2)</f>
        <v>162.900167047117</v>
      </c>
      <c r="BS121" s="260">
        <f>BT121+各项系数!$L$9*$NM121</f>
        <v>166.224660252161</v>
      </c>
      <c r="BT121" s="260">
        <f>BU121*(1+$CG121+各项系数!$J$5+各项系数!$L$5)</f>
        <v>165.279120890448</v>
      </c>
      <c r="BU121" s="260">
        <f t="shared" si="404"/>
        <v>160.465165913056</v>
      </c>
      <c r="BV121" s="259">
        <f>BW121+各项系数!$M$9*$NT121</f>
        <v>164.05284376752</v>
      </c>
      <c r="BW121" s="259">
        <f>BX121*(1+$CF121+(VLOOKUP($AM121,$A$12:$B$214,2,0))+各项系数!$J$6+各项系数!$M$5)*(1+$E$2)</f>
        <v>163.094308040376</v>
      </c>
      <c r="BX121" s="260">
        <f>BY121+各项系数!$L$9*$NT$12</f>
        <v>166.422763306506</v>
      </c>
      <c r="BY121" s="260">
        <f>BZ121*(1+$CG121+各项系数!$J$5+各项系数!$L$5)</f>
        <v>166.414499903351</v>
      </c>
      <c r="BZ121" s="262">
        <f t="shared" si="343"/>
        <v>161.567475634321</v>
      </c>
      <c r="CA121" s="259">
        <f>CB121+各项系数!$M$9*$NT121</f>
        <v>165.917975061568</v>
      </c>
      <c r="CB121" s="259">
        <f>CC121*(1+$CF121+(VLOOKUP($AM121,$A$12:$B$214,2,0))+各项系数!$J$6+各项系数!$M$5)*(1+$E$2)</f>
        <v>164.959439334423</v>
      </c>
      <c r="CC121" s="260">
        <f>CD121+各项系数!$L$9*$NT$12</f>
        <v>168.325958504513</v>
      </c>
      <c r="CD121" s="260">
        <f>CE121*(1+$CG121+各项系数!$J$5+各项系数!$L$5)</f>
        <v>168.317695101358</v>
      </c>
      <c r="CE121" s="262">
        <f t="shared" si="405"/>
        <v>163.415237962484</v>
      </c>
      <c r="CF121" s="277">
        <f t="shared" si="514"/>
        <v>0</v>
      </c>
      <c r="CG121" s="277">
        <f t="shared" si="344"/>
        <v>0.01</v>
      </c>
      <c r="CH121" s="123"/>
      <c r="CI121" s="259">
        <f>CJ121+各项系数!$M$9*$NO121</f>
        <v>164.82504392714</v>
      </c>
      <c r="CJ121" s="259">
        <f>CK121*(1+$DC121+(VLOOKUP($AM121,$A$12:$B$323,2,0))+各项系数!$J$6+各项系数!$M$5)*(1+$E$2)+各项系数!$M$9*$NK121</f>
        <v>163.546600750966</v>
      </c>
      <c r="CK121" s="260">
        <f>CL121+各项系数!$L$9*$NO121</f>
        <v>165.919450397197</v>
      </c>
      <c r="CL121" s="260">
        <f>CM121*(1+$DD121+各项系数!$J$5+各项系数!$L$5)</f>
        <v>164.641007221023</v>
      </c>
      <c r="CM121" s="260">
        <f t="shared" si="345"/>
        <v>161.412752177474</v>
      </c>
      <c r="CN121" s="259">
        <f>CO121+各项系数!$M$9*$NO121</f>
        <v>166.77769661661</v>
      </c>
      <c r="CO121" s="259">
        <f>CP121*(1+$DC121+(VLOOKUP($AM121,$A$12:$B$323,2,0))+各项系数!$J$6+各项系数!$M$5)*(1+$E$2)+各项系数!$M$9*$NK121</f>
        <v>165.499253440436</v>
      </c>
      <c r="CP121" s="260">
        <f>CQ121+各项系数!$L$9*$NO121</f>
        <v>167.911953141554</v>
      </c>
      <c r="CQ121" s="260">
        <f>CR121*(1+$DD121+各项系数!$J$5+各项系数!$L$5)</f>
        <v>166.63350996538</v>
      </c>
      <c r="CR121" s="260">
        <f t="shared" si="346"/>
        <v>163.366186240569</v>
      </c>
      <c r="CS121" s="259">
        <f>CT121+各项系数!$M$9*$NU121</f>
        <v>167.044868689096</v>
      </c>
      <c r="CT121" s="259">
        <f t="shared" si="347"/>
        <v>165.752542437732</v>
      </c>
      <c r="CU121" s="260">
        <f>CV121+各项系数!$L$9*$NU121</f>
        <v>169.135247385441</v>
      </c>
      <c r="CV121" s="260">
        <f>CW121*(1+$DD121+各项系数!$J$5+各项系数!$L$5)</f>
        <v>167.842921134078</v>
      </c>
      <c r="CW121" s="262">
        <f t="shared" si="348"/>
        <v>164.551883464782</v>
      </c>
      <c r="CX121" s="259">
        <f>CY121+各项系数!$M$9*$NU121</f>
        <v>169.350223665717</v>
      </c>
      <c r="CY121" s="259">
        <f t="shared" si="349"/>
        <v>168.057897414353</v>
      </c>
      <c r="CZ121" s="260">
        <f>DA121+各项系数!$L$9*$NU121</f>
        <v>171.48765042281</v>
      </c>
      <c r="DA121" s="260">
        <f>DB121*(1+$DD121+各项系数!$J$5+各项系数!$L$5)</f>
        <v>170.195324171446</v>
      </c>
      <c r="DB121" s="262">
        <f t="shared" si="350"/>
        <v>166.858160952398</v>
      </c>
      <c r="DC121" s="277">
        <f t="shared" si="498"/>
        <v>0</v>
      </c>
      <c r="DD121" s="277">
        <f t="shared" si="351"/>
        <v>0</v>
      </c>
      <c r="DE121" s="69" t="s">
        <v>498</v>
      </c>
      <c r="DF121" s="69" t="s">
        <v>513</v>
      </c>
      <c r="DG121" s="259">
        <f>DH121+各项系数!$M$9*$NQ121</f>
        <v>166.749259699673</v>
      </c>
      <c r="DH121" s="259">
        <f>DI121*(1+$EA121+(VLOOKUP($AM121,$A$12:$B$323,2,0))+各项系数!$J$6+各项系数!$M$5)*(1+$E$2)+各项系数!$M$9*$NK121</f>
        <v>165.470816523499</v>
      </c>
      <c r="DI121" s="260">
        <f>DJ121+各项系数!$L$9*$NQ121</f>
        <v>167.882935879374</v>
      </c>
      <c r="DJ121" s="260">
        <f>DK121*(1+$EB121+各项系数!$J$5+各项系数!$L$5)</f>
        <v>166.6044927032</v>
      </c>
      <c r="DK121" s="260">
        <f t="shared" si="352"/>
        <v>161.751934663301</v>
      </c>
      <c r="DL121" s="259">
        <f>DM121+各项系数!$M$9*$NQ121</f>
        <v>168.72429670248</v>
      </c>
      <c r="DM121" s="259">
        <f>DN121*(1+$EA121+(VLOOKUP($AM121,$A$12:$B$323,2,0))+各项系数!$J$6+各项系数!$M$5)*(1+$E$2)+各项系数!$M$9*$NK121</f>
        <v>167.445853526306</v>
      </c>
      <c r="DN121" s="260">
        <f>DO121+各项系数!$L$9*$NQ121</f>
        <v>169.898279759789</v>
      </c>
      <c r="DO121" s="260">
        <f>DP121*(1+$EB121+各项系数!$J$5+各项系数!$L$5)</f>
        <v>168.619836583615</v>
      </c>
      <c r="DP121" s="260">
        <f t="shared" si="353"/>
        <v>163.708579207393</v>
      </c>
      <c r="DQ121" s="259">
        <f>DR121+各项系数!$M$9*$NV121</f>
        <v>169.001406398218</v>
      </c>
      <c r="DR121" s="259">
        <f t="shared" si="354"/>
        <v>167.709080146855</v>
      </c>
      <c r="DS121" s="260">
        <f>DT121+各项系数!$L$9*$NV121</f>
        <v>171.131714435566</v>
      </c>
      <c r="DT121" s="260">
        <f>DU121*(1+$EB121+各项系数!$J$5+各项系数!$L$5)</f>
        <v>169.839388184203</v>
      </c>
      <c r="DU121" s="262">
        <f t="shared" si="355"/>
        <v>164.892609887576</v>
      </c>
      <c r="DV121" s="259">
        <f>DW121+各项系数!$M$9*$NV121</f>
        <v>168.573881505199</v>
      </c>
      <c r="DW121" s="259">
        <f t="shared" si="356"/>
        <v>167.281555253836</v>
      </c>
      <c r="DX121" s="260">
        <f>DY121+各项系数!$L$9*$NV121</f>
        <v>170.69546454473</v>
      </c>
      <c r="DY121" s="260">
        <f>DZ121*(1+$EB121+各项系数!$J$5+各项系数!$L$5)</f>
        <v>169.403138293367</v>
      </c>
      <c r="DZ121" s="262">
        <f t="shared" si="357"/>
        <v>164.46906630424</v>
      </c>
      <c r="EA121" s="277">
        <f t="shared" si="511"/>
        <v>0</v>
      </c>
      <c r="EB121" s="277">
        <f t="shared" si="358"/>
        <v>0.01</v>
      </c>
      <c r="EC121" s="302" t="str">
        <f t="shared" si="408"/>
        <v>3+2</v>
      </c>
      <c r="ED121" s="302" t="str">
        <f t="shared" si="494"/>
        <v>3*70</v>
      </c>
      <c r="EE121" s="251">
        <f t="shared" si="495"/>
        <v>70</v>
      </c>
      <c r="EF121" s="251" t="str">
        <f>LOOKUP(EH121,{1,7,10,14,19,24,30,37,48,61},{1,"1+6","2+8","4+10","1+6+12","2+8+14","4+10+16","1+6+12+18","3+9+15+21","1+6+12+18+24"})</f>
        <v>4+10</v>
      </c>
      <c r="EG121" s="250">
        <f t="shared" si="359"/>
        <v>3</v>
      </c>
      <c r="EH121" s="260">
        <f>VLOOKUP(EE121,各项系数!$B$87:$C$124,2,0)</f>
        <v>14</v>
      </c>
      <c r="EI121" s="250">
        <f>IF(EH121=0,0,VLOOKUP(EH121,各项系数!$D$142:$E$195,2,0))*1</f>
        <v>4.41</v>
      </c>
      <c r="EJ121" s="305">
        <f t="shared" si="409"/>
        <v>242.295968589101</v>
      </c>
      <c r="EK121" s="251" t="str">
        <f t="shared" si="508"/>
        <v>2*35</v>
      </c>
      <c r="EL121" s="251" t="str">
        <f t="shared" si="360"/>
        <v>35</v>
      </c>
      <c r="EM121" s="251">
        <f t="shared" si="496"/>
        <v>35</v>
      </c>
      <c r="EN121" s="251" t="str">
        <f>IF(EP121=0,0,LOOKUP(EP121,{1,7,10,14,19,24,30,37,48,61},{1,"1+6","2+8","4+10","1+6+12","2+8+14","4+10+16","1+6+12+18","3+9+15+21","1+6+12+18+24"}))</f>
        <v>1+6</v>
      </c>
      <c r="EO121" s="251" t="str">
        <f t="shared" si="509"/>
        <v>2</v>
      </c>
      <c r="EP121" s="251">
        <f>IF(EM121=0,0,IF(EM121&lt;10,1,IF(AND(EM121&gt;=10,EM121&lt;=35),7,LOOKUP(EM121,{50,70,95,120,150,185,240,300},{10,14,19,24,30,37,48,61})*1)))</f>
        <v>7</v>
      </c>
      <c r="EQ121" s="251">
        <f>IF(EP121=0,0,VLOOKUP(EP121,各项系数!$D$142:$E$195,2,0))*1</f>
        <v>3</v>
      </c>
      <c r="ER121" s="251">
        <f t="shared" si="510"/>
        <v>245.05464536043</v>
      </c>
      <c r="ES121" s="302">
        <f t="shared" si="497"/>
        <v>5</v>
      </c>
      <c r="ET121" s="251">
        <f>VLOOKUP(ES121,各项系数!$D$142:$E$195,2,0)*1</f>
        <v>2.7</v>
      </c>
      <c r="EU121" s="311">
        <f>((各项系数!$F$76/4*$EJ121^2*$EG121*$EH121*1*10^-7)*(1-$H121)*AA121)*(VLOOKUP($EY$9,各项系数!$D$4:$F$143,3,0))*各项系数!$J$4</f>
        <v>1.73526511228861</v>
      </c>
      <c r="EV121" s="312">
        <f>EU121*(VLOOKUP($EY$9,各项系数!$D$4:$F$143,2,0))</f>
        <v>113.659864854904</v>
      </c>
      <c r="EW121" s="324">
        <f>(IF($EO121=0,0,(各项系数!$F$76/4*$ER121^2*$EO121*$EP121*1*10^-7))*(1-$K121)*$AF121)*(VLOOKUP($EY$9,各项系数!$D$4:$F$143,3,0))*各项系数!$J$4</f>
        <v>0.590499852608678</v>
      </c>
      <c r="EX121" s="325">
        <f>EW121*(VLOOKUP($EY$9,各项系数!$D$4:$F$143,2,0))</f>
        <v>38.6777403458684</v>
      </c>
      <c r="EY121" s="251">
        <f>((各项系数!$F$76/4*$EJ121^2*$EG121*$EH121*1*10^-7)*(1-$H121)*AA121+IF($EO121=0,0,(各项系数!$F$76/4*$ER121^2*$EO121*$EP121*1*10^-7))*(1-$K121)*$AF121)*(VLOOKUP($EY$9,各项系数!$D$4:$F$143,3,0))*各项系数!$J$4</f>
        <v>2.32576496489729</v>
      </c>
      <c r="EZ121" s="123">
        <v>1</v>
      </c>
      <c r="FA121" s="251">
        <f t="shared" si="515"/>
        <v>2.32576496489729</v>
      </c>
      <c r="FB121" s="326">
        <f>FA121*(VLOOKUP($EY$9,各项系数!$D$4:$F$143,2,0))</f>
        <v>152.337605200773</v>
      </c>
      <c r="FC121" s="327"/>
      <c r="FD121" s="302">
        <f>各项系数!$F$76/4*($MN121^2-MK121^2)*10^-2*(VLOOKUP(L121,各项系数!$D$1:$F$143,3,0))*10^-3*10^2*$EG121*各项系数!$J$4</f>
        <v>0.133726802447938</v>
      </c>
      <c r="FE121" s="339">
        <f>FD121*VLOOKUP(L121,各项系数!$D$1:$F$143,2,0)</f>
        <v>1.36401338496897</v>
      </c>
      <c r="FF121" s="250">
        <f>各项系数!$F$76/4*($MO121^2-ML121^2)*10^-2*(VLOOKUP(L121,各项系数!$D$1:$F$143,3,0))*10^-3*10^2*$EO121*各项系数!$J$4</f>
        <v>0.0510714728271387</v>
      </c>
      <c r="FG121" s="339">
        <f>FF121*VLOOKUP(L121,各项系数!$D$1:$F$143,2,0)</f>
        <v>0.520929022836814</v>
      </c>
      <c r="FH121" s="302">
        <f t="shared" si="410"/>
        <v>0.184798275275077</v>
      </c>
      <c r="FI121" s="123">
        <v>1</v>
      </c>
      <c r="FJ121" s="251">
        <f t="shared" si="516"/>
        <v>0.184798275275077</v>
      </c>
      <c r="FK121" s="339">
        <f>FJ121*VLOOKUP(L121,各项系数!$D$1:$F$143,2,0)</f>
        <v>1.88494240780578</v>
      </c>
      <c r="FL121" s="302"/>
      <c r="FM121" s="123"/>
      <c r="FN121" s="251"/>
      <c r="FO121" s="339"/>
      <c r="FP121" s="364">
        <f t="shared" si="517"/>
        <v>0.184798275275077</v>
      </c>
      <c r="FQ121" s="364">
        <f t="shared" si="518"/>
        <v>1.88494240780578</v>
      </c>
      <c r="FR121" s="365">
        <f>各项系数!$F$76/4*($MQ121^2-$MN121^2*$EG121-$MO121^2*$EO121)*10^-2</f>
        <v>2.20267229410365</v>
      </c>
      <c r="FS121" s="366">
        <f t="shared" si="411"/>
        <v>1</v>
      </c>
      <c r="FT121" s="367">
        <f t="shared" si="361"/>
        <v>2.20267229410365</v>
      </c>
      <c r="FU121" s="388">
        <f>$FT121*(VLOOKUP($FT$9,各项系数!$D$1:$F$143,3,0))*10^-3*10^2*各项系数!$J$55</f>
        <v>0.262999071915976</v>
      </c>
      <c r="FV121" s="389">
        <v>1</v>
      </c>
      <c r="FW121" s="390">
        <f t="shared" si="519"/>
        <v>0.262999071915976</v>
      </c>
      <c r="FX121" s="367">
        <f>FW121*(VLOOKUP($FT$9,各项系数!$D$1:$F$143,2,0))</f>
        <v>0.788997215747927</v>
      </c>
      <c r="FY121" s="388">
        <f>IF($BK121&lt;&gt;$FY$9,0,各项系数!$F$76/4*($MS121^2-$MQ121^2)*10^-2*(VLOOKUP($FY$9,各项系数!$D$1:$F$143,3,0))*10^-3*10^2)*各项系数!$J$4</f>
        <v>0</v>
      </c>
      <c r="FZ121" s="389">
        <v>1</v>
      </c>
      <c r="GA121" s="390">
        <f t="shared" si="520"/>
        <v>0</v>
      </c>
      <c r="GB121" s="367">
        <f>GA121*(VLOOKUP($FY$9,各项系数!$D$1:$F$143,2,0))</f>
        <v>0</v>
      </c>
      <c r="GC121" s="388">
        <f>IF($BK121&lt;&gt;$GC$9,0,各项系数!$F$76/4*($MS121^2-$MQ121^2)*10^-2*(VLOOKUP($GC$9,各项系数!$D$1:$F$143,3,0))*10^-3*10^2)*各项系数!$J$4</f>
        <v>0.00840016801251919</v>
      </c>
      <c r="GD121" s="389">
        <v>1</v>
      </c>
      <c r="GE121" s="390">
        <f t="shared" si="521"/>
        <v>0.00840016801251919</v>
      </c>
      <c r="GF121" s="367">
        <f>GE121*(VLOOKUP($GC$9,各项系数!$D$1:$F$143,2,0))</f>
        <v>0.108362167361498</v>
      </c>
      <c r="GG121" s="388">
        <f>IF($BK121&lt;&gt;$GG$9,0,各项系数!$F$76/4*($MS121^2-$MQ121^2)*10^-2*(VLOOKUP($GG$9,各项系数!$D$1:$F$143,3,0))*10^-3*10^2)*各项系数!$J$4</f>
        <v>0</v>
      </c>
      <c r="GH121" s="389">
        <v>1</v>
      </c>
      <c r="GI121" s="390">
        <f t="shared" si="522"/>
        <v>0</v>
      </c>
      <c r="GJ121" s="367">
        <f>GI121*(VLOOKUP($GG$9,各项系数!$D$1:$F$143,2,0))</f>
        <v>0</v>
      </c>
      <c r="GK121" s="388">
        <f>IF($BK121&lt;&gt;$GK$9,0,各项系数!$F$76/4*($MS121^2-$MQ121^2)*10^-2*(VLOOKUP($GK$9,各项系数!$D$1:$F$143,3,0))*10^-3*10^2)*各项系数!$J$4</f>
        <v>0</v>
      </c>
      <c r="GL121" s="389">
        <v>1</v>
      </c>
      <c r="GM121" s="390">
        <f t="shared" si="523"/>
        <v>0</v>
      </c>
      <c r="GN121" s="367">
        <f>GM121*(VLOOKUP($GK$9,各项系数!$D$1:$F$143,2,0))</f>
        <v>0</v>
      </c>
      <c r="GO121" s="390">
        <f t="shared" si="524"/>
        <v>0.00840016801251919</v>
      </c>
      <c r="GP121" s="390">
        <f t="shared" si="525"/>
        <v>0.108362167361498</v>
      </c>
      <c r="GQ121" s="406">
        <f>各项系数!$F$76/4*($MU121^2-$MS121^2)*10^-2*(VLOOKUP($S121,各项系数!$D$1:$F$143,3,0))*10^-3*10^2*各项系数!$J$4</f>
        <v>0.580870495416682</v>
      </c>
      <c r="GR121" s="389">
        <v>1</v>
      </c>
      <c r="GS121" s="390">
        <f t="shared" si="526"/>
        <v>0.580870495416682</v>
      </c>
      <c r="GT121" s="390">
        <f t="shared" si="457"/>
        <v>0</v>
      </c>
      <c r="GU121" s="390">
        <f>ROUND($GS121*(VLOOKUP($S121,各项系数!$D$1:$F$143,2,0))+$E$3*GS121,GT121)</f>
        <v>3</v>
      </c>
      <c r="GV121" s="406">
        <f>各项系数!$F$76/4*($MT121^2-$MS121^2)*10^-2*(VLOOKUP($GV$9,各项系数!$D$1:$F$143,3,0))*10^-3*10^2*各项系数!$J$4*PI()/4*R121</f>
        <v>0.0433212181047254</v>
      </c>
      <c r="GW121" s="389">
        <v>1</v>
      </c>
      <c r="GX121" s="390">
        <f t="shared" si="527"/>
        <v>0.0433212181047254</v>
      </c>
      <c r="GY121" s="390">
        <f>$GX121*(VLOOKUP($GV$9,各项系数!$D$1:$F$143,2,0))</f>
        <v>2.92418222206897</v>
      </c>
      <c r="GZ121" s="406">
        <f>各项系数!$F$76/4*($MV121^2-$MS121^2)*10^-2*(VLOOKUP($GZ$9,各项系数!$D$1:$F$143,3,0))*10^-3*10^2*各项系数!$J$4</f>
        <v>0.314426995374593</v>
      </c>
      <c r="HA121" s="389">
        <v>1</v>
      </c>
      <c r="HB121" s="390">
        <f t="shared" si="412"/>
        <v>0.314426995374593</v>
      </c>
      <c r="HC121" s="390">
        <f>HB121*(VLOOKUP($GZ$9,各项系数!$D$1:$F$143,2,0))</f>
        <v>5.34525892136807</v>
      </c>
      <c r="HD121" s="406">
        <f>各项系数!$F$76/4*($MW121^2-$MT121^2)*10^-2*(VLOOKUP($HD$9,各项系数!$D$1:$F$143,3,0))*10^-3*10^2*各项系数!$J$4</f>
        <v>0.315949926395718</v>
      </c>
      <c r="HE121" s="389">
        <v>1</v>
      </c>
      <c r="HF121" s="390">
        <f t="shared" si="413"/>
        <v>0.315949926395718</v>
      </c>
      <c r="HG121" s="390">
        <f>HF121*(VLOOKUP($HD$9,各项系数!$D$1:$F$143,2,0))</f>
        <v>5.3711487487272</v>
      </c>
      <c r="HH121" s="406">
        <f>各项系数!$F$76/4*($MV121^2-$MS121^2)*10^-2*(VLOOKUP($HH$9,各项系数!$D$1:$F$143,3,0))*10^-3*10^2*各项系数!$J$4</f>
        <v>0.314426995374593</v>
      </c>
      <c r="HI121" s="420">
        <v>1</v>
      </c>
      <c r="HJ121" s="390">
        <f t="shared" si="414"/>
        <v>0.314426995374593</v>
      </c>
      <c r="HK121" s="390">
        <f>HJ121*(VLOOKUP($HH$9,各项系数!$D$1:$F$143,2,0))</f>
        <v>5.34525892136807</v>
      </c>
      <c r="HL121" s="406">
        <f>各项系数!$F$76/4*($MW121^2-$MT121^2)*10^-2*(VLOOKUP($HL$9,各项系数!$D$1:$F$143,3,0))*10^-3*10^2*各项系数!$J$4</f>
        <v>0.315949926395718</v>
      </c>
      <c r="HM121" s="420">
        <v>1</v>
      </c>
      <c r="HN121" s="390">
        <f t="shared" si="362"/>
        <v>0.315949926395718</v>
      </c>
      <c r="HO121" s="390">
        <f>HN121*(VLOOKUP($HL$9,各项系数!$D$1:$F$143,2,0))</f>
        <v>5.3711487487272</v>
      </c>
      <c r="HP121" s="406">
        <f>各项系数!$F$76/4*($MV121^2-$MS121^2)*10^-2*(VLOOKUP(AN121,各项系数!$D$1:$F$143,3,0))*10^-3*10^2*各项系数!$J$4</f>
        <v>0.318763919448725</v>
      </c>
      <c r="HQ121" s="389">
        <v>1</v>
      </c>
      <c r="HR121" s="390">
        <f t="shared" si="528"/>
        <v>0.318763919448725</v>
      </c>
      <c r="HS121" s="390">
        <f>HR121*(VLOOKUP(AN121,各项系数!$D$1:$F$143,2,0))</f>
        <v>3.18763919448725</v>
      </c>
      <c r="HT121" s="406">
        <f>各项系数!$F$76/4*($MW121^2-$MT121^2)*10^-2*(VLOOKUP(AN121,各项系数!$D$1:$F$143,3,0))*10^-3*10^2*各项系数!$J$4</f>
        <v>0.320307856414969</v>
      </c>
      <c r="HU121" s="389">
        <v>1</v>
      </c>
      <c r="HV121" s="390">
        <f t="shared" si="529"/>
        <v>0.320307856414969</v>
      </c>
      <c r="HW121" s="390">
        <f>HV121*(VLOOKUP(AN121,各项系数!$D$1:$F$143,2,0))</f>
        <v>3.20307856414969</v>
      </c>
      <c r="HX121" s="406">
        <f>各项系数!$F$76/4*($MV121^2-$MS121^2)*10^-2*(VLOOKUP($HX$9,各项系数!$D$1:$F$143,3,0))*10^-3*10^2*各项系数!$J$4</f>
        <v>0.318763919448725</v>
      </c>
      <c r="HY121" s="420">
        <v>1</v>
      </c>
      <c r="HZ121" s="390">
        <f t="shared" si="530"/>
        <v>0.318763919448725</v>
      </c>
      <c r="IA121" s="390">
        <f>HZ121*(VLOOKUP($HX$9,各项系数!$D$1:$F$143,2,0))</f>
        <v>3.50640311393597</v>
      </c>
      <c r="IB121" s="406">
        <f>各项系数!$F$76/4*($MW121^2-$MT121^2)*10^-2*(VLOOKUP($IB$9,各项系数!$D$1:$F$143,3,0))*10^-3*10^2*各项系数!$J$4</f>
        <v>0.320307856414969</v>
      </c>
      <c r="IC121" s="420">
        <v>1</v>
      </c>
      <c r="ID121" s="390">
        <f t="shared" si="531"/>
        <v>0.320307856414969</v>
      </c>
      <c r="IE121" s="390">
        <f>ID121*(VLOOKUP($IB$9,各项系数!$D$1:$F$143,2,0))</f>
        <v>3.52338642056466</v>
      </c>
      <c r="IF121" s="429"/>
      <c r="IG121" s="406">
        <f t="shared" si="415"/>
        <v>0.0678834809827737</v>
      </c>
      <c r="IH121" s="389">
        <v>1</v>
      </c>
      <c r="II121" s="390">
        <f t="shared" si="532"/>
        <v>0.0678834809827737</v>
      </c>
      <c r="IJ121" s="390">
        <f>II121*(VLOOKUP($IG$8,各项系数!$D$1:$F$143,2,0))</f>
        <v>1.69708702456934</v>
      </c>
      <c r="IK121" s="406">
        <f>(各项系数!$F$76/4*($MX121^2-$MK121^2)*$EG121)*10^-2*(VLOOKUP($IG$8,各项系数!$D$1:$F$143,3,0))*10^-3*10^2*各项系数!$J$4</f>
        <v>0.0463571528828591</v>
      </c>
      <c r="IL121" s="389">
        <f>IK121*(VLOOKUP($IG$8,各项系数!$D$1:$F$143,2,0))</f>
        <v>1.15892882207148</v>
      </c>
      <c r="IM121" s="390">
        <f>(各项系数!$F$76/4*(($MM121+3*$X121)^2-MM121^2)*$EO121)*10^-2*(VLOOKUP($IG$8,各项系数!$D$1:$F$143,3,0))*10^-3*10^2*各项系数!$J$4</f>
        <v>0.0215263280999146</v>
      </c>
      <c r="IN121" s="389">
        <f>IM121*(VLOOKUP($IG$8,各项系数!$D$1:$F$143,2,0))</f>
        <v>0.538158202497865</v>
      </c>
      <c r="IO121" s="406">
        <f>各项系数!$F$76/4*($MZ121^2-$MX121^2)*10^-2*(VLOOKUP(L121,各项系数!$D$1:$F$143,3,0))*10^-3*10^2*$ES121*各项系数!$J$4</f>
        <v>0.234224965505765</v>
      </c>
      <c r="IP121" s="389">
        <v>1</v>
      </c>
      <c r="IQ121" s="390">
        <f t="shared" si="533"/>
        <v>0.234224965505765</v>
      </c>
      <c r="IR121" s="367">
        <f>IQ121*(VLOOKUP(L121,各项系数!$D$1:$F$143,2,0))</f>
        <v>2.38909464815881</v>
      </c>
      <c r="IS121" s="406">
        <f>IF($L121&lt;&gt;$IS$9,0,各项系数!$F$76/4*($MZ121^2-$MX121^2)*10^-2*各项系数!$F$12*10^-3*10^2)*$ES121*各项系数!$J$4</f>
        <v>0</v>
      </c>
      <c r="IT121" s="389">
        <v>1</v>
      </c>
      <c r="IU121" s="390">
        <f t="shared" si="534"/>
        <v>0</v>
      </c>
      <c r="IV121" s="367">
        <f>IU121*各项系数!$E$12</f>
        <v>0</v>
      </c>
      <c r="IW121" s="388">
        <f t="shared" si="535"/>
        <v>0.234224965505765</v>
      </c>
      <c r="IX121" s="388">
        <f t="shared" si="536"/>
        <v>2.38909464815881</v>
      </c>
      <c r="IY121" s="447">
        <f>各项系数!$F$76/4*($NB121^2-$MZ121^2*$EG121-$NA121^2*$EO121)*10^-2</f>
        <v>2.55113440888357</v>
      </c>
      <c r="IZ121" s="366">
        <f t="shared" si="487"/>
        <v>1</v>
      </c>
      <c r="JA121" s="367">
        <f t="shared" si="363"/>
        <v>2.55113440888357</v>
      </c>
      <c r="JB121" s="364">
        <f>IF($DE121&lt;&gt;$JB$9,0,$JA121*各项系数!$F$32*10^-3*10^2)*各项系数!$J$4</f>
        <v>0</v>
      </c>
      <c r="JC121" s="123">
        <v>1</v>
      </c>
      <c r="JD121" s="251">
        <f t="shared" si="537"/>
        <v>0</v>
      </c>
      <c r="JE121" s="339">
        <f>JD121*各项系数!$E$32</f>
        <v>0</v>
      </c>
      <c r="JF121" s="364">
        <f>IF($DE121&lt;&gt;$JF$9,0,$JA121*VLOOKUP($JF$9,各项系数!$D$4:$F$540,2,0)*10^-3*10^2)*各项系数!$J$4</f>
        <v>1.26918936841957</v>
      </c>
      <c r="JG121" s="123">
        <v>1</v>
      </c>
      <c r="JH121" s="251">
        <f t="shared" si="364"/>
        <v>1.26918936841957</v>
      </c>
      <c r="JI121" s="339">
        <f>JH121*VLOOKUP($JF$9,各项系数!$D$4:$F$540,3,0)</f>
        <v>1.52302724210349</v>
      </c>
      <c r="JJ121" s="364">
        <f t="shared" si="538"/>
        <v>1.26918936841957</v>
      </c>
      <c r="JK121" s="251">
        <f t="shared" si="539"/>
        <v>1.52302724210349</v>
      </c>
      <c r="JL121" s="364">
        <f>IF($DF121&lt;&gt;$JL$9,0,各项系数!$F$76/4*($NE121^2-$NC121^2)*10^-2*各项系数!$F$39*10^-3*10^2)*各项系数!$J$4</f>
        <v>0.00370566017983288</v>
      </c>
      <c r="JM121" s="123">
        <v>1</v>
      </c>
      <c r="JN121" s="251">
        <f t="shared" si="540"/>
        <v>0.00370566017983288</v>
      </c>
      <c r="JO121" s="339">
        <f>JN121*各项系数!$E$39</f>
        <v>0.0741132035966576</v>
      </c>
      <c r="JP121" s="364">
        <f>IF($DF121&lt;&gt;$JP$9,0,各项系数!$F$76/4*($NE121^2-$NC121^2)*10^-2*各项系数!$F$36*10^-3*10^2)*各项系数!$J$4</f>
        <v>0</v>
      </c>
      <c r="JQ121" s="123">
        <v>1</v>
      </c>
      <c r="JR121" s="251">
        <f t="shared" si="541"/>
        <v>0</v>
      </c>
      <c r="JS121" s="339">
        <f>JR121*各项系数!$E$36</f>
        <v>0</v>
      </c>
      <c r="JT121" s="364">
        <f>IF($DF121&lt;&gt;$JT$9,0,各项系数!$F$76/4*($NE121^2-$NC121^2)*10^-2*各项系数!$F$40*10^-3*10^2)*各项系数!$J$4</f>
        <v>0</v>
      </c>
      <c r="JU121" s="123">
        <v>1</v>
      </c>
      <c r="JV121" s="251">
        <f t="shared" si="542"/>
        <v>0</v>
      </c>
      <c r="JW121" s="339">
        <f>JV121*各项系数!$E$40</f>
        <v>0</v>
      </c>
      <c r="JX121" s="364">
        <f>IF($DF121&lt;&gt;$JX$9,0,各项系数!$F$76/4*($NE121^2-$NC121^2)*10^-2*各项系数!$F$38*10^-3*10^2)*各项系数!$J$4</f>
        <v>0</v>
      </c>
      <c r="JY121" s="123">
        <v>1</v>
      </c>
      <c r="JZ121" s="251">
        <f t="shared" si="543"/>
        <v>0</v>
      </c>
      <c r="KA121" s="339">
        <f>JZ121*各项系数!$E$38</f>
        <v>0</v>
      </c>
      <c r="KB121" s="364">
        <f>IF($DF121&lt;&gt;$KB$9,0,各项系数!$F$76/4*($NE121^2-$NC121^2)*10^-2*各项系数!$F$41*10^-3*10^2)*各项系数!$J$4</f>
        <v>0</v>
      </c>
      <c r="KC121" s="123">
        <v>1</v>
      </c>
      <c r="KD121" s="251">
        <f t="shared" si="544"/>
        <v>0</v>
      </c>
      <c r="KE121" s="339">
        <f>KD121*各项系数!$E$41</f>
        <v>0</v>
      </c>
      <c r="KF121" s="251">
        <f t="shared" si="545"/>
        <v>0.00370566017983288</v>
      </c>
      <c r="KG121" s="251">
        <f t="shared" si="546"/>
        <v>0.0741132035966576</v>
      </c>
      <c r="KH121" s="302">
        <f>各项系数!$F$76/4*($NG121^2-$NE121^2)*10^-2*各项系数!$F$44*10^-3*10^2*各项系数!$J$4*0.75*$U121</f>
        <v>0.929495680836553</v>
      </c>
      <c r="KI121" s="123">
        <v>1</v>
      </c>
      <c r="KJ121" s="251">
        <f t="shared" si="547"/>
        <v>0.929495680836553</v>
      </c>
      <c r="KK121" s="251">
        <f>ROUND(KJ121*各项系数!$E$43,GT121)</f>
        <v>5</v>
      </c>
      <c r="KL121" s="302">
        <f>各项系数!$F$76/4*($NF121^2-$NE121^2)*10^-2*各项系数!$F$46*10^-3*10^2*各项系数!$J$4*PI()/4*R121</f>
        <v>0.0462769172984598</v>
      </c>
      <c r="KM121" s="123">
        <v>1</v>
      </c>
      <c r="KN121" s="251">
        <f t="shared" si="548"/>
        <v>0.0462769172984598</v>
      </c>
      <c r="KO121" s="251">
        <f>KN121*各项系数!$E$46</f>
        <v>3.12369191764604</v>
      </c>
      <c r="KP121" s="302">
        <f>各项系数!$F$76/4*($NH121^2-$NE121^2)*10^-2*(VLOOKUP($KP$9,各项系数!$D$1:$F$143,3,0))*10^-3*10^2*各项系数!$J$4</f>
        <v>0.334567758128968</v>
      </c>
      <c r="KQ121" s="123">
        <v>1</v>
      </c>
      <c r="KR121" s="251">
        <f t="shared" si="416"/>
        <v>0.334567758128968</v>
      </c>
      <c r="KS121" s="251">
        <f>KR121*(VLOOKUP($KP$9,各项系数!$D$1:$F$143,2,0))</f>
        <v>5.68765188819246</v>
      </c>
      <c r="KT121" s="302">
        <f>各项系数!$F$76/4*($NI121^2-$NF121^2)*10^-2*(VLOOKUP($KT$9,各项系数!$D$1:$F$143,3,0))*10^-3*10^2*各项系数!$J$4</f>
        <v>0.336090689150093</v>
      </c>
      <c r="KU121" s="123">
        <v>1</v>
      </c>
      <c r="KV121" s="251">
        <f t="shared" si="417"/>
        <v>0.336090689150093</v>
      </c>
      <c r="KW121" s="251">
        <f>KV121*(VLOOKUP($KT$9,各项系数!$D$1:$F$143,2,0))</f>
        <v>5.71354171555158</v>
      </c>
      <c r="KX121" s="251">
        <f>各项系数!$F$76/4*($NH121^2-$NE121^2)*10^-2*(VLOOKUP($KX$9,各项系数!$D$1:$F$143,3,0))*10^-3*10^2*各项系数!$J$4</f>
        <v>0.334567758128968</v>
      </c>
      <c r="KY121" s="479">
        <v>1</v>
      </c>
      <c r="KZ121" s="251">
        <f t="shared" si="418"/>
        <v>0.334567758128968</v>
      </c>
      <c r="LA121" s="251">
        <f>KZ121*(VLOOKUP($KX$9,各项系数!$D$1:$F$143,2,0))</f>
        <v>5.68765188819246</v>
      </c>
      <c r="LB121" s="251">
        <f>各项系数!$F$76/4*($NI121^2-$NF121^2)*10^-2*(VLOOKUP($LB$9,各项系数!$D$1:$F$143,3,0))*10^-3*10^2*各项系数!$J$4</f>
        <v>0.336090689150093</v>
      </c>
      <c r="LC121" s="479">
        <v>1</v>
      </c>
      <c r="LD121" s="251">
        <f t="shared" si="419"/>
        <v>0.336090689150093</v>
      </c>
      <c r="LE121" s="251">
        <f>LD121*(VLOOKUP($LB$9,各项系数!$D$1:$F$143,2,0))</f>
        <v>5.71354171555158</v>
      </c>
      <c r="LF121" s="302">
        <f>各项系数!$F$76/4*($NH121^2-$NE121^2)*10^-2*(VLOOKUP(AN121,各项系数!$D$1:$F$143,3,0))*10^-3*10^2*各项系数!$J$4</f>
        <v>0.339182485827299</v>
      </c>
      <c r="LG121" s="123">
        <v>1</v>
      </c>
      <c r="LH121" s="251">
        <f t="shared" si="549"/>
        <v>0.339182485827299</v>
      </c>
      <c r="LI121" s="251">
        <f>LH121*(VLOOKUP(AN121,各项系数!$D$1:$F$143,2,0))</f>
        <v>3.39182485827299</v>
      </c>
      <c r="LJ121" s="302">
        <f>各项系数!$F$76/4*($NI121^2-$NF121^2)*10^-2*(VLOOKUP(AN121,各项系数!$D$1:$F$143,3,0))*10^-3*10^2*各项系数!$J$4</f>
        <v>0.340726422793543</v>
      </c>
      <c r="LK121" s="123">
        <v>1</v>
      </c>
      <c r="LL121" s="251">
        <f t="shared" si="550"/>
        <v>0.340726422793543</v>
      </c>
      <c r="LM121" s="251">
        <f>LL121*(VLOOKUP(AN121,各项系数!$D$1:$F$143,2,0))</f>
        <v>3.40726422793543</v>
      </c>
      <c r="LN121" s="251">
        <f>各项系数!$F$76/4*($NH121^2-$NE121^2)*10^-2*(VLOOKUP($LN$9,各项系数!$D$1:$F$143,3,0))*10^-3*10^2*各项系数!$J$4</f>
        <v>0.339182485827299</v>
      </c>
      <c r="LO121" s="479">
        <v>1</v>
      </c>
      <c r="LP121" s="251">
        <f t="shared" si="551"/>
        <v>0.339182485827299</v>
      </c>
      <c r="LQ121" s="251">
        <f>LP121*(VLOOKUP($LN$9,各项系数!$D$1:$F$143,2,0))</f>
        <v>3.73100734410029</v>
      </c>
      <c r="LR121" s="251">
        <f>各项系数!$F$76/4*($NI121^2-$NF121^2)*10^-2*(VLOOKUP($LR$9,各项系数!$D$1:$F$143,3,0))*10^-3*10^2*各项系数!$J$4</f>
        <v>0.340726422793543</v>
      </c>
      <c r="LS121" s="479">
        <v>1</v>
      </c>
      <c r="LT121" s="251">
        <f t="shared" si="552"/>
        <v>0.340726422793543</v>
      </c>
      <c r="LU121" s="251">
        <f>LT121*(VLOOKUP($LR$9,各项系数!$D$1:$F$143,2,0))</f>
        <v>3.74799065072897</v>
      </c>
      <c r="LV121" s="499">
        <f t="shared" si="420"/>
        <v>269.0175993</v>
      </c>
      <c r="LW121" s="499">
        <f t="shared" si="421"/>
        <v>193.65626422</v>
      </c>
      <c r="LX121" s="499">
        <f t="shared" si="422"/>
        <v>15.7025734734974</v>
      </c>
      <c r="LY121" s="515">
        <f t="shared" si="423"/>
        <v>75.36133508</v>
      </c>
      <c r="LZ121" s="516">
        <f t="shared" si="365"/>
        <v>1</v>
      </c>
      <c r="MA121" s="517">
        <f t="shared" si="366"/>
        <v>269.0175993</v>
      </c>
      <c r="MB121" s="517">
        <f t="shared" si="424"/>
        <v>10.68525223</v>
      </c>
      <c r="MC121" s="499">
        <f t="shared" si="425"/>
        <v>84.89620278</v>
      </c>
      <c r="MD121" s="499">
        <f t="shared" si="426"/>
        <v>66.03037975</v>
      </c>
      <c r="ME121" s="499">
        <f t="shared" si="427"/>
        <v>9.1691052263337</v>
      </c>
      <c r="MF121" s="499">
        <f t="shared" si="428"/>
        <v>18.86582303</v>
      </c>
      <c r="MG121" s="516">
        <f t="shared" si="429"/>
        <v>1</v>
      </c>
      <c r="MH121" s="517">
        <f t="shared" si="367"/>
        <v>84.89620278</v>
      </c>
      <c r="MI121" s="517">
        <f t="shared" si="430"/>
        <v>7.35163936062397</v>
      </c>
      <c r="MJ121" s="251">
        <f t="shared" si="368"/>
        <v>10.68525223</v>
      </c>
      <c r="MK121" s="251">
        <f t="shared" si="431"/>
        <v>10.68525223</v>
      </c>
      <c r="ML121" s="251">
        <f t="shared" si="553"/>
        <v>7.3516393608129</v>
      </c>
      <c r="MM121" s="251">
        <f t="shared" si="369"/>
        <v>7.35163936062397</v>
      </c>
      <c r="MN121" s="251">
        <f t="shared" si="370"/>
        <v>12.88525223</v>
      </c>
      <c r="MO121" s="251">
        <f t="shared" si="432"/>
        <v>9.15163936062397</v>
      </c>
      <c r="MP121" s="251">
        <f t="shared" si="433"/>
        <v>30.75787912</v>
      </c>
      <c r="MQ121" s="251">
        <f t="shared" si="554"/>
        <v>30.75787912</v>
      </c>
      <c r="MR121" s="314">
        <f t="shared" si="434"/>
        <v>30.75787912</v>
      </c>
      <c r="MS121" s="530">
        <f t="shared" si="371"/>
        <v>30.93387912</v>
      </c>
      <c r="MT121" s="530">
        <f t="shared" si="372"/>
        <v>31.09387912</v>
      </c>
      <c r="MU121" s="530">
        <f t="shared" si="373"/>
        <v>32.43387912</v>
      </c>
      <c r="MV121" s="530">
        <f t="shared" si="374"/>
        <v>35.13387912</v>
      </c>
      <c r="MW121" s="530">
        <f t="shared" si="375"/>
        <v>35.29387912</v>
      </c>
      <c r="MX121" s="326">
        <f t="shared" si="376"/>
        <v>11.28525223</v>
      </c>
      <c r="MY121" s="326">
        <f t="shared" si="377"/>
        <v>7.95163936062397</v>
      </c>
      <c r="MZ121" s="251">
        <f t="shared" si="378"/>
        <v>13.48525223</v>
      </c>
      <c r="NA121" s="251">
        <f t="shared" si="379"/>
        <v>10.151639360624</v>
      </c>
      <c r="NB121" s="251">
        <f t="shared" si="435"/>
        <v>32.80987912</v>
      </c>
      <c r="NC121" s="326">
        <f t="shared" si="555"/>
        <v>32.80987912</v>
      </c>
      <c r="ND121" s="314">
        <f t="shared" si="436"/>
        <v>32.80987912</v>
      </c>
      <c r="NE121" s="537">
        <f t="shared" si="437"/>
        <v>33.04987912</v>
      </c>
      <c r="NF121" s="530">
        <f t="shared" si="380"/>
        <v>33.20987912</v>
      </c>
      <c r="NG121" s="538">
        <f t="shared" si="381"/>
        <v>34.54987912</v>
      </c>
      <c r="NH121" s="326">
        <f t="shared" si="382"/>
        <v>37.24987912</v>
      </c>
      <c r="NI121" s="530">
        <f t="shared" si="383"/>
        <v>37.40987912</v>
      </c>
      <c r="NK121" s="539">
        <f t="shared" si="384"/>
        <v>3.15179787237673</v>
      </c>
      <c r="NL121" s="539">
        <f t="shared" si="385"/>
        <v>158.828475209012</v>
      </c>
      <c r="NM121" s="539">
        <f t="shared" si="386"/>
        <v>3.15179787237673</v>
      </c>
      <c r="NN121" s="539">
        <f t="shared" si="387"/>
        <v>159.147239128461</v>
      </c>
      <c r="NO121" s="539">
        <f t="shared" si="388"/>
        <v>4.26147725391245</v>
      </c>
      <c r="NP121" s="539">
        <f t="shared" si="389"/>
        <v>161.950910379972</v>
      </c>
      <c r="NQ121" s="539">
        <f t="shared" si="390"/>
        <v>4.26147725391245</v>
      </c>
      <c r="NR121" s="539">
        <f t="shared" si="391"/>
        <v>162.290092865799</v>
      </c>
      <c r="NS121" s="539">
        <f t="shared" si="392"/>
        <v>3.19511909048145</v>
      </c>
      <c r="NT121" s="539">
        <f t="shared" si="393"/>
        <v>3.19511909048145</v>
      </c>
      <c r="NU121" s="539">
        <f t="shared" si="394"/>
        <v>4.30775417121091</v>
      </c>
      <c r="NV121" s="539">
        <f t="shared" si="395"/>
        <v>4.30775417121091</v>
      </c>
      <c r="NW121">
        <f t="shared" si="396"/>
        <v>3.73266836779341</v>
      </c>
      <c r="NX121">
        <f>各项系数!$M$9*NK121</f>
        <v>0.945539361713018</v>
      </c>
      <c r="NY121">
        <f t="shared" si="397"/>
        <v>3.19511909048145</v>
      </c>
    </row>
    <row r="122" customHeight="1" spans="1:389">
      <c r="A122" s="85"/>
      <c r="B122" s="86"/>
      <c r="C122" s="87"/>
      <c r="D122" s="69" t="s">
        <v>406</v>
      </c>
      <c r="E122" s="550">
        <f t="shared" si="503"/>
        <v>40.65850589</v>
      </c>
      <c r="F122" s="84">
        <f>$F$26</f>
        <v>245.088056587712</v>
      </c>
      <c r="G122" s="74"/>
      <c r="H122" s="23"/>
      <c r="I122" s="174">
        <f>$F$24</f>
        <v>238.573455311777</v>
      </c>
      <c r="J122" s="78"/>
      <c r="K122" s="23"/>
      <c r="L122" s="118" t="s">
        <v>467</v>
      </c>
      <c r="M122" s="124">
        <f t="shared" si="339"/>
        <v>1.1</v>
      </c>
      <c r="N122" s="124">
        <f t="shared" si="501"/>
        <v>1</v>
      </c>
      <c r="O122" s="69">
        <f t="shared" si="556"/>
        <v>0.08</v>
      </c>
      <c r="P122" s="120">
        <v>0.1</v>
      </c>
      <c r="Q122" s="162">
        <f t="shared" si="512"/>
        <v>0.1</v>
      </c>
      <c r="R122" s="86">
        <v>0.8</v>
      </c>
      <c r="S122" s="171" t="str">
        <f>各项系数!$D$43</f>
        <v>钢带</v>
      </c>
      <c r="T122" s="123">
        <v>0.5</v>
      </c>
      <c r="U122" s="123">
        <v>2</v>
      </c>
      <c r="V122" s="169"/>
      <c r="W122" s="170">
        <v>2.3</v>
      </c>
      <c r="X122" s="164">
        <f t="shared" si="513"/>
        <v>0.2</v>
      </c>
      <c r="Y122" s="219"/>
      <c r="Z122" s="220"/>
      <c r="AA122" s="217">
        <f>$AA$26</f>
        <v>1.013</v>
      </c>
      <c r="AB122" s="186">
        <f>PI()*EJ122*EJ122/4*EH122*(1-H122)*AA122*各项系数!$F$5*各项系数!$J$4*10^-7</f>
        <v>0.803196977708722</v>
      </c>
      <c r="AC122" s="186">
        <f t="shared" si="504"/>
        <v>245.088056587712</v>
      </c>
      <c r="AD122" s="186">
        <f t="shared" si="341"/>
        <v>90.8023783381159</v>
      </c>
      <c r="AE122" s="186">
        <f>POWER(4*EU122/PI()/EG122/10^-7/EH122/(1-H122)/各项系数!$F$5/各项系数!$J$4,0.5)</f>
        <v>246.675984853019</v>
      </c>
      <c r="AF122" s="218">
        <f>$AA$24</f>
        <v>1.011</v>
      </c>
      <c r="AG122" s="85">
        <f>IF(EM122=0,0,PI()*ER122*ER122/4*EP122*(1-K122)*(1+AF122)*各项系数!$F$5*各项系数!$J$4*10^-7)</f>
        <v>0.795190228780996</v>
      </c>
      <c r="AH122" s="85">
        <f t="shared" si="505"/>
        <v>238.573455311777</v>
      </c>
      <c r="AI122" s="85">
        <f t="shared" si="398"/>
        <v>45.1944679590854</v>
      </c>
      <c r="AJ122" s="85">
        <f>IF(OR(EP122="",EP122=0),0,POWER(4*EW122/PI()/EO122/10^-7/EP122/(1-K122)/各项系数!$F$5/各项系数!$J$4,0.5))</f>
        <v>239.882020603408</v>
      </c>
      <c r="AK122" s="85">
        <f t="shared" si="342"/>
        <v>3.20913078523714</v>
      </c>
      <c r="AL122" s="85">
        <f t="shared" si="506"/>
        <v>224.638995352632</v>
      </c>
      <c r="AM122" s="250">
        <f t="shared" si="507"/>
        <v>95</v>
      </c>
      <c r="AN122" s="118" t="s">
        <v>486</v>
      </c>
      <c r="AO122" s="259">
        <f>AP122+各项系数!$M$9*$NK122</f>
        <v>220.234309169247</v>
      </c>
      <c r="AP122" s="259">
        <f>AQ122*(1+$BI122+(VLOOKUP($AM122,$A$12:$B$323,2,0))+各项系数!$J$6+各项系数!$M$5)*(1+$E$2)</f>
        <v>218.947126454181</v>
      </c>
      <c r="AQ122" s="260">
        <f>AR122+各项系数!$L$9*$NK122</f>
        <v>223.415435157328</v>
      </c>
      <c r="AR122" s="260">
        <f>AS122*(1+$BJ122+各项系数!$J$5+各项系数!$L$5)</f>
        <v>222.128252442262</v>
      </c>
      <c r="AS122" s="260">
        <f t="shared" si="399"/>
        <v>217.772796512022</v>
      </c>
      <c r="AT122" s="259">
        <f>AU122+各项系数!$M$9*$NM122</f>
        <v>222.977220699987</v>
      </c>
      <c r="AU122" s="259">
        <f>AV122*(1+$BI122+(VLOOKUP($AM122,$A$12:$B$323,2,0))+各项系数!$J$6+各项系数!$M$5)*(1+$E$2)</f>
        <v>221.690037984921</v>
      </c>
      <c r="AV122" s="260">
        <f>AW122+各项系数!$L$9*$NM122</f>
        <v>226.21432447441</v>
      </c>
      <c r="AW122" s="260">
        <f>AX122*(1+$BJ122+各项系数!$J$5+各项系数!$L$5)</f>
        <v>224.927141759344</v>
      </c>
      <c r="AX122" s="260">
        <f t="shared" si="400"/>
        <v>220.516805646416</v>
      </c>
      <c r="AY122" s="259">
        <f>AZ122+各项系数!$M$9*$NS122</f>
        <v>223.687198089131</v>
      </c>
      <c r="AZ122" s="259">
        <f>BA122*(1+$BI122+(VLOOKUP($AM122,$A$12:$B$214,2,0))+各项系数!$J$6+各项系数!$M$5)*(1+$E$2)</f>
        <v>222.384871533887</v>
      </c>
      <c r="BA122" s="260">
        <f>BB122+各项系数!$L$9*$NS122</f>
        <v>226.923338299885</v>
      </c>
      <c r="BB122" s="260">
        <f>BC122*(1+$BJ122+各项系数!$J$5+各项系数!$L$5)</f>
        <v>225.621011744641</v>
      </c>
      <c r="BC122" s="262">
        <f t="shared" si="401"/>
        <v>221.197070337884</v>
      </c>
      <c r="BD122" s="259">
        <f>BE122+各项系数!$M$9*$NS122</f>
        <v>226.441550780957</v>
      </c>
      <c r="BE122" s="259">
        <f>BF122*(1+$BI122+(VLOOKUP($AM122,$A$12:$B$214,2,0))+各项系数!$J$6+各项系数!$M$5)*(1+$E$2)</f>
        <v>225.139224225714</v>
      </c>
      <c r="BF122" s="260">
        <f>BG122+各项系数!$L$9*$NS122</f>
        <v>229.733902271136</v>
      </c>
      <c r="BG122" s="260">
        <f>BH122*(1+$BJ122+各项系数!$J$5+各项系数!$L$5)</f>
        <v>228.431575715893</v>
      </c>
      <c r="BH122" s="262">
        <f t="shared" si="402"/>
        <v>223.952525211659</v>
      </c>
      <c r="BI122" s="277"/>
      <c r="BJ122" s="272"/>
      <c r="BK122" s="69" t="s">
        <v>514</v>
      </c>
      <c r="BL122" s="259">
        <f>BM122+各项系数!$M$9*$NM122</f>
        <v>222.777689624892</v>
      </c>
      <c r="BM122" s="259">
        <f>BN122*(1+$CF122+(VLOOKUP($AM122,$A$12:$B$323,2,0))+各项系数!$J$6+各项系数!$M$5)*(1+$E$2)</f>
        <v>221.490506909826</v>
      </c>
      <c r="BN122" s="260">
        <f>BO122+各项系数!$L$9*$NM122</f>
        <v>226.010721336557</v>
      </c>
      <c r="BO122" s="260">
        <f>BP122*(1+$CG122+各项系数!$J$5+各项系数!$L$5)</f>
        <v>224.723538621491</v>
      </c>
      <c r="BP122" s="260">
        <f t="shared" si="403"/>
        <v>218.178192836399</v>
      </c>
      <c r="BQ122" s="259">
        <f>BR122+各项系数!$M$9*$NM122</f>
        <v>225.138285395322</v>
      </c>
      <c r="BR122" s="259">
        <f>BS122*(1+$CF122+(VLOOKUP($AM122,$A$12:$B$323,2,0))+各项系数!$J$6+各项系数!$M$5)*(1+$E$2)</f>
        <v>223.851102680256</v>
      </c>
      <c r="BS122" s="260">
        <f>BT122+各项系数!$L$9*$NM122</f>
        <v>228.419492530874</v>
      </c>
      <c r="BT122" s="260">
        <f>BU122*(1+$CG122+各项系数!$J$5+各项系数!$L$5)</f>
        <v>227.132309815808</v>
      </c>
      <c r="BU122" s="260">
        <f t="shared" si="404"/>
        <v>220.516805646416</v>
      </c>
      <c r="BV122" s="259">
        <f>BW122+各项系数!$M$9*$NT122</f>
        <v>224.997661413003</v>
      </c>
      <c r="BW122" s="259">
        <f>BX122*(1+$CF122+(VLOOKUP($AM122,$A$12:$B$214,2,0))+各项系数!$J$6+各项系数!$M$5)*(1+$E$2)</f>
        <v>223.695334857759</v>
      </c>
      <c r="BX122" s="260">
        <f>BY122+各项系数!$L$9*$NT$12</f>
        <v>228.260545773224</v>
      </c>
      <c r="BY122" s="260">
        <f>BZ122*(1+$CG122+各项系数!$J$5+各项系数!$L$5)</f>
        <v>228.252282370069</v>
      </c>
      <c r="BZ122" s="262">
        <f t="shared" si="343"/>
        <v>221.604157640843</v>
      </c>
      <c r="CA122" s="259">
        <f>CB122+各项系数!$M$9*$NT122</f>
        <v>227.368103638985</v>
      </c>
      <c r="CB122" s="259">
        <f>CC122*(1+$CF122+(VLOOKUP($AM122,$A$12:$B$214,2,0))+各项系数!$J$6+各项系数!$M$5)*(1+$E$2)</f>
        <v>226.065777083741</v>
      </c>
      <c r="CC122" s="260">
        <f>CD122+各项系数!$L$9*$NT$12</f>
        <v>230.679364371164</v>
      </c>
      <c r="CD122" s="260">
        <f>CE122*(1+$CG122+各项系数!$J$5+各项系数!$L$5)</f>
        <v>230.671100968009</v>
      </c>
      <c r="CE122" s="262">
        <f t="shared" si="405"/>
        <v>223.952525211659</v>
      </c>
      <c r="CF122" s="277">
        <f t="shared" si="514"/>
        <v>0</v>
      </c>
      <c r="CG122" s="277">
        <f t="shared" si="344"/>
        <v>0.01</v>
      </c>
      <c r="CH122" s="123"/>
      <c r="CI122" s="259">
        <f>CJ122+各项系数!$M$9*$NO122</f>
        <v>225.898678396783</v>
      </c>
      <c r="CJ122" s="259">
        <f>CK122*(1+$DC122+(VLOOKUP($AM122,$A$12:$B$323,2,0))+各项系数!$J$6+各项系数!$M$5)*(1+$E$2)+各项系数!$M$9*$NK122</f>
        <v>224.181814999626</v>
      </c>
      <c r="CK122" s="260">
        <f>CL122+各项系数!$L$9*$NO122</f>
        <v>227.443502331184</v>
      </c>
      <c r="CL122" s="260">
        <f>CM122*(1+$DD122+各项系数!$J$5+各项系数!$L$5)</f>
        <v>225.726638934026</v>
      </c>
      <c r="CM122" s="260">
        <f t="shared" si="345"/>
        <v>221.300626405908</v>
      </c>
      <c r="CN122" s="259">
        <f>CO122+各项系数!$M$9*$NO122</f>
        <v>228.440866542384</v>
      </c>
      <c r="CO122" s="259">
        <f>CP122*(1+$DC122+(VLOOKUP($AM122,$A$12:$B$323,2,0))+各项系数!$J$6+各项系数!$M$5)*(1+$E$2)+各项系数!$M$9*$NK122</f>
        <v>226.724003145227</v>
      </c>
      <c r="CP122" s="260">
        <f>CQ122+各项系数!$L$9*$NO122</f>
        <v>230.037571867512</v>
      </c>
      <c r="CQ122" s="260">
        <f>CR122*(1+$DD122+各项系数!$J$5+各项系数!$L$5)</f>
        <v>228.320708470354</v>
      </c>
      <c r="CR122" s="260">
        <f t="shared" si="346"/>
        <v>223.843831833681</v>
      </c>
      <c r="CS122" s="259">
        <f>CT122+各项系数!$M$9*$NU122</f>
        <v>228.245033276619</v>
      </c>
      <c r="CT122" s="259">
        <f t="shared" si="347"/>
        <v>226.512229844322</v>
      </c>
      <c r="CU122" s="260">
        <f>CV122+各项系数!$L$9*$NU122</f>
        <v>231.134928412573</v>
      </c>
      <c r="CV122" s="260">
        <f>CW122*(1+$DD122+各项系数!$J$5+各项系数!$L$5)</f>
        <v>229.402124980275</v>
      </c>
      <c r="CW122" s="262">
        <f t="shared" si="348"/>
        <v>224.904044098309</v>
      </c>
      <c r="CX122" s="259">
        <f>CY122+各项系数!$M$9*$NU122</f>
        <v>231.135249756346</v>
      </c>
      <c r="CY122" s="259">
        <f t="shared" si="349"/>
        <v>229.402446324048</v>
      </c>
      <c r="CZ122" s="260">
        <f>DA122+各项系数!$L$9*$NU122</f>
        <v>234.08412890209</v>
      </c>
      <c r="DA122" s="260">
        <f>DB122*(1+$DD122+各项系数!$J$5+各项系数!$L$5)</f>
        <v>232.351325469792</v>
      </c>
      <c r="DB122" s="262">
        <f t="shared" si="350"/>
        <v>227.795417127247</v>
      </c>
      <c r="DC122" s="277">
        <f t="shared" si="498"/>
        <v>0</v>
      </c>
      <c r="DD122" s="277">
        <f t="shared" si="351"/>
        <v>0</v>
      </c>
      <c r="DE122" s="69" t="s">
        <v>498</v>
      </c>
      <c r="DF122" s="69" t="s">
        <v>513</v>
      </c>
      <c r="DG122" s="259">
        <f>DH122+各项系数!$M$9*$NQ122</f>
        <v>228.496900711534</v>
      </c>
      <c r="DH122" s="259">
        <f>DI122*(1+$EA122+(VLOOKUP($AM122,$A$12:$B$323,2,0))+各项系数!$J$6+各项系数!$M$5)*(1+$E$2)+各项系数!$M$9*$NK122</f>
        <v>226.780037314377</v>
      </c>
      <c r="DI122" s="260">
        <f>DJ122+各项系数!$L$9*$NQ122</f>
        <v>230.094749591134</v>
      </c>
      <c r="DJ122" s="260">
        <f>DK122*(1+$EB122+各项系数!$J$5+各项系数!$L$5)</f>
        <v>228.377886193977</v>
      </c>
      <c r="DK122" s="260">
        <f t="shared" si="352"/>
        <v>221.726103100948</v>
      </c>
      <c r="DL122" s="259">
        <f>DM122+各项系数!$M$9*$NQ122</f>
        <v>230.974423141639</v>
      </c>
      <c r="DM122" s="259">
        <f>DN122*(1+$EA122+(VLOOKUP($AM122,$A$12:$B$323,2,0))+各项系数!$J$6+各项系数!$M$5)*(1+$E$2)+各项系数!$M$9*$NK122</f>
        <v>229.257559744482</v>
      </c>
      <c r="DN122" s="260">
        <f>DO122+各项系数!$L$9*$NQ122</f>
        <v>232.622833703486</v>
      </c>
      <c r="DO122" s="260">
        <f>DP122*(1+$EB122+各项系数!$J$5+各项系数!$L$5)</f>
        <v>230.905970306328</v>
      </c>
      <c r="DP122" s="260">
        <f t="shared" si="353"/>
        <v>224.180553695464</v>
      </c>
      <c r="DQ122" s="259">
        <f>DR122+各项系数!$M$9*$NV122</f>
        <v>230.880275958537</v>
      </c>
      <c r="DR122" s="259">
        <f t="shared" si="354"/>
        <v>229.147472526239</v>
      </c>
      <c r="DS122" s="260">
        <f>DT122+各项系数!$L$9*$NV122</f>
        <v>233.823951557387</v>
      </c>
      <c r="DT122" s="260">
        <f>DU122*(1+$EB122+各项系数!$J$5+各项系数!$L$5)</f>
        <v>232.091148125089</v>
      </c>
      <c r="DU122" s="262">
        <f t="shared" si="355"/>
        <v>225.331211771931</v>
      </c>
      <c r="DV122" s="259">
        <f>DW122+各项系数!$M$9*$NV122</f>
        <v>230.65056089625</v>
      </c>
      <c r="DW122" s="259">
        <f t="shared" si="356"/>
        <v>228.917757463952</v>
      </c>
      <c r="DX122" s="260">
        <f>DY122+各项系数!$L$9*$NV122</f>
        <v>233.589548432604</v>
      </c>
      <c r="DY122" s="260">
        <f>DZ122*(1+$EB122+各项系数!$J$5+各项系数!$L$5)</f>
        <v>231.856745000307</v>
      </c>
      <c r="DZ122" s="262">
        <f t="shared" si="357"/>
        <v>225.103635922628</v>
      </c>
      <c r="EA122" s="277">
        <f t="shared" si="511"/>
        <v>0</v>
      </c>
      <c r="EB122" s="277">
        <f t="shared" si="358"/>
        <v>0.01</v>
      </c>
      <c r="EC122" s="302" t="str">
        <f t="shared" si="408"/>
        <v>3+2</v>
      </c>
      <c r="ED122" s="302" t="str">
        <f t="shared" si="494"/>
        <v>3*95</v>
      </c>
      <c r="EE122" s="251">
        <f t="shared" si="495"/>
        <v>95</v>
      </c>
      <c r="EF122" s="251" t="str">
        <f>LOOKUP(EH122,{1,7,10,14,19,24,30,37,48,61},{1,"1+6","2+8","4+10","1+6+12","2+8+14","4+10+16","1+6+12+18","3+9+15+21","1+6+12+18+24"})</f>
        <v>1+6+12</v>
      </c>
      <c r="EG122" s="250">
        <f t="shared" si="359"/>
        <v>3</v>
      </c>
      <c r="EH122" s="260">
        <f>VLOOKUP(EE122,各项系数!$B$87:$C$124,2,0)</f>
        <v>19</v>
      </c>
      <c r="EI122" s="250">
        <f>IF(EH122=0,0,VLOOKUP(EH122,各项系数!$D$142:$E$195,2,0))*1</f>
        <v>5</v>
      </c>
      <c r="EJ122" s="305">
        <f t="shared" si="409"/>
        <v>245.088056587712</v>
      </c>
      <c r="EK122" s="251" t="str">
        <f t="shared" si="508"/>
        <v>2*50</v>
      </c>
      <c r="EL122" s="251" t="str">
        <f t="shared" si="360"/>
        <v>50</v>
      </c>
      <c r="EM122" s="251">
        <f t="shared" si="496"/>
        <v>50</v>
      </c>
      <c r="EN122" s="251" t="str">
        <f>IF(EP122=0,0,LOOKUP(EP122,{1,7,10,14,19,24,30,37,48,61},{1,"1+6","2+8","4+10","1+6+12","2+8+14","4+10+16","1+6+12+18","3+9+15+21","1+6+12+18+24"}))</f>
        <v>2+8</v>
      </c>
      <c r="EO122" s="251" t="str">
        <f t="shared" si="509"/>
        <v>2</v>
      </c>
      <c r="EP122" s="251">
        <f>IF(EM122=0,0,IF(EM122&lt;10,1,IF(AND(EM122&gt;=10,EM122&lt;=35),7,LOOKUP(EM122,{50,70,95,120,150,185,240,300},{10,14,19,24,30,37,48,61})*1)))</f>
        <v>10</v>
      </c>
      <c r="EQ122" s="251">
        <f>IF(EP122=0,0,VLOOKUP(EP122,各项系数!$D$142:$E$195,2,0))*1</f>
        <v>4</v>
      </c>
      <c r="ER122" s="251">
        <f t="shared" si="510"/>
        <v>238.573455311777</v>
      </c>
      <c r="ES122" s="302">
        <f t="shared" si="497"/>
        <v>5</v>
      </c>
      <c r="ET122" s="251">
        <f>VLOOKUP(ES122,各项系数!$D$142:$E$195,2,0)*1</f>
        <v>2.7</v>
      </c>
      <c r="EU122" s="311">
        <f>((各项系数!$F$76/4*$EJ122^2*$EG122*$EH122*1*10^-7)*(1-$H122)*AA122)*(VLOOKUP($EY$9,各项系数!$D$4:$F$143,3,0))*各项系数!$J$4</f>
        <v>2.40959093312616</v>
      </c>
      <c r="EV122" s="312">
        <f>EU122*(VLOOKUP($EY$9,各项系数!$D$4:$F$143,2,0))</f>
        <v>157.828206119764</v>
      </c>
      <c r="EW122" s="324">
        <f>(IF($EO122=0,0,(各项系数!$F$76/4*$ER122^2*$EO122*$EP122*1*10^-7))*(1-$K122)*$AF122)*(VLOOKUP($EY$9,各项系数!$D$4:$F$143,3,0))*各项系数!$J$4</f>
        <v>0.799539852110976</v>
      </c>
      <c r="EX122" s="325">
        <f>EW122*(VLOOKUP($EY$9,各项系数!$D$4:$F$143,2,0))</f>
        <v>52.3698603132689</v>
      </c>
      <c r="EY122" s="251">
        <f>((各项系数!$F$76/4*$EJ122^2*$EG122*$EH122*1*10^-7)*(1-$H122)*AA122+IF($EO122=0,0,(各项系数!$F$76/4*$ER122^2*$EO122*$EP122*1*10^-7))*(1-$K122)*$AF122)*(VLOOKUP($EY$9,各项系数!$D$4:$F$143,3,0))*各项系数!$J$4</f>
        <v>3.20913078523714</v>
      </c>
      <c r="EZ122" s="123">
        <v>1</v>
      </c>
      <c r="FA122" s="251">
        <f t="shared" si="515"/>
        <v>3.20913078523714</v>
      </c>
      <c r="FB122" s="326">
        <f>FA122*(VLOOKUP($EY$9,各项系数!$D$4:$F$143,2,0))</f>
        <v>210.198066433033</v>
      </c>
      <c r="FC122" s="327"/>
      <c r="FD122" s="302">
        <f>各项系数!$F$76/4*($MN122^2-MK122^2)*10^-2*(VLOOKUP(L122,各项系数!$D$1:$F$143,3,0))*10^-3*10^2*$EG122*各项系数!$J$4</f>
        <v>0.151531894004455</v>
      </c>
      <c r="FE122" s="339">
        <f>FD122*VLOOKUP(L122,各项系数!$D$1:$F$143,2,0)</f>
        <v>1.54562531884544</v>
      </c>
      <c r="FF122" s="250">
        <f>各项系数!$F$76/4*($MO122^2-ML122^2)*10^-2*(VLOOKUP(L122,各项系数!$D$1:$F$143,3,0))*10^-3*10^2*$EO122*各项系数!$J$4</f>
        <v>0.0725032201325813</v>
      </c>
      <c r="FG122" s="339">
        <f>FF122*VLOOKUP(L122,各项系数!$D$1:$F$143,2,0)</f>
        <v>0.73953284535233</v>
      </c>
      <c r="FH122" s="302">
        <f t="shared" si="410"/>
        <v>0.224035114137037</v>
      </c>
      <c r="FI122" s="123">
        <v>1</v>
      </c>
      <c r="FJ122" s="251">
        <f t="shared" si="516"/>
        <v>0.224035114137037</v>
      </c>
      <c r="FK122" s="339">
        <f>FJ122*VLOOKUP(L122,各项系数!$D$1:$F$143,2,0)</f>
        <v>2.28515816419777</v>
      </c>
      <c r="FL122" s="302"/>
      <c r="FM122" s="123"/>
      <c r="FN122" s="251"/>
      <c r="FO122" s="339"/>
      <c r="FP122" s="364">
        <f t="shared" si="517"/>
        <v>0.224035114137037</v>
      </c>
      <c r="FQ122" s="364">
        <f t="shared" si="518"/>
        <v>2.28515816419777</v>
      </c>
      <c r="FR122" s="365">
        <f>各项系数!$F$76/4*($MQ122^2-$MN122^2*$EG122-$MO122^2*$EO122)*10^-2</f>
        <v>3.0967157764423</v>
      </c>
      <c r="FS122" s="366">
        <f t="shared" si="411"/>
        <v>1</v>
      </c>
      <c r="FT122" s="367">
        <f t="shared" si="361"/>
        <v>3.0967157764423</v>
      </c>
      <c r="FU122" s="388">
        <f>$FT122*(VLOOKUP($FT$9,各项系数!$D$1:$F$143,3,0))*10^-3*10^2*各项系数!$J$55</f>
        <v>0.369747863707211</v>
      </c>
      <c r="FV122" s="389">
        <v>1</v>
      </c>
      <c r="FW122" s="390">
        <f t="shared" si="519"/>
        <v>0.369747863707211</v>
      </c>
      <c r="FX122" s="367">
        <f>FW122*(VLOOKUP($FT$9,各项系数!$D$1:$F$143,2,0))</f>
        <v>1.10924359112163</v>
      </c>
      <c r="FY122" s="388">
        <f>IF($BK122&lt;&gt;$FY$9,0,各项系数!$F$76/4*($MS122^2-$MQ122^2)*10^-2*(VLOOKUP($FY$9,各项系数!$D$1:$F$143,3,0))*10^-3*10^2)*各项系数!$J$4</f>
        <v>0</v>
      </c>
      <c r="FZ122" s="389">
        <v>1</v>
      </c>
      <c r="GA122" s="390">
        <f t="shared" si="520"/>
        <v>0</v>
      </c>
      <c r="GB122" s="367">
        <f>GA122*(VLOOKUP($FY$9,各项系数!$D$1:$F$143,2,0))</f>
        <v>0</v>
      </c>
      <c r="GC122" s="388">
        <f>IF($BK122&lt;&gt;$GC$9,0,各项系数!$F$76/4*($MS122^2-$MQ122^2)*10^-2*(VLOOKUP($GC$9,各项系数!$D$1:$F$143,3,0))*10^-3*10^2)*各项系数!$J$4</f>
        <v>0.00979574262726724</v>
      </c>
      <c r="GD122" s="389">
        <v>1</v>
      </c>
      <c r="GE122" s="390">
        <f t="shared" si="521"/>
        <v>0.00979574262726724</v>
      </c>
      <c r="GF122" s="367">
        <f>GE122*(VLOOKUP($GC$9,各项系数!$D$1:$F$143,2,0))</f>
        <v>0.126365079891747</v>
      </c>
      <c r="GG122" s="388">
        <f>IF($BK122&lt;&gt;$GG$9,0,各项系数!$F$76/4*($MS122^2-$MQ122^2)*10^-2*(VLOOKUP($GG$9,各项系数!$D$1:$F$143,3,0))*10^-3*10^2)*各项系数!$J$4</f>
        <v>0</v>
      </c>
      <c r="GH122" s="389">
        <v>1</v>
      </c>
      <c r="GI122" s="390">
        <f t="shared" si="522"/>
        <v>0</v>
      </c>
      <c r="GJ122" s="367">
        <f>GI122*(VLOOKUP($GG$9,各项系数!$D$1:$F$143,2,0))</f>
        <v>0</v>
      </c>
      <c r="GK122" s="388">
        <f>IF($BK122&lt;&gt;$GK$9,0,各项系数!$F$76/4*($MS122^2-$MQ122^2)*10^-2*(VLOOKUP($GK$9,各项系数!$D$1:$F$143,3,0))*10^-3*10^2)*各项系数!$J$4</f>
        <v>0</v>
      </c>
      <c r="GL122" s="389">
        <v>1</v>
      </c>
      <c r="GM122" s="390">
        <f t="shared" si="523"/>
        <v>0</v>
      </c>
      <c r="GN122" s="367">
        <f>GM122*(VLOOKUP($GK$9,各项系数!$D$1:$F$143,2,0))</f>
        <v>0</v>
      </c>
      <c r="GO122" s="390">
        <f t="shared" si="524"/>
        <v>0.00979574262726724</v>
      </c>
      <c r="GP122" s="390">
        <f t="shared" si="525"/>
        <v>0.126365079891747</v>
      </c>
      <c r="GQ122" s="406">
        <f>各项系数!$F$76/4*($MU122^2-$MS122^2)*10^-2*(VLOOKUP($S122,各项系数!$D$1:$F$143,3,0))*10^-3*10^2*各项系数!$J$4</f>
        <v>0.674821885631286</v>
      </c>
      <c r="GR122" s="389">
        <v>1</v>
      </c>
      <c r="GS122" s="390">
        <f t="shared" si="526"/>
        <v>0.674821885631286</v>
      </c>
      <c r="GT122" s="390">
        <f t="shared" si="457"/>
        <v>0</v>
      </c>
      <c r="GU122" s="390">
        <f>ROUND($GS122*(VLOOKUP($S122,各项系数!$D$1:$F$143,2,0))+$E$3*GS122,GT122)</f>
        <v>4</v>
      </c>
      <c r="GV122" s="406">
        <f>各项系数!$F$76/4*($MT122^2-$MS122^2)*10^-2*(VLOOKUP($GV$9,各项系数!$D$1:$F$143,3,0))*10^-3*10^2*各项系数!$J$4*PI()/4*R122</f>
        <v>0.0504794672598684</v>
      </c>
      <c r="GW122" s="389">
        <v>1</v>
      </c>
      <c r="GX122" s="390">
        <f t="shared" si="527"/>
        <v>0.0504794672598684</v>
      </c>
      <c r="GY122" s="390">
        <f>$GX122*(VLOOKUP($GV$9,各项系数!$D$1:$F$143,2,0))</f>
        <v>3.40736404004112</v>
      </c>
      <c r="GZ122" s="406">
        <f>各项系数!$F$76/4*($MV122^2-$MS122^2)*10^-2*(VLOOKUP($GZ$9,各项系数!$D$1:$F$143,3,0))*10^-3*10^2*各项系数!$J$4</f>
        <v>0.399880728127746</v>
      </c>
      <c r="HA122" s="389">
        <v>1</v>
      </c>
      <c r="HB122" s="390">
        <f t="shared" si="412"/>
        <v>0.399880728127746</v>
      </c>
      <c r="HC122" s="390">
        <f>HB122*(VLOOKUP($GZ$9,各项系数!$D$1:$F$143,2,0))</f>
        <v>6.79797237817168</v>
      </c>
      <c r="HD122" s="406">
        <f>各项系数!$F$76/4*($MW122^2-$MT122^2)*10^-2*(VLOOKUP($HD$9,各项系数!$D$1:$F$143,3,0))*10^-3*10^2*各项系数!$J$4</f>
        <v>0.401548700198502</v>
      </c>
      <c r="HE122" s="389">
        <v>1</v>
      </c>
      <c r="HF122" s="390">
        <f t="shared" si="413"/>
        <v>0.401548700198502</v>
      </c>
      <c r="HG122" s="390">
        <f>HF122*(VLOOKUP($HD$9,各项系数!$D$1:$F$143,2,0))</f>
        <v>6.82632790337453</v>
      </c>
      <c r="HH122" s="406">
        <f>各项系数!$F$76/4*($MV122^2-$MS122^2)*10^-2*(VLOOKUP($HH$9,各项系数!$D$1:$F$143,3,0))*10^-3*10^2*各项系数!$J$4</f>
        <v>0.399880728127746</v>
      </c>
      <c r="HI122" s="420">
        <v>1</v>
      </c>
      <c r="HJ122" s="390">
        <f t="shared" si="414"/>
        <v>0.399880728127746</v>
      </c>
      <c r="HK122" s="390">
        <f>HJ122*(VLOOKUP($HH$9,各项系数!$D$1:$F$143,2,0))</f>
        <v>6.79797237817168</v>
      </c>
      <c r="HL122" s="406">
        <f>各项系数!$F$76/4*($MW122^2-$MT122^2)*10^-2*(VLOOKUP($HL$9,各项系数!$D$1:$F$143,3,0))*10^-3*10^2*各项系数!$J$4</f>
        <v>0.401548700198502</v>
      </c>
      <c r="HM122" s="420">
        <v>1</v>
      </c>
      <c r="HN122" s="390">
        <f t="shared" si="362"/>
        <v>0.401548700198502</v>
      </c>
      <c r="HO122" s="390">
        <f>HN122*(VLOOKUP($HL$9,各项系数!$D$1:$F$143,2,0))</f>
        <v>6.82632790337453</v>
      </c>
      <c r="HP122" s="406">
        <f>各项系数!$F$76/4*($MV122^2-$MS122^2)*10^-2*(VLOOKUP(AN122,各项系数!$D$1:$F$143,3,0))*10^-3*10^2*各项系数!$J$4</f>
        <v>0.405396324377784</v>
      </c>
      <c r="HQ122" s="389">
        <v>1</v>
      </c>
      <c r="HR122" s="390">
        <f t="shared" si="528"/>
        <v>0.405396324377784</v>
      </c>
      <c r="HS122" s="390">
        <f>HR122*(VLOOKUP(AN122,各项系数!$D$1:$F$143,2,0))</f>
        <v>4.05396324377784</v>
      </c>
      <c r="HT122" s="406">
        <f>各项系数!$F$76/4*($MW122^2-$MT122^2)*10^-2*(VLOOKUP(AN122,各项系数!$D$1:$F$143,3,0))*10^-3*10^2*各项系数!$J$4</f>
        <v>0.407087302959861</v>
      </c>
      <c r="HU122" s="389">
        <v>1</v>
      </c>
      <c r="HV122" s="390">
        <f t="shared" si="529"/>
        <v>0.407087302959861</v>
      </c>
      <c r="HW122" s="390">
        <f>HV122*(VLOOKUP(AN122,各项系数!$D$1:$F$143,2,0))</f>
        <v>4.07087302959861</v>
      </c>
      <c r="HX122" s="406">
        <f>各项系数!$F$76/4*($MV122^2-$MS122^2)*10^-2*(VLOOKUP($HX$9,各项系数!$D$1:$F$143,3,0))*10^-3*10^2*各项系数!$J$4</f>
        <v>0.405396324377784</v>
      </c>
      <c r="HY122" s="420">
        <v>1</v>
      </c>
      <c r="HZ122" s="390">
        <f t="shared" si="530"/>
        <v>0.405396324377784</v>
      </c>
      <c r="IA122" s="390">
        <f>HZ122*(VLOOKUP($HX$9,各项系数!$D$1:$F$143,2,0))</f>
        <v>4.45935956815562</v>
      </c>
      <c r="IB122" s="406">
        <f>各项系数!$F$76/4*($MW122^2-$MT122^2)*10^-2*(VLOOKUP($IB$9,各项系数!$D$1:$F$143,3,0))*10^-3*10^2*各项系数!$J$4</f>
        <v>0.407087302959861</v>
      </c>
      <c r="IC122" s="420">
        <v>1</v>
      </c>
      <c r="ID122" s="390">
        <f t="shared" si="531"/>
        <v>0.407087302959861</v>
      </c>
      <c r="IE122" s="390">
        <f>ID122*(VLOOKUP($IB$9,各项系数!$D$1:$F$143,2,0))</f>
        <v>4.47796033255847</v>
      </c>
      <c r="IF122" s="429"/>
      <c r="IG122" s="406">
        <f t="shared" si="415"/>
        <v>0.080669982027493</v>
      </c>
      <c r="IH122" s="389">
        <v>1</v>
      </c>
      <c r="II122" s="390">
        <f t="shared" si="532"/>
        <v>0.080669982027493</v>
      </c>
      <c r="IJ122" s="390">
        <f>II122*(VLOOKUP($IG$8,各项系数!$D$1:$F$143,2,0))</f>
        <v>2.01674955068732</v>
      </c>
      <c r="IK122" s="406">
        <f>(各项系数!$F$76/4*($MX122^2-$MK122^2)*$EG122)*10^-2*(VLOOKUP($IG$8,各项系数!$D$1:$F$143,3,0))*10^-3*10^2*各项系数!$J$4</f>
        <v>0.0529788811476796</v>
      </c>
      <c r="IL122" s="389">
        <f>IK122*(VLOOKUP($IG$8,各项系数!$D$1:$F$143,2,0))</f>
        <v>1.32447202869199</v>
      </c>
      <c r="IM122" s="390">
        <f>(各项系数!$F$76/4*(($MM122+3*$X122)^2-MM122^2)*$EO122)*10^-2*(VLOOKUP($IG$8,各项系数!$D$1:$F$143,3,0))*10^-3*10^2*各项系数!$J$4</f>
        <v>0.0276911008798133</v>
      </c>
      <c r="IN122" s="389">
        <f>IM122*(VLOOKUP($IG$8,各项系数!$D$1:$F$143,2,0))</f>
        <v>0.692277521995334</v>
      </c>
      <c r="IO122" s="406">
        <f>各项系数!$F$76/4*($MZ122^2-$MX122^2)*10^-2*(VLOOKUP(L122,各项系数!$D$1:$F$143,3,0))*10^-3*10^2*$ES122*各项系数!$J$4</f>
        <v>0.263900118099961</v>
      </c>
      <c r="IP122" s="389">
        <v>1</v>
      </c>
      <c r="IQ122" s="390">
        <f t="shared" si="533"/>
        <v>0.263900118099961</v>
      </c>
      <c r="IR122" s="367">
        <f>IQ122*(VLOOKUP(L122,各项系数!$D$1:$F$143,2,0))</f>
        <v>2.6917812046196</v>
      </c>
      <c r="IS122" s="406">
        <f>IF($L122&lt;&gt;$IS$9,0,各项系数!$F$76/4*($MZ122^2-$MX122^2)*10^-2*各项系数!$F$12*10^-3*10^2)*$ES122*各项系数!$J$4</f>
        <v>0</v>
      </c>
      <c r="IT122" s="389">
        <v>1</v>
      </c>
      <c r="IU122" s="390">
        <f t="shared" si="534"/>
        <v>0</v>
      </c>
      <c r="IV122" s="367">
        <f>IU122*各项系数!$E$12</f>
        <v>0</v>
      </c>
      <c r="IW122" s="388">
        <f t="shared" si="535"/>
        <v>0.263900118099961</v>
      </c>
      <c r="IX122" s="388">
        <f t="shared" si="536"/>
        <v>2.6917812046196</v>
      </c>
      <c r="IY122" s="447">
        <f>各项系数!$F$76/4*($NB122^2-$MZ122^2*$EG122-$NA122^2*$EO122)*10^-2</f>
        <v>3.44070607480335</v>
      </c>
      <c r="IZ122" s="366">
        <f t="shared" si="487"/>
        <v>1</v>
      </c>
      <c r="JA122" s="367">
        <f t="shared" si="363"/>
        <v>3.44070607480335</v>
      </c>
      <c r="JB122" s="364">
        <f>IF($DE122&lt;&gt;$JB$9,0,$JA122*各项系数!$F$32*10^-3*10^2)*各项系数!$J$4</f>
        <v>0</v>
      </c>
      <c r="JC122" s="123">
        <v>1</v>
      </c>
      <c r="JD122" s="251">
        <f t="shared" si="537"/>
        <v>0</v>
      </c>
      <c r="JE122" s="339">
        <f>JD122*各项系数!$E$32</f>
        <v>0</v>
      </c>
      <c r="JF122" s="364">
        <f>IF($DE122&lt;&gt;$JF$9,0,$JA122*VLOOKUP($JF$9,各项系数!$D$4:$F$540,2,0)*10^-3*10^2)*各项系数!$J$4</f>
        <v>1.71175127221467</v>
      </c>
      <c r="JG122" s="123">
        <v>1</v>
      </c>
      <c r="JH122" s="251">
        <f t="shared" si="364"/>
        <v>1.71175127221467</v>
      </c>
      <c r="JI122" s="339">
        <f>JH122*VLOOKUP($JF$9,各项系数!$D$4:$F$540,3,0)</f>
        <v>2.0541015266576</v>
      </c>
      <c r="JJ122" s="364">
        <f t="shared" si="538"/>
        <v>1.71175127221467</v>
      </c>
      <c r="JK122" s="251">
        <f t="shared" si="539"/>
        <v>2.0541015266576</v>
      </c>
      <c r="JL122" s="364">
        <f>IF($DF122&lt;&gt;$JL$9,0,各项系数!$F$76/4*($NE122^2-$NC122^2)*10^-2*各项系数!$F$39*10^-3*10^2)*各项系数!$J$4</f>
        <v>0.00425803702558338</v>
      </c>
      <c r="JM122" s="123">
        <v>1</v>
      </c>
      <c r="JN122" s="251">
        <f t="shared" si="540"/>
        <v>0.00425803702558338</v>
      </c>
      <c r="JO122" s="339">
        <f>JN122*各项系数!$E$39</f>
        <v>0.0851607405116675</v>
      </c>
      <c r="JP122" s="364">
        <f>IF($DF122&lt;&gt;$JP$9,0,各项系数!$F$76/4*($NE122^2-$NC122^2)*10^-2*各项系数!$F$36*10^-3*10^2)*各项系数!$J$4</f>
        <v>0</v>
      </c>
      <c r="JQ122" s="123">
        <v>1</v>
      </c>
      <c r="JR122" s="251">
        <f t="shared" si="541"/>
        <v>0</v>
      </c>
      <c r="JS122" s="339">
        <f>JR122*各项系数!$E$36</f>
        <v>0</v>
      </c>
      <c r="JT122" s="364">
        <f>IF($DF122&lt;&gt;$JT$9,0,各项系数!$F$76/4*($NE122^2-$NC122^2)*10^-2*各项系数!$F$40*10^-3*10^2)*各项系数!$J$4</f>
        <v>0</v>
      </c>
      <c r="JU122" s="123">
        <v>1</v>
      </c>
      <c r="JV122" s="251">
        <f t="shared" si="542"/>
        <v>0</v>
      </c>
      <c r="JW122" s="339">
        <f>JV122*各项系数!$E$40</f>
        <v>0</v>
      </c>
      <c r="JX122" s="364">
        <f>IF($DF122&lt;&gt;$JX$9,0,各项系数!$F$76/4*($NE122^2-$NC122^2)*10^-2*各项系数!$F$38*10^-3*10^2)*各项系数!$J$4</f>
        <v>0</v>
      </c>
      <c r="JY122" s="123">
        <v>1</v>
      </c>
      <c r="JZ122" s="251">
        <f t="shared" si="543"/>
        <v>0</v>
      </c>
      <c r="KA122" s="339">
        <f>JZ122*各项系数!$E$38</f>
        <v>0</v>
      </c>
      <c r="KB122" s="364">
        <f>IF($DF122&lt;&gt;$KB$9,0,各项系数!$F$76/4*($NE122^2-$NC122^2)*10^-2*各项系数!$F$41*10^-3*10^2)*各项系数!$J$4</f>
        <v>0</v>
      </c>
      <c r="KC122" s="123">
        <v>1</v>
      </c>
      <c r="KD122" s="251">
        <f t="shared" si="544"/>
        <v>0</v>
      </c>
      <c r="KE122" s="339">
        <f>KD122*各项系数!$E$41</f>
        <v>0</v>
      </c>
      <c r="KF122" s="251">
        <f t="shared" si="545"/>
        <v>0.00425803702558338</v>
      </c>
      <c r="KG122" s="251">
        <f t="shared" si="546"/>
        <v>0.0851607405116675</v>
      </c>
      <c r="KH122" s="302">
        <f>各项系数!$F$76/4*($NG122^2-$NE122^2)*10^-2*各项系数!$F$44*10^-3*10^2*各项系数!$J$4*0.75*$U122</f>
        <v>1.06448277251683</v>
      </c>
      <c r="KI122" s="123">
        <v>1</v>
      </c>
      <c r="KJ122" s="251">
        <f t="shared" si="547"/>
        <v>1.06448277251683</v>
      </c>
      <c r="KK122" s="251">
        <f>ROUND(KJ122*各项系数!$E$43,GT122)</f>
        <v>6</v>
      </c>
      <c r="KL122" s="302">
        <f>各项系数!$F$76/4*($NF122^2-$NE122^2)*10^-2*各项系数!$F$46*10^-3*10^2*各项系数!$J$4*PI()/4*R122</f>
        <v>0.0531334504678548</v>
      </c>
      <c r="KM122" s="123">
        <v>1</v>
      </c>
      <c r="KN122" s="251">
        <f t="shared" si="548"/>
        <v>0.0531334504678548</v>
      </c>
      <c r="KO122" s="251">
        <f>KN122*各项系数!$E$46</f>
        <v>3.5865079065802</v>
      </c>
      <c r="KP122" s="302">
        <f>各项系数!$F$76/4*($NH122^2-$NE122^2)*10^-2*(VLOOKUP($KP$9,各项系数!$D$1:$F$143,3,0))*10^-3*10^2*各项系数!$J$4</f>
        <v>0.41968789646797</v>
      </c>
      <c r="KQ122" s="123">
        <v>1</v>
      </c>
      <c r="KR122" s="251">
        <f t="shared" si="416"/>
        <v>0.41968789646797</v>
      </c>
      <c r="KS122" s="251">
        <f>KR122*(VLOOKUP($KP$9,各项系数!$D$1:$F$143,2,0))</f>
        <v>7.1346942399555</v>
      </c>
      <c r="KT122" s="302">
        <f>各项系数!$F$76/4*($NI122^2-$NF122^2)*10^-2*(VLOOKUP($KT$9,各项系数!$D$1:$F$143,3,0))*10^-3*10^2*各项系数!$J$4</f>
        <v>0.421355868538726</v>
      </c>
      <c r="KU122" s="123">
        <v>1</v>
      </c>
      <c r="KV122" s="251">
        <f t="shared" si="417"/>
        <v>0.421355868538726</v>
      </c>
      <c r="KW122" s="251">
        <f>KV122*(VLOOKUP($KT$9,各项系数!$D$1:$F$143,2,0))</f>
        <v>7.16304976515834</v>
      </c>
      <c r="KX122" s="251">
        <f>各项系数!$F$76/4*($NH122^2-$NE122^2)*10^-2*(VLOOKUP($KX$9,各项系数!$D$1:$F$143,3,0))*10^-3*10^2*各项系数!$J$4</f>
        <v>0.41968789646797</v>
      </c>
      <c r="KY122" s="479">
        <v>1</v>
      </c>
      <c r="KZ122" s="251">
        <f t="shared" si="418"/>
        <v>0.41968789646797</v>
      </c>
      <c r="LA122" s="251">
        <f>KZ122*(VLOOKUP($KX$9,各项系数!$D$1:$F$143,2,0))</f>
        <v>7.1346942399555</v>
      </c>
      <c r="LB122" s="251">
        <f>各项系数!$F$76/4*($NI122^2-$NF122^2)*10^-2*(VLOOKUP($LB$9,各项系数!$D$1:$F$143,3,0))*10^-3*10^2*各项系数!$J$4</f>
        <v>0.421355868538726</v>
      </c>
      <c r="LC122" s="479">
        <v>1</v>
      </c>
      <c r="LD122" s="251">
        <f t="shared" si="419"/>
        <v>0.421355868538726</v>
      </c>
      <c r="LE122" s="251">
        <f>LD122*(VLOOKUP($LB$9,各项系数!$D$1:$F$143,2,0))</f>
        <v>7.16304976515834</v>
      </c>
      <c r="LF122" s="302">
        <f>各项系数!$F$76/4*($NH122^2-$NE122^2)*10^-2*(VLOOKUP(AN122,各项系数!$D$1:$F$143,3,0))*10^-3*10^2*各项系数!$J$4</f>
        <v>0.425476695039942</v>
      </c>
      <c r="LG122" s="123">
        <v>1</v>
      </c>
      <c r="LH122" s="251">
        <f t="shared" si="549"/>
        <v>0.425476695039942</v>
      </c>
      <c r="LI122" s="251">
        <f>LH122*(VLOOKUP(AN122,各项系数!$D$1:$F$143,2,0))</f>
        <v>4.25476695039942</v>
      </c>
      <c r="LJ122" s="302">
        <f>各项系数!$F$76/4*($NI122^2-$NF122^2)*10^-2*(VLOOKUP(AN122,各项系数!$D$1:$F$143,3,0))*10^-3*10^2*各项系数!$J$4</f>
        <v>0.427167673622019</v>
      </c>
      <c r="LK122" s="123">
        <v>1</v>
      </c>
      <c r="LL122" s="251">
        <f t="shared" si="550"/>
        <v>0.427167673622019</v>
      </c>
      <c r="LM122" s="251">
        <f>LL122*(VLOOKUP(AN122,各项系数!$D$1:$F$143,2,0))</f>
        <v>4.27167673622019</v>
      </c>
      <c r="LN122" s="251">
        <f>各项系数!$F$76/4*($NH122^2-$NE122^2)*10^-2*(VLOOKUP($LN$9,各项系数!$D$1:$F$143,3,0))*10^-3*10^2*各项系数!$J$4</f>
        <v>0.425476695039942</v>
      </c>
      <c r="LO122" s="479">
        <v>1</v>
      </c>
      <c r="LP122" s="251">
        <f t="shared" si="551"/>
        <v>0.425476695039942</v>
      </c>
      <c r="LQ122" s="251">
        <f>LP122*(VLOOKUP($LN$9,各项系数!$D$1:$F$143,2,0))</f>
        <v>4.68024364543937</v>
      </c>
      <c r="LR122" s="251">
        <f>各项系数!$F$76/4*($NI122^2-$NF122^2)*10^-2*(VLOOKUP($LR$9,各项系数!$D$1:$F$143,3,0))*10^-3*10^2*各项系数!$J$4</f>
        <v>0.427167673622019</v>
      </c>
      <c r="LS122" s="479">
        <v>1</v>
      </c>
      <c r="LT122" s="251">
        <f t="shared" si="552"/>
        <v>0.427167673622019</v>
      </c>
      <c r="LU122" s="251">
        <f>LT122*(VLOOKUP($LR$9,各项系数!$D$1:$F$143,2,0))</f>
        <v>4.6988444098422</v>
      </c>
      <c r="LV122" s="499">
        <f t="shared" si="420"/>
        <v>353.83064365</v>
      </c>
      <c r="LW122" s="499">
        <f t="shared" si="421"/>
        <v>268.91128917</v>
      </c>
      <c r="LX122" s="499">
        <f t="shared" si="422"/>
        <v>18.5037425240668</v>
      </c>
      <c r="LY122" s="515">
        <f t="shared" si="423"/>
        <v>84.91935448</v>
      </c>
      <c r="LZ122" s="516">
        <f t="shared" si="365"/>
        <v>1</v>
      </c>
      <c r="MA122" s="517">
        <f t="shared" si="366"/>
        <v>353.83064365</v>
      </c>
      <c r="MB122" s="517">
        <f t="shared" si="424"/>
        <v>12.25440285</v>
      </c>
      <c r="MC122" s="499">
        <f t="shared" si="425"/>
        <v>143.0487611</v>
      </c>
      <c r="MD122" s="499">
        <f t="shared" si="426"/>
        <v>89.40547545</v>
      </c>
      <c r="ME122" s="499">
        <f t="shared" si="427"/>
        <v>10.6693292600233</v>
      </c>
      <c r="MF122" s="499">
        <f t="shared" si="428"/>
        <v>53.64328565</v>
      </c>
      <c r="MG122" s="516">
        <f t="shared" si="429"/>
        <v>1</v>
      </c>
      <c r="MH122" s="517">
        <f t="shared" si="367"/>
        <v>143.0487611</v>
      </c>
      <c r="MI122" s="517">
        <f t="shared" si="430"/>
        <v>9.54293821257093</v>
      </c>
      <c r="MJ122" s="251">
        <f t="shared" si="368"/>
        <v>12.25440285</v>
      </c>
      <c r="MK122" s="251">
        <f t="shared" si="431"/>
        <v>12.25440285</v>
      </c>
      <c r="ML122" s="251">
        <f t="shared" si="553"/>
        <v>9.54293821247108</v>
      </c>
      <c r="MM122" s="251">
        <f t="shared" si="369"/>
        <v>9.54293821257093</v>
      </c>
      <c r="MN122" s="251">
        <f t="shared" si="370"/>
        <v>14.45440285</v>
      </c>
      <c r="MO122" s="251">
        <f t="shared" si="432"/>
        <v>11.5429382125709</v>
      </c>
      <c r="MP122" s="251">
        <f t="shared" si="433"/>
        <v>35.88250589</v>
      </c>
      <c r="MQ122" s="251">
        <f t="shared" si="554"/>
        <v>35.88250589</v>
      </c>
      <c r="MR122" s="314">
        <f t="shared" si="434"/>
        <v>35.88250589</v>
      </c>
      <c r="MS122" s="530">
        <f t="shared" si="371"/>
        <v>36.05850589</v>
      </c>
      <c r="MT122" s="530">
        <f t="shared" si="372"/>
        <v>36.21850589</v>
      </c>
      <c r="MU122" s="530">
        <f t="shared" si="373"/>
        <v>37.55850589</v>
      </c>
      <c r="MV122" s="530">
        <f t="shared" si="374"/>
        <v>40.65850589</v>
      </c>
      <c r="MW122" s="530">
        <f t="shared" si="375"/>
        <v>40.81850589</v>
      </c>
      <c r="MX122" s="326">
        <f t="shared" si="376"/>
        <v>12.85440285</v>
      </c>
      <c r="MY122" s="326">
        <f t="shared" si="377"/>
        <v>10.1429382125709</v>
      </c>
      <c r="MZ122" s="251">
        <f t="shared" si="378"/>
        <v>15.05440285</v>
      </c>
      <c r="NA122" s="251">
        <f t="shared" si="379"/>
        <v>12.3429382125709</v>
      </c>
      <c r="NB122" s="251">
        <f t="shared" si="435"/>
        <v>37.71850589</v>
      </c>
      <c r="NC122" s="326">
        <f t="shared" si="555"/>
        <v>37.71850589</v>
      </c>
      <c r="ND122" s="314">
        <f t="shared" si="436"/>
        <v>37.71850589</v>
      </c>
      <c r="NE122" s="537">
        <f t="shared" si="437"/>
        <v>37.95850589</v>
      </c>
      <c r="NF122" s="530">
        <f t="shared" si="380"/>
        <v>38.11850589</v>
      </c>
      <c r="NG122" s="538">
        <f t="shared" si="381"/>
        <v>39.45850589</v>
      </c>
      <c r="NH122" s="326">
        <f t="shared" si="382"/>
        <v>42.55850589</v>
      </c>
      <c r="NI122" s="530">
        <f t="shared" si="383"/>
        <v>42.71850589</v>
      </c>
      <c r="NK122" s="539">
        <f t="shared" si="384"/>
        <v>4.29060905021902</v>
      </c>
      <c r="NL122" s="539">
        <f t="shared" si="385"/>
        <v>218.512329357374</v>
      </c>
      <c r="NM122" s="539">
        <f t="shared" si="386"/>
        <v>4.29060905021902</v>
      </c>
      <c r="NN122" s="539">
        <f t="shared" si="387"/>
        <v>218.917725681752</v>
      </c>
      <c r="NO122" s="539">
        <f t="shared" si="388"/>
        <v>5.7228779905246</v>
      </c>
      <c r="NP122" s="539">
        <f t="shared" si="389"/>
        <v>221.992903927904</v>
      </c>
      <c r="NQ122" s="539">
        <f t="shared" si="390"/>
        <v>5.7228779905246</v>
      </c>
      <c r="NR122" s="539">
        <f t="shared" si="391"/>
        <v>222.418380622944</v>
      </c>
      <c r="NS122" s="539">
        <f t="shared" si="392"/>
        <v>4.34108851747889</v>
      </c>
      <c r="NT122" s="539">
        <f t="shared" si="393"/>
        <v>4.34108851747889</v>
      </c>
      <c r="NU122" s="539">
        <f t="shared" si="394"/>
        <v>5.77601144099245</v>
      </c>
      <c r="NV122" s="539">
        <f t="shared" si="395"/>
        <v>5.77601144099245</v>
      </c>
      <c r="NW122">
        <f t="shared" si="396"/>
        <v>4.96543093585031</v>
      </c>
      <c r="NX122">
        <f>各项系数!$M$9*NK122</f>
        <v>1.28718271506571</v>
      </c>
      <c r="NY122">
        <f t="shared" si="397"/>
        <v>4.34108851747889</v>
      </c>
    </row>
    <row r="123" customHeight="1" spans="1:389">
      <c r="A123" s="85"/>
      <c r="B123" s="86"/>
      <c r="C123" s="87"/>
      <c r="D123" s="69" t="s">
        <v>410</v>
      </c>
      <c r="E123" s="550">
        <f t="shared" si="503"/>
        <v>46.58640691</v>
      </c>
      <c r="F123" s="84">
        <f>$F$27</f>
        <v>244.921136962963</v>
      </c>
      <c r="G123" s="74"/>
      <c r="H123" s="23"/>
      <c r="I123" s="174">
        <f>$F$25</f>
        <v>242.295968589101</v>
      </c>
      <c r="J123" s="78"/>
      <c r="K123" s="23"/>
      <c r="L123" s="118" t="s">
        <v>467</v>
      </c>
      <c r="M123" s="124">
        <f t="shared" si="339"/>
        <v>1.2</v>
      </c>
      <c r="N123" s="124">
        <f t="shared" si="501"/>
        <v>1.1</v>
      </c>
      <c r="O123" s="69">
        <f t="shared" si="556"/>
        <v>0.08</v>
      </c>
      <c r="P123" s="120">
        <v>0.1</v>
      </c>
      <c r="Q123" s="162">
        <f t="shared" si="512"/>
        <v>0.1</v>
      </c>
      <c r="R123" s="86">
        <v>0.8</v>
      </c>
      <c r="S123" s="171" t="str">
        <f>各项系数!$D$43</f>
        <v>钢带</v>
      </c>
      <c r="T123" s="123">
        <v>0.5</v>
      </c>
      <c r="U123" s="123">
        <v>2</v>
      </c>
      <c r="V123" s="169"/>
      <c r="W123" s="170">
        <v>2.4</v>
      </c>
      <c r="X123" s="164">
        <f t="shared" si="513"/>
        <v>0.2</v>
      </c>
      <c r="Y123" s="219"/>
      <c r="Z123" s="220"/>
      <c r="AA123" s="217">
        <f>$AA$27</f>
        <v>1.013</v>
      </c>
      <c r="AB123" s="186">
        <f>PI()*EJ123*EJ123/4*EH123*(1-H123)*AA123*各项系数!$F$5*各项系数!$J$4*10^-7</f>
        <v>1.01318311567178</v>
      </c>
      <c r="AC123" s="186">
        <f t="shared" si="504"/>
        <v>244.921136962963</v>
      </c>
      <c r="AD123" s="186">
        <f t="shared" si="341"/>
        <v>114.541562217361</v>
      </c>
      <c r="AE123" s="186">
        <f>POWER(4*EU123/PI()/EG123/10^-7/EH123/(1-H123)/各项系数!$F$5/各项系数!$J$4,0.5)</f>
        <v>246.50798375415</v>
      </c>
      <c r="AF123" s="218">
        <f>$AA$25</f>
        <v>1.013</v>
      </c>
      <c r="AG123" s="85">
        <f>IF(EM123=0,0,PI()*ER123*ER123/4*EP123*(1-K123)*(1+AF123)*各项系数!$F$5*各项系数!$J$4*10^-7)</f>
        <v>1.14942042482296</v>
      </c>
      <c r="AH123" s="85">
        <f t="shared" si="505"/>
        <v>242.295968589101</v>
      </c>
      <c r="AI123" s="85">
        <f t="shared" si="398"/>
        <v>65.3912649972251</v>
      </c>
      <c r="AJ123" s="85">
        <f>IF(OR(EP123="",EP123=0),0,POWER(4*EW123/PI()/EO123/10^-7/EP123/(1-K123)/各项系数!$F$5/各项系数!$J$4,0.5))</f>
        <v>243.865806884974</v>
      </c>
      <c r="AK123" s="85">
        <f t="shared" si="342"/>
        <v>4.19639275520775</v>
      </c>
      <c r="AL123" s="85">
        <f t="shared" si="506"/>
        <v>293.207950599865</v>
      </c>
      <c r="AM123" s="250">
        <f t="shared" si="507"/>
        <v>120</v>
      </c>
      <c r="AN123" s="118" t="s">
        <v>486</v>
      </c>
      <c r="AO123" s="259">
        <f>AP123+各项系数!$M$9*$NK123</f>
        <v>287.458775097907</v>
      </c>
      <c r="AP123" s="259">
        <f>AQ123*(1+$BI123+(VLOOKUP($AM123,$A$12:$B$323,2,0))+各项系数!$J$6+各项系数!$M$5)*(1+$E$2)</f>
        <v>285.790715035078</v>
      </c>
      <c r="AQ123" s="260">
        <f>AR123+各项系数!$L$9*$NK123</f>
        <v>291.623178607222</v>
      </c>
      <c r="AR123" s="260">
        <f>AS123*(1+$BJ123+各项系数!$J$5+各项系数!$L$5)</f>
        <v>289.955118544393</v>
      </c>
      <c r="AS123" s="260">
        <f t="shared" si="399"/>
        <v>284.269724063131</v>
      </c>
      <c r="AT123" s="259">
        <f>AU123+各项系数!$M$9*$NM123</f>
        <v>290.755799875842</v>
      </c>
      <c r="AU123" s="259">
        <f>AV123*(1+$BI123+(VLOOKUP($AM123,$A$12:$B$323,2,0))+各项系数!$J$6+各项系数!$M$5)*(1+$E$2)</f>
        <v>289.087739813013</v>
      </c>
      <c r="AV123" s="260">
        <f>AW123+各项系数!$L$9*$NM123</f>
        <v>294.987489605116</v>
      </c>
      <c r="AW123" s="260">
        <f>AX123*(1+$BJ123+各项系数!$J$5+各项系数!$L$5)</f>
        <v>293.319429542287</v>
      </c>
      <c r="AX123" s="260">
        <f t="shared" si="400"/>
        <v>287.568068178712</v>
      </c>
      <c r="AY123" s="259">
        <f>AZ123+各项系数!$M$9*$NS123</f>
        <v>291.456997736996</v>
      </c>
      <c r="AZ123" s="259">
        <f>BA123*(1+$BI123+(VLOOKUP($AM123,$A$12:$B$214,2,0))+各项系数!$J$6+各项系数!$M$5)*(1+$E$2)</f>
        <v>289.77139355718</v>
      </c>
      <c r="BA123" s="260">
        <f>BB123+各项系数!$L$9*$NS123</f>
        <v>295.68509546651</v>
      </c>
      <c r="BB123" s="260">
        <f>BC123*(1+$BJ123+各项系数!$J$5+各项系数!$L$5)</f>
        <v>293.999491286694</v>
      </c>
      <c r="BC123" s="262">
        <f t="shared" si="401"/>
        <v>288.234795379112</v>
      </c>
      <c r="BD123" s="259">
        <f>BE123+各项系数!$M$9*$NS123</f>
        <v>294.765961117804</v>
      </c>
      <c r="BE123" s="259">
        <f>BF123*(1+$BI123+(VLOOKUP($AM123,$A$12:$B$214,2,0))+各项系数!$J$6+各项系数!$M$5)*(1+$E$2)</f>
        <v>293.080356937988</v>
      </c>
      <c r="BF123" s="260">
        <f>BG123+各项系数!$L$9*$NS123</f>
        <v>299.061588712232</v>
      </c>
      <c r="BG123" s="260">
        <f>BH123*(1+$BJ123+各项系数!$J$5+各项系数!$L$5)</f>
        <v>297.375984532416</v>
      </c>
      <c r="BH123" s="262">
        <f t="shared" si="402"/>
        <v>291.545082874918</v>
      </c>
      <c r="BI123" s="277"/>
      <c r="BJ123" s="272"/>
      <c r="BK123" s="69" t="s">
        <v>514</v>
      </c>
      <c r="BL123" s="259">
        <f>BM123+各项系数!$M$9*$NM123</f>
        <v>290.736491998639</v>
      </c>
      <c r="BM123" s="259">
        <f>BN123*(1+$CF123+(VLOOKUP($AM123,$A$12:$B$323,2,0))+各项系数!$J$6+各项系数!$M$5)*(1+$E$2)</f>
        <v>289.068431935811</v>
      </c>
      <c r="BN123" s="260">
        <f>BO123+各项系数!$L$9*$NM123</f>
        <v>294.967787689603</v>
      </c>
      <c r="BO123" s="260">
        <f>BP123*(1+$CG123+各项系数!$J$5+各项系数!$L$5)</f>
        <v>293.299727626774</v>
      </c>
      <c r="BP123" s="260">
        <f t="shared" si="403"/>
        <v>284.757017113373</v>
      </c>
      <c r="BQ123" s="259">
        <f>BR123+各项系数!$M$9*$NM123</f>
        <v>293.573966943993</v>
      </c>
      <c r="BR123" s="259">
        <f>BS123*(1+$CF123+(VLOOKUP($AM123,$A$12:$B$323,2,0))+各项系数!$J$6+各项系数!$M$5)*(1+$E$2)</f>
        <v>291.905906881165</v>
      </c>
      <c r="BS123" s="260">
        <f>BT123+各项系数!$L$9*$NM123</f>
        <v>297.863170286903</v>
      </c>
      <c r="BT123" s="260">
        <f>BU123*(1+$CG123+各项系数!$J$5+各项系数!$L$5)</f>
        <v>296.195110224074</v>
      </c>
      <c r="BU123" s="260">
        <f t="shared" si="404"/>
        <v>287.568068178712</v>
      </c>
      <c r="BV123" s="259">
        <f>BW123+各项系数!$M$9*$NT123</f>
        <v>293.131559461181</v>
      </c>
      <c r="BW123" s="259">
        <f>BX123*(1+$CF123+(VLOOKUP($AM123,$A$12:$B$214,2,0))+各项系数!$J$6+各项系数!$M$5)*(1+$E$2)</f>
        <v>291.445955281366</v>
      </c>
      <c r="BX123" s="260">
        <f>BY123+各项系数!$L$9*$NT$12</f>
        <v>297.393831919761</v>
      </c>
      <c r="BY123" s="260">
        <f>BZ123*(1+$CG123+各项系数!$J$5+各项系数!$L$5)</f>
        <v>297.385568516606</v>
      </c>
      <c r="BZ123" s="262">
        <f t="shared" si="343"/>
        <v>288.723852928743</v>
      </c>
      <c r="CA123" s="259">
        <f>CB123+各项系数!$M$9*$NT123</f>
        <v>295.97930896885</v>
      </c>
      <c r="CB123" s="259">
        <f>CC123*(1+$CF123+(VLOOKUP($AM123,$A$12:$B$214,2,0))+各项系数!$J$6+各项系数!$M$5)*(1+$E$2)</f>
        <v>294.293704789034</v>
      </c>
      <c r="CC123" s="260">
        <f>CD123+各项系数!$L$9*$NT$12</f>
        <v>300.299698764321</v>
      </c>
      <c r="CD123" s="260">
        <f>CE123*(1+$CG123+各项系数!$J$5+各项系数!$L$5)</f>
        <v>300.291435361166</v>
      </c>
      <c r="CE123" s="262">
        <f t="shared" si="405"/>
        <v>291.545082874918</v>
      </c>
      <c r="CF123" s="277">
        <f t="shared" si="514"/>
        <v>0</v>
      </c>
      <c r="CG123" s="277">
        <f t="shared" si="344"/>
        <v>0.01</v>
      </c>
      <c r="CH123" s="123"/>
      <c r="CI123" s="259">
        <f>CJ123+各项系数!$M$9*$NO123</f>
        <v>294.517740606367</v>
      </c>
      <c r="CJ123" s="259">
        <f>CK123*(1+$DC123+(VLOOKUP($AM123,$A$12:$B$323,2,0))+各项系数!$J$6+各项系数!$M$5)*(1+$E$2)+各项系数!$M$9*$NK123</f>
        <v>292.292821114066</v>
      </c>
      <c r="CK123" s="260">
        <f>CL123+各项系数!$L$9*$NO123</f>
        <v>296.555878623712</v>
      </c>
      <c r="CL123" s="260">
        <f>CM123*(1+$DD123+各项系数!$J$5+各项系数!$L$5)</f>
        <v>294.330959131411</v>
      </c>
      <c r="CM123" s="260">
        <f t="shared" si="345"/>
        <v>288.559763854325</v>
      </c>
      <c r="CN123" s="259">
        <f>CO123+各项系数!$M$9*$NO123</f>
        <v>297.605314895462</v>
      </c>
      <c r="CO123" s="259">
        <f>CP123*(1+$DC123+(VLOOKUP($AM123,$A$12:$B$323,2,0))+各项系数!$J$6+各项系数!$M$5)*(1+$E$2)+各项系数!$M$9*$NK123</f>
        <v>295.380395403161</v>
      </c>
      <c r="CP123" s="260">
        <f>CQ123+各项系数!$L$9*$NO123</f>
        <v>299.706464632992</v>
      </c>
      <c r="CQ123" s="260">
        <f>CR123*(1+$DD123+各项系数!$J$5+各项系数!$L$5)</f>
        <v>297.481545140691</v>
      </c>
      <c r="CR123" s="260">
        <f t="shared" si="346"/>
        <v>291.648573667345</v>
      </c>
      <c r="CS123" s="259">
        <f>CT123+各项系数!$M$9*$NU123</f>
        <v>297.028551857645</v>
      </c>
      <c r="CT123" s="259">
        <f t="shared" si="347"/>
        <v>294.785292053395</v>
      </c>
      <c r="CU123" s="260">
        <f>CV123+各项系数!$L$9*$NU123</f>
        <v>300.801318421831</v>
      </c>
      <c r="CV123" s="260">
        <f>CW123*(1+$DD123+各项系数!$J$5+各项系数!$L$5)</f>
        <v>298.558058617581</v>
      </c>
      <c r="CW123" s="262">
        <f t="shared" si="348"/>
        <v>292.703979036845</v>
      </c>
      <c r="CX123" s="259">
        <f>CY123+各项系数!$M$9*$NU123</f>
        <v>300.479286147566</v>
      </c>
      <c r="CY123" s="259">
        <f t="shared" si="349"/>
        <v>298.236026343316</v>
      </c>
      <c r="CZ123" s="260">
        <f>DA123+各项系数!$L$9*$NU123</f>
        <v>304.322475860527</v>
      </c>
      <c r="DA123" s="260">
        <f>DB123*(1+$DD123+各项系数!$J$5+各项系数!$L$5)</f>
        <v>302.079216056277</v>
      </c>
      <c r="DB123" s="262">
        <f t="shared" si="350"/>
        <v>296.15609417282</v>
      </c>
      <c r="DC123" s="277">
        <f t="shared" si="498"/>
        <v>0</v>
      </c>
      <c r="DD123" s="277">
        <f t="shared" si="351"/>
        <v>0</v>
      </c>
      <c r="DE123" s="69" t="s">
        <v>498</v>
      </c>
      <c r="DF123" s="69" t="s">
        <v>513</v>
      </c>
      <c r="DG123" s="259">
        <f>DH123+各项系数!$M$9*$NQ123</f>
        <v>297.858650289554</v>
      </c>
      <c r="DH123" s="259">
        <f>DI123*(1+$EA123+(VLOOKUP($AM123,$A$12:$B$323,2,0))+各项系数!$J$6+各项系数!$M$5)*(1+$E$2)+各项系数!$M$9*$NK123</f>
        <v>295.633730797253</v>
      </c>
      <c r="DI123" s="260">
        <f>DJ123+各项系数!$L$9*$NQ123</f>
        <v>299.964970137168</v>
      </c>
      <c r="DJ123" s="260">
        <f>DK123*(1+$EB123+各项系数!$J$5+各项系数!$L$5)</f>
        <v>297.740050644867</v>
      </c>
      <c r="DK123" s="260">
        <f t="shared" si="352"/>
        <v>289.068010334823</v>
      </c>
      <c r="DL123" s="259">
        <f>DM123+各项系数!$M$9*$NQ123</f>
        <v>300.818135662394</v>
      </c>
      <c r="DM123" s="259">
        <f>DN123*(1+$EA123+(VLOOKUP($AM123,$A$12:$B$323,2,0))+各项系数!$J$6+各项系数!$M$5)*(1+$E$2)+各项系数!$M$9*$NK123</f>
        <v>298.593216170094</v>
      </c>
      <c r="DN123" s="260">
        <f>DO123+各项系数!$L$9*$NQ123</f>
        <v>302.984853170678</v>
      </c>
      <c r="DO123" s="260">
        <f>DP123*(1+$EB123+各项系数!$J$5+各项系数!$L$5)</f>
        <v>300.759933678378</v>
      </c>
      <c r="DP123" s="260">
        <f t="shared" si="353"/>
        <v>291.999935610076</v>
      </c>
      <c r="DQ123" s="259">
        <f>DR123+各项系数!$M$9*$NV123</f>
        <v>300.411855935305</v>
      </c>
      <c r="DR123" s="259">
        <f t="shared" si="354"/>
        <v>298.168596131055</v>
      </c>
      <c r="DS123" s="260">
        <f>DT123+各项系数!$L$9*$NV123</f>
        <v>304.253669521484</v>
      </c>
      <c r="DT123" s="260">
        <f>DU123*(1+$EB123+各项系数!$J$5+各项系数!$L$5)</f>
        <v>302.010409717234</v>
      </c>
      <c r="DU123" s="262">
        <f t="shared" si="355"/>
        <v>293.213990016732</v>
      </c>
      <c r="DV123" s="259">
        <f>DW123+各项系数!$M$9*$NV123</f>
        <v>299.877812364191</v>
      </c>
      <c r="DW123" s="259">
        <f t="shared" si="356"/>
        <v>297.634552559941</v>
      </c>
      <c r="DX123" s="260">
        <f>DY123+各项系数!$L$9*$NV123</f>
        <v>303.70872710198</v>
      </c>
      <c r="DY123" s="260">
        <f>DZ123*(1+$EB123+各项系数!$J$5+各项系数!$L$5)</f>
        <v>301.46546729773</v>
      </c>
      <c r="DZ123" s="262">
        <f t="shared" si="357"/>
        <v>292.684919706534</v>
      </c>
      <c r="EA123" s="277">
        <f t="shared" si="511"/>
        <v>0</v>
      </c>
      <c r="EB123" s="277">
        <f t="shared" si="358"/>
        <v>0.01</v>
      </c>
      <c r="EC123" s="302" t="str">
        <f t="shared" si="408"/>
        <v>3+2</v>
      </c>
      <c r="ED123" s="302" t="str">
        <f t="shared" si="494"/>
        <v>3*120</v>
      </c>
      <c r="EE123" s="251">
        <f t="shared" si="495"/>
        <v>120</v>
      </c>
      <c r="EF123" s="251" t="str">
        <f>LOOKUP(EH123,{1,7,10,14,19,24,30,37,48,61},{1,"1+6","2+8","4+10","1+6+12","2+8+14","4+10+16","1+6+12+18","3+9+15+21","1+6+12+18+24"})</f>
        <v>2+8+14</v>
      </c>
      <c r="EG123" s="250">
        <f t="shared" si="359"/>
        <v>3</v>
      </c>
      <c r="EH123" s="260">
        <f>VLOOKUP(EE123,各项系数!$B$87:$C$124,2,0)</f>
        <v>24</v>
      </c>
      <c r="EI123" s="250">
        <f>IF(EH123=0,0,VLOOKUP(EH123,各项系数!$D$142:$E$195,2,0))*1</f>
        <v>6</v>
      </c>
      <c r="EJ123" s="305">
        <f t="shared" si="409"/>
        <v>244.921136962963</v>
      </c>
      <c r="EK123" s="251" t="str">
        <f t="shared" si="508"/>
        <v>2*70</v>
      </c>
      <c r="EL123" s="251" t="str">
        <f t="shared" si="360"/>
        <v>70</v>
      </c>
      <c r="EM123" s="251">
        <f t="shared" si="496"/>
        <v>70</v>
      </c>
      <c r="EN123" s="251" t="str">
        <f>IF(EP123=0,0,LOOKUP(EP123,{1,7,10,14,19,24,30,37,48,61},{1,"1+6","2+8","4+10","1+6+12","2+8+14","4+10+16","1+6+12+18","3+9+15+21","1+6+12+18+24"}))</f>
        <v>4+10</v>
      </c>
      <c r="EO123" s="251" t="str">
        <f t="shared" si="509"/>
        <v>2</v>
      </c>
      <c r="EP123" s="251">
        <f>IF(EM123=0,0,IF(EM123&lt;10,1,IF(AND(EM123&gt;=10,EM123&lt;=35),7,LOOKUP(EM123,{50,70,95,120,150,185,240,300},{10,14,19,24,30,37,48,61})*1)))</f>
        <v>14</v>
      </c>
      <c r="EQ123" s="251">
        <f>IF(EP123=0,0,VLOOKUP(EP123,各项系数!$D$142:$E$195,2,0))*1</f>
        <v>4.41</v>
      </c>
      <c r="ER123" s="251">
        <f t="shared" si="510"/>
        <v>242.295968589101</v>
      </c>
      <c r="ES123" s="302">
        <f t="shared" si="497"/>
        <v>5</v>
      </c>
      <c r="ET123" s="251">
        <f>VLOOKUP(ES123,各项系数!$D$142:$E$195,2,0)*1</f>
        <v>2.7</v>
      </c>
      <c r="EU123" s="311">
        <f>((各项系数!$F$76/4*$EJ123^2*$EG123*$EH123*1*10^-7)*(1-$H123)*AA123)*(VLOOKUP($EY$9,各项系数!$D$4:$F$143,3,0))*各项系数!$J$4</f>
        <v>3.03954934701534</v>
      </c>
      <c r="EV123" s="312">
        <f>EU123*(VLOOKUP($EY$9,各项系数!$D$4:$F$143,2,0))</f>
        <v>199.090482229505</v>
      </c>
      <c r="EW123" s="324">
        <f>(IF($EO123=0,0,(各项系数!$F$76/4*$ER123^2*$EO123*$EP123*1*10^-7))*(1-$K123)*$AF123)*(VLOOKUP($EY$9,各项系数!$D$4:$F$143,3,0))*各项系数!$J$4</f>
        <v>1.15684340819241</v>
      </c>
      <c r="EX123" s="325">
        <f>EW123*(VLOOKUP($EY$9,各项系数!$D$4:$F$143,2,0))</f>
        <v>75.7732432366028</v>
      </c>
      <c r="EY123" s="251">
        <f>((各项系数!$F$76/4*$EJ123^2*$EG123*$EH123*1*10^-7)*(1-$H123)*AA123+IF($EO123=0,0,(各项系数!$F$76/4*$ER123^2*$EO123*$EP123*1*10^-7))*(1-$K123)*$AF123)*(VLOOKUP($EY$9,各项系数!$D$4:$F$143,3,0))*各项系数!$J$4</f>
        <v>4.19639275520775</v>
      </c>
      <c r="EZ123" s="123">
        <v>1</v>
      </c>
      <c r="FA123" s="251">
        <f t="shared" si="515"/>
        <v>4.19639275520775</v>
      </c>
      <c r="FB123" s="326">
        <f>FA123*(VLOOKUP($EY$9,各项系数!$D$4:$F$143,2,0))</f>
        <v>274.863725466107</v>
      </c>
      <c r="FC123" s="327"/>
      <c r="FD123" s="302">
        <f>各项系数!$F$76/4*($MN123^2-MK123^2)*10^-2*(VLOOKUP(L123,各项系数!$D$1:$F$143,3,0))*10^-3*10^2*$EG123*各项系数!$J$4</f>
        <v>0.196759631286731</v>
      </c>
      <c r="FE123" s="339">
        <f>FD123*VLOOKUP(L123,各项系数!$D$1:$F$143,2,0)</f>
        <v>2.00694823912466</v>
      </c>
      <c r="FF123" s="250">
        <f>各项系数!$F$76/4*($MO123^2-ML123^2)*10^-2*(VLOOKUP(L123,各项系数!$D$1:$F$143,3,0))*10^-3*10^2*$EO123*各项系数!$J$4</f>
        <v>0.089151201519656</v>
      </c>
      <c r="FG123" s="339">
        <f>FF123*VLOOKUP(L123,各项系数!$D$1:$F$143,2,0)</f>
        <v>0.909342255500491</v>
      </c>
      <c r="FH123" s="302">
        <f t="shared" si="410"/>
        <v>0.285910832806387</v>
      </c>
      <c r="FI123" s="123">
        <v>1</v>
      </c>
      <c r="FJ123" s="251">
        <f t="shared" si="516"/>
        <v>0.285910832806387</v>
      </c>
      <c r="FK123" s="339">
        <f>FJ123*VLOOKUP(L123,各项系数!$D$1:$F$143,2,0)</f>
        <v>2.91629049462515</v>
      </c>
      <c r="FL123" s="302"/>
      <c r="FM123" s="123"/>
      <c r="FN123" s="251"/>
      <c r="FO123" s="339"/>
      <c r="FP123" s="364">
        <f t="shared" si="517"/>
        <v>0.285910832806387</v>
      </c>
      <c r="FQ123" s="364">
        <f t="shared" si="518"/>
        <v>2.91629049462515</v>
      </c>
      <c r="FR123" s="365">
        <f>各项系数!$F$76/4*($MQ123^2-$MN123^2*$EG123-$MO123^2*$EO123)*10^-2</f>
        <v>4.10466301926713</v>
      </c>
      <c r="FS123" s="366">
        <f t="shared" si="411"/>
        <v>1</v>
      </c>
      <c r="FT123" s="367">
        <f t="shared" si="361"/>
        <v>4.10466301926713</v>
      </c>
      <c r="FU123" s="388">
        <f>$FT123*(VLOOKUP($FT$9,各项系数!$D$1:$F$143,3,0))*10^-3*10^2*各项系数!$J$55</f>
        <v>0.490096764500495</v>
      </c>
      <c r="FV123" s="389">
        <v>1</v>
      </c>
      <c r="FW123" s="390">
        <f t="shared" si="519"/>
        <v>0.490096764500495</v>
      </c>
      <c r="FX123" s="367">
        <f>FW123*(VLOOKUP($FT$9,各项系数!$D$1:$F$143,2,0))</f>
        <v>1.47029029350149</v>
      </c>
      <c r="FY123" s="388">
        <f>IF($BK123&lt;&gt;$FY$9,0,各项系数!$F$76/4*($MS123^2-$MQ123^2)*10^-2*(VLOOKUP($FY$9,各项系数!$D$1:$F$143,3,0))*10^-3*10^2)*各项系数!$J$4</f>
        <v>0</v>
      </c>
      <c r="FZ123" s="389">
        <v>1</v>
      </c>
      <c r="GA123" s="390">
        <f t="shared" si="520"/>
        <v>0</v>
      </c>
      <c r="GB123" s="367">
        <f>GA123*(VLOOKUP($FY$9,各项系数!$D$1:$F$143,2,0))</f>
        <v>0</v>
      </c>
      <c r="GC123" s="388">
        <f>IF($BK123&lt;&gt;$GC$9,0,各项系数!$F$76/4*($MS123^2-$MQ123^2)*10^-2*(VLOOKUP($GC$9,各项系数!$D$1:$F$143,3,0))*10^-3*10^2)*各项系数!$J$4</f>
        <v>0.0113556051534704</v>
      </c>
      <c r="GD123" s="389">
        <v>1</v>
      </c>
      <c r="GE123" s="390">
        <f t="shared" si="521"/>
        <v>0.0113556051534704</v>
      </c>
      <c r="GF123" s="367">
        <f>GE123*(VLOOKUP($GC$9,各项系数!$D$1:$F$143,2,0))</f>
        <v>0.146487306479768</v>
      </c>
      <c r="GG123" s="388">
        <f>IF($BK123&lt;&gt;$GG$9,0,各项系数!$F$76/4*($MS123^2-$MQ123^2)*10^-2*(VLOOKUP($GG$9,各项系数!$D$1:$F$143,3,0))*10^-3*10^2)*各项系数!$J$4</f>
        <v>0</v>
      </c>
      <c r="GH123" s="389">
        <v>1</v>
      </c>
      <c r="GI123" s="390">
        <f t="shared" si="522"/>
        <v>0</v>
      </c>
      <c r="GJ123" s="367">
        <f>GI123*(VLOOKUP($GG$9,各项系数!$D$1:$F$143,2,0))</f>
        <v>0</v>
      </c>
      <c r="GK123" s="388">
        <f>IF($BK123&lt;&gt;$GK$9,0,各项系数!$F$76/4*($MS123^2-$MQ123^2)*10^-2*(VLOOKUP($GK$9,各项系数!$D$1:$F$143,3,0))*10^-3*10^2)*各项系数!$J$4</f>
        <v>0</v>
      </c>
      <c r="GL123" s="389">
        <v>1</v>
      </c>
      <c r="GM123" s="390">
        <f t="shared" si="523"/>
        <v>0</v>
      </c>
      <c r="GN123" s="367">
        <f>GM123*(VLOOKUP($GK$9,各项系数!$D$1:$F$143,2,0))</f>
        <v>0</v>
      </c>
      <c r="GO123" s="390">
        <f t="shared" si="524"/>
        <v>0.0113556051534704</v>
      </c>
      <c r="GP123" s="390">
        <f t="shared" si="525"/>
        <v>0.146487306479768</v>
      </c>
      <c r="GQ123" s="406">
        <f>各项系数!$F$76/4*($MU123^2-$MS123^2)*10^-2*(VLOOKUP($S123,各项系数!$D$1:$F$143,3,0))*10^-3*10^2*各项系数!$J$4</f>
        <v>0.779833291923544</v>
      </c>
      <c r="GR123" s="389">
        <v>1</v>
      </c>
      <c r="GS123" s="390">
        <f t="shared" si="526"/>
        <v>0.779833291923544</v>
      </c>
      <c r="GT123" s="390">
        <f t="shared" si="457"/>
        <v>0</v>
      </c>
      <c r="GU123" s="390">
        <f>ROUND($GS123*(VLOOKUP($S123,各项系数!$D$1:$F$143,2,0))+$E$3*GS123,GT123)</f>
        <v>5</v>
      </c>
      <c r="GV123" s="406">
        <f>各项系数!$F$76/4*($MT123^2-$MS123^2)*10^-2*(VLOOKUP($GV$9,各项系数!$D$1:$F$143,3,0))*10^-3*10^2*各项系数!$J$4*PI()/4*R123</f>
        <v>0.0584803899567546</v>
      </c>
      <c r="GW123" s="389">
        <v>1</v>
      </c>
      <c r="GX123" s="390">
        <f t="shared" si="527"/>
        <v>0.0584803899567546</v>
      </c>
      <c r="GY123" s="390">
        <f>$GX123*(VLOOKUP($GV$9,各项系数!$D$1:$F$143,2,0))</f>
        <v>3.94742632208093</v>
      </c>
      <c r="GZ123" s="406">
        <f>各项系数!$F$76/4*($MV123^2-$MS123^2)*10^-2*(VLOOKUP($GZ$9,各项系数!$D$1:$F$143,3,0))*10^-3*10^2*各项系数!$J$4</f>
        <v>0.480663212823444</v>
      </c>
      <c r="HA123" s="389">
        <v>1</v>
      </c>
      <c r="HB123" s="390">
        <f t="shared" si="412"/>
        <v>0.480663212823444</v>
      </c>
      <c r="HC123" s="390">
        <f>HB123*(VLOOKUP($GZ$9,各项系数!$D$1:$F$143,2,0))</f>
        <v>8.17127461799855</v>
      </c>
      <c r="HD123" s="406">
        <f>各项系数!$F$76/4*($MW123^2-$MT123^2)*10^-2*(VLOOKUP($HD$9,各项系数!$D$1:$F$143,3,0))*10^-3*10^2*各项系数!$J$4</f>
        <v>0.482403705419015</v>
      </c>
      <c r="HE123" s="389">
        <v>1</v>
      </c>
      <c r="HF123" s="390">
        <f t="shared" si="413"/>
        <v>0.482403705419015</v>
      </c>
      <c r="HG123" s="390">
        <f>HF123*(VLOOKUP($HD$9,各项系数!$D$1:$F$143,2,0))</f>
        <v>8.20086299212326</v>
      </c>
      <c r="HH123" s="406">
        <f>各项系数!$F$76/4*($MV123^2-$MS123^2)*10^-2*(VLOOKUP($HH$9,各项系数!$D$1:$F$143,3,0))*10^-3*10^2*各项系数!$J$4</f>
        <v>0.480663212823444</v>
      </c>
      <c r="HI123" s="420">
        <v>1</v>
      </c>
      <c r="HJ123" s="390">
        <f t="shared" si="414"/>
        <v>0.480663212823444</v>
      </c>
      <c r="HK123" s="390">
        <f>HJ123*(VLOOKUP($HH$9,各项系数!$D$1:$F$143,2,0))</f>
        <v>8.17127461799855</v>
      </c>
      <c r="HL123" s="406">
        <f>各项系数!$F$76/4*($MW123^2-$MT123^2)*10^-2*(VLOOKUP($HL$9,各项系数!$D$1:$F$143,3,0))*10^-3*10^2*各项系数!$J$4</f>
        <v>0.482403705419015</v>
      </c>
      <c r="HM123" s="420">
        <v>1</v>
      </c>
      <c r="HN123" s="390">
        <f t="shared" si="362"/>
        <v>0.482403705419015</v>
      </c>
      <c r="HO123" s="390">
        <f>HN123*(VLOOKUP($HL$9,各项系数!$D$1:$F$143,2,0))</f>
        <v>8.20086299212326</v>
      </c>
      <c r="HP123" s="406">
        <f>各项系数!$F$76/4*($MV123^2-$MS123^2)*10^-2*(VLOOKUP(AN123,各项系数!$D$1:$F$143,3,0))*10^-3*10^2*各项系数!$J$4</f>
        <v>0.487293050241699</v>
      </c>
      <c r="HQ123" s="389">
        <v>1</v>
      </c>
      <c r="HR123" s="390">
        <f t="shared" si="528"/>
        <v>0.487293050241699</v>
      </c>
      <c r="HS123" s="390">
        <f>HR123*(VLOOKUP(AN123,各项系数!$D$1:$F$143,2,0))</f>
        <v>4.87293050241699</v>
      </c>
      <c r="HT123" s="406">
        <f>各项系数!$F$76/4*($MW123^2-$MT123^2)*10^-2*(VLOOKUP(AN123,各项系数!$D$1:$F$143,3,0))*10^-3*10^2*各项系数!$J$4</f>
        <v>0.489057549631692</v>
      </c>
      <c r="HU123" s="389">
        <v>1</v>
      </c>
      <c r="HV123" s="390">
        <f t="shared" si="529"/>
        <v>0.489057549631692</v>
      </c>
      <c r="HW123" s="390">
        <f>HV123*(VLOOKUP(AN123,各项系数!$D$1:$F$143,2,0))</f>
        <v>4.89057549631692</v>
      </c>
      <c r="HX123" s="406">
        <f>各项系数!$F$76/4*($MV123^2-$MS123^2)*10^-2*(VLOOKUP($HX$9,各项系数!$D$1:$F$143,3,0))*10^-3*10^2*各项系数!$J$4</f>
        <v>0.487293050241699</v>
      </c>
      <c r="HY123" s="420">
        <v>1</v>
      </c>
      <c r="HZ123" s="390">
        <f t="shared" si="530"/>
        <v>0.487293050241699</v>
      </c>
      <c r="IA123" s="390">
        <f>HZ123*(VLOOKUP($HX$9,各项系数!$D$1:$F$143,2,0))</f>
        <v>5.36022355265868</v>
      </c>
      <c r="IB123" s="406">
        <f>各项系数!$F$76/4*($MW123^2-$MT123^2)*10^-2*(VLOOKUP($IB$9,各项系数!$D$1:$F$143,3,0))*10^-3*10^2*各项系数!$J$4</f>
        <v>0.489057549631692</v>
      </c>
      <c r="IC123" s="420">
        <v>1</v>
      </c>
      <c r="ID123" s="390">
        <f t="shared" si="531"/>
        <v>0.489057549631692</v>
      </c>
      <c r="IE123" s="390">
        <f>ID123*(VLOOKUP($IB$9,各项系数!$D$1:$F$143,2,0))</f>
        <v>5.37963304594861</v>
      </c>
      <c r="IF123" s="429"/>
      <c r="IG123" s="406">
        <f t="shared" si="415"/>
        <v>0.0941839656767591</v>
      </c>
      <c r="IH123" s="389">
        <v>1</v>
      </c>
      <c r="II123" s="390">
        <f t="shared" si="532"/>
        <v>0.0941839656767591</v>
      </c>
      <c r="IJ123" s="390">
        <f>II123*(VLOOKUP($IG$8,各项系数!$D$1:$F$143,2,0))</f>
        <v>2.35459914191898</v>
      </c>
      <c r="IK123" s="406">
        <f>(各项系数!$F$76/4*($MX123^2-$MK123^2)*$EG123)*10^-2*(VLOOKUP($IG$8,各项系数!$D$1:$F$143,3,0))*10^-3*10^2*各项系数!$J$4</f>
        <v>0.0632791971308263</v>
      </c>
      <c r="IL123" s="389">
        <f>IK123*(VLOOKUP($IG$8,各项系数!$D$1:$F$143,2,0))</f>
        <v>1.58197992827066</v>
      </c>
      <c r="IM123" s="390">
        <f>(各项系数!$F$76/4*(($MM123+3*$X123)^2-MM123^2)*$EO123)*10^-2*(VLOOKUP($IG$8,各项系数!$D$1:$F$143,3,0))*10^-3*10^2*各项系数!$J$4</f>
        <v>0.0309047685459328</v>
      </c>
      <c r="IN123" s="389">
        <f>IM123*(VLOOKUP($IG$8,各项系数!$D$1:$F$143,2,0))</f>
        <v>0.772619213648319</v>
      </c>
      <c r="IO123" s="406">
        <f>各项系数!$F$76/4*($MZ123^2-$MX123^2)*10^-2*(VLOOKUP(L123,各项系数!$D$1:$F$143,3,0))*10^-3*10^2*$ES123*各项系数!$J$4</f>
        <v>0.340311222184892</v>
      </c>
      <c r="IP123" s="389">
        <v>1</v>
      </c>
      <c r="IQ123" s="390">
        <f t="shared" si="533"/>
        <v>0.340311222184892</v>
      </c>
      <c r="IR123" s="367">
        <f>IQ123*(VLOOKUP(L123,各项系数!$D$1:$F$143,2,0))</f>
        <v>3.4711744662859</v>
      </c>
      <c r="IS123" s="406">
        <f>IF($L123&lt;&gt;$IS$9,0,各项系数!$F$76/4*($MZ123^2-$MX123^2)*10^-2*各项系数!$F$12*10^-3*10^2)*$ES123*各项系数!$J$4</f>
        <v>0</v>
      </c>
      <c r="IT123" s="389">
        <v>1</v>
      </c>
      <c r="IU123" s="390">
        <f t="shared" si="534"/>
        <v>0</v>
      </c>
      <c r="IV123" s="367">
        <f>IU123*各项系数!$E$12</f>
        <v>0</v>
      </c>
      <c r="IW123" s="388">
        <f t="shared" si="535"/>
        <v>0.340311222184892</v>
      </c>
      <c r="IX123" s="388">
        <f t="shared" si="536"/>
        <v>3.4711744662859</v>
      </c>
      <c r="IY123" s="447">
        <f>各项系数!$F$76/4*($NB123^2-$MZ123^2*$EG123-$NA123^2*$EO123)*10^-2</f>
        <v>4.50544021555377</v>
      </c>
      <c r="IZ123" s="366">
        <f t="shared" si="487"/>
        <v>1</v>
      </c>
      <c r="JA123" s="367">
        <f t="shared" si="363"/>
        <v>4.50544021555377</v>
      </c>
      <c r="JB123" s="364">
        <f>IF($DE123&lt;&gt;$JB$9,0,$JA123*各项系数!$F$32*10^-3*10^2)*各项系数!$J$4</f>
        <v>0</v>
      </c>
      <c r="JC123" s="123">
        <v>1</v>
      </c>
      <c r="JD123" s="251">
        <f t="shared" si="537"/>
        <v>0</v>
      </c>
      <c r="JE123" s="339">
        <f>JD123*各项系数!$E$32</f>
        <v>0</v>
      </c>
      <c r="JF123" s="364">
        <f>IF($DE123&lt;&gt;$JF$9,0,$JA123*VLOOKUP($JF$9,各项系数!$D$4:$F$540,2,0)*10^-3*10^2)*各项系数!$J$4</f>
        <v>2.241456507238</v>
      </c>
      <c r="JG123" s="123">
        <v>1</v>
      </c>
      <c r="JH123" s="251">
        <f t="shared" si="364"/>
        <v>2.241456507238</v>
      </c>
      <c r="JI123" s="339">
        <f>JH123*VLOOKUP($JF$9,各项系数!$D$4:$F$540,3,0)</f>
        <v>2.6897478086856</v>
      </c>
      <c r="JJ123" s="364">
        <f t="shared" si="538"/>
        <v>2.241456507238</v>
      </c>
      <c r="JK123" s="251">
        <f t="shared" si="539"/>
        <v>2.6897478086856</v>
      </c>
      <c r="JL123" s="364">
        <f>IF($DF123&lt;&gt;$JL$9,0,各项系数!$F$76/4*($NE123^2-$NC123^2)*10^-2*各项系数!$F$39*10^-3*10^2)*各项系数!$J$4</f>
        <v>0.00490260831740287</v>
      </c>
      <c r="JM123" s="123">
        <v>1</v>
      </c>
      <c r="JN123" s="251">
        <f t="shared" si="540"/>
        <v>0.00490260831740287</v>
      </c>
      <c r="JO123" s="339">
        <f>JN123*各项系数!$E$39</f>
        <v>0.0980521663480574</v>
      </c>
      <c r="JP123" s="364">
        <f>IF($DF123&lt;&gt;$JP$9,0,各项系数!$F$76/4*($NE123^2-$NC123^2)*10^-2*各项系数!$F$36*10^-3*10^2)*各项系数!$J$4</f>
        <v>0</v>
      </c>
      <c r="JQ123" s="123">
        <v>1</v>
      </c>
      <c r="JR123" s="251">
        <f t="shared" si="541"/>
        <v>0</v>
      </c>
      <c r="JS123" s="339">
        <f>JR123*各项系数!$E$36</f>
        <v>0</v>
      </c>
      <c r="JT123" s="364">
        <f>IF($DF123&lt;&gt;$JT$9,0,各项系数!$F$76/4*($NE123^2-$NC123^2)*10^-2*各项系数!$F$40*10^-3*10^2)*各项系数!$J$4</f>
        <v>0</v>
      </c>
      <c r="JU123" s="123">
        <v>1</v>
      </c>
      <c r="JV123" s="251">
        <f t="shared" si="542"/>
        <v>0</v>
      </c>
      <c r="JW123" s="339">
        <f>JV123*各项系数!$E$40</f>
        <v>0</v>
      </c>
      <c r="JX123" s="364">
        <f>IF($DF123&lt;&gt;$JX$9,0,各项系数!$F$76/4*($NE123^2-$NC123^2)*10^-2*各项系数!$F$38*10^-3*10^2)*各项系数!$J$4</f>
        <v>0</v>
      </c>
      <c r="JY123" s="123">
        <v>1</v>
      </c>
      <c r="JZ123" s="251">
        <f t="shared" si="543"/>
        <v>0</v>
      </c>
      <c r="KA123" s="339">
        <f>JZ123*各项系数!$E$38</f>
        <v>0</v>
      </c>
      <c r="KB123" s="364">
        <f>IF($DF123&lt;&gt;$KB$9,0,各项系数!$F$76/4*($NE123^2-$NC123^2)*10^-2*各项系数!$F$41*10^-3*10^2)*各项系数!$J$4</f>
        <v>0</v>
      </c>
      <c r="KC123" s="123">
        <v>1</v>
      </c>
      <c r="KD123" s="251">
        <f t="shared" si="544"/>
        <v>0</v>
      </c>
      <c r="KE123" s="339">
        <f>KD123*各项系数!$E$41</f>
        <v>0</v>
      </c>
      <c r="KF123" s="251">
        <f t="shared" si="545"/>
        <v>0.00490260831740287</v>
      </c>
      <c r="KG123" s="251">
        <f t="shared" si="546"/>
        <v>0.0980521663480574</v>
      </c>
      <c r="KH123" s="302">
        <f>各项系数!$F$76/4*($NG123^2-$NE123^2)*10^-2*各项系数!$F$44*10^-3*10^2*各项系数!$J$4*0.75*$U123</f>
        <v>1.22199988195522</v>
      </c>
      <c r="KI123" s="123">
        <v>1</v>
      </c>
      <c r="KJ123" s="251">
        <f t="shared" si="547"/>
        <v>1.22199988195522</v>
      </c>
      <c r="KK123" s="251">
        <f>ROUND(KJ123*各项系数!$E$43,GT123)</f>
        <v>7</v>
      </c>
      <c r="KL123" s="302">
        <f>各项系数!$F$76/4*($NF123^2-$NE123^2)*10^-2*各项系数!$F$46*10^-3*10^2*各项系数!$J$4*PI()/4*R123</f>
        <v>0.06113437316474</v>
      </c>
      <c r="KM123" s="123">
        <v>1</v>
      </c>
      <c r="KN123" s="251">
        <f t="shared" si="548"/>
        <v>0.06113437316474</v>
      </c>
      <c r="KO123" s="251">
        <f>KN123*各项系数!$E$46</f>
        <v>4.12657018861995</v>
      </c>
      <c r="KP123" s="302">
        <f>各项系数!$F$76/4*($NH123^2-$NE123^2)*10^-2*(VLOOKUP($KP$9,各项系数!$D$1:$F$143,3,0))*10^-3*10^2*各项系数!$J$4</f>
        <v>0.501331562395853</v>
      </c>
      <c r="KQ123" s="123">
        <v>1</v>
      </c>
      <c r="KR123" s="251">
        <f t="shared" si="416"/>
        <v>0.501331562395853</v>
      </c>
      <c r="KS123" s="251">
        <f>KR123*(VLOOKUP($KP$9,各项系数!$D$1:$F$143,2,0))</f>
        <v>8.52263656072949</v>
      </c>
      <c r="KT123" s="302">
        <f>各项系数!$F$76/4*($NI123^2-$NF123^2)*10^-2*(VLOOKUP($KT$9,各项系数!$D$1:$F$143,3,0))*10^-3*10^2*各项系数!$J$4</f>
        <v>0.503072054991424</v>
      </c>
      <c r="KU123" s="123">
        <v>1</v>
      </c>
      <c r="KV123" s="251">
        <f t="shared" si="417"/>
        <v>0.503072054991424</v>
      </c>
      <c r="KW123" s="251">
        <f>KV123*(VLOOKUP($KT$9,各项系数!$D$1:$F$143,2,0))</f>
        <v>8.5522249348542</v>
      </c>
      <c r="KX123" s="251">
        <f>各项系数!$F$76/4*($NH123^2-$NE123^2)*10^-2*(VLOOKUP($KX$9,各项系数!$D$1:$F$143,3,0))*10^-3*10^2*各项系数!$J$4</f>
        <v>0.501331562395853</v>
      </c>
      <c r="KY123" s="479">
        <v>1</v>
      </c>
      <c r="KZ123" s="251">
        <f t="shared" si="418"/>
        <v>0.501331562395853</v>
      </c>
      <c r="LA123" s="251">
        <f>KZ123*(VLOOKUP($KX$9,各项系数!$D$1:$F$143,2,0))</f>
        <v>8.52263656072949</v>
      </c>
      <c r="LB123" s="251">
        <f>各项系数!$F$76/4*($NI123^2-$NF123^2)*10^-2*(VLOOKUP($LB$9,各项系数!$D$1:$F$143,3,0))*10^-3*10^2*各项系数!$J$4</f>
        <v>0.503072054991424</v>
      </c>
      <c r="LC123" s="479">
        <v>1</v>
      </c>
      <c r="LD123" s="251">
        <f t="shared" si="419"/>
        <v>0.503072054991424</v>
      </c>
      <c r="LE123" s="251">
        <f>LD123*(VLOOKUP($LB$9,各项系数!$D$1:$F$143,2,0))</f>
        <v>8.5522249348542</v>
      </c>
      <c r="LF123" s="302">
        <f>各项系数!$F$76/4*($NH123^2-$NE123^2)*10^-2*(VLOOKUP(AN123,各项系数!$D$1:$F$143,3,0))*10^-3*10^2*各项系数!$J$4</f>
        <v>0.508246480497864</v>
      </c>
      <c r="LG123" s="123">
        <v>1</v>
      </c>
      <c r="LH123" s="251">
        <f t="shared" si="549"/>
        <v>0.508246480497864</v>
      </c>
      <c r="LI123" s="251">
        <f>LH123*(VLOOKUP(AN123,各项系数!$D$1:$F$143,2,0))</f>
        <v>5.08246480497864</v>
      </c>
      <c r="LJ123" s="302">
        <f>各项系数!$F$76/4*($NI123^2-$NF123^2)*10^-2*(VLOOKUP(AN123,各项系数!$D$1:$F$143,3,0))*10^-3*10^2*各项系数!$J$4</f>
        <v>0.510010979887857</v>
      </c>
      <c r="LK123" s="123">
        <v>1</v>
      </c>
      <c r="LL123" s="251">
        <f t="shared" si="550"/>
        <v>0.510010979887857</v>
      </c>
      <c r="LM123" s="251">
        <f>LL123*(VLOOKUP(AN123,各项系数!$D$1:$F$143,2,0))</f>
        <v>5.10010979887857</v>
      </c>
      <c r="LN123" s="251">
        <f>各项系数!$F$76/4*($NH123^2-$NE123^2)*10^-2*(VLOOKUP($LN$9,各项系数!$D$1:$F$143,3,0))*10^-3*10^2*各项系数!$J$4</f>
        <v>0.508246480497864</v>
      </c>
      <c r="LO123" s="479">
        <v>1</v>
      </c>
      <c r="LP123" s="251">
        <f t="shared" si="551"/>
        <v>0.508246480497864</v>
      </c>
      <c r="LQ123" s="251">
        <f>LP123*(VLOOKUP($LN$9,各项系数!$D$1:$F$143,2,0))</f>
        <v>5.59071128547651</v>
      </c>
      <c r="LR123" s="251">
        <f>各项系数!$F$76/4*($NI123^2-$NF123^2)*10^-2*(VLOOKUP($LR$9,各项系数!$D$1:$F$143,3,0))*10^-3*10^2*各项系数!$J$4</f>
        <v>0.510010979887857</v>
      </c>
      <c r="LS123" s="479">
        <v>1</v>
      </c>
      <c r="LT123" s="251">
        <f t="shared" si="552"/>
        <v>0.510010979887857</v>
      </c>
      <c r="LU123" s="251">
        <f>LT123*(VLOOKUP($LR$9,各项系数!$D$1:$F$143,2,0))</f>
        <v>5.61012077876643</v>
      </c>
      <c r="LV123" s="499">
        <f t="shared" si="420"/>
        <v>508.82233972</v>
      </c>
      <c r="LW123" s="499">
        <f t="shared" si="421"/>
        <v>339.21489315</v>
      </c>
      <c r="LX123" s="499">
        <f t="shared" si="422"/>
        <v>20.7822476195837</v>
      </c>
      <c r="LY123" s="515">
        <f t="shared" si="423"/>
        <v>169.60744657</v>
      </c>
      <c r="LZ123" s="516">
        <f t="shared" si="365"/>
        <v>1</v>
      </c>
      <c r="MA123" s="517">
        <f t="shared" si="366"/>
        <v>508.82233972</v>
      </c>
      <c r="MB123" s="517">
        <f t="shared" si="424"/>
        <v>14.69526822</v>
      </c>
      <c r="MC123" s="499">
        <f t="shared" si="425"/>
        <v>179.34506569</v>
      </c>
      <c r="MD123" s="499">
        <f t="shared" si="426"/>
        <v>129.10417615</v>
      </c>
      <c r="ME123" s="499">
        <f t="shared" si="427"/>
        <v>12.8210975530426</v>
      </c>
      <c r="MF123" s="499">
        <f t="shared" si="428"/>
        <v>50.24088954</v>
      </c>
      <c r="MG123" s="516">
        <f t="shared" si="429"/>
        <v>1</v>
      </c>
      <c r="MH123" s="517">
        <f t="shared" si="367"/>
        <v>179.34506569</v>
      </c>
      <c r="MI123" s="517">
        <f t="shared" si="430"/>
        <v>10.6852522148434</v>
      </c>
      <c r="MJ123" s="251">
        <f t="shared" si="368"/>
        <v>14.69526822</v>
      </c>
      <c r="MK123" s="251">
        <f t="shared" si="431"/>
        <v>14.69526822</v>
      </c>
      <c r="ML123" s="251">
        <f t="shared" si="553"/>
        <v>10.6852522147794</v>
      </c>
      <c r="MM123" s="251">
        <f t="shared" si="369"/>
        <v>10.6852522148434</v>
      </c>
      <c r="MN123" s="251">
        <f t="shared" si="370"/>
        <v>17.09526822</v>
      </c>
      <c r="MO123" s="251">
        <f t="shared" si="432"/>
        <v>12.8852522148434</v>
      </c>
      <c r="MP123" s="251">
        <f t="shared" si="433"/>
        <v>41.61040691</v>
      </c>
      <c r="MQ123" s="251">
        <f t="shared" si="554"/>
        <v>41.61040691</v>
      </c>
      <c r="MR123" s="314">
        <f t="shared" si="434"/>
        <v>41.61040691</v>
      </c>
      <c r="MS123" s="530">
        <f t="shared" si="371"/>
        <v>41.78640691</v>
      </c>
      <c r="MT123" s="530">
        <f t="shared" si="372"/>
        <v>41.94640691</v>
      </c>
      <c r="MU123" s="530">
        <f t="shared" si="373"/>
        <v>43.28640691</v>
      </c>
      <c r="MV123" s="530">
        <f t="shared" si="374"/>
        <v>46.58640691</v>
      </c>
      <c r="MW123" s="530">
        <f t="shared" si="375"/>
        <v>46.74640691</v>
      </c>
      <c r="MX123" s="326">
        <f t="shared" si="376"/>
        <v>15.29526822</v>
      </c>
      <c r="MY123" s="326">
        <f t="shared" si="377"/>
        <v>11.2852522148434</v>
      </c>
      <c r="MZ123" s="251">
        <f t="shared" si="378"/>
        <v>17.69526822</v>
      </c>
      <c r="NA123" s="251">
        <f t="shared" si="379"/>
        <v>13.6852522148434</v>
      </c>
      <c r="NB123" s="251">
        <f t="shared" si="435"/>
        <v>43.44640691</v>
      </c>
      <c r="NC123" s="326">
        <f t="shared" si="555"/>
        <v>43.44640691</v>
      </c>
      <c r="ND123" s="314">
        <f t="shared" si="436"/>
        <v>43.44640691</v>
      </c>
      <c r="NE123" s="537">
        <f t="shared" si="437"/>
        <v>43.68640691</v>
      </c>
      <c r="NF123" s="530">
        <f t="shared" si="380"/>
        <v>43.84640691</v>
      </c>
      <c r="NG123" s="538">
        <f t="shared" si="381"/>
        <v>45.18640691</v>
      </c>
      <c r="NH123" s="326">
        <f t="shared" si="382"/>
        <v>48.48640691</v>
      </c>
      <c r="NI123" s="530">
        <f t="shared" si="383"/>
        <v>48.64640691</v>
      </c>
      <c r="NK123" s="539">
        <f t="shared" si="384"/>
        <v>5.56020020942946</v>
      </c>
      <c r="NL123" s="539">
        <f t="shared" si="385"/>
        <v>285.179066318631</v>
      </c>
      <c r="NM123" s="539">
        <f t="shared" si="386"/>
        <v>5.56020020942946</v>
      </c>
      <c r="NN123" s="539">
        <f t="shared" si="387"/>
        <v>285.666359368873</v>
      </c>
      <c r="NO123" s="539">
        <f t="shared" si="388"/>
        <v>7.4163983076686</v>
      </c>
      <c r="NP123" s="539">
        <f t="shared" si="389"/>
        <v>289.332383067973</v>
      </c>
      <c r="NQ123" s="539">
        <f t="shared" si="390"/>
        <v>7.4163983076686</v>
      </c>
      <c r="NR123" s="539">
        <f t="shared" si="391"/>
        <v>289.840629548471</v>
      </c>
      <c r="NS123" s="539">
        <f t="shared" si="392"/>
        <v>5.61868059938621</v>
      </c>
      <c r="NT123" s="539">
        <f t="shared" si="393"/>
        <v>5.61868059938621</v>
      </c>
      <c r="NU123" s="539">
        <f t="shared" si="394"/>
        <v>7.47753268083334</v>
      </c>
      <c r="NV123" s="539">
        <f t="shared" si="395"/>
        <v>7.47753268083334</v>
      </c>
      <c r="NW123">
        <f t="shared" si="396"/>
        <v>6.340033501353</v>
      </c>
      <c r="NX123">
        <f>各项系数!$M$9*NK123</f>
        <v>1.66806006282884</v>
      </c>
      <c r="NY123">
        <f t="shared" si="397"/>
        <v>5.61868059938621</v>
      </c>
    </row>
    <row r="124" customHeight="1" spans="1:389">
      <c r="A124" s="85"/>
      <c r="B124" s="86"/>
      <c r="C124" s="87"/>
      <c r="D124" s="69" t="s">
        <v>414</v>
      </c>
      <c r="E124" s="550">
        <f t="shared" si="503"/>
        <v>49.09655581</v>
      </c>
      <c r="F124" s="84">
        <f>$F$28</f>
        <v>243.335870228497</v>
      </c>
      <c r="G124" s="74"/>
      <c r="H124" s="23"/>
      <c r="I124" s="174">
        <f>$F$25</f>
        <v>242.295968589101</v>
      </c>
      <c r="J124" s="78"/>
      <c r="K124" s="23"/>
      <c r="L124" s="118" t="s">
        <v>467</v>
      </c>
      <c r="M124" s="124">
        <f t="shared" si="339"/>
        <v>1.4</v>
      </c>
      <c r="N124" s="124">
        <f t="shared" si="501"/>
        <v>1.1</v>
      </c>
      <c r="O124" s="69">
        <f t="shared" si="556"/>
        <v>0.08</v>
      </c>
      <c r="P124" s="120">
        <v>0.1</v>
      </c>
      <c r="Q124" s="162">
        <f t="shared" ref="Q124:Q133" si="557">$Q$12</f>
        <v>0.1</v>
      </c>
      <c r="R124" s="86">
        <v>0.8</v>
      </c>
      <c r="S124" s="171" t="str">
        <f>各项系数!$D$43</f>
        <v>钢带</v>
      </c>
      <c r="T124" s="123">
        <v>0.5</v>
      </c>
      <c r="U124" s="123">
        <v>2</v>
      </c>
      <c r="V124" s="169"/>
      <c r="W124" s="170">
        <v>2.6</v>
      </c>
      <c r="X124" s="164">
        <f t="shared" ref="X124:X133" si="558">$X$12</f>
        <v>0.2</v>
      </c>
      <c r="Y124" s="219"/>
      <c r="Z124" s="220"/>
      <c r="AA124" s="217">
        <f>$AA$28</f>
        <v>1.015</v>
      </c>
      <c r="AB124" s="186">
        <f>PI()*EJ124*EJ124/4*EH124*(1-H124)*AA124*各项系数!$F$5*各项系数!$J$4*10^-7</f>
        <v>1.25260541945236</v>
      </c>
      <c r="AC124" s="186">
        <f t="shared" si="504"/>
        <v>243.335870228497</v>
      </c>
      <c r="AD124" s="186">
        <f t="shared" si="341"/>
        <v>141.608539825376</v>
      </c>
      <c r="AE124" s="186">
        <f>POWER(4*EU124/PI()/EG124/10^-7/EH124/(1-H124)/各项系数!$F$5/各项系数!$J$4,0.5)</f>
        <v>245.154096286311</v>
      </c>
      <c r="AF124" s="218">
        <f>$AA$25</f>
        <v>1.013</v>
      </c>
      <c r="AG124" s="85">
        <f>IF(EM124=0,0,PI()*ER124*ER124/4*EP124*(1-K124)*(1+AF124)*各项系数!$F$5*各项系数!$J$4*10^-7)</f>
        <v>1.14942042482296</v>
      </c>
      <c r="AH124" s="85">
        <f t="shared" si="505"/>
        <v>242.295968589101</v>
      </c>
      <c r="AI124" s="85">
        <f t="shared" si="398"/>
        <v>65.3912649972251</v>
      </c>
      <c r="AJ124" s="85">
        <f>IF(OR(EP124="",EP124=0),0,POWER(4*EW124/PI()/EO124/10^-7/EP124/(1-K124)/各项系数!$F$5/各项系数!$J$4,0.5))</f>
        <v>243.865806884974</v>
      </c>
      <c r="AK124" s="85">
        <f t="shared" si="342"/>
        <v>4.91465966654948</v>
      </c>
      <c r="AL124" s="85">
        <f t="shared" si="506"/>
        <v>343.034330648981</v>
      </c>
      <c r="AM124" s="250">
        <f t="shared" si="507"/>
        <v>150</v>
      </c>
      <c r="AN124" s="118" t="s">
        <v>486</v>
      </c>
      <c r="AO124" s="259">
        <f>AP124+各项系数!$M$9*$NK124</f>
        <v>336.308167302923</v>
      </c>
      <c r="AP124" s="259">
        <f>AQ124*(1+$BI124+(VLOOKUP($AM124,$A$12:$B$323,2,0))+各项系数!$J$6+各项系数!$M$5)*(1+$E$2)</f>
        <v>334.377740476086</v>
      </c>
      <c r="AQ124" s="260">
        <f>AR124+各项系数!$L$9*$NK124</f>
        <v>341.201775996006</v>
      </c>
      <c r="AR124" s="260">
        <f>AS124*(1+$BJ124+各项系数!$J$5+各项系数!$L$5)</f>
        <v>339.27134916917</v>
      </c>
      <c r="AS124" s="260">
        <f t="shared" si="399"/>
        <v>332.618969773696</v>
      </c>
      <c r="AT124" s="259">
        <f>AU124+各项系数!$M$9*$NM124</f>
        <v>340.066683392468</v>
      </c>
      <c r="AU124" s="259">
        <f>AV124*(1+$BI124+(VLOOKUP($AM124,$A$12:$B$323,2,0))+各项系数!$J$6+各项系数!$M$5)*(1+$E$2)</f>
        <v>338.136256565631</v>
      </c>
      <c r="AV124" s="260">
        <f>AW124+各项系数!$L$9*$NM124</f>
        <v>345.036996495542</v>
      </c>
      <c r="AW124" s="260">
        <f>AX124*(1+$BJ124+各项系数!$J$5+各项系数!$L$5)</f>
        <v>343.106569668705</v>
      </c>
      <c r="AX124" s="260">
        <f t="shared" si="400"/>
        <v>336.37898987128</v>
      </c>
      <c r="AY124" s="259">
        <f>AZ124+各项系数!$M$9*$NS124</f>
        <v>340.508489034675</v>
      </c>
      <c r="AZ124" s="259">
        <f>BA124*(1+$BI124+(VLOOKUP($AM124,$A$12:$B$214,2,0))+各项系数!$J$6+各项系数!$M$5)*(1+$E$2)</f>
        <v>338.559633832996</v>
      </c>
      <c r="BA124" s="260">
        <f>BB124+各项系数!$L$9*$NS124</f>
        <v>345.469014115302</v>
      </c>
      <c r="BB124" s="260">
        <f>BC124*(1+$BJ124+各项系数!$J$5+各项系数!$L$5)</f>
        <v>343.520158913624</v>
      </c>
      <c r="BC124" s="262">
        <f t="shared" si="401"/>
        <v>336.784469523161</v>
      </c>
      <c r="BD124" s="259">
        <f>BE124+各项系数!$M$9*$NS124</f>
        <v>344.279938610665</v>
      </c>
      <c r="BE124" s="259">
        <f>BF124*(1+$BI124+(VLOOKUP($AM124,$A$12:$B$214,2,0))+各项系数!$J$6+各项系数!$M$5)*(1+$E$2)</f>
        <v>342.331083408987</v>
      </c>
      <c r="BF124" s="260">
        <f>BG124+各项系数!$L$9*$NS124</f>
        <v>349.317432049986</v>
      </c>
      <c r="BG124" s="260">
        <f>BH124*(1+$BJ124+各项系数!$J$5+各项系数!$L$5)</f>
        <v>347.368576848308</v>
      </c>
      <c r="BH124" s="262">
        <f t="shared" si="402"/>
        <v>340.557428282655</v>
      </c>
      <c r="BI124" s="277"/>
      <c r="BJ124" s="272"/>
      <c r="BK124" s="69" t="s">
        <v>514</v>
      </c>
      <c r="BL124" s="259">
        <f>BM124+各项系数!$M$9*$NM124</f>
        <v>340.128555367625</v>
      </c>
      <c r="BM124" s="259">
        <f>BN124*(1+$CF124+(VLOOKUP($AM124,$A$12:$B$323,2,0))+各项系数!$J$6+各项系数!$M$5)*(1+$E$2)</f>
        <v>338.198128540789</v>
      </c>
      <c r="BN124" s="260">
        <f>BO124+各项系数!$L$9*$NM124</f>
        <v>345.10013116407</v>
      </c>
      <c r="BO124" s="260">
        <f>BP124*(1+$CG124+各项系数!$J$5+各项系数!$L$5)</f>
        <v>343.169704337233</v>
      </c>
      <c r="BP124" s="260">
        <f t="shared" si="403"/>
        <v>333.174470230324</v>
      </c>
      <c r="BQ124" s="259">
        <f>BR124+各项系数!$M$9*$NM124</f>
        <v>343.363197493206</v>
      </c>
      <c r="BR124" s="259">
        <f>BS124*(1+$CF124+(VLOOKUP($AM124,$A$12:$B$323,2,0))+各项系数!$J$6+各项系数!$M$5)*(1+$E$2)</f>
        <v>341.43277066637</v>
      </c>
      <c r="BS124" s="260">
        <f>BT124+各项系数!$L$9*$NM124</f>
        <v>348.400786394255</v>
      </c>
      <c r="BT124" s="260">
        <f>BU124*(1+$CG124+各项系数!$J$5+各项系数!$L$5)</f>
        <v>346.470359567418</v>
      </c>
      <c r="BU124" s="260">
        <f t="shared" si="404"/>
        <v>336.37898987128</v>
      </c>
      <c r="BV124" s="259">
        <f>BW124+各项系数!$M$9*$NT124</f>
        <v>342.46984854386</v>
      </c>
      <c r="BW124" s="259">
        <f>BX124*(1+$CF124+(VLOOKUP($AM124,$A$12:$B$214,2,0))+各项系数!$J$6+各项系数!$M$5)*(1+$E$2)</f>
        <v>340.520993342182</v>
      </c>
      <c r="BX124" s="260">
        <f>BY124+各项系数!$L$9*$NT$12</f>
        <v>347.470401369573</v>
      </c>
      <c r="BY124" s="260">
        <f>BZ124*(1+$CG124+各项系数!$J$5+各项系数!$L$5)</f>
        <v>347.462137966418</v>
      </c>
      <c r="BZ124" s="262">
        <f t="shared" si="343"/>
        <v>337.341881520795</v>
      </c>
      <c r="CA124" s="259">
        <f>CB124+各项系数!$M$9*$NT124</f>
        <v>345.715621445282</v>
      </c>
      <c r="CB124" s="259">
        <f>CC124*(1+$CF124+(VLOOKUP($AM124,$A$12:$B$214,2,0))+各项系数!$J$6+各项系数!$M$5)*(1+$E$2)</f>
        <v>343.766766243604</v>
      </c>
      <c r="CC124" s="260">
        <f>CD124+各项系数!$L$9*$NT$12</f>
        <v>350.78241453429</v>
      </c>
      <c r="CD124" s="260">
        <f>CE124*(1+$CG124+各项系数!$J$5+各项系数!$L$5)</f>
        <v>350.774151131135</v>
      </c>
      <c r="CE124" s="262">
        <f t="shared" si="405"/>
        <v>340.557428282655</v>
      </c>
      <c r="CF124" s="277">
        <f t="shared" si="514"/>
        <v>0</v>
      </c>
      <c r="CG124" s="277">
        <f t="shared" si="344"/>
        <v>0.01</v>
      </c>
      <c r="CH124" s="123"/>
      <c r="CI124" s="259">
        <f>CJ124+各项系数!$M$9*$NO124</f>
        <v>344.464327317134</v>
      </c>
      <c r="CJ124" s="259">
        <f>CK124*(1+$DC124+(VLOOKUP($AM124,$A$12:$B$323,2,0))+各项系数!$J$6+各项系数!$M$5)*(1+$E$2)+各项系数!$M$9*$NK124</f>
        <v>341.902797649861</v>
      </c>
      <c r="CK124" s="260">
        <f>CL124+各项系数!$L$9*$NO124</f>
        <v>346.910582472474</v>
      </c>
      <c r="CL124" s="260">
        <f>CM124*(1+$DD124+各项系数!$J$5+各项系数!$L$5)</f>
        <v>344.349052805202</v>
      </c>
      <c r="CM124" s="260">
        <f t="shared" si="345"/>
        <v>337.597110593335</v>
      </c>
      <c r="CN124" s="259">
        <f>CO124+各项系数!$M$9*$NO124</f>
        <v>347.94434774792</v>
      </c>
      <c r="CO124" s="259">
        <f>CP124*(1+$DC124+(VLOOKUP($AM124,$A$12:$B$323,2,0))+各项系数!$J$6+各项系数!$M$5)*(1+$E$2)+各项系数!$M$9*$NK124</f>
        <v>345.382818080648</v>
      </c>
      <c r="CP124" s="260">
        <f>CQ124+各项系数!$L$9*$NO124</f>
        <v>350.461623728379</v>
      </c>
      <c r="CQ124" s="260">
        <f>CR124*(1+$DD124+各项系数!$J$5+各项系数!$L$5)</f>
        <v>347.900094061106</v>
      </c>
      <c r="CR124" s="260">
        <f t="shared" si="346"/>
        <v>341.07852358932</v>
      </c>
      <c r="CS124" s="259">
        <f>CT124+各项系数!$M$9*$NU124</f>
        <v>346.955944701071</v>
      </c>
      <c r="CT124" s="259">
        <f t="shared" si="347"/>
        <v>344.375009434403</v>
      </c>
      <c r="CU124" s="260">
        <f>CV124+各项系数!$L$9*$NU124</f>
        <v>351.403070851432</v>
      </c>
      <c r="CV124" s="260">
        <f>CW124*(1+$DD124+各项系数!$J$5+各项系数!$L$5)</f>
        <v>348.822135584764</v>
      </c>
      <c r="CW124" s="262">
        <f t="shared" si="348"/>
        <v>341.982485867416</v>
      </c>
      <c r="CX124" s="259">
        <f>CY124+各项系数!$M$9*$NU124</f>
        <v>350.915899842003</v>
      </c>
      <c r="CY124" s="259">
        <f t="shared" si="349"/>
        <v>348.334964575335</v>
      </c>
      <c r="CZ124" s="260">
        <f>DA124+各项系数!$L$9*$NU124</f>
        <v>355.443841403403</v>
      </c>
      <c r="DA124" s="260">
        <f>DB124*(1+$DD124+各项系数!$J$5+各项系数!$L$5)</f>
        <v>352.862906136735</v>
      </c>
      <c r="DB124" s="262">
        <f t="shared" si="350"/>
        <v>345.94402562425</v>
      </c>
      <c r="DC124" s="277">
        <f t="shared" si="498"/>
        <v>0</v>
      </c>
      <c r="DD124" s="277">
        <f t="shared" si="351"/>
        <v>0</v>
      </c>
      <c r="DE124" s="69" t="s">
        <v>498</v>
      </c>
      <c r="DF124" s="69" t="s">
        <v>513</v>
      </c>
      <c r="DG124" s="259">
        <f>DH124+各项系数!$M$9*$NQ124</f>
        <v>348.361623762704</v>
      </c>
      <c r="DH124" s="259">
        <f>DI124*(1+$EA124+(VLOOKUP($AM124,$A$12:$B$323,2,0))+各项系数!$J$6+各项系数!$M$5)*(1+$E$2)+各项系数!$M$9*$NK124</f>
        <v>345.800094095432</v>
      </c>
      <c r="DI124" s="260">
        <f>DJ124+各项系数!$L$9*$NQ124</f>
        <v>350.887415580199</v>
      </c>
      <c r="DJ124" s="260">
        <f>DK124*(1+$EB124+各项系数!$J$5+各项系数!$L$5)</f>
        <v>348.325885912927</v>
      </c>
      <c r="DK124" s="260">
        <f t="shared" si="352"/>
        <v>338.180471760123</v>
      </c>
      <c r="DL124" s="259">
        <f>DM124+各项系数!$M$9*$NQ124</f>
        <v>351.758496946166</v>
      </c>
      <c r="DM124" s="259">
        <f>DN124*(1+$EA124+(VLOOKUP($AM124,$A$12:$B$323,2,0))+各项系数!$J$6+各项系数!$M$5)*(1+$E$2)+各项系数!$M$9*$NK124</f>
        <v>349.196967278893</v>
      </c>
      <c r="DN124" s="260">
        <f>DO124+各项系数!$L$9*$NQ124</f>
        <v>354.35361270618</v>
      </c>
      <c r="DO124" s="260">
        <f>DP124*(1+$EB124+各项系数!$J$5+各项系数!$L$5)</f>
        <v>351.792083038908</v>
      </c>
      <c r="DP124" s="260">
        <f t="shared" si="353"/>
        <v>341.54571168826</v>
      </c>
      <c r="DQ124" s="259">
        <f>DR124+各项系数!$M$9*$NV124</f>
        <v>350.898147333819</v>
      </c>
      <c r="DR124" s="259">
        <f t="shared" si="354"/>
        <v>348.317212067151</v>
      </c>
      <c r="DS124" s="260">
        <f>DT124+各项系数!$L$9*$NV124</f>
        <v>355.425726599134</v>
      </c>
      <c r="DT124" s="260">
        <f>DU124*(1+$EB124+各项系数!$J$5+各项系数!$L$5)</f>
        <v>352.844791332466</v>
      </c>
      <c r="DU124" s="262">
        <f t="shared" si="355"/>
        <v>342.567758575209</v>
      </c>
      <c r="DV124" s="259">
        <f>DW124+各项系数!$M$9*$NV124</f>
        <v>349.945149645698</v>
      </c>
      <c r="DW124" s="259">
        <f t="shared" si="356"/>
        <v>347.36421437903</v>
      </c>
      <c r="DX124" s="260">
        <f>DY124+各项系数!$L$9*$NV124</f>
        <v>354.453279978602</v>
      </c>
      <c r="DY124" s="260">
        <f>DZ124*(1+$EB124+各项系数!$J$5+各项系数!$L$5)</f>
        <v>351.872344711934</v>
      </c>
      <c r="DZ124" s="262">
        <f t="shared" si="357"/>
        <v>341.623635642654</v>
      </c>
      <c r="EA124" s="277">
        <f t="shared" ref="EA124:EA138" si="559">BI124+$EA$2</f>
        <v>0</v>
      </c>
      <c r="EB124" s="277">
        <f t="shared" si="358"/>
        <v>0.01</v>
      </c>
      <c r="EC124" s="302" t="str">
        <f t="shared" si="408"/>
        <v>3+2</v>
      </c>
      <c r="ED124" s="302" t="str">
        <f t="shared" si="494"/>
        <v>3*150</v>
      </c>
      <c r="EE124" s="251">
        <f t="shared" si="495"/>
        <v>150</v>
      </c>
      <c r="EF124" s="251" t="str">
        <f>LOOKUP(EH124,{1,7,10,14,19,24,30,37,48,61},{1,"1+6","2+8","4+10","1+6+12","2+8+14","4+10+16","1+6+12+18","3+9+15+21","1+6+12+18+24"})</f>
        <v>4+10+16</v>
      </c>
      <c r="EG124" s="250">
        <f t="shared" si="359"/>
        <v>3</v>
      </c>
      <c r="EH124" s="260">
        <f>VLOOKUP(EE124,各项系数!$B$87:$C$124,2,0)</f>
        <v>30</v>
      </c>
      <c r="EI124" s="250">
        <f>IF(EH124=0,0,VLOOKUP(EH124,各项系数!$D$142:$E$195,2,0))*1</f>
        <v>6.41</v>
      </c>
      <c r="EJ124" s="305">
        <f t="shared" si="409"/>
        <v>243.335870228497</v>
      </c>
      <c r="EK124" s="251" t="str">
        <f t="shared" si="508"/>
        <v>2*70</v>
      </c>
      <c r="EL124" s="251" t="str">
        <f t="shared" si="360"/>
        <v>70</v>
      </c>
      <c r="EM124" s="251">
        <f t="shared" si="496"/>
        <v>70</v>
      </c>
      <c r="EN124" s="251" t="str">
        <f>IF(EP124=0,0,LOOKUP(EP124,{1,7,10,14,19,24,30,37,48,61},{1,"1+6","2+8","4+10","1+6+12","2+8+14","4+10+16","1+6+12+18","3+9+15+21","1+6+12+18+24"}))</f>
        <v>4+10</v>
      </c>
      <c r="EO124" s="251" t="str">
        <f t="shared" si="509"/>
        <v>2</v>
      </c>
      <c r="EP124" s="251">
        <f>IF(EM124=0,0,IF(EM124&lt;10,1,IF(AND(EM124&gt;=10,EM124&lt;=35),7,LOOKUP(EM124,{50,70,95,120,150,185,240,300},{10,14,19,24,30,37,48,61})*1)))</f>
        <v>14</v>
      </c>
      <c r="EQ124" s="251">
        <f>IF(EP124=0,0,VLOOKUP(EP124,各项系数!$D$142:$E$195,2,0))*1</f>
        <v>4.41</v>
      </c>
      <c r="ER124" s="251">
        <f t="shared" si="510"/>
        <v>242.295968589101</v>
      </c>
      <c r="ES124" s="302">
        <f t="shared" si="497"/>
        <v>5</v>
      </c>
      <c r="ET124" s="251">
        <f>VLOOKUP(ES124,各项系数!$D$142:$E$195,2,0)*1</f>
        <v>2.7</v>
      </c>
      <c r="EU124" s="311">
        <f>((各项系数!$F$76/4*$EJ124^2*$EG124*$EH124*1*10^-7)*(1-$H124)*AA124)*(VLOOKUP($EY$9,各项系数!$D$4:$F$143,3,0))*各项系数!$J$4</f>
        <v>3.75781625835707</v>
      </c>
      <c r="EV124" s="312">
        <f>EU124*(VLOOKUP($EY$9,各项系数!$D$4:$F$143,2,0))</f>
        <v>246.136964922388</v>
      </c>
      <c r="EW124" s="324">
        <f>(IF($EO124=0,0,(各项系数!$F$76/4*$ER124^2*$EO124*$EP124*1*10^-7))*(1-$K124)*$AF124)*(VLOOKUP($EY$9,各项系数!$D$4:$F$143,3,0))*各项系数!$J$4</f>
        <v>1.15684340819241</v>
      </c>
      <c r="EX124" s="325">
        <f>EW124*(VLOOKUP($EY$9,各项系数!$D$4:$F$143,2,0))</f>
        <v>75.7732432366028</v>
      </c>
      <c r="EY124" s="251">
        <f>((各项系数!$F$76/4*$EJ124^2*$EG124*$EH124*1*10^-7)*(1-$H124)*AA124+IF($EO124=0,0,(各项系数!$F$76/4*$ER124^2*$EO124*$EP124*1*10^-7))*(1-$K124)*$AF124)*(VLOOKUP($EY$9,各项系数!$D$4:$F$143,3,0))*各项系数!$J$4</f>
        <v>4.91465966654948</v>
      </c>
      <c r="EZ124" s="123">
        <v>1</v>
      </c>
      <c r="FA124" s="251">
        <f t="shared" si="515"/>
        <v>4.91465966654948</v>
      </c>
      <c r="FB124" s="326">
        <f>FA124*(VLOOKUP($EY$9,各项系数!$D$4:$F$143,2,0))</f>
        <v>321.910208158991</v>
      </c>
      <c r="FC124" s="327"/>
      <c r="FD124" s="302">
        <f>各项系数!$F$76/4*($MN124^2-MK124^2)*10^-2*(VLOOKUP(L124,各项系数!$D$1:$F$143,3,0))*10^-3*10^2*$EG124*各项系数!$J$4</f>
        <v>0.245475634791144</v>
      </c>
      <c r="FE124" s="339">
        <f>FD124*VLOOKUP(L124,各项系数!$D$1:$F$143,2,0)</f>
        <v>2.50385147486967</v>
      </c>
      <c r="FF124" s="250">
        <f>各项系数!$F$76/4*($MO124^2-ML124^2)*10^-2*(VLOOKUP(L124,各项系数!$D$1:$F$143,3,0))*10^-3*10^2*$EO124*各项系数!$J$4</f>
        <v>0.089151201519656</v>
      </c>
      <c r="FG124" s="339">
        <f>FF124*VLOOKUP(L124,各项系数!$D$1:$F$143,2,0)</f>
        <v>0.909342255500491</v>
      </c>
      <c r="FH124" s="302">
        <f t="shared" si="410"/>
        <v>0.3346268363108</v>
      </c>
      <c r="FI124" s="123">
        <v>1</v>
      </c>
      <c r="FJ124" s="251">
        <f t="shared" si="516"/>
        <v>0.3346268363108</v>
      </c>
      <c r="FK124" s="339">
        <f>FJ124*VLOOKUP(L124,各项系数!$D$1:$F$143,2,0)</f>
        <v>3.41319373037016</v>
      </c>
      <c r="FL124" s="302"/>
      <c r="FM124" s="123"/>
      <c r="FN124" s="251"/>
      <c r="FO124" s="339"/>
      <c r="FP124" s="364">
        <f t="shared" si="517"/>
        <v>0.3346268363108</v>
      </c>
      <c r="FQ124" s="364">
        <f t="shared" si="518"/>
        <v>3.41319373037016</v>
      </c>
      <c r="FR124" s="365">
        <f>各项系数!$F$76/4*($MQ124^2-$MN124^2*$EG124-$MO124^2*$EO124)*10^-2</f>
        <v>4.42954499679928</v>
      </c>
      <c r="FS124" s="366">
        <f t="shared" si="411"/>
        <v>1</v>
      </c>
      <c r="FT124" s="367">
        <f t="shared" si="361"/>
        <v>4.42954499679928</v>
      </c>
      <c r="FU124" s="388">
        <f>$FT124*(VLOOKUP($FT$9,各项系数!$D$1:$F$143,3,0))*10^-3*10^2*各项系数!$J$55</f>
        <v>0.528887672617834</v>
      </c>
      <c r="FV124" s="389">
        <v>1</v>
      </c>
      <c r="FW124" s="390">
        <f t="shared" si="519"/>
        <v>0.528887672617834</v>
      </c>
      <c r="FX124" s="367">
        <f>FW124*(VLOOKUP($FT$9,各项系数!$D$1:$F$143,2,0))</f>
        <v>1.5866630178535</v>
      </c>
      <c r="FY124" s="388">
        <f>IF($BK124&lt;&gt;$FY$9,0,各项系数!$F$76/4*($MS124^2-$MQ124^2)*10^-2*(VLOOKUP($FY$9,各项系数!$D$1:$F$143,3,0))*10^-3*10^2)*各项系数!$J$4</f>
        <v>0</v>
      </c>
      <c r="FZ124" s="389">
        <v>1</v>
      </c>
      <c r="GA124" s="390">
        <f t="shared" si="520"/>
        <v>0</v>
      </c>
      <c r="GB124" s="367">
        <f>GA124*(VLOOKUP($FY$9,各项系数!$D$1:$F$143,2,0))</f>
        <v>0</v>
      </c>
      <c r="GC124" s="388">
        <f>IF($BK124&lt;&gt;$GC$9,0,各项系数!$F$76/4*($MS124^2-$MQ124^2)*10^-2*(VLOOKUP($GC$9,各项系数!$D$1:$F$143,3,0))*10^-3*10^2)*各项系数!$J$4</f>
        <v>0.0119302558295777</v>
      </c>
      <c r="GD124" s="389">
        <v>1</v>
      </c>
      <c r="GE124" s="390">
        <f t="shared" si="521"/>
        <v>0.0119302558295777</v>
      </c>
      <c r="GF124" s="367">
        <f>GE124*(VLOOKUP($GC$9,各项系数!$D$1:$F$143,2,0))</f>
        <v>0.153900300201552</v>
      </c>
      <c r="GG124" s="388">
        <f>IF($BK124&lt;&gt;$GG$9,0,各项系数!$F$76/4*($MS124^2-$MQ124^2)*10^-2*(VLOOKUP($GG$9,各项系数!$D$1:$F$143,3,0))*10^-3*10^2)*各项系数!$J$4</f>
        <v>0</v>
      </c>
      <c r="GH124" s="389">
        <v>1</v>
      </c>
      <c r="GI124" s="390">
        <f t="shared" si="522"/>
        <v>0</v>
      </c>
      <c r="GJ124" s="367">
        <f>GI124*(VLOOKUP($GG$9,各项系数!$D$1:$F$143,2,0))</f>
        <v>0</v>
      </c>
      <c r="GK124" s="388">
        <f>IF($BK124&lt;&gt;$GK$9,0,各项系数!$F$76/4*($MS124^2-$MQ124^2)*10^-2*(VLOOKUP($GK$9,各项系数!$D$1:$F$143,3,0))*10^-3*10^2)*各项系数!$J$4</f>
        <v>0</v>
      </c>
      <c r="GL124" s="389">
        <v>1</v>
      </c>
      <c r="GM124" s="390">
        <f t="shared" si="523"/>
        <v>0</v>
      </c>
      <c r="GN124" s="367">
        <f>GM124*(VLOOKUP($GK$9,各项系数!$D$1:$F$143,2,0))</f>
        <v>0</v>
      </c>
      <c r="GO124" s="390">
        <f t="shared" si="524"/>
        <v>0.0119302558295777</v>
      </c>
      <c r="GP124" s="390">
        <f t="shared" si="525"/>
        <v>0.153900300201552</v>
      </c>
      <c r="GQ124" s="406">
        <f>各项系数!$F$76/4*($MU124^2-$MS124^2)*10^-2*(VLOOKUP($S124,各项系数!$D$1:$F$143,3,0))*10^-3*10^2*各项系数!$J$4</f>
        <v>0.818519313679392</v>
      </c>
      <c r="GR124" s="389">
        <v>1</v>
      </c>
      <c r="GS124" s="390">
        <f t="shared" si="526"/>
        <v>0.818519313679392</v>
      </c>
      <c r="GT124" s="390">
        <f t="shared" si="457"/>
        <v>0</v>
      </c>
      <c r="GU124" s="390">
        <f>ROUND($GS124*(VLOOKUP($S124,各项系数!$D$1:$F$143,2,0))+$E$3*GS124,GT124)</f>
        <v>5</v>
      </c>
      <c r="GV124" s="406">
        <f>各项系数!$F$76/4*($MT124^2-$MS124^2)*10^-2*(VLOOKUP($GV$9,各项系数!$D$1:$F$143,3,0))*10^-3*10^2*各项系数!$J$4*PI()/4*R124</f>
        <v>0.06142791613936</v>
      </c>
      <c r="GW124" s="389">
        <v>1</v>
      </c>
      <c r="GX124" s="390">
        <f t="shared" si="527"/>
        <v>0.06142791613936</v>
      </c>
      <c r="GY124" s="390">
        <f>$GX124*(VLOOKUP($GV$9,各项系数!$D$1:$F$143,2,0))</f>
        <v>4.1463843394068</v>
      </c>
      <c r="GZ124" s="406">
        <f>各项系数!$F$76/4*($MV124^2-$MS124^2)*10^-2*(VLOOKUP($GZ$9,各项系数!$D$1:$F$143,3,0))*10^-3*10^2*各项系数!$J$4</f>
        <v>0.547942627286087</v>
      </c>
      <c r="HA124" s="389">
        <v>1</v>
      </c>
      <c r="HB124" s="390">
        <f t="shared" si="412"/>
        <v>0.547942627286087</v>
      </c>
      <c r="HC124" s="390">
        <f>HB124*(VLOOKUP($GZ$9,各项系数!$D$1:$F$143,2,0))</f>
        <v>9.31502466386347</v>
      </c>
      <c r="HD124" s="406">
        <f>各项系数!$F$76/4*($MW124^2-$MT124^2)*10^-2*(VLOOKUP($HD$9,各项系数!$D$1:$F$143,3,0))*10^-3*10^2*各项系数!$J$4</f>
        <v>0.549828160931288</v>
      </c>
      <c r="HE124" s="389">
        <v>1</v>
      </c>
      <c r="HF124" s="390">
        <f t="shared" si="413"/>
        <v>0.549828160931288</v>
      </c>
      <c r="HG124" s="390">
        <f>HF124*(VLOOKUP($HD$9,各项系数!$D$1:$F$143,2,0))</f>
        <v>9.3470787358319</v>
      </c>
      <c r="HH124" s="406">
        <f>各项系数!$F$76/4*($MV124^2-$MS124^2)*10^-2*(VLOOKUP($HH$9,各项系数!$D$1:$F$143,3,0))*10^-3*10^2*各项系数!$J$4</f>
        <v>0.547942627286087</v>
      </c>
      <c r="HI124" s="420">
        <v>1</v>
      </c>
      <c r="HJ124" s="390">
        <f t="shared" si="414"/>
        <v>0.547942627286087</v>
      </c>
      <c r="HK124" s="390">
        <f>HJ124*(VLOOKUP($HH$9,各项系数!$D$1:$F$143,2,0))</f>
        <v>9.31502466386347</v>
      </c>
      <c r="HL124" s="406">
        <f>各项系数!$F$76/4*($MW124^2-$MT124^2)*10^-2*(VLOOKUP($HL$9,各项系数!$D$1:$F$143,3,0))*10^-3*10^2*各项系数!$J$4</f>
        <v>0.549828160931288</v>
      </c>
      <c r="HM124" s="420">
        <v>1</v>
      </c>
      <c r="HN124" s="390">
        <f t="shared" si="362"/>
        <v>0.549828160931288</v>
      </c>
      <c r="HO124" s="390">
        <f>HN124*(VLOOKUP($HL$9,各项系数!$D$1:$F$143,2,0))</f>
        <v>9.3470787358319</v>
      </c>
      <c r="HP124" s="406">
        <f>各项系数!$F$76/4*($MV124^2-$MS124^2)*10^-2*(VLOOKUP(AN124,各项系数!$D$1:$F$143,3,0))*10^-3*10^2*各项系数!$J$4</f>
        <v>0.555500456627964</v>
      </c>
      <c r="HQ124" s="389">
        <v>1</v>
      </c>
      <c r="HR124" s="390">
        <f t="shared" si="528"/>
        <v>0.555500456627964</v>
      </c>
      <c r="HS124" s="390">
        <f>HR124*(VLOOKUP(AN124,各项系数!$D$1:$F$143,2,0))</f>
        <v>5.55500456627964</v>
      </c>
      <c r="HT124" s="406">
        <f>各项系数!$F$76/4*($MW124^2-$MT124^2)*10^-2*(VLOOKUP(AN124,各项系数!$D$1:$F$143,3,0))*10^-3*10^2*各项系数!$J$4</f>
        <v>0.557411997633789</v>
      </c>
      <c r="HU124" s="389">
        <v>1</v>
      </c>
      <c r="HV124" s="390">
        <f t="shared" si="529"/>
        <v>0.557411997633789</v>
      </c>
      <c r="HW124" s="390">
        <f>HV124*(VLOOKUP(AN124,各项系数!$D$1:$F$143,2,0))</f>
        <v>5.57411997633789</v>
      </c>
      <c r="HX124" s="406">
        <f>各项系数!$F$76/4*($MV124^2-$MS124^2)*10^-2*(VLOOKUP($HX$9,各项系数!$D$1:$F$143,3,0))*10^-3*10^2*各项系数!$J$4</f>
        <v>0.555500456627964</v>
      </c>
      <c r="HY124" s="420">
        <v>1</v>
      </c>
      <c r="HZ124" s="390">
        <f t="shared" si="530"/>
        <v>0.555500456627964</v>
      </c>
      <c r="IA124" s="390">
        <f>HZ124*(VLOOKUP($HX$9,各项系数!$D$1:$F$143,2,0))</f>
        <v>6.1105050229076</v>
      </c>
      <c r="IB124" s="406">
        <f>各项系数!$F$76/4*($MW124^2-$MT124^2)*10^-2*(VLOOKUP($IB$9,各项系数!$D$1:$F$143,3,0))*10^-3*10^2*各项系数!$J$4</f>
        <v>0.557411997633789</v>
      </c>
      <c r="IC124" s="420">
        <v>1</v>
      </c>
      <c r="ID124" s="390">
        <f t="shared" si="531"/>
        <v>0.557411997633789</v>
      </c>
      <c r="IE124" s="390">
        <f>ID124*(VLOOKUP($IB$9,各项系数!$D$1:$F$143,2,0))</f>
        <v>6.13153197397168</v>
      </c>
      <c r="IF124" s="429"/>
      <c r="IG124" s="406">
        <f t="shared" si="415"/>
        <v>0.0979927230639315</v>
      </c>
      <c r="IH124" s="389">
        <v>1</v>
      </c>
      <c r="II124" s="390">
        <f t="shared" si="532"/>
        <v>0.0979927230639315</v>
      </c>
      <c r="IJ124" s="390">
        <f>II124*(VLOOKUP($IG$8,各项系数!$D$1:$F$143,2,0))</f>
        <v>2.44981807659829</v>
      </c>
      <c r="IK124" s="406">
        <f>(各项系数!$F$76/4*($MX124^2-$MK124^2)*$EG124)*10^-2*(VLOOKUP($IG$8,各项系数!$D$1:$F$143,3,0))*10^-3*10^2*各项系数!$J$4</f>
        <v>0.0670879545179987</v>
      </c>
      <c r="IL124" s="389">
        <f>IK124*(VLOOKUP($IG$8,各项系数!$D$1:$F$143,2,0))</f>
        <v>1.67719886294997</v>
      </c>
      <c r="IM124" s="390">
        <f>(各项系数!$F$76/4*(($MM124+3*$X124)^2-MM124^2)*$EO124)*10^-2*(VLOOKUP($IG$8,各项系数!$D$1:$F$143,3,0))*10^-3*10^2*各项系数!$J$4</f>
        <v>0.0309047685459328</v>
      </c>
      <c r="IN124" s="389">
        <f>IM124*(VLOOKUP($IG$8,各项系数!$D$1:$F$143,2,0))</f>
        <v>0.772619213648319</v>
      </c>
      <c r="IO124" s="406">
        <f>各项系数!$F$76/4*($MZ124^2-$MX124^2)*10^-2*(VLOOKUP(L124,各项系数!$D$1:$F$143,3,0))*10^-3*10^2*$ES124*各项系数!$J$4</f>
        <v>0.423567645254528</v>
      </c>
      <c r="IP124" s="389">
        <v>1</v>
      </c>
      <c r="IQ124" s="390">
        <f t="shared" si="533"/>
        <v>0.423567645254528</v>
      </c>
      <c r="IR124" s="367">
        <f>IQ124*(VLOOKUP(L124,各项系数!$D$1:$F$143,2,0))</f>
        <v>4.32038998159618</v>
      </c>
      <c r="IS124" s="406">
        <f>IF($L124&lt;&gt;$IS$9,0,各项系数!$F$76/4*($MZ124^2-$MX124^2)*10^-2*各项系数!$F$12*10^-3*10^2)*$ES124*各项系数!$J$4</f>
        <v>0</v>
      </c>
      <c r="IT124" s="389">
        <v>1</v>
      </c>
      <c r="IU124" s="390">
        <f t="shared" si="534"/>
        <v>0</v>
      </c>
      <c r="IV124" s="367">
        <f>IU124*各项系数!$E$12</f>
        <v>0</v>
      </c>
      <c r="IW124" s="388">
        <f t="shared" si="535"/>
        <v>0.423567645254528</v>
      </c>
      <c r="IX124" s="388">
        <f t="shared" si="536"/>
        <v>4.32038998159618</v>
      </c>
      <c r="IY124" s="447">
        <f>各项系数!$F$76/4*($NB124^2-$MZ124^2*$EG124-$NA124^2*$EO124)*10^-2</f>
        <v>4.99046748342978</v>
      </c>
      <c r="IZ124" s="366">
        <f t="shared" si="487"/>
        <v>1</v>
      </c>
      <c r="JA124" s="367">
        <f t="shared" si="363"/>
        <v>4.99046748342978</v>
      </c>
      <c r="JB124" s="364">
        <f>IF($DE124&lt;&gt;$JB$9,0,$JA124*各项系数!$F$32*10^-3*10^2)*各项系数!$J$4</f>
        <v>0</v>
      </c>
      <c r="JC124" s="123">
        <v>1</v>
      </c>
      <c r="JD124" s="251">
        <f t="shared" si="537"/>
        <v>0</v>
      </c>
      <c r="JE124" s="339">
        <f>JD124*各项系数!$E$32</f>
        <v>0</v>
      </c>
      <c r="JF124" s="364">
        <f>IF($DE124&lt;&gt;$JF$9,0,$JA124*VLOOKUP($JF$9,各项系数!$D$4:$F$540,2,0)*10^-3*10^2)*各项系数!$J$4</f>
        <v>2.48275757300631</v>
      </c>
      <c r="JG124" s="123">
        <v>1</v>
      </c>
      <c r="JH124" s="251">
        <f t="shared" si="364"/>
        <v>2.48275757300631</v>
      </c>
      <c r="JI124" s="339">
        <f>JH124*VLOOKUP($JF$9,各项系数!$D$4:$F$540,3,0)</f>
        <v>2.97930908760758</v>
      </c>
      <c r="JJ124" s="364">
        <f t="shared" si="538"/>
        <v>2.48275757300631</v>
      </c>
      <c r="JK124" s="251">
        <f t="shared" si="539"/>
        <v>2.97930908760758</v>
      </c>
      <c r="JL124" s="364">
        <f>IF($DF124&lt;&gt;$JL$9,0,各项系数!$F$76/4*($NE124^2-$NC124^2)*10^-2*各项系数!$F$39*10^-3*10^2)*各项系数!$J$4</f>
        <v>0.0051886810331759</v>
      </c>
      <c r="JM124" s="123">
        <v>1</v>
      </c>
      <c r="JN124" s="251">
        <f t="shared" si="540"/>
        <v>0.0051886810331759</v>
      </c>
      <c r="JO124" s="339">
        <f>JN124*各项系数!$E$39</f>
        <v>0.103773620663518</v>
      </c>
      <c r="JP124" s="364">
        <f>IF($DF124&lt;&gt;$JP$9,0,各项系数!$F$76/4*($NE124^2-$NC124^2)*10^-2*各项系数!$F$36*10^-3*10^2)*各项系数!$J$4</f>
        <v>0</v>
      </c>
      <c r="JQ124" s="123">
        <v>1</v>
      </c>
      <c r="JR124" s="251">
        <f t="shared" si="541"/>
        <v>0</v>
      </c>
      <c r="JS124" s="339">
        <f>JR124*各项系数!$E$36</f>
        <v>0</v>
      </c>
      <c r="JT124" s="364">
        <f>IF($DF124&lt;&gt;$JT$9,0,各项系数!$F$76/4*($NE124^2-$NC124^2)*10^-2*各项系数!$F$40*10^-3*10^2)*各项系数!$J$4</f>
        <v>0</v>
      </c>
      <c r="JU124" s="123">
        <v>1</v>
      </c>
      <c r="JV124" s="251">
        <f t="shared" si="542"/>
        <v>0</v>
      </c>
      <c r="JW124" s="339">
        <f>JV124*各项系数!$E$40</f>
        <v>0</v>
      </c>
      <c r="JX124" s="364">
        <f>IF($DF124&lt;&gt;$JX$9,0,各项系数!$F$76/4*($NE124^2-$NC124^2)*10^-2*各项系数!$F$38*10^-3*10^2)*各项系数!$J$4</f>
        <v>0</v>
      </c>
      <c r="JY124" s="123">
        <v>1</v>
      </c>
      <c r="JZ124" s="251">
        <f t="shared" si="543"/>
        <v>0</v>
      </c>
      <c r="KA124" s="339">
        <f>JZ124*各项系数!$E$38</f>
        <v>0</v>
      </c>
      <c r="KB124" s="364">
        <f>IF($DF124&lt;&gt;$KB$9,0,各项系数!$F$76/4*($NE124^2-$NC124^2)*10^-2*各项系数!$F$41*10^-3*10^2)*各项系数!$J$4</f>
        <v>0</v>
      </c>
      <c r="KC124" s="123">
        <v>1</v>
      </c>
      <c r="KD124" s="251">
        <f t="shared" si="544"/>
        <v>0</v>
      </c>
      <c r="KE124" s="339">
        <f>KD124*各项系数!$E$41</f>
        <v>0</v>
      </c>
      <c r="KF124" s="251">
        <f t="shared" si="545"/>
        <v>0.0051886810331759</v>
      </c>
      <c r="KG124" s="251">
        <f t="shared" si="546"/>
        <v>0.103773620663518</v>
      </c>
      <c r="KH124" s="302">
        <f>各项系数!$F$76/4*($NG124^2-$NE124^2)*10^-2*各项系数!$F$44*10^-3*10^2*各项系数!$J$4*0.75*$U124</f>
        <v>1.29190890187225</v>
      </c>
      <c r="KI124" s="123">
        <v>1</v>
      </c>
      <c r="KJ124" s="251">
        <f t="shared" si="547"/>
        <v>1.29190890187225</v>
      </c>
      <c r="KK124" s="251">
        <f>ROUND(KJ124*各项系数!$E$43,GT124)</f>
        <v>7</v>
      </c>
      <c r="KL124" s="302">
        <f>各项系数!$F$76/4*($NF124^2-$NE124^2)*10^-2*各项系数!$F$46*10^-3*10^2*各项系数!$J$4*PI()/4*R124</f>
        <v>0.0646853313188453</v>
      </c>
      <c r="KM124" s="123">
        <v>1</v>
      </c>
      <c r="KN124" s="251">
        <f t="shared" si="548"/>
        <v>0.0646853313188453</v>
      </c>
      <c r="KO124" s="251">
        <f>KN124*各项系数!$E$46</f>
        <v>4.36625986402206</v>
      </c>
      <c r="KP124" s="302">
        <f>各项系数!$F$76/4*($NH124^2-$NE124^2)*10^-2*(VLOOKUP($KP$9,各项系数!$D$1:$F$143,3,0))*10^-3*10^2*各项系数!$J$4</f>
        <v>0.575424280164907</v>
      </c>
      <c r="KQ124" s="123">
        <v>1</v>
      </c>
      <c r="KR124" s="251">
        <f t="shared" si="416"/>
        <v>0.575424280164907</v>
      </c>
      <c r="KS124" s="251">
        <f>KR124*(VLOOKUP($KP$9,各项系数!$D$1:$F$143,2,0))</f>
        <v>9.78221276280343</v>
      </c>
      <c r="KT124" s="302">
        <f>各项系数!$F$76/4*($NI124^2-$NF124^2)*10^-2*(VLOOKUP($KT$9,各项系数!$D$1:$F$143,3,0))*10^-3*10^2*各项系数!$J$4</f>
        <v>0.57730981381011</v>
      </c>
      <c r="KU124" s="123">
        <v>1</v>
      </c>
      <c r="KV124" s="251">
        <f t="shared" si="417"/>
        <v>0.57730981381011</v>
      </c>
      <c r="KW124" s="251">
        <f>KV124*(VLOOKUP($KT$9,各项系数!$D$1:$F$143,2,0))</f>
        <v>9.81426683477187</v>
      </c>
      <c r="KX124" s="251">
        <f>各项系数!$F$76/4*($NH124^2-$NE124^2)*10^-2*(VLOOKUP($KX$9,各项系数!$D$1:$F$143,3,0))*10^-3*10^2*各项系数!$J$4</f>
        <v>0.575424280164907</v>
      </c>
      <c r="KY124" s="479">
        <v>1</v>
      </c>
      <c r="KZ124" s="251">
        <f t="shared" si="418"/>
        <v>0.575424280164907</v>
      </c>
      <c r="LA124" s="251">
        <f>KZ124*(VLOOKUP($KX$9,各项系数!$D$1:$F$143,2,0))</f>
        <v>9.78221276280343</v>
      </c>
      <c r="LB124" s="251">
        <f>各项系数!$F$76/4*($NI124^2-$NF124^2)*10^-2*(VLOOKUP($LB$9,各项系数!$D$1:$F$143,3,0))*10^-3*10^2*各项系数!$J$4</f>
        <v>0.57730981381011</v>
      </c>
      <c r="LC124" s="479">
        <v>1</v>
      </c>
      <c r="LD124" s="251">
        <f t="shared" si="419"/>
        <v>0.57730981381011</v>
      </c>
      <c r="LE124" s="251">
        <f>LD124*(VLOOKUP($LB$9,各项系数!$D$1:$F$143,2,0))</f>
        <v>9.81426683477187</v>
      </c>
      <c r="LF124" s="302">
        <f>各项系数!$F$76/4*($NH124^2-$NE124^2)*10^-2*(VLOOKUP(AN124,各项系数!$D$1:$F$143,3,0))*10^-3*10^2*各项系数!$J$4</f>
        <v>0.583361166787872</v>
      </c>
      <c r="LG124" s="123">
        <v>1</v>
      </c>
      <c r="LH124" s="251">
        <f t="shared" si="549"/>
        <v>0.583361166787872</v>
      </c>
      <c r="LI124" s="251">
        <f>LH124*(VLOOKUP(AN124,各项系数!$D$1:$F$143,2,0))</f>
        <v>5.83361166787872</v>
      </c>
      <c r="LJ124" s="302">
        <f>各项系数!$F$76/4*($NI124^2-$NF124^2)*10^-2*(VLOOKUP(AN124,各项系数!$D$1:$F$143,3,0))*10^-3*10^2*各项系数!$J$4</f>
        <v>0.585272707793697</v>
      </c>
      <c r="LK124" s="123">
        <v>1</v>
      </c>
      <c r="LL124" s="251">
        <f t="shared" si="550"/>
        <v>0.585272707793697</v>
      </c>
      <c r="LM124" s="251">
        <f>LL124*(VLOOKUP(AN124,各项系数!$D$1:$F$143,2,0))</f>
        <v>5.85272707793697</v>
      </c>
      <c r="LN124" s="251">
        <f>各项系数!$F$76/4*($NH124^2-$NE124^2)*10^-2*(VLOOKUP($LN$9,各项系数!$D$1:$F$143,3,0))*10^-3*10^2*各项系数!$J$4</f>
        <v>0.583361166787872</v>
      </c>
      <c r="LO124" s="479">
        <v>1</v>
      </c>
      <c r="LP124" s="251">
        <f t="shared" si="551"/>
        <v>0.583361166787872</v>
      </c>
      <c r="LQ124" s="251">
        <f>LP124*(VLOOKUP($LN$9,各项系数!$D$1:$F$143,2,0))</f>
        <v>6.41697283466659</v>
      </c>
      <c r="LR124" s="251">
        <f>各项系数!$F$76/4*($NI124^2-$NF124^2)*10^-2*(VLOOKUP($LR$9,各项系数!$D$1:$F$143,3,0))*10^-3*10^2*各项系数!$J$4</f>
        <v>0.585272707793697</v>
      </c>
      <c r="LS124" s="479">
        <v>1</v>
      </c>
      <c r="LT124" s="251">
        <f t="shared" si="552"/>
        <v>0.585272707793697</v>
      </c>
      <c r="LU124" s="251">
        <f>LT124*(VLOOKUP($LR$9,各项系数!$D$1:$F$143,2,0))</f>
        <v>6.43799978573067</v>
      </c>
      <c r="LV124" s="499">
        <f t="shared" si="420"/>
        <v>573.24392478</v>
      </c>
      <c r="LW124" s="499">
        <f t="shared" si="421"/>
        <v>418.54740756</v>
      </c>
      <c r="LX124" s="499">
        <f t="shared" si="422"/>
        <v>23.0848675684262</v>
      </c>
      <c r="LY124" s="515">
        <f t="shared" si="423"/>
        <v>154.69651722</v>
      </c>
      <c r="LZ124" s="516">
        <f t="shared" si="365"/>
        <v>1</v>
      </c>
      <c r="MA124" s="517">
        <f t="shared" si="366"/>
        <v>573.24392478</v>
      </c>
      <c r="MB124" s="517">
        <f t="shared" si="424"/>
        <v>15.59782927</v>
      </c>
      <c r="MC124" s="499">
        <f t="shared" si="425"/>
        <v>179.34506569</v>
      </c>
      <c r="MD124" s="499">
        <f t="shared" si="426"/>
        <v>129.10417615</v>
      </c>
      <c r="ME124" s="499">
        <f t="shared" si="427"/>
        <v>12.8210975530426</v>
      </c>
      <c r="MF124" s="499">
        <f t="shared" si="428"/>
        <v>50.24088954</v>
      </c>
      <c r="MG124" s="516">
        <f t="shared" si="429"/>
        <v>1</v>
      </c>
      <c r="MH124" s="517">
        <f t="shared" si="367"/>
        <v>179.34506569</v>
      </c>
      <c r="MI124" s="517">
        <f t="shared" si="430"/>
        <v>10.6852522148434</v>
      </c>
      <c r="MJ124" s="251">
        <f t="shared" si="368"/>
        <v>15.59782927</v>
      </c>
      <c r="MK124" s="251">
        <f t="shared" si="431"/>
        <v>15.59782927</v>
      </c>
      <c r="ML124" s="251">
        <f t="shared" si="553"/>
        <v>10.6852522147794</v>
      </c>
      <c r="MM124" s="251">
        <f t="shared" si="369"/>
        <v>10.6852522148434</v>
      </c>
      <c r="MN124" s="251">
        <f t="shared" si="370"/>
        <v>18.39782927</v>
      </c>
      <c r="MO124" s="251">
        <f t="shared" si="432"/>
        <v>12.8852522148434</v>
      </c>
      <c r="MP124" s="251">
        <f t="shared" si="433"/>
        <v>43.72055581</v>
      </c>
      <c r="MQ124" s="251">
        <f t="shared" si="554"/>
        <v>43.72055581</v>
      </c>
      <c r="MR124" s="314">
        <f t="shared" si="434"/>
        <v>43.72055581</v>
      </c>
      <c r="MS124" s="530">
        <f t="shared" si="371"/>
        <v>43.89655581</v>
      </c>
      <c r="MT124" s="530">
        <f t="shared" si="372"/>
        <v>44.05655581</v>
      </c>
      <c r="MU124" s="530">
        <f t="shared" si="373"/>
        <v>45.39655581</v>
      </c>
      <c r="MV124" s="530">
        <f t="shared" si="374"/>
        <v>49.09655581</v>
      </c>
      <c r="MW124" s="530">
        <f t="shared" si="375"/>
        <v>49.25655581</v>
      </c>
      <c r="MX124" s="326">
        <f t="shared" si="376"/>
        <v>16.19782927</v>
      </c>
      <c r="MY124" s="326">
        <f t="shared" si="377"/>
        <v>11.2852522148434</v>
      </c>
      <c r="MZ124" s="251">
        <f t="shared" si="378"/>
        <v>18.99782927</v>
      </c>
      <c r="NA124" s="251">
        <f t="shared" si="379"/>
        <v>14.0852522148434</v>
      </c>
      <c r="NB124" s="251">
        <f t="shared" si="435"/>
        <v>45.98855581</v>
      </c>
      <c r="NC124" s="326">
        <f t="shared" si="555"/>
        <v>45.98855581</v>
      </c>
      <c r="ND124" s="314">
        <f t="shared" si="436"/>
        <v>45.98855581</v>
      </c>
      <c r="NE124" s="537">
        <f t="shared" si="437"/>
        <v>46.22855581</v>
      </c>
      <c r="NF124" s="530">
        <f t="shared" si="380"/>
        <v>46.38855581</v>
      </c>
      <c r="NG124" s="538">
        <f t="shared" si="381"/>
        <v>47.72855581</v>
      </c>
      <c r="NH124" s="326">
        <f t="shared" si="382"/>
        <v>51.42855581</v>
      </c>
      <c r="NI124" s="530">
        <f t="shared" si="383"/>
        <v>51.58855581</v>
      </c>
      <c r="NK124" s="539">
        <f t="shared" si="384"/>
        <v>6.43475608945531</v>
      </c>
      <c r="NL124" s="539">
        <f t="shared" si="385"/>
        <v>333.528312029196</v>
      </c>
      <c r="NM124" s="539">
        <f t="shared" si="386"/>
        <v>6.43475608945531</v>
      </c>
      <c r="NN124" s="539">
        <f t="shared" si="387"/>
        <v>334.083812485824</v>
      </c>
      <c r="NO124" s="539">
        <f t="shared" si="388"/>
        <v>8.53843222424123</v>
      </c>
      <c r="NP124" s="539">
        <f t="shared" si="389"/>
        <v>338.369729806984</v>
      </c>
      <c r="NQ124" s="539">
        <f t="shared" si="390"/>
        <v>8.53843222424123</v>
      </c>
      <c r="NR124" s="539">
        <f t="shared" si="391"/>
        <v>338.953090973771</v>
      </c>
      <c r="NS124" s="539">
        <f t="shared" si="392"/>
        <v>6.49618400559467</v>
      </c>
      <c r="NT124" s="539">
        <f t="shared" si="393"/>
        <v>6.49618400559467</v>
      </c>
      <c r="NU124" s="539">
        <f t="shared" si="394"/>
        <v>8.60311755556008</v>
      </c>
      <c r="NV124" s="539">
        <f t="shared" si="395"/>
        <v>8.60311755556008</v>
      </c>
      <c r="NW124">
        <f t="shared" si="396"/>
        <v>7.2532754031347</v>
      </c>
      <c r="NX124">
        <f>各项系数!$M$9*NK124</f>
        <v>1.93042682683659</v>
      </c>
      <c r="NY124">
        <f t="shared" si="397"/>
        <v>6.49618400559467</v>
      </c>
    </row>
    <row r="125" customHeight="1" spans="1:389">
      <c r="A125" s="85"/>
      <c r="B125" s="86"/>
      <c r="C125" s="87"/>
      <c r="D125" s="69" t="s">
        <v>418</v>
      </c>
      <c r="E125" s="550">
        <f t="shared" si="503"/>
        <v>54.36487767</v>
      </c>
      <c r="F125" s="84">
        <f>$F$29</f>
        <v>245.09808262108</v>
      </c>
      <c r="G125" s="74"/>
      <c r="H125" s="23"/>
      <c r="I125" s="174">
        <f>$F$26</f>
        <v>245.088056587712</v>
      </c>
      <c r="J125" s="78"/>
      <c r="K125" s="23"/>
      <c r="L125" s="118" t="s">
        <v>467</v>
      </c>
      <c r="M125" s="124">
        <f t="shared" si="339"/>
        <v>1.6</v>
      </c>
      <c r="N125" s="124">
        <f t="shared" si="501"/>
        <v>1.1</v>
      </c>
      <c r="O125" s="69">
        <f t="shared" si="556"/>
        <v>0.08</v>
      </c>
      <c r="P125" s="120">
        <v>0.1</v>
      </c>
      <c r="Q125" s="162">
        <f t="shared" si="557"/>
        <v>0.1</v>
      </c>
      <c r="R125" s="86">
        <v>0.8</v>
      </c>
      <c r="S125" s="171" t="str">
        <f>各项系数!$D$43</f>
        <v>钢带</v>
      </c>
      <c r="T125" s="123">
        <v>0.5</v>
      </c>
      <c r="U125" s="123">
        <v>2</v>
      </c>
      <c r="V125" s="169"/>
      <c r="W125" s="170">
        <v>2.8</v>
      </c>
      <c r="X125" s="164">
        <f t="shared" si="558"/>
        <v>0.2</v>
      </c>
      <c r="Y125" s="219"/>
      <c r="Z125" s="220"/>
      <c r="AA125" s="217">
        <f>$AA$29</f>
        <v>1.015</v>
      </c>
      <c r="AB125" s="186">
        <f>PI()*EJ125*EJ125/4*EH125*(1-H125)*AA125*各项系数!$F$5*各项系数!$J$4*10^-7</f>
        <v>1.56733675087884</v>
      </c>
      <c r="AC125" s="186">
        <f t="shared" si="504"/>
        <v>245.09808262108</v>
      </c>
      <c r="AD125" s="186">
        <f t="shared" si="341"/>
        <v>177.189293020653</v>
      </c>
      <c r="AE125" s="186">
        <f>POWER(4*EU125/PI()/EG125/10^-7/EH125/(1-H125)/各项系数!$F$5/各项系数!$J$4,0.5)</f>
        <v>246.929476077883</v>
      </c>
      <c r="AF125" s="218">
        <f>$AA$26</f>
        <v>1.013</v>
      </c>
      <c r="AG125" s="85">
        <f>IF(EM125=0,0,PI()*ER125*ER125/4*EP125*(1-K125)*(1+AF125)*各项系数!$F$5*各项系数!$J$4*10^-7)</f>
        <v>1.59608639301842</v>
      </c>
      <c r="AH125" s="85">
        <f t="shared" si="505"/>
        <v>245.088056587712</v>
      </c>
      <c r="AI125" s="85">
        <f t="shared" si="398"/>
        <v>90.8023783381159</v>
      </c>
      <c r="AJ125" s="85">
        <f>IF(OR(EP125="",EP125=0),0,POWER(4*EW125/PI()/EO125/10^-7/EP125/(1-K125)/各项系数!$F$5/各项系数!$J$4,0.5))</f>
        <v>246.675984853019</v>
      </c>
      <c r="AK125" s="85">
        <f t="shared" si="342"/>
        <v>6.30840420805395</v>
      </c>
      <c r="AL125" s="85">
        <f t="shared" si="506"/>
        <v>439.451871147466</v>
      </c>
      <c r="AM125" s="250">
        <f t="shared" si="507"/>
        <v>185</v>
      </c>
      <c r="AN125" s="118" t="s">
        <v>486</v>
      </c>
      <c r="AO125" s="259">
        <f>AP125+各项系数!$M$9*$NK125</f>
        <v>430.835167791634</v>
      </c>
      <c r="AP125" s="259">
        <f>AQ125*(1+$BI125+(VLOOKUP($AM125,$A$12:$B$323,2,0))+各项系数!$J$6+各项系数!$M$5)*(1+$E$2)</f>
        <v>428.3892736068</v>
      </c>
      <c r="AQ125" s="260">
        <f>AR125+各项系数!$L$9*$NK125</f>
        <v>437.131911843673</v>
      </c>
      <c r="AR125" s="260">
        <f>AS125*(1+$BJ125+各项系数!$J$5+各项系数!$L$5)</f>
        <v>434.68601765884</v>
      </c>
      <c r="AS125" s="260">
        <f t="shared" si="399"/>
        <v>426.162762410627</v>
      </c>
      <c r="AT125" s="259">
        <f>AU125+各项系数!$M$9*$NM125</f>
        <v>435.324009642433</v>
      </c>
      <c r="AU125" s="259">
        <f>AV125*(1+$BI125+(VLOOKUP($AM125,$A$12:$B$323,2,0))+各项系数!$J$6+各项系数!$M$5)*(1+$E$2)</f>
        <v>432.878115457599</v>
      </c>
      <c r="AV125" s="260">
        <f>AW125+各项系数!$L$9*$NM125</f>
        <v>441.712362711836</v>
      </c>
      <c r="AW125" s="260">
        <f>AX125*(1+$BJ125+各项系数!$J$5+各项系数!$L$5)</f>
        <v>439.266468527002</v>
      </c>
      <c r="AX125" s="260">
        <f t="shared" si="400"/>
        <v>430.653400516669</v>
      </c>
      <c r="AY125" s="259">
        <f>AZ125+各项系数!$M$9*$NS125</f>
        <v>435.499830874309</v>
      </c>
      <c r="AZ125" s="259">
        <f>BA125*(1+$BI125+(VLOOKUP($AM125,$A$12:$B$214,2,0))+各项系数!$J$6+各项系数!$M$5)*(1+$E$2)</f>
        <v>433.033468244455</v>
      </c>
      <c r="BA125" s="260">
        <f>BB125+各项系数!$L$9*$NS125</f>
        <v>441.870885963729</v>
      </c>
      <c r="BB125" s="260">
        <f>BC125*(1+$BJ125+各项系数!$J$5+各项系数!$L$5)</f>
        <v>439.404523333874</v>
      </c>
      <c r="BC125" s="262">
        <f t="shared" si="401"/>
        <v>430.788748366544</v>
      </c>
      <c r="BD125" s="259">
        <f>BE125+各项系数!$M$9*$NS125</f>
        <v>440.002601095127</v>
      </c>
      <c r="BE125" s="259">
        <f>BF125*(1+$BI125+(VLOOKUP($AM125,$A$12:$B$214,2,0))+各项系数!$J$6+各项系数!$M$5)*(1+$E$2)</f>
        <v>437.536238465272</v>
      </c>
      <c r="BF125" s="260">
        <f>BG125+各项系数!$L$9*$NS125</f>
        <v>446.465549454359</v>
      </c>
      <c r="BG125" s="260">
        <f>BH125*(1+$BJ125+各项系数!$J$5+各项系数!$L$5)</f>
        <v>443.999186824505</v>
      </c>
      <c r="BH125" s="262">
        <f t="shared" si="402"/>
        <v>435.293320416181</v>
      </c>
      <c r="BI125" s="277"/>
      <c r="BJ125" s="272"/>
      <c r="BK125" s="69" t="s">
        <v>514</v>
      </c>
      <c r="BL125" s="259">
        <f>BM125+各项系数!$M$9*$NM125</f>
        <v>435.681240215341</v>
      </c>
      <c r="BM125" s="259">
        <f>BN125*(1+$CF125+(VLOOKUP($AM125,$A$12:$B$323,2,0))+各项系数!$J$6+各项系数!$M$5)*(1+$E$2)</f>
        <v>433.235346030508</v>
      </c>
      <c r="BN125" s="260">
        <f>BO125+各项系数!$L$9*$NM125</f>
        <v>442.0768837046</v>
      </c>
      <c r="BO125" s="260">
        <f>BP125*(1+$CG125+各项系数!$J$5+各项系数!$L$5)</f>
        <v>439.630989519766</v>
      </c>
      <c r="BP125" s="260">
        <f t="shared" si="403"/>
        <v>426.826203417248</v>
      </c>
      <c r="BQ125" s="259">
        <f>BR125+各项系数!$M$9*$NM125</f>
        <v>439.544412967496</v>
      </c>
      <c r="BR125" s="259">
        <f>BS125*(1+$CF125+(VLOOKUP($AM125,$A$12:$B$323,2,0))+各项系数!$J$6+各项系数!$M$5)*(1+$E$2)</f>
        <v>437.098518782663</v>
      </c>
      <c r="BS125" s="260">
        <f>BT125+各项系数!$L$9*$NM125</f>
        <v>446.018896717003</v>
      </c>
      <c r="BT125" s="260">
        <f>BU125*(1+$CG125+各项系数!$J$5+各项系数!$L$5)</f>
        <v>443.573002532169</v>
      </c>
      <c r="BU125" s="260">
        <f t="shared" si="404"/>
        <v>430.653400516669</v>
      </c>
      <c r="BV125" s="259">
        <f>BW125+各项系数!$M$9*$NT125</f>
        <v>437.984378651517</v>
      </c>
      <c r="BW125" s="259">
        <f>BX125*(1+$CF125+(VLOOKUP($AM125,$A$12:$B$214,2,0))+各项系数!$J$6+各项系数!$M$5)*(1+$E$2)</f>
        <v>435.518016021663</v>
      </c>
      <c r="BX125" s="260">
        <f>BY125+各项系数!$L$9*$NT$12</f>
        <v>444.406138797615</v>
      </c>
      <c r="BY125" s="260">
        <f>BZ125*(1+$CG125+各项系数!$J$5+各项系数!$L$5)</f>
        <v>444.39787539446</v>
      </c>
      <c r="BZ125" s="262">
        <f t="shared" si="343"/>
        <v>431.454247955786</v>
      </c>
      <c r="CA125" s="259">
        <f>CB125+各项系数!$M$9*$NT125</f>
        <v>441.85953839304</v>
      </c>
      <c r="CB125" s="259">
        <f>CC125*(1+$CF125+(VLOOKUP($AM125,$A$12:$B$214,2,0))+各项系数!$J$6+各项系数!$M$5)*(1+$E$2)</f>
        <v>439.393175763185</v>
      </c>
      <c r="CC125" s="260">
        <f>CD125+各项系数!$L$9*$NT$12</f>
        <v>448.360383431821</v>
      </c>
      <c r="CD125" s="260">
        <f>CE125*(1+$CG125+各项系数!$J$5+各项系数!$L$5)</f>
        <v>448.352120028666</v>
      </c>
      <c r="CE125" s="262">
        <f t="shared" si="405"/>
        <v>435.293320416181</v>
      </c>
      <c r="CF125" s="277">
        <f t="shared" si="514"/>
        <v>0</v>
      </c>
      <c r="CG125" s="277">
        <f t="shared" si="344"/>
        <v>0.01</v>
      </c>
      <c r="CH125" s="123"/>
      <c r="CI125" s="259">
        <f>CJ125+各项系数!$M$9*$NO125</f>
        <v>440.89310100873</v>
      </c>
      <c r="CJ125" s="259">
        <f>CK125*(1+$DC125+(VLOOKUP($AM125,$A$12:$B$323,2,0))+各项系数!$J$6+各项系数!$M$5)*(1+$E$2)+各项系数!$M$9*$NK125</f>
        <v>437.651288423888</v>
      </c>
      <c r="CK125" s="260">
        <f>CL125+各项系数!$L$9*$NO125</f>
        <v>444.087136978627</v>
      </c>
      <c r="CL125" s="260">
        <f>CM125*(1+$DD125+各项系数!$J$5+各项系数!$L$5)</f>
        <v>440.845324393785</v>
      </c>
      <c r="CM125" s="260">
        <f t="shared" si="345"/>
        <v>432.201298425279</v>
      </c>
      <c r="CN125" s="259">
        <f>CO125+各项系数!$M$9*$NO125</f>
        <v>445.026464959697</v>
      </c>
      <c r="CO125" s="259">
        <f>CP125*(1+$DC125+(VLOOKUP($AM125,$A$12:$B$323,2,0))+各项系数!$J$6+各项系数!$M$5)*(1+$E$2)+各项系数!$M$9*$NK125</f>
        <v>441.784652374855</v>
      </c>
      <c r="CP125" s="260">
        <f>CQ125+各项系数!$L$9*$NO125</f>
        <v>448.30485529594</v>
      </c>
      <c r="CQ125" s="260">
        <f>CR125*(1+$DD125+各项系数!$J$5+各项系数!$L$5)</f>
        <v>445.063042711098</v>
      </c>
      <c r="CR125" s="260">
        <f t="shared" si="346"/>
        <v>436.33631638343</v>
      </c>
      <c r="CS125" s="259">
        <f>CT125+各项系数!$M$9*$NU125</f>
        <v>443.374666189597</v>
      </c>
      <c r="CT125" s="259">
        <f t="shared" si="347"/>
        <v>440.111226905589</v>
      </c>
      <c r="CU125" s="260">
        <f>CV125+各项系数!$L$9*$NU125</f>
        <v>449.093088679173</v>
      </c>
      <c r="CV125" s="260">
        <f>CW125*(1+$DD125+各项系数!$J$5+各项系数!$L$5)</f>
        <v>445.829649395165</v>
      </c>
      <c r="CW125" s="262">
        <f t="shared" si="348"/>
        <v>437.087891563887</v>
      </c>
      <c r="CX125" s="259">
        <f>CY125+各项系数!$M$9*$NU125</f>
        <v>448.118049002478</v>
      </c>
      <c r="CY125" s="259">
        <f t="shared" si="349"/>
        <v>444.85460971847</v>
      </c>
      <c r="CZ125" s="260">
        <f>DA125+各项系数!$L$9*$NU125</f>
        <v>453.933275222929</v>
      </c>
      <c r="DA125" s="260">
        <f>DB125*(1+$DD125+各项系数!$J$5+各项系数!$L$5)</f>
        <v>450.669835938921</v>
      </c>
      <c r="DB125" s="262">
        <f t="shared" si="350"/>
        <v>441.833172489138</v>
      </c>
      <c r="DC125" s="277">
        <f t="shared" si="498"/>
        <v>0</v>
      </c>
      <c r="DD125" s="277">
        <f t="shared" si="351"/>
        <v>0</v>
      </c>
      <c r="DE125" s="69" t="s">
        <v>498</v>
      </c>
      <c r="DF125" s="69" t="s">
        <v>513</v>
      </c>
      <c r="DG125" s="259">
        <f>DH125+各项系数!$M$9*$NQ125</f>
        <v>445.834247383109</v>
      </c>
      <c r="DH125" s="259">
        <f>DI125*(1+$EA125+(VLOOKUP($AM125,$A$12:$B$323,2,0))+各项系数!$J$6+各项系数!$M$5)*(1+$E$2)+各项系数!$M$9*$NK125</f>
        <v>442.592434798267</v>
      </c>
      <c r="DI125" s="260">
        <f>DJ125+各项系数!$L$9*$NQ125</f>
        <v>449.129123074932</v>
      </c>
      <c r="DJ125" s="260">
        <f>DK125*(1+$EB125+各项系数!$J$5+各项系数!$L$5)</f>
        <v>445.88731049009</v>
      </c>
      <c r="DK125" s="260">
        <f t="shared" si="352"/>
        <v>432.90030144669</v>
      </c>
      <c r="DL125" s="259">
        <f>DM125+各项系数!$M$9*$NQ125</f>
        <v>449.90449537658</v>
      </c>
      <c r="DM125" s="259">
        <f>DN125*(1+$EA125+(VLOOKUP($AM125,$A$12:$B$323,2,0))+各项系数!$J$6+各项系数!$M$5)*(1+$E$2)+各项系数!$M$9*$NK125</f>
        <v>446.662682791739</v>
      </c>
      <c r="DN125" s="260">
        <f>DO125+各项系数!$L$9*$NQ125</f>
        <v>453.282437353984</v>
      </c>
      <c r="DO125" s="260">
        <f>DP125*(1+$EB125+各项系数!$J$5+各项系数!$L$5)</f>
        <v>450.040624769143</v>
      </c>
      <c r="DP125" s="260">
        <f t="shared" si="353"/>
        <v>436.932645406935</v>
      </c>
      <c r="DQ125" s="259">
        <f>DR125+各项系数!$M$9*$NV125</f>
        <v>448.365779110033</v>
      </c>
      <c r="DR125" s="259">
        <f t="shared" si="354"/>
        <v>445.102339826026</v>
      </c>
      <c r="DS125" s="260">
        <f>DT125+各项系数!$L$9*$NV125</f>
        <v>454.186061046965</v>
      </c>
      <c r="DT125" s="260">
        <f>DU125*(1+$EB125+各项系数!$J$5+各项系数!$L$5)</f>
        <v>450.922621762957</v>
      </c>
      <c r="DU125" s="262">
        <f t="shared" si="355"/>
        <v>437.788953167919</v>
      </c>
      <c r="DV125" s="259">
        <f>DW125+各项系数!$M$9*$NV125</f>
        <v>446.965823411205</v>
      </c>
      <c r="DW125" s="259">
        <f t="shared" si="356"/>
        <v>443.702384127197</v>
      </c>
      <c r="DX125" s="260">
        <f>DY125+各项系数!$L$9*$NV125</f>
        <v>452.757534823671</v>
      </c>
      <c r="DY125" s="260">
        <f>DZ125*(1+$EB125+各项系数!$J$5+各项系数!$L$5)</f>
        <v>449.494095539663</v>
      </c>
      <c r="DZ125" s="262">
        <f t="shared" si="357"/>
        <v>436.402034504527</v>
      </c>
      <c r="EA125" s="277">
        <f t="shared" si="559"/>
        <v>0</v>
      </c>
      <c r="EB125" s="277">
        <f t="shared" si="358"/>
        <v>0.01</v>
      </c>
      <c r="EC125" s="302" t="str">
        <f t="shared" si="408"/>
        <v>3+2</v>
      </c>
      <c r="ED125" s="302" t="str">
        <f t="shared" si="494"/>
        <v>3*185</v>
      </c>
      <c r="EE125" s="251">
        <f t="shared" si="495"/>
        <v>185</v>
      </c>
      <c r="EF125" s="251" t="str">
        <f>LOOKUP(EH125,{1,7,10,14,19,24,30,37,48,61},{1,"1+6","2+8","4+10","1+6+12","2+8+14","4+10+16","1+6+12+18","3+9+15+21","1+6+12+18+24"})</f>
        <v>1+6+12+18</v>
      </c>
      <c r="EG125" s="250">
        <f t="shared" si="359"/>
        <v>3</v>
      </c>
      <c r="EH125" s="260">
        <f>VLOOKUP(EE125,各项系数!$B$87:$C$124,2,0)</f>
        <v>37</v>
      </c>
      <c r="EI125" s="250">
        <f>IF(EH125=0,0,VLOOKUP(EH125,各项系数!$D$142:$E$195,2,0))*1</f>
        <v>7</v>
      </c>
      <c r="EJ125" s="305">
        <f t="shared" si="409"/>
        <v>245.09808262108</v>
      </c>
      <c r="EK125" s="251" t="str">
        <f t="shared" si="508"/>
        <v>2*95</v>
      </c>
      <c r="EL125" s="251" t="str">
        <f t="shared" si="360"/>
        <v>95</v>
      </c>
      <c r="EM125" s="251">
        <f t="shared" si="496"/>
        <v>95</v>
      </c>
      <c r="EN125" s="251" t="str">
        <f>IF(EP125=0,0,LOOKUP(EP125,{1,7,10,14,19,24,30,37,48,61},{1,"1+6","2+8","4+10","1+6+12","2+8+14","4+10+16","1+6+12+18","3+9+15+21","1+6+12+18+24"}))</f>
        <v>1+6+12</v>
      </c>
      <c r="EO125" s="251" t="str">
        <f t="shared" si="509"/>
        <v>2</v>
      </c>
      <c r="EP125" s="251">
        <f>IF(EM125=0,0,IF(EM125&lt;10,1,IF(AND(EM125&gt;=10,EM125&lt;=35),7,LOOKUP(EM125,{50,70,95,120,150,185,240,300},{10,14,19,24,30,37,48,61})*1)))</f>
        <v>19</v>
      </c>
      <c r="EQ125" s="251">
        <f>IF(EP125=0,0,VLOOKUP(EP125,各项系数!$D$142:$E$195,2,0))*1</f>
        <v>5</v>
      </c>
      <c r="ER125" s="251">
        <f t="shared" si="510"/>
        <v>245.088056587712</v>
      </c>
      <c r="ES125" s="302">
        <f t="shared" si="497"/>
        <v>5</v>
      </c>
      <c r="ET125" s="251">
        <f>VLOOKUP(ES125,各项系数!$D$142:$E$195,2,0)*1</f>
        <v>2.7</v>
      </c>
      <c r="EU125" s="311">
        <f>((各项系数!$F$76/4*$EJ125^2*$EG125*$EH125*1*10^-7)*(1-$H125)*AA125)*(VLOOKUP($EY$9,各项系数!$D$4:$F$143,3,0))*各项系数!$J$4</f>
        <v>4.7020102526365</v>
      </c>
      <c r="EV125" s="312">
        <f>EU125*(VLOOKUP($EY$9,各项系数!$D$4:$F$143,2,0))</f>
        <v>307.981671547691</v>
      </c>
      <c r="EW125" s="324">
        <f>(IF($EO125=0,0,(各项系数!$F$76/4*$ER125^2*$EO125*$EP125*1*10^-7))*(1-$K125)*$AF125)*(VLOOKUP($EY$9,各项系数!$D$4:$F$143,3,0))*各项系数!$J$4</f>
        <v>1.60639395541744</v>
      </c>
      <c r="EX125" s="325">
        <f>EW125*(VLOOKUP($EY$9,各项系数!$D$4:$F$143,2,0))</f>
        <v>105.218804079842</v>
      </c>
      <c r="EY125" s="251">
        <f>((各项系数!$F$76/4*$EJ125^2*$EG125*$EH125*1*10^-7)*(1-$H125)*AA125+IF($EO125=0,0,(各项系数!$F$76/4*$ER125^2*$EO125*$EP125*1*10^-7))*(1-$K125)*$AF125)*(VLOOKUP($EY$9,各项系数!$D$4:$F$143,3,0))*各项系数!$J$4</f>
        <v>6.30840420805395</v>
      </c>
      <c r="EZ125" s="123">
        <v>1</v>
      </c>
      <c r="FA125" s="251">
        <f t="shared" si="515"/>
        <v>6.30840420805395</v>
      </c>
      <c r="FB125" s="326">
        <f>FA125*(VLOOKUP($EY$9,各项系数!$D$4:$F$143,2,0))</f>
        <v>413.200475627534</v>
      </c>
      <c r="FC125" s="327"/>
      <c r="FD125" s="302">
        <f>各项系数!$F$76/4*($MN125^2-MK125^2)*10^-2*(VLOOKUP(L125,各项系数!$D$1:$F$143,3,0))*10^-3*10^2*$EG125*各项系数!$J$4</f>
        <v>0.309575902278193</v>
      </c>
      <c r="FE125" s="339">
        <f>FD125*VLOOKUP(L125,各项系数!$D$1:$F$143,2,0)</f>
        <v>3.15767420323757</v>
      </c>
      <c r="FF125" s="250">
        <f>各项系数!$F$76/4*($MO125^2-ML125^2)*10^-2*(VLOOKUP(L125,各项系数!$D$1:$F$143,3,0))*10^-3*10^2*$EO125*各项系数!$J$4</f>
        <v>0.101021262512474</v>
      </c>
      <c r="FG125" s="339">
        <f>FF125*VLOOKUP(L125,各项系数!$D$1:$F$143,2,0)</f>
        <v>1.03041687762723</v>
      </c>
      <c r="FH125" s="302">
        <f t="shared" si="410"/>
        <v>0.410597164790667</v>
      </c>
      <c r="FI125" s="123">
        <v>1</v>
      </c>
      <c r="FJ125" s="251">
        <f t="shared" si="516"/>
        <v>0.410597164790667</v>
      </c>
      <c r="FK125" s="339">
        <f>FJ125*VLOOKUP(L125,各项系数!$D$1:$F$143,2,0)</f>
        <v>4.1880910808648</v>
      </c>
      <c r="FL125" s="302"/>
      <c r="FM125" s="123"/>
      <c r="FN125" s="251"/>
      <c r="FO125" s="339"/>
      <c r="FP125" s="364">
        <f t="shared" si="517"/>
        <v>0.410597164790667</v>
      </c>
      <c r="FQ125" s="364">
        <f t="shared" si="518"/>
        <v>4.1880910808648</v>
      </c>
      <c r="FR125" s="365">
        <f>各项系数!$F$76/4*($MQ125^2-$MN125^2*$EG125-$MO125^2*$EO125)*10^-2</f>
        <v>5.49632280114161</v>
      </c>
      <c r="FS125" s="366">
        <f t="shared" si="411"/>
        <v>1</v>
      </c>
      <c r="FT125" s="367">
        <f t="shared" si="361"/>
        <v>5.49632280114161</v>
      </c>
      <c r="FU125" s="388">
        <f>$FT125*(VLOOKUP($FT$9,各项系数!$D$1:$F$143,3,0))*10^-3*10^2*各项系数!$J$55</f>
        <v>0.656260942456308</v>
      </c>
      <c r="FV125" s="389">
        <v>1</v>
      </c>
      <c r="FW125" s="390">
        <f t="shared" si="519"/>
        <v>0.656260942456308</v>
      </c>
      <c r="FX125" s="367">
        <f>FW125*(VLOOKUP($FT$9,各项系数!$D$1:$F$143,2,0))</f>
        <v>1.96878282736892</v>
      </c>
      <c r="FY125" s="388">
        <f>IF($BK125&lt;&gt;$FY$9,0,各项系数!$F$76/4*($MS125^2-$MQ125^2)*10^-2*(VLOOKUP($FY$9,各项系数!$D$1:$F$143,3,0))*10^-3*10^2)*各项系数!$J$4</f>
        <v>0</v>
      </c>
      <c r="FZ125" s="389">
        <v>1</v>
      </c>
      <c r="GA125" s="390">
        <f t="shared" si="520"/>
        <v>0</v>
      </c>
      <c r="GB125" s="367">
        <f>GA125*(VLOOKUP($FY$9,各项系数!$D$1:$F$143,2,0))</f>
        <v>0</v>
      </c>
      <c r="GC125" s="388">
        <f>IF($BK125&lt;&gt;$GC$9,0,各项系数!$F$76/4*($MS125^2-$MQ125^2)*10^-2*(VLOOKUP($GC$9,各项系数!$D$1:$F$143,3,0))*10^-3*10^2)*各项系数!$J$4</f>
        <v>0.013256031678077</v>
      </c>
      <c r="GD125" s="389">
        <v>1</v>
      </c>
      <c r="GE125" s="390">
        <f t="shared" si="521"/>
        <v>0.013256031678077</v>
      </c>
      <c r="GF125" s="367">
        <f>GE125*(VLOOKUP($GC$9,各项系数!$D$1:$F$143,2,0))</f>
        <v>0.171002808647193</v>
      </c>
      <c r="GG125" s="388">
        <f>IF($BK125&lt;&gt;$GG$9,0,各项系数!$F$76/4*($MS125^2-$MQ125^2)*10^-2*(VLOOKUP($GG$9,各项系数!$D$1:$F$143,3,0))*10^-3*10^2)*各项系数!$J$4</f>
        <v>0</v>
      </c>
      <c r="GH125" s="389">
        <v>1</v>
      </c>
      <c r="GI125" s="390">
        <f t="shared" si="522"/>
        <v>0</v>
      </c>
      <c r="GJ125" s="367">
        <f>GI125*(VLOOKUP($GG$9,各项系数!$D$1:$F$143,2,0))</f>
        <v>0</v>
      </c>
      <c r="GK125" s="388">
        <f>IF($BK125&lt;&gt;$GK$9,0,各项系数!$F$76/4*($MS125^2-$MQ125^2)*10^-2*(VLOOKUP($GK$9,各项系数!$D$1:$F$143,3,0))*10^-3*10^2)*各项系数!$J$4</f>
        <v>0</v>
      </c>
      <c r="GL125" s="389">
        <v>1</v>
      </c>
      <c r="GM125" s="390">
        <f t="shared" si="523"/>
        <v>0</v>
      </c>
      <c r="GN125" s="367">
        <f>GM125*(VLOOKUP($GK$9,各项系数!$D$1:$F$143,2,0))</f>
        <v>0</v>
      </c>
      <c r="GO125" s="390">
        <f t="shared" si="524"/>
        <v>0.013256031678077</v>
      </c>
      <c r="GP125" s="390">
        <f t="shared" si="525"/>
        <v>0.171002808647193</v>
      </c>
      <c r="GQ125" s="406">
        <f>各项系数!$F$76/4*($MU125^2-$MS125^2)*10^-2*(VLOOKUP($S125,各项系数!$D$1:$F$143,3,0))*10^-3*10^2*各项系数!$J$4</f>
        <v>0.907771785573878</v>
      </c>
      <c r="GR125" s="389">
        <v>1</v>
      </c>
      <c r="GS125" s="390">
        <f t="shared" si="526"/>
        <v>0.907771785573878</v>
      </c>
      <c r="GT125" s="390">
        <f t="shared" si="457"/>
        <v>0</v>
      </c>
      <c r="GU125" s="390">
        <f>ROUND($GS125*(VLOOKUP($S125,各项系数!$D$1:$F$143,2,0))+$E$3*GS125,GT125)</f>
        <v>5</v>
      </c>
      <c r="GV125" s="406">
        <f>各项系数!$F$76/4*($MT125^2-$MS125^2)*10^-2*(VLOOKUP($GV$9,各项系数!$D$1:$F$143,3,0))*10^-3*10^2*各项系数!$J$4*PI()/4*R125</f>
        <v>0.0682281500696288</v>
      </c>
      <c r="GW125" s="389">
        <v>1</v>
      </c>
      <c r="GX125" s="390">
        <f t="shared" si="527"/>
        <v>0.0682281500696288</v>
      </c>
      <c r="GY125" s="390">
        <f>$GX125*(VLOOKUP($GV$9,各项系数!$D$1:$F$143,2,0))</f>
        <v>4.60540012969995</v>
      </c>
      <c r="GZ125" s="406">
        <f>各项系数!$F$76/4*($MV125^2-$MS125^2)*10^-2*(VLOOKUP($GZ$9,各项系数!$D$1:$F$143,3,0))*10^-3*10^2*各项系数!$J$4</f>
        <v>0.654414598367905</v>
      </c>
      <c r="HA125" s="389">
        <v>1</v>
      </c>
      <c r="HB125" s="390">
        <f t="shared" si="412"/>
        <v>0.654414598367905</v>
      </c>
      <c r="HC125" s="390">
        <f>HB125*(VLOOKUP($GZ$9,各项系数!$D$1:$F$143,2,0))</f>
        <v>11.1250481722544</v>
      </c>
      <c r="HD125" s="406">
        <f>各项系数!$F$76/4*($MW125^2-$MT125^2)*10^-2*(VLOOKUP($HD$9,各项系数!$D$1:$F$143,3,0))*10^-3*10^2*各项系数!$J$4</f>
        <v>0.656445173062738</v>
      </c>
      <c r="HE125" s="389">
        <v>1</v>
      </c>
      <c r="HF125" s="390">
        <f t="shared" si="413"/>
        <v>0.656445173062738</v>
      </c>
      <c r="HG125" s="390">
        <f>HF125*(VLOOKUP($HD$9,各项系数!$D$1:$F$143,2,0))</f>
        <v>11.1595679420665</v>
      </c>
      <c r="HH125" s="406">
        <f>各项系数!$F$76/4*($MV125^2-$MS125^2)*10^-2*(VLOOKUP($HH$9,各项系数!$D$1:$F$143,3,0))*10^-3*10^2*各项系数!$J$4</f>
        <v>0.654414598367905</v>
      </c>
      <c r="HI125" s="420">
        <v>1</v>
      </c>
      <c r="HJ125" s="390">
        <f t="shared" si="414"/>
        <v>0.654414598367905</v>
      </c>
      <c r="HK125" s="390">
        <f>HJ125*(VLOOKUP($HH$9,各项系数!$D$1:$F$143,2,0))</f>
        <v>11.1250481722544</v>
      </c>
      <c r="HL125" s="406">
        <f>各项系数!$F$76/4*($MW125^2-$MT125^2)*10^-2*(VLOOKUP($HL$9,各项系数!$D$1:$F$143,3,0))*10^-3*10^2*各项系数!$J$4</f>
        <v>0.656445173062738</v>
      </c>
      <c r="HM125" s="420">
        <v>1</v>
      </c>
      <c r="HN125" s="390">
        <f t="shared" si="362"/>
        <v>0.656445173062738</v>
      </c>
      <c r="HO125" s="390">
        <f>HN125*(VLOOKUP($HL$9,各项系数!$D$1:$F$143,2,0))</f>
        <v>11.1595679420665</v>
      </c>
      <c r="HP125" s="406">
        <f>各项系数!$F$76/4*($MV125^2-$MS125^2)*10^-2*(VLOOKUP(AN125,各项系数!$D$1:$F$143,3,0))*10^-3*10^2*各项系数!$J$4</f>
        <v>0.663441006621256</v>
      </c>
      <c r="HQ125" s="389">
        <v>1</v>
      </c>
      <c r="HR125" s="390">
        <f t="shared" si="528"/>
        <v>0.663441006621256</v>
      </c>
      <c r="HS125" s="390">
        <f>HR125*(VLOOKUP(AN125,各项系数!$D$1:$F$143,2,0))</f>
        <v>6.63441006621256</v>
      </c>
      <c r="HT125" s="406">
        <f>各项系数!$F$76/4*($MW125^2-$MT125^2)*10^-2*(VLOOKUP(AN125,各项系数!$D$1:$F$143,3,0))*10^-3*10^2*各项系数!$J$4</f>
        <v>0.665499589242913</v>
      </c>
      <c r="HU125" s="389">
        <v>1</v>
      </c>
      <c r="HV125" s="390">
        <f t="shared" si="529"/>
        <v>0.665499589242913</v>
      </c>
      <c r="HW125" s="390">
        <f>HV125*(VLOOKUP(AN125,各项系数!$D$1:$F$143,2,0))</f>
        <v>6.65499589242913</v>
      </c>
      <c r="HX125" s="406">
        <f>各项系数!$F$76/4*($MV125^2-$MS125^2)*10^-2*(VLOOKUP($HX$9,各项系数!$D$1:$F$143,3,0))*10^-3*10^2*各项系数!$J$4</f>
        <v>0.663441006621256</v>
      </c>
      <c r="HY125" s="420">
        <v>1</v>
      </c>
      <c r="HZ125" s="390">
        <f t="shared" si="530"/>
        <v>0.663441006621256</v>
      </c>
      <c r="IA125" s="390">
        <f>HZ125*(VLOOKUP($HX$9,各项系数!$D$1:$F$143,2,0))</f>
        <v>7.29785107283381</v>
      </c>
      <c r="IB125" s="406">
        <f>各项系数!$F$76/4*($MW125^2-$MT125^2)*10^-2*(VLOOKUP($IB$9,各项系数!$D$1:$F$143,3,0))*10^-3*10^2*各项系数!$J$4</f>
        <v>0.665499589242913</v>
      </c>
      <c r="IC125" s="420">
        <v>1</v>
      </c>
      <c r="ID125" s="390">
        <f t="shared" si="531"/>
        <v>0.665499589242913</v>
      </c>
      <c r="IE125" s="390">
        <f>ID125*(VLOOKUP($IB$9,各项系数!$D$1:$F$143,2,0))</f>
        <v>7.32049548167205</v>
      </c>
      <c r="IF125" s="429"/>
      <c r="IG125" s="406">
        <f t="shared" si="415"/>
        <v>0.10898625596864</v>
      </c>
      <c r="IH125" s="389">
        <v>1</v>
      </c>
      <c r="II125" s="390">
        <f t="shared" si="532"/>
        <v>0.10898625596864</v>
      </c>
      <c r="IJ125" s="390">
        <f>II125*(VLOOKUP($IG$8,各项系数!$D$1:$F$143,2,0))</f>
        <v>2.724656399216</v>
      </c>
      <c r="IK125" s="406">
        <f>(各项系数!$F$76/4*($MX125^2-$MK125^2)*$EG125)*10^-2*(VLOOKUP($IG$8,各项系数!$D$1:$F$143,3,0))*10^-3*10^2*各项系数!$J$4</f>
        <v>0.0736670019282505</v>
      </c>
      <c r="IL125" s="389">
        <f>IK125*(VLOOKUP($IG$8,各项系数!$D$1:$F$143,2,0))</f>
        <v>1.84167504820626</v>
      </c>
      <c r="IM125" s="390">
        <f>(各项系数!$F$76/4*(($MM125+3*$X125)^2-MM125^2)*$EO125)*10^-2*(VLOOKUP($IG$8,各项系数!$D$1:$F$143,3,0))*10^-3*10^2*各项系数!$J$4</f>
        <v>0.0353192540403895</v>
      </c>
      <c r="IN125" s="389">
        <f>IM125*(VLOOKUP($IG$8,各项系数!$D$1:$F$143,2,0))</f>
        <v>0.882981351009737</v>
      </c>
      <c r="IO125" s="406">
        <f>各项系数!$F$76/4*($MZ125^2-$MX125^2)*10^-2*(VLOOKUP(L125,各项系数!$D$1:$F$143,3,0))*10^-3*10^2*$ES125*各项系数!$J$4</f>
        <v>0.532464508295221</v>
      </c>
      <c r="IP125" s="389">
        <v>1</v>
      </c>
      <c r="IQ125" s="390">
        <f t="shared" si="533"/>
        <v>0.532464508295221</v>
      </c>
      <c r="IR125" s="367">
        <f>IQ125*(VLOOKUP(L125,各项系数!$D$1:$F$143,2,0))</f>
        <v>5.43113798461125</v>
      </c>
      <c r="IS125" s="406">
        <f>IF($L125&lt;&gt;$IS$9,0,各项系数!$F$76/4*($MZ125^2-$MX125^2)*10^-2*各项系数!$F$12*10^-3*10^2)*$ES125*各项系数!$J$4</f>
        <v>0</v>
      </c>
      <c r="IT125" s="389">
        <v>1</v>
      </c>
      <c r="IU125" s="390">
        <f t="shared" si="534"/>
        <v>0</v>
      </c>
      <c r="IV125" s="367">
        <f>IU125*各项系数!$E$12</f>
        <v>0</v>
      </c>
      <c r="IW125" s="388">
        <f t="shared" si="535"/>
        <v>0.532464508295221</v>
      </c>
      <c r="IX125" s="388">
        <f t="shared" si="536"/>
        <v>5.43113798461125</v>
      </c>
      <c r="IY125" s="447">
        <f>各项系数!$F$76/4*($NB125^2-$MZ125^2*$EG125-$NA125^2*$EO125)*10^-2</f>
        <v>6.2634765138737</v>
      </c>
      <c r="IZ125" s="366">
        <f t="shared" si="487"/>
        <v>1</v>
      </c>
      <c r="JA125" s="367">
        <f t="shared" si="363"/>
        <v>6.2634765138737</v>
      </c>
      <c r="JB125" s="364">
        <f>IF($DE125&lt;&gt;$JB$9,0,$JA125*各项系数!$F$32*10^-3*10^2)*各项系数!$J$4</f>
        <v>0</v>
      </c>
      <c r="JC125" s="123">
        <v>1</v>
      </c>
      <c r="JD125" s="251">
        <f t="shared" si="537"/>
        <v>0</v>
      </c>
      <c r="JE125" s="339">
        <f>JD125*各项系数!$E$32</f>
        <v>0</v>
      </c>
      <c r="JF125" s="364">
        <f>IF($DE125&lt;&gt;$JF$9,0,$JA125*VLOOKUP($JF$9,各项系数!$D$4:$F$540,2,0)*10^-3*10^2)*各项系数!$J$4</f>
        <v>3.11607956565217</v>
      </c>
      <c r="JG125" s="123">
        <v>1</v>
      </c>
      <c r="JH125" s="251">
        <f t="shared" si="364"/>
        <v>3.11607956565217</v>
      </c>
      <c r="JI125" s="339">
        <f>JH125*VLOOKUP($JF$9,各项系数!$D$4:$F$540,3,0)</f>
        <v>3.7392954787826</v>
      </c>
      <c r="JJ125" s="364">
        <f t="shared" si="538"/>
        <v>3.11607956565217</v>
      </c>
      <c r="JK125" s="251">
        <f t="shared" si="539"/>
        <v>3.7392954787826</v>
      </c>
      <c r="JL125" s="364">
        <f>IF($DF125&lt;&gt;$JL$9,0,各项系数!$F$76/4*($NE125^2-$NC125^2)*10^-2*各项系数!$F$39*10^-3*10^2)*各项系数!$J$4</f>
        <v>0.00578513605159026</v>
      </c>
      <c r="JM125" s="123">
        <v>1</v>
      </c>
      <c r="JN125" s="251">
        <f t="shared" si="540"/>
        <v>0.00578513605159026</v>
      </c>
      <c r="JO125" s="339">
        <f>JN125*各项系数!$E$39</f>
        <v>0.115702721031805</v>
      </c>
      <c r="JP125" s="364">
        <f>IF($DF125&lt;&gt;$JP$9,0,各项系数!$F$76/4*($NE125^2-$NC125^2)*10^-2*各项系数!$F$36*10^-3*10^2)*各项系数!$J$4</f>
        <v>0</v>
      </c>
      <c r="JQ125" s="123">
        <v>1</v>
      </c>
      <c r="JR125" s="251">
        <f t="shared" si="541"/>
        <v>0</v>
      </c>
      <c r="JS125" s="339">
        <f>JR125*各项系数!$E$36</f>
        <v>0</v>
      </c>
      <c r="JT125" s="364">
        <f>IF($DF125&lt;&gt;$JT$9,0,各项系数!$F$76/4*($NE125^2-$NC125^2)*10^-2*各项系数!$F$40*10^-3*10^2)*各项系数!$J$4</f>
        <v>0</v>
      </c>
      <c r="JU125" s="123">
        <v>1</v>
      </c>
      <c r="JV125" s="251">
        <f t="shared" si="542"/>
        <v>0</v>
      </c>
      <c r="JW125" s="339">
        <f>JV125*各项系数!$E$40</f>
        <v>0</v>
      </c>
      <c r="JX125" s="364">
        <f>IF($DF125&lt;&gt;$JX$9,0,各项系数!$F$76/4*($NE125^2-$NC125^2)*10^-2*各项系数!$F$38*10^-3*10^2)*各项系数!$J$4</f>
        <v>0</v>
      </c>
      <c r="JY125" s="123">
        <v>1</v>
      </c>
      <c r="JZ125" s="251">
        <f t="shared" si="543"/>
        <v>0</v>
      </c>
      <c r="KA125" s="339">
        <f>JZ125*各项系数!$E$38</f>
        <v>0</v>
      </c>
      <c r="KB125" s="364">
        <f>IF($DF125&lt;&gt;$KB$9,0,各项系数!$F$76/4*($NE125^2-$NC125^2)*10^-2*各项系数!$F$41*10^-3*10^2)*各项系数!$J$4</f>
        <v>0</v>
      </c>
      <c r="KC125" s="123">
        <v>1</v>
      </c>
      <c r="KD125" s="251">
        <f t="shared" si="544"/>
        <v>0</v>
      </c>
      <c r="KE125" s="339">
        <f>KD125*各项系数!$E$41</f>
        <v>0</v>
      </c>
      <c r="KF125" s="251">
        <f t="shared" si="545"/>
        <v>0.00578513605159026</v>
      </c>
      <c r="KG125" s="251">
        <f t="shared" si="546"/>
        <v>0.115702721031805</v>
      </c>
      <c r="KH125" s="302">
        <f>各项系数!$F$76/4*($NG125^2-$NE125^2)*10^-2*各项系数!$F$44*10^-3*10^2*各项系数!$J$4*0.75*$U125</f>
        <v>1.43766759699724</v>
      </c>
      <c r="KI125" s="123">
        <v>1</v>
      </c>
      <c r="KJ125" s="251">
        <f t="shared" si="547"/>
        <v>1.43766759699724</v>
      </c>
      <c r="KK125" s="251">
        <f>ROUND(KJ125*各项系数!$E$43,GT125)</f>
        <v>8</v>
      </c>
      <c r="KL125" s="302">
        <f>各项系数!$F$76/4*($NF125^2-$NE125^2)*10^-2*各项系数!$F$46*10^-3*10^2*各项系数!$J$4*PI()/4*R125</f>
        <v>0.0720889972206131</v>
      </c>
      <c r="KM125" s="123">
        <v>1</v>
      </c>
      <c r="KN125" s="251">
        <f t="shared" si="548"/>
        <v>0.0720889972206131</v>
      </c>
      <c r="KO125" s="251">
        <f>KN125*各项系数!$E$46</f>
        <v>4.86600731239138</v>
      </c>
      <c r="KP125" s="302">
        <f>各项系数!$F$76/4*($NH125^2-$NE125^2)*10^-2*(VLOOKUP($KP$9,各项系数!$D$1:$F$143,3,0))*10^-3*10^2*各项系数!$J$4</f>
        <v>0.689492776221146</v>
      </c>
      <c r="KQ125" s="123">
        <v>1</v>
      </c>
      <c r="KR125" s="251">
        <f t="shared" si="416"/>
        <v>0.689492776221146</v>
      </c>
      <c r="KS125" s="251">
        <f>KR125*(VLOOKUP($KP$9,各项系数!$D$1:$F$143,2,0))</f>
        <v>11.7213771957595</v>
      </c>
      <c r="KT125" s="302">
        <f>各项系数!$F$76/4*($NI125^2-$NF125^2)*10^-2*(VLOOKUP($KT$9,各项系数!$D$1:$F$143,3,0))*10^-3*10^2*各项系数!$J$4</f>
        <v>0.691523350915979</v>
      </c>
      <c r="KU125" s="123">
        <v>1</v>
      </c>
      <c r="KV125" s="251">
        <f t="shared" si="417"/>
        <v>0.691523350915979</v>
      </c>
      <c r="KW125" s="251">
        <f>KV125*(VLOOKUP($KT$9,各项系数!$D$1:$F$143,2,0))</f>
        <v>11.7558969655716</v>
      </c>
      <c r="KX125" s="251">
        <f>各项系数!$F$76/4*($NH125^2-$NE125^2)*10^-2*(VLOOKUP($KX$9,各项系数!$D$1:$F$143,3,0))*10^-3*10^2*各项系数!$J$4</f>
        <v>0.689492776221146</v>
      </c>
      <c r="KY125" s="479">
        <v>1</v>
      </c>
      <c r="KZ125" s="251">
        <f t="shared" si="418"/>
        <v>0.689492776221146</v>
      </c>
      <c r="LA125" s="251">
        <f>KZ125*(VLOOKUP($KX$9,各项系数!$D$1:$F$143,2,0))</f>
        <v>11.7213771957595</v>
      </c>
      <c r="LB125" s="251">
        <f>各项系数!$F$76/4*($NI125^2-$NF125^2)*10^-2*(VLOOKUP($LB$9,各项系数!$D$1:$F$143,3,0))*10^-3*10^2*各项系数!$J$4</f>
        <v>0.691523350915979</v>
      </c>
      <c r="LC125" s="479">
        <v>1</v>
      </c>
      <c r="LD125" s="251">
        <f t="shared" si="419"/>
        <v>0.691523350915979</v>
      </c>
      <c r="LE125" s="251">
        <f>LD125*(VLOOKUP($LB$9,各项系数!$D$1:$F$143,2,0))</f>
        <v>11.7558969655716</v>
      </c>
      <c r="LF125" s="302">
        <f>各项系数!$F$76/4*($NH125^2-$NE125^2)*10^-2*(VLOOKUP(AN125,各项系数!$D$1:$F$143,3,0))*10^-3*10^2*各项系数!$J$4</f>
        <v>0.699003021410403</v>
      </c>
      <c r="LG125" s="123">
        <v>1</v>
      </c>
      <c r="LH125" s="251">
        <f t="shared" si="549"/>
        <v>0.699003021410403</v>
      </c>
      <c r="LI125" s="251">
        <f>LH125*(VLOOKUP(AN125,各项系数!$D$1:$F$143,2,0))</f>
        <v>6.99003021410403</v>
      </c>
      <c r="LJ125" s="302">
        <f>各项系数!$F$76/4*($NI125^2-$NF125^2)*10^-2*(VLOOKUP(AN125,各项系数!$D$1:$F$143,3,0))*10^-3*10^2*各项系数!$J$4</f>
        <v>0.701061604032062</v>
      </c>
      <c r="LK125" s="123">
        <v>1</v>
      </c>
      <c r="LL125" s="251">
        <f t="shared" si="550"/>
        <v>0.701061604032062</v>
      </c>
      <c r="LM125" s="251">
        <f>LL125*(VLOOKUP(AN125,各项系数!$D$1:$F$143,2,0))</f>
        <v>7.01061604032062</v>
      </c>
      <c r="LN125" s="251">
        <f>各项系数!$F$76/4*($NH125^2-$NE125^2)*10^-2*(VLOOKUP($LN$9,各项系数!$D$1:$F$143,3,0))*10^-3*10^2*各项系数!$J$4</f>
        <v>0.699003021410403</v>
      </c>
      <c r="LO125" s="479">
        <v>1</v>
      </c>
      <c r="LP125" s="251">
        <f t="shared" si="551"/>
        <v>0.699003021410403</v>
      </c>
      <c r="LQ125" s="251">
        <f>LP125*(VLOOKUP($LN$9,各项系数!$D$1:$F$143,2,0))</f>
        <v>7.68903323551443</v>
      </c>
      <c r="LR125" s="251">
        <f>各项系数!$F$76/4*($NI125^2-$NF125^2)*10^-2*(VLOOKUP($LR$9,各项系数!$D$1:$F$143,3,0))*10^-3*10^2*各项系数!$J$4</f>
        <v>0.701061604032062</v>
      </c>
      <c r="LS125" s="479">
        <v>1</v>
      </c>
      <c r="LT125" s="251">
        <f t="shared" si="552"/>
        <v>0.701061604032062</v>
      </c>
      <c r="LU125" s="251">
        <f>LT125*(VLOOKUP($LR$9,各项系数!$D$1:$F$143,2,0))</f>
        <v>7.71167764435268</v>
      </c>
      <c r="LV125" s="499">
        <f t="shared" si="420"/>
        <v>693.56480241</v>
      </c>
      <c r="LW125" s="499">
        <f t="shared" si="421"/>
        <v>523.71219774</v>
      </c>
      <c r="LX125" s="499">
        <f t="shared" si="422"/>
        <v>25.8226853797727</v>
      </c>
      <c r="LY125" s="515">
        <f t="shared" si="423"/>
        <v>169.85260467</v>
      </c>
      <c r="LZ125" s="516">
        <f t="shared" si="365"/>
        <v>1</v>
      </c>
      <c r="MA125" s="517">
        <f t="shared" si="366"/>
        <v>693.56480241</v>
      </c>
      <c r="MB125" s="517">
        <f t="shared" si="424"/>
        <v>17.15686581</v>
      </c>
      <c r="MC125" s="499">
        <f t="shared" si="425"/>
        <v>235.88709497</v>
      </c>
      <c r="MD125" s="499">
        <f t="shared" si="426"/>
        <v>179.27419278</v>
      </c>
      <c r="ME125" s="499">
        <f t="shared" si="427"/>
        <v>15.1082425052675</v>
      </c>
      <c r="MF125" s="499">
        <f t="shared" si="428"/>
        <v>56.61290219</v>
      </c>
      <c r="MG125" s="516">
        <f t="shared" si="429"/>
        <v>1</v>
      </c>
      <c r="MH125" s="517">
        <f t="shared" si="367"/>
        <v>235.88709497</v>
      </c>
      <c r="MI125" s="517">
        <f t="shared" si="430"/>
        <v>12.254402829361</v>
      </c>
      <c r="MJ125" s="251">
        <f t="shared" si="368"/>
        <v>17.15686581</v>
      </c>
      <c r="MK125" s="251">
        <f t="shared" si="431"/>
        <v>17.15686581</v>
      </c>
      <c r="ML125" s="251">
        <f t="shared" si="553"/>
        <v>12.2544028293856</v>
      </c>
      <c r="MM125" s="251">
        <f t="shared" si="369"/>
        <v>12.254402829361</v>
      </c>
      <c r="MN125" s="251">
        <f t="shared" si="370"/>
        <v>20.35686581</v>
      </c>
      <c r="MO125" s="251">
        <f t="shared" si="432"/>
        <v>14.454402829361</v>
      </c>
      <c r="MP125" s="251">
        <f t="shared" si="433"/>
        <v>48.58887767</v>
      </c>
      <c r="MQ125" s="251">
        <f t="shared" si="554"/>
        <v>48.58887767</v>
      </c>
      <c r="MR125" s="314">
        <f t="shared" si="434"/>
        <v>48.58887767</v>
      </c>
      <c r="MS125" s="530">
        <f t="shared" si="371"/>
        <v>48.76487767</v>
      </c>
      <c r="MT125" s="530">
        <f t="shared" si="372"/>
        <v>48.92487767</v>
      </c>
      <c r="MU125" s="530">
        <f t="shared" si="373"/>
        <v>50.26487767</v>
      </c>
      <c r="MV125" s="530">
        <f t="shared" si="374"/>
        <v>54.36487767</v>
      </c>
      <c r="MW125" s="530">
        <f t="shared" si="375"/>
        <v>54.52487767</v>
      </c>
      <c r="MX125" s="326">
        <f t="shared" si="376"/>
        <v>17.75686581</v>
      </c>
      <c r="MY125" s="326">
        <f t="shared" si="377"/>
        <v>12.854402829361</v>
      </c>
      <c r="MZ125" s="251">
        <f t="shared" si="378"/>
        <v>20.95686581</v>
      </c>
      <c r="NA125" s="251">
        <f t="shared" si="379"/>
        <v>16.054402829361</v>
      </c>
      <c r="NB125" s="251">
        <f t="shared" si="435"/>
        <v>51.28887767</v>
      </c>
      <c r="NC125" s="326">
        <f t="shared" si="555"/>
        <v>51.28887767</v>
      </c>
      <c r="ND125" s="314">
        <f t="shared" si="436"/>
        <v>51.28887767</v>
      </c>
      <c r="NE125" s="537">
        <f t="shared" si="437"/>
        <v>51.52887767</v>
      </c>
      <c r="NF125" s="530">
        <f t="shared" si="380"/>
        <v>51.68887767</v>
      </c>
      <c r="NG125" s="538">
        <f t="shared" si="381"/>
        <v>53.02887767</v>
      </c>
      <c r="NH125" s="326">
        <f t="shared" si="382"/>
        <v>57.12887767</v>
      </c>
      <c r="NI125" s="530">
        <f t="shared" si="383"/>
        <v>57.28887767</v>
      </c>
      <c r="NK125" s="539">
        <f t="shared" si="384"/>
        <v>8.15298061611273</v>
      </c>
      <c r="NL125" s="539">
        <f t="shared" si="385"/>
        <v>427.193179288254</v>
      </c>
      <c r="NM125" s="539">
        <f t="shared" si="386"/>
        <v>8.15298061611273</v>
      </c>
      <c r="NN125" s="539">
        <f t="shared" si="387"/>
        <v>427.856620294875</v>
      </c>
      <c r="NO125" s="539">
        <f t="shared" si="388"/>
        <v>10.8060419494724</v>
      </c>
      <c r="NP125" s="539">
        <f t="shared" si="389"/>
        <v>433.084279776289</v>
      </c>
      <c r="NQ125" s="539">
        <f t="shared" si="390"/>
        <v>10.8060419494724</v>
      </c>
      <c r="NR125" s="539">
        <f t="shared" si="391"/>
        <v>433.783282797699</v>
      </c>
      <c r="NS125" s="539">
        <f t="shared" si="392"/>
        <v>8.22120876618236</v>
      </c>
      <c r="NT125" s="539">
        <f t="shared" si="393"/>
        <v>8.22120876618236</v>
      </c>
      <c r="NU125" s="539">
        <f t="shared" si="394"/>
        <v>10.878130946693</v>
      </c>
      <c r="NV125" s="539">
        <f t="shared" si="395"/>
        <v>10.878130946693</v>
      </c>
      <c r="NW125">
        <f t="shared" si="396"/>
        <v>9.06075240168661</v>
      </c>
      <c r="NX125">
        <f>各项系数!$M$9*NK125</f>
        <v>2.44589418483382</v>
      </c>
      <c r="NY125">
        <f t="shared" si="397"/>
        <v>8.22120876618236</v>
      </c>
    </row>
    <row r="126" customHeight="1" spans="1:389">
      <c r="A126" s="85"/>
      <c r="B126" s="86"/>
      <c r="C126" s="87"/>
      <c r="D126" s="69" t="s">
        <v>422</v>
      </c>
      <c r="E126" s="70">
        <f t="shared" ref="E126:E141" si="560">MV126</f>
        <v>62.7188528</v>
      </c>
      <c r="F126" s="84">
        <f>$F$30</f>
        <v>246.701228113631</v>
      </c>
      <c r="G126" s="74"/>
      <c r="H126" s="23"/>
      <c r="I126" s="174">
        <f>$F$27</f>
        <v>244.921136962963</v>
      </c>
      <c r="J126" s="78"/>
      <c r="K126" s="23"/>
      <c r="L126" s="118" t="s">
        <v>467</v>
      </c>
      <c r="M126" s="124">
        <f t="shared" si="339"/>
        <v>1.7</v>
      </c>
      <c r="N126" s="124">
        <f t="shared" si="501"/>
        <v>1.2</v>
      </c>
      <c r="O126" s="69">
        <f t="shared" si="556"/>
        <v>0.08</v>
      </c>
      <c r="P126" s="120">
        <v>0.1</v>
      </c>
      <c r="Q126" s="162">
        <f t="shared" si="557"/>
        <v>0.1</v>
      </c>
      <c r="R126" s="86">
        <v>0.8</v>
      </c>
      <c r="S126" s="171" t="str">
        <f>各项系数!$D$43</f>
        <v>钢带</v>
      </c>
      <c r="T126" s="78">
        <v>0.5</v>
      </c>
      <c r="U126" s="78">
        <v>2</v>
      </c>
      <c r="V126" s="172"/>
      <c r="W126" s="170">
        <v>3</v>
      </c>
      <c r="X126" s="164">
        <f t="shared" si="558"/>
        <v>0.2</v>
      </c>
      <c r="Y126" s="219"/>
      <c r="Z126" s="220"/>
      <c r="AA126" s="217">
        <f>$AA$30</f>
        <v>1.015</v>
      </c>
      <c r="AB126" s="186">
        <f>PI()*EJ126*EJ126/4*EH126*(1-H126)*AA126*各项系数!$F$5*各项系数!$J$4*10^-7</f>
        <v>2.05998769246807</v>
      </c>
      <c r="AC126" s="186">
        <f t="shared" ref="AC126:AC131" si="561">EJ126</f>
        <v>246.701228113631</v>
      </c>
      <c r="AD126" s="186">
        <f t="shared" si="341"/>
        <v>232.884070800354</v>
      </c>
      <c r="AE126" s="186">
        <f>POWER(4*EU126/PI()/EG126/10^-7/EH126/(1-H126)/各项系数!$F$5/各项系数!$J$4,0.5)</f>
        <v>248.544600408187</v>
      </c>
      <c r="AF126" s="218">
        <f>$AA$27</f>
        <v>1.013</v>
      </c>
      <c r="AG126" s="85">
        <f>IF(EM126=0,0,PI()*ER126*ER126/4*EP126*(1-K126)*(1+AF126)*各项系数!$F$5*各项系数!$J$4*10^-7)</f>
        <v>2.01336388138923</v>
      </c>
      <c r="AH126" s="85">
        <f t="shared" ref="AH126:AH131" si="562">ER126</f>
        <v>244.921136962963</v>
      </c>
      <c r="AI126" s="85">
        <f t="shared" si="398"/>
        <v>114.541562217361</v>
      </c>
      <c r="AJ126" s="85">
        <f>IF(OR(EP126="",EP126=0),0,POWER(4*EW126/PI()/EO126/10^-7/EP126/(1-K126)/各项系数!$F$5/各项系数!$J$4,0.5))</f>
        <v>246.50798375415</v>
      </c>
      <c r="AK126" s="85">
        <f t="shared" si="342"/>
        <v>8.20632930874777</v>
      </c>
      <c r="AL126" s="85">
        <f t="shared" ref="AL126:AL131" si="563">AO126*(1+0.02)</f>
        <v>571.135756281867</v>
      </c>
      <c r="AM126" s="250">
        <f t="shared" ref="AM126:AM131" si="564">EE126*1</f>
        <v>240</v>
      </c>
      <c r="AN126" s="118" t="s">
        <v>486</v>
      </c>
      <c r="AO126" s="259">
        <f>AP126+各项系数!$M$9*$NK126</f>
        <v>559.937015962615</v>
      </c>
      <c r="AP126" s="259">
        <f>AQ126*(1+$BI126+(VLOOKUP($AM126,$A$12:$B$323,2,0))+各项系数!$J$6+各项系数!$M$5)*(1+$E$2)</f>
        <v>556.761433151312</v>
      </c>
      <c r="AQ126" s="260">
        <f>AR126+各项系数!$L$9*$NK126</f>
        <v>568.12391137889</v>
      </c>
      <c r="AR126" s="260">
        <f>AS126*(1+$BJ126+各项系数!$J$5+各项系数!$L$5)</f>
        <v>564.948328567587</v>
      </c>
      <c r="AS126" s="260">
        <f t="shared" si="399"/>
        <v>553.870910360379</v>
      </c>
      <c r="AT126" s="259">
        <f>AU126+各项系数!$M$9*$NM126</f>
        <v>565.507013365677</v>
      </c>
      <c r="AU126" s="259">
        <f>AV126*(1+$BI126+(VLOOKUP($AM126,$A$12:$B$323,2,0))+各项系数!$J$6+各项系数!$M$5)*(1+$E$2)</f>
        <v>562.331430554374</v>
      </c>
      <c r="AV126" s="260">
        <f>AW126+各项系数!$L$9*$NM126</f>
        <v>573.807582198341</v>
      </c>
      <c r="AW126" s="260">
        <f>AX126*(1+$BJ126+各项系数!$J$5+各项系数!$L$5)</f>
        <v>570.631999387038</v>
      </c>
      <c r="AX126" s="260">
        <f t="shared" si="400"/>
        <v>559.443136653959</v>
      </c>
      <c r="AY126" s="259">
        <f>AZ126+各项系数!$M$9*$NS126</f>
        <v>565.359398909261</v>
      </c>
      <c r="AZ126" s="259">
        <f>BA126*(1+$BI126+(VLOOKUP($AM126,$A$12:$B$214,2,0))+各项系数!$J$6+各项系数!$M$5)*(1+$E$2)</f>
        <v>562.160014539817</v>
      </c>
      <c r="BA126" s="260">
        <f>BB126+各项系数!$L$9*$NS126</f>
        <v>573.632667897772</v>
      </c>
      <c r="BB126" s="260">
        <f>BC126*(1+$BJ126+各项系数!$J$5+各项系数!$L$5)</f>
        <v>570.433283528328</v>
      </c>
      <c r="BC126" s="262">
        <f t="shared" si="401"/>
        <v>559.248317184635</v>
      </c>
      <c r="BD126" s="259">
        <f>BE126+各项系数!$M$9*$NS126</f>
        <v>570.944319565914</v>
      </c>
      <c r="BE126" s="259">
        <f>BF126*(1+$BI126+(VLOOKUP($AM126,$A$12:$B$214,2,0))+各项系数!$J$6+各项系数!$M$5)*(1+$E$2)</f>
        <v>567.74493519647</v>
      </c>
      <c r="BF126" s="260">
        <f>BG126+各项系数!$L$9*$NS126</f>
        <v>579.33156652701</v>
      </c>
      <c r="BG126" s="260">
        <f>BH126*(1+$BJ126+各项系数!$J$5+各项系数!$L$5)</f>
        <v>576.132182157565</v>
      </c>
      <c r="BH126" s="262">
        <f t="shared" si="402"/>
        <v>564.835472703495</v>
      </c>
      <c r="BI126" s="277"/>
      <c r="BJ126" s="272"/>
      <c r="BK126" s="69" t="s">
        <v>514</v>
      </c>
      <c r="BL126" s="259">
        <f>BM126+各项系数!$M$9*$NM126</f>
        <v>566.195922710728</v>
      </c>
      <c r="BM126" s="259">
        <f>BN126*(1+$CF126+(VLOOKUP($AM126,$A$12:$B$323,2,0))+各项系数!$J$6+各项系数!$M$5)*(1+$E$2)</f>
        <v>563.020339899425</v>
      </c>
      <c r="BN126" s="260">
        <f>BO126+各项系数!$L$9*$NM126</f>
        <v>574.510550917781</v>
      </c>
      <c r="BO126" s="260">
        <f>BP126*(1+$CG126+各项系数!$J$5+各项系数!$L$5)</f>
        <v>571.334968106478</v>
      </c>
      <c r="BP126" s="260">
        <f t="shared" si="403"/>
        <v>554.694143792697</v>
      </c>
      <c r="BQ126" s="259">
        <f>BR126+各项系数!$M$9*$NM126</f>
        <v>570.989556104886</v>
      </c>
      <c r="BR126" s="259">
        <f>BS126*(1+$CF126+(VLOOKUP($AM126,$A$12:$B$323,2,0))+各项系数!$J$6+各项系数!$M$5)*(1+$E$2)</f>
        <v>567.813973293583</v>
      </c>
      <c r="BS126" s="260">
        <f>BT126+各项系数!$L$9*$NM126</f>
        <v>579.40201356488</v>
      </c>
      <c r="BT126" s="260">
        <f>BU126*(1+$CG126+各项系数!$J$5+各项系数!$L$5)</f>
        <v>576.226430753578</v>
      </c>
      <c r="BU126" s="260">
        <f t="shared" si="404"/>
        <v>559.443136653959</v>
      </c>
      <c r="BV126" s="259">
        <f>BW126+各项系数!$M$9*$NT126</f>
        <v>568.545932054394</v>
      </c>
      <c r="BW126" s="259">
        <f>BX126*(1+$CF126+(VLOOKUP($AM126,$A$12:$B$214,2,0))+各项系数!$J$6+各项系数!$M$5)*(1+$E$2)</f>
        <v>565.346547684949</v>
      </c>
      <c r="BX126" s="260">
        <f>BY126+各项系数!$L$9*$NT$12</f>
        <v>576.884232331581</v>
      </c>
      <c r="BY126" s="260">
        <f>BZ126*(1+$CG126+各项系数!$J$5+各项系数!$L$5)</f>
        <v>576.875968928426</v>
      </c>
      <c r="BZ126" s="262">
        <f t="shared" si="343"/>
        <v>560.07375624119</v>
      </c>
      <c r="CA126" s="259">
        <f>CB126+各项系数!$M$9*$NT126</f>
        <v>573.352408651445</v>
      </c>
      <c r="CB126" s="259">
        <f>CC126*(1+$CF126+(VLOOKUP($AM126,$A$12:$B$214,2,0))+各项系数!$J$6+各项系数!$M$5)*(1+$E$2)</f>
        <v>570.153024282</v>
      </c>
      <c r="CC126" s="260">
        <f>CD126+各项系数!$L$9*$NT$12</f>
        <v>581.788800287755</v>
      </c>
      <c r="CD126" s="260">
        <f>CE126*(1+$CG126+各项系数!$J$5+各项系数!$L$5)</f>
        <v>581.7805368846</v>
      </c>
      <c r="CE126" s="262">
        <f t="shared" si="405"/>
        <v>564.835472703495</v>
      </c>
      <c r="CF126" s="277">
        <f t="shared" si="514"/>
        <v>0</v>
      </c>
      <c r="CG126" s="277">
        <f t="shared" si="344"/>
        <v>0.01</v>
      </c>
      <c r="CH126" s="123"/>
      <c r="CI126" s="259">
        <f>CJ126+各项系数!$M$9*$NO126</f>
        <v>572.462214415159</v>
      </c>
      <c r="CJ126" s="259">
        <f>CK126*(1+$DC126+(VLOOKUP($AM126,$A$12:$B$323,2,0))+各项系数!$J$6+各项系数!$M$5)*(1+$E$2)+各项系数!$M$9*$NK126</f>
        <v>568.24112741798</v>
      </c>
      <c r="CK126" s="260">
        <f>CL126+各项系数!$L$9*$NO126</f>
        <v>576.59749449661</v>
      </c>
      <c r="CL126" s="260">
        <f>CM126*(1+$DD126+各项系数!$J$5+各项系数!$L$5)</f>
        <v>572.37640749943</v>
      </c>
      <c r="CM126" s="260">
        <f t="shared" si="345"/>
        <v>561.153340685716</v>
      </c>
      <c r="CN126" s="259">
        <f>CO126+各项系数!$M$9*$NO126</f>
        <v>577.65134263983</v>
      </c>
      <c r="CO126" s="259">
        <f>CP126*(1+$DC126+(VLOOKUP($AM126,$A$12:$B$323,2,0))+各项系数!$J$6+各项系数!$M$5)*(1+$E$2)+各项系数!$M$9*$NK126</f>
        <v>573.43025564265</v>
      </c>
      <c r="CP126" s="260">
        <f>CQ126+各项系数!$L$9*$NO126</f>
        <v>581.892523297293</v>
      </c>
      <c r="CQ126" s="260">
        <f>CR126*(1+$DD126+各项系数!$J$5+各项系数!$L$5)</f>
        <v>577.671436300114</v>
      </c>
      <c r="CR126" s="260">
        <f t="shared" si="346"/>
        <v>566.344545392269</v>
      </c>
      <c r="CS126" s="259">
        <f>CT126+各项系数!$M$9*$NU126</f>
        <v>574.971810833529</v>
      </c>
      <c r="CT126" s="259">
        <f t="shared" si="347"/>
        <v>570.725764024063</v>
      </c>
      <c r="CU126" s="260">
        <f>CV126+各项系数!$L$9*$NU126</f>
        <v>582.373228595983</v>
      </c>
      <c r="CV126" s="260">
        <f>CW126*(1+$DD126+各项系数!$J$5+各项系数!$L$5)</f>
        <v>578.127181786517</v>
      </c>
      <c r="CW126" s="262">
        <f t="shared" si="348"/>
        <v>566.791354692663</v>
      </c>
      <c r="CX126" s="259">
        <f>CY126+各项系数!$M$9*$NU126</f>
        <v>580.814530695964</v>
      </c>
      <c r="CY126" s="259">
        <f t="shared" si="349"/>
        <v>576.568483886498</v>
      </c>
      <c r="CZ126" s="260">
        <f>DA126+各项系数!$L$9*$NU126</f>
        <v>588.335187639284</v>
      </c>
      <c r="DA126" s="260">
        <f>DB126*(1+$DD126+各项系数!$J$5+各项系数!$L$5)</f>
        <v>584.089140829818</v>
      </c>
      <c r="DB126" s="262">
        <f t="shared" si="350"/>
        <v>572.636412578253</v>
      </c>
      <c r="DC126" s="277">
        <f t="shared" si="498"/>
        <v>0</v>
      </c>
      <c r="DD126" s="277">
        <f t="shared" si="351"/>
        <v>0</v>
      </c>
      <c r="DE126" s="69" t="s">
        <v>498</v>
      </c>
      <c r="DF126" s="69" t="s">
        <v>513</v>
      </c>
      <c r="DG126" s="259">
        <f>DH126+各项系数!$M$9*$NQ126</f>
        <v>578.830949299455</v>
      </c>
      <c r="DH126" s="259">
        <f>DI126*(1+$EA126+(VLOOKUP($AM126,$A$12:$B$323,2,0))+各项系数!$J$6+各项系数!$M$5)*(1+$E$2)+各项系数!$M$9*$NK126</f>
        <v>574.609862302276</v>
      </c>
      <c r="DI126" s="260">
        <f>DJ126+各项系数!$L$9*$NQ126</f>
        <v>583.096203562218</v>
      </c>
      <c r="DJ126" s="260">
        <f>DK126*(1+$EB126+各项系数!$J$5+各项系数!$L$5)</f>
        <v>578.875116565039</v>
      </c>
      <c r="DK126" s="260">
        <f t="shared" si="352"/>
        <v>562.014676276737</v>
      </c>
      <c r="DL126" s="259">
        <f>DM126+各项系数!$M$9*$NQ126</f>
        <v>583.846449023595</v>
      </c>
      <c r="DM126" s="259">
        <f>DN126*(1+$EA126+(VLOOKUP($AM126,$A$12:$B$323,2,0))+各项系数!$J$6+各项系数!$M$5)*(1+$E$2)+各项系数!$M$9*$NK126</f>
        <v>579.625362026415</v>
      </c>
      <c r="DN126" s="260">
        <f>DO126+各项系数!$L$9*$NQ126</f>
        <v>588.214060423584</v>
      </c>
      <c r="DO126" s="260">
        <f>DP126*(1+$EB126+各项系数!$J$5+各项系数!$L$5)</f>
        <v>583.992973426405</v>
      </c>
      <c r="DP126" s="260">
        <f t="shared" si="353"/>
        <v>566.983469346024</v>
      </c>
      <c r="DQ126" s="259">
        <f>DR126+各项系数!$M$9*$NV126</f>
        <v>581.398024612198</v>
      </c>
      <c r="DR126" s="259">
        <f t="shared" si="354"/>
        <v>577.151977802732</v>
      </c>
      <c r="DS126" s="260">
        <f>DT126+各项系数!$L$9*$NV126</f>
        <v>588.930589594625</v>
      </c>
      <c r="DT126" s="260">
        <f>DU126*(1+$EB126+各项系数!$J$5+各项系数!$L$5)</f>
        <v>584.684542785159</v>
      </c>
      <c r="DU126" s="262">
        <f t="shared" si="355"/>
        <v>567.654895907921</v>
      </c>
      <c r="DV126" s="259">
        <f>DW126+各项系数!$M$9*$NV126</f>
        <v>579.683955691133</v>
      </c>
      <c r="DW126" s="259">
        <f t="shared" si="356"/>
        <v>575.437908881667</v>
      </c>
      <c r="DX126" s="260">
        <f>DY126+各项系数!$L$9*$NV126</f>
        <v>587.18153967517</v>
      </c>
      <c r="DY126" s="260">
        <f>DZ126*(1+$EB126+各项系数!$J$5+各项系数!$L$5)</f>
        <v>582.935492865704</v>
      </c>
      <c r="DZ126" s="262">
        <f t="shared" si="357"/>
        <v>565.956789190004</v>
      </c>
      <c r="EA126" s="277">
        <f t="shared" si="559"/>
        <v>0</v>
      </c>
      <c r="EB126" s="277">
        <f t="shared" si="358"/>
        <v>0.01</v>
      </c>
      <c r="EC126" s="302" t="str">
        <f t="shared" si="408"/>
        <v>3+2</v>
      </c>
      <c r="ED126" s="302" t="str">
        <f t="shared" ref="ED126:ED141" si="565">IF(COUNTIF($D126,"*+*")&gt;0,MID($D126,1,FIND("+",$D126)-1),MID($D126,1,LEN($D126)))</f>
        <v>3*240</v>
      </c>
      <c r="EE126" s="251">
        <f t="shared" si="495"/>
        <v>240</v>
      </c>
      <c r="EF126" s="251" t="str">
        <f>LOOKUP(EH126,{1,7,10,14,19,24,30,37,48,61},{1,"1+6","2+8","4+10","1+6+12","2+8+14","4+10+16","1+6+12+18","3+9+15+21","1+6+12+18+24"})</f>
        <v>3+9+15+21</v>
      </c>
      <c r="EG126" s="250">
        <f t="shared" si="359"/>
        <v>3</v>
      </c>
      <c r="EH126" s="260">
        <f>VLOOKUP(EE126,各项系数!$B$87:$C$124,2,0)</f>
        <v>48</v>
      </c>
      <c r="EI126" s="250">
        <f>IF(EH126=0,0,VLOOKUP(EH126,各项系数!$D$142:$E$195,2,0))*1</f>
        <v>8.15</v>
      </c>
      <c r="EJ126" s="305">
        <f t="shared" si="409"/>
        <v>246.701228113631</v>
      </c>
      <c r="EK126" s="251" t="str">
        <f t="shared" ref="EK126:EK141" si="566">IF(COUNTIF($D126,"*+*")&gt;0,MID($D126,FIND("+",$D126)+1,LEN($D126)),0)</f>
        <v>2*120</v>
      </c>
      <c r="EL126" s="251" t="str">
        <f t="shared" si="360"/>
        <v>120</v>
      </c>
      <c r="EM126" s="251">
        <f t="shared" ref="EM126:EM141" si="567">EL126/1</f>
        <v>120</v>
      </c>
      <c r="EN126" s="251" t="str">
        <f>IF(EP126=0,0,LOOKUP(EP126,{1,7,10,14,19,24,30,37,48,61},{1,"1+6","2+8","4+10","1+6+12","2+8+14","4+10+16","1+6+12+18","3+9+15+21","1+6+12+18+24"}))</f>
        <v>2+8+14</v>
      </c>
      <c r="EO126" s="251" t="str">
        <f t="shared" ref="EO126:EO141" si="568">IF(EK126=0,0,MID(EK126,1,1))</f>
        <v>2</v>
      </c>
      <c r="EP126" s="251">
        <f>IF(EM126=0,0,IF(EM126&lt;10,1,IF(AND(EM126&gt;=10,EM126&lt;=35),7,LOOKUP(EM126,{50,70,95,120,150,185,240,300},{10,14,19,24,30,37,48,61})*1)))</f>
        <v>24</v>
      </c>
      <c r="EQ126" s="251">
        <f>IF(EP126=0,0,VLOOKUP(EP126,各项系数!$D$142:$E$195,2,0))*1</f>
        <v>6</v>
      </c>
      <c r="ER126" s="251">
        <f t="shared" ref="ER126:ER131" si="569">$I126-$J126</f>
        <v>244.921136962963</v>
      </c>
      <c r="ES126" s="302">
        <f t="shared" ref="ES126:ES141" si="570">EO126+EG126</f>
        <v>5</v>
      </c>
      <c r="ET126" s="251">
        <f>VLOOKUP(ES126,各项系数!$D$142:$E$195,2,0)*1</f>
        <v>2.7</v>
      </c>
      <c r="EU126" s="311">
        <f>((各项系数!$F$76/4*$EJ126^2*$EG126*$EH126*1*10^-7)*(1-$H126)*AA126)*(VLOOKUP($EY$9,各项系数!$D$4:$F$143,3,0))*各项系数!$J$4</f>
        <v>6.1799630774042</v>
      </c>
      <c r="EV126" s="312">
        <f>EU126*(VLOOKUP($EY$9,各项系数!$D$4:$F$143,2,0))</f>
        <v>404.787581569975</v>
      </c>
      <c r="EW126" s="324">
        <f>(IF($EO126=0,0,(各项系数!$F$76/4*$ER126^2*$EO126*$EP126*1*10^-7))*(1-$K126)*$AF126)*(VLOOKUP($EY$9,各项系数!$D$4:$F$143,3,0))*各项系数!$J$4</f>
        <v>2.02636623134356</v>
      </c>
      <c r="EX126" s="325">
        <f>EW126*(VLOOKUP($EY$9,各项系数!$D$4:$F$143,2,0))</f>
        <v>132.726988153003</v>
      </c>
      <c r="EY126" s="251">
        <f>((各项系数!$F$76/4*$EJ126^2*$EG126*$EH126*1*10^-7)*(1-$H126)*AA126+IF($EO126=0,0,(各项系数!$F$76/4*$ER126^2*$EO126*$EP126*1*10^-7))*(1-$K126)*$AF126)*(VLOOKUP($EY$9,各项系数!$D$4:$F$143,3,0))*各项系数!$J$4</f>
        <v>8.20632930874777</v>
      </c>
      <c r="EZ126" s="123">
        <v>1</v>
      </c>
      <c r="FA126" s="251">
        <f t="shared" si="515"/>
        <v>8.20632930874777</v>
      </c>
      <c r="FB126" s="326">
        <f>FA126*(VLOOKUP($EY$9,各项系数!$D$4:$F$143,2,0))</f>
        <v>537.514569722979</v>
      </c>
      <c r="FC126" s="327"/>
      <c r="FD126" s="302">
        <f>各项系数!$F$76/4*($MN126^2-MK126^2)*10^-2*(VLOOKUP(L126,各项系数!$D$1:$F$143,3,0))*10^-3*10^2*$EG126*各项系数!$J$4</f>
        <v>0.382397294970521</v>
      </c>
      <c r="FE126" s="339">
        <f>FD126*VLOOKUP(L126,各项系数!$D$1:$F$143,2,0)</f>
        <v>3.90045240869931</v>
      </c>
      <c r="FF126" s="250">
        <f>各项系数!$F$76/4*($MO126^2-ML126^2)*10^-2*(VLOOKUP(L126,各项系数!$D$1:$F$143,3,0))*10^-3*10^2*$EO126*各项系数!$J$4</f>
        <v>0.131173087502922</v>
      </c>
      <c r="FG126" s="339">
        <f>FF126*VLOOKUP(L126,各项系数!$D$1:$F$143,2,0)</f>
        <v>1.3379654925298</v>
      </c>
      <c r="FH126" s="302">
        <f t="shared" si="410"/>
        <v>0.513570382473443</v>
      </c>
      <c r="FI126" s="123">
        <v>1</v>
      </c>
      <c r="FJ126" s="251">
        <f t="shared" si="516"/>
        <v>0.513570382473443</v>
      </c>
      <c r="FK126" s="339">
        <f>FJ126*VLOOKUP(L126,各项系数!$D$1:$F$143,2,0)</f>
        <v>5.23841790122912</v>
      </c>
      <c r="FL126" s="302"/>
      <c r="FM126" s="123"/>
      <c r="FN126" s="251"/>
      <c r="FO126" s="339"/>
      <c r="FP126" s="364">
        <f t="shared" si="517"/>
        <v>0.513570382473443</v>
      </c>
      <c r="FQ126" s="364">
        <f t="shared" si="518"/>
        <v>5.23841790122912</v>
      </c>
      <c r="FR126" s="365">
        <f>各项系数!$F$76/4*($MQ126^2-$MN126^2*$EG126-$MO126^2*$EO126)*10^-2</f>
        <v>7.50039959950253</v>
      </c>
      <c r="FS126" s="366">
        <f t="shared" si="411"/>
        <v>1</v>
      </c>
      <c r="FT126" s="367">
        <f t="shared" si="361"/>
        <v>7.50039959950253</v>
      </c>
      <c r="FU126" s="388">
        <f>$FT126*(VLOOKUP($FT$9,各项系数!$D$1:$F$143,3,0))*10^-3*10^2*各项系数!$J$55</f>
        <v>0.895547712180602</v>
      </c>
      <c r="FV126" s="389">
        <v>1</v>
      </c>
      <c r="FW126" s="390">
        <f t="shared" si="519"/>
        <v>0.895547712180602</v>
      </c>
      <c r="FX126" s="367">
        <f>FW126*(VLOOKUP($FT$9,各项系数!$D$1:$F$143,2,0))</f>
        <v>2.68664313654181</v>
      </c>
      <c r="FY126" s="388">
        <f>IF($BK126&lt;&gt;$FY$9,0,各项系数!$F$76/4*($MS126^2-$MQ126^2)*10^-2*(VLOOKUP($FY$9,各项系数!$D$1:$F$143,3,0))*10^-3*10^2)*各项系数!$J$4</f>
        <v>0</v>
      </c>
      <c r="FZ126" s="389">
        <v>1</v>
      </c>
      <c r="GA126" s="390">
        <f t="shared" si="520"/>
        <v>0</v>
      </c>
      <c r="GB126" s="367">
        <f>GA126*(VLOOKUP($FY$9,各项系数!$D$1:$F$143,2,0))</f>
        <v>0</v>
      </c>
      <c r="GC126" s="388">
        <f>IF($BK126&lt;&gt;$GC$9,0,各项系数!$F$76/4*($MS126^2-$MQ126^2)*10^-2*(VLOOKUP($GC$9,各项系数!$D$1:$F$143,3,0))*10^-3*10^2)*各项系数!$J$4</f>
        <v>0.0154221144536551</v>
      </c>
      <c r="GD126" s="389">
        <v>1</v>
      </c>
      <c r="GE126" s="390">
        <f t="shared" si="521"/>
        <v>0.0154221144536551</v>
      </c>
      <c r="GF126" s="367">
        <f>GE126*(VLOOKUP($GC$9,各项系数!$D$1:$F$143,2,0))</f>
        <v>0.198945276452151</v>
      </c>
      <c r="GG126" s="388">
        <f>IF($BK126&lt;&gt;$GG$9,0,各项系数!$F$76/4*($MS126^2-$MQ126^2)*10^-2*(VLOOKUP($GG$9,各项系数!$D$1:$F$143,3,0))*10^-3*10^2)*各项系数!$J$4</f>
        <v>0</v>
      </c>
      <c r="GH126" s="389">
        <v>1</v>
      </c>
      <c r="GI126" s="390">
        <f t="shared" si="522"/>
        <v>0</v>
      </c>
      <c r="GJ126" s="367">
        <f>GI126*(VLOOKUP($GG$9,各项系数!$D$1:$F$143,2,0))</f>
        <v>0</v>
      </c>
      <c r="GK126" s="388">
        <f>IF($BK126&lt;&gt;$GK$9,0,各项系数!$F$76/4*($MS126^2-$MQ126^2)*10^-2*(VLOOKUP($GK$9,各项系数!$D$1:$F$143,3,0))*10^-3*10^2)*各项系数!$J$4</f>
        <v>0</v>
      </c>
      <c r="GL126" s="389">
        <v>1</v>
      </c>
      <c r="GM126" s="390">
        <f t="shared" si="523"/>
        <v>0</v>
      </c>
      <c r="GN126" s="367">
        <f>GM126*(VLOOKUP($GK$9,各项系数!$D$1:$F$143,2,0))</f>
        <v>0</v>
      </c>
      <c r="GO126" s="390">
        <f t="shared" si="524"/>
        <v>0.0154221144536551</v>
      </c>
      <c r="GP126" s="390">
        <f t="shared" si="525"/>
        <v>0.198945276452151</v>
      </c>
      <c r="GQ126" s="406">
        <f>各项系数!$F$76/4*($MU126^2-$MS126^2)*10^-2*(VLOOKUP($S126,各项系数!$D$1:$F$143,3,0))*10^-3*10^2*各项系数!$J$4</f>
        <v>1.05359450686366</v>
      </c>
      <c r="GR126" s="389">
        <v>1</v>
      </c>
      <c r="GS126" s="390">
        <f t="shared" si="526"/>
        <v>1.05359450686366</v>
      </c>
      <c r="GT126" s="390">
        <f t="shared" si="457"/>
        <v>0</v>
      </c>
      <c r="GU126" s="390">
        <f>ROUND($GS126*(VLOOKUP($S126,各项系数!$D$1:$F$143,2,0))+$E$3*GS126,GT126)</f>
        <v>6</v>
      </c>
      <c r="GV126" s="406">
        <f>各项系数!$F$76/4*($MT126^2-$MS126^2)*10^-2*(VLOOKUP($GV$9,各项系数!$D$1:$F$143,3,0))*10^-3*10^2*各项系数!$J$4*PI()/4*R126</f>
        <v>0.0793385271389726</v>
      </c>
      <c r="GW126" s="389">
        <v>1</v>
      </c>
      <c r="GX126" s="390">
        <f t="shared" si="527"/>
        <v>0.0793385271389726</v>
      </c>
      <c r="GY126" s="390">
        <f>$GX126*(VLOOKUP($GV$9,各项系数!$D$1:$F$143,2,0))</f>
        <v>5.35535058188065</v>
      </c>
      <c r="GZ126" s="406">
        <f>各项系数!$F$76/4*($MV126^2-$MS126^2)*10^-2*(VLOOKUP($GZ$9,各项系数!$D$1:$F$143,3,0))*10^-3*10^2*各项系数!$J$4</f>
        <v>0.812032977456301</v>
      </c>
      <c r="HA126" s="389">
        <v>1</v>
      </c>
      <c r="HB126" s="390">
        <f t="shared" si="412"/>
        <v>0.812032977456301</v>
      </c>
      <c r="HC126" s="390">
        <f>HB126*(VLOOKUP($GZ$9,各项系数!$D$1:$F$143,2,0))</f>
        <v>13.8045606167571</v>
      </c>
      <c r="HD126" s="406">
        <f>各项系数!$F$76/4*($MW126^2-$MT126^2)*10^-2*(VLOOKUP($HD$9,各项系数!$D$1:$F$143,3,0))*10^-3*10^2*各项系数!$J$4</f>
        <v>0.814208593200765</v>
      </c>
      <c r="HE126" s="389">
        <v>1</v>
      </c>
      <c r="HF126" s="390">
        <f t="shared" si="413"/>
        <v>0.814208593200765</v>
      </c>
      <c r="HG126" s="390">
        <f>HF126*(VLOOKUP($HD$9,各项系数!$D$1:$F$143,2,0))</f>
        <v>13.841546084413</v>
      </c>
      <c r="HH126" s="406">
        <f>各项系数!$F$76/4*($MV126^2-$MS126^2)*10^-2*(VLOOKUP($HH$9,各项系数!$D$1:$F$143,3,0))*10^-3*10^2*各项系数!$J$4</f>
        <v>0.812032977456301</v>
      </c>
      <c r="HI126" s="420">
        <v>1</v>
      </c>
      <c r="HJ126" s="390">
        <f t="shared" si="414"/>
        <v>0.812032977456301</v>
      </c>
      <c r="HK126" s="390">
        <f>HJ126*(VLOOKUP($HH$9,各项系数!$D$1:$F$143,2,0))</f>
        <v>13.8045606167571</v>
      </c>
      <c r="HL126" s="406">
        <f>各项系数!$F$76/4*($MW126^2-$MT126^2)*10^-2*(VLOOKUP($HL$9,各项系数!$D$1:$F$143,3,0))*10^-3*10^2*各项系数!$J$4</f>
        <v>0.814208593200765</v>
      </c>
      <c r="HM126" s="420">
        <v>1</v>
      </c>
      <c r="HN126" s="390">
        <f t="shared" si="362"/>
        <v>0.814208593200765</v>
      </c>
      <c r="HO126" s="390">
        <f>HN126*(VLOOKUP($HL$9,各项系数!$D$1:$F$143,2,0))</f>
        <v>13.841546084413</v>
      </c>
      <c r="HP126" s="406">
        <f>各项系数!$F$76/4*($MV126^2-$MS126^2)*10^-2*(VLOOKUP(AN126,各项系数!$D$1:$F$143,3,0))*10^-3*10^2*各项系数!$J$4</f>
        <v>0.823233432317767</v>
      </c>
      <c r="HQ126" s="389">
        <v>1</v>
      </c>
      <c r="HR126" s="390">
        <f t="shared" si="528"/>
        <v>0.823233432317767</v>
      </c>
      <c r="HS126" s="390">
        <f>HR126*(VLOOKUP(AN126,各项系数!$D$1:$F$143,2,0))</f>
        <v>8.23233432317767</v>
      </c>
      <c r="HT126" s="406">
        <f>各项系数!$F$76/4*($MW126^2-$MT126^2)*10^-2*(VLOOKUP(AN126,各项系数!$D$1:$F$143,3,0))*10^-3*10^2*各项系数!$J$4</f>
        <v>0.825439056555258</v>
      </c>
      <c r="HU126" s="389">
        <v>1</v>
      </c>
      <c r="HV126" s="390">
        <f t="shared" si="529"/>
        <v>0.825439056555258</v>
      </c>
      <c r="HW126" s="390">
        <f>HV126*(VLOOKUP(AN126,各项系数!$D$1:$F$143,2,0))</f>
        <v>8.25439056555258</v>
      </c>
      <c r="HX126" s="406">
        <f>各项系数!$F$76/4*($MV126^2-$MS126^2)*10^-2*(VLOOKUP($HX$9,各项系数!$D$1:$F$143,3,0))*10^-3*10^2*各项系数!$J$4</f>
        <v>0.823233432317767</v>
      </c>
      <c r="HY126" s="420">
        <v>1</v>
      </c>
      <c r="HZ126" s="390">
        <f t="shared" si="530"/>
        <v>0.823233432317767</v>
      </c>
      <c r="IA126" s="390">
        <f>HZ126*(VLOOKUP($HX$9,各项系数!$D$1:$F$143,2,0))</f>
        <v>9.05556775549544</v>
      </c>
      <c r="IB126" s="406">
        <f>各项系数!$F$76/4*($MW126^2-$MT126^2)*10^-2*(VLOOKUP($IB$9,各项系数!$D$1:$F$143,3,0))*10^-3*10^2*各项系数!$J$4</f>
        <v>0.825439056555258</v>
      </c>
      <c r="IC126" s="420">
        <v>1</v>
      </c>
      <c r="ID126" s="390">
        <f t="shared" si="531"/>
        <v>0.825439056555258</v>
      </c>
      <c r="IE126" s="390">
        <f>ID126*(VLOOKUP($IB$9,各项系数!$D$1:$F$143,2,0))</f>
        <v>9.07982962210784</v>
      </c>
      <c r="IF126" s="429"/>
      <c r="IG126" s="406">
        <f t="shared" si="415"/>
        <v>0.128298948780845</v>
      </c>
      <c r="IH126" s="389">
        <v>1</v>
      </c>
      <c r="II126" s="390">
        <f t="shared" si="532"/>
        <v>0.128298948780845</v>
      </c>
      <c r="IJ126" s="390">
        <f>II126*(VLOOKUP($IG$8,各项系数!$D$1:$F$143,2,0))</f>
        <v>3.20747371952114</v>
      </c>
      <c r="IK126" s="406">
        <f>(各项系数!$F$76/4*($MX126^2-$MK126^2)*$EG126)*10^-2*(VLOOKUP($IG$8,各项系数!$D$1:$F$143,3,0))*10^-3*10^2*各项系数!$J$4</f>
        <v>0.0861128173667008</v>
      </c>
      <c r="IL126" s="389">
        <f>IK126*(VLOOKUP($IG$8,各项系数!$D$1:$F$143,2,0))</f>
        <v>2.15282043416752</v>
      </c>
      <c r="IM126" s="390">
        <f>(各项系数!$F$76/4*(($MM126+3*$X126)^2-MM126^2)*$EO126)*10^-2*(VLOOKUP($IG$8,各项系数!$D$1:$F$143,3,0))*10^-3*10^2*各项系数!$J$4</f>
        <v>0.0421861314141447</v>
      </c>
      <c r="IN126" s="389">
        <f>IM126*(VLOOKUP($IG$8,各项系数!$D$1:$F$143,2,0))</f>
        <v>1.05465328535362</v>
      </c>
      <c r="IO126" s="406">
        <f>各项系数!$F$76/4*($MZ126^2-$MX126^2)*10^-2*(VLOOKUP(L126,各项系数!$D$1:$F$143,3,0))*10^-3*10^2*$ES126*各项系数!$J$4</f>
        <v>0.654865038063573</v>
      </c>
      <c r="IP126" s="389">
        <v>1</v>
      </c>
      <c r="IQ126" s="390">
        <f t="shared" si="533"/>
        <v>0.654865038063573</v>
      </c>
      <c r="IR126" s="367">
        <f>IQ126*(VLOOKUP(L126,各项系数!$D$1:$F$143,2,0))</f>
        <v>6.67962338824845</v>
      </c>
      <c r="IS126" s="406">
        <f>IF($L126&lt;&gt;$IS$9,0,各项系数!$F$76/4*($MZ126^2-$MX126^2)*10^-2*各项系数!$F$12*10^-3*10^2)*$ES126*各项系数!$J$4</f>
        <v>0</v>
      </c>
      <c r="IT126" s="389">
        <v>1</v>
      </c>
      <c r="IU126" s="390">
        <f t="shared" si="534"/>
        <v>0</v>
      </c>
      <c r="IV126" s="367">
        <f>IU126*各项系数!$E$12</f>
        <v>0</v>
      </c>
      <c r="IW126" s="388">
        <f t="shared" si="535"/>
        <v>0.654865038063573</v>
      </c>
      <c r="IX126" s="388">
        <f t="shared" si="536"/>
        <v>6.67962338824845</v>
      </c>
      <c r="IY126" s="447">
        <f>各项系数!$F$76/4*($NB126^2-$MZ126^2*$EG126-$NA126^2*$EO126)*10^-2</f>
        <v>8.38310504721899</v>
      </c>
      <c r="IZ126" s="366">
        <f t="shared" si="487"/>
        <v>1</v>
      </c>
      <c r="JA126" s="367">
        <f t="shared" si="363"/>
        <v>8.38310504721899</v>
      </c>
      <c r="JB126" s="364">
        <f>IF($DE126&lt;&gt;$JB$9,0,$JA126*各项系数!$F$32*10^-3*10^2)*各项系数!$J$4</f>
        <v>0</v>
      </c>
      <c r="JC126" s="123">
        <v>1</v>
      </c>
      <c r="JD126" s="251">
        <f t="shared" si="537"/>
        <v>0</v>
      </c>
      <c r="JE126" s="339">
        <f>JD126*各项系数!$E$32</f>
        <v>0</v>
      </c>
      <c r="JF126" s="364">
        <f>IF($DE126&lt;&gt;$JF$9,0,$JA126*VLOOKUP($JF$9,各项系数!$D$4:$F$540,2,0)*10^-3*10^2)*各项系数!$J$4</f>
        <v>4.17059476099145</v>
      </c>
      <c r="JG126" s="123">
        <v>1</v>
      </c>
      <c r="JH126" s="251">
        <f t="shared" si="364"/>
        <v>4.17059476099145</v>
      </c>
      <c r="JI126" s="339">
        <f>JH126*VLOOKUP($JF$9,各项系数!$D$4:$F$540,3,0)</f>
        <v>5.00471371318974</v>
      </c>
      <c r="JJ126" s="364">
        <f t="shared" si="538"/>
        <v>4.17059476099145</v>
      </c>
      <c r="JK126" s="251">
        <f t="shared" si="539"/>
        <v>5.00471371318974</v>
      </c>
      <c r="JL126" s="364">
        <f>IF($DF126&lt;&gt;$JL$9,0,各项系数!$F$76/4*($NE126^2-$NC126^2)*10^-2*各项系数!$F$39*10^-3*10^2)*各项系数!$J$4</f>
        <v>0.00668021157868868</v>
      </c>
      <c r="JM126" s="123">
        <v>1</v>
      </c>
      <c r="JN126" s="251">
        <f t="shared" si="540"/>
        <v>0.00668021157868868</v>
      </c>
      <c r="JO126" s="339">
        <f>JN126*各项系数!$E$39</f>
        <v>0.133604231573774</v>
      </c>
      <c r="JP126" s="364">
        <f>IF($DF126&lt;&gt;$JP$9,0,各项系数!$F$76/4*($NE126^2-$NC126^2)*10^-2*各项系数!$F$36*10^-3*10^2)*各项系数!$J$4</f>
        <v>0</v>
      </c>
      <c r="JQ126" s="123">
        <v>1</v>
      </c>
      <c r="JR126" s="251">
        <f t="shared" si="541"/>
        <v>0</v>
      </c>
      <c r="JS126" s="339">
        <f>JR126*各项系数!$E$36</f>
        <v>0</v>
      </c>
      <c r="JT126" s="364">
        <f>IF($DF126&lt;&gt;$JT$9,0,各项系数!$F$76/4*($NE126^2-$NC126^2)*10^-2*各项系数!$F$40*10^-3*10^2)*各项系数!$J$4</f>
        <v>0</v>
      </c>
      <c r="JU126" s="123">
        <v>1</v>
      </c>
      <c r="JV126" s="251">
        <f t="shared" si="542"/>
        <v>0</v>
      </c>
      <c r="JW126" s="339">
        <f>JV126*各项系数!$E$40</f>
        <v>0</v>
      </c>
      <c r="JX126" s="364">
        <f>IF($DF126&lt;&gt;$JX$9,0,各项系数!$F$76/4*($NE126^2-$NC126^2)*10^-2*各项系数!$F$38*10^-3*10^2)*各项系数!$J$4</f>
        <v>0</v>
      </c>
      <c r="JY126" s="123">
        <v>1</v>
      </c>
      <c r="JZ126" s="251">
        <f t="shared" si="543"/>
        <v>0</v>
      </c>
      <c r="KA126" s="339">
        <f>JZ126*各项系数!$E$38</f>
        <v>0</v>
      </c>
      <c r="KB126" s="364">
        <f>IF($DF126&lt;&gt;$KB$9,0,各项系数!$F$76/4*($NE126^2-$NC126^2)*10^-2*各项系数!$F$41*10^-3*10^2)*各项系数!$J$4</f>
        <v>0</v>
      </c>
      <c r="KC126" s="123">
        <v>1</v>
      </c>
      <c r="KD126" s="251">
        <f t="shared" si="544"/>
        <v>0</v>
      </c>
      <c r="KE126" s="339">
        <f>KD126*各项系数!$E$41</f>
        <v>0</v>
      </c>
      <c r="KF126" s="251">
        <f t="shared" si="545"/>
        <v>0.00668021157868868</v>
      </c>
      <c r="KG126" s="251">
        <f t="shared" si="546"/>
        <v>0.133604231573774</v>
      </c>
      <c r="KH126" s="302">
        <f>各项系数!$F$76/4*($NG126^2-$NE126^2)*10^-2*各项系数!$F$44*10^-3*10^2*各项系数!$J$4*0.75*$U126</f>
        <v>1.65640167893192</v>
      </c>
      <c r="KI126" s="123">
        <v>1</v>
      </c>
      <c r="KJ126" s="251">
        <f t="shared" si="547"/>
        <v>1.65640167893192</v>
      </c>
      <c r="KK126" s="251">
        <f>ROUND(KJ126*各项系数!$E$43,GT126)</f>
        <v>10</v>
      </c>
      <c r="KL126" s="302">
        <f>各项系数!$F$76/4*($NF126^2-$NE126^2)*10^-2*各项系数!$F$46*10^-3*10^2*各项系数!$J$4*PI()/4*R126</f>
        <v>0.0831993742899589</v>
      </c>
      <c r="KM126" s="123">
        <v>1</v>
      </c>
      <c r="KN126" s="251">
        <f t="shared" si="548"/>
        <v>0.0831993742899589</v>
      </c>
      <c r="KO126" s="251">
        <f>KN126*各项系数!$E$46</f>
        <v>5.61595776457222</v>
      </c>
      <c r="KP126" s="302">
        <f>各项系数!$F$76/4*($NH126^2-$NE126^2)*10^-2*(VLOOKUP($KP$9,各项系数!$D$1:$F$143,3,0))*10^-3*10^2*各项系数!$J$4</f>
        <v>0.849616739441916</v>
      </c>
      <c r="KQ126" s="123">
        <v>1</v>
      </c>
      <c r="KR126" s="251">
        <f t="shared" si="416"/>
        <v>0.849616739441916</v>
      </c>
      <c r="KS126" s="251">
        <f>KR126*(VLOOKUP($KP$9,各项系数!$D$1:$F$143,2,0))</f>
        <v>14.4434845705126</v>
      </c>
      <c r="KT126" s="302">
        <f>各项系数!$F$76/4*($NI126^2-$NF126^2)*10^-2*(VLOOKUP($KT$9,各项系数!$D$1:$F$143,3,0))*10^-3*10^2*各项系数!$J$4</f>
        <v>0.851792355186381</v>
      </c>
      <c r="KU126" s="123">
        <v>1</v>
      </c>
      <c r="KV126" s="251">
        <f t="shared" si="417"/>
        <v>0.851792355186381</v>
      </c>
      <c r="KW126" s="251">
        <f>KV126*(VLOOKUP($KT$9,各项系数!$D$1:$F$143,2,0))</f>
        <v>14.4804700381685</v>
      </c>
      <c r="KX126" s="251">
        <f>各项系数!$F$76/4*($NH126^2-$NE126^2)*10^-2*(VLOOKUP($KX$9,各项系数!$D$1:$F$143,3,0))*10^-3*10^2*各项系数!$J$4</f>
        <v>0.849616739441916</v>
      </c>
      <c r="KY126" s="479">
        <v>1</v>
      </c>
      <c r="KZ126" s="251">
        <f t="shared" si="418"/>
        <v>0.849616739441916</v>
      </c>
      <c r="LA126" s="251">
        <f>KZ126*(VLOOKUP($KX$9,各项系数!$D$1:$F$143,2,0))</f>
        <v>14.4434845705126</v>
      </c>
      <c r="LB126" s="251">
        <f>各项系数!$F$76/4*($NI126^2-$NF126^2)*10^-2*(VLOOKUP($LB$9,各项系数!$D$1:$F$143,3,0))*10^-3*10^2*各项系数!$J$4</f>
        <v>0.851792355186381</v>
      </c>
      <c r="LC126" s="479">
        <v>1</v>
      </c>
      <c r="LD126" s="251">
        <f t="shared" si="419"/>
        <v>0.851792355186381</v>
      </c>
      <c r="LE126" s="251">
        <f>LD126*(VLOOKUP($LB$9,各项系数!$D$1:$F$143,2,0))</f>
        <v>14.4804700381685</v>
      </c>
      <c r="LF126" s="302">
        <f>各项系数!$F$76/4*($NH126^2-$NE126^2)*10^-2*(VLOOKUP(AN126,各项系数!$D$1:$F$143,3,0))*10^-3*10^2*各项系数!$J$4</f>
        <v>0.861335591020426</v>
      </c>
      <c r="LG126" s="123">
        <v>1</v>
      </c>
      <c r="LH126" s="251">
        <f t="shared" si="549"/>
        <v>0.861335591020426</v>
      </c>
      <c r="LI126" s="251">
        <f>LH126*(VLOOKUP(AN126,各项系数!$D$1:$F$143,2,0))</f>
        <v>8.61335591020426</v>
      </c>
      <c r="LJ126" s="302">
        <f>各项系数!$F$76/4*($NI126^2-$NF126^2)*10^-2*(VLOOKUP(AN126,各项系数!$D$1:$F$143,3,0))*10^-3*10^2*各项系数!$J$4</f>
        <v>0.863541215257917</v>
      </c>
      <c r="LK126" s="123">
        <v>1</v>
      </c>
      <c r="LL126" s="251">
        <f t="shared" si="550"/>
        <v>0.863541215257917</v>
      </c>
      <c r="LM126" s="251">
        <f>LL126*(VLOOKUP(AN126,各项系数!$D$1:$F$143,2,0))</f>
        <v>8.63541215257917</v>
      </c>
      <c r="LN126" s="251">
        <f>各项系数!$F$76/4*($NH126^2-$NE126^2)*10^-2*(VLOOKUP($LN$9,各项系数!$D$1:$F$143,3,0))*10^-3*10^2*各项系数!$J$4</f>
        <v>0.861335591020426</v>
      </c>
      <c r="LO126" s="479">
        <v>1</v>
      </c>
      <c r="LP126" s="251">
        <f t="shared" si="551"/>
        <v>0.861335591020426</v>
      </c>
      <c r="LQ126" s="251">
        <f>LP126*(VLOOKUP($LN$9,各项系数!$D$1:$F$143,2,0))</f>
        <v>9.47469150122468</v>
      </c>
      <c r="LR126" s="251">
        <f>各项系数!$F$76/4*($NI126^2-$NF126^2)*10^-2*(VLOOKUP($LR$9,各项系数!$D$1:$F$143,3,0))*10^-3*10^2*各项系数!$J$4</f>
        <v>0.863541215257917</v>
      </c>
      <c r="LS126" s="479">
        <v>1</v>
      </c>
      <c r="LT126" s="251">
        <f t="shared" si="552"/>
        <v>0.863541215257917</v>
      </c>
      <c r="LU126" s="251">
        <f>LT126*(VLOOKUP($LR$9,各项系数!$D$1:$F$143,2,0))</f>
        <v>9.49895336783709</v>
      </c>
      <c r="LV126" s="499">
        <f t="shared" si="420"/>
        <v>952.50875464</v>
      </c>
      <c r="LW126" s="499">
        <f t="shared" si="421"/>
        <v>688.32730222</v>
      </c>
      <c r="LX126" s="499">
        <f t="shared" si="422"/>
        <v>29.6041473599118</v>
      </c>
      <c r="LY126" s="515">
        <f t="shared" si="423"/>
        <v>264.18145242</v>
      </c>
      <c r="LZ126" s="516">
        <f t="shared" si="365"/>
        <v>1</v>
      </c>
      <c r="MA126" s="517">
        <f t="shared" si="366"/>
        <v>952.50875464</v>
      </c>
      <c r="MB126" s="517">
        <f t="shared" si="424"/>
        <v>20.10615008</v>
      </c>
      <c r="MC126" s="499">
        <f t="shared" si="425"/>
        <v>339.21489304</v>
      </c>
      <c r="MD126" s="499">
        <f t="shared" si="426"/>
        <v>226.1432621</v>
      </c>
      <c r="ME126" s="499">
        <f t="shared" si="427"/>
        <v>16.9686341253835</v>
      </c>
      <c r="MF126" s="499">
        <f t="shared" si="428"/>
        <v>113.07163094</v>
      </c>
      <c r="MG126" s="516">
        <f t="shared" si="429"/>
        <v>1</v>
      </c>
      <c r="MH126" s="517">
        <f t="shared" si="367"/>
        <v>339.21489304</v>
      </c>
      <c r="MI126" s="517">
        <f t="shared" si="430"/>
        <v>14.6952682177229</v>
      </c>
      <c r="MJ126" s="251">
        <f t="shared" si="368"/>
        <v>20.10615008</v>
      </c>
      <c r="MK126" s="251">
        <f t="shared" si="431"/>
        <v>20.10615008</v>
      </c>
      <c r="ML126" s="251">
        <f t="shared" si="553"/>
        <v>14.6952682177778</v>
      </c>
      <c r="MM126" s="251">
        <f t="shared" si="369"/>
        <v>14.6952682177229</v>
      </c>
      <c r="MN126" s="251">
        <f t="shared" si="370"/>
        <v>23.50615008</v>
      </c>
      <c r="MO126" s="251">
        <f t="shared" si="432"/>
        <v>17.0952682177229</v>
      </c>
      <c r="MP126" s="251">
        <f t="shared" si="433"/>
        <v>56.5428528</v>
      </c>
      <c r="MQ126" s="251">
        <f t="shared" si="554"/>
        <v>56.5428528</v>
      </c>
      <c r="MR126" s="314">
        <f t="shared" si="434"/>
        <v>56.5428528</v>
      </c>
      <c r="MS126" s="530">
        <f t="shared" si="371"/>
        <v>56.7188528</v>
      </c>
      <c r="MT126" s="530">
        <f t="shared" si="372"/>
        <v>56.8788528</v>
      </c>
      <c r="MU126" s="530">
        <f t="shared" si="373"/>
        <v>58.2188528</v>
      </c>
      <c r="MV126" s="530">
        <f t="shared" si="374"/>
        <v>62.7188528</v>
      </c>
      <c r="MW126" s="530">
        <f t="shared" si="375"/>
        <v>62.8788528</v>
      </c>
      <c r="MX126" s="326">
        <f t="shared" si="376"/>
        <v>20.70615008</v>
      </c>
      <c r="MY126" s="326">
        <f t="shared" si="377"/>
        <v>15.2952682177229</v>
      </c>
      <c r="MZ126" s="251">
        <f t="shared" si="378"/>
        <v>24.10615008</v>
      </c>
      <c r="NA126" s="251">
        <f t="shared" si="379"/>
        <v>18.6952682177229</v>
      </c>
      <c r="NB126" s="251">
        <f t="shared" si="435"/>
        <v>59.2428528</v>
      </c>
      <c r="NC126" s="326">
        <f t="shared" si="555"/>
        <v>59.2428528</v>
      </c>
      <c r="ND126" s="314">
        <f t="shared" si="436"/>
        <v>59.2428528</v>
      </c>
      <c r="NE126" s="537">
        <f t="shared" si="437"/>
        <v>59.4828528</v>
      </c>
      <c r="NF126" s="530">
        <f t="shared" si="380"/>
        <v>59.6428528</v>
      </c>
      <c r="NG126" s="538">
        <f t="shared" si="381"/>
        <v>60.9828528</v>
      </c>
      <c r="NH126" s="326">
        <f t="shared" si="382"/>
        <v>65.4828528</v>
      </c>
      <c r="NI126" s="530">
        <f t="shared" si="383"/>
        <v>65.6428528</v>
      </c>
      <c r="NK126" s="539">
        <f t="shared" si="384"/>
        <v>10.5852760376762</v>
      </c>
      <c r="NL126" s="539">
        <f t="shared" si="385"/>
        <v>555.208875852909</v>
      </c>
      <c r="NM126" s="539">
        <f t="shared" si="386"/>
        <v>10.5852760376762</v>
      </c>
      <c r="NN126" s="539">
        <f t="shared" si="387"/>
        <v>556.032109285227</v>
      </c>
      <c r="NO126" s="539">
        <f t="shared" si="388"/>
        <v>14.0702899905969</v>
      </c>
      <c r="NP126" s="539">
        <f t="shared" si="389"/>
        <v>562.20799397107</v>
      </c>
      <c r="NQ126" s="539">
        <f t="shared" si="390"/>
        <v>14.0702899905969</v>
      </c>
      <c r="NR126" s="539">
        <f t="shared" si="391"/>
        <v>563.06932956209</v>
      </c>
      <c r="NS126" s="539">
        <f t="shared" si="392"/>
        <v>10.6646145648151</v>
      </c>
      <c r="NT126" s="539">
        <f t="shared" si="393"/>
        <v>10.6646145648151</v>
      </c>
      <c r="NU126" s="539">
        <f t="shared" si="394"/>
        <v>14.1534893648868</v>
      </c>
      <c r="NV126" s="539">
        <f t="shared" si="395"/>
        <v>14.1534893648868</v>
      </c>
      <c r="NW126">
        <f t="shared" si="396"/>
        <v>11.6388705445398</v>
      </c>
      <c r="NX126">
        <f>各项系数!$M$9*NK126</f>
        <v>3.17558281130285</v>
      </c>
      <c r="NY126">
        <f t="shared" si="397"/>
        <v>10.6646145648151</v>
      </c>
    </row>
    <row r="127" customHeight="1" spans="1:389">
      <c r="A127" s="85"/>
      <c r="B127" s="86"/>
      <c r="C127" s="87"/>
      <c r="D127" s="69" t="s">
        <v>424</v>
      </c>
      <c r="E127" s="70">
        <f t="shared" si="560"/>
        <v>68.21588014</v>
      </c>
      <c r="F127" s="84">
        <f>$F$31</f>
        <v>245.118138379664</v>
      </c>
      <c r="G127" s="74"/>
      <c r="H127" s="23"/>
      <c r="I127" s="174">
        <f>$F$28</f>
        <v>243.335870228497</v>
      </c>
      <c r="J127" s="78"/>
      <c r="K127" s="23"/>
      <c r="L127" s="118" t="s">
        <v>467</v>
      </c>
      <c r="M127" s="124">
        <f t="shared" si="339"/>
        <v>1.8</v>
      </c>
      <c r="N127" s="124">
        <f t="shared" si="501"/>
        <v>1.4</v>
      </c>
      <c r="O127" s="69">
        <f t="shared" si="556"/>
        <v>0.08</v>
      </c>
      <c r="P127" s="120">
        <v>0.1</v>
      </c>
      <c r="Q127" s="162">
        <f t="shared" si="557"/>
        <v>0.1</v>
      </c>
      <c r="R127" s="86">
        <v>0.8</v>
      </c>
      <c r="S127" s="171" t="str">
        <f>各项系数!$D$43</f>
        <v>钢带</v>
      </c>
      <c r="T127" s="78">
        <v>0.5</v>
      </c>
      <c r="U127" s="78">
        <v>2</v>
      </c>
      <c r="V127" s="172"/>
      <c r="W127" s="170">
        <v>3.3</v>
      </c>
      <c r="X127" s="164">
        <f t="shared" si="558"/>
        <v>0.2</v>
      </c>
      <c r="Y127" s="219"/>
      <c r="Z127" s="220"/>
      <c r="AA127" s="217">
        <f>$AA$31</f>
        <v>1.02</v>
      </c>
      <c r="AB127" s="186">
        <f>PI()*EJ127*EJ127/4*EH127*(1-H127)*AA127*各项系数!$F$5*各项系数!$J$4*10^-7</f>
        <v>2.59714160229395</v>
      </c>
      <c r="AC127" s="186">
        <f t="shared" si="561"/>
        <v>245.118138379664</v>
      </c>
      <c r="AD127" s="186">
        <f t="shared" si="341"/>
        <v>293.609962330657</v>
      </c>
      <c r="AE127" s="186">
        <f>POWER(4*EU127/PI()/EG127/10^-7/EH127/(1-H127)/各项系数!$F$5/各项系数!$J$4,0.5)</f>
        <v>247.557184904754</v>
      </c>
      <c r="AF127" s="218">
        <f>$AA$28</f>
        <v>1.015</v>
      </c>
      <c r="AG127" s="85">
        <f>IF(EM127=0,0,PI()*ER127*ER127/4*EP127*(1-K127)*(1+AF127)*各项系数!$F$5*各项系数!$J$4*10^-7)</f>
        <v>2.48669942876503</v>
      </c>
      <c r="AH127" s="85">
        <f t="shared" si="562"/>
        <v>243.335870228497</v>
      </c>
      <c r="AI127" s="85">
        <f t="shared" si="398"/>
        <v>141.608539825376</v>
      </c>
      <c r="AJ127" s="85">
        <f>IF(OR(EP127="",EP127=0),0,POWER(4*EW127/PI()/EO127/10^-7/EP127/(1-K127)/各项系数!$F$5/各项系数!$J$4,0.5))</f>
        <v>245.154096286311</v>
      </c>
      <c r="AK127" s="85">
        <f t="shared" si="342"/>
        <v>10.2966356457866</v>
      </c>
      <c r="AL127" s="85">
        <f t="shared" si="563"/>
        <v>715.378760082538</v>
      </c>
      <c r="AM127" s="250">
        <f t="shared" si="564"/>
        <v>300</v>
      </c>
      <c r="AN127" s="118" t="s">
        <v>486</v>
      </c>
      <c r="AO127" s="259">
        <f>AP127+各项系数!$M$9*$NK127</f>
        <v>701.351725571115</v>
      </c>
      <c r="AP127" s="259">
        <f>AQ127*(1+$BI127+(VLOOKUP($AM127,$A$12:$B$323,2,0))+各项系数!$J$6+各项系数!$M$5)*(1+$E$2)</f>
        <v>697.415506626081</v>
      </c>
      <c r="AQ127" s="260">
        <f>AR127+各项系数!$L$9*$NK127</f>
        <v>711.648476149063</v>
      </c>
      <c r="AR127" s="260">
        <f>AS127*(1+$BJ127+各项系数!$J$5+各项系数!$L$5)</f>
        <v>707.712257204029</v>
      </c>
      <c r="AS127" s="260">
        <f t="shared" si="399"/>
        <v>693.83554627846</v>
      </c>
      <c r="AT127" s="259">
        <f>AU127+各项系数!$M$9*$NM127</f>
        <v>708.011924043264</v>
      </c>
      <c r="AU127" s="259">
        <f>AV127*(1+$BI127+(VLOOKUP($AM127,$A$12:$B$323,2,0))+各项系数!$J$6+各项系数!$M$5)*(1+$E$2)</f>
        <v>704.07570509823</v>
      </c>
      <c r="AV127" s="260">
        <f>AW127+各项系数!$L$9*$NM127</f>
        <v>718.44459703901</v>
      </c>
      <c r="AW127" s="260">
        <f>AX127*(1+$BJ127+各项系数!$J$5+各项系数!$L$5)</f>
        <v>714.508378093976</v>
      </c>
      <c r="AX127" s="260">
        <f t="shared" si="400"/>
        <v>700.498409896055</v>
      </c>
      <c r="AY127" s="259">
        <f>AZ127+各项系数!$M$9*$NS127</f>
        <v>707.241914049485</v>
      </c>
      <c r="AZ127" s="259">
        <f>BA127*(1+$BI127+(VLOOKUP($AM127,$A$12:$B$214,2,0))+各项系数!$J$6+各项系数!$M$5)*(1+$E$2)</f>
        <v>703.279841447099</v>
      </c>
      <c r="BA127" s="260">
        <f>BB127+各项系数!$L$9*$NS127</f>
        <v>717.63249127255</v>
      </c>
      <c r="BB127" s="260">
        <f>BC127*(1+$BJ127+各项系数!$J$5+各项系数!$L$5)</f>
        <v>713.670418670165</v>
      </c>
      <c r="BC127" s="262">
        <f t="shared" si="401"/>
        <v>699.676881049181</v>
      </c>
      <c r="BD127" s="259">
        <f>BE127+各项系数!$M$9*$NS127</f>
        <v>713.918528100583</v>
      </c>
      <c r="BE127" s="259">
        <f>BF127*(1+$BI127+(VLOOKUP($AM127,$A$12:$B$214,2,0))+各项系数!$J$6+各项系数!$M$5)*(1+$E$2)</f>
        <v>709.956455498198</v>
      </c>
      <c r="BF127" s="260">
        <f>BG127+各项系数!$L$9*$NS127</f>
        <v>724.445362753263</v>
      </c>
      <c r="BG127" s="260">
        <f>BH127*(1+$BJ127+各项系数!$J$5+各项系数!$L$5)</f>
        <v>720.483290150878</v>
      </c>
      <c r="BH127" s="262">
        <f t="shared" si="402"/>
        <v>706.356166814586</v>
      </c>
      <c r="BI127" s="277"/>
      <c r="BJ127" s="272"/>
      <c r="BK127" s="69" t="s">
        <v>514</v>
      </c>
      <c r="BL127" s="259">
        <f>BM127+各项系数!$M$9*$NM127</f>
        <v>709.144929700256</v>
      </c>
      <c r="BM127" s="259">
        <f>BN127*(1+$CF127+(VLOOKUP($AM127,$A$12:$B$323,2,0))+各项系数!$J$6+各项系数!$M$5)*(1+$E$2)</f>
        <v>705.208710755222</v>
      </c>
      <c r="BN127" s="260">
        <f>BO127+各项系数!$L$9*$NM127</f>
        <v>719.60072526043</v>
      </c>
      <c r="BO127" s="260">
        <f>BP127*(1+$CG127+各项系数!$J$5+各项系数!$L$5)</f>
        <v>715.664506315396</v>
      </c>
      <c r="BP127" s="260">
        <f t="shared" si="403"/>
        <v>694.819909044074</v>
      </c>
      <c r="BQ127" s="259">
        <f>BR127+各项系数!$M$9*$NM127</f>
        <v>714.876808460245</v>
      </c>
      <c r="BR127" s="259">
        <f>BS127*(1+$CF127+(VLOOKUP($AM127,$A$12:$B$323,2,0))+各项系数!$J$6+各项系数!$M$5)*(1+$E$2)</f>
        <v>710.940589515211</v>
      </c>
      <c r="BS127" s="260">
        <f>BT127+各项系数!$L$9*$NM127</f>
        <v>725.449581137971</v>
      </c>
      <c r="BT127" s="260">
        <f>BU127*(1+$CG127+各项系数!$J$5+各项系数!$L$5)</f>
        <v>721.513362192937</v>
      </c>
      <c r="BU127" s="260">
        <f t="shared" si="404"/>
        <v>700.498409896055</v>
      </c>
      <c r="BV127" s="259">
        <f>BW127+各项系数!$M$9*$NT127</f>
        <v>711.220079236948</v>
      </c>
      <c r="BW127" s="259">
        <f>BX127*(1+$CF127+(VLOOKUP($AM127,$A$12:$B$214,2,0))+各项系数!$J$6+各项系数!$M$5)*(1+$E$2)</f>
        <v>707.258006634563</v>
      </c>
      <c r="BX127" s="260">
        <f>BY127+各项系数!$L$9*$NT$12</f>
        <v>721.691843504656</v>
      </c>
      <c r="BY127" s="260">
        <f>BZ127*(1+$CG127+各项系数!$J$5+各项系数!$L$5)</f>
        <v>721.683580101501</v>
      </c>
      <c r="BZ127" s="262">
        <f t="shared" si="343"/>
        <v>700.663670001457</v>
      </c>
      <c r="CA127" s="259">
        <f>CB127+各项系数!$M$9*$NT127</f>
        <v>716.96608552012</v>
      </c>
      <c r="CB127" s="259">
        <f>CC127*(1+$CF127+(VLOOKUP($AM127,$A$12:$B$214,2,0))+各项系数!$J$6+各项系数!$M$5)*(1+$E$2)</f>
        <v>713.004012917735</v>
      </c>
      <c r="CC127" s="260">
        <f>CD127+各项系数!$L$9*$NT$12</f>
        <v>727.555115222178</v>
      </c>
      <c r="CD127" s="260">
        <f>CE127*(1+$CG127+各项系数!$J$5+各项系数!$L$5)</f>
        <v>727.546851819023</v>
      </c>
      <c r="CE127" s="262">
        <f t="shared" si="405"/>
        <v>706.356166814586</v>
      </c>
      <c r="CF127" s="277">
        <f t="shared" si="514"/>
        <v>0</v>
      </c>
      <c r="CG127" s="277">
        <f t="shared" si="344"/>
        <v>0.01</v>
      </c>
      <c r="CH127" s="123"/>
      <c r="CI127" s="259">
        <f>CJ127+各项系数!$M$9*$NO127</f>
        <v>715.590961358264</v>
      </c>
      <c r="CJ127" s="259">
        <f>CK127*(1+$DC127+(VLOOKUP($AM127,$A$12:$B$323,2,0))+各项系数!$J$6+各项系数!$M$5)*(1+$E$2)+各项系数!$M$9*$NK127</f>
        <v>710.464768186782</v>
      </c>
      <c r="CK127" s="260">
        <f>CL127+各项系数!$L$9*$NO127</f>
        <v>720.947499226274</v>
      </c>
      <c r="CL127" s="260">
        <f>CM127*(1+$DD127+各项系数!$J$5+各项系数!$L$5)</f>
        <v>715.821306054793</v>
      </c>
      <c r="CM127" s="260">
        <f t="shared" si="345"/>
        <v>701.785594171365</v>
      </c>
      <c r="CN127" s="259">
        <f>CO127+各项系数!$M$9*$NO127</f>
        <v>721.8649441527</v>
      </c>
      <c r="CO127" s="259">
        <f>CP127*(1+$DC127+(VLOOKUP($AM127,$A$12:$B$323,2,0))+各项系数!$J$6+各项系数!$M$5)*(1+$E$2)+各项系数!$M$9*$NK127</f>
        <v>716.738750981219</v>
      </c>
      <c r="CP127" s="260">
        <f>CQ127+各项系数!$L$9*$NO127</f>
        <v>727.349522485903</v>
      </c>
      <c r="CQ127" s="260">
        <f>CR127*(1+$DD127+各项系数!$J$5+各项系数!$L$5)</f>
        <v>722.223329314421</v>
      </c>
      <c r="CR127" s="260">
        <f t="shared" si="346"/>
        <v>708.062087563158</v>
      </c>
      <c r="CS127" s="259">
        <f>CT127+各项系数!$M$9*$NU127</f>
        <v>717.787190272624</v>
      </c>
      <c r="CT127" s="259">
        <f t="shared" si="347"/>
        <v>712.634075704441</v>
      </c>
      <c r="CU127" s="260">
        <f>CV127+各项系数!$L$9*$NU127</f>
        <v>727.177628269838</v>
      </c>
      <c r="CV127" s="260">
        <f>CW127*(1+$DD127+各项系数!$J$5+各项系数!$L$5)</f>
        <v>722.024513701655</v>
      </c>
      <c r="CW127" s="262">
        <f t="shared" si="348"/>
        <v>707.867170295741</v>
      </c>
      <c r="CX127" s="259">
        <f>CY127+各项系数!$M$9*$NU127</f>
        <v>724.7252224185</v>
      </c>
      <c r="CY127" s="259">
        <f t="shared" si="349"/>
        <v>719.572107850317</v>
      </c>
      <c r="CZ127" s="260">
        <f>DA127+各项系数!$L$9*$NU127</f>
        <v>734.257252908487</v>
      </c>
      <c r="DA127" s="260">
        <f>DB127*(1+$DD127+各项系数!$J$5+各项系数!$L$5)</f>
        <v>729.104138340305</v>
      </c>
      <c r="DB127" s="262">
        <f t="shared" si="350"/>
        <v>714.807978765005</v>
      </c>
      <c r="DC127" s="277">
        <f t="shared" ref="DC127:DC151" si="571">BI127+$DC$2</f>
        <v>0</v>
      </c>
      <c r="DD127" s="277">
        <f t="shared" si="351"/>
        <v>0</v>
      </c>
      <c r="DE127" s="69" t="s">
        <v>498</v>
      </c>
      <c r="DF127" s="69" t="s">
        <v>513</v>
      </c>
      <c r="DG127" s="259">
        <f>DH127+各项系数!$M$9*$NQ127</f>
        <v>723.501076167347</v>
      </c>
      <c r="DH127" s="259">
        <f>DI127*(1+$EA127+(VLOOKUP($AM127,$A$12:$B$323,2,0))+各项系数!$J$6+各项系数!$M$5)*(1+$E$2)+各项系数!$M$9*$NK127</f>
        <v>718.374882995866</v>
      </c>
      <c r="DI127" s="260">
        <f>DJ127+各项系数!$L$9*$NQ127</f>
        <v>729.019044949828</v>
      </c>
      <c r="DJ127" s="260">
        <f>DK127*(1+$EB127+各项系数!$J$5+各项系数!$L$5)</f>
        <v>723.892851778347</v>
      </c>
      <c r="DK127" s="260">
        <f t="shared" si="352"/>
        <v>702.80859395956</v>
      </c>
      <c r="DL127" s="259">
        <f>DM127+各项系数!$M$9*$NQ127</f>
        <v>729.45793573402</v>
      </c>
      <c r="DM127" s="259">
        <f>DN127*(1+$EA127+(VLOOKUP($AM127,$A$12:$B$323,2,0))+各项系数!$J$6+各项系数!$M$5)*(1+$E$2)+各项系数!$M$9*$NK127</f>
        <v>724.331742562538</v>
      </c>
      <c r="DN127" s="260">
        <f>DO127+各项系数!$L$9*$NQ127</f>
        <v>735.097473079086</v>
      </c>
      <c r="DO127" s="260">
        <f>DP127*(1+$EB127+各项系数!$J$5+各项系数!$L$5)</f>
        <v>729.971279907605</v>
      </c>
      <c r="DP127" s="260">
        <f t="shared" si="353"/>
        <v>708.70998049282</v>
      </c>
      <c r="DQ127" s="259">
        <f>DR127+各项系数!$M$9*$NV127</f>
        <v>725.759353520541</v>
      </c>
      <c r="DR127" s="259">
        <f t="shared" si="354"/>
        <v>720.606238952359</v>
      </c>
      <c r="DS127" s="260">
        <f>DT127+各项系数!$L$9*$NV127</f>
        <v>735.312488726897</v>
      </c>
      <c r="DT127" s="260">
        <f>DU127*(1+$EB127+各项系数!$J$5+各项系数!$L$5)</f>
        <v>730.159374158715</v>
      </c>
      <c r="DU127" s="262">
        <f t="shared" si="355"/>
        <v>708.892596270597</v>
      </c>
      <c r="DV127" s="259">
        <f>DW127+各项系数!$M$9*$NV127</f>
        <v>723.936719267383</v>
      </c>
      <c r="DW127" s="259">
        <f t="shared" si="356"/>
        <v>718.783604699201</v>
      </c>
      <c r="DX127" s="260">
        <f>DY127+各项系数!$L$9*$NV127</f>
        <v>733.452657856327</v>
      </c>
      <c r="DY127" s="260">
        <f>DZ127*(1+$EB127+各项系数!$J$5+各项系数!$L$5)</f>
        <v>728.299543288145</v>
      </c>
      <c r="DZ127" s="262">
        <f t="shared" si="357"/>
        <v>707.086935231208</v>
      </c>
      <c r="EA127" s="277">
        <f t="shared" si="559"/>
        <v>0</v>
      </c>
      <c r="EB127" s="277">
        <f t="shared" si="358"/>
        <v>0.01</v>
      </c>
      <c r="EC127" s="302" t="str">
        <f t="shared" si="408"/>
        <v>3+2</v>
      </c>
      <c r="ED127" s="302" t="str">
        <f t="shared" si="565"/>
        <v>3*300</v>
      </c>
      <c r="EE127" s="251">
        <f t="shared" si="495"/>
        <v>300</v>
      </c>
      <c r="EF127" s="251" t="str">
        <f>LOOKUP(EH127,{1,7,10,14,19,24,30,37,48,61},{1,"1+6","2+8","4+10","1+6+12","2+8+14","4+10+16","1+6+12+18","3+9+15+21","1+6+12+18+24"})</f>
        <v>1+6+12+18+24</v>
      </c>
      <c r="EG127" s="250">
        <f t="shared" si="359"/>
        <v>3</v>
      </c>
      <c r="EH127" s="260">
        <f>VLOOKUP(EE127,各项系数!$B$87:$C$124,2,0)</f>
        <v>61</v>
      </c>
      <c r="EI127" s="250">
        <f>IF(EH127=0,0,VLOOKUP(EH127,各项系数!$D$142:$E$195,2,0))*1</f>
        <v>9</v>
      </c>
      <c r="EJ127" s="305">
        <f t="shared" si="409"/>
        <v>245.118138379664</v>
      </c>
      <c r="EK127" s="251" t="str">
        <f t="shared" si="566"/>
        <v>2*150</v>
      </c>
      <c r="EL127" s="251" t="str">
        <f t="shared" si="360"/>
        <v>150</v>
      </c>
      <c r="EM127" s="251">
        <f t="shared" si="567"/>
        <v>150</v>
      </c>
      <c r="EN127" s="251" t="str">
        <f>IF(EP127=0,0,LOOKUP(EP127,{1,7,10,14,19,24,30,37,48,61},{1,"1+6","2+8","4+10","1+6+12","2+8+14","4+10+16","1+6+12+18","3+9+15+21","1+6+12+18+24"}))</f>
        <v>4+10+16</v>
      </c>
      <c r="EO127" s="251" t="str">
        <f t="shared" si="568"/>
        <v>2</v>
      </c>
      <c r="EP127" s="251">
        <f>IF(EM127=0,0,IF(EM127&lt;10,1,IF(AND(EM127&gt;=10,EM127&lt;=35),7,LOOKUP(EM127,{50,70,95,120,150,185,240,300},{10,14,19,24,30,37,48,61})*1)))</f>
        <v>30</v>
      </c>
      <c r="EQ127" s="251">
        <f>IF(EP127=0,0,VLOOKUP(EP127,各项系数!$D$142:$E$195,2,0))*1</f>
        <v>6.41</v>
      </c>
      <c r="ER127" s="251">
        <f t="shared" si="569"/>
        <v>243.335870228497</v>
      </c>
      <c r="ES127" s="302">
        <f t="shared" si="570"/>
        <v>5</v>
      </c>
      <c r="ET127" s="251">
        <f>VLOOKUP(ES127,各项系数!$D$142:$E$195,2,0)*1</f>
        <v>2.7</v>
      </c>
      <c r="EU127" s="311">
        <f>((各项系数!$F$76/4*$EJ127^2*$EG127*$EH127*1*10^-7)*(1-$H127)*AA127)*(VLOOKUP($EY$9,各项系数!$D$4:$F$143,3,0))*各项系数!$J$4</f>
        <v>7.79142480688184</v>
      </c>
      <c r="EV127" s="312">
        <f>EU127*(VLOOKUP($EY$9,各项系数!$D$4:$F$143,2,0))</f>
        <v>510.338324850761</v>
      </c>
      <c r="EW127" s="324">
        <f>(IF($EO127=0,0,(各项系数!$F$76/4*$ER127^2*$EO127*$EP127*1*10^-7))*(1-$K127)*$AF127)*(VLOOKUP($EY$9,各项系数!$D$4:$F$143,3,0))*各项系数!$J$4</f>
        <v>2.50521083890471</v>
      </c>
      <c r="EX127" s="325">
        <f>EW127*(VLOOKUP($EY$9,各项系数!$D$4:$F$143,2,0))</f>
        <v>164.091309948259</v>
      </c>
      <c r="EY127" s="251">
        <f>((各项系数!$F$76/4*$EJ127^2*$EG127*$EH127*1*10^-7)*(1-$H127)*AA127+IF($EO127=0,0,(各项系数!$F$76/4*$ER127^2*$EO127*$EP127*1*10^-7))*(1-$K127)*$AF127)*(VLOOKUP($EY$9,各项系数!$D$4:$F$143,3,0))*各项系数!$J$4</f>
        <v>10.2966356457866</v>
      </c>
      <c r="EZ127" s="123">
        <v>1</v>
      </c>
      <c r="FA127" s="251">
        <f t="shared" si="515"/>
        <v>10.2966356457866</v>
      </c>
      <c r="FB127" s="326">
        <f>FA127*(VLOOKUP($EY$9,各项系数!$D$4:$F$143,2,0))</f>
        <v>674.429634799019</v>
      </c>
      <c r="FC127" s="327"/>
      <c r="FD127" s="302">
        <f>各项系数!$F$76/4*($MN127^2-MK127^2)*10^-2*(VLOOKUP(L127,各项系数!$D$1:$F$143,3,0))*10^-3*10^2*$EG127*各项系数!$J$4</f>
        <v>0.443038378363465</v>
      </c>
      <c r="FE127" s="339">
        <f>FD127*VLOOKUP(L127,各项系数!$D$1:$F$143,2,0)</f>
        <v>4.51899145930734</v>
      </c>
      <c r="FF127" s="250">
        <f>各项系数!$F$76/4*($MO127^2-ML127^2)*10^-2*(VLOOKUP(L127,各项系数!$D$1:$F$143,3,0))*10^-3*10^2*$EO127*各项系数!$J$4</f>
        <v>0.163650423305905</v>
      </c>
      <c r="FG127" s="339">
        <f>FF127*VLOOKUP(L127,各项系数!$D$1:$F$143,2,0)</f>
        <v>1.66923431772023</v>
      </c>
      <c r="FH127" s="302">
        <f t="shared" si="410"/>
        <v>0.60668880166937</v>
      </c>
      <c r="FI127" s="123">
        <v>1</v>
      </c>
      <c r="FJ127" s="251">
        <f t="shared" si="516"/>
        <v>0.60668880166937</v>
      </c>
      <c r="FK127" s="339">
        <f>FJ127*VLOOKUP(L127,各项系数!$D$1:$F$143,2,0)</f>
        <v>6.18822577702757</v>
      </c>
      <c r="FL127" s="302"/>
      <c r="FM127" s="123"/>
      <c r="FN127" s="251"/>
      <c r="FO127" s="339"/>
      <c r="FP127" s="364">
        <f t="shared" si="517"/>
        <v>0.60668880166937</v>
      </c>
      <c r="FQ127" s="364">
        <f t="shared" si="518"/>
        <v>6.18822577702757</v>
      </c>
      <c r="FR127" s="365">
        <f>各项系数!$F$76/4*($MQ127^2-$MN127^2*$EG127-$MO127^2*$EO127)*10^-2</f>
        <v>8.81605086115298</v>
      </c>
      <c r="FS127" s="366">
        <f t="shared" si="411"/>
        <v>1</v>
      </c>
      <c r="FT127" s="367">
        <f t="shared" si="361"/>
        <v>8.81605086115298</v>
      </c>
      <c r="FU127" s="388">
        <f>$FT127*(VLOOKUP($FT$9,各项系数!$D$1:$F$143,3,0))*10^-3*10^2*各项系数!$J$55</f>
        <v>1.05263647282167</v>
      </c>
      <c r="FV127" s="389">
        <v>1</v>
      </c>
      <c r="FW127" s="390">
        <f t="shared" si="519"/>
        <v>1.05263647282167</v>
      </c>
      <c r="FX127" s="367">
        <f>FW127*(VLOOKUP($FT$9,各项系数!$D$1:$F$143,2,0))</f>
        <v>3.157909418465</v>
      </c>
      <c r="FY127" s="388">
        <f>IF($BK127&lt;&gt;$FY$9,0,各项系数!$F$76/4*($MS127^2-$MQ127^2)*10^-2*(VLOOKUP($FY$9,各项系数!$D$1:$F$143,3,0))*10^-3*10^2)*各项系数!$J$4</f>
        <v>0</v>
      </c>
      <c r="FZ127" s="389">
        <v>1</v>
      </c>
      <c r="GA127" s="390">
        <f t="shared" si="520"/>
        <v>0</v>
      </c>
      <c r="GB127" s="367">
        <f>GA127*(VLOOKUP($FY$9,各项系数!$D$1:$F$143,2,0))</f>
        <v>0</v>
      </c>
      <c r="GC127" s="388">
        <f>IF($BK127&lt;&gt;$GC$9,0,各项系数!$F$76/4*($MS127^2-$MQ127^2)*10^-2*(VLOOKUP($GC$9,各项系数!$D$1:$F$143,3,0))*10^-3*10^2)*各项系数!$J$4</f>
        <v>0.016755707581537</v>
      </c>
      <c r="GD127" s="389">
        <v>1</v>
      </c>
      <c r="GE127" s="390">
        <f t="shared" si="521"/>
        <v>0.016755707581537</v>
      </c>
      <c r="GF127" s="367">
        <f>GE127*(VLOOKUP($GC$9,各项系数!$D$1:$F$143,2,0))</f>
        <v>0.216148627801828</v>
      </c>
      <c r="GG127" s="388">
        <f>IF($BK127&lt;&gt;$GG$9,0,各项系数!$F$76/4*($MS127^2-$MQ127^2)*10^-2*(VLOOKUP($GG$9,各项系数!$D$1:$F$143,3,0))*10^-3*10^2)*各项系数!$J$4</f>
        <v>0</v>
      </c>
      <c r="GH127" s="389">
        <v>1</v>
      </c>
      <c r="GI127" s="390">
        <f t="shared" si="522"/>
        <v>0</v>
      </c>
      <c r="GJ127" s="367">
        <f>GI127*(VLOOKUP($GG$9,各项系数!$D$1:$F$143,2,0))</f>
        <v>0</v>
      </c>
      <c r="GK127" s="388">
        <f>IF($BK127&lt;&gt;$GK$9,0,各项系数!$F$76/4*($MS127^2-$MQ127^2)*10^-2*(VLOOKUP($GK$9,各项系数!$D$1:$F$143,3,0))*10^-3*10^2)*各项系数!$J$4</f>
        <v>0</v>
      </c>
      <c r="GL127" s="389">
        <v>1</v>
      </c>
      <c r="GM127" s="390">
        <f t="shared" si="523"/>
        <v>0</v>
      </c>
      <c r="GN127" s="367">
        <f>GM127*(VLOOKUP($GK$9,各项系数!$D$1:$F$143,2,0))</f>
        <v>0</v>
      </c>
      <c r="GO127" s="390">
        <f t="shared" si="524"/>
        <v>0.016755707581537</v>
      </c>
      <c r="GP127" s="390">
        <f t="shared" si="525"/>
        <v>0.216148627801828</v>
      </c>
      <c r="GQ127" s="406">
        <f>各项系数!$F$76/4*($MU127^2-$MS127^2)*10^-2*(VLOOKUP($S127,各项系数!$D$1:$F$143,3,0))*10^-3*10^2*各项系数!$J$4</f>
        <v>1.14337324532815</v>
      </c>
      <c r="GR127" s="389">
        <v>1</v>
      </c>
      <c r="GS127" s="390">
        <f t="shared" si="526"/>
        <v>1.14337324532815</v>
      </c>
      <c r="GT127" s="390">
        <f t="shared" si="457"/>
        <v>0</v>
      </c>
      <c r="GU127" s="390">
        <f>ROUND($GS127*(VLOOKUP($S127,各项系数!$D$1:$F$143,2,0))+$E$3*GS127,GT127)</f>
        <v>7</v>
      </c>
      <c r="GV127" s="406">
        <f>各项系数!$F$76/4*($MT127^2-$MS127^2)*10^-2*(VLOOKUP($GV$9,各项系数!$D$1:$F$143,3,0))*10^-3*10^2*各项系数!$J$4*PI()/4*R127</f>
        <v>0.0861788578386587</v>
      </c>
      <c r="GW127" s="389">
        <v>1</v>
      </c>
      <c r="GX127" s="390">
        <f t="shared" si="527"/>
        <v>0.0861788578386587</v>
      </c>
      <c r="GY127" s="390">
        <f>$GX127*(VLOOKUP($GV$9,各项系数!$D$1:$F$143,2,0))</f>
        <v>5.81707290410946</v>
      </c>
      <c r="GZ127" s="406">
        <f>各项系数!$F$76/4*($MV127^2-$MS127^2)*10^-2*(VLOOKUP($GZ$9,各项系数!$D$1:$F$143,3,0))*10^-3*10^2*各项系数!$J$4</f>
        <v>0.970970074925962</v>
      </c>
      <c r="HA127" s="389">
        <v>1</v>
      </c>
      <c r="HB127" s="390">
        <f t="shared" si="412"/>
        <v>0.970970074925962</v>
      </c>
      <c r="HC127" s="390">
        <f>HB127*(VLOOKUP($GZ$9,各项系数!$D$1:$F$143,2,0))</f>
        <v>16.5064912737414</v>
      </c>
      <c r="HD127" s="406">
        <f>各项系数!$F$76/4*($MW127^2-$MT127^2)*10^-2*(VLOOKUP($HD$9,各项系数!$D$1:$F$143,3,0))*10^-3*10^2*各项系数!$J$4</f>
        <v>0.973363252244873</v>
      </c>
      <c r="HE127" s="389">
        <v>1</v>
      </c>
      <c r="HF127" s="390">
        <f t="shared" si="413"/>
        <v>0.973363252244873</v>
      </c>
      <c r="HG127" s="390">
        <f>HF127*(VLOOKUP($HD$9,各项系数!$D$1:$F$143,2,0))</f>
        <v>16.5471752881628</v>
      </c>
      <c r="HH127" s="406">
        <f>各项系数!$F$76/4*($MV127^2-$MS127^2)*10^-2*(VLOOKUP($HH$9,各项系数!$D$1:$F$143,3,0))*10^-3*10^2*各项系数!$J$4</f>
        <v>0.970970074925962</v>
      </c>
      <c r="HI127" s="420">
        <v>1</v>
      </c>
      <c r="HJ127" s="390">
        <f t="shared" si="414"/>
        <v>0.970970074925962</v>
      </c>
      <c r="HK127" s="390">
        <f>HJ127*(VLOOKUP($HH$9,各项系数!$D$1:$F$143,2,0))</f>
        <v>16.5064912737414</v>
      </c>
      <c r="HL127" s="406">
        <f>各项系数!$F$76/4*($MW127^2-$MT127^2)*10^-2*(VLOOKUP($HL$9,各项系数!$D$1:$F$143,3,0))*10^-3*10^2*各项系数!$J$4</f>
        <v>0.973363252244873</v>
      </c>
      <c r="HM127" s="420">
        <v>1</v>
      </c>
      <c r="HN127" s="390">
        <f t="shared" si="362"/>
        <v>0.973363252244873</v>
      </c>
      <c r="HO127" s="390">
        <f>HN127*(VLOOKUP($HL$9,各项系数!$D$1:$F$143,2,0))</f>
        <v>16.5471752881628</v>
      </c>
      <c r="HP127" s="406">
        <f>各项系数!$F$76/4*($MV127^2-$MS127^2)*10^-2*(VLOOKUP(AN127,各项系数!$D$1:$F$143,3,0))*10^-3*10^2*各项系数!$J$4</f>
        <v>0.984362765614596</v>
      </c>
      <c r="HQ127" s="389">
        <v>1</v>
      </c>
      <c r="HR127" s="390">
        <f t="shared" si="528"/>
        <v>0.984362765614596</v>
      </c>
      <c r="HS127" s="390">
        <f>HR127*(VLOOKUP(AN127,各项系数!$D$1:$F$143,2,0))</f>
        <v>9.84362765614596</v>
      </c>
      <c r="HT127" s="406">
        <f>各项系数!$F$76/4*($MW127^2-$MT127^2)*10^-2*(VLOOKUP(AN127,各项系数!$D$1:$F$143,3,0))*10^-3*10^2*各项系数!$J$4</f>
        <v>0.986788952275837</v>
      </c>
      <c r="HU127" s="389">
        <v>1</v>
      </c>
      <c r="HV127" s="390">
        <f t="shared" si="529"/>
        <v>0.986788952275837</v>
      </c>
      <c r="HW127" s="390">
        <f>HV127*(VLOOKUP(AN127,各项系数!$D$1:$F$143,2,0))</f>
        <v>9.86788952275837</v>
      </c>
      <c r="HX127" s="406">
        <f>各项系数!$F$76/4*($MV127^2-$MS127^2)*10^-2*(VLOOKUP($HX$9,各项系数!$D$1:$F$143,3,0))*10^-3*10^2*各项系数!$J$4</f>
        <v>0.984362765614596</v>
      </c>
      <c r="HY127" s="420">
        <v>1</v>
      </c>
      <c r="HZ127" s="390">
        <f t="shared" si="530"/>
        <v>0.984362765614596</v>
      </c>
      <c r="IA127" s="390">
        <f>HZ127*(VLOOKUP($HX$9,各项系数!$D$1:$F$143,2,0))</f>
        <v>10.8279904217606</v>
      </c>
      <c r="IB127" s="406">
        <f>各项系数!$F$76/4*($MW127^2-$MT127^2)*10^-2*(VLOOKUP($IB$9,各项系数!$D$1:$F$143,3,0))*10^-3*10^2*各项系数!$J$4</f>
        <v>0.986788952275837</v>
      </c>
      <c r="IC127" s="420">
        <v>1</v>
      </c>
      <c r="ID127" s="390">
        <f t="shared" si="531"/>
        <v>0.986788952275837</v>
      </c>
      <c r="IE127" s="390">
        <f>ID127*(VLOOKUP($IB$9,各项系数!$D$1:$F$143,2,0))</f>
        <v>10.8546784750342</v>
      </c>
      <c r="IF127" s="429"/>
      <c r="IG127" s="406">
        <f t="shared" si="415"/>
        <v>0.139085927084</v>
      </c>
      <c r="IH127" s="389">
        <v>1</v>
      </c>
      <c r="II127" s="390">
        <f t="shared" si="532"/>
        <v>0.139085927084</v>
      </c>
      <c r="IJ127" s="390">
        <f>II127*(VLOOKUP($IG$8,各项系数!$D$1:$F$143,2,0))</f>
        <v>3.4771481771</v>
      </c>
      <c r="IK127" s="406">
        <f>(各项系数!$F$76/4*($MX127^2-$MK127^2)*$EG127)*10^-2*(VLOOKUP($IG$8,各项系数!$D$1:$F$143,3,0))*10^-3*10^2*各项系数!$J$4</f>
        <v>0.0943606240392495</v>
      </c>
      <c r="IL127" s="389">
        <f>IK127*(VLOOKUP($IG$8,各项系数!$D$1:$F$143,2,0))</f>
        <v>2.35901560098124</v>
      </c>
      <c r="IM127" s="390">
        <f>(各项系数!$F$76/4*(($MM127+3*$X127)^2-MM127^2)*$EO127)*10^-2*(VLOOKUP($IG$8,各项系数!$D$1:$F$143,3,0))*10^-3*10^2*各项系数!$J$4</f>
        <v>0.0447253030447504</v>
      </c>
      <c r="IN127" s="389">
        <f>IM127*(VLOOKUP($IG$8,各项系数!$D$1:$F$143,2,0))</f>
        <v>1.11813257611876</v>
      </c>
      <c r="IO127" s="406">
        <f>各项系数!$F$76/4*($MZ127^2-$MX127^2)*10^-2*(VLOOKUP(L127,各项系数!$D$1:$F$143,3,0))*10^-3*10^2*$ES127*各项系数!$J$4</f>
        <v>0.756965052332955</v>
      </c>
      <c r="IP127" s="389">
        <v>1</v>
      </c>
      <c r="IQ127" s="390">
        <f t="shared" si="533"/>
        <v>0.756965052332955</v>
      </c>
      <c r="IR127" s="367">
        <f>IQ127*(VLOOKUP(L127,各项系数!$D$1:$F$143,2,0))</f>
        <v>7.72104353379614</v>
      </c>
      <c r="IS127" s="406">
        <f>IF($L127&lt;&gt;$IS$9,0,各项系数!$F$76/4*($MZ127^2-$MX127^2)*10^-2*各项系数!$F$12*10^-3*10^2)*$ES127*各项系数!$J$4</f>
        <v>0</v>
      </c>
      <c r="IT127" s="389">
        <v>1</v>
      </c>
      <c r="IU127" s="390">
        <f t="shared" si="534"/>
        <v>0</v>
      </c>
      <c r="IV127" s="367">
        <f>IU127*各项系数!$E$12</f>
        <v>0</v>
      </c>
      <c r="IW127" s="388">
        <f t="shared" si="535"/>
        <v>0.756965052332955</v>
      </c>
      <c r="IX127" s="388">
        <f t="shared" si="536"/>
        <v>7.72104353379614</v>
      </c>
      <c r="IY127" s="447">
        <f>各项系数!$F$76/4*($NB127^2-$MZ127^2*$EG127-$NA127^2*$EO127)*10^-2</f>
        <v>9.68782287220382</v>
      </c>
      <c r="IZ127" s="366">
        <f t="shared" si="487"/>
        <v>1</v>
      </c>
      <c r="JA127" s="367">
        <f t="shared" si="363"/>
        <v>9.68782287220382</v>
      </c>
      <c r="JB127" s="364">
        <f>IF($DE127&lt;&gt;$JB$9,0,$JA127*各项系数!$F$32*10^-3*10^2)*各项系数!$J$4</f>
        <v>0</v>
      </c>
      <c r="JC127" s="123">
        <v>1</v>
      </c>
      <c r="JD127" s="251">
        <f t="shared" si="537"/>
        <v>0</v>
      </c>
      <c r="JE127" s="339">
        <f>JD127*各项系数!$E$32</f>
        <v>0</v>
      </c>
      <c r="JF127" s="364">
        <f>IF($DE127&lt;&gt;$JF$9,0,$JA127*VLOOKUP($JF$9,各项系数!$D$4:$F$540,2,0)*10^-3*10^2)*各项系数!$J$4</f>
        <v>4.8196918789214</v>
      </c>
      <c r="JG127" s="123">
        <v>1</v>
      </c>
      <c r="JH127" s="251">
        <f t="shared" si="364"/>
        <v>4.8196918789214</v>
      </c>
      <c r="JI127" s="339">
        <f>JH127*VLOOKUP($JF$9,各项系数!$D$4:$F$540,3,0)</f>
        <v>5.78363025470568</v>
      </c>
      <c r="JJ127" s="364">
        <f t="shared" si="538"/>
        <v>4.8196918789214</v>
      </c>
      <c r="JK127" s="251">
        <f t="shared" si="539"/>
        <v>5.78363025470568</v>
      </c>
      <c r="JL127" s="364">
        <f>IF($DF127&lt;&gt;$JL$9,0,各项系数!$F$76/4*($NE127^2-$NC127^2)*10^-2*各项系数!$F$39*10^-3*10^2)*各项系数!$J$4</f>
        <v>0.00720697623978374</v>
      </c>
      <c r="JM127" s="123">
        <v>1</v>
      </c>
      <c r="JN127" s="251">
        <f t="shared" si="540"/>
        <v>0.00720697623978374</v>
      </c>
      <c r="JO127" s="339">
        <f>JN127*各项系数!$E$39</f>
        <v>0.144139524795675</v>
      </c>
      <c r="JP127" s="364">
        <f>IF($DF127&lt;&gt;$JP$9,0,各项系数!$F$76/4*($NE127^2-$NC127^2)*10^-2*各项系数!$F$36*10^-3*10^2)*各项系数!$J$4</f>
        <v>0</v>
      </c>
      <c r="JQ127" s="123">
        <v>1</v>
      </c>
      <c r="JR127" s="251">
        <f t="shared" si="541"/>
        <v>0</v>
      </c>
      <c r="JS127" s="339">
        <f>JR127*各项系数!$E$36</f>
        <v>0</v>
      </c>
      <c r="JT127" s="364">
        <f>IF($DF127&lt;&gt;$JT$9,0,各项系数!$F$76/4*($NE127^2-$NC127^2)*10^-2*各项系数!$F$40*10^-3*10^2)*各项系数!$J$4</f>
        <v>0</v>
      </c>
      <c r="JU127" s="123">
        <v>1</v>
      </c>
      <c r="JV127" s="251">
        <f t="shared" si="542"/>
        <v>0</v>
      </c>
      <c r="JW127" s="339">
        <f>JV127*各项系数!$E$40</f>
        <v>0</v>
      </c>
      <c r="JX127" s="364">
        <f>IF($DF127&lt;&gt;$JX$9,0,各项系数!$F$76/4*($NE127^2-$NC127^2)*10^-2*各项系数!$F$38*10^-3*10^2)*各项系数!$J$4</f>
        <v>0</v>
      </c>
      <c r="JY127" s="123">
        <v>1</v>
      </c>
      <c r="JZ127" s="251">
        <f t="shared" si="543"/>
        <v>0</v>
      </c>
      <c r="KA127" s="339">
        <f>JZ127*各项系数!$E$38</f>
        <v>0</v>
      </c>
      <c r="KB127" s="364">
        <f>IF($DF127&lt;&gt;$KB$9,0,各项系数!$F$76/4*($NE127^2-$NC127^2)*10^-2*各项系数!$F$41*10^-3*10^2)*各项系数!$J$4</f>
        <v>0</v>
      </c>
      <c r="KC127" s="123">
        <v>1</v>
      </c>
      <c r="KD127" s="251">
        <f t="shared" si="544"/>
        <v>0</v>
      </c>
      <c r="KE127" s="339">
        <f>KD127*各项系数!$E$41</f>
        <v>0</v>
      </c>
      <c r="KF127" s="251">
        <f t="shared" si="545"/>
        <v>0.00720697623978374</v>
      </c>
      <c r="KG127" s="251">
        <f t="shared" si="546"/>
        <v>0.144139524795675</v>
      </c>
      <c r="KH127" s="302">
        <f>各项系数!$F$76/4*($NG127^2-$NE127^2)*10^-2*各项系数!$F$44*10^-3*10^2*各项系数!$J$4*0.75*$U127</f>
        <v>1.78512979298701</v>
      </c>
      <c r="KI127" s="123">
        <v>1</v>
      </c>
      <c r="KJ127" s="251">
        <f t="shared" si="547"/>
        <v>1.78512979298701</v>
      </c>
      <c r="KK127" s="251">
        <f>ROUND(KJ127*各项系数!$E$43,GT127)</f>
        <v>10</v>
      </c>
      <c r="KL127" s="302">
        <f>各项系数!$F$76/4*($NF127^2-$NE127^2)*10^-2*各项系数!$F$46*10^-3*10^2*各项系数!$J$4*PI()/4*R127</f>
        <v>0.0897379890038945</v>
      </c>
      <c r="KM127" s="123">
        <v>1</v>
      </c>
      <c r="KN127" s="251">
        <f t="shared" si="548"/>
        <v>0.0897379890038945</v>
      </c>
      <c r="KO127" s="251">
        <f>KN127*各项系数!$E$46</f>
        <v>6.05731425776288</v>
      </c>
      <c r="KP127" s="302">
        <f>各项系数!$F$76/4*($NH127^2-$NE127^2)*10^-2*(VLOOKUP($KP$9,各项系数!$D$1:$F$143,3,0))*10^-3*10^2*各项系数!$J$4</f>
        <v>1.00908142372961</v>
      </c>
      <c r="KQ127" s="123">
        <v>1</v>
      </c>
      <c r="KR127" s="251">
        <f t="shared" si="416"/>
        <v>1.00908142372961</v>
      </c>
      <c r="KS127" s="251">
        <f>KR127*(VLOOKUP($KP$9,各项系数!$D$1:$F$143,2,0))</f>
        <v>17.1543842034034</v>
      </c>
      <c r="KT127" s="302">
        <f>各项系数!$F$76/4*($NI127^2-$NF127^2)*10^-2*(VLOOKUP($KT$9,各项系数!$D$1:$F$143,3,0))*10^-3*10^2*各项系数!$J$4</f>
        <v>1.01147460104852</v>
      </c>
      <c r="KU127" s="123">
        <v>1</v>
      </c>
      <c r="KV127" s="251">
        <f t="shared" si="417"/>
        <v>1.01147460104852</v>
      </c>
      <c r="KW127" s="251">
        <f>KV127*(VLOOKUP($KT$9,各项系数!$D$1:$F$143,2,0))</f>
        <v>17.1950682178249</v>
      </c>
      <c r="KX127" s="251">
        <f>各项系数!$F$76/4*($NH127^2-$NE127^2)*10^-2*(VLOOKUP($KX$9,各项系数!$D$1:$F$143,3,0))*10^-3*10^2*各项系数!$J$4</f>
        <v>1.00908142372961</v>
      </c>
      <c r="KY127" s="479">
        <v>1</v>
      </c>
      <c r="KZ127" s="251">
        <f t="shared" si="418"/>
        <v>1.00908142372961</v>
      </c>
      <c r="LA127" s="251">
        <f>KZ127*(VLOOKUP($KX$9,各项系数!$D$1:$F$143,2,0))</f>
        <v>17.1543842034034</v>
      </c>
      <c r="LB127" s="251">
        <f>各项系数!$F$76/4*($NI127^2-$NF127^2)*10^-2*(VLOOKUP($LB$9,各项系数!$D$1:$F$143,3,0))*10^-3*10^2*各项系数!$J$4</f>
        <v>1.01147460104852</v>
      </c>
      <c r="LC127" s="479">
        <v>1</v>
      </c>
      <c r="LD127" s="251">
        <f t="shared" si="419"/>
        <v>1.01147460104852</v>
      </c>
      <c r="LE127" s="251">
        <f>LD127*(VLOOKUP($LB$9,各项系数!$D$1:$F$143,2,0))</f>
        <v>17.1950682178249</v>
      </c>
      <c r="LF127" s="302">
        <f>各项系数!$F$76/4*($NH127^2-$NE127^2)*10^-2*(VLOOKUP(AN127,各项系数!$D$1:$F$143,3,0))*10^-3*10^2*各项系数!$J$4</f>
        <v>1.02299978819485</v>
      </c>
      <c r="LG127" s="123">
        <v>1</v>
      </c>
      <c r="LH127" s="251">
        <f t="shared" si="549"/>
        <v>1.02299978819485</v>
      </c>
      <c r="LI127" s="251">
        <f>LH127*(VLOOKUP(AN127,各项系数!$D$1:$F$143,2,0))</f>
        <v>10.2299978819485</v>
      </c>
      <c r="LJ127" s="302">
        <f>各项系数!$F$76/4*($NI127^2-$NF127^2)*10^-2*(VLOOKUP(AN127,各项系数!$D$1:$F$143,3,0))*10^-3*10^2*各项系数!$J$4</f>
        <v>1.02542597485609</v>
      </c>
      <c r="LK127" s="123">
        <v>1</v>
      </c>
      <c r="LL127" s="251">
        <f t="shared" si="550"/>
        <v>1.02542597485609</v>
      </c>
      <c r="LM127" s="251">
        <f>LL127*(VLOOKUP(AN127,各项系数!$D$1:$F$143,2,0))</f>
        <v>10.2542597485609</v>
      </c>
      <c r="LN127" s="251">
        <f>各项系数!$F$76/4*($NH127^2-$NE127^2)*10^-2*(VLOOKUP($LN$9,各项系数!$D$1:$F$143,3,0))*10^-3*10^2*各项系数!$J$4</f>
        <v>1.02299978819485</v>
      </c>
      <c r="LO127" s="479">
        <v>1</v>
      </c>
      <c r="LP127" s="251">
        <f t="shared" si="551"/>
        <v>1.02299978819485</v>
      </c>
      <c r="LQ127" s="251">
        <f>LP127*(VLOOKUP($LN$9,各项系数!$D$1:$F$143,2,0))</f>
        <v>11.2529976701433</v>
      </c>
      <c r="LR127" s="251">
        <f>各项系数!$F$76/4*($NI127^2-$NF127^2)*10^-2*(VLOOKUP($LR$9,各项系数!$D$1:$F$143,3,0))*10^-3*10^2*各项系数!$J$4</f>
        <v>1.02542597485609</v>
      </c>
      <c r="LS127" s="479">
        <v>1</v>
      </c>
      <c r="LT127" s="251">
        <f t="shared" si="552"/>
        <v>1.02542597485609</v>
      </c>
      <c r="LU127" s="251">
        <f>LT127*(VLOOKUP($LR$9,各项系数!$D$1:$F$143,2,0))</f>
        <v>11.279685723417</v>
      </c>
      <c r="LV127" s="499">
        <f t="shared" si="420"/>
        <v>1146.69271336</v>
      </c>
      <c r="LW127" s="499">
        <f t="shared" si="421"/>
        <v>863.55871006</v>
      </c>
      <c r="LX127" s="499">
        <f t="shared" si="422"/>
        <v>33.1589670956271</v>
      </c>
      <c r="LY127" s="515">
        <f t="shared" si="423"/>
        <v>283.1340033</v>
      </c>
      <c r="LZ127" s="516">
        <f t="shared" si="365"/>
        <v>1</v>
      </c>
      <c r="MA127" s="517">
        <f t="shared" si="366"/>
        <v>1146.69271336</v>
      </c>
      <c r="MB127" s="517">
        <f t="shared" si="424"/>
        <v>22.06063242</v>
      </c>
      <c r="MC127" s="499">
        <f t="shared" si="425"/>
        <v>382.16261709</v>
      </c>
      <c r="MD127" s="499">
        <f t="shared" si="426"/>
        <v>279.03160504</v>
      </c>
      <c r="ME127" s="499">
        <f t="shared" si="427"/>
        <v>18.8487154407894</v>
      </c>
      <c r="MF127" s="499">
        <f t="shared" si="428"/>
        <v>103.13101205</v>
      </c>
      <c r="MG127" s="516">
        <f t="shared" si="429"/>
        <v>1</v>
      </c>
      <c r="MH127" s="517">
        <f t="shared" si="367"/>
        <v>382.16261709</v>
      </c>
      <c r="MI127" s="517">
        <f t="shared" si="430"/>
        <v>15.5978292816416</v>
      </c>
      <c r="MJ127" s="251">
        <f t="shared" si="368"/>
        <v>22.06063242</v>
      </c>
      <c r="MK127" s="251">
        <f t="shared" si="431"/>
        <v>22.06063242</v>
      </c>
      <c r="ML127" s="251">
        <f t="shared" si="553"/>
        <v>15.5978292816467</v>
      </c>
      <c r="MM127" s="251">
        <f t="shared" si="369"/>
        <v>15.5978292816416</v>
      </c>
      <c r="MN127" s="251">
        <f t="shared" si="370"/>
        <v>25.66063242</v>
      </c>
      <c r="MO127" s="251">
        <f t="shared" si="432"/>
        <v>18.3978292816416</v>
      </c>
      <c r="MP127" s="251">
        <f t="shared" si="433"/>
        <v>61.43988014</v>
      </c>
      <c r="MQ127" s="251">
        <f t="shared" si="554"/>
        <v>61.43988014</v>
      </c>
      <c r="MR127" s="314">
        <f t="shared" si="434"/>
        <v>61.43988014</v>
      </c>
      <c r="MS127" s="530">
        <f t="shared" si="371"/>
        <v>61.61588014</v>
      </c>
      <c r="MT127" s="530">
        <f t="shared" si="372"/>
        <v>61.77588014</v>
      </c>
      <c r="MU127" s="530">
        <f t="shared" si="373"/>
        <v>63.11588014</v>
      </c>
      <c r="MV127" s="530">
        <f t="shared" si="374"/>
        <v>68.21588014</v>
      </c>
      <c r="MW127" s="530">
        <f t="shared" si="375"/>
        <v>68.37588014</v>
      </c>
      <c r="MX127" s="326">
        <f t="shared" si="376"/>
        <v>22.66063242</v>
      </c>
      <c r="MY127" s="326">
        <f t="shared" si="377"/>
        <v>16.1978292816416</v>
      </c>
      <c r="MZ127" s="251">
        <f t="shared" si="378"/>
        <v>26.26063242</v>
      </c>
      <c r="NA127" s="251">
        <f t="shared" si="379"/>
        <v>19.7978292816416</v>
      </c>
      <c r="NB127" s="251">
        <f t="shared" si="435"/>
        <v>63.92388014</v>
      </c>
      <c r="NC127" s="326">
        <f t="shared" si="555"/>
        <v>63.92388014</v>
      </c>
      <c r="ND127" s="314">
        <f t="shared" si="436"/>
        <v>63.92388014</v>
      </c>
      <c r="NE127" s="537">
        <f t="shared" si="437"/>
        <v>64.16388014</v>
      </c>
      <c r="NF127" s="530">
        <f t="shared" si="380"/>
        <v>64.32388014</v>
      </c>
      <c r="NG127" s="538">
        <f t="shared" si="381"/>
        <v>65.66388014</v>
      </c>
      <c r="NH127" s="326">
        <f t="shared" si="382"/>
        <v>70.76388014</v>
      </c>
      <c r="NI127" s="530">
        <f t="shared" si="383"/>
        <v>70.92388014</v>
      </c>
      <c r="NK127" s="539">
        <f t="shared" si="384"/>
        <v>13.1207298167796</v>
      </c>
      <c r="NL127" s="539">
        <f t="shared" si="385"/>
        <v>695.50478059618</v>
      </c>
      <c r="NM127" s="539">
        <f t="shared" si="386"/>
        <v>13.1207298167796</v>
      </c>
      <c r="NN127" s="539">
        <f t="shared" si="387"/>
        <v>696.489143361794</v>
      </c>
      <c r="NO127" s="539">
        <f t="shared" si="388"/>
        <v>17.0873105716043</v>
      </c>
      <c r="NP127" s="539">
        <f t="shared" si="389"/>
        <v>702.903726747484</v>
      </c>
      <c r="NQ127" s="539">
        <f t="shared" si="390"/>
        <v>17.0873105716043</v>
      </c>
      <c r="NR127" s="539">
        <f t="shared" si="391"/>
        <v>703.926726535679</v>
      </c>
      <c r="NS127" s="539">
        <f t="shared" si="392"/>
        <v>13.2069086746183</v>
      </c>
      <c r="NT127" s="539">
        <f t="shared" si="393"/>
        <v>13.2069086746183</v>
      </c>
      <c r="NU127" s="539">
        <f t="shared" si="394"/>
        <v>17.1770485606082</v>
      </c>
      <c r="NV127" s="539">
        <f t="shared" si="395"/>
        <v>17.1770485606082</v>
      </c>
      <c r="NW127">
        <f t="shared" si="396"/>
        <v>14.2641030621078</v>
      </c>
      <c r="NX127">
        <f>各项系数!$M$9*NK127</f>
        <v>3.93621894503389</v>
      </c>
      <c r="NY127">
        <f t="shared" si="397"/>
        <v>13.2069086746183</v>
      </c>
    </row>
    <row r="128" customHeight="1" spans="1:389">
      <c r="A128" s="85"/>
      <c r="B128" s="86"/>
      <c r="C128" s="87"/>
      <c r="D128" s="553" t="s">
        <v>427</v>
      </c>
      <c r="E128" s="70">
        <f t="shared" si="560"/>
        <v>76.25443269</v>
      </c>
      <c r="F128" s="84">
        <f>$F$32</f>
        <v>277.181191063812</v>
      </c>
      <c r="G128" s="74"/>
      <c r="H128" s="23"/>
      <c r="I128" s="174">
        <f>$F$29</f>
        <v>245.09808262108</v>
      </c>
      <c r="J128" s="78"/>
      <c r="K128" s="23"/>
      <c r="L128" s="118" t="s">
        <v>467</v>
      </c>
      <c r="M128" s="124">
        <f t="shared" si="339"/>
        <v>2</v>
      </c>
      <c r="N128" s="124">
        <f t="shared" si="501"/>
        <v>1.6</v>
      </c>
      <c r="O128" s="69">
        <f t="shared" ref="O128:O137" si="572">$O$36</f>
        <v>0.08</v>
      </c>
      <c r="P128" s="120">
        <v>0.1</v>
      </c>
      <c r="Q128" s="162">
        <f t="shared" si="557"/>
        <v>0.1</v>
      </c>
      <c r="R128" s="86">
        <v>0.8</v>
      </c>
      <c r="S128" s="171" t="str">
        <f>各项系数!$D$43</f>
        <v>钢带</v>
      </c>
      <c r="T128" s="78">
        <v>0.5</v>
      </c>
      <c r="U128" s="78">
        <v>2</v>
      </c>
      <c r="V128" s="172"/>
      <c r="W128" s="170">
        <v>3.6</v>
      </c>
      <c r="X128" s="164">
        <f t="shared" si="558"/>
        <v>0.2</v>
      </c>
      <c r="Y128" s="219"/>
      <c r="Z128" s="220"/>
      <c r="AA128" s="217">
        <f>$AA$32</f>
        <v>1.02</v>
      </c>
      <c r="AB128" s="186">
        <f>PI()*EJ128*EJ128/4*EH128*(1-H128)*AA128*各项系数!$F$5*各项系数!$J$4*10^-7</f>
        <v>3.32102575101844</v>
      </c>
      <c r="AC128" s="186">
        <f t="shared" si="561"/>
        <v>277.181191063812</v>
      </c>
      <c r="AD128" s="186">
        <f t="shared" si="341"/>
        <v>375.445930554735</v>
      </c>
      <c r="AE128" s="186">
        <f>POWER(4*EU128/PI()/EG128/10^-7/EH128/(1-H128)/各项系数!$F$5/各项系数!$J$4,0.5)</f>
        <v>279.939280797005</v>
      </c>
      <c r="AF128" s="218">
        <f>$AA$29</f>
        <v>1.015</v>
      </c>
      <c r="AG128" s="85">
        <f>IF(EM128=0,0,PI()*ER128*ER128/4*EP128*(1-K128)*(1+AF128)*各项系数!$F$5*各项系数!$J$4*10^-7)</f>
        <v>3.11151088967572</v>
      </c>
      <c r="AH128" s="85">
        <f t="shared" si="562"/>
        <v>245.09808262108</v>
      </c>
      <c r="AI128" s="85">
        <f t="shared" si="398"/>
        <v>177.189293020653</v>
      </c>
      <c r="AJ128" s="85">
        <f>IF(OR(EP128="",EP128=0),0,POWER(4*EW128/PI()/EO128/10^-7/EP128/(1-K128)/各项系数!$F$5/各项系数!$J$4,0.5))</f>
        <v>246.929476077883</v>
      </c>
      <c r="AK128" s="85">
        <f t="shared" si="342"/>
        <v>13.097750754813</v>
      </c>
      <c r="AL128" s="85">
        <f t="shared" si="563"/>
        <v>909.219157807039</v>
      </c>
      <c r="AM128" s="250">
        <f t="shared" si="564"/>
        <v>400</v>
      </c>
      <c r="AN128" s="118" t="s">
        <v>486</v>
      </c>
      <c r="AO128" s="259">
        <f>AP128+各项系数!$M$9*$NK128</f>
        <v>891.391331183371</v>
      </c>
      <c r="AP128" s="259">
        <f>AQ128*(1+$BI128+(VLOOKUP($AM128,$A$12:$B$323,2,0))+各项系数!$J$6+各项系数!$M$5)*(1+$E$2)</f>
        <v>886.4108458609</v>
      </c>
      <c r="AQ128" s="260">
        <f>AR128+各项系数!$L$9*$NK128</f>
        <v>904.500863123367</v>
      </c>
      <c r="AR128" s="260">
        <f>AS128*(1+$BJ128+各项系数!$J$5+各项系数!$L$5)</f>
        <v>899.520377800895</v>
      </c>
      <c r="AS128" s="260">
        <f t="shared" si="399"/>
        <v>881.882723334211</v>
      </c>
      <c r="AT128" s="259">
        <f>AU128+各项系数!$M$9*$NM128</f>
        <v>899.523135109871</v>
      </c>
      <c r="AU128" s="259">
        <f>AV128*(1+$BI128+(VLOOKUP($AM128,$A$12:$B$323,2,0))+各项系数!$J$6+各项系数!$M$5)*(1+$E$2)</f>
        <v>894.542649787399</v>
      </c>
      <c r="AV128" s="260">
        <f>AW128+各项系数!$L$9*$NM128</f>
        <v>912.79862223204</v>
      </c>
      <c r="AW128" s="260">
        <f>AX128*(1+$BJ128+各项系数!$J$5+各项系数!$L$5)</f>
        <v>907.818136909568</v>
      </c>
      <c r="AX128" s="260">
        <f t="shared" si="400"/>
        <v>890.01778128389</v>
      </c>
      <c r="AY128" s="259">
        <f>AZ128+各项系数!$M$9*$NS128</f>
        <v>897.990968962786</v>
      </c>
      <c r="AZ128" s="259">
        <f>BA128*(1+$BI128+(VLOOKUP($AM128,$A$12:$B$214,2,0))+各项系数!$J$6+各项系数!$M$5)*(1+$E$2)</f>
        <v>892.981512857664</v>
      </c>
      <c r="BA128" s="260">
        <f>BB128+各项系数!$L$9*$NS128</f>
        <v>911.205625364963</v>
      </c>
      <c r="BB128" s="260">
        <f>BC128*(1+$BJ128+各项系数!$J$5+各项系数!$L$5)</f>
        <v>906.196169259841</v>
      </c>
      <c r="BC128" s="262">
        <f t="shared" si="401"/>
        <v>888.427616921413</v>
      </c>
      <c r="BD128" s="259">
        <f>BE128+各项系数!$M$9*$NS128</f>
        <v>906.140680793595</v>
      </c>
      <c r="BE128" s="259">
        <f>BF128*(1+$BI128+(VLOOKUP($AM128,$A$12:$B$214,2,0))+各项系数!$J$6+各项系数!$M$5)*(1+$E$2)</f>
        <v>901.131224688473</v>
      </c>
      <c r="BF128" s="260">
        <f>BG128+各项系数!$L$9*$NS128</f>
        <v>919.52165784538</v>
      </c>
      <c r="BG128" s="260">
        <f>BH128*(1+$BJ128+各项系数!$J$5+各项系数!$L$5)</f>
        <v>914.512201740258</v>
      </c>
      <c r="BH128" s="262">
        <f t="shared" si="402"/>
        <v>896.580589941429</v>
      </c>
      <c r="BI128" s="277"/>
      <c r="BJ128" s="272"/>
      <c r="BK128" s="69" t="s">
        <v>514</v>
      </c>
      <c r="BL128" s="259">
        <f>BM128+各项系数!$M$9*$NM128</f>
        <v>901.246942215441</v>
      </c>
      <c r="BM128" s="259">
        <f>BN128*(1+$CF128+(VLOOKUP($AM128,$A$12:$B$323,2,0))+各项系数!$J$6+各项系数!$M$5)*(1+$E$2)</f>
        <v>896.266456892969</v>
      </c>
      <c r="BN128" s="260">
        <f>BO128+各项系数!$L$9*$NM128</f>
        <v>914.557609074459</v>
      </c>
      <c r="BO128" s="260">
        <f>BP128*(1+$CG128+各项系数!$J$5+各项系数!$L$5)</f>
        <v>909.577123751987</v>
      </c>
      <c r="BP128" s="260">
        <f t="shared" si="403"/>
        <v>883.084586166978</v>
      </c>
      <c r="BQ128" s="259">
        <f>BR128+各项系数!$M$9*$NM128</f>
        <v>908.245309366453</v>
      </c>
      <c r="BR128" s="259">
        <f>BS128*(1+$CF128+(VLOOKUP($AM128,$A$12:$B$323,2,0))+各项系数!$J$6+各项系数!$M$5)*(1+$E$2)</f>
        <v>903.264824043981</v>
      </c>
      <c r="BS128" s="260">
        <f>BT128+各项系数!$L$9*$NM128</f>
        <v>921.698800044879</v>
      </c>
      <c r="BT128" s="260">
        <f>BU128*(1+$CG128+各项系数!$J$5+各项系数!$L$5)</f>
        <v>916.718314722407</v>
      </c>
      <c r="BU128" s="260">
        <f t="shared" si="404"/>
        <v>890.01778128389</v>
      </c>
      <c r="BV128" s="259">
        <f>BW128+各项系数!$M$9*$NT128</f>
        <v>903.012222732609</v>
      </c>
      <c r="BW128" s="259">
        <f>BX128*(1+$CF128+(VLOOKUP($AM128,$A$12:$B$214,2,0))+各项系数!$J$6+各项系数!$M$5)*(1+$E$2)</f>
        <v>898.002766627487</v>
      </c>
      <c r="BX128" s="260">
        <f>BY128+各项系数!$L$9*$NT$12</f>
        <v>916.329353701517</v>
      </c>
      <c r="BY128" s="260">
        <f>BZ128*(1+$CG128+各项系数!$J$5+各项系数!$L$5)</f>
        <v>916.321090298362</v>
      </c>
      <c r="BZ128" s="262">
        <f t="shared" si="343"/>
        <v>889.632126503265</v>
      </c>
      <c r="CA128" s="259">
        <f>CB128+各项系数!$M$9*$NT128</f>
        <v>910.026001727093</v>
      </c>
      <c r="CB128" s="259">
        <f>CC128*(1+$CF128+(VLOOKUP($AM128,$A$12:$B$214,2,0))+各项系数!$J$6+各项系数!$M$5)*(1+$E$2)</f>
        <v>905.016545621971</v>
      </c>
      <c r="CC128" s="260">
        <f>CD128+各项系数!$L$9*$NT$12</f>
        <v>923.486271042827</v>
      </c>
      <c r="CD128" s="260">
        <f>CE128*(1+$CG128+各项系数!$J$5+各项系数!$L$5)</f>
        <v>923.478007639672</v>
      </c>
      <c r="CE128" s="262">
        <f t="shared" si="405"/>
        <v>896.580589941429</v>
      </c>
      <c r="CF128" s="277">
        <f t="shared" si="514"/>
        <v>0</v>
      </c>
      <c r="CG128" s="277">
        <f t="shared" si="344"/>
        <v>0.01</v>
      </c>
      <c r="CH128" s="123"/>
      <c r="CI128" s="259">
        <f>CJ128+各项系数!$M$9*$NO128</f>
        <v>908.591512636447</v>
      </c>
      <c r="CJ128" s="259">
        <f>CK128*(1+$DC128+(VLOOKUP($AM128,$A$12:$B$323,2,0))+各项系数!$J$6+各项系数!$M$5)*(1+$E$2)+各项系数!$M$9*$NK128</f>
        <v>902.151122791581</v>
      </c>
      <c r="CK128" s="260">
        <f>CL128+各项系数!$L$9*$NO128</f>
        <v>915.480242315418</v>
      </c>
      <c r="CL128" s="260">
        <f>CM128*(1+$DD128+各项系数!$J$5+各项系数!$L$5)</f>
        <v>909.039852470552</v>
      </c>
      <c r="CM128" s="260">
        <f t="shared" si="345"/>
        <v>891.215541637796</v>
      </c>
      <c r="CN128" s="259">
        <f>CO128+各项系数!$M$9*$NO128</f>
        <v>916.301990369079</v>
      </c>
      <c r="CO128" s="259">
        <f>CP128*(1+$DC128+(VLOOKUP($AM128,$A$12:$B$323,2,0))+各项系数!$J$6+各项系数!$M$5)*(1+$E$2)+各项系数!$M$9*$NK128</f>
        <v>909.861600524213</v>
      </c>
      <c r="CP128" s="260">
        <f>CQ128+各项系数!$L$9*$NO128</f>
        <v>923.348076736471</v>
      </c>
      <c r="CQ128" s="260">
        <f>CR128*(1+$DD128+各项系数!$J$5+各项系数!$L$5)</f>
        <v>916.907686891605</v>
      </c>
      <c r="CR128" s="260">
        <f t="shared" si="346"/>
        <v>898.929104795691</v>
      </c>
      <c r="CS128" s="259">
        <f>CT128+各项系数!$M$9*$NU128</f>
        <v>910.452924474415</v>
      </c>
      <c r="CT128" s="259">
        <f t="shared" si="347"/>
        <v>903.982496107549</v>
      </c>
      <c r="CU128" s="260">
        <f>CV128+各项系数!$L$9*$NU128</f>
        <v>922.431118477091</v>
      </c>
      <c r="CV128" s="260">
        <f>CW128*(1+$DD128+各项系数!$J$5+各项系数!$L$5)</f>
        <v>915.960690110225</v>
      </c>
      <c r="CW128" s="262">
        <f t="shared" si="348"/>
        <v>898.000676578652</v>
      </c>
      <c r="CX128" s="259">
        <f>CY128+各项系数!$M$9*$NU128</f>
        <v>918.887819681345</v>
      </c>
      <c r="CY128" s="259">
        <f t="shared" si="349"/>
        <v>912.417391314479</v>
      </c>
      <c r="CZ128" s="260">
        <f>DA128+各项系数!$L$9*$NU128</f>
        <v>931.03815440253</v>
      </c>
      <c r="DA128" s="260">
        <f>DB128*(1+$DD128+各项系数!$J$5+各项系数!$L$5)</f>
        <v>924.567726035664</v>
      </c>
      <c r="DB128" s="262">
        <f t="shared" si="350"/>
        <v>906.438947093788</v>
      </c>
      <c r="DC128" s="277">
        <f t="shared" si="571"/>
        <v>0</v>
      </c>
      <c r="DD128" s="277">
        <f t="shared" si="351"/>
        <v>0</v>
      </c>
      <c r="DE128" s="69" t="s">
        <v>498</v>
      </c>
      <c r="DF128" s="69" t="s">
        <v>513</v>
      </c>
      <c r="DG128" s="259">
        <f>DH128+各项系数!$M$9*$NQ128</f>
        <v>918.581130972175</v>
      </c>
      <c r="DH128" s="259">
        <f>DI128*(1+$EA128+(VLOOKUP($AM128,$A$12:$B$323,2,0))+各项系数!$J$6+各项系数!$M$5)*(1+$E$2)+各项系数!$M$9*$NK128</f>
        <v>912.140741127309</v>
      </c>
      <c r="DI128" s="260">
        <f>DJ128+各项系数!$L$9*$NQ128</f>
        <v>925.6737304131</v>
      </c>
      <c r="DJ128" s="260">
        <f>DK128*(1+$EB128+各项系数!$J$5+各项系数!$L$5)</f>
        <v>919.233340568234</v>
      </c>
      <c r="DK128" s="260">
        <f t="shared" si="352"/>
        <v>892.459553949742</v>
      </c>
      <c r="DL128" s="259">
        <f>DM128+各项系数!$M$9*$NQ128</f>
        <v>925.824931730478</v>
      </c>
      <c r="DM128" s="259">
        <f>DN128*(1+$EA128+(VLOOKUP($AM128,$A$12:$B$323,2,0))+各项系数!$J$6+各项系数!$M$5)*(1+$E$2)+各项系数!$M$9*$NK128</f>
        <v>919.384541885612</v>
      </c>
      <c r="DN128" s="260">
        <f>DO128+各项系数!$L$9*$NQ128</f>
        <v>933.065363839939</v>
      </c>
      <c r="DO128" s="260">
        <f>DP128*(1+$EB128+各项系数!$J$5+各项系数!$L$5)</f>
        <v>926.624973995073</v>
      </c>
      <c r="DP128" s="260">
        <f t="shared" si="353"/>
        <v>899.635897082595</v>
      </c>
      <c r="DQ128" s="259">
        <f>DR128+各项系数!$M$9*$NV128</f>
        <v>920.511708761089</v>
      </c>
      <c r="DR128" s="259">
        <f t="shared" si="354"/>
        <v>914.041280394224</v>
      </c>
      <c r="DS128" s="260">
        <f>DT128+各项系数!$L$9*$NV128</f>
        <v>932.695184075738</v>
      </c>
      <c r="DT128" s="260">
        <f>DU128*(1+$EB128+各项系数!$J$5+各项系数!$L$5)</f>
        <v>926.224755708873</v>
      </c>
      <c r="DU128" s="262">
        <f t="shared" si="355"/>
        <v>899.247335639682</v>
      </c>
      <c r="DV128" s="259">
        <f>DW128+各项系数!$M$9*$NV128</f>
        <v>918.018948208116</v>
      </c>
      <c r="DW128" s="259">
        <f t="shared" si="356"/>
        <v>911.54851984125</v>
      </c>
      <c r="DX128" s="260">
        <f>DY128+各项系数!$L$9*$NV128</f>
        <v>930.151550858418</v>
      </c>
      <c r="DY128" s="260">
        <f>DZ128*(1+$EB128+各项系数!$J$5+各项系数!$L$5)</f>
        <v>923.681122491553</v>
      </c>
      <c r="DZ128" s="262">
        <f t="shared" si="357"/>
        <v>896.77778882675</v>
      </c>
      <c r="EA128" s="277">
        <f t="shared" si="559"/>
        <v>0</v>
      </c>
      <c r="EB128" s="277">
        <f t="shared" si="358"/>
        <v>0.01</v>
      </c>
      <c r="EC128" s="302" t="str">
        <f t="shared" si="408"/>
        <v>3+2</v>
      </c>
      <c r="ED128" s="302" t="str">
        <f t="shared" si="565"/>
        <v>3*400</v>
      </c>
      <c r="EE128" s="251">
        <f t="shared" si="495"/>
        <v>400</v>
      </c>
      <c r="EF128" s="251" t="str">
        <f>LOOKUP(EH128,{1,7,10,14,19,24,30,37,48,61},{1,"1+6","2+8","4+10","1+6+12","2+8+14","4+10+16","1+6+12+18","3+9+15+21","1+6+12+18+24"})</f>
        <v>1+6+12+18+24</v>
      </c>
      <c r="EG128" s="250">
        <f t="shared" si="359"/>
        <v>3</v>
      </c>
      <c r="EH128" s="260">
        <f>VLOOKUP(EE128,各项系数!$B$87:$C$124,2,0)</f>
        <v>61</v>
      </c>
      <c r="EI128" s="250">
        <f>IF(EH128=0,0,VLOOKUP(EH128,各项系数!$D$142:$E$195,2,0))*1</f>
        <v>9</v>
      </c>
      <c r="EJ128" s="305">
        <f t="shared" si="409"/>
        <v>277.181191063812</v>
      </c>
      <c r="EK128" s="251" t="str">
        <f t="shared" si="566"/>
        <v>2*185</v>
      </c>
      <c r="EL128" s="251" t="str">
        <f t="shared" si="360"/>
        <v>185</v>
      </c>
      <c r="EM128" s="251">
        <f t="shared" si="567"/>
        <v>185</v>
      </c>
      <c r="EN128" s="251" t="str">
        <f>IF(EP128=0,0,LOOKUP(EP128,{1,7,10,14,19,24,30,37,48,61},{1,"1+6","2+8","4+10","1+6+12","2+8+14","4+10+16","1+6+12+18","3+9+15+21","1+6+12+18+24"}))</f>
        <v>1+6+12+18</v>
      </c>
      <c r="EO128" s="251" t="str">
        <f t="shared" si="568"/>
        <v>2</v>
      </c>
      <c r="EP128" s="251">
        <f>IF(EM128=0,0,IF(EM128&lt;10,1,IF(AND(EM128&gt;=10,EM128&lt;=35),7,LOOKUP(EM128,{50,70,95,120,150,185,240,300},{10,14,19,24,30,37,48,61})*1)))</f>
        <v>37</v>
      </c>
      <c r="EQ128" s="251">
        <f>IF(EP128=0,0,VLOOKUP(EP128,各项系数!$D$142:$E$195,2,0))*1</f>
        <v>7</v>
      </c>
      <c r="ER128" s="251">
        <f t="shared" si="569"/>
        <v>245.09808262108</v>
      </c>
      <c r="ES128" s="302">
        <f t="shared" si="570"/>
        <v>5</v>
      </c>
      <c r="ET128" s="251">
        <f>VLOOKUP(ES128,各项系数!$D$142:$E$195,2,0)*1</f>
        <v>2.7</v>
      </c>
      <c r="EU128" s="311">
        <f>((各项系数!$F$76/4*$EJ128^2*$EG128*$EH128*1*10^-7)*(1-$H128)*AA128)*(VLOOKUP($EY$9,各项系数!$D$4:$F$143,3,0))*各项系数!$J$4</f>
        <v>9.96307725305532</v>
      </c>
      <c r="EV128" s="312">
        <f>EU128*(VLOOKUP($EY$9,各项系数!$D$4:$F$143,2,0))</f>
        <v>652.581560075124</v>
      </c>
      <c r="EW128" s="324">
        <f>(IF($EO128=0,0,(各项系数!$F$76/4*$ER128^2*$EO128*$EP128*1*10^-7))*(1-$K128)*$AF128)*(VLOOKUP($EY$9,各项系数!$D$4:$F$143,3,0))*各项系数!$J$4</f>
        <v>3.13467350175767</v>
      </c>
      <c r="EX128" s="325">
        <f>EW128*(VLOOKUP($EY$9,各项系数!$D$4:$F$143,2,0))</f>
        <v>205.321114365127</v>
      </c>
      <c r="EY128" s="251">
        <f>((各项系数!$F$76/4*$EJ128^2*$EG128*$EH128*1*10^-7)*(1-$H128)*AA128+IF($EO128=0,0,(各项系数!$F$76/4*$ER128^2*$EO128*$EP128*1*10^-7))*(1-$K128)*$AF128)*(VLOOKUP($EY$9,各项系数!$D$4:$F$143,3,0))*各项系数!$J$4</f>
        <v>13.097750754813</v>
      </c>
      <c r="EZ128" s="123">
        <v>1</v>
      </c>
      <c r="FA128" s="251">
        <f t="shared" si="515"/>
        <v>13.097750754813</v>
      </c>
      <c r="FB128" s="326">
        <f>FA128*(VLOOKUP($EY$9,各项系数!$D$4:$F$143,2,0))</f>
        <v>857.902674440251</v>
      </c>
      <c r="FC128" s="327"/>
      <c r="FD128" s="302">
        <f>各项系数!$F$76/4*($MN128^2-MK128^2)*10^-2*(VLOOKUP(L128,各项系数!$D$1:$F$143,3,0))*10^-3*10^2*$EG128*各项系数!$J$4</f>
        <v>0.55592492409914</v>
      </c>
      <c r="FE128" s="339">
        <f>FD128*VLOOKUP(L128,各项系数!$D$1:$F$143,2,0)</f>
        <v>5.67043422581123</v>
      </c>
      <c r="FF128" s="250">
        <f>各项系数!$F$76/4*($MO128^2-ML128^2)*10^-2*(VLOOKUP(L128,各项系数!$D$1:$F$143,3,0))*10^-3*10^2*$EO128*各项系数!$J$4</f>
        <v>0.206383934558346</v>
      </c>
      <c r="FG128" s="339">
        <f>FF128*VLOOKUP(L128,各项系数!$D$1:$F$143,2,0)</f>
        <v>2.10511613249513</v>
      </c>
      <c r="FH128" s="302">
        <f t="shared" si="410"/>
        <v>0.762308858657486</v>
      </c>
      <c r="FI128" s="123">
        <v>1</v>
      </c>
      <c r="FJ128" s="251">
        <f t="shared" si="516"/>
        <v>0.762308858657486</v>
      </c>
      <c r="FK128" s="339">
        <f>FJ128*VLOOKUP(L128,各项系数!$D$1:$F$143,2,0)</f>
        <v>7.77555035830636</v>
      </c>
      <c r="FL128" s="302"/>
      <c r="FM128" s="123"/>
      <c r="FN128" s="251"/>
      <c r="FO128" s="339"/>
      <c r="FP128" s="364">
        <f t="shared" si="517"/>
        <v>0.762308858657486</v>
      </c>
      <c r="FQ128" s="364">
        <f t="shared" si="518"/>
        <v>7.77555035830636</v>
      </c>
      <c r="FR128" s="365">
        <f>各项系数!$F$76/4*($MQ128^2-$MN128^2*$EG128-$MO128^2*$EO128)*10^-2</f>
        <v>11.0094634333578</v>
      </c>
      <c r="FS128" s="366">
        <f t="shared" si="411"/>
        <v>1</v>
      </c>
      <c r="FT128" s="367">
        <f t="shared" si="361"/>
        <v>11.0094634333578</v>
      </c>
      <c r="FU128" s="388">
        <f>$FT128*(VLOOKUP($FT$9,各项系数!$D$1:$F$143,3,0))*10^-3*10^2*各项系数!$J$55</f>
        <v>1.31452993394292</v>
      </c>
      <c r="FV128" s="389">
        <v>1</v>
      </c>
      <c r="FW128" s="390">
        <f t="shared" si="519"/>
        <v>1.31452993394292</v>
      </c>
      <c r="FX128" s="367">
        <f>FW128*(VLOOKUP($FT$9,各项系数!$D$1:$F$143,2,0))</f>
        <v>3.94358980182876</v>
      </c>
      <c r="FY128" s="388">
        <f>IF($BK128&lt;&gt;$FY$9,0,各项系数!$F$76/4*($MS128^2-$MQ128^2)*10^-2*(VLOOKUP($FY$9,各项系数!$D$1:$F$143,3,0))*10^-3*10^2)*各项系数!$J$4</f>
        <v>0</v>
      </c>
      <c r="FZ128" s="389">
        <v>1</v>
      </c>
      <c r="GA128" s="390">
        <f t="shared" si="520"/>
        <v>0</v>
      </c>
      <c r="GB128" s="367">
        <f>GA128*(VLOOKUP($FY$9,各项系数!$D$1:$F$143,2,0))</f>
        <v>0</v>
      </c>
      <c r="GC128" s="388">
        <f>IF($BK128&lt;&gt;$GC$9,0,各项系数!$F$76/4*($MS128^2-$MQ128^2)*10^-2*(VLOOKUP($GC$9,各项系数!$D$1:$F$143,3,0))*10^-3*10^2)*各项系数!$J$4</f>
        <v>0.0187814268339162</v>
      </c>
      <c r="GD128" s="389">
        <v>1</v>
      </c>
      <c r="GE128" s="390">
        <f t="shared" si="521"/>
        <v>0.0187814268339162</v>
      </c>
      <c r="GF128" s="367">
        <f>GE128*(VLOOKUP($GC$9,各项系数!$D$1:$F$143,2,0))</f>
        <v>0.24228040615752</v>
      </c>
      <c r="GG128" s="388">
        <f>IF($BK128&lt;&gt;$GG$9,0,各项系数!$F$76/4*($MS128^2-$MQ128^2)*10^-2*(VLOOKUP($GG$9,各项系数!$D$1:$F$143,3,0))*10^-3*10^2)*各项系数!$J$4</f>
        <v>0</v>
      </c>
      <c r="GH128" s="389">
        <v>1</v>
      </c>
      <c r="GI128" s="390">
        <f t="shared" si="522"/>
        <v>0</v>
      </c>
      <c r="GJ128" s="367">
        <f>GI128*(VLOOKUP($GG$9,各项系数!$D$1:$F$143,2,0))</f>
        <v>0</v>
      </c>
      <c r="GK128" s="388">
        <f>IF($BK128&lt;&gt;$GK$9,0,各项系数!$F$76/4*($MS128^2-$MQ128^2)*10^-2*(VLOOKUP($GK$9,各项系数!$D$1:$F$143,3,0))*10^-3*10^2)*各项系数!$J$4</f>
        <v>0</v>
      </c>
      <c r="GL128" s="389">
        <v>1</v>
      </c>
      <c r="GM128" s="390">
        <f t="shared" si="523"/>
        <v>0</v>
      </c>
      <c r="GN128" s="367">
        <f>GM128*(VLOOKUP($GK$9,各项系数!$D$1:$F$143,2,0))</f>
        <v>0</v>
      </c>
      <c r="GO128" s="390">
        <f t="shared" si="524"/>
        <v>0.0187814268339162</v>
      </c>
      <c r="GP128" s="390">
        <f t="shared" si="525"/>
        <v>0.24228040615752</v>
      </c>
      <c r="GQ128" s="406">
        <f>各项系数!$F$76/4*($MU128^2-$MS128^2)*10^-2*(VLOOKUP($S128,各项系数!$D$1:$F$143,3,0))*10^-3*10^2*各项系数!$J$4</f>
        <v>1.27974656276623</v>
      </c>
      <c r="GR128" s="389">
        <v>1</v>
      </c>
      <c r="GS128" s="390">
        <f t="shared" si="526"/>
        <v>1.27974656276623</v>
      </c>
      <c r="GT128" s="390">
        <f t="shared" si="457"/>
        <v>0</v>
      </c>
      <c r="GU128" s="390">
        <f>ROUND($GS128*(VLOOKUP($S128,各项系数!$D$1:$F$143,2,0))+$E$3*GS128,GT128)</f>
        <v>7</v>
      </c>
      <c r="GV128" s="406">
        <f>各项系数!$F$76/4*($MT128^2-$MS128^2)*10^-2*(VLOOKUP($GV$9,各项系数!$D$1:$F$143,3,0))*10^-3*10^2*各项系数!$J$4*PI()/4*R128</f>
        <v>0.0965692755015117</v>
      </c>
      <c r="GW128" s="389">
        <v>1</v>
      </c>
      <c r="GX128" s="390">
        <f t="shared" si="527"/>
        <v>0.0965692755015117</v>
      </c>
      <c r="GY128" s="390">
        <f>$GX128*(VLOOKUP($GV$9,各项系数!$D$1:$F$143,2,0))</f>
        <v>6.51842609635204</v>
      </c>
      <c r="GZ128" s="406">
        <f>各项系数!$F$76/4*($MV128^2-$MS128^2)*10^-2*(VLOOKUP($GZ$9,各项系数!$D$1:$F$143,3,0))*10^-3*10^2*各项系数!$J$4</f>
        <v>1.18551095749098</v>
      </c>
      <c r="HA128" s="389">
        <v>1</v>
      </c>
      <c r="HB128" s="390">
        <f t="shared" si="412"/>
        <v>1.18551095749098</v>
      </c>
      <c r="HC128" s="390">
        <f>HB128*(VLOOKUP($GZ$9,各项系数!$D$1:$F$143,2,0))</f>
        <v>20.1536862773467</v>
      </c>
      <c r="HD128" s="406">
        <f>各项系数!$F$76/4*($MW128^2-$MT128^2)*10^-2*(VLOOKUP($HD$9,各项系数!$D$1:$F$143,3,0))*10^-3*10^2*各项系数!$J$4</f>
        <v>1.18812169638434</v>
      </c>
      <c r="HE128" s="389">
        <v>1</v>
      </c>
      <c r="HF128" s="390">
        <f t="shared" si="413"/>
        <v>1.18812169638434</v>
      </c>
      <c r="HG128" s="390">
        <f>HF128*(VLOOKUP($HD$9,各项系数!$D$1:$F$143,2,0))</f>
        <v>20.1980688385337</v>
      </c>
      <c r="HH128" s="406">
        <f>各项系数!$F$76/4*($MV128^2-$MS128^2)*10^-2*(VLOOKUP($HH$9,各项系数!$D$1:$F$143,3,0))*10^-3*10^2*各项系数!$J$4</f>
        <v>1.18551095749098</v>
      </c>
      <c r="HI128" s="420">
        <v>1</v>
      </c>
      <c r="HJ128" s="390">
        <f t="shared" si="414"/>
        <v>1.18551095749098</v>
      </c>
      <c r="HK128" s="390">
        <f>HJ128*(VLOOKUP($HH$9,各项系数!$D$1:$F$143,2,0))</f>
        <v>20.1536862773467</v>
      </c>
      <c r="HL128" s="406">
        <f>各项系数!$F$76/4*($MW128^2-$MT128^2)*10^-2*(VLOOKUP($HL$9,各项系数!$D$1:$F$143,3,0))*10^-3*10^2*各项系数!$J$4</f>
        <v>1.18812169638434</v>
      </c>
      <c r="HM128" s="420">
        <v>1</v>
      </c>
      <c r="HN128" s="390">
        <f t="shared" si="362"/>
        <v>1.18812169638434</v>
      </c>
      <c r="HO128" s="390">
        <f>HN128*(VLOOKUP($HL$9,各项系数!$D$1:$F$143,2,0))</f>
        <v>20.1980688385337</v>
      </c>
      <c r="HP128" s="406">
        <f>各项系数!$F$76/4*($MV128^2-$MS128^2)*10^-2*(VLOOKUP(AN128,各项系数!$D$1:$F$143,3,0))*10^-3*10^2*各项系数!$J$4</f>
        <v>1.20186283276672</v>
      </c>
      <c r="HQ128" s="389">
        <v>1</v>
      </c>
      <c r="HR128" s="390">
        <f t="shared" si="528"/>
        <v>1.20186283276672</v>
      </c>
      <c r="HS128" s="390">
        <f>HR128*(VLOOKUP(AN128,各项系数!$D$1:$F$143,2,0))</f>
        <v>12.0186283276672</v>
      </c>
      <c r="HT128" s="406">
        <f>各项系数!$F$76/4*($MW128^2-$MT128^2)*10^-2*(VLOOKUP(AN128,各项系数!$D$1:$F$143,3,0))*10^-3*10^2*各项系数!$J$4</f>
        <v>1.20450958185171</v>
      </c>
      <c r="HU128" s="389">
        <v>1</v>
      </c>
      <c r="HV128" s="390">
        <f t="shared" si="529"/>
        <v>1.20450958185171</v>
      </c>
      <c r="HW128" s="390">
        <f>HV128*(VLOOKUP(AN128,各项系数!$D$1:$F$143,2,0))</f>
        <v>12.0450958185171</v>
      </c>
      <c r="HX128" s="406">
        <f>各项系数!$F$76/4*($MV128^2-$MS128^2)*10^-2*(VLOOKUP($HX$9,各项系数!$D$1:$F$143,3,0))*10^-3*10^2*各项系数!$J$4</f>
        <v>1.20186283276672</v>
      </c>
      <c r="HY128" s="420">
        <v>1</v>
      </c>
      <c r="HZ128" s="390">
        <f t="shared" si="530"/>
        <v>1.20186283276672</v>
      </c>
      <c r="IA128" s="390">
        <f>HZ128*(VLOOKUP($HX$9,各项系数!$D$1:$F$143,2,0))</f>
        <v>13.2204911604339</v>
      </c>
      <c r="IB128" s="406">
        <f>各项系数!$F$76/4*($MW128^2-$MT128^2)*10^-2*(VLOOKUP($IB$9,各项系数!$D$1:$F$143,3,0))*10^-3*10^2*各项系数!$J$4</f>
        <v>1.20450958185171</v>
      </c>
      <c r="IC128" s="420">
        <v>1</v>
      </c>
      <c r="ID128" s="390">
        <f t="shared" si="531"/>
        <v>1.20450958185171</v>
      </c>
      <c r="IE128" s="390">
        <f>ID128*(VLOOKUP($IB$9,各项系数!$D$1:$F$143,2,0))</f>
        <v>13.2496054003688</v>
      </c>
      <c r="IF128" s="429"/>
      <c r="IG128" s="406">
        <f t="shared" si="415"/>
        <v>0.155649345472853</v>
      </c>
      <c r="IH128" s="389">
        <v>1</v>
      </c>
      <c r="II128" s="390">
        <f t="shared" si="532"/>
        <v>0.155649345472853</v>
      </c>
      <c r="IJ128" s="390">
        <f>II128*(VLOOKUP($IG$8,各项系数!$D$1:$F$143,2,0))</f>
        <v>3.89123363682132</v>
      </c>
      <c r="IK128" s="406">
        <f>(各项系数!$F$76/4*($MX128^2-$MK128^2)*$EG128)*10^-2*(VLOOKUP($IG$8,各项系数!$D$1:$F$143,3,0))*10^-3*10^2*各项系数!$J$4</f>
        <v>0.106538010928718</v>
      </c>
      <c r="IL128" s="389">
        <f>IK128*(VLOOKUP($IG$8,各项系数!$D$1:$F$143,2,0))</f>
        <v>2.66345027321794</v>
      </c>
      <c r="IM128" s="390">
        <f>(各项系数!$F$76/4*(($MM128+3*$X128)^2-MM128^2)*$EO128)*10^-2*(VLOOKUP($IG$8,各项系数!$D$1:$F$143,3,0))*10^-3*10^2*各项系数!$J$4</f>
        <v>0.049111334544135</v>
      </c>
      <c r="IN128" s="389">
        <f>IM128*(VLOOKUP($IG$8,各项系数!$D$1:$F$143,2,0))</f>
        <v>1.22778336360338</v>
      </c>
      <c r="IO128" s="406">
        <f>各项系数!$F$76/4*($MZ128^2-$MX128^2)*10^-2*(VLOOKUP(L128,各项系数!$D$1:$F$143,3,0))*10^-3*10^2*$ES128*各项系数!$J$4</f>
        <v>0.947172379121358</v>
      </c>
      <c r="IP128" s="389">
        <v>1</v>
      </c>
      <c r="IQ128" s="390">
        <f t="shared" si="533"/>
        <v>0.947172379121358</v>
      </c>
      <c r="IR128" s="367">
        <f>IQ128*(VLOOKUP(L128,各项系数!$D$1:$F$143,2,0))</f>
        <v>9.66115826703785</v>
      </c>
      <c r="IS128" s="406">
        <f>IF($L128&lt;&gt;$IS$9,0,各项系数!$F$76/4*($MZ128^2-$MX128^2)*10^-2*各项系数!$F$12*10^-3*10^2)*$ES128*各项系数!$J$4</f>
        <v>0</v>
      </c>
      <c r="IT128" s="389">
        <v>1</v>
      </c>
      <c r="IU128" s="390">
        <f t="shared" si="534"/>
        <v>0</v>
      </c>
      <c r="IV128" s="367">
        <f>IU128*各项系数!$E$12</f>
        <v>0</v>
      </c>
      <c r="IW128" s="388">
        <f t="shared" si="535"/>
        <v>0.947172379121358</v>
      </c>
      <c r="IX128" s="388">
        <f t="shared" si="536"/>
        <v>9.66115826703785</v>
      </c>
      <c r="IY128" s="447">
        <f>各项系数!$F$76/4*($NB128^2-$MZ128^2*$EG128-$NA128^2*$EO128)*10^-2</f>
        <v>11.9924140167741</v>
      </c>
      <c r="IZ128" s="366">
        <f t="shared" si="487"/>
        <v>1</v>
      </c>
      <c r="JA128" s="367">
        <f t="shared" si="363"/>
        <v>11.9924140167741</v>
      </c>
      <c r="JB128" s="364">
        <f>IF($DE128&lt;&gt;$JB$9,0,$JA128*各项系数!$F$32*10^-3*10^2)*各项系数!$J$4</f>
        <v>0</v>
      </c>
      <c r="JC128" s="123">
        <v>1</v>
      </c>
      <c r="JD128" s="251">
        <f t="shared" si="537"/>
        <v>0</v>
      </c>
      <c r="JE128" s="339">
        <f>JD128*各项系数!$E$32</f>
        <v>0</v>
      </c>
      <c r="JF128" s="364">
        <f>IF($DE128&lt;&gt;$JF$9,0,$JA128*VLOOKUP($JF$9,各项系数!$D$4:$F$540,2,0)*10^-3*10^2)*各项系数!$J$4</f>
        <v>5.96622597334511</v>
      </c>
      <c r="JG128" s="123">
        <v>1</v>
      </c>
      <c r="JH128" s="251">
        <f t="shared" si="364"/>
        <v>5.96622597334511</v>
      </c>
      <c r="JI128" s="339">
        <f>JH128*VLOOKUP($JF$9,各项系数!$D$4:$F$540,3,0)</f>
        <v>7.15947116801413</v>
      </c>
      <c r="JJ128" s="364">
        <f t="shared" si="538"/>
        <v>5.96622597334511</v>
      </c>
      <c r="JK128" s="251">
        <f t="shared" si="539"/>
        <v>7.15947116801413</v>
      </c>
      <c r="JL128" s="364">
        <f>IF($DF128&lt;&gt;$JL$9,0,各项系数!$F$76/4*($NE128^2-$NC128^2)*10^-2*各项系数!$F$39*10^-3*10^2)*各项系数!$J$4</f>
        <v>0.00804405031101462</v>
      </c>
      <c r="JM128" s="123">
        <v>1</v>
      </c>
      <c r="JN128" s="251">
        <f t="shared" si="540"/>
        <v>0.00804405031101462</v>
      </c>
      <c r="JO128" s="339">
        <f>JN128*各项系数!$E$39</f>
        <v>0.160881006220292</v>
      </c>
      <c r="JP128" s="364">
        <f>IF($DF128&lt;&gt;$JP$9,0,各项系数!$F$76/4*($NE128^2-$NC128^2)*10^-2*各项系数!$F$36*10^-3*10^2)*各项系数!$J$4</f>
        <v>0</v>
      </c>
      <c r="JQ128" s="123">
        <v>1</v>
      </c>
      <c r="JR128" s="251">
        <f t="shared" si="541"/>
        <v>0</v>
      </c>
      <c r="JS128" s="339">
        <f>JR128*各项系数!$E$36</f>
        <v>0</v>
      </c>
      <c r="JT128" s="364">
        <f>IF($DF128&lt;&gt;$JT$9,0,各项系数!$F$76/4*($NE128^2-$NC128^2)*10^-2*各项系数!$F$40*10^-3*10^2)*各项系数!$J$4</f>
        <v>0</v>
      </c>
      <c r="JU128" s="123">
        <v>1</v>
      </c>
      <c r="JV128" s="251">
        <f t="shared" si="542"/>
        <v>0</v>
      </c>
      <c r="JW128" s="339">
        <f>JV128*各项系数!$E$40</f>
        <v>0</v>
      </c>
      <c r="JX128" s="364">
        <f>IF($DF128&lt;&gt;$JX$9,0,各项系数!$F$76/4*($NE128^2-$NC128^2)*10^-2*各项系数!$F$38*10^-3*10^2)*各项系数!$J$4</f>
        <v>0</v>
      </c>
      <c r="JY128" s="123">
        <v>1</v>
      </c>
      <c r="JZ128" s="251">
        <f t="shared" si="543"/>
        <v>0</v>
      </c>
      <c r="KA128" s="339">
        <f>JZ128*各项系数!$E$38</f>
        <v>0</v>
      </c>
      <c r="KB128" s="364">
        <f>IF($DF128&lt;&gt;$KB$9,0,各项系数!$F$76/4*($NE128^2-$NC128^2)*10^-2*各项系数!$F$41*10^-3*10^2)*各项系数!$J$4</f>
        <v>0</v>
      </c>
      <c r="KC128" s="123">
        <v>1</v>
      </c>
      <c r="KD128" s="251">
        <f t="shared" si="544"/>
        <v>0</v>
      </c>
      <c r="KE128" s="339">
        <f>KD128*各项系数!$E$41</f>
        <v>0</v>
      </c>
      <c r="KF128" s="251">
        <f t="shared" si="545"/>
        <v>0.00804405031101462</v>
      </c>
      <c r="KG128" s="251">
        <f t="shared" si="546"/>
        <v>0.160881006220292</v>
      </c>
      <c r="KH128" s="302">
        <f>各项系数!$F$76/4*($NG128^2-$NE128^2)*10^-2*各项系数!$F$44*10^-3*10^2*各项系数!$J$4*0.75*$U128</f>
        <v>1.98968976914414</v>
      </c>
      <c r="KI128" s="123">
        <v>1</v>
      </c>
      <c r="KJ128" s="251">
        <f t="shared" si="547"/>
        <v>1.98968976914414</v>
      </c>
      <c r="KK128" s="251">
        <f>ROUND(KJ128*各项系数!$E$43,GT128)</f>
        <v>12</v>
      </c>
      <c r="KL128" s="302">
        <f>各项系数!$F$76/4*($NF128^2-$NE128^2)*10^-2*各项系数!$F$46*10^-3*10^2*各项系数!$J$4*PI()/4*R128</f>
        <v>0.100128406666749</v>
      </c>
      <c r="KM128" s="123">
        <v>1</v>
      </c>
      <c r="KN128" s="251">
        <f t="shared" si="548"/>
        <v>0.100128406666749</v>
      </c>
      <c r="KO128" s="251">
        <f>KN128*各项系数!$E$46</f>
        <v>6.75866745000559</v>
      </c>
      <c r="KP128" s="302">
        <f>各项系数!$F$76/4*($NH128^2-$NE128^2)*10^-2*(VLOOKUP($KP$9,各项系数!$D$1:$F$143,3,0))*10^-3*10^2*各项系数!$J$4</f>
        <v>1.22708697436769</v>
      </c>
      <c r="KQ128" s="123">
        <v>1</v>
      </c>
      <c r="KR128" s="251">
        <f t="shared" si="416"/>
        <v>1.22708697436769</v>
      </c>
      <c r="KS128" s="251">
        <f>KR128*(VLOOKUP($KP$9,各项系数!$D$1:$F$143,2,0))</f>
        <v>20.8604785642507</v>
      </c>
      <c r="KT128" s="302">
        <f>各项系数!$F$76/4*($NI128^2-$NF128^2)*10^-2*(VLOOKUP($KT$9,各项系数!$D$1:$F$143,3,0))*10^-3*10^2*各项系数!$J$4</f>
        <v>1.22969771326104</v>
      </c>
      <c r="KU128" s="123">
        <v>1</v>
      </c>
      <c r="KV128" s="251">
        <f t="shared" si="417"/>
        <v>1.22969771326104</v>
      </c>
      <c r="KW128" s="251">
        <f>KV128*(VLOOKUP($KT$9,各项系数!$D$1:$F$143,2,0))</f>
        <v>20.9048611254378</v>
      </c>
      <c r="KX128" s="251">
        <f>各项系数!$F$76/4*($NH128^2-$NE128^2)*10^-2*(VLOOKUP($KX$9,各项系数!$D$1:$F$143,3,0))*10^-3*10^2*各项系数!$J$4</f>
        <v>1.22708697436769</v>
      </c>
      <c r="KY128" s="479">
        <v>1</v>
      </c>
      <c r="KZ128" s="251">
        <f t="shared" si="418"/>
        <v>1.22708697436769</v>
      </c>
      <c r="LA128" s="251">
        <f>KZ128*(VLOOKUP($KX$9,各项系数!$D$1:$F$143,2,0))</f>
        <v>20.8604785642507</v>
      </c>
      <c r="LB128" s="251">
        <f>各项系数!$F$76/4*($NI128^2-$NF128^2)*10^-2*(VLOOKUP($LB$9,各项系数!$D$1:$F$143,3,0))*10^-3*10^2*各项系数!$J$4</f>
        <v>1.22969771326104</v>
      </c>
      <c r="LC128" s="479">
        <v>1</v>
      </c>
      <c r="LD128" s="251">
        <f t="shared" si="419"/>
        <v>1.22969771326104</v>
      </c>
      <c r="LE128" s="251">
        <f>LD128*(VLOOKUP($LB$9,各项系数!$D$1:$F$143,2,0))</f>
        <v>20.9048611254378</v>
      </c>
      <c r="LF128" s="302">
        <f>各项系数!$F$76/4*($NH128^2-$NE128^2)*10^-2*(VLOOKUP(AN128,各项系数!$D$1:$F$143,3,0))*10^-3*10^2*各项系数!$J$4</f>
        <v>1.24401231194517</v>
      </c>
      <c r="LG128" s="123">
        <v>1</v>
      </c>
      <c r="LH128" s="251">
        <f t="shared" si="549"/>
        <v>1.24401231194517</v>
      </c>
      <c r="LI128" s="251">
        <f>LH128*(VLOOKUP(AN128,各项系数!$D$1:$F$143,2,0))</f>
        <v>12.4401231194517</v>
      </c>
      <c r="LJ128" s="302">
        <f>各项系数!$F$76/4*($NI128^2-$NF128^2)*10^-2*(VLOOKUP(AN128,各项系数!$D$1:$F$143,3,0))*10^-3*10^2*各项系数!$J$4</f>
        <v>1.24665906103016</v>
      </c>
      <c r="LK128" s="123">
        <v>1</v>
      </c>
      <c r="LL128" s="251">
        <f t="shared" si="550"/>
        <v>1.24665906103016</v>
      </c>
      <c r="LM128" s="251">
        <f>LL128*(VLOOKUP(AN128,各项系数!$D$1:$F$143,2,0))</f>
        <v>12.4665906103016</v>
      </c>
      <c r="LN128" s="251">
        <f>各项系数!$F$76/4*($NH128^2-$NE128^2)*10^-2*(VLOOKUP($LN$9,各项系数!$D$1:$F$143,3,0))*10^-3*10^2*各项系数!$J$4</f>
        <v>1.24401231194517</v>
      </c>
      <c r="LO128" s="479">
        <v>1</v>
      </c>
      <c r="LP128" s="251">
        <f t="shared" si="551"/>
        <v>1.24401231194517</v>
      </c>
      <c r="LQ128" s="251">
        <f>LP128*(VLOOKUP($LN$9,各项系数!$D$1:$F$143,2,0))</f>
        <v>13.6841354313969</v>
      </c>
      <c r="LR128" s="251">
        <f>各项系数!$F$76/4*($NI128^2-$NF128^2)*10^-2*(VLOOKUP($LR$9,各项系数!$D$1:$F$143,3,0))*10^-3*10^2*各项系数!$J$4</f>
        <v>1.24665906103016</v>
      </c>
      <c r="LS128" s="479">
        <v>1</v>
      </c>
      <c r="LT128" s="251">
        <f t="shared" si="552"/>
        <v>1.24665906103016</v>
      </c>
      <c r="LU128" s="251">
        <f>LT128*(VLOOKUP($LR$9,各项系数!$D$1:$F$143,2,0))</f>
        <v>13.7132496713318</v>
      </c>
      <c r="LV128" s="499">
        <f t="shared" si="420"/>
        <v>1466.30281393</v>
      </c>
      <c r="LW128" s="499">
        <f t="shared" si="421"/>
        <v>1104.25273642</v>
      </c>
      <c r="LX128" s="499">
        <f t="shared" si="422"/>
        <v>37.4963765101637</v>
      </c>
      <c r="LY128" s="515">
        <f t="shared" si="423"/>
        <v>362.05007751</v>
      </c>
      <c r="LZ128" s="516">
        <f t="shared" si="365"/>
        <v>1</v>
      </c>
      <c r="MA128" s="517">
        <f t="shared" si="366"/>
        <v>1466.30281393</v>
      </c>
      <c r="MB128" s="517">
        <f t="shared" si="424"/>
        <v>24.94630719</v>
      </c>
      <c r="MC128" s="499">
        <f t="shared" si="425"/>
        <v>462.37653351</v>
      </c>
      <c r="MD128" s="499">
        <f t="shared" si="426"/>
        <v>349.14146516</v>
      </c>
      <c r="ME128" s="499">
        <f t="shared" si="427"/>
        <v>21.0841343229568</v>
      </c>
      <c r="MF128" s="499">
        <f t="shared" si="428"/>
        <v>113.23506835</v>
      </c>
      <c r="MG128" s="516">
        <f t="shared" si="429"/>
        <v>1</v>
      </c>
      <c r="MH128" s="517">
        <f t="shared" si="367"/>
        <v>462.37653351</v>
      </c>
      <c r="MI128" s="517">
        <f t="shared" si="430"/>
        <v>17.156865783448</v>
      </c>
      <c r="MJ128" s="251">
        <f t="shared" si="368"/>
        <v>24.94630719</v>
      </c>
      <c r="MK128" s="251">
        <f t="shared" si="431"/>
        <v>24.94630719</v>
      </c>
      <c r="ML128" s="251">
        <f t="shared" si="553"/>
        <v>17.1568657834756</v>
      </c>
      <c r="MM128" s="251">
        <f t="shared" si="369"/>
        <v>17.156865783448</v>
      </c>
      <c r="MN128" s="251">
        <f t="shared" si="370"/>
        <v>28.94630719</v>
      </c>
      <c r="MO128" s="251">
        <f t="shared" si="432"/>
        <v>20.356865783448</v>
      </c>
      <c r="MP128" s="251">
        <f t="shared" si="433"/>
        <v>68.87843269</v>
      </c>
      <c r="MQ128" s="251">
        <f t="shared" si="554"/>
        <v>68.87843269</v>
      </c>
      <c r="MR128" s="314">
        <f t="shared" si="434"/>
        <v>68.87843269</v>
      </c>
      <c r="MS128" s="530">
        <f t="shared" si="371"/>
        <v>69.05443269</v>
      </c>
      <c r="MT128" s="530">
        <f t="shared" si="372"/>
        <v>69.21443269</v>
      </c>
      <c r="MU128" s="530">
        <f t="shared" si="373"/>
        <v>70.55443269</v>
      </c>
      <c r="MV128" s="530">
        <f t="shared" si="374"/>
        <v>76.25443269</v>
      </c>
      <c r="MW128" s="530">
        <f t="shared" si="375"/>
        <v>76.41443269</v>
      </c>
      <c r="MX128" s="326">
        <f t="shared" si="376"/>
        <v>25.54630719</v>
      </c>
      <c r="MY128" s="326">
        <f t="shared" si="377"/>
        <v>17.756865783448</v>
      </c>
      <c r="MZ128" s="251">
        <f t="shared" si="378"/>
        <v>29.54630719</v>
      </c>
      <c r="NA128" s="251">
        <f t="shared" si="379"/>
        <v>21.756865783448</v>
      </c>
      <c r="NB128" s="251">
        <f t="shared" si="435"/>
        <v>71.36243269</v>
      </c>
      <c r="NC128" s="326">
        <f t="shared" si="555"/>
        <v>71.36243269</v>
      </c>
      <c r="ND128" s="314">
        <f t="shared" si="436"/>
        <v>71.36243269</v>
      </c>
      <c r="NE128" s="537">
        <f t="shared" si="437"/>
        <v>71.60243269</v>
      </c>
      <c r="NF128" s="530">
        <f t="shared" si="380"/>
        <v>71.76243269</v>
      </c>
      <c r="NG128" s="538">
        <f t="shared" si="381"/>
        <v>73.10243269</v>
      </c>
      <c r="NH128" s="326">
        <f t="shared" si="382"/>
        <v>78.80243269</v>
      </c>
      <c r="NI128" s="530">
        <f t="shared" si="383"/>
        <v>78.96243269</v>
      </c>
      <c r="NK128" s="539">
        <f t="shared" si="384"/>
        <v>16.6016177415724</v>
      </c>
      <c r="NL128" s="539">
        <f t="shared" si="385"/>
        <v>883.987839466706</v>
      </c>
      <c r="NM128" s="539">
        <f t="shared" si="386"/>
        <v>16.6016177415724</v>
      </c>
      <c r="NN128" s="539">
        <f t="shared" si="387"/>
        <v>885.189702299473</v>
      </c>
      <c r="NO128" s="539">
        <f t="shared" si="388"/>
        <v>21.4679661495526</v>
      </c>
      <c r="NP128" s="539">
        <f t="shared" si="389"/>
        <v>892.4433250014</v>
      </c>
      <c r="NQ128" s="539">
        <f t="shared" si="390"/>
        <v>21.4679661495526</v>
      </c>
      <c r="NR128" s="539">
        <f t="shared" si="391"/>
        <v>893.687337313345</v>
      </c>
      <c r="NS128" s="539">
        <f t="shared" si="392"/>
        <v>16.6981870170739</v>
      </c>
      <c r="NT128" s="539">
        <f t="shared" si="393"/>
        <v>16.6981870170739</v>
      </c>
      <c r="NU128" s="539">
        <f t="shared" si="394"/>
        <v>21.5680945562194</v>
      </c>
      <c r="NV128" s="539">
        <f t="shared" si="395"/>
        <v>21.5680945562194</v>
      </c>
      <c r="NW128">
        <f t="shared" si="396"/>
        <v>17.8813643043386</v>
      </c>
      <c r="NX128">
        <f>各项系数!$M$9*NK128</f>
        <v>4.98048532247171</v>
      </c>
      <c r="NY128">
        <f t="shared" si="397"/>
        <v>16.6981870170739</v>
      </c>
    </row>
    <row r="129" customHeight="1" spans="1:389">
      <c r="A129" s="85"/>
      <c r="B129" s="86"/>
      <c r="C129" s="87"/>
      <c r="D129" s="261" t="s">
        <v>934</v>
      </c>
      <c r="E129" s="70">
        <f t="shared" si="560"/>
        <v>86.08686562</v>
      </c>
      <c r="F129" s="84">
        <f>$F$33</f>
        <v>314.103042329295</v>
      </c>
      <c r="G129" s="74"/>
      <c r="H129" s="23"/>
      <c r="I129" s="174">
        <f>$F$30</f>
        <v>246.701228113631</v>
      </c>
      <c r="J129" s="78"/>
      <c r="K129" s="23"/>
      <c r="L129" s="118" t="s">
        <v>467</v>
      </c>
      <c r="M129" s="124">
        <f t="shared" si="339"/>
        <v>2.2</v>
      </c>
      <c r="N129" s="124">
        <f t="shared" si="501"/>
        <v>1.7</v>
      </c>
      <c r="O129" s="69">
        <f t="shared" si="572"/>
        <v>0.08</v>
      </c>
      <c r="P129" s="120">
        <v>0.1</v>
      </c>
      <c r="Q129" s="162">
        <f t="shared" si="557"/>
        <v>0.1</v>
      </c>
      <c r="R129" s="86">
        <v>0.8</v>
      </c>
      <c r="S129" s="171" t="str">
        <f>各项系数!$D$43</f>
        <v>钢带</v>
      </c>
      <c r="T129" s="78">
        <v>0.5</v>
      </c>
      <c r="U129" s="78">
        <v>2</v>
      </c>
      <c r="V129" s="172"/>
      <c r="W129" s="174">
        <v>3.8</v>
      </c>
      <c r="X129" s="164">
        <f t="shared" si="558"/>
        <v>0.2</v>
      </c>
      <c r="Y129" s="219"/>
      <c r="Z129" s="220"/>
      <c r="AA129" s="217">
        <f>$AA$33</f>
        <v>1.02</v>
      </c>
      <c r="AB129" s="186">
        <f>PI()*EJ129*EJ129/4*EH129*(1-H129)*AA129*各项系数!$F$5*各项系数!$J$4*10^-7</f>
        <v>4.26470519939525</v>
      </c>
      <c r="AC129" s="186">
        <f t="shared" si="561"/>
        <v>314.103042329295</v>
      </c>
      <c r="AD129" s="186">
        <f t="shared" si="341"/>
        <v>482.13002011127</v>
      </c>
      <c r="AE129" s="186">
        <f>POWER(4*EU129/PI()/EG129/10^-7/EH129/(1-H129)/各项系数!$F$5/各项系数!$J$4,0.5)</f>
        <v>317.228522715927</v>
      </c>
      <c r="AF129" s="218">
        <f>$AA$30</f>
        <v>1.015</v>
      </c>
      <c r="AG129" s="85">
        <f>IF(EM129=0,0,PI()*ER129*ER129/4*EP129*(1-K129)*(1+AF129)*各项系数!$F$5*各项系数!$J$4*10^-7)</f>
        <v>4.08953221706715</v>
      </c>
      <c r="AH129" s="85">
        <f t="shared" si="562"/>
        <v>246.701228113631</v>
      </c>
      <c r="AI129" s="85">
        <f t="shared" si="398"/>
        <v>232.884070800354</v>
      </c>
      <c r="AJ129" s="85">
        <f>IF(OR(EP129="",EP129=0),0,POWER(4*EW129/PI()/EO129/10^-7/EP129/(1-K129)/各项系数!$F$5/各项系数!$J$4,0.5))</f>
        <v>248.544600408187</v>
      </c>
      <c r="AK129" s="85">
        <f t="shared" si="342"/>
        <v>16.9140909831219</v>
      </c>
      <c r="AL129" s="85">
        <f t="shared" si="563"/>
        <v>1172.48470880368</v>
      </c>
      <c r="AM129" s="127">
        <f t="shared" si="564"/>
        <v>500</v>
      </c>
      <c r="AN129" s="118" t="s">
        <v>486</v>
      </c>
      <c r="AO129" s="259">
        <f>AP129+各项系数!$M$9*$NK129</f>
        <v>1149.49481255263</v>
      </c>
      <c r="AP129" s="259">
        <f>AQ129*(1+$BI129+(VLOOKUP($AM129,$A$12:$B$323,2,0))+各项系数!$J$6+各项系数!$M$5)*(1+$E$2)</f>
        <v>1143.10911826017</v>
      </c>
      <c r="AQ129" s="260">
        <f>AR129+各项系数!$L$9*$NK129</f>
        <v>1166.43787577568</v>
      </c>
      <c r="AR129" s="260">
        <f>AS129*(1+$BJ129+各项系数!$J$5+各项系数!$L$5)</f>
        <v>1160.05218148323</v>
      </c>
      <c r="AS129" s="260">
        <f t="shared" si="399"/>
        <v>1137.30606027767</v>
      </c>
      <c r="AT129" s="259">
        <f>AU129+各项系数!$M$9*$NM129</f>
        <v>1159.21638234181</v>
      </c>
      <c r="AU129" s="259">
        <f>AV129*(1+$BI129+(VLOOKUP($AM129,$A$12:$B$323,2,0))+各项系数!$J$6+各项系数!$M$5)*(1+$E$2)</f>
        <v>1152.83068804936</v>
      </c>
      <c r="AV129" s="260">
        <f>AW129+各项系数!$L$9*$NM129</f>
        <v>1176.35784494832</v>
      </c>
      <c r="AW129" s="260">
        <f>AX129*(1+$BJ129+各项系数!$J$5+各项系数!$L$5)</f>
        <v>1169.97215065587</v>
      </c>
      <c r="AX129" s="260">
        <f t="shared" si="400"/>
        <v>1147.03152025085</v>
      </c>
      <c r="AY129" s="259">
        <f>AZ129+各项系数!$M$9*$NS129</f>
        <v>1156.99273937635</v>
      </c>
      <c r="AZ129" s="259">
        <f>BA129*(1+$BI129+(VLOOKUP($AM129,$A$12:$B$214,2,0))+各项系数!$J$6+各项系数!$M$5)*(1+$E$2)</f>
        <v>1150.57412164041</v>
      </c>
      <c r="BA129" s="260">
        <f>BB129+各项系数!$L$9*$NS129</f>
        <v>1174.05522616368</v>
      </c>
      <c r="BB129" s="260">
        <f>BC129*(1+$BJ129+各项系数!$J$5+各项系数!$L$5)</f>
        <v>1167.63660842774</v>
      </c>
      <c r="BC129" s="262">
        <f t="shared" si="401"/>
        <v>1144.74177296838</v>
      </c>
      <c r="BD129" s="259">
        <f>BE129+各项系数!$M$9*$NS129</f>
        <v>1166.73321195342</v>
      </c>
      <c r="BE129" s="259">
        <f>BF129*(1+$BI129+(VLOOKUP($AM129,$A$12:$B$214,2,0))+各项系数!$J$6+各项系数!$M$5)*(1+$E$2)</f>
        <v>1160.31459421748</v>
      </c>
      <c r="BF129" s="260">
        <f>BG129+各项系数!$L$9*$NS129</f>
        <v>1183.99448389538</v>
      </c>
      <c r="BG129" s="260">
        <f>BH129*(1+$BJ129+各项系数!$J$5+各项系数!$L$5)</f>
        <v>1177.57586615945</v>
      </c>
      <c r="BH129" s="262">
        <f t="shared" si="402"/>
        <v>1154.48614329357</v>
      </c>
      <c r="BI129" s="277"/>
      <c r="BJ129" s="272"/>
      <c r="BK129" s="69" t="s">
        <v>514</v>
      </c>
      <c r="BL129" s="259">
        <f>BM129+各项系数!$M$9*$NM129</f>
        <v>1162.0907448646</v>
      </c>
      <c r="BM129" s="259">
        <f>BN129*(1+$CF129+(VLOOKUP($AM129,$A$12:$B$323,2,0))+各项系数!$J$6+各项系数!$M$5)*(1+$E$2)</f>
        <v>1155.70505057214</v>
      </c>
      <c r="BN129" s="260">
        <f>BO129+各项系数!$L$9*$NM129</f>
        <v>1179.29086793076</v>
      </c>
      <c r="BO129" s="260">
        <f>BP129*(1+$CG129+各项系数!$J$5+各项系数!$L$5)</f>
        <v>1172.9051736383</v>
      </c>
      <c r="BP129" s="260">
        <f t="shared" si="403"/>
        <v>1138.74288702748</v>
      </c>
      <c r="BQ129" s="259">
        <f>BR129+各项系数!$M$9*$NM129</f>
        <v>1170.45729124027</v>
      </c>
      <c r="BR129" s="259">
        <f>BS129*(1+$CF129+(VLOOKUP($AM129,$A$12:$B$323,2,0))+各项系数!$J$6+各项系数!$M$5)*(1+$E$2)</f>
        <v>1164.07159694781</v>
      </c>
      <c r="BS129" s="260">
        <f>BT129+各项系数!$L$9*$NM129</f>
        <v>1187.82816015083</v>
      </c>
      <c r="BT129" s="260">
        <f>BU129*(1+$CG129+各项系数!$J$5+各项系数!$L$5)</f>
        <v>1181.44246585837</v>
      </c>
      <c r="BU129" s="260">
        <f t="shared" si="404"/>
        <v>1147.03152025085</v>
      </c>
      <c r="BV129" s="259">
        <f>BW129+各项系数!$M$9*$NT129</f>
        <v>1163.3822144789</v>
      </c>
      <c r="BW129" s="259">
        <f>BX129*(1+$CF129+(VLOOKUP($AM129,$A$12:$B$214,2,0))+各项系数!$J$6+各项系数!$M$5)*(1+$E$2)</f>
        <v>1156.96359674296</v>
      </c>
      <c r="BX129" s="260">
        <f>BY129+各项系数!$L$9*$NT$12</f>
        <v>1180.5750987173</v>
      </c>
      <c r="BY129" s="260">
        <f>BZ129*(1+$CG129+各项系数!$J$5+各项系数!$L$5)</f>
        <v>1180.56683531415</v>
      </c>
      <c r="BZ129" s="262">
        <f t="shared" si="343"/>
        <v>1146.18139350888</v>
      </c>
      <c r="CA129" s="259">
        <f>CB129+各项系数!$M$9*$NT129</f>
        <v>1171.76502891157</v>
      </c>
      <c r="CB129" s="259">
        <f>CC129*(1+$CF129+(VLOOKUP($AM129,$A$12:$B$214,2,0))+各项系数!$J$6+各项系数!$M$5)*(1+$E$2)</f>
        <v>1165.34641117563</v>
      </c>
      <c r="CC129" s="260">
        <f>CD129+各项系数!$L$9*$NT$12</f>
        <v>1189.12899099554</v>
      </c>
      <c r="CD129" s="260">
        <f>CE129*(1+$CG129+各项系数!$J$5+各项系数!$L$5)</f>
        <v>1189.12072759238</v>
      </c>
      <c r="CE129" s="262">
        <f t="shared" si="405"/>
        <v>1154.48614329357</v>
      </c>
      <c r="CF129" s="277">
        <f t="shared" si="514"/>
        <v>0</v>
      </c>
      <c r="CG129" s="277">
        <f t="shared" si="344"/>
        <v>0.01</v>
      </c>
      <c r="CH129" s="127"/>
      <c r="CI129" s="259">
        <f>CJ129+各项系数!$M$9*$NO129</f>
        <v>1170.93126603393</v>
      </c>
      <c r="CJ129" s="259">
        <f>CK129*(1+$DC129+(VLOOKUP($AM129,$A$12:$B$323,2,0))+各项系数!$J$6+各项系数!$M$5)*(1+$E$2)+各项系数!$M$9*$NK129</f>
        <v>1162.66278564896</v>
      </c>
      <c r="CK129" s="260">
        <f>CL129+各项系数!$L$9*$NO129</f>
        <v>1179.87458301684</v>
      </c>
      <c r="CL129" s="260">
        <f>CM129*(1+$DD129+各项系数!$J$5+各项系数!$L$5)</f>
        <v>1171.60610263187</v>
      </c>
      <c r="CM129" s="260">
        <f t="shared" si="345"/>
        <v>1148.63343395281</v>
      </c>
      <c r="CN129" s="259">
        <f>CO129+各项系数!$M$9*$NO129</f>
        <v>1180.17040153049</v>
      </c>
      <c r="CO129" s="259">
        <f>CP129*(1+$DC129+(VLOOKUP($AM129,$A$12:$B$323,2,0))+各项系数!$J$6+各项系数!$M$5)*(1+$E$2)+各项系数!$M$9*$NK129</f>
        <v>1171.90192114552</v>
      </c>
      <c r="CP129" s="260">
        <f>CQ129+各项系数!$L$9*$NO129</f>
        <v>1189.30227229904</v>
      </c>
      <c r="CQ129" s="260">
        <f>CR129*(1+$DD129+各项系数!$J$5+各项系数!$L$5)</f>
        <v>1181.03379191407</v>
      </c>
      <c r="CR129" s="260">
        <f t="shared" si="346"/>
        <v>1157.87626658242</v>
      </c>
      <c r="CS129" s="259">
        <f>CT129+各项系数!$M$9*$NU129</f>
        <v>1172.30629484822</v>
      </c>
      <c r="CT129" s="259">
        <f t="shared" si="347"/>
        <v>1164.00373276563</v>
      </c>
      <c r="CU129" s="260">
        <f>CV129+各项系数!$L$9*$NU129</f>
        <v>1187.75891098533</v>
      </c>
      <c r="CV129" s="260">
        <f>CW129*(1+$DD129+各项系数!$J$5+各项系数!$L$5)</f>
        <v>1179.45634890273</v>
      </c>
      <c r="CW129" s="262">
        <f t="shared" si="348"/>
        <v>1156.32975382621</v>
      </c>
      <c r="CX129" s="259">
        <f>CY129+各项系数!$M$9*$NU129</f>
        <v>1182.37331308595</v>
      </c>
      <c r="CY129" s="259">
        <f t="shared" si="349"/>
        <v>1174.07075100335</v>
      </c>
      <c r="CZ129" s="260">
        <f>DA129+各项系数!$L$9*$NU129</f>
        <v>1198.03137857485</v>
      </c>
      <c r="DA129" s="260">
        <f>DB129*(1+$DD129+各项系数!$J$5+各项系数!$L$5)</f>
        <v>1189.72881649225</v>
      </c>
      <c r="DB129" s="262">
        <f t="shared" si="350"/>
        <v>1166.4008004826</v>
      </c>
      <c r="DC129" s="277">
        <f t="shared" si="571"/>
        <v>0</v>
      </c>
      <c r="DD129" s="277">
        <f t="shared" si="351"/>
        <v>0</v>
      </c>
      <c r="DE129" s="69" t="s">
        <v>498</v>
      </c>
      <c r="DF129" s="69" t="s">
        <v>513</v>
      </c>
      <c r="DG129" s="259">
        <f>DH129+各项系数!$M$9*$NQ129</f>
        <v>1183.68692301198</v>
      </c>
      <c r="DH129" s="259">
        <f>DI129*(1+$EA129+(VLOOKUP($AM129,$A$12:$B$323,2,0))+各项系数!$J$6+各项系数!$M$5)*(1+$E$2)+各项系数!$M$9*$NK129</f>
        <v>1175.41844262701</v>
      </c>
      <c r="DI129" s="260">
        <f>DJ129+各项系数!$L$9*$NQ129</f>
        <v>1192.89055952506</v>
      </c>
      <c r="DJ129" s="260">
        <f>DK129*(1+$EB129+各项系数!$J$5+各项系数!$L$5)</f>
        <v>1184.62207914009</v>
      </c>
      <c r="DK129" s="260">
        <f t="shared" si="352"/>
        <v>1150.11852343698</v>
      </c>
      <c r="DL129" s="259">
        <f>DM129+各项系数!$M$9*$NQ129</f>
        <v>1192.3345000723</v>
      </c>
      <c r="DM129" s="259">
        <f>DN129*(1+$EA129+(VLOOKUP($AM129,$A$12:$B$323,2,0))+各项系数!$J$6+各项系数!$M$5)*(1+$E$2)+各项系数!$M$9*$NK129</f>
        <v>1184.06601968733</v>
      </c>
      <c r="DN129" s="260">
        <f>DO129+各项系数!$L$9*$NQ129</f>
        <v>1201.71461774987</v>
      </c>
      <c r="DO129" s="260">
        <f>DP129*(1+$EB129+各项系数!$J$5+各项系数!$L$5)</f>
        <v>1193.4461373649</v>
      </c>
      <c r="DP129" s="260">
        <f t="shared" si="353"/>
        <v>1158.68557025718</v>
      </c>
      <c r="DQ129" s="259">
        <f>DR129+各项系数!$M$9*$NV129</f>
        <v>1185.14019581337</v>
      </c>
      <c r="DR129" s="259">
        <f t="shared" si="354"/>
        <v>1176.83763373077</v>
      </c>
      <c r="DS129" s="260">
        <f>DT129+各项系数!$L$9*$NV129</f>
        <v>1200.8547282967</v>
      </c>
      <c r="DT129" s="260">
        <f>DU129*(1+$EB129+各项系数!$J$5+各项系数!$L$5)</f>
        <v>1192.5521662141</v>
      </c>
      <c r="DU129" s="262">
        <f t="shared" si="355"/>
        <v>1157.81763710107</v>
      </c>
      <c r="DV129" s="259">
        <f>DW129+各项系数!$M$9*$NV129</f>
        <v>1181.70494561728</v>
      </c>
      <c r="DW129" s="259">
        <f t="shared" si="356"/>
        <v>1173.40238353468</v>
      </c>
      <c r="DX129" s="260">
        <f>DY129+各项系数!$L$9*$NV129</f>
        <v>1197.34937095375</v>
      </c>
      <c r="DY129" s="260">
        <f>DZ129*(1+$EB129+各项系数!$J$5+各项系数!$L$5)</f>
        <v>1189.04680887115</v>
      </c>
      <c r="DZ129" s="262">
        <f t="shared" si="357"/>
        <v>1154.41437754481</v>
      </c>
      <c r="EA129" s="277">
        <f t="shared" si="559"/>
        <v>0</v>
      </c>
      <c r="EB129" s="277">
        <f t="shared" si="358"/>
        <v>0.01</v>
      </c>
      <c r="EC129" s="302" t="str">
        <f t="shared" si="408"/>
        <v>3+2</v>
      </c>
      <c r="ED129" s="304" t="str">
        <f t="shared" si="565"/>
        <v>3*500</v>
      </c>
      <c r="EE129" s="251">
        <f t="shared" si="495"/>
        <v>500</v>
      </c>
      <c r="EF129" s="95" t="str">
        <f>LOOKUP(EH129,{1,7,10,14,19,24,30,37,48,61},{1,"1+6","2+8","4+10","1+6+12","2+8+14","4+10+16","1+6+12+18","3+9+15+21","1+6+12+18+24"})</f>
        <v>1+6+12+18+24</v>
      </c>
      <c r="EG129" s="250">
        <f t="shared" si="359"/>
        <v>3</v>
      </c>
      <c r="EH129" s="260">
        <f>VLOOKUP(EE129,各项系数!$B$87:$C$124,2,0)</f>
        <v>61</v>
      </c>
      <c r="EI129" s="250">
        <f>IF(EH129=0,0,VLOOKUP(EH129,各项系数!$D$142:$E$195,2,0))*1</f>
        <v>9</v>
      </c>
      <c r="EJ129" s="305">
        <f t="shared" si="409"/>
        <v>314.103042329295</v>
      </c>
      <c r="EK129" s="95" t="str">
        <f t="shared" si="566"/>
        <v>2*240</v>
      </c>
      <c r="EL129" s="251" t="str">
        <f t="shared" si="360"/>
        <v>240</v>
      </c>
      <c r="EM129" s="95">
        <f t="shared" si="567"/>
        <v>240</v>
      </c>
      <c r="EN129" s="95" t="str">
        <f>IF(EP129=0,0,LOOKUP(EP129,{1,7,10,14,19,24,30,37,48,61},{1,"1+6","2+8","4+10","1+6+12","2+8+14","4+10+16","1+6+12+18","3+9+15+21","1+6+12+18+24"}))</f>
        <v>3+9+15+21</v>
      </c>
      <c r="EO129" s="95" t="str">
        <f t="shared" si="568"/>
        <v>2</v>
      </c>
      <c r="EP129" s="95">
        <f>IF(EM129=0,0,IF(EM129&lt;10,1,IF(AND(EM129&gt;=10,EM129&lt;=35),7,LOOKUP(EM129,{50,70,95,120,150,185,240,300},{10,14,19,24,30,37,48,61})*1)))</f>
        <v>48</v>
      </c>
      <c r="EQ129" s="251">
        <f>IF(EP129=0,0,VLOOKUP(EP129,各项系数!$D$142:$E$195,2,0))*1</f>
        <v>8.15</v>
      </c>
      <c r="ER129" s="95">
        <f t="shared" si="569"/>
        <v>246.701228113631</v>
      </c>
      <c r="ES129" s="304">
        <f t="shared" si="570"/>
        <v>5</v>
      </c>
      <c r="ET129" s="251">
        <f>VLOOKUP(ES129,各项系数!$D$142:$E$195,2,0)*1</f>
        <v>2.7</v>
      </c>
      <c r="EU129" s="311">
        <f>((各项系数!$F$76/4*$EJ129^2*$EG129*$EH129*1*10^-7)*(1-$H129)*AA129)*(VLOOKUP($EY$9,各项系数!$D$4:$F$143,3,0))*各项系数!$J$4</f>
        <v>12.7941155981857</v>
      </c>
      <c r="EV129" s="312">
        <f>EU129*(VLOOKUP($EY$9,各项系数!$D$4:$F$143,2,0))</f>
        <v>838.014571681165</v>
      </c>
      <c r="EW129" s="324">
        <f>(IF($EO129=0,0,(各项系数!$F$76/4*$ER129^2*$EO129*$EP129*1*10^-7))*(1-$K129)*$AF129)*(VLOOKUP($EY$9,各项系数!$D$4:$F$143,3,0))*各项系数!$J$4</f>
        <v>4.11997538493614</v>
      </c>
      <c r="EX129" s="325">
        <f>EW129*(VLOOKUP($EY$9,各项系数!$D$4:$F$143,2,0))</f>
        <v>269.858387713317</v>
      </c>
      <c r="EY129" s="251">
        <f>((各项系数!$F$76/4*$EJ129^2*$EG129*$EH129*1*10^-7)*(1-$H129)*AA129+IF($EO129=0,0,(各项系数!$F$76/4*$ER129^2*$EO129*$EP129*1*10^-7))*(1-$K129)*$AF129)*(VLOOKUP($EY$9,各项系数!$D$4:$F$143,3,0))*各项系数!$J$4</f>
        <v>16.9140909831219</v>
      </c>
      <c r="EZ129" s="123">
        <v>1</v>
      </c>
      <c r="FA129" s="251">
        <f t="shared" si="515"/>
        <v>16.9140909831219</v>
      </c>
      <c r="FB129" s="326">
        <f>FA129*(VLOOKUP($EY$9,各项系数!$D$4:$F$143,2,0))</f>
        <v>1107.87295939448</v>
      </c>
      <c r="FC129" s="329"/>
      <c r="FD129" s="302">
        <f>各项系数!$F$76/4*($MN129^2-MK129^2)*10^-2*(VLOOKUP(L129,各项系数!$D$1:$F$143,3,0))*10^-3*10^2*$EG129*各项系数!$J$4</f>
        <v>0.691467348511759</v>
      </c>
      <c r="FE129" s="339">
        <f>FD129*VLOOKUP(L129,各项系数!$D$1:$F$143,2,0)</f>
        <v>7.05296695481994</v>
      </c>
      <c r="FF129" s="250">
        <f>各项系数!$F$76/4*($MO129^2-ML129^2)*10^-2*(VLOOKUP(L129,各项系数!$D$1:$F$143,3,0))*10^-3*10^2*$EO129*各项系数!$J$4</f>
        <v>0.254931530111681</v>
      </c>
      <c r="FG129" s="339">
        <f>FF129*VLOOKUP(L129,各项系数!$D$1:$F$143,2,0)</f>
        <v>2.60030160713914</v>
      </c>
      <c r="FH129" s="302">
        <f t="shared" si="410"/>
        <v>0.94639887862344</v>
      </c>
      <c r="FI129" s="123">
        <v>1</v>
      </c>
      <c r="FJ129" s="251">
        <f t="shared" si="516"/>
        <v>0.94639887862344</v>
      </c>
      <c r="FK129" s="339">
        <f>FJ129*VLOOKUP(L129,各项系数!$D$1:$F$143,2,0)</f>
        <v>9.65326856195909</v>
      </c>
      <c r="FL129" s="304"/>
      <c r="FM129" s="127"/>
      <c r="FN129" s="251"/>
      <c r="FO129" s="339"/>
      <c r="FP129" s="364">
        <f t="shared" si="517"/>
        <v>0.94639887862344</v>
      </c>
      <c r="FQ129" s="364">
        <f t="shared" si="518"/>
        <v>9.65326856195909</v>
      </c>
      <c r="FR129" s="365">
        <f>各项系数!$F$76/4*($MQ129^2-$MN129^2*$EG129-$MO129^2*$EO129)*10^-2</f>
        <v>14.3387719109074</v>
      </c>
      <c r="FS129" s="366">
        <f t="shared" si="411"/>
        <v>1</v>
      </c>
      <c r="FT129" s="367">
        <f t="shared" si="361"/>
        <v>14.3387719109074</v>
      </c>
      <c r="FU129" s="388">
        <f>$FT129*(VLOOKUP($FT$9,各项系数!$D$1:$F$143,3,0))*10^-3*10^2*各项系数!$J$55</f>
        <v>1.71204936616234</v>
      </c>
      <c r="FV129" s="389">
        <v>1</v>
      </c>
      <c r="FW129" s="390">
        <f t="shared" si="519"/>
        <v>1.71204936616234</v>
      </c>
      <c r="FX129" s="367">
        <f>FW129*(VLOOKUP($FT$9,各项系数!$D$1:$F$143,2,0))</f>
        <v>5.13614809848703</v>
      </c>
      <c r="FY129" s="388">
        <f>IF($BK129&lt;&gt;$FY$9,0,各项系数!$F$76/4*($MS129^2-$MQ129^2)*10^-2*(VLOOKUP($FY$9,各项系数!$D$1:$F$143,3,0))*10^-3*10^2)*各项系数!$J$4</f>
        <v>0</v>
      </c>
      <c r="FZ129" s="389">
        <v>1</v>
      </c>
      <c r="GA129" s="390">
        <f t="shared" si="520"/>
        <v>0</v>
      </c>
      <c r="GB129" s="367">
        <f>GA129*(VLOOKUP($FY$9,各项系数!$D$1:$F$143,2,0))</f>
        <v>0</v>
      </c>
      <c r="GC129" s="388">
        <f>IF($BK129&lt;&gt;$GC$9,0,各项系数!$F$76/4*($MS129^2-$MQ129^2)*10^-2*(VLOOKUP($GC$9,各项系数!$D$1:$F$143,3,0))*10^-3*10^2)*各项系数!$J$4</f>
        <v>0.0213501336965276</v>
      </c>
      <c r="GD129" s="389">
        <v>1</v>
      </c>
      <c r="GE129" s="390">
        <f t="shared" si="521"/>
        <v>0.0213501336965276</v>
      </c>
      <c r="GF129" s="367">
        <f>GE129*(VLOOKUP($GC$9,各项系数!$D$1:$F$143,2,0))</f>
        <v>0.275416724685206</v>
      </c>
      <c r="GG129" s="388">
        <f>IF($BK129&lt;&gt;$GG$9,0,各项系数!$F$76/4*($MS129^2-$MQ129^2)*10^-2*(VLOOKUP($GG$9,各项系数!$D$1:$F$143,3,0))*10^-3*10^2)*各项系数!$J$4</f>
        <v>0</v>
      </c>
      <c r="GH129" s="389">
        <v>1</v>
      </c>
      <c r="GI129" s="390">
        <f t="shared" si="522"/>
        <v>0</v>
      </c>
      <c r="GJ129" s="367">
        <f>GI129*(VLOOKUP($GG$9,各项系数!$D$1:$F$143,2,0))</f>
        <v>0</v>
      </c>
      <c r="GK129" s="388">
        <f>IF($BK129&lt;&gt;$GK$9,0,各项系数!$F$76/4*($MS129^2-$MQ129^2)*10^-2*(VLOOKUP($GK$9,各项系数!$D$1:$F$143,3,0))*10^-3*10^2)*各项系数!$J$4</f>
        <v>0</v>
      </c>
      <c r="GL129" s="389">
        <v>1</v>
      </c>
      <c r="GM129" s="390">
        <f t="shared" si="523"/>
        <v>0</v>
      </c>
      <c r="GN129" s="367">
        <f>GM129*(VLOOKUP($GK$9,各项系数!$D$1:$F$143,2,0))</f>
        <v>0</v>
      </c>
      <c r="GO129" s="390">
        <f t="shared" si="524"/>
        <v>0.0213501336965276</v>
      </c>
      <c r="GP129" s="390">
        <f t="shared" si="525"/>
        <v>0.275416724685206</v>
      </c>
      <c r="GQ129" s="406">
        <f>各项系数!$F$76/4*($MU129^2-$MS129^2)*10^-2*(VLOOKUP($S129,各项系数!$D$1:$F$143,3,0))*10^-3*10^2*各项系数!$J$4</f>
        <v>1.45267431470854</v>
      </c>
      <c r="GR129" s="389">
        <v>1</v>
      </c>
      <c r="GS129" s="390">
        <f t="shared" si="526"/>
        <v>1.45267431470854</v>
      </c>
      <c r="GT129" s="390">
        <f t="shared" si="457"/>
        <v>0</v>
      </c>
      <c r="GU129" s="390">
        <f>ROUND($GS129*(VLOOKUP($S129,各项系数!$D$1:$F$143,2,0))+$E$3*GS129,GT129)</f>
        <v>8</v>
      </c>
      <c r="GV129" s="406">
        <f>各项系数!$F$76/4*($MT129^2-$MS129^2)*10^-2*(VLOOKUP($GV$9,各项系数!$D$1:$F$143,3,0))*10^-3*10^2*各项系数!$J$4*PI()/4*R129</f>
        <v>0.109744811610283</v>
      </c>
      <c r="GW129" s="389">
        <v>1</v>
      </c>
      <c r="GX129" s="390">
        <f t="shared" si="527"/>
        <v>0.109744811610283</v>
      </c>
      <c r="GY129" s="390">
        <f>$GX129*(VLOOKUP($GV$9,各项系数!$D$1:$F$143,2,0))</f>
        <v>7.40777478369412</v>
      </c>
      <c r="GZ129" s="406">
        <f>各项系数!$F$76/4*($MV129^2-$MS129^2)*10^-2*(VLOOKUP($GZ$9,各项系数!$D$1:$F$143,3,0))*10^-3*10^2*各项系数!$J$4</f>
        <v>1.41727808654327</v>
      </c>
      <c r="HA129" s="389">
        <v>1</v>
      </c>
      <c r="HB129" s="390">
        <f t="shared" si="412"/>
        <v>1.41727808654327</v>
      </c>
      <c r="HC129" s="390">
        <f>HB129*(VLOOKUP($GZ$9,各项系数!$D$1:$F$143,2,0))</f>
        <v>24.0937274712355</v>
      </c>
      <c r="HD129" s="406">
        <f>各项系数!$F$76/4*($MW129^2-$MT129^2)*10^-2*(VLOOKUP($HD$9,各项系数!$D$1:$F$143,3,0))*10^-3*10^2*各项系数!$J$4</f>
        <v>1.42003386648626</v>
      </c>
      <c r="HE129" s="389">
        <v>1</v>
      </c>
      <c r="HF129" s="390">
        <f t="shared" si="413"/>
        <v>1.42003386648626</v>
      </c>
      <c r="HG129" s="390">
        <f>HF129*(VLOOKUP($HD$9,各项系数!$D$1:$F$143,2,0))</f>
        <v>24.1405757302663</v>
      </c>
      <c r="HH129" s="406">
        <f>各项系数!$F$76/4*($MV129^2-$MS129^2)*10^-2*(VLOOKUP($HH$9,各项系数!$D$1:$F$143,3,0))*10^-3*10^2*各项系数!$J$4</f>
        <v>1.41727808654327</v>
      </c>
      <c r="HI129" s="420">
        <v>1</v>
      </c>
      <c r="HJ129" s="390">
        <f t="shared" si="414"/>
        <v>1.41727808654327</v>
      </c>
      <c r="HK129" s="390">
        <f>HJ129*(VLOOKUP($HH$9,各项系数!$D$1:$F$143,2,0))</f>
        <v>24.0937274712355</v>
      </c>
      <c r="HL129" s="406">
        <f>各项系数!$F$76/4*($MW129^2-$MT129^2)*10^-2*(VLOOKUP($HL$9,各项系数!$D$1:$F$143,3,0))*10^-3*10^2*各项系数!$J$4</f>
        <v>1.42003386648626</v>
      </c>
      <c r="HM129" s="420">
        <v>1</v>
      </c>
      <c r="HN129" s="390">
        <f t="shared" si="362"/>
        <v>1.42003386648626</v>
      </c>
      <c r="HO129" s="390">
        <f>HN129*(VLOOKUP($HL$9,各项系数!$D$1:$F$143,2,0))</f>
        <v>24.1405757302663</v>
      </c>
      <c r="HP129" s="406">
        <f>各项系数!$F$76/4*($MV129^2-$MS129^2)*10^-2*(VLOOKUP(AN129,各项系数!$D$1:$F$143,3,0))*10^-3*10^2*各项系数!$J$4</f>
        <v>1.43682674980593</v>
      </c>
      <c r="HQ129" s="389">
        <v>1</v>
      </c>
      <c r="HR129" s="390">
        <f t="shared" si="528"/>
        <v>1.43682674980593</v>
      </c>
      <c r="HS129" s="390">
        <f>HR129*(VLOOKUP(AN129,各项系数!$D$1:$F$143,2,0))</f>
        <v>14.3682674980593</v>
      </c>
      <c r="HT129" s="406">
        <f>各项系数!$F$76/4*($MW129^2-$MT129^2)*10^-2*(VLOOKUP(AN129,各项系数!$D$1:$F$143,3,0))*10^-3*10^2*各项系数!$J$4</f>
        <v>1.43962054050676</v>
      </c>
      <c r="HU129" s="389">
        <v>1</v>
      </c>
      <c r="HV129" s="390">
        <f t="shared" si="529"/>
        <v>1.43962054050676</v>
      </c>
      <c r="HW129" s="390">
        <f>HV129*(VLOOKUP(AN129,各项系数!$D$1:$F$143,2,0))</f>
        <v>14.3962054050676</v>
      </c>
      <c r="HX129" s="406">
        <f>各项系数!$F$76/4*($MV129^2-$MS129^2)*10^-2*(VLOOKUP($HX$9,各项系数!$D$1:$F$143,3,0))*10^-3*10^2*各项系数!$J$4</f>
        <v>1.43682674980593</v>
      </c>
      <c r="HY129" s="420">
        <v>1</v>
      </c>
      <c r="HZ129" s="390">
        <f t="shared" si="530"/>
        <v>1.43682674980593</v>
      </c>
      <c r="IA129" s="390">
        <f>HZ129*(VLOOKUP($HX$9,各项系数!$D$1:$F$143,2,0))</f>
        <v>15.8050942478653</v>
      </c>
      <c r="IB129" s="406">
        <f>各项系数!$F$76/4*($MW129^2-$MT129^2)*10^-2*(VLOOKUP($IB$9,各项系数!$D$1:$F$143,3,0))*10^-3*10^2*各项系数!$J$4</f>
        <v>1.43962054050676</v>
      </c>
      <c r="IC129" s="420">
        <v>1</v>
      </c>
      <c r="ID129" s="390">
        <f t="shared" si="531"/>
        <v>1.43962054050676</v>
      </c>
      <c r="IE129" s="390">
        <f>ID129*(VLOOKUP($IB$9,各项系数!$D$1:$F$143,2,0))</f>
        <v>15.8358259455743</v>
      </c>
      <c r="IF129" s="395"/>
      <c r="IG129" s="406">
        <f t="shared" si="415"/>
        <v>0.177969289898199</v>
      </c>
      <c r="IH129" s="389">
        <v>1</v>
      </c>
      <c r="II129" s="390">
        <f t="shared" si="532"/>
        <v>0.177969289898199</v>
      </c>
      <c r="IJ129" s="390">
        <f>II129*(VLOOKUP($IG$8,各项系数!$D$1:$F$143,2,0))</f>
        <v>4.44923224745497</v>
      </c>
      <c r="IK129" s="406">
        <f>(各项系数!$F$76/4*($MX129^2-$MK129^2)*$EG129)*10^-2*(VLOOKUP($IG$8,各项系数!$D$1:$F$143,3,0))*10^-3*10^2*各项系数!$J$4</f>
        <v>0.120560744955396</v>
      </c>
      <c r="IL129" s="389">
        <f>IK129*(VLOOKUP($IG$8,各项系数!$D$1:$F$143,2,0))</f>
        <v>3.01401862388489</v>
      </c>
      <c r="IM129" s="390">
        <f>(各项系数!$F$76/4*(($MM129+3*$X129)^2-MM129^2)*$EO129)*10^-2*(VLOOKUP($IG$8,各项系数!$D$1:$F$143,3,0))*10^-3*10^2*各项系数!$J$4</f>
        <v>0.0574085449428031</v>
      </c>
      <c r="IN129" s="389">
        <f>IM129*(VLOOKUP($IG$8,各项系数!$D$1:$F$143,2,0))</f>
        <v>1.43521362357008</v>
      </c>
      <c r="IO129" s="406">
        <f>各项系数!$F$76/4*($MZ129^2-$MX129^2)*10^-2*(VLOOKUP(L129,各项系数!$D$1:$F$143,3,0))*10^-3*10^2*$ES129*各项系数!$J$4</f>
        <v>1.17513950370467</v>
      </c>
      <c r="IP129" s="389">
        <v>1</v>
      </c>
      <c r="IQ129" s="390">
        <f t="shared" si="533"/>
        <v>1.17513950370467</v>
      </c>
      <c r="IR129" s="367">
        <f>IQ129*(VLOOKUP(L129,各项系数!$D$1:$F$143,2,0))</f>
        <v>11.9864229377876</v>
      </c>
      <c r="IS129" s="406">
        <f>IF($L129&lt;&gt;$IS$9,0,各项系数!$F$76/4*($MZ129^2-$MX129^2)*10^-2*各项系数!$F$12*10^-3*10^2)*$ES129*各项系数!$J$4</f>
        <v>0</v>
      </c>
      <c r="IT129" s="396">
        <v>1</v>
      </c>
      <c r="IU129" s="390">
        <f t="shared" si="534"/>
        <v>0</v>
      </c>
      <c r="IV129" s="367">
        <f>IU129*各项系数!$E$12</f>
        <v>0</v>
      </c>
      <c r="IW129" s="388">
        <f t="shared" si="535"/>
        <v>1.17513950370467</v>
      </c>
      <c r="IX129" s="388">
        <f t="shared" si="536"/>
        <v>11.9864229377876</v>
      </c>
      <c r="IY129" s="447">
        <f>各项系数!$F$76/4*($NB129^2-$MZ129^2*$EG129-$NA129^2*$EO129)*10^-2</f>
        <v>15.5633641630149</v>
      </c>
      <c r="IZ129" s="366">
        <f t="shared" si="487"/>
        <v>1</v>
      </c>
      <c r="JA129" s="367">
        <f t="shared" si="363"/>
        <v>15.5633641630149</v>
      </c>
      <c r="JB129" s="364">
        <f>IF($DE129&lt;&gt;$JB$9,0,$JA129*各项系数!$F$32*10^-3*10^2)*各项系数!$J$4</f>
        <v>0</v>
      </c>
      <c r="JC129" s="123">
        <v>1</v>
      </c>
      <c r="JD129" s="251">
        <f t="shared" si="537"/>
        <v>0</v>
      </c>
      <c r="JE129" s="339">
        <f>JD129*各项系数!$E$32</f>
        <v>0</v>
      </c>
      <c r="JF129" s="364">
        <f>IF($DE129&lt;&gt;$JF$9,0,$JA129*VLOOKUP($JF$9,各项系数!$D$4:$F$540,2,0)*10^-3*10^2)*各项系数!$J$4</f>
        <v>7.74277367109991</v>
      </c>
      <c r="JG129" s="123">
        <v>1</v>
      </c>
      <c r="JH129" s="251">
        <f t="shared" si="364"/>
        <v>7.74277367109991</v>
      </c>
      <c r="JI129" s="339">
        <f>JH129*VLOOKUP($JF$9,各项系数!$D$4:$F$540,3,0)</f>
        <v>9.29132840531989</v>
      </c>
      <c r="JJ129" s="364">
        <f t="shared" si="538"/>
        <v>7.74277367109991</v>
      </c>
      <c r="JK129" s="251">
        <f t="shared" si="539"/>
        <v>9.29132840531989</v>
      </c>
      <c r="JL129" s="364">
        <f>IF($DF129&lt;&gt;$JL$9,0,各项系数!$F$76/4*($NE129^2-$NC129^2)*10^-2*各项系数!$F$39*10^-3*10^2)*各项系数!$J$4</f>
        <v>0.00912980630714785</v>
      </c>
      <c r="JM129" s="123">
        <v>1</v>
      </c>
      <c r="JN129" s="251">
        <f t="shared" si="540"/>
        <v>0.00912980630714785</v>
      </c>
      <c r="JO129" s="339">
        <f>JN129*各项系数!$E$39</f>
        <v>0.182596126142957</v>
      </c>
      <c r="JP129" s="364">
        <f>IF($DF129&lt;&gt;$JP$9,0,各项系数!$F$76/4*($NE129^2-$NC129^2)*10^-2*各项系数!$F$36*10^-3*10^2)*各项系数!$J$4</f>
        <v>0</v>
      </c>
      <c r="JQ129" s="123">
        <v>1</v>
      </c>
      <c r="JR129" s="251">
        <f t="shared" si="541"/>
        <v>0</v>
      </c>
      <c r="JS129" s="339">
        <f>JR129*各项系数!$E$36</f>
        <v>0</v>
      </c>
      <c r="JT129" s="364">
        <f>IF($DF129&lt;&gt;$JT$9,0,各项系数!$F$76/4*($NE129^2-$NC129^2)*10^-2*各项系数!$F$40*10^-3*10^2)*各项系数!$J$4</f>
        <v>0</v>
      </c>
      <c r="JU129" s="123">
        <v>1</v>
      </c>
      <c r="JV129" s="251">
        <f t="shared" si="542"/>
        <v>0</v>
      </c>
      <c r="JW129" s="339">
        <f>JV129*各项系数!$E$40</f>
        <v>0</v>
      </c>
      <c r="JX129" s="364">
        <f>IF($DF129&lt;&gt;$JX$9,0,各项系数!$F$76/4*($NE129^2-$NC129^2)*10^-2*各项系数!$F$38*10^-3*10^2)*各项系数!$J$4</f>
        <v>0</v>
      </c>
      <c r="JY129" s="123">
        <v>1</v>
      </c>
      <c r="JZ129" s="251">
        <f t="shared" si="543"/>
        <v>0</v>
      </c>
      <c r="KA129" s="339">
        <f>JZ129*各项系数!$E$38</f>
        <v>0</v>
      </c>
      <c r="KB129" s="364">
        <f>IF($DF129&lt;&gt;$KB$9,0,各项系数!$F$76/4*($NE129^2-$NC129^2)*10^-2*各项系数!$F$41*10^-3*10^2)*各项系数!$J$4</f>
        <v>0</v>
      </c>
      <c r="KC129" s="123">
        <v>1</v>
      </c>
      <c r="KD129" s="251">
        <f t="shared" si="544"/>
        <v>0</v>
      </c>
      <c r="KE129" s="339">
        <f>KD129*各项系数!$E$41</f>
        <v>0</v>
      </c>
      <c r="KF129" s="251">
        <f t="shared" si="545"/>
        <v>0.00912980630714785</v>
      </c>
      <c r="KG129" s="251">
        <f t="shared" si="546"/>
        <v>0.182596126142957</v>
      </c>
      <c r="KH129" s="302">
        <f>各项系数!$F$76/4*($NG129^2-$NE129^2)*10^-2*各项系数!$F$44*10^-3*10^2*各项系数!$J$4*0.75*$U129</f>
        <v>2.25502139069925</v>
      </c>
      <c r="KI129" s="123">
        <v>1</v>
      </c>
      <c r="KJ129" s="251">
        <f t="shared" si="547"/>
        <v>2.25502139069925</v>
      </c>
      <c r="KK129" s="251">
        <f>ROUND(KJ129*各项系数!$E$43,GT129)</f>
        <v>13</v>
      </c>
      <c r="KL129" s="302">
        <f>各项系数!$F$76/4*($NF129^2-$NE129^2)*10^-2*各项系数!$F$46*10^-3*10^2*各项系数!$J$4*PI()/4*R129</f>
        <v>0.113605658761275</v>
      </c>
      <c r="KM129" s="123">
        <v>1</v>
      </c>
      <c r="KN129" s="251">
        <f t="shared" si="548"/>
        <v>0.113605658761275</v>
      </c>
      <c r="KO129" s="251">
        <f>KN129*各项系数!$E$46</f>
        <v>7.66838196638609</v>
      </c>
      <c r="KP129" s="302">
        <f>各项系数!$F$76/4*($NH129^2-$NE129^2)*10^-2*(VLOOKUP($KP$9,各项系数!$D$1:$F$143,3,0))*10^-3*10^2*各项系数!$J$4</f>
        <v>1.46488418505838</v>
      </c>
      <c r="KQ129" s="123">
        <v>1</v>
      </c>
      <c r="KR129" s="251">
        <f t="shared" si="416"/>
        <v>1.46488418505838</v>
      </c>
      <c r="KS129" s="251">
        <f>KR129*(VLOOKUP($KP$9,各项系数!$D$1:$F$143,2,0))</f>
        <v>24.9030311459925</v>
      </c>
      <c r="KT129" s="302">
        <f>各项系数!$F$76/4*($NI129^2-$NF129^2)*10^-2*(VLOOKUP($KT$9,各项系数!$D$1:$F$143,3,0))*10^-3*10^2*各项系数!$J$4</f>
        <v>1.46763996500137</v>
      </c>
      <c r="KU129" s="123">
        <v>1</v>
      </c>
      <c r="KV129" s="251">
        <f t="shared" si="417"/>
        <v>1.46763996500137</v>
      </c>
      <c r="KW129" s="251">
        <f>KV129*(VLOOKUP($KT$9,各项系数!$D$1:$F$143,2,0))</f>
        <v>24.9498794050233</v>
      </c>
      <c r="KX129" s="251">
        <f>各项系数!$F$76/4*($NH129^2-$NE129^2)*10^-2*(VLOOKUP($KX$9,各项系数!$D$1:$F$143,3,0))*10^-3*10^2*各项系数!$J$4</f>
        <v>1.46488418505838</v>
      </c>
      <c r="KY129" s="479">
        <v>1</v>
      </c>
      <c r="KZ129" s="251">
        <f t="shared" si="418"/>
        <v>1.46488418505838</v>
      </c>
      <c r="LA129" s="251">
        <f>KZ129*(VLOOKUP($KX$9,各项系数!$D$1:$F$143,2,0))</f>
        <v>24.9030311459925</v>
      </c>
      <c r="LB129" s="251">
        <f>各项系数!$F$76/4*($NI129^2-$NF129^2)*10^-2*(VLOOKUP($LB$9,各项系数!$D$1:$F$143,3,0))*10^-3*10^2*各项系数!$J$4</f>
        <v>1.46763996500137</v>
      </c>
      <c r="LC129" s="479">
        <v>1</v>
      </c>
      <c r="LD129" s="251">
        <f t="shared" si="419"/>
        <v>1.46763996500137</v>
      </c>
      <c r="LE129" s="251">
        <f>LD129*(VLOOKUP($LB$9,各项系数!$D$1:$F$143,2,0))</f>
        <v>24.9498794050233</v>
      </c>
      <c r="LF129" s="302">
        <f>各项系数!$F$76/4*($NH129^2-$NE129^2)*10^-2*(VLOOKUP(AN129,各项系数!$D$1:$F$143,3,0))*10^-3*10^2*各项系数!$J$4</f>
        <v>1.48508948416264</v>
      </c>
      <c r="LG129" s="123">
        <v>1</v>
      </c>
      <c r="LH129" s="251">
        <f t="shared" si="549"/>
        <v>1.48508948416264</v>
      </c>
      <c r="LI129" s="251">
        <f>LH129*(VLOOKUP(AN129,各项系数!$D$1:$F$143,2,0))</f>
        <v>14.8508948416264</v>
      </c>
      <c r="LJ129" s="302">
        <f>各项系数!$F$76/4*($NI129^2-$NF129^2)*10^-2*(VLOOKUP(AN129,各项系数!$D$1:$F$143,3,0))*10^-3*10^2*各项系数!$J$4</f>
        <v>1.48788327486346</v>
      </c>
      <c r="LK129" s="123">
        <v>1</v>
      </c>
      <c r="LL129" s="251">
        <f t="shared" si="550"/>
        <v>1.48788327486346</v>
      </c>
      <c r="LM129" s="251">
        <f>LL129*(VLOOKUP(AN129,各项系数!$D$1:$F$143,2,0))</f>
        <v>14.8788327486346</v>
      </c>
      <c r="LN129" s="251">
        <f>各项系数!$F$76/4*($NH129^2-$NE129^2)*10^-2*(VLOOKUP($LN$9,各项系数!$D$1:$F$143,3,0))*10^-3*10^2*各项系数!$J$4</f>
        <v>1.48508948416264</v>
      </c>
      <c r="LO129" s="479">
        <v>1</v>
      </c>
      <c r="LP129" s="251">
        <f t="shared" si="551"/>
        <v>1.48508948416264</v>
      </c>
      <c r="LQ129" s="251">
        <f>LP129*(VLOOKUP($LN$9,各项系数!$D$1:$F$143,2,0))</f>
        <v>16.335984325789</v>
      </c>
      <c r="LR129" s="251">
        <f>各项系数!$F$76/4*($NI129^2-$NF129^2)*10^-2*(VLOOKUP($LR$9,各项系数!$D$1:$F$143,3,0))*10^-3*10^2*各项系数!$J$4</f>
        <v>1.48788327486346</v>
      </c>
      <c r="LS129" s="479">
        <v>1</v>
      </c>
      <c r="LT129" s="251">
        <f t="shared" si="552"/>
        <v>1.48788327486346</v>
      </c>
      <c r="LU129" s="251">
        <f>LT129*(VLOOKUP($LR$9,各项系数!$D$1:$F$143,2,0))</f>
        <v>16.366716023498</v>
      </c>
      <c r="LV129" s="499">
        <f t="shared" si="420"/>
        <v>1882.95716235</v>
      </c>
      <c r="LW129" s="499">
        <f t="shared" si="421"/>
        <v>1418.02946794</v>
      </c>
      <c r="LX129" s="499">
        <f t="shared" si="422"/>
        <v>42.4910719349485</v>
      </c>
      <c r="LY129" s="515">
        <f t="shared" si="423"/>
        <v>464.92769441</v>
      </c>
      <c r="LZ129" s="516">
        <f t="shared" si="365"/>
        <v>1</v>
      </c>
      <c r="MA129" s="517">
        <f t="shared" si="366"/>
        <v>1882.95716235</v>
      </c>
      <c r="MB129" s="517">
        <f t="shared" si="424"/>
        <v>28.26927378</v>
      </c>
      <c r="MC129" s="499">
        <f t="shared" si="425"/>
        <v>635.00583714</v>
      </c>
      <c r="MD129" s="499">
        <f t="shared" si="426"/>
        <v>458.88486815</v>
      </c>
      <c r="ME129" s="499">
        <f t="shared" si="427"/>
        <v>24.1716851007364</v>
      </c>
      <c r="MF129" s="499">
        <f t="shared" si="428"/>
        <v>176.12096899</v>
      </c>
      <c r="MG129" s="516">
        <f t="shared" si="429"/>
        <v>1</v>
      </c>
      <c r="MH129" s="517">
        <f t="shared" si="367"/>
        <v>635.00583714</v>
      </c>
      <c r="MI129" s="517">
        <f t="shared" si="430"/>
        <v>20.106150091257</v>
      </c>
      <c r="MJ129" s="251">
        <f t="shared" si="368"/>
        <v>28.26927378</v>
      </c>
      <c r="MK129" s="251">
        <f t="shared" si="431"/>
        <v>28.26927378</v>
      </c>
      <c r="ML129" s="251">
        <f t="shared" si="553"/>
        <v>20.1061500912609</v>
      </c>
      <c r="MM129" s="251">
        <f t="shared" si="369"/>
        <v>20.106150091257</v>
      </c>
      <c r="MN129" s="251">
        <f t="shared" si="370"/>
        <v>32.66927378</v>
      </c>
      <c r="MO129" s="251">
        <f t="shared" si="432"/>
        <v>23.506150091257</v>
      </c>
      <c r="MP129" s="251">
        <f t="shared" si="433"/>
        <v>78.31086562</v>
      </c>
      <c r="MQ129" s="251">
        <f t="shared" si="554"/>
        <v>78.31086562</v>
      </c>
      <c r="MR129" s="314">
        <f t="shared" si="434"/>
        <v>78.31086562</v>
      </c>
      <c r="MS129" s="530">
        <f t="shared" si="371"/>
        <v>78.48686562</v>
      </c>
      <c r="MT129" s="530">
        <f t="shared" si="372"/>
        <v>78.64686562</v>
      </c>
      <c r="MU129" s="530">
        <f t="shared" si="373"/>
        <v>79.98686562</v>
      </c>
      <c r="MV129" s="530">
        <f t="shared" si="374"/>
        <v>86.08686562</v>
      </c>
      <c r="MW129" s="530">
        <f t="shared" si="375"/>
        <v>86.24686562</v>
      </c>
      <c r="MX129" s="326">
        <f t="shared" si="376"/>
        <v>28.86927378</v>
      </c>
      <c r="MY129" s="326">
        <f t="shared" si="377"/>
        <v>20.706150091257</v>
      </c>
      <c r="MZ129" s="251">
        <f t="shared" si="378"/>
        <v>33.26927378</v>
      </c>
      <c r="NA129" s="251">
        <f t="shared" si="379"/>
        <v>25.106150091257</v>
      </c>
      <c r="NB129" s="251">
        <f t="shared" si="435"/>
        <v>81.01086562</v>
      </c>
      <c r="NC129" s="326">
        <f t="shared" si="555"/>
        <v>81.01086562</v>
      </c>
      <c r="ND129" s="314">
        <f t="shared" si="436"/>
        <v>81.01086562</v>
      </c>
      <c r="NE129" s="537">
        <f t="shared" si="437"/>
        <v>81.25086562</v>
      </c>
      <c r="NF129" s="530">
        <f t="shared" si="380"/>
        <v>81.41086562</v>
      </c>
      <c r="NG129" s="538">
        <f t="shared" si="381"/>
        <v>82.75086562</v>
      </c>
      <c r="NH129" s="326">
        <f t="shared" si="382"/>
        <v>88.85086562</v>
      </c>
      <c r="NI129" s="530">
        <f t="shared" si="383"/>
        <v>89.01086562</v>
      </c>
      <c r="NK129" s="539">
        <f t="shared" si="384"/>
        <v>21.2856476415218</v>
      </c>
      <c r="NL129" s="539">
        <f t="shared" si="385"/>
        <v>1139.90636188481</v>
      </c>
      <c r="NM129" s="539">
        <f t="shared" si="386"/>
        <v>21.2856476415218</v>
      </c>
      <c r="NN129" s="539">
        <f t="shared" si="387"/>
        <v>1141.34318863462</v>
      </c>
      <c r="NO129" s="539">
        <f t="shared" si="388"/>
        <v>27.5616012832372</v>
      </c>
      <c r="NP129" s="539">
        <f t="shared" si="389"/>
        <v>1150.06864757638</v>
      </c>
      <c r="NQ129" s="539">
        <f t="shared" si="390"/>
        <v>27.5616012832372</v>
      </c>
      <c r="NR129" s="539">
        <f t="shared" si="391"/>
        <v>1151.55373706055</v>
      </c>
      <c r="NS129" s="539">
        <f t="shared" si="392"/>
        <v>21.3953924531321</v>
      </c>
      <c r="NT129" s="539">
        <f t="shared" si="393"/>
        <v>21.3953924531321</v>
      </c>
      <c r="NU129" s="539">
        <f t="shared" si="394"/>
        <v>27.6752069419985</v>
      </c>
      <c r="NV129" s="539">
        <f t="shared" si="395"/>
        <v>27.6752069419985</v>
      </c>
      <c r="NW129">
        <f t="shared" si="396"/>
        <v>22.7383219562303</v>
      </c>
      <c r="NX129">
        <f>各项系数!$M$9*NK129</f>
        <v>6.38569429245654</v>
      </c>
      <c r="NY129">
        <f t="shared" si="397"/>
        <v>21.3953924531321</v>
      </c>
    </row>
    <row r="130" customHeight="1" spans="1:389">
      <c r="A130" s="85"/>
      <c r="B130" s="86"/>
      <c r="C130" s="87"/>
      <c r="D130" s="261" t="s">
        <v>935</v>
      </c>
      <c r="E130" s="70">
        <f t="shared" si="560"/>
        <v>95.74620446</v>
      </c>
      <c r="F130" s="84">
        <f>$F$34</f>
        <v>357.206594414564</v>
      </c>
      <c r="G130" s="74"/>
      <c r="H130" s="23"/>
      <c r="I130" s="174">
        <f>$F$31</f>
        <v>245.118138379664</v>
      </c>
      <c r="J130" s="78"/>
      <c r="K130" s="23"/>
      <c r="L130" s="118" t="s">
        <v>467</v>
      </c>
      <c r="M130" s="124">
        <f t="shared" si="339"/>
        <v>2.4</v>
      </c>
      <c r="N130" s="124">
        <f t="shared" si="501"/>
        <v>1.8</v>
      </c>
      <c r="O130" s="69">
        <f t="shared" si="572"/>
        <v>0.08</v>
      </c>
      <c r="P130" s="120">
        <v>0.1</v>
      </c>
      <c r="Q130" s="162">
        <f t="shared" si="557"/>
        <v>0.1</v>
      </c>
      <c r="R130" s="86">
        <v>0.8</v>
      </c>
      <c r="S130" s="171" t="str">
        <f>各项系数!$D$43</f>
        <v>钢带</v>
      </c>
      <c r="T130" s="78">
        <v>0.5</v>
      </c>
      <c r="U130" s="78">
        <v>2</v>
      </c>
      <c r="V130" s="172"/>
      <c r="W130" s="174">
        <v>4</v>
      </c>
      <c r="X130" s="164">
        <f t="shared" si="558"/>
        <v>0.2</v>
      </c>
      <c r="Y130" s="219"/>
      <c r="Z130" s="220"/>
      <c r="AA130" s="217">
        <f>$AA$34</f>
        <v>1.03</v>
      </c>
      <c r="AB130" s="186">
        <f>PI()*EJ130*EJ130/4*EH130*(1-H130)*AA130*各项系数!$F$5*各项系数!$J$4*10^-7</f>
        <v>5.56955783990862</v>
      </c>
      <c r="AC130" s="186">
        <f t="shared" si="561"/>
        <v>357.206594414564</v>
      </c>
      <c r="AD130" s="186">
        <f t="shared" si="341"/>
        <v>629.645170725237</v>
      </c>
      <c r="AE130" s="186">
        <f>POWER(4*EU130/PI()/EG130/10^-7/EH130/(1-H130)/各项系数!$F$5/各项系数!$J$4,0.5)</f>
        <v>362.525099304928</v>
      </c>
      <c r="AF130" s="218">
        <f>$AA$31</f>
        <v>1.02</v>
      </c>
      <c r="AG130" s="85">
        <f>IF(EM130=0,0,PI()*ER130*ER130/4*EP130*(1-K130)*(1+AF130)*各项系数!$F$5*各项系数!$J$4*10^-7)</f>
        <v>5.14335885944488</v>
      </c>
      <c r="AH130" s="85">
        <f t="shared" si="562"/>
        <v>245.118138379664</v>
      </c>
      <c r="AI130" s="85">
        <f t="shared" si="398"/>
        <v>293.609962330657</v>
      </c>
      <c r="AJ130" s="85">
        <f>IF(OR(EP130="",EP130=0),0,POWER(4*EW130/PI()/EO130/10^-7/EP130/(1-K130)/各项系数!$F$5/各项系数!$J$4,0.5))</f>
        <v>247.557184904753</v>
      </c>
      <c r="AK130" s="85">
        <f t="shared" si="342"/>
        <v>21.9029567243137</v>
      </c>
      <c r="AL130" s="85">
        <f t="shared" si="563"/>
        <v>1515.1614031484</v>
      </c>
      <c r="AM130" s="127">
        <f t="shared" si="564"/>
        <v>630</v>
      </c>
      <c r="AN130" s="118" t="s">
        <v>486</v>
      </c>
      <c r="AO130" s="259">
        <f>AP130+各项系数!$M$9*$NK130</f>
        <v>1485.45235602785</v>
      </c>
      <c r="AP130" s="259">
        <f>AQ130*(1+$BI130+(VLOOKUP($AM130,$A$12:$B$323,2,0))+各项系数!$J$6+各项系数!$M$5)*(1+$E$2)</f>
        <v>1477.29991995298</v>
      </c>
      <c r="AQ130" s="260">
        <f>AR130+各项系数!$L$9*$NK130</f>
        <v>1507.4488979112</v>
      </c>
      <c r="AR130" s="260">
        <f>AS130*(1+$BJ130+各项系数!$J$5+各项系数!$L$5)</f>
        <v>1499.29646183633</v>
      </c>
      <c r="AS130" s="260">
        <f t="shared" si="399"/>
        <v>1469.89849199641</v>
      </c>
      <c r="AT130" s="259">
        <f>AU130+各项系数!$M$9*$NM130</f>
        <v>1496.86195498748</v>
      </c>
      <c r="AU130" s="259">
        <f>AV130*(1+$BI130+(VLOOKUP($AM130,$A$12:$B$323,2,0))+各项系数!$J$6+各项系数!$M$5)*(1+$E$2)</f>
        <v>1488.70951891261</v>
      </c>
      <c r="AV130" s="260">
        <f>AW130+各项系数!$L$9*$NM130</f>
        <v>1519.09134582919</v>
      </c>
      <c r="AW130" s="260">
        <f>AX130*(1+$BJ130+各项系数!$J$5+各项系数!$L$5)</f>
        <v>1510.93890975433</v>
      </c>
      <c r="AX130" s="260">
        <f t="shared" si="400"/>
        <v>1481.31265662189</v>
      </c>
      <c r="AY130" s="259">
        <f>AZ130+各项系数!$M$9*$NS130</f>
        <v>1493.83211441271</v>
      </c>
      <c r="AZ130" s="259">
        <f>BA130*(1+$BI130+(VLOOKUP($AM130,$A$12:$B$214,2,0))+各项系数!$J$6+各项系数!$M$5)*(1+$E$2)</f>
        <v>1485.6428747686</v>
      </c>
      <c r="BA130" s="260">
        <f>BB130+各项系数!$L$9*$NS130</f>
        <v>1515.96211711082</v>
      </c>
      <c r="BB130" s="260">
        <f>BC130*(1+$BJ130+各项系数!$J$5+各项系数!$L$5)</f>
        <v>1507.77287746671</v>
      </c>
      <c r="BC130" s="262">
        <f t="shared" si="401"/>
        <v>1478.20870339874</v>
      </c>
      <c r="BD130" s="259">
        <f>BE130+各项系数!$M$9*$NS130</f>
        <v>1505.2616110438</v>
      </c>
      <c r="BE130" s="259">
        <f>BF130*(1+$BI130+(VLOOKUP($AM130,$A$12:$B$214,2,0))+各项系数!$J$6+各项系数!$M$5)*(1+$E$2)</f>
        <v>1497.07237139969</v>
      </c>
      <c r="BF130" s="562">
        <f>BG130+各项系数!$L$9*$NS130</f>
        <v>1527.62486877519</v>
      </c>
      <c r="BG130" s="260">
        <f>BH130*(1+$BJ130+各项系数!$J$5+各项系数!$L$5)</f>
        <v>1519.43562913109</v>
      </c>
      <c r="BH130" s="262">
        <f t="shared" si="402"/>
        <v>1489.64277365793</v>
      </c>
      <c r="BI130" s="277"/>
      <c r="BJ130" s="272"/>
      <c r="BK130" s="69" t="s">
        <v>514</v>
      </c>
      <c r="BL130" s="259">
        <f>BM130+各项系数!$M$9*$NM130</f>
        <v>1501.55952636763</v>
      </c>
      <c r="BM130" s="259">
        <f>BN130*(1+$CF130+(VLOOKUP($AM130,$A$12:$B$323,2,0))+各项系数!$J$6+各项系数!$M$5)*(1+$E$2)</f>
        <v>1493.40709029276</v>
      </c>
      <c r="BN130" s="260">
        <f>BO130+各项系数!$L$9*$NM130</f>
        <v>1523.88478601302</v>
      </c>
      <c r="BO130" s="260">
        <f>BP130*(1+$CG130+各项系数!$J$5+各项系数!$L$5)</f>
        <v>1515.73234993815</v>
      </c>
      <c r="BP130" s="260">
        <f t="shared" si="403"/>
        <v>1471.5848057652</v>
      </c>
      <c r="BQ130" s="259">
        <f>BR130+各项系数!$M$9*$NM130</f>
        <v>1511.37881902237</v>
      </c>
      <c r="BR130" s="259">
        <f>BS130*(1+$CF130+(VLOOKUP($AM130,$A$12:$B$323,2,0))+各项系数!$J$6+各项系数!$M$5)*(1+$E$2)</f>
        <v>1503.22638294751</v>
      </c>
      <c r="BS130" s="260">
        <f>BT130+各项系数!$L$9*$NM130</f>
        <v>1533.90447239541</v>
      </c>
      <c r="BT130" s="260">
        <f>BU130*(1+$CG130+各项系数!$J$5+各项系数!$L$5)</f>
        <v>1525.75203632055</v>
      </c>
      <c r="BU130" s="260">
        <f t="shared" si="404"/>
        <v>1481.31265662189</v>
      </c>
      <c r="BV130" s="259">
        <f>BW130+各项系数!$M$9*$NT130</f>
        <v>1502.00633658424</v>
      </c>
      <c r="BW130" s="259">
        <f>BX130*(1+$CF130+(VLOOKUP($AM130,$A$12:$B$214,2,0))+各项系数!$J$6+各项系数!$M$5)*(1+$E$2)</f>
        <v>1493.81709694013</v>
      </c>
      <c r="BX130" s="260">
        <f>BY130+各项系数!$L$9*$NT$12</f>
        <v>1524.30316014299</v>
      </c>
      <c r="BY130" s="260">
        <f>BZ130*(1+$CG130+各项系数!$J$5+各项系数!$L$5)</f>
        <v>1524.29489673984</v>
      </c>
      <c r="BZ130" s="262">
        <f t="shared" si="343"/>
        <v>1479.89795799984</v>
      </c>
      <c r="CA130" s="259">
        <f>CB130+各项系数!$M$9*$NT130</f>
        <v>1511.84275350951</v>
      </c>
      <c r="CB130" s="259">
        <f>CC130*(1+$CF130+(VLOOKUP($AM130,$A$12:$B$214,2,0))+各项系数!$J$6+各项系数!$M$5)*(1+$E$2)</f>
        <v>1503.6535138654</v>
      </c>
      <c r="CC130" s="260">
        <f>CD130+各项系数!$L$9*$NT$12</f>
        <v>1534.34032027082</v>
      </c>
      <c r="CD130" s="260">
        <f>CE130*(1+$CG130+各项系数!$J$5+各项系数!$L$5)</f>
        <v>1534.33205686767</v>
      </c>
      <c r="CE130" s="262">
        <f t="shared" si="405"/>
        <v>1489.64277365793</v>
      </c>
      <c r="CF130" s="277">
        <f t="shared" si="514"/>
        <v>0</v>
      </c>
      <c r="CG130" s="277">
        <f t="shared" si="344"/>
        <v>0.01</v>
      </c>
      <c r="CH130" s="127"/>
      <c r="CI130" s="259">
        <f>CJ130+各项系数!$M$9*$NO130</f>
        <v>1511.84778391138</v>
      </c>
      <c r="CJ130" s="259">
        <f>CK130*(1+$DC130+(VLOOKUP($AM130,$A$12:$B$323,2,0))+各项系数!$J$6+各项系数!$M$5)*(1+$E$2)+各项系数!$M$9*$NK130</f>
        <v>1501.36582391048</v>
      </c>
      <c r="CK130" s="260">
        <f>CL130+各项系数!$L$9*$NO130</f>
        <v>1523.6871304445</v>
      </c>
      <c r="CL130" s="260">
        <f>CM130*(1+$DD130+各项系数!$J$5+各项系数!$L$5)</f>
        <v>1513.2051704436</v>
      </c>
      <c r="CM130" s="260">
        <f t="shared" si="345"/>
        <v>1483.53448082706</v>
      </c>
      <c r="CN130" s="259">
        <f>CO130+各项系数!$M$9*$NO130</f>
        <v>1522.70987194404</v>
      </c>
      <c r="CO130" s="259">
        <f>CP130*(1+$DC130+(VLOOKUP($AM130,$A$12:$B$323,2,0))+各项系数!$J$6+各项系数!$M$5)*(1+$E$2)+各项系数!$M$9*$NK130</f>
        <v>1512.22791194314</v>
      </c>
      <c r="CP130" s="260">
        <f>CQ130+各项系数!$L$9*$NO130</f>
        <v>1534.77089374314</v>
      </c>
      <c r="CQ130" s="260">
        <f>CR130*(1+$DD130+各项系数!$J$5+各项系数!$L$5)</f>
        <v>1524.28893374224</v>
      </c>
      <c r="CR130" s="260">
        <f t="shared" si="346"/>
        <v>1494.40091543357</v>
      </c>
      <c r="CS130" s="259">
        <f>CT130+各项系数!$M$9*$NU130</f>
        <v>1512.35843940641</v>
      </c>
      <c r="CT130" s="259">
        <f t="shared" si="347"/>
        <v>1501.83842706733</v>
      </c>
      <c r="CU130" s="260">
        <f>CV130+各项系数!$L$9*$NU130</f>
        <v>1532.48819088503</v>
      </c>
      <c r="CV130" s="260">
        <f>CW130*(1+$DD130+各项系数!$J$5+各项系数!$L$5)</f>
        <v>1521.96817854594</v>
      </c>
      <c r="CW130" s="262">
        <f t="shared" si="348"/>
        <v>1492.12566524112</v>
      </c>
      <c r="CX130" s="259">
        <f>CY130+各项系数!$M$9*$NU130</f>
        <v>1524.15853016833</v>
      </c>
      <c r="CY130" s="259">
        <f t="shared" si="349"/>
        <v>1513.63851782925</v>
      </c>
      <c r="CZ130" s="260">
        <f>DA130+各项系数!$L$9*$NU130</f>
        <v>1544.52909982577</v>
      </c>
      <c r="DA130" s="260">
        <f>DB130*(1+$DD130+各项系数!$J$5+各项系数!$L$5)</f>
        <v>1534.00908748669</v>
      </c>
      <c r="DB130" s="262">
        <f t="shared" si="350"/>
        <v>1503.93047792812</v>
      </c>
      <c r="DC130" s="277">
        <f t="shared" si="571"/>
        <v>0</v>
      </c>
      <c r="DD130" s="277">
        <f t="shared" si="351"/>
        <v>0</v>
      </c>
      <c r="DE130" s="69" t="s">
        <v>498</v>
      </c>
      <c r="DF130" s="69" t="s">
        <v>513</v>
      </c>
      <c r="DG130" s="259">
        <f>DH130+各项系数!$M$9*$NQ130</f>
        <v>1528.14387480982</v>
      </c>
      <c r="DH130" s="259">
        <f>DI130*(1+$EA130+(VLOOKUP($AM130,$A$12:$B$323,2,0))+各项系数!$J$6+各项系数!$M$5)*(1+$E$2)+各项系数!$M$9*$NK130</f>
        <v>1517.66191480892</v>
      </c>
      <c r="DI130" s="260">
        <f>DJ130+各项系数!$L$9*$NQ130</f>
        <v>1540.31579462658</v>
      </c>
      <c r="DJ130" s="260">
        <f>DK130*(1+$EB130+各项系数!$J$5+各项系数!$L$5)</f>
        <v>1529.83383462568</v>
      </c>
      <c r="DK130" s="260">
        <f t="shared" si="352"/>
        <v>1485.27556759775</v>
      </c>
      <c r="DL130" s="259">
        <f>DM130+各项系数!$M$9*$NQ130</f>
        <v>1538.28210700308</v>
      </c>
      <c r="DM130" s="259">
        <f>DN130*(1+$EA130+(VLOOKUP($AM130,$A$12:$B$323,2,0))+各项系数!$J$6+各项系数!$M$5)*(1+$E$2)+各项系数!$M$9*$NK130</f>
        <v>1527.80014700218</v>
      </c>
      <c r="DN130" s="260">
        <f>DO130+各项系数!$L$9*$NQ130</f>
        <v>1550.66092951767</v>
      </c>
      <c r="DO130" s="260">
        <f>DP130*(1+$EB130+各项系数!$J$5+各项系数!$L$5)</f>
        <v>1540.17896951677</v>
      </c>
      <c r="DP130" s="260">
        <f t="shared" si="353"/>
        <v>1495.31938788036</v>
      </c>
      <c r="DQ130" s="259">
        <f>DR130+各项系数!$M$9*$NV130</f>
        <v>1528.74169238824</v>
      </c>
      <c r="DR130" s="259">
        <f t="shared" si="354"/>
        <v>1518.22168004916</v>
      </c>
      <c r="DS130" s="260">
        <f>DT130+各项系数!$L$9*$NV130</f>
        <v>1549.20579596853</v>
      </c>
      <c r="DT130" s="260">
        <f>DU130*(1+$EB130+各项系数!$J$5+各项系数!$L$5)</f>
        <v>1538.68578362945</v>
      </c>
      <c r="DU130" s="262">
        <f t="shared" si="355"/>
        <v>1493.86969284413</v>
      </c>
      <c r="DV130" s="259">
        <f>DW130+各项系数!$M$9*$NV130</f>
        <v>1523.96503763972</v>
      </c>
      <c r="DW130" s="259">
        <f t="shared" si="356"/>
        <v>1513.44502530064</v>
      </c>
      <c r="DX130" s="260">
        <f>DY130+各项系数!$L$9*$NV130</f>
        <v>1544.33165847004</v>
      </c>
      <c r="DY130" s="260">
        <f>DZ130*(1+$EB130+各项系数!$J$5+各项系数!$L$5)</f>
        <v>1533.81164613095</v>
      </c>
      <c r="DZ130" s="262">
        <f t="shared" si="357"/>
        <v>1489.13752051549</v>
      </c>
      <c r="EA130" s="277">
        <f t="shared" si="559"/>
        <v>0</v>
      </c>
      <c r="EB130" s="277">
        <f t="shared" si="358"/>
        <v>0.01</v>
      </c>
      <c r="EC130" s="302" t="str">
        <f t="shared" si="408"/>
        <v>3+2</v>
      </c>
      <c r="ED130" s="304" t="str">
        <f t="shared" si="565"/>
        <v>3*630</v>
      </c>
      <c r="EE130" s="251">
        <f t="shared" si="495"/>
        <v>630</v>
      </c>
      <c r="EF130" s="95" t="str">
        <f>LOOKUP(EH130,{1,7,10,14,19,24,30,37,48,61},{1,"1+6","2+8","4+10","1+6+12","2+8+14","4+10+16","1+6+12+18","3+9+15+21","1+6+12+18+24"})</f>
        <v>1+6+12+18+24</v>
      </c>
      <c r="EG130" s="250">
        <f t="shared" si="359"/>
        <v>3</v>
      </c>
      <c r="EH130" s="260">
        <f>VLOOKUP(EE130,各项系数!$B$87:$C$124,2,0)</f>
        <v>61</v>
      </c>
      <c r="EI130" s="250">
        <f>IF(EH130=0,0,VLOOKUP(EH130,各项系数!$D$142:$E$195,2,0))*1</f>
        <v>9</v>
      </c>
      <c r="EJ130" s="305">
        <f t="shared" si="409"/>
        <v>357.206594414564</v>
      </c>
      <c r="EK130" s="95" t="str">
        <f t="shared" si="566"/>
        <v>2*300</v>
      </c>
      <c r="EL130" s="251" t="str">
        <f t="shared" si="360"/>
        <v>300</v>
      </c>
      <c r="EM130" s="95">
        <f t="shared" si="567"/>
        <v>300</v>
      </c>
      <c r="EN130" s="95" t="str">
        <f>IF(EP130=0,0,LOOKUP(EP130,{1,7,10,14,19,24,30,37,48,61},{1,"1+6","2+8","4+10","1+6+12","2+8+14","4+10+16","1+6+12+18","3+9+15+21","1+6+12+18+24"}))</f>
        <v>1+6+12+18+24</v>
      </c>
      <c r="EO130" s="95" t="str">
        <f t="shared" si="568"/>
        <v>2</v>
      </c>
      <c r="EP130" s="95">
        <f>IF(EM130=0,0,IF(EM130&lt;10,1,IF(AND(EM130&gt;=10,EM130&lt;=35),7,LOOKUP(EM130,{50,70,95,120,150,185,240,300},{10,14,19,24,30,37,48,61})*1)))</f>
        <v>61</v>
      </c>
      <c r="EQ130" s="251">
        <f>IF(EP130=0,0,VLOOKUP(EP130,各项系数!$D$142:$E$195,2,0))*1</f>
        <v>9</v>
      </c>
      <c r="ER130" s="95">
        <f t="shared" si="569"/>
        <v>245.118138379664</v>
      </c>
      <c r="ES130" s="304">
        <f t="shared" si="570"/>
        <v>5</v>
      </c>
      <c r="ET130" s="251">
        <f>VLOOKUP(ES130,各项系数!$D$142:$E$195,2,0)*1</f>
        <v>2.7</v>
      </c>
      <c r="EU130" s="311">
        <f>((各项系数!$F$76/4*$EJ130^2*$EG130*$EH130*1*10^-7)*(1-$H130)*AA130)*(VLOOKUP($EY$9,各项系数!$D$4:$F$143,3,0))*各项系数!$J$4</f>
        <v>16.7086735197258</v>
      </c>
      <c r="EV130" s="312">
        <f>EU130*(VLOOKUP($EY$9,各项系数!$D$4:$F$143,2,0))</f>
        <v>1094.41811554204</v>
      </c>
      <c r="EW130" s="324">
        <f>(IF($EO130=0,0,(各项系数!$F$76/4*$ER130^2*$EO130*$EP130*1*10^-7))*(1-$K130)*$AF130)*(VLOOKUP($EY$9,各项系数!$D$4:$F$143,3,0))*各项系数!$J$4</f>
        <v>5.19428320458789</v>
      </c>
      <c r="EX130" s="325">
        <f>EW130*(VLOOKUP($EY$9,各项系数!$D$4:$F$143,2,0))</f>
        <v>340.225549900507</v>
      </c>
      <c r="EY130" s="251">
        <f>((各项系数!$F$76/4*$EJ130^2*$EG130*$EH130*1*10^-7)*(1-$H130)*AA130+IF($EO130=0,0,(各项系数!$F$76/4*$ER130^2*$EO130*$EP130*1*10^-7))*(1-$K130)*$AF130)*(VLOOKUP($EY$9,各项系数!$D$4:$F$143,3,0))*各项系数!$J$4</f>
        <v>21.9029567243137</v>
      </c>
      <c r="EZ130" s="123">
        <v>1</v>
      </c>
      <c r="FA130" s="251">
        <f t="shared" si="515"/>
        <v>21.9029567243137</v>
      </c>
      <c r="FB130" s="326">
        <f>FA130*(VLOOKUP($EY$9,各项系数!$D$4:$F$143,2,0))</f>
        <v>1434.64366544255</v>
      </c>
      <c r="FC130" s="329"/>
      <c r="FD130" s="302">
        <f>各项系数!$F$76/4*($MN130^2-MK130^2)*10^-2*(VLOOKUP(L130,各项系数!$D$1:$F$143,3,0))*10^-3*10^2*$EG130*各项系数!$J$4</f>
        <v>0.855319761400637</v>
      </c>
      <c r="FE130" s="339">
        <f>FD130*VLOOKUP(L130,各项系数!$D$1:$F$143,2,0)</f>
        <v>8.7242615662865</v>
      </c>
      <c r="FF130" s="250">
        <f>各项系数!$F$76/4*($MO130^2-ML130^2)*10^-2*(VLOOKUP(L130,各项系数!$D$1:$F$143,3,0))*10^-3*10^2*$EO130*各项系数!$J$4</f>
        <v>0.295358919337568</v>
      </c>
      <c r="FG130" s="339">
        <f>FF130*VLOOKUP(L130,各项系数!$D$1:$F$143,2,0)</f>
        <v>3.0126609772432</v>
      </c>
      <c r="FH130" s="302">
        <f t="shared" si="410"/>
        <v>1.15067868073821</v>
      </c>
      <c r="FI130" s="123">
        <v>1</v>
      </c>
      <c r="FJ130" s="251">
        <f t="shared" si="516"/>
        <v>1.15067868073821</v>
      </c>
      <c r="FK130" s="339">
        <f>FJ130*VLOOKUP(L130,各项系数!$D$1:$F$143,2,0)</f>
        <v>11.7369225435297</v>
      </c>
      <c r="FL130" s="304"/>
      <c r="FM130" s="127"/>
      <c r="FN130" s="251"/>
      <c r="FO130" s="339"/>
      <c r="FP130" s="364">
        <f t="shared" si="517"/>
        <v>1.15067868073821</v>
      </c>
      <c r="FQ130" s="364">
        <f t="shared" si="518"/>
        <v>11.7369225435297</v>
      </c>
      <c r="FR130" s="365">
        <f>各项系数!$F$76/4*($MQ130^2-$MN130^2*$EG130-$MO130^2*$EO130)*10^-2</f>
        <v>17.7186526021375</v>
      </c>
      <c r="FS130" s="366">
        <f t="shared" si="411"/>
        <v>1</v>
      </c>
      <c r="FT130" s="367">
        <f t="shared" si="361"/>
        <v>17.7186526021375</v>
      </c>
      <c r="FU130" s="388">
        <f>$FT130*(VLOOKUP($FT$9,各项系数!$D$1:$F$143,3,0))*10^-3*10^2*各项系数!$J$55</f>
        <v>2.11560712069522</v>
      </c>
      <c r="FV130" s="389">
        <v>1</v>
      </c>
      <c r="FW130" s="390">
        <f t="shared" si="519"/>
        <v>2.11560712069522</v>
      </c>
      <c r="FX130" s="367">
        <f>FW130*(VLOOKUP($FT$9,各项系数!$D$1:$F$143,2,0))</f>
        <v>6.34682136208565</v>
      </c>
      <c r="FY130" s="388">
        <f>IF($BK130&lt;&gt;$FY$9,0,各项系数!$F$76/4*($MS130^2-$MQ130^2)*10^-2*(VLOOKUP($FY$9,各项系数!$D$1:$F$143,3,0))*10^-3*10^2)*各项系数!$J$4</f>
        <v>0</v>
      </c>
      <c r="FZ130" s="389">
        <v>1</v>
      </c>
      <c r="GA130" s="390">
        <f t="shared" si="520"/>
        <v>0</v>
      </c>
      <c r="GB130" s="367">
        <f>GA130*(VLOOKUP($FY$9,各项系数!$D$1:$F$143,2,0))</f>
        <v>0</v>
      </c>
      <c r="GC130" s="388">
        <f>IF($BK130&lt;&gt;$GC$9,0,各项系数!$F$76/4*($MS130^2-$MQ130^2)*10^-2*(VLOOKUP($GC$9,各项系数!$D$1:$F$143,3,0))*10^-3*10^2)*各项系数!$J$4</f>
        <v>0.0238717023520445</v>
      </c>
      <c r="GD130" s="389">
        <v>1</v>
      </c>
      <c r="GE130" s="390">
        <f t="shared" si="521"/>
        <v>0.0238717023520445</v>
      </c>
      <c r="GF130" s="367">
        <f>GE130*(VLOOKUP($GC$9,各项系数!$D$1:$F$143,2,0))</f>
        <v>0.307944960341374</v>
      </c>
      <c r="GG130" s="388">
        <f>IF($BK130&lt;&gt;$GG$9,0,各项系数!$F$76/4*($MS130^2-$MQ130^2)*10^-2*(VLOOKUP($GG$9,各项系数!$D$1:$F$143,3,0))*10^-3*10^2)*各项系数!$J$4</f>
        <v>0</v>
      </c>
      <c r="GH130" s="389">
        <v>1</v>
      </c>
      <c r="GI130" s="390">
        <f t="shared" si="522"/>
        <v>0</v>
      </c>
      <c r="GJ130" s="367">
        <f>GI130*(VLOOKUP($GG$9,各项系数!$D$1:$F$143,2,0))</f>
        <v>0</v>
      </c>
      <c r="GK130" s="388">
        <f>IF($BK130&lt;&gt;$GK$9,0,各项系数!$F$76/4*($MS130^2-$MQ130^2)*10^-2*(VLOOKUP($GK$9,各项系数!$D$1:$F$143,3,0))*10^-3*10^2)*各项系数!$J$4</f>
        <v>0</v>
      </c>
      <c r="GL130" s="389">
        <v>1</v>
      </c>
      <c r="GM130" s="390">
        <f t="shared" si="523"/>
        <v>0</v>
      </c>
      <c r="GN130" s="367">
        <f>GM130*(VLOOKUP($GK$9,各项系数!$D$1:$F$143,2,0))</f>
        <v>0</v>
      </c>
      <c r="GO130" s="390">
        <f t="shared" si="524"/>
        <v>0.0238717023520445</v>
      </c>
      <c r="GP130" s="390">
        <f t="shared" si="525"/>
        <v>0.307944960341374</v>
      </c>
      <c r="GQ130" s="406">
        <f>各项系数!$F$76/4*($MU130^2-$MS130^2)*10^-2*(VLOOKUP($S130,各项系数!$D$1:$F$143,3,0))*10^-3*10^2*各项系数!$J$4</f>
        <v>1.62242867839776</v>
      </c>
      <c r="GR130" s="389">
        <v>1</v>
      </c>
      <c r="GS130" s="390">
        <f t="shared" si="526"/>
        <v>1.62242867839776</v>
      </c>
      <c r="GT130" s="390">
        <f t="shared" si="457"/>
        <v>0</v>
      </c>
      <c r="GU130" s="390">
        <f>ROUND($GS130*(VLOOKUP($S130,各项系数!$D$1:$F$143,2,0))+$E$3*GS130,GT130)</f>
        <v>9</v>
      </c>
      <c r="GV130" s="406">
        <f>各项系数!$F$76/4*($MT130^2-$MS130^2)*10^-2*(VLOOKUP($GV$9,各项系数!$D$1:$F$143,3,0))*10^-3*10^2*各项系数!$J$4*PI()/4*R130</f>
        <v>0.122678564135765</v>
      </c>
      <c r="GW130" s="389">
        <v>1</v>
      </c>
      <c r="GX130" s="390">
        <f t="shared" si="527"/>
        <v>0.122678564135765</v>
      </c>
      <c r="GY130" s="390">
        <f>$GX130*(VLOOKUP($GV$9,各项系数!$D$1:$F$143,2,0))</f>
        <v>8.28080307916412</v>
      </c>
      <c r="GZ130" s="406">
        <f>各项系数!$F$76/4*($MV130^2-$MS130^2)*10^-2*(VLOOKUP($GZ$9,各项系数!$D$1:$F$143,3,0))*10^-3*10^2*各项系数!$J$4</f>
        <v>1.66337072431658</v>
      </c>
      <c r="HA130" s="389">
        <v>1</v>
      </c>
      <c r="HB130" s="390">
        <f t="shared" si="412"/>
        <v>1.66337072431658</v>
      </c>
      <c r="HC130" s="390">
        <f>HB130*(VLOOKUP($GZ$9,各项系数!$D$1:$F$143,2,0))</f>
        <v>28.2773023133818</v>
      </c>
      <c r="HD130" s="406">
        <f>各项系数!$F$76/4*($MW130^2-$MT130^2)*10^-2*(VLOOKUP($HD$9,各项系数!$D$1:$F$143,3,0))*10^-3*10^2*各项系数!$J$4</f>
        <v>1.6662715453092</v>
      </c>
      <c r="HE130" s="389">
        <v>1</v>
      </c>
      <c r="HF130" s="390">
        <f t="shared" si="413"/>
        <v>1.6662715453092</v>
      </c>
      <c r="HG130" s="390">
        <f>HF130*(VLOOKUP($HD$9,各项系数!$D$1:$F$143,2,0))</f>
        <v>28.3266162702564</v>
      </c>
      <c r="HH130" s="406">
        <f>各项系数!$F$76/4*($MV130^2-$MS130^2)*10^-2*(VLOOKUP($HH$9,各项系数!$D$1:$F$143,3,0))*10^-3*10^2*各项系数!$J$4</f>
        <v>1.66337072431658</v>
      </c>
      <c r="HI130" s="420">
        <v>1</v>
      </c>
      <c r="HJ130" s="390">
        <f t="shared" si="414"/>
        <v>1.66337072431658</v>
      </c>
      <c r="HK130" s="390">
        <f>HJ130*(VLOOKUP($HH$9,各项系数!$D$1:$F$143,2,0))</f>
        <v>28.2773023133818</v>
      </c>
      <c r="HL130" s="406">
        <f>各项系数!$F$76/4*($MW130^2-$MT130^2)*10^-2*(VLOOKUP($HL$9,各项系数!$D$1:$F$143,3,0))*10^-3*10^2*各项系数!$J$4</f>
        <v>1.6662715453092</v>
      </c>
      <c r="HM130" s="420">
        <v>1</v>
      </c>
      <c r="HN130" s="390">
        <f t="shared" si="362"/>
        <v>1.6662715453092</v>
      </c>
      <c r="HO130" s="390">
        <f>HN130*(VLOOKUP($HL$9,各项系数!$D$1:$F$143,2,0))</f>
        <v>28.3266162702564</v>
      </c>
      <c r="HP130" s="406">
        <f>各项系数!$F$76/4*($MV130^2-$MS130^2)*10^-2*(VLOOKUP(AN130,各项系数!$D$1:$F$143,3,0))*10^-3*10^2*各项系数!$J$4</f>
        <v>1.68631376878991</v>
      </c>
      <c r="HQ130" s="389">
        <v>1</v>
      </c>
      <c r="HR130" s="390">
        <f t="shared" si="528"/>
        <v>1.68631376878991</v>
      </c>
      <c r="HS130" s="390">
        <f>HR130*(VLOOKUP(AN130,各项系数!$D$1:$F$143,2,0))</f>
        <v>16.8631376878991</v>
      </c>
      <c r="HT130" s="406">
        <f>各项系数!$F$76/4*($MW130^2-$MT130^2)*10^-2*(VLOOKUP(AN130,各项系数!$D$1:$F$143,3,0))*10^-3*10^2*各项系数!$J$4</f>
        <v>1.68925460110657</v>
      </c>
      <c r="HU130" s="389">
        <v>1</v>
      </c>
      <c r="HV130" s="390">
        <f t="shared" si="529"/>
        <v>1.68925460110657</v>
      </c>
      <c r="HW130" s="390">
        <f>HV130*(VLOOKUP(AN130,各项系数!$D$1:$F$143,2,0))</f>
        <v>16.8925460110657</v>
      </c>
      <c r="HX130" s="406">
        <f>各项系数!$F$76/4*($MV130^2-$MS130^2)*10^-2*(VLOOKUP($HX$9,各项系数!$D$1:$F$143,3,0))*10^-3*10^2*各项系数!$J$4</f>
        <v>1.68631376878991</v>
      </c>
      <c r="HY130" s="420">
        <v>1</v>
      </c>
      <c r="HZ130" s="390">
        <f t="shared" si="530"/>
        <v>1.68631376878991</v>
      </c>
      <c r="IA130" s="390">
        <f>HZ130*(VLOOKUP($HX$9,各项系数!$D$1:$F$143,2,0))</f>
        <v>18.549451456689</v>
      </c>
      <c r="IB130" s="406">
        <f>各项系数!$F$76/4*($MW130^2-$MT130^2)*10^-2*(VLOOKUP($IB$9,各项系数!$D$1:$F$143,3,0))*10^-3*10^2*各项系数!$J$4</f>
        <v>1.68925460110657</v>
      </c>
      <c r="IC130" s="420">
        <v>1</v>
      </c>
      <c r="ID130" s="390">
        <f t="shared" si="531"/>
        <v>1.68925460110657</v>
      </c>
      <c r="IE130" s="390">
        <f>ID130*(VLOOKUP($IB$9,各项系数!$D$1:$F$143,2,0))</f>
        <v>18.5818006121722</v>
      </c>
      <c r="IF130" s="395"/>
      <c r="IG130" s="406">
        <f t="shared" si="415"/>
        <v>0.199838340839916</v>
      </c>
      <c r="IH130" s="389">
        <v>1</v>
      </c>
      <c r="II130" s="390">
        <f t="shared" si="532"/>
        <v>0.199838340839916</v>
      </c>
      <c r="IJ130" s="390">
        <f>II130*(VLOOKUP($IG$8,各项系数!$D$1:$F$143,2,0))</f>
        <v>4.99595852099791</v>
      </c>
      <c r="IK130" s="406">
        <f>(各项系数!$F$76/4*($MX130^2-$MK130^2)*$EG130)*10^-2*(VLOOKUP($IG$8,各项系数!$D$1:$F$143,3,0))*10^-3*10^2*各项系数!$J$4</f>
        <v>0.136931258050774</v>
      </c>
      <c r="IL130" s="389">
        <f>IK130*(VLOOKUP($IG$8,各项系数!$D$1:$F$143,2,0))</f>
        <v>3.42328145126935</v>
      </c>
      <c r="IM130" s="390">
        <f>(各项系数!$F$76/4*(($MM130+3*$X130)^2-MM130^2)*$EO130)*10^-2*(VLOOKUP($IG$8,各项系数!$D$1:$F$143,3,0))*10^-3*10^2*各项系数!$J$4</f>
        <v>0.062907082789142</v>
      </c>
      <c r="IN130" s="389">
        <f>IM130*(VLOOKUP($IG$8,各项系数!$D$1:$F$143,2,0))</f>
        <v>1.57267706972855</v>
      </c>
      <c r="IO130" s="406">
        <f>各项系数!$F$76/4*($MZ130^2-$MX130^2)*10^-2*(VLOOKUP(L130,各项系数!$D$1:$F$143,3,0))*10^-3*10^2*$ES130*各项系数!$J$4</f>
        <v>1.45028994241508</v>
      </c>
      <c r="IP130" s="389">
        <v>1</v>
      </c>
      <c r="IQ130" s="390">
        <f t="shared" si="533"/>
        <v>1.45028994241508</v>
      </c>
      <c r="IR130" s="367">
        <f>IQ130*(VLOOKUP(L130,各项系数!$D$1:$F$143,2,0))</f>
        <v>14.7929574126338</v>
      </c>
      <c r="IS130" s="406">
        <f>IF($L130&lt;&gt;$IS$9,0,各项系数!$F$76/4*($MZ130^2-$MX130^2)*10^-2*各项系数!$F$12*10^-3*10^2)*$ES130*各项系数!$J$4</f>
        <v>0</v>
      </c>
      <c r="IT130" s="396">
        <v>1</v>
      </c>
      <c r="IU130" s="390">
        <f t="shared" si="534"/>
        <v>0</v>
      </c>
      <c r="IV130" s="367">
        <f>IU130*各项系数!$E$12</f>
        <v>0</v>
      </c>
      <c r="IW130" s="388">
        <f t="shared" si="535"/>
        <v>1.45028994241508</v>
      </c>
      <c r="IX130" s="388">
        <f t="shared" si="536"/>
        <v>14.7929574126338</v>
      </c>
      <c r="IY130" s="447">
        <f>各项系数!$F$76/4*($NB130^2-$MZ130^2*$EG130-$NA130^2*$EO130)*10^-2</f>
        <v>19.2413904018386</v>
      </c>
      <c r="IZ130" s="366">
        <f t="shared" si="487"/>
        <v>1</v>
      </c>
      <c r="JA130" s="367">
        <f t="shared" si="363"/>
        <v>19.2413904018386</v>
      </c>
      <c r="JB130" s="364">
        <f>IF($DE130&lt;&gt;$JB$9,0,$JA130*各项系数!$F$32*10^-3*10^2)*各项系数!$J$4</f>
        <v>0</v>
      </c>
      <c r="JC130" s="123">
        <v>1</v>
      </c>
      <c r="JD130" s="251">
        <f t="shared" si="537"/>
        <v>0</v>
      </c>
      <c r="JE130" s="339">
        <f>JD130*各项系数!$E$32</f>
        <v>0</v>
      </c>
      <c r="JF130" s="364">
        <f>IF($DE130&lt;&gt;$JF$9,0,$JA130*VLOOKUP($JF$9,各项系数!$D$4:$F$540,2,0)*10^-3*10^2)*各项系数!$J$4</f>
        <v>9.57259172491471</v>
      </c>
      <c r="JG130" s="123">
        <v>1</v>
      </c>
      <c r="JH130" s="251">
        <f t="shared" si="364"/>
        <v>9.57259172491471</v>
      </c>
      <c r="JI130" s="339">
        <f>JH130*VLOOKUP($JF$9,各项系数!$D$4:$F$540,3,0)</f>
        <v>11.4871100698976</v>
      </c>
      <c r="JJ130" s="364">
        <f t="shared" si="538"/>
        <v>9.57259172491471</v>
      </c>
      <c r="JK130" s="251">
        <f t="shared" si="539"/>
        <v>11.4871100698976</v>
      </c>
      <c r="JL130" s="364">
        <f>IF($DF130&lt;&gt;$JL$9,0,各项系数!$F$76/4*($NE130^2-$NC130^2)*10^-2*各项系数!$F$39*10^-3*10^2)*各项系数!$J$4</f>
        <v>0.0101960837053083</v>
      </c>
      <c r="JM130" s="123">
        <v>1</v>
      </c>
      <c r="JN130" s="251">
        <f t="shared" si="540"/>
        <v>0.0101960837053083</v>
      </c>
      <c r="JO130" s="339">
        <f>JN130*各项系数!$E$39</f>
        <v>0.203921674106167</v>
      </c>
      <c r="JP130" s="364">
        <f>IF($DF130&lt;&gt;$JP$9,0,各项系数!$F$76/4*($NE130^2-$NC130^2)*10^-2*各项系数!$F$36*10^-3*10^2)*各项系数!$J$4</f>
        <v>0</v>
      </c>
      <c r="JQ130" s="123">
        <v>1</v>
      </c>
      <c r="JR130" s="251">
        <f t="shared" si="541"/>
        <v>0</v>
      </c>
      <c r="JS130" s="339">
        <f>JR130*各项系数!$E$36</f>
        <v>0</v>
      </c>
      <c r="JT130" s="364">
        <f>IF($DF130&lt;&gt;$JT$9,0,各项系数!$F$76/4*($NE130^2-$NC130^2)*10^-2*各项系数!$F$40*10^-3*10^2)*各项系数!$J$4</f>
        <v>0</v>
      </c>
      <c r="JU130" s="123">
        <v>1</v>
      </c>
      <c r="JV130" s="251">
        <f t="shared" si="542"/>
        <v>0</v>
      </c>
      <c r="JW130" s="339">
        <f>JV130*各项系数!$E$40</f>
        <v>0</v>
      </c>
      <c r="JX130" s="364">
        <f>IF($DF130&lt;&gt;$JX$9,0,各项系数!$F$76/4*($NE130^2-$NC130^2)*10^-2*各项系数!$F$38*10^-3*10^2)*各项系数!$J$4</f>
        <v>0</v>
      </c>
      <c r="JY130" s="123">
        <v>1</v>
      </c>
      <c r="JZ130" s="251">
        <f t="shared" si="543"/>
        <v>0</v>
      </c>
      <c r="KA130" s="339">
        <f>JZ130*各项系数!$E$38</f>
        <v>0</v>
      </c>
      <c r="KB130" s="364">
        <f>IF($DF130&lt;&gt;$KB$9,0,各项系数!$F$76/4*($NE130^2-$NC130^2)*10^-2*各项系数!$F$41*10^-3*10^2)*各项系数!$J$4</f>
        <v>0</v>
      </c>
      <c r="KC130" s="123">
        <v>1</v>
      </c>
      <c r="KD130" s="251">
        <f t="shared" si="544"/>
        <v>0</v>
      </c>
      <c r="KE130" s="339">
        <f>KD130*各项系数!$E$41</f>
        <v>0</v>
      </c>
      <c r="KF130" s="251">
        <f t="shared" si="545"/>
        <v>0.0101960837053083</v>
      </c>
      <c r="KG130" s="251">
        <f t="shared" si="546"/>
        <v>0.203921674106167</v>
      </c>
      <c r="KH130" s="302">
        <f>各项系数!$F$76/4*($NG130^2-$NE130^2)*10^-2*各项系数!$F$44*10^-3*10^2*各项系数!$J$4*0.75*$U130</f>
        <v>2.5155929298747</v>
      </c>
      <c r="KI130" s="123">
        <v>1</v>
      </c>
      <c r="KJ130" s="251">
        <f t="shared" si="547"/>
        <v>2.5155929298747</v>
      </c>
      <c r="KK130" s="251">
        <f>ROUND(KJ130*各项系数!$E$43,GT130)</f>
        <v>15</v>
      </c>
      <c r="KL130" s="302">
        <f>各项系数!$F$76/4*($NF130^2-$NE130^2)*10^-2*各项系数!$F$46*10^-3*10^2*各项系数!$J$4*PI()/4*R130</f>
        <v>0.126841127272503</v>
      </c>
      <c r="KM130" s="123">
        <v>1</v>
      </c>
      <c r="KN130" s="251">
        <f t="shared" si="548"/>
        <v>0.126841127272503</v>
      </c>
      <c r="KO130" s="251">
        <f>KN130*各项系数!$E$46</f>
        <v>8.56177609089398</v>
      </c>
      <c r="KP130" s="302">
        <f>各项系数!$F$76/4*($NH130^2-$NE130^2)*10^-2*(VLOOKUP($KP$9,各项系数!$D$1:$F$143,3,0))*10^-3*10^2*各项系数!$J$4</f>
        <v>1.7173985153041</v>
      </c>
      <c r="KQ130" s="123">
        <v>1</v>
      </c>
      <c r="KR130" s="251">
        <f t="shared" si="416"/>
        <v>1.7173985153041</v>
      </c>
      <c r="KS130" s="251">
        <f>KR130*(VLOOKUP($KP$9,各项系数!$D$1:$F$143,2,0))</f>
        <v>29.1957747601697</v>
      </c>
      <c r="KT130" s="302">
        <f>各项系数!$F$76/4*($NI130^2-$NF130^2)*10^-2*(VLOOKUP($KT$9,各项系数!$D$1:$F$143,3,0))*10^-3*10^2*各项系数!$J$4</f>
        <v>1.72029933629672</v>
      </c>
      <c r="KU130" s="123">
        <v>1</v>
      </c>
      <c r="KV130" s="251">
        <f t="shared" si="417"/>
        <v>1.72029933629672</v>
      </c>
      <c r="KW130" s="251">
        <f>KV130*(VLOOKUP($KT$9,各项系数!$D$1:$F$143,2,0))</f>
        <v>29.2450887170442</v>
      </c>
      <c r="KX130" s="251">
        <f>各项系数!$F$76/4*($NH130^2-$NE130^2)*10^-2*(VLOOKUP($KX$9,各项系数!$D$1:$F$143,3,0))*10^-3*10^2*各项系数!$J$4</f>
        <v>1.7173985153041</v>
      </c>
      <c r="KY130" s="479">
        <v>1</v>
      </c>
      <c r="KZ130" s="251">
        <f t="shared" si="418"/>
        <v>1.7173985153041</v>
      </c>
      <c r="LA130" s="251">
        <f>KZ130*(VLOOKUP($KX$9,各项系数!$D$1:$F$143,2,0))</f>
        <v>29.1957747601697</v>
      </c>
      <c r="LB130" s="251">
        <f>各项系数!$F$76/4*($NI130^2-$NF130^2)*10^-2*(VLOOKUP($LB$9,各项系数!$D$1:$F$143,3,0))*10^-3*10^2*各项系数!$J$4</f>
        <v>1.72029933629672</v>
      </c>
      <c r="LC130" s="479">
        <v>1</v>
      </c>
      <c r="LD130" s="251">
        <f t="shared" si="419"/>
        <v>1.72029933629672</v>
      </c>
      <c r="LE130" s="251">
        <f>LD130*(VLOOKUP($LB$9,各项系数!$D$1:$F$143,2,0))</f>
        <v>29.2450887170442</v>
      </c>
      <c r="LF130" s="302">
        <f>各项系数!$F$76/4*($NH130^2-$NE130^2)*10^-2*(VLOOKUP(AN130,各项系数!$D$1:$F$143,3,0))*10^-3*10^2*各项系数!$J$4</f>
        <v>1.74108677068761</v>
      </c>
      <c r="LG130" s="123">
        <v>1</v>
      </c>
      <c r="LH130" s="251">
        <f t="shared" si="549"/>
        <v>1.74108677068761</v>
      </c>
      <c r="LI130" s="251">
        <f>LH130*(VLOOKUP(AN130,各项系数!$D$1:$F$143,2,0))</f>
        <v>17.4108677068761</v>
      </c>
      <c r="LJ130" s="302">
        <f>各项系数!$F$76/4*($NI130^2-$NF130^2)*10^-2*(VLOOKUP(AN130,各项系数!$D$1:$F$143,3,0))*10^-3*10^2*各项系数!$J$4</f>
        <v>1.74402760300426</v>
      </c>
      <c r="LK130" s="123">
        <v>1</v>
      </c>
      <c r="LL130" s="251">
        <f t="shared" si="550"/>
        <v>1.74402760300426</v>
      </c>
      <c r="LM130" s="251">
        <f>LL130*(VLOOKUP(AN130,各项系数!$D$1:$F$143,2,0))</f>
        <v>17.4402760300426</v>
      </c>
      <c r="LN130" s="251">
        <f>各项系数!$F$76/4*($NH130^2-$NE130^2)*10^-2*(VLOOKUP($LN$9,各项系数!$D$1:$F$143,3,0))*10^-3*10^2*各项系数!$J$4</f>
        <v>1.74108677068761</v>
      </c>
      <c r="LO130" s="479">
        <v>1</v>
      </c>
      <c r="LP130" s="251">
        <f t="shared" si="551"/>
        <v>1.74108677068761</v>
      </c>
      <c r="LQ130" s="251">
        <f>LP130*(VLOOKUP($LN$9,各项系数!$D$1:$F$143,2,0))</f>
        <v>19.1519544775637</v>
      </c>
      <c r="LR130" s="251">
        <f>各项系数!$F$76/4*($NI130^2-$NF130^2)*10^-2*(VLOOKUP($LR$9,各项系数!$D$1:$F$143,3,0))*10^-3*10^2*各项系数!$J$4</f>
        <v>1.74402760300426</v>
      </c>
      <c r="LS130" s="479">
        <v>1</v>
      </c>
      <c r="LT130" s="251">
        <f t="shared" si="552"/>
        <v>1.74402760300426</v>
      </c>
      <c r="LU130" s="251">
        <f>LT130*(VLOOKUP($LR$9,各项系数!$D$1:$F$143,2,0))</f>
        <v>19.1843036330468</v>
      </c>
      <c r="LV130" s="499">
        <f t="shared" si="420"/>
        <v>2435.20254864</v>
      </c>
      <c r="LW130" s="499">
        <f t="shared" si="421"/>
        <v>1833.91796873</v>
      </c>
      <c r="LX130" s="499">
        <f t="shared" si="422"/>
        <v>48.3220123710449</v>
      </c>
      <c r="LY130" s="515">
        <f t="shared" si="423"/>
        <v>601.28457991</v>
      </c>
      <c r="LZ130" s="516">
        <f t="shared" si="365"/>
        <v>1</v>
      </c>
      <c r="MA130" s="517">
        <f t="shared" si="366"/>
        <v>2435.20254864</v>
      </c>
      <c r="MB130" s="517">
        <f t="shared" si="424"/>
        <v>32.14859346</v>
      </c>
      <c r="MC130" s="499">
        <f t="shared" si="425"/>
        <v>764.46181128</v>
      </c>
      <c r="MD130" s="499">
        <f t="shared" si="426"/>
        <v>575.70580671</v>
      </c>
      <c r="ME130" s="499">
        <f t="shared" si="427"/>
        <v>27.0741832607529</v>
      </c>
      <c r="MF130" s="499">
        <f t="shared" si="428"/>
        <v>188.75600457</v>
      </c>
      <c r="MG130" s="516">
        <f t="shared" si="429"/>
        <v>1</v>
      </c>
      <c r="MH130" s="517">
        <f t="shared" si="367"/>
        <v>764.46181128</v>
      </c>
      <c r="MI130" s="517">
        <f t="shared" si="430"/>
        <v>22.0606324542335</v>
      </c>
      <c r="MJ130" s="251">
        <f t="shared" si="368"/>
        <v>32.14859346</v>
      </c>
      <c r="MK130" s="251">
        <f t="shared" si="431"/>
        <v>32.14859346</v>
      </c>
      <c r="ML130" s="251">
        <f t="shared" si="553"/>
        <v>22.0606324541698</v>
      </c>
      <c r="MM130" s="251">
        <f t="shared" si="369"/>
        <v>22.0606324542335</v>
      </c>
      <c r="MN130" s="251">
        <f t="shared" si="370"/>
        <v>36.94859346</v>
      </c>
      <c r="MO130" s="251">
        <f t="shared" si="432"/>
        <v>25.6606324542335</v>
      </c>
      <c r="MP130" s="251">
        <f t="shared" si="433"/>
        <v>87.57020446</v>
      </c>
      <c r="MQ130" s="251">
        <f t="shared" si="554"/>
        <v>87.57020446</v>
      </c>
      <c r="MR130" s="314">
        <f t="shared" si="434"/>
        <v>87.57020446</v>
      </c>
      <c r="MS130" s="530">
        <f t="shared" si="371"/>
        <v>87.74620446</v>
      </c>
      <c r="MT130" s="530">
        <f t="shared" si="372"/>
        <v>87.90620446</v>
      </c>
      <c r="MU130" s="530">
        <f t="shared" si="373"/>
        <v>89.24620446</v>
      </c>
      <c r="MV130" s="530">
        <f t="shared" si="374"/>
        <v>95.74620446</v>
      </c>
      <c r="MW130" s="530">
        <f t="shared" si="375"/>
        <v>95.90620446</v>
      </c>
      <c r="MX130" s="326">
        <f t="shared" si="376"/>
        <v>32.74859346</v>
      </c>
      <c r="MY130" s="326">
        <f t="shared" si="377"/>
        <v>22.6606324542335</v>
      </c>
      <c r="MZ130" s="251">
        <f t="shared" si="378"/>
        <v>37.54859346</v>
      </c>
      <c r="NA130" s="251">
        <f t="shared" si="379"/>
        <v>27.4606324542335</v>
      </c>
      <c r="NB130" s="251">
        <f t="shared" si="435"/>
        <v>90.48620446</v>
      </c>
      <c r="NC130" s="326">
        <f t="shared" si="555"/>
        <v>90.48620446</v>
      </c>
      <c r="ND130" s="314">
        <f t="shared" si="436"/>
        <v>90.48620446</v>
      </c>
      <c r="NE130" s="537">
        <f t="shared" si="437"/>
        <v>90.72620446</v>
      </c>
      <c r="NF130" s="530">
        <f t="shared" si="380"/>
        <v>90.88620446</v>
      </c>
      <c r="NG130" s="538">
        <f t="shared" si="381"/>
        <v>92.22620446</v>
      </c>
      <c r="NH130" s="326">
        <f t="shared" si="382"/>
        <v>98.72620446</v>
      </c>
      <c r="NI130" s="530">
        <f t="shared" si="383"/>
        <v>98.88620446</v>
      </c>
      <c r="NK130" s="539">
        <f t="shared" si="384"/>
        <v>27.1747869162267</v>
      </c>
      <c r="NL130" s="539">
        <f t="shared" si="385"/>
        <v>1472.91115297365</v>
      </c>
      <c r="NM130" s="539">
        <f t="shared" si="386"/>
        <v>27.1747869162267</v>
      </c>
      <c r="NN130" s="539">
        <f t="shared" si="387"/>
        <v>1474.59746674244</v>
      </c>
      <c r="NO130" s="539">
        <f t="shared" si="388"/>
        <v>34.9398666696655</v>
      </c>
      <c r="NP130" s="539">
        <f t="shared" si="389"/>
        <v>1485.10715789679</v>
      </c>
      <c r="NQ130" s="539">
        <f t="shared" si="390"/>
        <v>34.9398666696655</v>
      </c>
      <c r="NR130" s="539">
        <f t="shared" si="391"/>
        <v>1486.84824466748</v>
      </c>
      <c r="NS130" s="539">
        <f t="shared" si="392"/>
        <v>27.2974654803625</v>
      </c>
      <c r="NT130" s="539">
        <f t="shared" si="393"/>
        <v>27.2974654803625</v>
      </c>
      <c r="NU130" s="539">
        <f t="shared" si="394"/>
        <v>35.066707796938</v>
      </c>
      <c r="NV130" s="539">
        <f t="shared" si="395"/>
        <v>35.066707796938</v>
      </c>
      <c r="NW130">
        <f t="shared" si="396"/>
        <v>28.7972155946245</v>
      </c>
      <c r="NX130">
        <f>各项系数!$M$9*NK130</f>
        <v>8.152436074868</v>
      </c>
      <c r="NY130">
        <f t="shared" si="397"/>
        <v>27.2974654803625</v>
      </c>
    </row>
    <row r="131" customHeight="1" spans="1:389">
      <c r="A131" s="85"/>
      <c r="B131" s="86"/>
      <c r="C131" s="87"/>
      <c r="D131" s="261" t="s">
        <v>936</v>
      </c>
      <c r="E131" s="70">
        <f t="shared" si="560"/>
        <v>107.19711835</v>
      </c>
      <c r="F131" s="84">
        <f>$F$35</f>
        <v>404.218837505781</v>
      </c>
      <c r="G131" s="74"/>
      <c r="H131" s="23"/>
      <c r="I131" s="174">
        <f>$F$32</f>
        <v>277.181191063812</v>
      </c>
      <c r="J131" s="78"/>
      <c r="K131" s="23"/>
      <c r="L131" s="118" t="s">
        <v>467</v>
      </c>
      <c r="M131" s="124">
        <f t="shared" si="339"/>
        <v>2.6</v>
      </c>
      <c r="N131" s="124">
        <f t="shared" si="501"/>
        <v>2</v>
      </c>
      <c r="O131" s="69">
        <f t="shared" si="572"/>
        <v>0.08</v>
      </c>
      <c r="P131" s="120">
        <v>0.1</v>
      </c>
      <c r="Q131" s="162">
        <f t="shared" si="557"/>
        <v>0.1</v>
      </c>
      <c r="R131" s="86">
        <v>0.8</v>
      </c>
      <c r="S131" s="171" t="str">
        <f>各项系数!$D$43</f>
        <v>钢带</v>
      </c>
      <c r="T131" s="78">
        <v>0.5</v>
      </c>
      <c r="U131" s="78">
        <v>2</v>
      </c>
      <c r="V131" s="172"/>
      <c r="W131" s="174">
        <v>4.2</v>
      </c>
      <c r="X131" s="164">
        <f t="shared" si="558"/>
        <v>0.2</v>
      </c>
      <c r="Y131" s="219"/>
      <c r="Z131" s="220"/>
      <c r="AA131" s="217">
        <f>$AA$35</f>
        <v>1.03</v>
      </c>
      <c r="AB131" s="186">
        <f>PI()*EJ131*EJ131/4*EH131*(1-H131)*AA131*各项系数!$F$5*各项系数!$J$4*10^-7</f>
        <v>7.13205822938526</v>
      </c>
      <c r="AC131" s="186">
        <f t="shared" si="561"/>
        <v>404.218837505781</v>
      </c>
      <c r="AD131" s="186">
        <f t="shared" si="341"/>
        <v>806.287707308788</v>
      </c>
      <c r="AE131" s="186">
        <f>POWER(4*EU131/PI()/EG131/10^-7/EH131/(1-H131)/各项系数!$F$5/各项系数!$J$4,0.5)</f>
        <v>410.23731504138</v>
      </c>
      <c r="AF131" s="218">
        <f>$AA$31</f>
        <v>1.02</v>
      </c>
      <c r="AG131" s="85">
        <f>IF(EM131=0,0,PI()*ER131*ER131/4*EP131*(1-K131)*(1+AF131)*各项系数!$F$5*各项系数!$J$4*10^-7)</f>
        <v>6.57693335005614</v>
      </c>
      <c r="AH131" s="85">
        <f t="shared" si="562"/>
        <v>277.181191063812</v>
      </c>
      <c r="AI131" s="85">
        <f t="shared" si="398"/>
        <v>375.445930554736</v>
      </c>
      <c r="AJ131" s="85">
        <f>IF(OR(EP131="",EP131=0),0,POWER(4*EW131/PI()/EO131/10^-7/EP131/(1-K131)/各项系数!$F$5/各项系数!$J$4,0.5))</f>
        <v>279.939280797005</v>
      </c>
      <c r="AK131" s="85">
        <f t="shared" si="342"/>
        <v>28.0382261901926</v>
      </c>
      <c r="AL131" s="85">
        <f t="shared" si="563"/>
        <v>1936.96439946516</v>
      </c>
      <c r="AM131" s="127">
        <f t="shared" si="564"/>
        <v>800</v>
      </c>
      <c r="AN131" s="118" t="s">
        <v>486</v>
      </c>
      <c r="AO131" s="259">
        <f>AP131+各项系数!$M$9*$NK131</f>
        <v>1898.984705358</v>
      </c>
      <c r="AP131" s="259">
        <f>AQ131*(1+$BI131+(VLOOKUP($AM131,$A$12:$B$323,2,0))+各项系数!$J$6+各项系数!$M$5)*(1+$E$2)</f>
        <v>1888.62718921487</v>
      </c>
      <c r="AQ131" s="260">
        <f>AR131+各项系数!$L$9*$NK131</f>
        <v>1927.17060123966</v>
      </c>
      <c r="AR131" s="260">
        <f>AS131*(1+$BJ131+各项系数!$J$5+各项系数!$L$5)</f>
        <v>1916.81308509653</v>
      </c>
      <c r="AS131" s="260">
        <f t="shared" si="399"/>
        <v>1879.22851480052</v>
      </c>
      <c r="AT131" s="259">
        <f>AU131+各项系数!$M$9*$NM131</f>
        <v>1912.43391137532</v>
      </c>
      <c r="AU131" s="259">
        <f>AV131*(1+$BI131+(VLOOKUP($AM131,$A$12:$B$323,2,0))+各项系数!$J$6+各项系数!$M$5)*(1+$E$2)</f>
        <v>1902.07639523219</v>
      </c>
      <c r="AV131" s="260">
        <f>AW131+各项系数!$L$9*$NM131</f>
        <v>1940.89428084917</v>
      </c>
      <c r="AW131" s="260">
        <f>AX131*(1+$BJ131+各项系数!$J$5+各项系数!$L$5)</f>
        <v>1930.53676470604</v>
      </c>
      <c r="AX131" s="260">
        <f t="shared" si="400"/>
        <v>1892.68310265298</v>
      </c>
      <c r="AY131" s="259">
        <f>AZ131+各项系数!$M$9*$NS131</f>
        <v>1908.41663512452</v>
      </c>
      <c r="AZ131" s="259">
        <f>BA131*(1+$BI131+(VLOOKUP($AM131,$A$12:$B$214,2,0))+各项系数!$J$6+各项系数!$M$5)*(1+$E$2)</f>
        <v>1898.0176845269</v>
      </c>
      <c r="BA131" s="260">
        <f>BB131+各项系数!$L$9*$NS131</f>
        <v>1936.75273931317</v>
      </c>
      <c r="BB131" s="260">
        <f>BC131*(1+$BJ131+各项系数!$J$5+各项系数!$L$5)</f>
        <v>1926.35378871555</v>
      </c>
      <c r="BC131" s="262">
        <f t="shared" si="401"/>
        <v>1888.58214579956</v>
      </c>
      <c r="BD131" s="259">
        <f>BE131+各项系数!$M$9*$NS131</f>
        <v>1921.88673369687</v>
      </c>
      <c r="BE131" s="259">
        <f>BF131*(1+$BI131+(VLOOKUP($AM131,$A$12:$B$214,2,0))+各项系数!$J$6+各项系数!$M$5)*(1+$E$2)</f>
        <v>1911.48778309925</v>
      </c>
      <c r="BF131" s="260">
        <f>BG131+各项系数!$L$9*$NS131</f>
        <v>1950.49773785638</v>
      </c>
      <c r="BG131" s="260">
        <f>BH131*(1+$BJ131+各项系数!$J$5+各项系数!$L$5)</f>
        <v>1940.09878725876</v>
      </c>
      <c r="BH131" s="262">
        <f t="shared" si="402"/>
        <v>1902.05763456742</v>
      </c>
      <c r="BI131" s="277"/>
      <c r="BJ131" s="272"/>
      <c r="BK131" s="69" t="s">
        <v>514</v>
      </c>
      <c r="BL131" s="259">
        <f>BM131+各项系数!$M$9*$NM131</f>
        <v>1919.40759300787</v>
      </c>
      <c r="BM131" s="259">
        <f>BN131*(1+$CF131+(VLOOKUP($AM131,$A$12:$B$323,2,0))+各项系数!$J$6+各项系数!$M$5)*(1+$E$2)</f>
        <v>1909.05007686474</v>
      </c>
      <c r="BN131" s="260">
        <f>BO131+各项系数!$L$9*$NM131</f>
        <v>1948.01028251504</v>
      </c>
      <c r="BO131" s="260">
        <f>BP131*(1+$CG131+各项系数!$J$5+各项系数!$L$5)</f>
        <v>1937.65276637192</v>
      </c>
      <c r="BP131" s="260">
        <f t="shared" si="403"/>
        <v>1881.21627803099</v>
      </c>
      <c r="BQ131" s="259">
        <f>BR131+各项系数!$M$9*$NM131</f>
        <v>1930.98220578132</v>
      </c>
      <c r="BR131" s="259">
        <f>BS131*(1+$CF131+(VLOOKUP($AM131,$A$12:$B$323,2,0))+各项系数!$J$6+各项系数!$M$5)*(1+$E$2)</f>
        <v>1920.62468963819</v>
      </c>
      <c r="BS131" s="260">
        <f>BT131+各项系数!$L$9*$NM131</f>
        <v>1959.8211118757</v>
      </c>
      <c r="BT131" s="260">
        <f>BU131*(1+$CG131+各项系数!$J$5+各项系数!$L$5)</f>
        <v>1949.46359573257</v>
      </c>
      <c r="BU131" s="260">
        <f t="shared" si="404"/>
        <v>1892.68310265298</v>
      </c>
      <c r="BV131" s="259">
        <f>BW131+各项系数!$M$9*$NT131</f>
        <v>1918.75143180756</v>
      </c>
      <c r="BW131" s="259">
        <f>BX131*(1+$CF131+(VLOOKUP($AM131,$A$12:$B$214,2,0))+各项系数!$J$6+各项系数!$M$5)*(1+$E$2)</f>
        <v>1908.35248120995</v>
      </c>
      <c r="BX131" s="260">
        <f>BY131+各项系数!$L$9*$NT$12</f>
        <v>1947.29845021423</v>
      </c>
      <c r="BY131" s="260">
        <f>BZ131*(1+$CG131+各项系数!$J$5+各项系数!$L$5)</f>
        <v>1947.29018681108</v>
      </c>
      <c r="BZ131" s="262">
        <f t="shared" si="343"/>
        <v>1890.57299690396</v>
      </c>
      <c r="CA131" s="259">
        <f>CB131+各项系数!$M$9*$NT131</f>
        <v>1930.34402506506</v>
      </c>
      <c r="CB131" s="259">
        <f>CC131*(1+$CF131+(VLOOKUP($AM131,$A$12:$B$214,2,0))+各项系数!$J$6+各项系数!$M$5)*(1+$E$2)</f>
        <v>1919.94507446744</v>
      </c>
      <c r="CC131" s="260">
        <f>CD131+各项系数!$L$9*$NT$12</f>
        <v>1959.12762700759</v>
      </c>
      <c r="CD131" s="260">
        <f>CE131*(1+$CG131+各项系数!$J$5+各项系数!$L$5)</f>
        <v>1959.11936360444</v>
      </c>
      <c r="CE131" s="262">
        <f t="shared" si="405"/>
        <v>1902.05763456742</v>
      </c>
      <c r="CF131" s="277">
        <f t="shared" si="514"/>
        <v>0</v>
      </c>
      <c r="CG131" s="277">
        <f t="shared" si="344"/>
        <v>0.01</v>
      </c>
      <c r="CH131" s="127"/>
      <c r="CI131" s="259">
        <f>CJ131+各项系数!$M$9*$NO131</f>
        <v>1931.18203072842</v>
      </c>
      <c r="CJ131" s="259">
        <f>CK131*(1+$DC131+(VLOOKUP($AM131,$A$12:$B$323,2,0))+各项系数!$J$6+各项系数!$M$5)*(1+$E$2)+各项系数!$M$9*$NK131</f>
        <v>1917.92130076113</v>
      </c>
      <c r="CK131" s="260">
        <f>CL131+各项系数!$L$9*$NO131</f>
        <v>1946.49365777347</v>
      </c>
      <c r="CL131" s="260">
        <f>CM131*(1+$DD131+各项系数!$J$5+各项系数!$L$5)</f>
        <v>1933.23292780617</v>
      </c>
      <c r="CM131" s="260">
        <f t="shared" si="345"/>
        <v>1895.32639980997</v>
      </c>
      <c r="CN131" s="259">
        <f>CO131+各项系数!$M$9*$NO131</f>
        <v>1944.05635027243</v>
      </c>
      <c r="CO131" s="259">
        <f>CP131*(1+$DC131+(VLOOKUP($AM131,$A$12:$B$323,2,0))+各项系数!$J$6+各项系数!$M$5)*(1+$E$2)+各项系数!$M$9*$NK131</f>
        <v>1930.79562030513</v>
      </c>
      <c r="CP131" s="260">
        <f>CQ131+各项系数!$L$9*$NO131</f>
        <v>1959.63071853266</v>
      </c>
      <c r="CQ131" s="260">
        <f>CR131*(1+$DD131+各项系数!$J$5+各项系数!$L$5)</f>
        <v>1946.36998856536</v>
      </c>
      <c r="CR131" s="260">
        <f t="shared" si="346"/>
        <v>1908.20587114251</v>
      </c>
      <c r="CS131" s="259">
        <f>CT131+各项系数!$M$9*$NU131</f>
        <v>1930.53977753685</v>
      </c>
      <c r="CT131" s="259">
        <f t="shared" si="347"/>
        <v>1917.23636434612</v>
      </c>
      <c r="CU131" s="260">
        <f>CV131+各项系数!$L$9*$NU131</f>
        <v>1956.36363708788</v>
      </c>
      <c r="CV131" s="260">
        <f>CW131*(1+$DD131+各项系数!$J$5+各项系数!$L$5)</f>
        <v>1943.06022389715</v>
      </c>
      <c r="CW131" s="262">
        <f t="shared" si="348"/>
        <v>1904.96100382074</v>
      </c>
      <c r="CX131" s="259">
        <f>CY131+各项系数!$M$9*$NU131</f>
        <v>1944.39899994658</v>
      </c>
      <c r="CY131" s="259">
        <f t="shared" si="349"/>
        <v>1931.09558675585</v>
      </c>
      <c r="CZ131" s="260">
        <f>DA131+各项系数!$L$9*$NU131</f>
        <v>1970.50570077128</v>
      </c>
      <c r="DA131" s="260">
        <f>DB131*(1+$DD131+各项系数!$J$5+各项系数!$L$5)</f>
        <v>1957.20228758055</v>
      </c>
      <c r="DB131" s="262">
        <f t="shared" si="350"/>
        <v>1918.8257721378</v>
      </c>
      <c r="DC131" s="277">
        <f t="shared" si="571"/>
        <v>0</v>
      </c>
      <c r="DD131" s="277">
        <f t="shared" si="351"/>
        <v>0</v>
      </c>
      <c r="DE131" s="69" t="s">
        <v>498</v>
      </c>
      <c r="DF131" s="69" t="s">
        <v>513</v>
      </c>
      <c r="DG131" s="259">
        <f>DH131+各项系数!$M$9*$NQ131</f>
        <v>1951.82072991291</v>
      </c>
      <c r="DH131" s="259">
        <f>DI131*(1+$EA131+(VLOOKUP($AM131,$A$12:$B$323,2,0))+各项系数!$J$6+各项系数!$M$5)*(1+$E$2)+各项系数!$M$9*$NK131</f>
        <v>1938.55999994562</v>
      </c>
      <c r="DI131" s="260">
        <f>DJ131+各项系数!$L$9*$NQ131</f>
        <v>1967.5535549005</v>
      </c>
      <c r="DJ131" s="260">
        <f>DK131*(1+$EB131+各项系数!$J$5+各项系数!$L$5)</f>
        <v>1954.2928249332</v>
      </c>
      <c r="DK131" s="260">
        <f t="shared" si="352"/>
        <v>1897.37167469243</v>
      </c>
      <c r="DL131" s="259">
        <f>DM131+各项系数!$M$9*$NQ131</f>
        <v>1963.7302292018</v>
      </c>
      <c r="DM131" s="259">
        <f>DN131*(1+$EA131+(VLOOKUP($AM131,$A$12:$B$323,2,0))+各项系数!$J$6+各项系数!$M$5)*(1+$E$2)+各项系数!$M$9*$NK131</f>
        <v>1950.4694992345</v>
      </c>
      <c r="DN131" s="260">
        <f>DO131+各项系数!$L$9*$NQ131</f>
        <v>1979.70610519528</v>
      </c>
      <c r="DO131" s="260">
        <f>DP131*(1+$EB131+各项系数!$J$5+各项系数!$L$5)</f>
        <v>1966.44537522799</v>
      </c>
      <c r="DP131" s="260">
        <f t="shared" si="353"/>
        <v>1909.17026721164</v>
      </c>
      <c r="DQ131" s="259">
        <f>DR131+各项系数!$M$9*$NV131</f>
        <v>1951.27601274059</v>
      </c>
      <c r="DR131" s="259">
        <f t="shared" si="354"/>
        <v>1937.97259954986</v>
      </c>
      <c r="DS131" s="260">
        <f>DT131+各项系数!$L$9*$NV131</f>
        <v>1977.52306076517</v>
      </c>
      <c r="DT131" s="260">
        <f>DU131*(1+$EB131+各项系数!$J$5+各项系数!$L$5)</f>
        <v>1964.21964757444</v>
      </c>
      <c r="DU131" s="262">
        <f t="shared" si="355"/>
        <v>1907.00936657713</v>
      </c>
      <c r="DV131" s="259">
        <f>DW131+各项系数!$M$9*$NV131</f>
        <v>1944.98783253738</v>
      </c>
      <c r="DW131" s="259">
        <f t="shared" si="356"/>
        <v>1931.68441934665</v>
      </c>
      <c r="DX131" s="260">
        <f>DY131+各项系数!$L$9*$NV131</f>
        <v>1971.10655035373</v>
      </c>
      <c r="DY131" s="260">
        <f>DZ131*(1+$EB131+各项系数!$J$5+各项系数!$L$5)</f>
        <v>1957.803137163</v>
      </c>
      <c r="DZ131" s="262">
        <f t="shared" si="357"/>
        <v>1900.77974481845</v>
      </c>
      <c r="EA131" s="277">
        <f t="shared" si="559"/>
        <v>0</v>
      </c>
      <c r="EB131" s="277">
        <f t="shared" si="358"/>
        <v>0.01</v>
      </c>
      <c r="EC131" s="302" t="str">
        <f t="shared" si="408"/>
        <v>3+2</v>
      </c>
      <c r="ED131" s="304" t="str">
        <f t="shared" si="565"/>
        <v>3*800</v>
      </c>
      <c r="EE131" s="251">
        <f t="shared" si="495"/>
        <v>800</v>
      </c>
      <c r="EF131" s="95" t="str">
        <f>LOOKUP(EH131,{1,7,10,14,19,24,30,37,48,61},{1,"1+6","2+8","4+10","1+6+12","2+8+14","4+10+16","1+6+12+18","3+9+15+21","1+6+12+18+24"})</f>
        <v>1+6+12+18+24</v>
      </c>
      <c r="EG131" s="250">
        <f t="shared" si="359"/>
        <v>3</v>
      </c>
      <c r="EH131" s="260">
        <f>VLOOKUP(EE131,各项系数!$B$87:$C$124,2,0)</f>
        <v>61</v>
      </c>
      <c r="EI131" s="250">
        <f>IF(EH131=0,0,VLOOKUP(EH131,各项系数!$D$142:$E$195,2,0))*1</f>
        <v>9</v>
      </c>
      <c r="EJ131" s="305">
        <f t="shared" si="409"/>
        <v>404.218837505781</v>
      </c>
      <c r="EK131" s="95" t="str">
        <f t="shared" si="566"/>
        <v>2*400</v>
      </c>
      <c r="EL131" s="251" t="str">
        <f t="shared" si="360"/>
        <v>400</v>
      </c>
      <c r="EM131" s="95">
        <f t="shared" si="567"/>
        <v>400</v>
      </c>
      <c r="EN131" s="95" t="str">
        <f>IF(EP131=0,0,LOOKUP(EP131,{1,7,10,14,19,24,30,37,48,61},{1,"1+6","2+8","4+10","1+6+12","2+8+14","4+10+16","1+6+12+18","3+9+15+21","1+6+12+18+24"}))</f>
        <v>1+6+12+18+24</v>
      </c>
      <c r="EO131" s="95" t="str">
        <f t="shared" si="568"/>
        <v>2</v>
      </c>
      <c r="EP131" s="95">
        <f>IF(EM131=0,0,IF(EM131&lt;10,1,IF(AND(EM131&gt;=10,EM131&lt;=35),7,LOOKUP(EM131,{50,70,95,120,150,185,240,300},{10,14,19,24,30,37,48,61})*1)))</f>
        <v>61</v>
      </c>
      <c r="EQ131" s="251">
        <f>IF(EP131=0,0,VLOOKUP(EP131,各项系数!$D$142:$E$195,2,0))*1</f>
        <v>9</v>
      </c>
      <c r="ER131" s="95">
        <f t="shared" si="569"/>
        <v>277.181191063812</v>
      </c>
      <c r="ES131" s="304">
        <f t="shared" si="570"/>
        <v>5</v>
      </c>
      <c r="ET131" s="251">
        <f>VLOOKUP(ES131,各项系数!$D$142:$E$195,2,0)*1</f>
        <v>2.7</v>
      </c>
      <c r="EU131" s="311">
        <f>((各项系数!$F$76/4*$EJ131^2*$EG131*$EH131*1*10^-7)*(1-$H131)*AA131)*(VLOOKUP($EY$9,各项系数!$D$4:$F$143,3,0))*各项系数!$J$4</f>
        <v>21.3961746881558</v>
      </c>
      <c r="EV131" s="312">
        <f>EU131*(VLOOKUP($EY$9,各项系数!$D$4:$F$143,2,0))</f>
        <v>1401.4494420742</v>
      </c>
      <c r="EW131" s="324">
        <f>(IF($EO131=0,0,(各项系数!$F$76/4*$ER131^2*$EO131*$EP131*1*10^-7))*(1-$K131)*$AF131)*(VLOOKUP($EY$9,各项系数!$D$4:$F$143,3,0))*各项系数!$J$4</f>
        <v>6.64205150203688</v>
      </c>
      <c r="EX131" s="325">
        <f>EW131*(VLOOKUP($EY$9,各项系数!$D$4:$F$143,2,0))</f>
        <v>435.054373383416</v>
      </c>
      <c r="EY131" s="251">
        <f>((各项系数!$F$76/4*$EJ131^2*$EG131*$EH131*1*10^-7)*(1-$H131)*AA131+IF($EO131=0,0,(各项系数!$F$76/4*$ER131^2*$EO131*$EP131*1*10^-7))*(1-$K131)*$AF131)*(VLOOKUP($EY$9,各项系数!$D$4:$F$143,3,0))*各项系数!$J$4</f>
        <v>28.0382261901926</v>
      </c>
      <c r="EZ131" s="123">
        <v>1</v>
      </c>
      <c r="FA131" s="251">
        <f t="shared" si="515"/>
        <v>28.0382261901926</v>
      </c>
      <c r="FB131" s="326">
        <f>FA131*(VLOOKUP($EY$9,各项系数!$D$4:$F$143,2,0))</f>
        <v>1836.50381545762</v>
      </c>
      <c r="FC131" s="329"/>
      <c r="FD131" s="302">
        <f>各项系数!$F$76/4*($MN131^2-MK131^2)*10^-2*(VLOOKUP(L131,各项系数!$D$1:$F$143,3,0))*10^-3*10^2*$EG131*各项系数!$J$4</f>
        <v>1.04543896439943</v>
      </c>
      <c r="FE131" s="339">
        <f>FD131*VLOOKUP(L131,各项系数!$D$1:$F$143,2,0)</f>
        <v>10.6634774368742</v>
      </c>
      <c r="FF131" s="250">
        <f>各项系数!$F$76/4*($MO131^2-ML131^2)*10^-2*(VLOOKUP(L131,各项系数!$D$1:$F$143,3,0))*10^-3*10^2*$EO131*各项系数!$J$4</f>
        <v>0.370616616148259</v>
      </c>
      <c r="FG131" s="339">
        <f>FF131*VLOOKUP(L131,各项系数!$D$1:$F$143,2,0)</f>
        <v>3.78028948471224</v>
      </c>
      <c r="FH131" s="302">
        <f t="shared" si="410"/>
        <v>1.41605558054769</v>
      </c>
      <c r="FI131" s="123">
        <v>1</v>
      </c>
      <c r="FJ131" s="251">
        <f t="shared" si="516"/>
        <v>1.41605558054769</v>
      </c>
      <c r="FK131" s="339">
        <f>FJ131*VLOOKUP(L131,各项系数!$D$1:$F$143,2,0)</f>
        <v>14.4437669215864</v>
      </c>
      <c r="FL131" s="304"/>
      <c r="FM131" s="127"/>
      <c r="FN131" s="251"/>
      <c r="FO131" s="339"/>
      <c r="FP131" s="364">
        <f t="shared" si="517"/>
        <v>1.41605558054769</v>
      </c>
      <c r="FQ131" s="364">
        <f t="shared" si="518"/>
        <v>14.4437669215864</v>
      </c>
      <c r="FR131" s="365">
        <f>各项系数!$F$76/4*($MQ131^2-$MN131^2*$EG131-$MO131^2*$EO131)*10^-2</f>
        <v>22.4917171497066</v>
      </c>
      <c r="FS131" s="366">
        <f t="shared" si="411"/>
        <v>1</v>
      </c>
      <c r="FT131" s="367">
        <f t="shared" si="361"/>
        <v>22.4917171497066</v>
      </c>
      <c r="FU131" s="388">
        <f>$FT131*(VLOOKUP($FT$9,各项系数!$D$1:$F$143,3,0))*10^-3*10^2*各项系数!$J$55</f>
        <v>2.68551102767497</v>
      </c>
      <c r="FV131" s="389">
        <v>1</v>
      </c>
      <c r="FW131" s="390">
        <f t="shared" si="519"/>
        <v>2.68551102767497</v>
      </c>
      <c r="FX131" s="367">
        <f>FW131*(VLOOKUP($FT$9,各项系数!$D$1:$F$143,2,0))</f>
        <v>8.0565330830249</v>
      </c>
      <c r="FY131" s="388">
        <f>IF($BK131&lt;&gt;$FY$9,0,各项系数!$F$76/4*($MS131^2-$MQ131^2)*10^-2*(VLOOKUP($FY$9,各项系数!$D$1:$F$143,3,0))*10^-3*10^2)*各项系数!$J$4</f>
        <v>0</v>
      </c>
      <c r="FZ131" s="389">
        <v>1</v>
      </c>
      <c r="GA131" s="390">
        <f t="shared" si="520"/>
        <v>0</v>
      </c>
      <c r="GB131" s="367">
        <f>GA131*(VLOOKUP($FY$9,各项系数!$D$1:$F$143,2,0))</f>
        <v>0</v>
      </c>
      <c r="GC131" s="388">
        <f>IF($BK131&lt;&gt;$GC$9,0,各项系数!$F$76/4*($MS131^2-$MQ131^2)*10^-2*(VLOOKUP($GC$9,各项系数!$D$1:$F$143,3,0))*10^-3*10^2)*各项系数!$J$4</f>
        <v>0.0268811653991751</v>
      </c>
      <c r="GD131" s="389">
        <v>1</v>
      </c>
      <c r="GE131" s="390">
        <f t="shared" si="521"/>
        <v>0.0268811653991751</v>
      </c>
      <c r="GF131" s="367">
        <f>GE131*(VLOOKUP($GC$9,各项系数!$D$1:$F$143,2,0))</f>
        <v>0.346767033649358</v>
      </c>
      <c r="GG131" s="388">
        <f>IF($BK131&lt;&gt;$GG$9,0,各项系数!$F$76/4*($MS131^2-$MQ131^2)*10^-2*(VLOOKUP($GG$9,各项系数!$D$1:$F$143,3,0))*10^-3*10^2)*各项系数!$J$4</f>
        <v>0</v>
      </c>
      <c r="GH131" s="389">
        <v>1</v>
      </c>
      <c r="GI131" s="390">
        <f t="shared" si="522"/>
        <v>0</v>
      </c>
      <c r="GJ131" s="367">
        <f>GI131*(VLOOKUP($GG$9,各项系数!$D$1:$F$143,2,0))</f>
        <v>0</v>
      </c>
      <c r="GK131" s="388">
        <f>IF($BK131&lt;&gt;$GK$9,0,各项系数!$F$76/4*($MS131^2-$MQ131^2)*10^-2*(VLOOKUP($GK$9,各项系数!$D$1:$F$143,3,0))*10^-3*10^2)*各项系数!$J$4</f>
        <v>0</v>
      </c>
      <c r="GL131" s="389">
        <v>1</v>
      </c>
      <c r="GM131" s="390">
        <f t="shared" si="523"/>
        <v>0</v>
      </c>
      <c r="GN131" s="367">
        <f>GM131*(VLOOKUP($GK$9,各项系数!$D$1:$F$143,2,0))</f>
        <v>0</v>
      </c>
      <c r="GO131" s="390">
        <f t="shared" si="524"/>
        <v>0.0268811653991751</v>
      </c>
      <c r="GP131" s="390">
        <f t="shared" si="525"/>
        <v>0.346767033649358</v>
      </c>
      <c r="GQ131" s="406">
        <f>各项系数!$F$76/4*($MU131^2-$MS131^2)*10^-2*(VLOOKUP($S131,各项系数!$D$1:$F$143,3,0))*10^-3*10^2*各项系数!$J$4</f>
        <v>1.82502854951138</v>
      </c>
      <c r="GR131" s="389">
        <v>1</v>
      </c>
      <c r="GS131" s="390">
        <f t="shared" si="526"/>
        <v>1.82502854951138</v>
      </c>
      <c r="GT131" s="390">
        <f t="shared" si="457"/>
        <v>0</v>
      </c>
      <c r="GU131" s="390">
        <f>ROUND($GS131*(VLOOKUP($S131,各项系数!$D$1:$F$143,2,0))+$E$3*GS131,GT131)</f>
        <v>11</v>
      </c>
      <c r="GV131" s="406">
        <f>各项系数!$F$76/4*($MT131^2-$MS131^2)*10^-2*(VLOOKUP($GV$9,各项系数!$D$1:$F$143,3,0))*10^-3*10^2*各项系数!$J$4*PI()/4*R131</f>
        <v>0.138114848292057</v>
      </c>
      <c r="GW131" s="389">
        <v>1</v>
      </c>
      <c r="GX131" s="390">
        <f t="shared" si="527"/>
        <v>0.138114848292057</v>
      </c>
      <c r="GY131" s="390">
        <f>$GX131*(VLOOKUP($GV$9,各项系数!$D$1:$F$143,2,0))</f>
        <v>9.32275225971386</v>
      </c>
      <c r="GZ131" s="406">
        <f>各项系数!$F$76/4*($MV131^2-$MS131^2)*10^-2*(VLOOKUP($GZ$9,各项系数!$D$1:$F$143,3,0))*10^-3*10^2*各项系数!$J$4</f>
        <v>1.96071883277097</v>
      </c>
      <c r="HA131" s="389">
        <v>1</v>
      </c>
      <c r="HB131" s="390">
        <f t="shared" si="412"/>
        <v>1.96071883277097</v>
      </c>
      <c r="HC131" s="390">
        <f>HB131*(VLOOKUP($GZ$9,各项系数!$D$1:$F$143,2,0))</f>
        <v>33.3322201571065</v>
      </c>
      <c r="HD131" s="406">
        <f>各项系数!$F$76/4*($MW131^2-$MT131^2)*10^-2*(VLOOKUP($HD$9,各项系数!$D$1:$F$143,3,0))*10^-3*10^2*各项系数!$J$4</f>
        <v>1.96376469481322</v>
      </c>
      <c r="HE131" s="389">
        <v>1</v>
      </c>
      <c r="HF131" s="390">
        <f t="shared" si="413"/>
        <v>1.96376469481322</v>
      </c>
      <c r="HG131" s="390">
        <f>HF131*(VLOOKUP($HD$9,各项系数!$D$1:$F$143,2,0))</f>
        <v>33.3839998118247</v>
      </c>
      <c r="HH131" s="406">
        <f>各项系数!$F$76/4*($MV131^2-$MS131^2)*10^-2*(VLOOKUP($HH$9,各项系数!$D$1:$F$143,3,0))*10^-3*10^2*各项系数!$J$4</f>
        <v>1.96071883277097</v>
      </c>
      <c r="HI131" s="420">
        <v>1</v>
      </c>
      <c r="HJ131" s="390">
        <f t="shared" si="414"/>
        <v>1.96071883277097</v>
      </c>
      <c r="HK131" s="390">
        <f>HJ131*(VLOOKUP($HH$9,各项系数!$D$1:$F$143,2,0))</f>
        <v>33.3322201571065</v>
      </c>
      <c r="HL131" s="406">
        <f>各项系数!$F$76/4*($MW131^2-$MT131^2)*10^-2*(VLOOKUP($HL$9,各项系数!$D$1:$F$143,3,0))*10^-3*10^2*各项系数!$J$4</f>
        <v>1.96376469481322</v>
      </c>
      <c r="HM131" s="420">
        <v>1</v>
      </c>
      <c r="HN131" s="390">
        <f t="shared" si="362"/>
        <v>1.96376469481322</v>
      </c>
      <c r="HO131" s="390">
        <f>HN131*(VLOOKUP($HL$9,各项系数!$D$1:$F$143,2,0))</f>
        <v>33.3839998118247</v>
      </c>
      <c r="HP131" s="406">
        <f>各项系数!$F$76/4*($MV131^2-$MS131^2)*10^-2*(VLOOKUP(AN131,各项系数!$D$1:$F$143,3,0))*10^-3*10^2*各项系数!$J$4</f>
        <v>1.98776323046436</v>
      </c>
      <c r="HQ131" s="389">
        <v>1</v>
      </c>
      <c r="HR131" s="390">
        <f t="shared" si="528"/>
        <v>1.98776323046436</v>
      </c>
      <c r="HS131" s="390">
        <f>HR131*(VLOOKUP(AN131,各项系数!$D$1:$F$143,2,0))</f>
        <v>19.8776323046436</v>
      </c>
      <c r="HT131" s="406">
        <f>各项系数!$F$76/4*($MW131^2-$MT131^2)*10^-2*(VLOOKUP(AN131,各项系数!$D$1:$F$143,3,0))*10^-3*10^2*各项系数!$J$4</f>
        <v>1.99085110439685</v>
      </c>
      <c r="HU131" s="389">
        <v>1</v>
      </c>
      <c r="HV131" s="390">
        <f t="shared" si="529"/>
        <v>1.99085110439685</v>
      </c>
      <c r="HW131" s="390">
        <f>HV131*(VLOOKUP(AN131,各项系数!$D$1:$F$143,2,0))</f>
        <v>19.9085110439685</v>
      </c>
      <c r="HX131" s="406">
        <f>各项系数!$F$76/4*($MV131^2-$MS131^2)*10^-2*(VLOOKUP($HX$9,各项系数!$D$1:$F$143,3,0))*10^-3*10^2*各项系数!$J$4</f>
        <v>1.98776323046436</v>
      </c>
      <c r="HY131" s="420">
        <v>1</v>
      </c>
      <c r="HZ131" s="390">
        <f t="shared" si="530"/>
        <v>1.98776323046436</v>
      </c>
      <c r="IA131" s="390">
        <f>HZ131*(VLOOKUP($HX$9,各项系数!$D$1:$F$143,2,0))</f>
        <v>21.865395535108</v>
      </c>
      <c r="IB131" s="406">
        <f>各项系数!$F$76/4*($MW131^2-$MT131^2)*10^-2*(VLOOKUP($IB$9,各项系数!$D$1:$F$143,3,0))*10^-3*10^2*各项系数!$J$4</f>
        <v>1.99085110439685</v>
      </c>
      <c r="IC131" s="420">
        <v>1</v>
      </c>
      <c r="ID131" s="390">
        <f t="shared" si="531"/>
        <v>1.99085110439685</v>
      </c>
      <c r="IE131" s="390">
        <f>ID131*(VLOOKUP($IB$9,各项系数!$D$1:$F$143,2,0))</f>
        <v>21.8993621483653</v>
      </c>
      <c r="IF131" s="395"/>
      <c r="IG131" s="406">
        <f t="shared" si="415"/>
        <v>0.225811613420105</v>
      </c>
      <c r="IH131" s="389">
        <v>1</v>
      </c>
      <c r="II131" s="390">
        <f t="shared" si="532"/>
        <v>0.225811613420105</v>
      </c>
      <c r="IJ131" s="390">
        <f>II131*(VLOOKUP($IG$8,各项系数!$D$1:$F$143,2,0))</f>
        <v>5.64529033550262</v>
      </c>
      <c r="IK131" s="406">
        <f>(各项系数!$F$76/4*($MX131^2-$MK131^2)*$EG131)*10^-2*(VLOOKUP($IG$8,各项系数!$D$1:$F$143,3,0))*10^-3*10^2*各项系数!$J$4</f>
        <v>0.154786272784713</v>
      </c>
      <c r="IL131" s="389">
        <f>IK131*(VLOOKUP($IG$8,各项系数!$D$1:$F$143,2,0))</f>
        <v>3.86965681961783</v>
      </c>
      <c r="IM131" s="390">
        <f>(各项系数!$F$76/4*(($MM131+3*$X131)^2-MM131^2)*$EO131)*10^-2*(VLOOKUP($IG$8,各项系数!$D$1:$F$143,3,0))*10^-3*10^2*各项系数!$J$4</f>
        <v>0.0710253406353919</v>
      </c>
      <c r="IN131" s="389">
        <f>IM131*(VLOOKUP($IG$8,各项系数!$D$1:$F$143,2,0))</f>
        <v>1.7756335158848</v>
      </c>
      <c r="IO131" s="406">
        <f>各项系数!$F$76/4*($MZ131^2-$MX131^2)*10^-2*(VLOOKUP(L131,各项系数!$D$1:$F$143,3,0))*10^-3*10^2*$ES131*各项系数!$J$4</f>
        <v>1.76921836464201</v>
      </c>
      <c r="IP131" s="389">
        <v>1</v>
      </c>
      <c r="IQ131" s="390">
        <f t="shared" si="533"/>
        <v>1.76921836464201</v>
      </c>
      <c r="IR131" s="367">
        <f>IQ131*(VLOOKUP(L131,各项系数!$D$1:$F$143,2,0))</f>
        <v>18.0460273193485</v>
      </c>
      <c r="IS131" s="406">
        <f>IF($L131&lt;&gt;$IS$9,0,各项系数!$F$76/4*($MZ131^2-$MX131^2)*10^-2*各项系数!$F$12*10^-3*10^2)*$ES131*各项系数!$J$4</f>
        <v>0</v>
      </c>
      <c r="IT131" s="396">
        <v>1</v>
      </c>
      <c r="IU131" s="390">
        <f t="shared" si="534"/>
        <v>0</v>
      </c>
      <c r="IV131" s="367">
        <f>IU131*各项系数!$E$12</f>
        <v>0</v>
      </c>
      <c r="IW131" s="388">
        <f t="shared" si="535"/>
        <v>1.76921836464201</v>
      </c>
      <c r="IX131" s="388">
        <f t="shared" si="536"/>
        <v>18.0460273193485</v>
      </c>
      <c r="IY131" s="447">
        <f>各项系数!$F$76/4*($NB131^2-$MZ131^2*$EG131-$NA131^2*$EO131)*10^-2</f>
        <v>24.203893808035</v>
      </c>
      <c r="IZ131" s="366">
        <f t="shared" si="487"/>
        <v>1</v>
      </c>
      <c r="JA131" s="367">
        <f t="shared" si="363"/>
        <v>24.203893808035</v>
      </c>
      <c r="JB131" s="364">
        <f>IF($DE131&lt;&gt;$JB$9,0,$JA131*各项系数!$F$32*10^-3*10^2)*各项系数!$J$4</f>
        <v>0</v>
      </c>
      <c r="JC131" s="123">
        <v>1</v>
      </c>
      <c r="JD131" s="251">
        <f t="shared" si="537"/>
        <v>0</v>
      </c>
      <c r="JE131" s="339">
        <f>JD131*各项系数!$E$32</f>
        <v>0</v>
      </c>
      <c r="JF131" s="364">
        <f>IF($DE131&lt;&gt;$JF$9,0,$JA131*VLOOKUP($JF$9,各项系数!$D$4:$F$540,2,0)*10^-3*10^2)*各项系数!$J$4</f>
        <v>12.0414371694974</v>
      </c>
      <c r="JG131" s="123">
        <v>1</v>
      </c>
      <c r="JH131" s="251">
        <f t="shared" si="364"/>
        <v>12.0414371694974</v>
      </c>
      <c r="JI131" s="339">
        <f>JH131*VLOOKUP($JF$9,各项系数!$D$4:$F$540,3,0)</f>
        <v>14.4497246033969</v>
      </c>
      <c r="JJ131" s="364">
        <f t="shared" si="538"/>
        <v>12.0414371694974</v>
      </c>
      <c r="JK131" s="251">
        <f t="shared" si="539"/>
        <v>14.4497246033969</v>
      </c>
      <c r="JL131" s="364">
        <f>IF($DF131&lt;&gt;$JL$9,0,各项系数!$F$76/4*($NE131^2-$NC131^2)*10^-2*各项系数!$F$39*10^-3*10^2)*各项系数!$J$4</f>
        <v>0.0114396634768499</v>
      </c>
      <c r="JM131" s="123">
        <v>1</v>
      </c>
      <c r="JN131" s="251">
        <f t="shared" si="540"/>
        <v>0.0114396634768499</v>
      </c>
      <c r="JO131" s="339">
        <f>JN131*各项系数!$E$39</f>
        <v>0.228793269536998</v>
      </c>
      <c r="JP131" s="364">
        <f>IF($DF131&lt;&gt;$JP$9,0,各项系数!$F$76/4*($NE131^2-$NC131^2)*10^-2*各项系数!$F$36*10^-3*10^2)*各项系数!$J$4</f>
        <v>0</v>
      </c>
      <c r="JQ131" s="123">
        <v>1</v>
      </c>
      <c r="JR131" s="251">
        <f t="shared" si="541"/>
        <v>0</v>
      </c>
      <c r="JS131" s="339">
        <f>JR131*各项系数!$E$36</f>
        <v>0</v>
      </c>
      <c r="JT131" s="364">
        <f>IF($DF131&lt;&gt;$JT$9,0,各项系数!$F$76/4*($NE131^2-$NC131^2)*10^-2*各项系数!$F$40*10^-3*10^2)*各项系数!$J$4</f>
        <v>0</v>
      </c>
      <c r="JU131" s="123">
        <v>1</v>
      </c>
      <c r="JV131" s="251">
        <f t="shared" si="542"/>
        <v>0</v>
      </c>
      <c r="JW131" s="339">
        <f>JV131*各项系数!$E$40</f>
        <v>0</v>
      </c>
      <c r="JX131" s="364">
        <f>IF($DF131&lt;&gt;$JX$9,0,各项系数!$F$76/4*($NE131^2-$NC131^2)*10^-2*各项系数!$F$38*10^-3*10^2)*各项系数!$J$4</f>
        <v>0</v>
      </c>
      <c r="JY131" s="123">
        <v>1</v>
      </c>
      <c r="JZ131" s="251">
        <f t="shared" si="543"/>
        <v>0</v>
      </c>
      <c r="KA131" s="339">
        <f>JZ131*各项系数!$E$38</f>
        <v>0</v>
      </c>
      <c r="KB131" s="364">
        <f>IF($DF131&lt;&gt;$KB$9,0,各项系数!$F$76/4*($NE131^2-$NC131^2)*10^-2*各项系数!$F$41*10^-3*10^2)*各项系数!$J$4</f>
        <v>0</v>
      </c>
      <c r="KC131" s="123">
        <v>1</v>
      </c>
      <c r="KD131" s="251">
        <f t="shared" si="544"/>
        <v>0</v>
      </c>
      <c r="KE131" s="339">
        <f>KD131*各项系数!$E$41</f>
        <v>0</v>
      </c>
      <c r="KF131" s="251">
        <f t="shared" si="545"/>
        <v>0.0114396634768499</v>
      </c>
      <c r="KG131" s="251">
        <f t="shared" si="546"/>
        <v>0.228793269536998</v>
      </c>
      <c r="KH131" s="302">
        <f>各项系数!$F$76/4*($NG131^2-$NE131^2)*10^-2*各项系数!$F$44*10^-3*10^2*各项系数!$J$4*0.75*$U131</f>
        <v>2.81949273654512</v>
      </c>
      <c r="KI131" s="123">
        <v>1</v>
      </c>
      <c r="KJ131" s="251">
        <f t="shared" si="547"/>
        <v>2.81949273654512</v>
      </c>
      <c r="KK131" s="251">
        <f>ROUND(KJ131*各项系数!$E$43,GT131)</f>
        <v>16</v>
      </c>
      <c r="KL131" s="302">
        <f>各项系数!$F$76/4*($NF131^2-$NE131^2)*10^-2*各项系数!$F$46*10^-3*10^2*各项系数!$J$4*PI()/4*R131</f>
        <v>0.142277411428788</v>
      </c>
      <c r="KM131" s="123">
        <v>1</v>
      </c>
      <c r="KN131" s="251">
        <f t="shared" si="548"/>
        <v>0.142277411428788</v>
      </c>
      <c r="KO131" s="251">
        <f>KN131*各项系数!$E$46</f>
        <v>9.60372527144319</v>
      </c>
      <c r="KP131" s="302">
        <f>各项系数!$F$76/4*($NH131^2-$NE131^2)*10^-2*(VLOOKUP($KP$9,各项系数!$D$1:$F$143,3,0))*10^-3*10^2*各项系数!$J$4</f>
        <v>2.01744801330787</v>
      </c>
      <c r="KQ131" s="123">
        <v>1</v>
      </c>
      <c r="KR131" s="251">
        <f t="shared" si="416"/>
        <v>2.01744801330787</v>
      </c>
      <c r="KS131" s="251">
        <f>KR131*(VLOOKUP($KP$9,各项系数!$D$1:$F$143,2,0))</f>
        <v>34.2966162262338</v>
      </c>
      <c r="KT131" s="302">
        <f>各项系数!$F$76/4*($NI131^2-$NF131^2)*10^-2*(VLOOKUP($KT$9,各项系数!$D$1:$F$143,3,0))*10^-3*10^2*各项系数!$J$4</f>
        <v>2.02049387535012</v>
      </c>
      <c r="KU131" s="123">
        <v>1</v>
      </c>
      <c r="KV131" s="251">
        <f t="shared" si="417"/>
        <v>2.02049387535012</v>
      </c>
      <c r="KW131" s="251">
        <f>KV131*(VLOOKUP($KT$9,各项系数!$D$1:$F$143,2,0))</f>
        <v>34.348395880952</v>
      </c>
      <c r="KX131" s="251">
        <f>各项系数!$F$76/4*($NH131^2-$NE131^2)*10^-2*(VLOOKUP($KX$9,各项系数!$D$1:$F$143,3,0))*10^-3*10^2*各项系数!$J$4</f>
        <v>2.01744801330787</v>
      </c>
      <c r="KY131" s="479">
        <v>1</v>
      </c>
      <c r="KZ131" s="251">
        <f t="shared" si="418"/>
        <v>2.01744801330787</v>
      </c>
      <c r="LA131" s="251">
        <f>KZ131*(VLOOKUP($KX$9,各项系数!$D$1:$F$143,2,0))</f>
        <v>34.2966162262338</v>
      </c>
      <c r="LB131" s="251">
        <f>各项系数!$F$76/4*($NI131^2-$NF131^2)*10^-2*(VLOOKUP($LB$9,各项系数!$D$1:$F$143,3,0))*10^-3*10^2*各项系数!$J$4</f>
        <v>2.02049387535012</v>
      </c>
      <c r="LC131" s="479">
        <v>1</v>
      </c>
      <c r="LD131" s="251">
        <f t="shared" si="419"/>
        <v>2.02049387535012</v>
      </c>
      <c r="LE131" s="251">
        <f>LD131*(VLOOKUP($LB$9,各项系数!$D$1:$F$143,2,0))</f>
        <v>34.348395880952</v>
      </c>
      <c r="LF131" s="302">
        <f>各项系数!$F$76/4*($NH131^2-$NE131^2)*10^-2*(VLOOKUP(AN131,各项系数!$D$1:$F$143,3,0))*10^-3*10^2*各项系数!$J$4</f>
        <v>2.04527488245694</v>
      </c>
      <c r="LG131" s="123">
        <v>1</v>
      </c>
      <c r="LH131" s="251">
        <f t="shared" si="549"/>
        <v>2.04527488245694</v>
      </c>
      <c r="LI131" s="251">
        <f>LH131*(VLOOKUP(AN131,各项系数!$D$1:$F$143,2,0))</f>
        <v>20.4527488245694</v>
      </c>
      <c r="LJ131" s="302">
        <f>各项系数!$F$76/4*($NI131^2-$NF131^2)*10^-2*(VLOOKUP(AN131,各项系数!$D$1:$F$143,3,0))*10^-3*10^2*各项系数!$J$4</f>
        <v>2.04836275638943</v>
      </c>
      <c r="LK131" s="123">
        <v>1</v>
      </c>
      <c r="LL131" s="251">
        <f t="shared" si="550"/>
        <v>2.04836275638943</v>
      </c>
      <c r="LM131" s="251">
        <f>LL131*(VLOOKUP(AN131,各项系数!$D$1:$F$143,2,0))</f>
        <v>20.4836275638943</v>
      </c>
      <c r="LN131" s="251">
        <f>各项系数!$F$76/4*($NH131^2-$NE131^2)*10^-2*(VLOOKUP($LN$9,各项系数!$D$1:$F$143,3,0))*10^-3*10^2*各项系数!$J$4</f>
        <v>2.04527488245694</v>
      </c>
      <c r="LO131" s="479">
        <v>1</v>
      </c>
      <c r="LP131" s="251">
        <f t="shared" si="551"/>
        <v>2.04527488245694</v>
      </c>
      <c r="LQ131" s="251">
        <f>LP131*(VLOOKUP($LN$9,各项系数!$D$1:$F$143,2,0))</f>
        <v>22.4980237070264</v>
      </c>
      <c r="LR131" s="251">
        <f>各项系数!$F$76/4*($NI131^2-$NF131^2)*10^-2*(VLOOKUP($LR$9,各项系数!$D$1:$F$143,3,0))*10^-3*10^2*各项系数!$J$4</f>
        <v>2.04836275638943</v>
      </c>
      <c r="LS131" s="479">
        <v>1</v>
      </c>
      <c r="LT131" s="251">
        <f t="shared" si="552"/>
        <v>2.04836275638943</v>
      </c>
      <c r="LU131" s="251">
        <f>LT131*(VLOOKUP($LR$9,各项系数!$D$1:$F$143,2,0))</f>
        <v>22.5319903202837</v>
      </c>
      <c r="LV131" s="499">
        <f t="shared" si="420"/>
        <v>3118.38155905</v>
      </c>
      <c r="LW131" s="499">
        <f t="shared" si="421"/>
        <v>2348.41080373</v>
      </c>
      <c r="LX131" s="499">
        <f t="shared" si="422"/>
        <v>54.6817108601434</v>
      </c>
      <c r="LY131" s="515">
        <f t="shared" si="423"/>
        <v>769.97075532</v>
      </c>
      <c r="LZ131" s="516">
        <f t="shared" si="365"/>
        <v>1</v>
      </c>
      <c r="MA131" s="517">
        <f t="shared" si="366"/>
        <v>3118.38155905</v>
      </c>
      <c r="MB131" s="517">
        <f t="shared" si="424"/>
        <v>36.37969542</v>
      </c>
      <c r="MC131" s="499">
        <f t="shared" si="425"/>
        <v>977.53520974</v>
      </c>
      <c r="MD131" s="499">
        <f t="shared" si="426"/>
        <v>736.16849094</v>
      </c>
      <c r="ME131" s="499">
        <f t="shared" si="427"/>
        <v>30.6156632175888</v>
      </c>
      <c r="MF131" s="499">
        <f t="shared" si="428"/>
        <v>241.3667188</v>
      </c>
      <c r="MG131" s="516">
        <f t="shared" si="429"/>
        <v>1</v>
      </c>
      <c r="MH131" s="517">
        <f t="shared" si="367"/>
        <v>977.53520974</v>
      </c>
      <c r="MI131" s="517">
        <f t="shared" si="430"/>
        <v>24.946307195775</v>
      </c>
      <c r="MJ131" s="251">
        <f t="shared" si="368"/>
        <v>36.37969542</v>
      </c>
      <c r="MK131" s="251">
        <f t="shared" si="431"/>
        <v>36.37969542</v>
      </c>
      <c r="ML131" s="251">
        <f t="shared" si="553"/>
        <v>24.9463071957431</v>
      </c>
      <c r="MM131" s="251">
        <f t="shared" si="369"/>
        <v>24.946307195775</v>
      </c>
      <c r="MN131" s="251">
        <f t="shared" si="370"/>
        <v>41.57969542</v>
      </c>
      <c r="MO131" s="251">
        <f t="shared" si="432"/>
        <v>28.946307195775</v>
      </c>
      <c r="MP131" s="251">
        <f t="shared" si="433"/>
        <v>98.62111835</v>
      </c>
      <c r="MQ131" s="251">
        <f t="shared" si="554"/>
        <v>98.62111835</v>
      </c>
      <c r="MR131" s="314">
        <f t="shared" si="434"/>
        <v>98.62111835</v>
      </c>
      <c r="MS131" s="530">
        <f t="shared" si="371"/>
        <v>98.79711835</v>
      </c>
      <c r="MT131" s="530">
        <f t="shared" si="372"/>
        <v>98.95711835</v>
      </c>
      <c r="MU131" s="530">
        <f t="shared" si="373"/>
        <v>100.29711835</v>
      </c>
      <c r="MV131" s="530">
        <f t="shared" si="374"/>
        <v>107.19711835</v>
      </c>
      <c r="MW131" s="530">
        <f t="shared" si="375"/>
        <v>107.35711835</v>
      </c>
      <c r="MX131" s="326">
        <f t="shared" si="376"/>
        <v>36.97969542</v>
      </c>
      <c r="MY131" s="326">
        <f t="shared" si="377"/>
        <v>25.546307195775</v>
      </c>
      <c r="MZ131" s="251">
        <f t="shared" si="378"/>
        <v>42.17969542</v>
      </c>
      <c r="NA131" s="251">
        <f t="shared" si="379"/>
        <v>30.746307195775</v>
      </c>
      <c r="NB131" s="251">
        <f t="shared" si="435"/>
        <v>101.53711835</v>
      </c>
      <c r="NC131" s="326">
        <f t="shared" si="555"/>
        <v>101.53711835</v>
      </c>
      <c r="ND131" s="314">
        <f t="shared" si="436"/>
        <v>101.53711835</v>
      </c>
      <c r="NE131" s="537">
        <f t="shared" si="437"/>
        <v>101.77711835</v>
      </c>
      <c r="NF131" s="530">
        <f t="shared" si="380"/>
        <v>101.93711835</v>
      </c>
      <c r="NG131" s="538">
        <f t="shared" si="381"/>
        <v>103.27711835</v>
      </c>
      <c r="NH131" s="326">
        <f t="shared" si="382"/>
        <v>110.17711835</v>
      </c>
      <c r="NI131" s="530">
        <f t="shared" si="383"/>
        <v>110.33711835</v>
      </c>
      <c r="NK131" s="539">
        <f t="shared" si="384"/>
        <v>34.5250538104271</v>
      </c>
      <c r="NL131" s="539">
        <f t="shared" si="385"/>
        <v>1883.00880428523</v>
      </c>
      <c r="NM131" s="539">
        <f t="shared" si="386"/>
        <v>34.5250538104271</v>
      </c>
      <c r="NN131" s="539">
        <f t="shared" si="387"/>
        <v>1884.9965675157</v>
      </c>
      <c r="NO131" s="539">
        <f t="shared" si="388"/>
        <v>44.2024332243213</v>
      </c>
      <c r="NP131" s="539">
        <f t="shared" si="389"/>
        <v>1897.10203332586</v>
      </c>
      <c r="NQ131" s="539">
        <f t="shared" si="390"/>
        <v>44.2024332243213</v>
      </c>
      <c r="NR131" s="539">
        <f t="shared" si="391"/>
        <v>1899.14730820831</v>
      </c>
      <c r="NS131" s="539">
        <f t="shared" si="392"/>
        <v>34.6631686587191</v>
      </c>
      <c r="NT131" s="539">
        <f t="shared" si="393"/>
        <v>34.6631686587191</v>
      </c>
      <c r="NU131" s="539">
        <f t="shared" si="394"/>
        <v>44.3447106357501</v>
      </c>
      <c r="NV131" s="539">
        <f t="shared" si="395"/>
        <v>44.3447106357501</v>
      </c>
      <c r="NW131">
        <f t="shared" si="396"/>
        <v>36.3500823599385</v>
      </c>
      <c r="NX131">
        <f>各项系数!$M$9*NK131</f>
        <v>10.3575161431281</v>
      </c>
      <c r="NY131">
        <f t="shared" si="397"/>
        <v>34.6631686587191</v>
      </c>
    </row>
    <row r="132" customHeight="1" spans="1:389">
      <c r="A132" s="85"/>
      <c r="B132" s="86"/>
      <c r="C132" s="87"/>
      <c r="D132" s="69" t="s">
        <v>324</v>
      </c>
      <c r="E132" s="70">
        <f t="shared" si="560"/>
        <v>17.49733891</v>
      </c>
      <c r="F132" s="84">
        <f>$F$20</f>
        <v>131.130294998433</v>
      </c>
      <c r="G132" s="74"/>
      <c r="H132" s="78"/>
      <c r="I132" s="174">
        <f>$F$203</f>
        <v>267.425148012862</v>
      </c>
      <c r="J132" s="78"/>
      <c r="K132" s="78"/>
      <c r="L132" s="118" t="s">
        <v>467</v>
      </c>
      <c r="M132" s="124">
        <f t="shared" si="339"/>
        <v>0.7</v>
      </c>
      <c r="N132" s="124">
        <f t="shared" si="501"/>
        <v>0.7</v>
      </c>
      <c r="O132" s="69">
        <f t="shared" si="572"/>
        <v>0.08</v>
      </c>
      <c r="P132" s="120">
        <v>0.1</v>
      </c>
      <c r="Q132" s="162">
        <f t="shared" si="557"/>
        <v>0.1</v>
      </c>
      <c r="R132" s="86">
        <v>0.8</v>
      </c>
      <c r="S132" s="171" t="str">
        <f>各项系数!$D$43</f>
        <v>钢带</v>
      </c>
      <c r="T132" s="123">
        <v>0.2</v>
      </c>
      <c r="U132" s="123">
        <v>2</v>
      </c>
      <c r="V132" s="175"/>
      <c r="W132" s="124">
        <v>1.8</v>
      </c>
      <c r="X132" s="164">
        <f t="shared" si="558"/>
        <v>0.2</v>
      </c>
      <c r="Y132" s="219"/>
      <c r="Z132" s="220"/>
      <c r="AA132" s="217">
        <f>$AA$20</f>
        <v>1.011</v>
      </c>
      <c r="AB132" s="186">
        <f>PI()*EJ132*EJ132/4*EH132*(1-H132)*AA132*各项系数!$F$5*各项系数!$J$4*10^-7</f>
        <v>0.0845415089527171</v>
      </c>
      <c r="AC132" s="186">
        <f t="shared" ref="AC132:AC157" si="573">EJ132</f>
        <v>131.130294998433</v>
      </c>
      <c r="AD132" s="186">
        <f t="shared" si="341"/>
        <v>9.55751863397041</v>
      </c>
      <c r="AE132" s="186">
        <f>POWER(4*EU132/PI()/EG132/10^-7/EH132/(1-H132)/各项系数!$F$5/各项系数!$J$4,0.5)</f>
        <v>131.849539109191</v>
      </c>
      <c r="AF132" s="218">
        <f>$AA$203</f>
        <v>1</v>
      </c>
      <c r="AG132" s="85">
        <f>IF(EM132=0,0,PI()*ER132*ER132/4*EP132*(1-K132)*(1+AF132)*各项系数!$F$5*各项系数!$J$4*10^-7)</f>
        <v>0.0993686085420593</v>
      </c>
      <c r="AH132" s="85">
        <f t="shared" ref="AH132:AH157" si="574">ER132</f>
        <v>267.425148012862</v>
      </c>
      <c r="AI132" s="85">
        <f t="shared" si="398"/>
        <v>5.61686998219778</v>
      </c>
      <c r="AJ132" s="85">
        <f>IF(OR(EP132="",EP132=0),0,POWER(4*EW132/PI()/EO132/10^-7/EP132/(1-K132)/各项系数!$F$5/各项系数!$J$4,0.5))</f>
        <v>267.425148012862</v>
      </c>
      <c r="AK132" s="85">
        <f t="shared" si="342"/>
        <v>0.387850340081898</v>
      </c>
      <c r="AL132" s="85">
        <f t="shared" ref="AL132:AL157" si="575">AO132*(1+0.02)</f>
        <v>28.3752910461921</v>
      </c>
      <c r="AM132" s="250">
        <f t="shared" ref="AM132:AM157" si="576">EE132*1</f>
        <v>10</v>
      </c>
      <c r="AN132" s="118" t="s">
        <v>486</v>
      </c>
      <c r="AO132" s="259">
        <f>AP132+各项系数!$M$9*$NK132</f>
        <v>27.8189127903844</v>
      </c>
      <c r="AP132" s="259">
        <f>AQ132*(1+$BI132+(VLOOKUP($AM132,$A$12:$B$323,2,0))+各项系数!$J$6+各项系数!$M$5)*(1+$E$2)</f>
        <v>27.6279406331873</v>
      </c>
      <c r="AQ132" s="260">
        <f>AR132+各项系数!$L$9*$NK132</f>
        <v>28.1917761563135</v>
      </c>
      <c r="AR132" s="260">
        <f>AS132*(1+$BJ132+各项系数!$J$5+各项系数!$L$5)</f>
        <v>28.0008039991164</v>
      </c>
      <c r="AS132" s="260">
        <f t="shared" si="399"/>
        <v>27.4517686265847</v>
      </c>
      <c r="AT132" s="259">
        <f>AU132+各项系数!$M$9*$NM132</f>
        <v>28.6973704250932</v>
      </c>
      <c r="AU132" s="259">
        <f>AV132*(1+$BI132+(VLOOKUP($AM132,$A$12:$B$323,2,0))+各项系数!$J$6+各项系数!$M$5)*(1+$E$2)</f>
        <v>28.506398267896</v>
      </c>
      <c r="AV132" s="260">
        <f>AW132+各项系数!$L$9*$NM132</f>
        <v>29.0881614978531</v>
      </c>
      <c r="AW132" s="260">
        <f>AX132*(1+$BJ132+各项系数!$J$5+各项系数!$L$5)</f>
        <v>28.897189340656</v>
      </c>
      <c r="AX132" s="260">
        <f t="shared" si="400"/>
        <v>28.3305777849568</v>
      </c>
      <c r="AY132" s="259">
        <f>AZ132+各项系数!$M$9*$NS132</f>
        <v>29.161082165663</v>
      </c>
      <c r="AZ132" s="259">
        <f>BA132*(1+$BI132+(VLOOKUP($AM132,$A$12:$B$214,2,0))+各项系数!$J$6+各项系数!$M$5)*(1+$E$2)</f>
        <v>28.9642528048723</v>
      </c>
      <c r="BA132" s="260">
        <f>BB132+各项系数!$L$9*$NS132</f>
        <v>29.5553600049717</v>
      </c>
      <c r="BB132" s="260">
        <f>BC132*(1+$BJ132+各项系数!$J$5+各项系数!$L$5)</f>
        <v>29.358530644181</v>
      </c>
      <c r="BC132" s="262">
        <f t="shared" si="401"/>
        <v>28.7828731805696</v>
      </c>
      <c r="BD132" s="259">
        <f>BE132+各项系数!$M$9*$NS132</f>
        <v>30.0484937525263</v>
      </c>
      <c r="BE132" s="259">
        <f>BF132*(1+$BI132+(VLOOKUP($AM132,$A$12:$B$214,2,0))+各项系数!$J$6+各项系数!$M$5)*(1+$E$2)</f>
        <v>29.8516643917356</v>
      </c>
      <c r="BF132" s="260">
        <f>BG132+各项系数!$L$9*$NS132</f>
        <v>30.4608820323833</v>
      </c>
      <c r="BG132" s="260">
        <f>BH132*(1+$BJ132+各项系数!$J$5+各项系数!$L$5)</f>
        <v>30.2640526715925</v>
      </c>
      <c r="BH132" s="262">
        <f t="shared" si="402"/>
        <v>29.6706398741103</v>
      </c>
      <c r="BI132" s="277"/>
      <c r="BJ132" s="272"/>
      <c r="BK132" s="69" t="s">
        <v>514</v>
      </c>
      <c r="BL132" s="259">
        <f>BM132+各项系数!$M$9*$NM132</f>
        <v>28.2189946804885</v>
      </c>
      <c r="BM132" s="259">
        <f>BN132*(1+$CF132+(VLOOKUP($AM132,$A$12:$B$323,2,0))+各项系数!$J$6+各项系数!$M$5)*(1+$E$2)</f>
        <v>28.0280225232913</v>
      </c>
      <c r="BN132" s="260">
        <f>BO132+各项系数!$L$9*$NM132</f>
        <v>28.6000229829503</v>
      </c>
      <c r="BO132" s="260">
        <f>BP132*(1+$CG132+各项系数!$J$5+各项系数!$L$5)</f>
        <v>28.4090508257532</v>
      </c>
      <c r="BP132" s="260">
        <f t="shared" si="403"/>
        <v>27.5816027434497</v>
      </c>
      <c r="BQ132" s="259">
        <f>BR132+各项系数!$M$9*$NM132</f>
        <v>28.9750100873858</v>
      </c>
      <c r="BR132" s="259">
        <f>BS132*(1+$CF132+(VLOOKUP($AM132,$A$12:$B$323,2,0))+各项系数!$J$6+各项系数!$M$5)*(1+$E$2)</f>
        <v>28.7840379301886</v>
      </c>
      <c r="BS132" s="260">
        <f>BT132+各项系数!$L$9*$NM132</f>
        <v>29.3714672757027</v>
      </c>
      <c r="BT132" s="260">
        <f>BU132*(1+$CG132+各项系数!$J$5+各项系数!$L$5)</f>
        <v>29.1804951185055</v>
      </c>
      <c r="BU132" s="260">
        <f t="shared" si="404"/>
        <v>28.3305777849568</v>
      </c>
      <c r="BV132" s="259">
        <f>BW132+各项系数!$M$9*$NT132</f>
        <v>29.3907500561763</v>
      </c>
      <c r="BW132" s="259">
        <f>BX132*(1+$CF132+(VLOOKUP($AM132,$A$12:$B$214,2,0))+各项系数!$J$6+各项系数!$M$5)*(1+$E$2)</f>
        <v>29.1939206953855</v>
      </c>
      <c r="BX132" s="260">
        <f>BY132+各项系数!$L$9*$NT$12</f>
        <v>29.7897149952914</v>
      </c>
      <c r="BY132" s="260">
        <f>BZ132*(1+$CG132+各项系数!$J$5+各项系数!$L$5)</f>
        <v>29.7814515921364</v>
      </c>
      <c r="BZ132" s="262">
        <f t="shared" si="343"/>
        <v>28.9140306719771</v>
      </c>
      <c r="CA132" s="259">
        <f>CB132+各项系数!$M$9*$NT132</f>
        <v>30.1544713848096</v>
      </c>
      <c r="CB132" s="259">
        <f>CC132*(1+$CF132+(VLOOKUP($AM132,$A$12:$B$214,2,0))+各项系数!$J$6+各项系数!$M$5)*(1+$E$2)</f>
        <v>29.9576420240188</v>
      </c>
      <c r="CC132" s="260">
        <f>CD132+各项系数!$L$9*$NT$12</f>
        <v>30.5690224734886</v>
      </c>
      <c r="CD132" s="260">
        <f>CE132*(1+$CG132+各项系数!$J$5+各项系数!$L$5)</f>
        <v>30.5607590703336</v>
      </c>
      <c r="CE132" s="262">
        <f t="shared" si="405"/>
        <v>29.6706398741103</v>
      </c>
      <c r="CF132" s="277">
        <f t="shared" si="514"/>
        <v>0</v>
      </c>
      <c r="CG132" s="277">
        <f t="shared" si="344"/>
        <v>0.01</v>
      </c>
      <c r="CH132" s="123"/>
      <c r="CI132" s="259">
        <f>CJ132+各项系数!$M$9*$NO132</f>
        <v>29.2815053484534</v>
      </c>
      <c r="CJ132" s="259">
        <f>CK132*(1+$DC132+(VLOOKUP($AM132,$A$12:$B$323,2,0))+各项系数!$J$6+各项系数!$M$5)*(1+$E$2)+各项系数!$M$9*$NK132</f>
        <v>29.0077700136983</v>
      </c>
      <c r="CK132" s="260">
        <f>CL132+各项系数!$L$9*$NO132</f>
        <v>29.4048957719399</v>
      </c>
      <c r="CL132" s="260">
        <f>CM132*(1+$DD132+各项系数!$J$5+各项系数!$L$5)</f>
        <v>29.1311604371848</v>
      </c>
      <c r="CM132" s="260">
        <f t="shared" si="345"/>
        <v>28.5599612129263</v>
      </c>
      <c r="CN132" s="259">
        <f>CO132+各项系数!$M$9*$NO132</f>
        <v>30.0207335266328</v>
      </c>
      <c r="CO132" s="259">
        <f>CP132*(1+$DC132+(VLOOKUP($AM132,$A$12:$B$323,2,0))+各项系数!$J$6+各项系数!$M$5)*(1+$E$2)+各项系数!$M$9*$NK132</f>
        <v>29.7469981918777</v>
      </c>
      <c r="CP132" s="260">
        <f>CQ132+各项系数!$L$9*$NO132</f>
        <v>30.15921023947</v>
      </c>
      <c r="CQ132" s="260">
        <f>CR132*(1+$DD132+各项系数!$J$5+各项系数!$L$5)</f>
        <v>29.8854749047149</v>
      </c>
      <c r="CR132" s="260">
        <f t="shared" si="346"/>
        <v>29.2994852007009</v>
      </c>
      <c r="CS132" s="259">
        <f>CT132+各项系数!$M$9*$NU132</f>
        <v>30.5928143395508</v>
      </c>
      <c r="CT132" s="259">
        <f t="shared" si="347"/>
        <v>30.3125161210354</v>
      </c>
      <c r="CU132" s="260">
        <f>CV132+各项系数!$L$9*$NU132</f>
        <v>30.9311388990157</v>
      </c>
      <c r="CV132" s="260">
        <f>CW132*(1+$DD132+各项系数!$J$5+各项系数!$L$5)</f>
        <v>30.6508406805003</v>
      </c>
      <c r="CW132" s="262">
        <f t="shared" si="348"/>
        <v>30.0498438044121</v>
      </c>
      <c r="CX132" s="259">
        <f>CY132+各项系数!$M$9*$NU132</f>
        <v>31.5744662728404</v>
      </c>
      <c r="CY132" s="259">
        <f t="shared" si="349"/>
        <v>31.294168054325</v>
      </c>
      <c r="CZ132" s="260">
        <f>DA132+各项系数!$L$9*$NU132</f>
        <v>31.9328245452296</v>
      </c>
      <c r="DA132" s="260">
        <f>DB132*(1+$DD132+各项系数!$J$5+各项系数!$L$5)</f>
        <v>31.6525263267142</v>
      </c>
      <c r="DB132" s="262">
        <f t="shared" si="350"/>
        <v>31.0318885556022</v>
      </c>
      <c r="DC132" s="277">
        <f t="shared" si="571"/>
        <v>0</v>
      </c>
      <c r="DD132" s="277">
        <f t="shared" si="351"/>
        <v>0</v>
      </c>
      <c r="DE132" s="69" t="s">
        <v>498</v>
      </c>
      <c r="DF132" s="69" t="s">
        <v>513</v>
      </c>
      <c r="DG132" s="259">
        <f>DH132+各项系数!$M$9*$NQ132</f>
        <v>29.7065069710237</v>
      </c>
      <c r="DH132" s="259">
        <f>DI132*(1+$EA132+(VLOOKUP($AM132,$A$12:$B$323,2,0))+各项系数!$J$6+各项系数!$M$5)*(1+$E$2)+各项系数!$M$9*$NK132</f>
        <v>29.4327716362686</v>
      </c>
      <c r="DI132" s="260">
        <f>DJ132+各项系数!$L$9*$NQ132</f>
        <v>29.8385708970117</v>
      </c>
      <c r="DJ132" s="260">
        <f>DK132*(1+$EB132+各项系数!$J$5+各项系数!$L$5)</f>
        <v>29.5648355622566</v>
      </c>
      <c r="DK132" s="260">
        <f t="shared" si="352"/>
        <v>28.7037238468511</v>
      </c>
      <c r="DL132" s="259">
        <f>DM132+各项系数!$M$9*$NQ132</f>
        <v>30.5436272041922</v>
      </c>
      <c r="DM132" s="259">
        <f>DN132*(1+$EA132+(VLOOKUP($AM132,$A$12:$B$323,2,0))+各项系数!$J$6+各项系数!$M$5)*(1+$E$2)+各项系数!$M$9*$NK132</f>
        <v>30.2698918694371</v>
      </c>
      <c r="DN132" s="260">
        <f>DO132+各项系数!$L$9*$NQ132</f>
        <v>30.6927752165713</v>
      </c>
      <c r="DO132" s="260">
        <f>DP132*(1+$EB132+各项系数!$J$5+各项系数!$L$5)</f>
        <v>30.4190398818162</v>
      </c>
      <c r="DP132" s="260">
        <f t="shared" si="353"/>
        <v>29.5330484289478</v>
      </c>
      <c r="DQ132" s="259">
        <f>DR132+各项系数!$M$9*$NV132</f>
        <v>31.0337526257809</v>
      </c>
      <c r="DR132" s="259">
        <f t="shared" si="354"/>
        <v>30.7534544072655</v>
      </c>
      <c r="DS132" s="260">
        <f>DT132+各项系数!$L$9*$NV132</f>
        <v>31.3810759257811</v>
      </c>
      <c r="DT132" s="260">
        <f>DU132*(1+$EB132+各项系数!$J$5+各项系数!$L$5)</f>
        <v>31.1007777072658</v>
      </c>
      <c r="DU132" s="262">
        <f t="shared" si="355"/>
        <v>30.1949298128794</v>
      </c>
      <c r="DV132" s="259">
        <f>DW132+各项系数!$M$9*$NV132</f>
        <v>31.2300588761246</v>
      </c>
      <c r="DW132" s="259">
        <f t="shared" si="356"/>
        <v>30.9497606576092</v>
      </c>
      <c r="DX132" s="260">
        <f>DY132+各项系数!$L$9*$NV132</f>
        <v>31.5813884261318</v>
      </c>
      <c r="DY132" s="260">
        <f>DZ132*(1+$EB132+各项系数!$J$5+各项系数!$L$5)</f>
        <v>31.3010902076165</v>
      </c>
      <c r="DZ132" s="262">
        <f t="shared" si="357"/>
        <v>30.3894079685597</v>
      </c>
      <c r="EA132" s="277">
        <f t="shared" si="559"/>
        <v>0</v>
      </c>
      <c r="EB132" s="277">
        <f t="shared" si="358"/>
        <v>0.01</v>
      </c>
      <c r="EC132" s="302" t="str">
        <f t="shared" si="408"/>
        <v>4+1</v>
      </c>
      <c r="ED132" s="302" t="str">
        <f t="shared" si="565"/>
        <v>4*10</v>
      </c>
      <c r="EE132" s="251">
        <f t="shared" si="495"/>
        <v>10</v>
      </c>
      <c r="EF132" s="251" t="str">
        <f>LOOKUP(EH132,{1,7,10,14,19,24,30,37,48,61},{1,"1+6","2+8","4+10","1+6+12","2+8+14","4+10+16","1+6+12+18","3+9+15+21","1+6+12+18+24"})</f>
        <v>1+6</v>
      </c>
      <c r="EG132" s="250">
        <f t="shared" si="359"/>
        <v>4</v>
      </c>
      <c r="EH132" s="260">
        <f>VLOOKUP(EE132,各项系数!$B$87:$C$124,2,0)</f>
        <v>7</v>
      </c>
      <c r="EI132" s="250">
        <f>IF(EH132=0,0,VLOOKUP(EH132,各项系数!$D$142:$E$195,2,0))*1</f>
        <v>3</v>
      </c>
      <c r="EJ132" s="305">
        <f t="shared" si="409"/>
        <v>131.130294998433</v>
      </c>
      <c r="EK132" s="251" t="str">
        <f t="shared" si="566"/>
        <v>1*6</v>
      </c>
      <c r="EL132" s="251" t="str">
        <f t="shared" si="360"/>
        <v>6</v>
      </c>
      <c r="EM132" s="251">
        <f t="shared" si="567"/>
        <v>6</v>
      </c>
      <c r="EN132" s="251">
        <f>IF(EP132=0,0,LOOKUP(EP132,{1,7,10,14,19,24,30,37,48,61},{1,"1+6","2+8","4+10","1+6+12","2+8+14","4+10+16","1+6+12+18","3+9+15+21","1+6+12+18+24"}))</f>
        <v>1</v>
      </c>
      <c r="EO132" s="251" t="str">
        <f t="shared" si="568"/>
        <v>1</v>
      </c>
      <c r="EP132" s="251">
        <f>IF(EM132=0,0,IF(EM132&lt;10,1,IF(AND(EM132&gt;=10,EM132&lt;=35),7,LOOKUP(EM132,{50,70,95,120,150,185,240,300},{10,14,19,24,30,37,48,61})*1)))</f>
        <v>1</v>
      </c>
      <c r="EQ132" s="251">
        <f>IF(EP132=0,0,VLOOKUP(EP132,各项系数!$D$142:$E$195,2,0))*1</f>
        <v>1</v>
      </c>
      <c r="ER132" s="251">
        <f t="shared" ref="ER132:ER157" si="577">$I132-$J132</f>
        <v>267.425148012862</v>
      </c>
      <c r="ES132" s="302">
        <f t="shared" si="570"/>
        <v>5</v>
      </c>
      <c r="ET132" s="251">
        <f>VLOOKUP(ES132,各项系数!$D$142:$E$195,2,0)*1</f>
        <v>2.7</v>
      </c>
      <c r="EU132" s="311">
        <f>((各项系数!$F$76/4*$EJ132^2*$EG132*$EH132*1*10^-7)*(1-$H132)*AA132)*(VLOOKUP($EY$9,各项系数!$D$4:$F$143,3,0))*各项系数!$J$4</f>
        <v>0.338166035810868</v>
      </c>
      <c r="EV132" s="312">
        <f>EU132*(VLOOKUP($EY$9,各项系数!$D$4:$F$143,2,0))</f>
        <v>22.1498753456119</v>
      </c>
      <c r="EW132" s="324">
        <f>(IF($EO132=0,0,(各项系数!$F$76/4*$ER132^2*$EO132*$EP132*1*10^-7))*(1-$K132)*$AF132)*(VLOOKUP($EY$9,各项系数!$D$4:$F$143,3,0))*各项系数!$J$4</f>
        <v>0.0496843042710296</v>
      </c>
      <c r="EX132" s="325">
        <f>EW132*(VLOOKUP($EY$9,各项系数!$D$4:$F$143,2,0))</f>
        <v>3.25432192975244</v>
      </c>
      <c r="EY132" s="251">
        <f>((各项系数!$F$76/4*$EJ132^2*$EG132*$EH132*1*10^-7)*(1-$H132)*AA132+IF($EO132=0,0,(各项系数!$F$76/4*$ER132^2*$EO132*$EP132*1*10^-7))*(1-$K132)*$AF132)*(VLOOKUP($EY$9,各项系数!$D$4:$F$143,3,0))*各项系数!$J$4</f>
        <v>0.387850340081898</v>
      </c>
      <c r="EZ132" s="123">
        <v>1</v>
      </c>
      <c r="FA132" s="251">
        <f t="shared" si="515"/>
        <v>0.387850340081898</v>
      </c>
      <c r="FB132" s="326">
        <f>FA132*(VLOOKUP($EY$9,各项系数!$D$4:$F$143,2,0))</f>
        <v>25.4041972753643</v>
      </c>
      <c r="FC132" s="327"/>
      <c r="FD132" s="302">
        <f>各项系数!$F$76/4*($MN132^2-MK132^2)*10^-2*(VLOOKUP(L132,各项系数!$D$1:$F$143,3,0))*10^-3*10^2*$EG132*各项系数!$J$4</f>
        <v>0.0446139993701306</v>
      </c>
      <c r="FE132" s="339">
        <f>FD132*VLOOKUP(L132,各项系数!$D$1:$F$143,2,0)</f>
        <v>0.455062793575332</v>
      </c>
      <c r="FF132" s="250">
        <f>各项系数!$F$76/4*($MO132^2-ML132^2)*10^-2*(VLOOKUP(L132,各项系数!$D$1:$F$143,3,0))*10^-3*10^2*$EO132*各项系数!$J$4</f>
        <v>0.00812159119946819</v>
      </c>
      <c r="FG132" s="339">
        <f>FF132*VLOOKUP(L132,各项系数!$D$1:$F$143,2,0)</f>
        <v>0.0828402302345755</v>
      </c>
      <c r="FH132" s="302">
        <f t="shared" si="410"/>
        <v>0.0527355905695988</v>
      </c>
      <c r="FI132" s="123">
        <v>1</v>
      </c>
      <c r="FJ132" s="251">
        <f t="shared" si="516"/>
        <v>0.0527355905695988</v>
      </c>
      <c r="FK132" s="339">
        <f>FJ132*VLOOKUP(L132,各项系数!$D$1:$F$143,2,0)</f>
        <v>0.537903023809908</v>
      </c>
      <c r="FL132" s="302"/>
      <c r="FM132" s="123"/>
      <c r="FN132" s="251"/>
      <c r="FO132" s="339"/>
      <c r="FP132" s="364">
        <f t="shared" si="517"/>
        <v>0.0527355905695988</v>
      </c>
      <c r="FQ132" s="364">
        <f t="shared" si="518"/>
        <v>0.537903023809908</v>
      </c>
      <c r="FR132" s="365">
        <f>各项系数!$F$76/4*($MQ132^2-$MN132^2*$EG132-$MO132^2*$EO132)*10^-2</f>
        <v>0.454535693011463</v>
      </c>
      <c r="FS132" s="366">
        <f t="shared" si="411"/>
        <v>1</v>
      </c>
      <c r="FT132" s="367">
        <f t="shared" si="361"/>
        <v>0.454535693011463</v>
      </c>
      <c r="FU132" s="388">
        <f>$FT132*(VLOOKUP($FT$9,各项系数!$D$1:$F$143,3,0))*10^-3*10^2*各项系数!$J$55</f>
        <v>0.0542715617455687</v>
      </c>
      <c r="FV132" s="389">
        <v>1</v>
      </c>
      <c r="FW132" s="390">
        <f t="shared" si="519"/>
        <v>0.0542715617455687</v>
      </c>
      <c r="FX132" s="367">
        <f>FW132*(VLOOKUP($FT$9,各项系数!$D$1:$F$143,2,0))</f>
        <v>0.162814685236706</v>
      </c>
      <c r="FY132" s="388">
        <f>IF($BK132&lt;&gt;$FY$9,0,各项系数!$F$76/4*($MS132^2-$MQ132^2)*10^-2*(VLOOKUP($FY$9,各项系数!$D$1:$F$143,3,0))*10^-3*10^2)*各项系数!$J$4</f>
        <v>0</v>
      </c>
      <c r="FZ132" s="389">
        <v>1</v>
      </c>
      <c r="GA132" s="390">
        <f t="shared" si="520"/>
        <v>0</v>
      </c>
      <c r="GB132" s="367">
        <f>GA132*(VLOOKUP($FY$9,各项系数!$D$1:$F$143,2,0))</f>
        <v>0</v>
      </c>
      <c r="GC132" s="388">
        <f>IF($BK132&lt;&gt;$GC$9,0,各项系数!$F$76/4*($MS132^2-$MQ132^2)*10^-2*(VLOOKUP($GC$9,各项系数!$D$1:$F$143,3,0))*10^-3*10^2)*各项系数!$J$4</f>
        <v>0.0037606568622843</v>
      </c>
      <c r="GD132" s="389">
        <v>1</v>
      </c>
      <c r="GE132" s="390">
        <f t="shared" si="521"/>
        <v>0.0037606568622843</v>
      </c>
      <c r="GF132" s="367">
        <f>GE132*(VLOOKUP($GC$9,各项系数!$D$1:$F$143,2,0))</f>
        <v>0.0485124735234675</v>
      </c>
      <c r="GG132" s="388">
        <f>IF($BK132&lt;&gt;$GG$9,0,各项系数!$F$76/4*($MS132^2-$MQ132^2)*10^-2*(VLOOKUP($GG$9,各项系数!$D$1:$F$143,3,0))*10^-3*10^2)*各项系数!$J$4</f>
        <v>0</v>
      </c>
      <c r="GH132" s="389">
        <v>1</v>
      </c>
      <c r="GI132" s="390">
        <f t="shared" si="522"/>
        <v>0</v>
      </c>
      <c r="GJ132" s="367">
        <f>GI132*(VLOOKUP($GG$9,各项系数!$D$1:$F$143,2,0))</f>
        <v>0</v>
      </c>
      <c r="GK132" s="388">
        <f>IF($BK132&lt;&gt;$GK$9,0,各项系数!$F$76/4*($MS132^2-$MQ132^2)*10^-2*(VLOOKUP($GK$9,各项系数!$D$1:$F$143,3,0))*10^-3*10^2)*各项系数!$J$4</f>
        <v>0</v>
      </c>
      <c r="GL132" s="389">
        <v>1</v>
      </c>
      <c r="GM132" s="390">
        <f t="shared" si="523"/>
        <v>0</v>
      </c>
      <c r="GN132" s="367">
        <f>GM132*(VLOOKUP($GK$9,各项系数!$D$1:$F$143,2,0))</f>
        <v>0</v>
      </c>
      <c r="GO132" s="390">
        <f t="shared" si="524"/>
        <v>0.0037606568622843</v>
      </c>
      <c r="GP132" s="390">
        <f t="shared" si="525"/>
        <v>0.0485124735234675</v>
      </c>
      <c r="GQ132" s="406">
        <f>各项系数!$F$76/4*($MU132^2-$MS132^2)*10^-2*(VLOOKUP($S132,各项系数!$D$1:$F$143,3,0))*10^-3*10^2*各项系数!$J$4</f>
        <v>0.104113707226519</v>
      </c>
      <c r="GR132" s="389">
        <v>1</v>
      </c>
      <c r="GS132" s="390">
        <f t="shared" si="526"/>
        <v>0.104113707226519</v>
      </c>
      <c r="GT132" s="390">
        <f t="shared" si="457"/>
        <v>0</v>
      </c>
      <c r="GU132" s="390">
        <f>ROUND($GS132*(VLOOKUP($S132,各项系数!$D$1:$F$143,2,0))+$E$3*GS132,GT132)</f>
        <v>1</v>
      </c>
      <c r="GV132" s="406">
        <f>各项系数!$F$76/4*($MT132^2-$MS132^2)*10^-2*(VLOOKUP($GV$9,各项系数!$D$1:$F$143,3,0))*10^-3*10^2*各项系数!$J$4*PI()/4*R132</f>
        <v>0.0195240119786659</v>
      </c>
      <c r="GW132" s="389">
        <v>1</v>
      </c>
      <c r="GX132" s="390">
        <f t="shared" si="527"/>
        <v>0.0195240119786659</v>
      </c>
      <c r="GY132" s="390">
        <f>$GX132*(VLOOKUP($GV$9,各项系数!$D$1:$F$143,2,0))</f>
        <v>1.31787080855995</v>
      </c>
      <c r="GZ132" s="406">
        <f>各项系数!$F$76/4*($MV132^2-$MS132^2)*10^-2*(VLOOKUP($GZ$9,各项系数!$D$1:$F$143,3,0))*10^-3*10^2*各项系数!$J$4</f>
        <v>0.128067666295438</v>
      </c>
      <c r="HA132" s="389">
        <v>1</v>
      </c>
      <c r="HB132" s="390">
        <f t="shared" si="412"/>
        <v>0.128067666295438</v>
      </c>
      <c r="HC132" s="390">
        <f>HB132*(VLOOKUP($GZ$9,各项系数!$D$1:$F$143,2,0))</f>
        <v>2.17715032702244</v>
      </c>
      <c r="HD132" s="406">
        <f>各项系数!$F$76/4*($MW132^2-$MT132^2)*10^-2*(VLOOKUP($HD$9,各项系数!$D$1:$F$143,3,0))*10^-3*10^2*各项系数!$J$4</f>
        <v>0.129373035742116</v>
      </c>
      <c r="HE132" s="389">
        <v>1</v>
      </c>
      <c r="HF132" s="390">
        <f t="shared" si="413"/>
        <v>0.129373035742116</v>
      </c>
      <c r="HG132" s="390">
        <f>HF132*(VLOOKUP($HD$9,各项系数!$D$1:$F$143,2,0))</f>
        <v>2.19934160761597</v>
      </c>
      <c r="HH132" s="406">
        <f>各项系数!$F$76/4*($MV132^2-$MS132^2)*10^-2*(VLOOKUP($HH$9,各项系数!$D$1:$F$143,3,0))*10^-3*10^2*各项系数!$J$4</f>
        <v>0.128067666295438</v>
      </c>
      <c r="HI132" s="420">
        <v>1</v>
      </c>
      <c r="HJ132" s="390">
        <f t="shared" si="414"/>
        <v>0.128067666295438</v>
      </c>
      <c r="HK132" s="390">
        <f>HJ132*(VLOOKUP($HH$9,各项系数!$D$1:$F$143,2,0))</f>
        <v>2.17715032702244</v>
      </c>
      <c r="HL132" s="406">
        <f>各项系数!$F$76/4*($MW132^2-$MT132^2)*10^-2*(VLOOKUP($HL$9,各项系数!$D$1:$F$143,3,0))*10^-3*10^2*各项系数!$J$4</f>
        <v>0.129373035742116</v>
      </c>
      <c r="HM132" s="420">
        <v>1</v>
      </c>
      <c r="HN132" s="390">
        <f t="shared" si="362"/>
        <v>0.129373035742116</v>
      </c>
      <c r="HO132" s="390">
        <f>HN132*(VLOOKUP($HL$9,各项系数!$D$1:$F$143,2,0))</f>
        <v>2.19934160761597</v>
      </c>
      <c r="HP132" s="406">
        <f>各项系数!$F$76/4*($MV132^2-$MS132^2)*10^-2*(VLOOKUP(AN132,各项系数!$D$1:$F$143,3,0))*10^-3*10^2*各项系数!$J$4</f>
        <v>0.12983411686503</v>
      </c>
      <c r="HQ132" s="389">
        <v>1</v>
      </c>
      <c r="HR132" s="390">
        <f t="shared" si="528"/>
        <v>0.12983411686503</v>
      </c>
      <c r="HS132" s="390">
        <f>HR132*(VLOOKUP(AN132,各项系数!$D$1:$F$143,2,0))</f>
        <v>1.2983411686503</v>
      </c>
      <c r="HT132" s="406">
        <f>各项系数!$F$76/4*($MW132^2-$MT132^2)*10^-2*(VLOOKUP(AN132,各项系数!$D$1:$F$143,3,0))*10^-3*10^2*各项系数!$J$4</f>
        <v>0.131157491407525</v>
      </c>
      <c r="HU132" s="389">
        <v>1</v>
      </c>
      <c r="HV132" s="390">
        <f t="shared" si="529"/>
        <v>0.131157491407525</v>
      </c>
      <c r="HW132" s="390">
        <f>HV132*(VLOOKUP(AN132,各项系数!$D$1:$F$143,2,0))</f>
        <v>1.31157491407525</v>
      </c>
      <c r="HX132" s="406">
        <f>各项系数!$F$76/4*($MV132^2-$MS132^2)*10^-2*(VLOOKUP($HX$9,各项系数!$D$1:$F$143,3,0))*10^-3*10^2*各项系数!$J$4</f>
        <v>0.12983411686503</v>
      </c>
      <c r="HY132" s="420">
        <v>1</v>
      </c>
      <c r="HZ132" s="390">
        <f t="shared" si="530"/>
        <v>0.12983411686503</v>
      </c>
      <c r="IA132" s="390">
        <f>HZ132*(VLOOKUP($HX$9,各项系数!$D$1:$F$143,2,0))</f>
        <v>1.42817528551533</v>
      </c>
      <c r="IB132" s="406">
        <f>各项系数!$F$76/4*($MW132^2-$MT132^2)*10^-2*(VLOOKUP($IB$9,各项系数!$D$1:$F$143,3,0))*10^-3*10^2*各项系数!$J$4</f>
        <v>0.131157491407525</v>
      </c>
      <c r="IC132" s="420">
        <v>1</v>
      </c>
      <c r="ID132" s="390">
        <f t="shared" si="531"/>
        <v>0.131157491407525</v>
      </c>
      <c r="IE132" s="390">
        <f>ID132*(VLOOKUP($IB$9,各项系数!$D$1:$F$143,2,0))</f>
        <v>1.44273240548277</v>
      </c>
      <c r="IF132" s="429"/>
      <c r="IG132" s="406">
        <f t="shared" si="415"/>
        <v>0.0280062047623492</v>
      </c>
      <c r="IH132" s="389">
        <v>1</v>
      </c>
      <c r="II132" s="390">
        <f t="shared" si="532"/>
        <v>0.0280062047623492</v>
      </c>
      <c r="IJ132" s="390">
        <f>II132*(VLOOKUP($IG$8,各项系数!$D$1:$F$143,2,0))</f>
        <v>0.70015511905873</v>
      </c>
      <c r="IK132" s="406">
        <f>(各项系数!$F$76/4*($MX132^2-$MK132^2)*$EG132)*10^-2*(VLOOKUP($IG$8,各项系数!$D$1:$F$143,3,0))*10^-3*10^2*各项系数!$J$4</f>
        <v>0.0238224795379797</v>
      </c>
      <c r="IL132" s="389">
        <f>IK132*(VLOOKUP($IG$8,各项系数!$D$1:$F$143,2,0))</f>
        <v>0.595561988449491</v>
      </c>
      <c r="IM132" s="390">
        <f>(各项系数!$F$76/4*(($MM132+3*$X132)^2-MM132^2)*$EO132)*10^-2*(VLOOKUP($IG$8,各项系数!$D$1:$F$143,3,0))*10^-3*10^2*各项系数!$J$4</f>
        <v>0.00418372522436955</v>
      </c>
      <c r="IN132" s="389">
        <f>IM132*(VLOOKUP($IG$8,各项系数!$D$1:$F$143,2,0))</f>
        <v>0.104593130609239</v>
      </c>
      <c r="IO132" s="406">
        <f>各项系数!$F$76/4*($MZ132^2-$MX132^2)*10^-2*(VLOOKUP(L132,各项系数!$D$1:$F$143,3,0))*10^-3*10^2*$ES132*各项系数!$J$4</f>
        <v>0.0629882928473068</v>
      </c>
      <c r="IP132" s="389">
        <v>1</v>
      </c>
      <c r="IQ132" s="390">
        <f t="shared" si="533"/>
        <v>0.0629882928473068</v>
      </c>
      <c r="IR132" s="367">
        <f>IQ132*(VLOOKUP(L132,各项系数!$D$1:$F$143,2,0))</f>
        <v>0.642480587042529</v>
      </c>
      <c r="IS132" s="406">
        <f>IF($L132&lt;&gt;$IS$9,0,各项系数!$F$76/4*($MZ132^2-$MX132^2)*10^-2*各项系数!$F$12*10^-3*10^2)*$ES132*各项系数!$J$4</f>
        <v>0</v>
      </c>
      <c r="IT132" s="389">
        <v>1</v>
      </c>
      <c r="IU132" s="390">
        <f t="shared" si="534"/>
        <v>0</v>
      </c>
      <c r="IV132" s="367">
        <f>IU132*各项系数!$E$12</f>
        <v>0</v>
      </c>
      <c r="IW132" s="388">
        <f t="shared" si="535"/>
        <v>0.0629882928473068</v>
      </c>
      <c r="IX132" s="388">
        <f t="shared" si="536"/>
        <v>0.642480587042529</v>
      </c>
      <c r="IY132" s="447">
        <f>各项系数!$F$76/4*($NB132^2-$MZ132^2*$EG132-$NA132^2*$EO132)*10^-2</f>
        <v>0.570693519510245</v>
      </c>
      <c r="IZ132" s="366">
        <f t="shared" si="487"/>
        <v>1</v>
      </c>
      <c r="JA132" s="367">
        <f t="shared" si="363"/>
        <v>0.570693519510245</v>
      </c>
      <c r="JB132" s="364">
        <f>IF($DE132&lt;&gt;$JB$9,0,$JA132*各项系数!$F$32*10^-3*10^2)*各项系数!$J$4</f>
        <v>0</v>
      </c>
      <c r="JC132" s="123">
        <v>1</v>
      </c>
      <c r="JD132" s="251">
        <f t="shared" si="537"/>
        <v>0</v>
      </c>
      <c r="JE132" s="339">
        <f>JD132*各项系数!$E$32</f>
        <v>0</v>
      </c>
      <c r="JF132" s="364">
        <f>IF($DE132&lt;&gt;$JF$9,0,$JA132*VLOOKUP($JF$9,各项系数!$D$4:$F$540,2,0)*10^-3*10^2)*各项系数!$J$4</f>
        <v>0.283920025956347</v>
      </c>
      <c r="JG132" s="123">
        <v>1</v>
      </c>
      <c r="JH132" s="251">
        <f t="shared" si="364"/>
        <v>0.283920025956347</v>
      </c>
      <c r="JI132" s="339">
        <f>JH132*VLOOKUP($JF$9,各项系数!$D$4:$F$540,3,0)</f>
        <v>0.340704031147616</v>
      </c>
      <c r="JJ132" s="364">
        <f t="shared" si="538"/>
        <v>0.283920025956347</v>
      </c>
      <c r="JK132" s="251">
        <f t="shared" si="539"/>
        <v>0.340704031147616</v>
      </c>
      <c r="JL132" s="364">
        <f>IF($DF132&lt;&gt;$JL$9,0,各项系数!$F$76/4*($NE132^2-$NC132^2)*10^-2*各项系数!$F$39*10^-3*10^2)*各项系数!$J$4</f>
        <v>0.00173989305326327</v>
      </c>
      <c r="JM132" s="123">
        <v>1</v>
      </c>
      <c r="JN132" s="251">
        <f t="shared" si="540"/>
        <v>0.00173989305326327</v>
      </c>
      <c r="JO132" s="339">
        <f>JN132*各项系数!$E$39</f>
        <v>0.0347978610652655</v>
      </c>
      <c r="JP132" s="364">
        <f>IF($DF132&lt;&gt;$JP$9,0,各项系数!$F$76/4*($NE132^2-$NC132^2)*10^-2*各项系数!$F$36*10^-3*10^2)*各项系数!$J$4</f>
        <v>0</v>
      </c>
      <c r="JQ132" s="123">
        <v>1</v>
      </c>
      <c r="JR132" s="251">
        <f t="shared" si="541"/>
        <v>0</v>
      </c>
      <c r="JS132" s="339">
        <f>JR132*各项系数!$E$36</f>
        <v>0</v>
      </c>
      <c r="JT132" s="364">
        <f>IF($DF132&lt;&gt;$JT$9,0,各项系数!$F$76/4*($NE132^2-$NC132^2)*10^-2*各项系数!$F$40*10^-3*10^2)*各项系数!$J$4</f>
        <v>0</v>
      </c>
      <c r="JU132" s="123">
        <v>1</v>
      </c>
      <c r="JV132" s="251">
        <f t="shared" si="542"/>
        <v>0</v>
      </c>
      <c r="JW132" s="339">
        <f>JV132*各项系数!$E$40</f>
        <v>0</v>
      </c>
      <c r="JX132" s="364">
        <f>IF($DF132&lt;&gt;$JX$9,0,各项系数!$F$76/4*($NE132^2-$NC132^2)*10^-2*各项系数!$F$38*10^-3*10^2)*各项系数!$J$4</f>
        <v>0</v>
      </c>
      <c r="JY132" s="123">
        <v>1</v>
      </c>
      <c r="JZ132" s="251">
        <f t="shared" si="543"/>
        <v>0</v>
      </c>
      <c r="KA132" s="339">
        <f>JZ132*各项系数!$E$38</f>
        <v>0</v>
      </c>
      <c r="KB132" s="364">
        <f>IF($DF132&lt;&gt;$KB$9,0,各项系数!$F$76/4*($NE132^2-$NC132^2)*10^-2*各项系数!$F$41*10^-3*10^2)*各项系数!$J$4</f>
        <v>0</v>
      </c>
      <c r="KC132" s="123">
        <v>1</v>
      </c>
      <c r="KD132" s="251">
        <f t="shared" si="544"/>
        <v>0</v>
      </c>
      <c r="KE132" s="339">
        <f>KD132*各项系数!$E$41</f>
        <v>0</v>
      </c>
      <c r="KF132" s="251">
        <f t="shared" si="545"/>
        <v>0.00173989305326327</v>
      </c>
      <c r="KG132" s="251">
        <f t="shared" si="546"/>
        <v>0.0347978610652655</v>
      </c>
      <c r="KH132" s="302">
        <f>各项系数!$F$76/4*($NG132^2-$NE132^2)*10^-2*各项系数!$F$44*10^-3*10^2*各项系数!$J$4*0.75*$U132</f>
        <v>0.174694541011087</v>
      </c>
      <c r="KI132" s="123">
        <v>1</v>
      </c>
      <c r="KJ132" s="251">
        <f t="shared" si="547"/>
        <v>0.174694541011087</v>
      </c>
      <c r="KK132" s="251">
        <f>ROUND(KJ132*各项系数!$E$43,GT132)</f>
        <v>1</v>
      </c>
      <c r="KL132" s="302">
        <f>各项系数!$F$76/4*($NF132^2-$NE132^2)*10^-2*各项系数!$F$46*10^-3*10^2*各项系数!$J$4*PI()/4*R132</f>
        <v>0.0218762792009015</v>
      </c>
      <c r="KM132" s="123">
        <v>1</v>
      </c>
      <c r="KN132" s="251">
        <f t="shared" si="548"/>
        <v>0.0218762792009015</v>
      </c>
      <c r="KO132" s="251">
        <f>KN132*各项系数!$E$46</f>
        <v>1.47664884606085</v>
      </c>
      <c r="KP132" s="302">
        <f>各项系数!$F$76/4*($NH132^2-$NE132^2)*10^-2*(VLOOKUP($KP$9,各项系数!$D$1:$F$143,3,0))*10^-3*10^2*各项系数!$J$4</f>
        <v>0.141806679721728</v>
      </c>
      <c r="KQ132" s="123">
        <v>1</v>
      </c>
      <c r="KR132" s="251">
        <f t="shared" si="416"/>
        <v>0.141806679721728</v>
      </c>
      <c r="KS132" s="251">
        <f>KR132*(VLOOKUP($KP$9,各项系数!$D$1:$F$143,2,0))</f>
        <v>2.41071355526938</v>
      </c>
      <c r="KT132" s="302">
        <f>各项系数!$F$76/4*($NI132^2-$NF132^2)*10^-2*(VLOOKUP($KT$9,各项系数!$D$1:$F$143,3,0))*10^-3*10^2*各项系数!$J$4</f>
        <v>0.143112049168406</v>
      </c>
      <c r="KU132" s="123">
        <v>1</v>
      </c>
      <c r="KV132" s="251">
        <f t="shared" si="417"/>
        <v>0.143112049168406</v>
      </c>
      <c r="KW132" s="251">
        <f>KV132*(VLOOKUP($KT$9,各项系数!$D$1:$F$143,2,0))</f>
        <v>2.43290483586291</v>
      </c>
      <c r="KX132" s="251">
        <f>各项系数!$F$76/4*($NH132^2-$NE132^2)*10^-2*(VLOOKUP($KX$9,各项系数!$D$1:$F$143,3,0))*10^-3*10^2*各项系数!$J$4</f>
        <v>0.141806679721728</v>
      </c>
      <c r="KY132" s="479">
        <v>1</v>
      </c>
      <c r="KZ132" s="251">
        <f t="shared" si="418"/>
        <v>0.141806679721728</v>
      </c>
      <c r="LA132" s="251">
        <f>KZ132*(VLOOKUP($KX$9,各项系数!$D$1:$F$143,2,0))</f>
        <v>2.41071355526938</v>
      </c>
      <c r="LB132" s="251">
        <f>各项系数!$F$76/4*($NI132^2-$NF132^2)*10^-2*(VLOOKUP($LB$9,各项系数!$D$1:$F$143,3,0))*10^-3*10^2*各项系数!$J$4</f>
        <v>0.143112049168406</v>
      </c>
      <c r="LC132" s="479">
        <v>1</v>
      </c>
      <c r="LD132" s="251">
        <f t="shared" si="419"/>
        <v>0.143112049168406</v>
      </c>
      <c r="LE132" s="251">
        <f>LD132*(VLOOKUP($LB$9,各项系数!$D$1:$F$143,2,0))</f>
        <v>2.43290483586291</v>
      </c>
      <c r="LF132" s="302">
        <f>各项系数!$F$76/4*($NH132^2-$NE132^2)*10^-2*(VLOOKUP(AN132,各项系数!$D$1:$F$143,3,0))*10^-3*10^2*各项系数!$J$4</f>
        <v>0.143762633924786</v>
      </c>
      <c r="LG132" s="123">
        <v>1</v>
      </c>
      <c r="LH132" s="251">
        <f t="shared" si="549"/>
        <v>0.143762633924786</v>
      </c>
      <c r="LI132" s="251">
        <f>LH132*(VLOOKUP(AN132,各项系数!$D$1:$F$143,2,0))</f>
        <v>1.43762633924786</v>
      </c>
      <c r="LJ132" s="302">
        <f>各项系数!$F$76/4*($NI132^2-$NF132^2)*10^-2*(VLOOKUP(AN132,各项系数!$D$1:$F$143,3,0))*10^-3*10^2*各项系数!$J$4</f>
        <v>0.145086008467281</v>
      </c>
      <c r="LK132" s="123">
        <v>1</v>
      </c>
      <c r="LL132" s="251">
        <f t="shared" si="550"/>
        <v>0.145086008467281</v>
      </c>
      <c r="LM132" s="251">
        <f>LL132*(VLOOKUP(AN132,各项系数!$D$1:$F$143,2,0))</f>
        <v>1.45086008467281</v>
      </c>
      <c r="LN132" s="251">
        <f>各项系数!$F$76/4*($NH132^2-$NE132^2)*10^-2*(VLOOKUP($LN$9,各项系数!$D$1:$F$143,3,0))*10^-3*10^2*各项系数!$J$4</f>
        <v>0.143762633924786</v>
      </c>
      <c r="LO132" s="479">
        <v>1</v>
      </c>
      <c r="LP132" s="251">
        <f t="shared" si="551"/>
        <v>0.143762633924786</v>
      </c>
      <c r="LQ132" s="251">
        <f>LP132*(VLOOKUP($LN$9,各项系数!$D$1:$F$143,2,0))</f>
        <v>1.58138897317265</v>
      </c>
      <c r="LR132" s="251">
        <f>各项系数!$F$76/4*($NI132^2-$NF132^2)*10^-2*(VLOOKUP($LR$9,各项系数!$D$1:$F$143,3,0))*10^-3*10^2*各项系数!$J$4</f>
        <v>0.145086008467281</v>
      </c>
      <c r="LS132" s="479">
        <v>1</v>
      </c>
      <c r="LT132" s="251">
        <f t="shared" si="552"/>
        <v>0.145086008467281</v>
      </c>
      <c r="LU132" s="251">
        <f>LT132*(VLOOKUP($LR$9,各项系数!$D$1:$F$143,2,0))</f>
        <v>1.59594609314009</v>
      </c>
      <c r="LV132" s="499">
        <f t="shared" si="420"/>
        <v>48.61815329</v>
      </c>
      <c r="LW132" s="499">
        <f t="shared" si="421"/>
        <v>37.81411923</v>
      </c>
      <c r="LX132" s="499">
        <f t="shared" si="422"/>
        <v>6.9387629987604</v>
      </c>
      <c r="LY132" s="515">
        <f t="shared" si="423"/>
        <v>10.80403406</v>
      </c>
      <c r="LZ132" s="516">
        <f t="shared" si="365"/>
        <v>1</v>
      </c>
      <c r="MA132" s="517">
        <f t="shared" si="366"/>
        <v>48.61815329</v>
      </c>
      <c r="MB132" s="517">
        <f t="shared" si="424"/>
        <v>3.93390885</v>
      </c>
      <c r="MC132" s="499">
        <f t="shared" si="425"/>
        <v>5.61686998</v>
      </c>
      <c r="MD132" s="499">
        <f t="shared" si="426"/>
        <v>5.61686998</v>
      </c>
      <c r="ME132" s="499">
        <f t="shared" si="427"/>
        <v>2.67425147960542</v>
      </c>
      <c r="MF132" s="499">
        <f t="shared" si="428"/>
        <v>0</v>
      </c>
      <c r="MG132" s="516">
        <f t="shared" si="429"/>
        <v>1</v>
      </c>
      <c r="MH132" s="517">
        <f t="shared" si="367"/>
        <v>5.61686998</v>
      </c>
      <c r="MI132" s="517">
        <f t="shared" si="430"/>
        <v>2.67425147960542</v>
      </c>
      <c r="MJ132" s="251">
        <f t="shared" si="368"/>
        <v>3.93390885</v>
      </c>
      <c r="MK132" s="251">
        <f t="shared" si="431"/>
        <v>3.93390885</v>
      </c>
      <c r="ML132" s="251">
        <f t="shared" si="553"/>
        <v>2.67425148012862</v>
      </c>
      <c r="MM132" s="251">
        <f t="shared" si="369"/>
        <v>2.67425147960542</v>
      </c>
      <c r="MN132" s="251">
        <f t="shared" si="370"/>
        <v>5.33390885</v>
      </c>
      <c r="MO132" s="251">
        <f t="shared" si="432"/>
        <v>4.07425147960542</v>
      </c>
      <c r="MP132" s="251">
        <f t="shared" si="433"/>
        <v>13.72133891</v>
      </c>
      <c r="MQ132" s="251">
        <f t="shared" si="554"/>
        <v>13.72133891</v>
      </c>
      <c r="MR132" s="314">
        <f t="shared" si="434"/>
        <v>13.72133891</v>
      </c>
      <c r="MS132" s="530">
        <f t="shared" si="371"/>
        <v>13.89733891</v>
      </c>
      <c r="MT132" s="530">
        <f t="shared" si="372"/>
        <v>14.05733891</v>
      </c>
      <c r="MU132" s="530">
        <f t="shared" si="373"/>
        <v>14.49733891</v>
      </c>
      <c r="MV132" s="530">
        <f t="shared" si="374"/>
        <v>17.49733891</v>
      </c>
      <c r="MW132" s="530">
        <f t="shared" si="375"/>
        <v>17.65733891</v>
      </c>
      <c r="MX132" s="326">
        <f t="shared" si="376"/>
        <v>4.53390885</v>
      </c>
      <c r="MY132" s="326">
        <f t="shared" si="377"/>
        <v>3.27425147960542</v>
      </c>
      <c r="MZ132" s="251">
        <f t="shared" si="378"/>
        <v>5.93390885</v>
      </c>
      <c r="NA132" s="251">
        <f t="shared" si="379"/>
        <v>4.67425147960542</v>
      </c>
      <c r="NB132" s="251">
        <f t="shared" si="435"/>
        <v>15.34133891</v>
      </c>
      <c r="NC132" s="326">
        <f t="shared" si="555"/>
        <v>15.34133891</v>
      </c>
      <c r="ND132" s="314">
        <f t="shared" si="436"/>
        <v>15.34133891</v>
      </c>
      <c r="NE132" s="537">
        <f t="shared" si="437"/>
        <v>15.58133891</v>
      </c>
      <c r="NF132" s="530">
        <f t="shared" si="380"/>
        <v>15.74133891</v>
      </c>
      <c r="NG132" s="538">
        <f t="shared" si="381"/>
        <v>16.18133891</v>
      </c>
      <c r="NH132" s="326">
        <f t="shared" si="382"/>
        <v>19.18133891</v>
      </c>
      <c r="NI132" s="530">
        <f t="shared" si="383"/>
        <v>19.34133891</v>
      </c>
      <c r="NK132" s="539">
        <f t="shared" si="384"/>
        <v>0.636573857323848</v>
      </c>
      <c r="NL132" s="539">
        <f t="shared" si="385"/>
        <v>27.5346088568193</v>
      </c>
      <c r="NM132" s="539">
        <f t="shared" si="386"/>
        <v>0.636573857323848</v>
      </c>
      <c r="NN132" s="539">
        <f t="shared" si="387"/>
        <v>27.6644429736843</v>
      </c>
      <c r="NO132" s="539">
        <f t="shared" si="388"/>
        <v>0.912451115850319</v>
      </c>
      <c r="NP132" s="539">
        <f t="shared" si="389"/>
        <v>28.6645543435355</v>
      </c>
      <c r="NQ132" s="539">
        <f t="shared" si="390"/>
        <v>0.912451115850319</v>
      </c>
      <c r="NR132" s="539">
        <f t="shared" si="391"/>
        <v>28.8083169774603</v>
      </c>
      <c r="NS132" s="539">
        <f t="shared" si="392"/>
        <v>0.656097869302513</v>
      </c>
      <c r="NT132" s="539">
        <f t="shared" si="393"/>
        <v>0.656097869302513</v>
      </c>
      <c r="NU132" s="539">
        <f t="shared" si="394"/>
        <v>0.934327395051221</v>
      </c>
      <c r="NV132" s="539">
        <f t="shared" si="395"/>
        <v>0.934327395051221</v>
      </c>
      <c r="NW132">
        <f t="shared" si="396"/>
        <v>0.740687564550366</v>
      </c>
      <c r="NX132">
        <f>各项系数!$M$9*NK132</f>
        <v>0.190972157197154</v>
      </c>
      <c r="NY132">
        <f t="shared" si="397"/>
        <v>0.656097869302513</v>
      </c>
    </row>
    <row r="133" customHeight="1" spans="1:389">
      <c r="A133" s="85"/>
      <c r="B133" s="86"/>
      <c r="C133" s="87"/>
      <c r="D133" s="69" t="s">
        <v>382</v>
      </c>
      <c r="E133" s="70">
        <f t="shared" si="560"/>
        <v>20.39932059</v>
      </c>
      <c r="F133" s="84">
        <f>$F$21</f>
        <v>165.416818206689</v>
      </c>
      <c r="G133" s="74"/>
      <c r="H133" s="78"/>
      <c r="I133" s="174">
        <f>$F$20</f>
        <v>131.130294998433</v>
      </c>
      <c r="J133" s="78"/>
      <c r="K133" s="78"/>
      <c r="L133" s="118" t="s">
        <v>467</v>
      </c>
      <c r="M133" s="124">
        <f t="shared" si="339"/>
        <v>0.7</v>
      </c>
      <c r="N133" s="124">
        <f t="shared" si="501"/>
        <v>0.7</v>
      </c>
      <c r="O133" s="69">
        <f t="shared" si="572"/>
        <v>0.08</v>
      </c>
      <c r="P133" s="120">
        <v>0.1</v>
      </c>
      <c r="Q133" s="162">
        <f t="shared" si="557"/>
        <v>0.1</v>
      </c>
      <c r="R133" s="86">
        <v>0.8</v>
      </c>
      <c r="S133" s="171" t="str">
        <f>各项系数!$D$43</f>
        <v>钢带</v>
      </c>
      <c r="T133" s="78">
        <v>0.2</v>
      </c>
      <c r="U133" s="78">
        <v>2</v>
      </c>
      <c r="V133" s="172"/>
      <c r="W133" s="174">
        <v>1.8</v>
      </c>
      <c r="X133" s="164">
        <f t="shared" si="558"/>
        <v>0.2</v>
      </c>
      <c r="Y133" s="219"/>
      <c r="Z133" s="220"/>
      <c r="AA133" s="217">
        <f>$AA$21</f>
        <v>1.011</v>
      </c>
      <c r="AB133" s="186">
        <f>PI()*EJ133*EJ133/4*EH133*(1-H133)*AA133*各项系数!$F$5*各项系数!$J$4*10^-7</f>
        <v>0.134531270768238</v>
      </c>
      <c r="AC133" s="186">
        <f t="shared" si="573"/>
        <v>165.416818206689</v>
      </c>
      <c r="AD133" s="186">
        <f t="shared" si="341"/>
        <v>15.2089209566661</v>
      </c>
      <c r="AE133" s="186">
        <f>POWER(4*EU133/PI()/EG133/10^-7/EH133/(1-H133)/各项系数!$F$5/各项系数!$J$4,0.5)</f>
        <v>166.32412244418</v>
      </c>
      <c r="AF133" s="218">
        <f>$AA$20</f>
        <v>1.011</v>
      </c>
      <c r="AG133" s="85">
        <f>IF(EM133=0,0,PI()*ER133*ER133/4*EP133*(1-K133)*(1+AF133)*各项系数!$F$5*各项系数!$J$4*10^-7)</f>
        <v>0.168163179529094</v>
      </c>
      <c r="AH133" s="85">
        <f t="shared" si="574"/>
        <v>131.130294998433</v>
      </c>
      <c r="AI133" s="85">
        <f t="shared" si="398"/>
        <v>9.55751863397041</v>
      </c>
      <c r="AJ133" s="85">
        <f>IF(OR(EP133="",EP133=0),0,POWER(4*EW133/PI()/EO133/10^-7/EP133/(1-K133)/各项系数!$F$5/各项系数!$J$4,0.5))</f>
        <v>131.849539109191</v>
      </c>
      <c r="AK133" s="85">
        <f t="shared" si="342"/>
        <v>0.622666592025669</v>
      </c>
      <c r="AL133" s="85">
        <f t="shared" si="575"/>
        <v>44.7102162662735</v>
      </c>
      <c r="AM133" s="250">
        <f t="shared" si="576"/>
        <v>16</v>
      </c>
      <c r="AN133" s="118" t="s">
        <v>486</v>
      </c>
      <c r="AO133" s="259">
        <f>AP133+各项系数!$M$9*$NK133</f>
        <v>43.8335453590917</v>
      </c>
      <c r="AP133" s="259">
        <f>AQ133*(1+$BI133+(VLOOKUP($AM133,$A$12:$B$323,2,0))+各项系数!$J$6+各项系数!$M$5)*(1+$E$2)</f>
        <v>43.5519992565539</v>
      </c>
      <c r="AQ133" s="260">
        <f>AR133+各项系数!$L$9*$NK133</f>
        <v>44.4408155679121</v>
      </c>
      <c r="AR133" s="260">
        <f>AS133*(1+$BJ133+各项系数!$J$5+各项系数!$L$5)</f>
        <v>44.1592694653744</v>
      </c>
      <c r="AS133" s="260">
        <f t="shared" si="399"/>
        <v>43.2934014366415</v>
      </c>
      <c r="AT133" s="259">
        <f>AU133+各项系数!$M$9*$NM133</f>
        <v>44.8744042757755</v>
      </c>
      <c r="AU133" s="259">
        <f>AV133*(1+$BI133+(VLOOKUP($AM133,$A$12:$B$323,2,0))+各项系数!$J$6+各项系数!$M$5)*(1+$E$2)</f>
        <v>44.5928581732378</v>
      </c>
      <c r="AV133" s="260">
        <f>AW133+各项系数!$L$9*$NM133</f>
        <v>45.5029165033038</v>
      </c>
      <c r="AW133" s="260">
        <f>AX133*(1+$BJ133+各项系数!$J$5+各项系数!$L$5)</f>
        <v>45.221370400766</v>
      </c>
      <c r="AX133" s="260">
        <f t="shared" si="400"/>
        <v>44.3346768634961</v>
      </c>
      <c r="AY133" s="259">
        <f>AZ133+各项系数!$M$9*$NS133</f>
        <v>45.4516300740642</v>
      </c>
      <c r="AZ133" s="259">
        <f>BA133*(1+$BI133+(VLOOKUP($AM133,$A$12:$B$214,2,0))+各项系数!$J$6+各项系数!$M$5)*(1+$E$2)</f>
        <v>45.1630106925672</v>
      </c>
      <c r="BA133" s="260">
        <f>BB133+各项系数!$L$9*$NS133</f>
        <v>46.0847047883339</v>
      </c>
      <c r="BB133" s="260">
        <f>BC133*(1+$BJ133+各项系数!$J$5+各项系数!$L$5)</f>
        <v>45.796085406837</v>
      </c>
      <c r="BC133" s="262">
        <f t="shared" si="401"/>
        <v>44.8981229478794</v>
      </c>
      <c r="BD133" s="259">
        <f>BE133+各项系数!$M$9*$NS133</f>
        <v>46.5014429429026</v>
      </c>
      <c r="BE133" s="259">
        <f>BF133*(1+$BI133+(VLOOKUP($AM133,$A$12:$B$214,2,0))+各项系数!$J$6+各项系数!$M$5)*(1+$E$2)</f>
        <v>46.2128235614056</v>
      </c>
      <c r="BF133" s="260">
        <f>BG133+各项系数!$L$9*$NS133</f>
        <v>47.1559424095976</v>
      </c>
      <c r="BG133" s="260">
        <f>BH133*(1+$BJ133+各项系数!$J$5+各项系数!$L$5)</f>
        <v>46.8673230281006</v>
      </c>
      <c r="BH133" s="262">
        <f t="shared" si="402"/>
        <v>45.9483559099026</v>
      </c>
      <c r="BI133" s="277"/>
      <c r="BJ133" s="272"/>
      <c r="BK133" s="69" t="s">
        <v>514</v>
      </c>
      <c r="BL133" s="259">
        <f>BM133+各项系数!$M$9*$NM133</f>
        <v>44.4131034289823</v>
      </c>
      <c r="BM133" s="259">
        <f>BN133*(1+$CF133+(VLOOKUP($AM133,$A$12:$B$323,2,0))+各项系数!$J$6+各项系数!$M$5)*(1+$E$2)</f>
        <v>44.1315573264445</v>
      </c>
      <c r="BN133" s="260">
        <f>BO133+各项系数!$L$9*$NM133</f>
        <v>45.0322013535148</v>
      </c>
      <c r="BO133" s="260">
        <f>BP133*(1+$CG133+各项系数!$J$5+各项系数!$L$5)</f>
        <v>44.750655250977</v>
      </c>
      <c r="BP133" s="260">
        <f t="shared" si="403"/>
        <v>43.4472381077447</v>
      </c>
      <c r="BQ133" s="259">
        <f>BR133+各项系数!$M$9*$NM133</f>
        <v>45.3088841090378</v>
      </c>
      <c r="BR133" s="259">
        <f>BS133*(1+$CF133+(VLOOKUP($AM133,$A$12:$B$323,2,0))+各项系数!$J$6+各项系数!$M$5)*(1+$E$2)</f>
        <v>45.0273380065</v>
      </c>
      <c r="BS133" s="260">
        <f>BT133+各项系数!$L$9*$NM133</f>
        <v>45.9462632719388</v>
      </c>
      <c r="BT133" s="260">
        <f>BU133*(1+$CG133+各项系数!$J$5+各项系数!$L$5)</f>
        <v>45.664717169401</v>
      </c>
      <c r="BU133" s="260">
        <f t="shared" si="404"/>
        <v>44.3346768634961</v>
      </c>
      <c r="BV133" s="259">
        <f>BW133+各项系数!$M$9*$NT133</f>
        <v>45.773501370253</v>
      </c>
      <c r="BW133" s="259">
        <f>BX133*(1+$CF133+(VLOOKUP($AM133,$A$12:$B$214,2,0))+各项系数!$J$6+各项系数!$M$5)*(1+$E$2)</f>
        <v>45.484881988756</v>
      </c>
      <c r="BX133" s="260">
        <f>BY133+各项系数!$L$9*$NT$12</f>
        <v>46.4131448864857</v>
      </c>
      <c r="BY133" s="260">
        <f>BZ133*(1+$CG133+各项系数!$J$5+各项系数!$L$5)</f>
        <v>46.4048814833308</v>
      </c>
      <c r="BZ133" s="262">
        <f t="shared" si="343"/>
        <v>45.053282993525</v>
      </c>
      <c r="CA133" s="259">
        <f>CB133+各项系数!$M$9*$NT133</f>
        <v>46.6769879720445</v>
      </c>
      <c r="CB133" s="259">
        <f>CC133*(1+$CF133+(VLOOKUP($AM133,$A$12:$B$214,2,0))+各项系数!$J$6+各项系数!$M$5)*(1+$E$2)</f>
        <v>46.3883685905475</v>
      </c>
      <c r="CC133" s="260">
        <f>CD133+各项系数!$L$9*$NT$12</f>
        <v>47.3350699903546</v>
      </c>
      <c r="CD133" s="260">
        <f>CE133*(1+$CG133+各项系数!$J$5+各项系数!$L$5)</f>
        <v>47.3268065871996</v>
      </c>
      <c r="CE133" s="262">
        <f t="shared" si="405"/>
        <v>45.9483559099026</v>
      </c>
      <c r="CF133" s="277">
        <f t="shared" si="514"/>
        <v>0</v>
      </c>
      <c r="CG133" s="277">
        <f t="shared" si="344"/>
        <v>0.01</v>
      </c>
      <c r="CH133" s="123"/>
      <c r="CI133" s="259">
        <f>CJ133+各项系数!$M$9*$NO133</f>
        <v>45.692316491612</v>
      </c>
      <c r="CJ133" s="259">
        <f>CK133*(1+$DC133+(VLOOKUP($AM133,$A$12:$B$323,2,0))+各项系数!$J$6+各项系数!$M$5)*(1+$E$2)+各项系数!$M$9*$NK133</f>
        <v>45.2979408217235</v>
      </c>
      <c r="CK133" s="260">
        <f>CL133+各项系数!$L$9*$NO133</f>
        <v>45.9350966522303</v>
      </c>
      <c r="CL133" s="260">
        <f>CM133*(1+$DD133+各项系数!$J$5+各项系数!$L$5)</f>
        <v>45.5407209823418</v>
      </c>
      <c r="CM133" s="260">
        <f t="shared" si="345"/>
        <v>44.6477656689626</v>
      </c>
      <c r="CN133" s="259">
        <f>CO133+各项系数!$M$9*$NO133</f>
        <v>46.5939459517666</v>
      </c>
      <c r="CO133" s="259">
        <f>CP133*(1+$DC133+(VLOOKUP($AM133,$A$12:$B$323,2,0))+各项系数!$J$6+各项系数!$M$5)*(1+$E$2)+各项系数!$M$9*$NK133</f>
        <v>46.1995702818781</v>
      </c>
      <c r="CP133" s="260">
        <f>CQ133+各项系数!$L$9*$NO133</f>
        <v>46.8551267136125</v>
      </c>
      <c r="CQ133" s="260">
        <f>CR133*(1+$DD133+各项系数!$J$5+各项系数!$L$5)</f>
        <v>46.460751043724</v>
      </c>
      <c r="CR133" s="260">
        <f t="shared" si="346"/>
        <v>45.5497559252196</v>
      </c>
      <c r="CS133" s="259">
        <f>CT133+各项系数!$M$9*$NU133</f>
        <v>47.1889668770627</v>
      </c>
      <c r="CT133" s="259">
        <f t="shared" si="347"/>
        <v>46.7868122480483</v>
      </c>
      <c r="CU133" s="260">
        <f>CV133+各项系数!$L$9*$NU133</f>
        <v>47.7416451510697</v>
      </c>
      <c r="CV133" s="260">
        <f>CW133*(1+$DD133+各项系数!$J$5+各项系数!$L$5)</f>
        <v>47.3394905220554</v>
      </c>
      <c r="CW133" s="262">
        <f t="shared" si="348"/>
        <v>46.4112652177013</v>
      </c>
      <c r="CX133" s="259">
        <f>CY133+各项系数!$M$9*$NU133</f>
        <v>48.3330200923273</v>
      </c>
      <c r="CY133" s="259">
        <f t="shared" si="349"/>
        <v>47.930865463313</v>
      </c>
      <c r="CZ133" s="260">
        <f>DA133+各项系数!$L$9*$NU133</f>
        <v>48.9090463911357</v>
      </c>
      <c r="DA133" s="260">
        <f>DB133*(1+$DD133+各项系数!$J$5+各项系数!$L$5)</f>
        <v>48.5068917621214</v>
      </c>
      <c r="DB133" s="262">
        <f t="shared" si="350"/>
        <v>47.5557762373739</v>
      </c>
      <c r="DC133" s="277">
        <f t="shared" si="571"/>
        <v>0</v>
      </c>
      <c r="DD133" s="277">
        <f t="shared" si="351"/>
        <v>0</v>
      </c>
      <c r="DE133" s="69" t="s">
        <v>498</v>
      </c>
      <c r="DF133" s="69" t="s">
        <v>513</v>
      </c>
      <c r="DG133" s="259">
        <f>DH133+各项系数!$M$9*$NQ133</f>
        <v>46.2992067760995</v>
      </c>
      <c r="DH133" s="259">
        <f>DI133*(1+$EA133+(VLOOKUP($AM133,$A$12:$B$323,2,0))+各项系数!$J$6+各项系数!$M$5)*(1+$E$2)+各项系数!$M$9*$NK133</f>
        <v>45.904831106211</v>
      </c>
      <c r="DI133" s="260">
        <f>DJ133+各项系数!$L$9*$NQ133</f>
        <v>46.5543724527277</v>
      </c>
      <c r="DJ133" s="260">
        <f>DK133*(1+$EB133+各项系数!$J$5+各项系数!$L$5)</f>
        <v>46.1599967828392</v>
      </c>
      <c r="DK133" s="260">
        <f t="shared" si="352"/>
        <v>44.8155308571255</v>
      </c>
      <c r="DL133" s="259">
        <f>DM133+各项系数!$M$9*$NQ133</f>
        <v>47.2760922824262</v>
      </c>
      <c r="DM133" s="259">
        <f>DN133*(1+$EA133+(VLOOKUP($AM133,$A$12:$B$323,2,0))+各项系数!$J$6+各项系数!$M$5)*(1+$E$2)+各项系数!$M$9*$NK133</f>
        <v>46.8817166125377</v>
      </c>
      <c r="DN133" s="260">
        <f>DO133+各项系数!$L$9*$NQ133</f>
        <v>47.551194397959</v>
      </c>
      <c r="DO133" s="260">
        <f>DP133*(1+$EB133+各项系数!$J$5+各项系数!$L$5)</f>
        <v>47.1568187280705</v>
      </c>
      <c r="DP133" s="260">
        <f t="shared" si="353"/>
        <v>45.7833191534665</v>
      </c>
      <c r="DQ133" s="259">
        <f>DR133+各项系数!$M$9*$NV133</f>
        <v>47.814475271391</v>
      </c>
      <c r="DR133" s="259">
        <f t="shared" si="354"/>
        <v>47.4123206423766</v>
      </c>
      <c r="DS133" s="260">
        <f>DT133+各项系数!$L$9*$NV133</f>
        <v>48.3799190228333</v>
      </c>
      <c r="DT133" s="260">
        <f>DU133*(1+$EB133+各项系数!$J$5+各项系数!$L$5)</f>
        <v>47.9777643938189</v>
      </c>
      <c r="DU133" s="262">
        <f t="shared" si="355"/>
        <v>46.5803537804067</v>
      </c>
      <c r="DV133" s="259">
        <f>DW133+各项系数!$M$9*$NV133</f>
        <v>48.023096203408</v>
      </c>
      <c r="DW133" s="259">
        <f t="shared" si="356"/>
        <v>47.6209415743937</v>
      </c>
      <c r="DX133" s="260">
        <f>DY133+各项系数!$L$9*$NV133</f>
        <v>48.5927975248915</v>
      </c>
      <c r="DY133" s="260">
        <f>DZ133*(1+$EB133+各项系数!$J$5+各项系数!$L$5)</f>
        <v>48.1906428958771</v>
      </c>
      <c r="DZ133" s="262">
        <f t="shared" si="357"/>
        <v>46.7870319377448</v>
      </c>
      <c r="EA133" s="277">
        <f t="shared" si="559"/>
        <v>0</v>
      </c>
      <c r="EB133" s="277">
        <f t="shared" si="358"/>
        <v>0.01</v>
      </c>
      <c r="EC133" s="302" t="str">
        <f t="shared" si="408"/>
        <v>4+1</v>
      </c>
      <c r="ED133" s="302" t="str">
        <f t="shared" si="565"/>
        <v>4*16</v>
      </c>
      <c r="EE133" s="251">
        <f t="shared" si="495"/>
        <v>16</v>
      </c>
      <c r="EF133" s="251" t="str">
        <f>LOOKUP(EH133,{1,7,10,14,19,24,30,37,48,61},{1,"1+6","2+8","4+10","1+6+12","2+8+14","4+10+16","1+6+12+18","3+9+15+21","1+6+12+18+24"})</f>
        <v>1+6</v>
      </c>
      <c r="EG133" s="250">
        <f t="shared" si="359"/>
        <v>4</v>
      </c>
      <c r="EH133" s="260">
        <f>VLOOKUP(EE133,各项系数!$B$87:$C$124,2,0)</f>
        <v>7</v>
      </c>
      <c r="EI133" s="250">
        <f>IF(EH133=0,0,VLOOKUP(EH133,各项系数!$D$142:$E$195,2,0))*1</f>
        <v>3</v>
      </c>
      <c r="EJ133" s="305">
        <f t="shared" si="409"/>
        <v>165.416818206689</v>
      </c>
      <c r="EK133" s="251" t="str">
        <f t="shared" si="566"/>
        <v>1*10</v>
      </c>
      <c r="EL133" s="251" t="str">
        <f t="shared" si="360"/>
        <v>10</v>
      </c>
      <c r="EM133" s="251">
        <f t="shared" si="567"/>
        <v>10</v>
      </c>
      <c r="EN133" s="251" t="str">
        <f>IF(EP133=0,0,LOOKUP(EP133,{1,7,10,14,19,24,30,37,48,61},{1,"1+6","2+8","4+10","1+6+12","2+8+14","4+10+16","1+6+12+18","3+9+15+21","1+6+12+18+24"}))</f>
        <v>1+6</v>
      </c>
      <c r="EO133" s="251" t="str">
        <f t="shared" si="568"/>
        <v>1</v>
      </c>
      <c r="EP133" s="251">
        <f>IF(EM133=0,0,IF(EM133&lt;10,1,IF(AND(EM133&gt;=10,EM133&lt;=35),7,LOOKUP(EM133,{50,70,95,120,150,185,240,300},{10,14,19,24,30,37,48,61})*1)))</f>
        <v>7</v>
      </c>
      <c r="EQ133" s="251">
        <f>IF(EP133=0,0,VLOOKUP(EP133,各项系数!$D$142:$E$195,2,0))*1</f>
        <v>3</v>
      </c>
      <c r="ER133" s="251">
        <f t="shared" si="577"/>
        <v>131.130294998433</v>
      </c>
      <c r="ES133" s="302">
        <f t="shared" si="570"/>
        <v>5</v>
      </c>
      <c r="ET133" s="251">
        <f>VLOOKUP(ES133,各项系数!$D$142:$E$195,2,0)*1</f>
        <v>2.7</v>
      </c>
      <c r="EU133" s="311">
        <f>((各项系数!$F$76/4*$EJ133^2*$EG133*$EH133*1*10^-7)*(1-$H133)*AA133)*(VLOOKUP($EY$9,各项系数!$D$4:$F$143,3,0))*各项系数!$J$4</f>
        <v>0.538125083072952</v>
      </c>
      <c r="EV133" s="312">
        <f>EU133*(VLOOKUP($EY$9,各项系数!$D$4:$F$143,2,0))</f>
        <v>35.2471929412783</v>
      </c>
      <c r="EW133" s="324">
        <f>(IF($EO133=0,0,(各项系数!$F$76/4*$ER133^2*$EO133*$EP133*1*10^-7))*(1-$K133)*$AF133)*(VLOOKUP($EY$9,各项系数!$D$4:$F$143,3,0))*各项系数!$J$4</f>
        <v>0.084541508952717</v>
      </c>
      <c r="EX133" s="325">
        <f>EW133*(VLOOKUP($EY$9,各项系数!$D$4:$F$143,2,0))</f>
        <v>5.53746883640296</v>
      </c>
      <c r="EY133" s="251">
        <f>((各项系数!$F$76/4*$EJ133^2*$EG133*$EH133*1*10^-7)*(1-$H133)*AA133+IF($EO133=0,0,(各项系数!$F$76/4*$ER133^2*$EO133*$EP133*1*10^-7))*(1-$K133)*$AF133)*(VLOOKUP($EY$9,各项系数!$D$4:$F$143,3,0))*各项系数!$J$4</f>
        <v>0.622666592025669</v>
      </c>
      <c r="EZ133" s="123">
        <v>1</v>
      </c>
      <c r="FA133" s="251">
        <f t="shared" si="515"/>
        <v>0.622666592025669</v>
      </c>
      <c r="FB133" s="326">
        <f>FA133*(VLOOKUP($EY$9,各项系数!$D$4:$F$143,2,0))</f>
        <v>40.7846617776813</v>
      </c>
      <c r="FC133" s="327"/>
      <c r="FD133" s="302">
        <f>各项系数!$F$76/4*($MN133^2-MK133^2)*10^-2*(VLOOKUP(L133,各项系数!$D$1:$F$143,3,0))*10^-3*10^2*$EG133*各项系数!$J$4</f>
        <v>0.0545170356514288</v>
      </c>
      <c r="FE133" s="339">
        <f>FD133*VLOOKUP(L133,各项系数!$D$1:$F$143,2,0)</f>
        <v>0.556073763644574</v>
      </c>
      <c r="FF133" s="250">
        <f>各项系数!$F$76/4*($MO133^2-ML133^2)*10^-2*(VLOOKUP(L133,各项系数!$D$1:$F$143,3,0))*10^-3*10^2*$EO133*各项系数!$J$4</f>
        <v>0.0111534998392544</v>
      </c>
      <c r="FG133" s="339">
        <f>FF133*VLOOKUP(L133,各项系数!$D$1:$F$143,2,0)</f>
        <v>0.113765698360395</v>
      </c>
      <c r="FH133" s="302">
        <f t="shared" si="410"/>
        <v>0.0656705354906832</v>
      </c>
      <c r="FI133" s="123">
        <v>1</v>
      </c>
      <c r="FJ133" s="251">
        <f t="shared" si="516"/>
        <v>0.0656705354906832</v>
      </c>
      <c r="FK133" s="339">
        <f>FJ133*VLOOKUP(L133,各项系数!$D$1:$F$143,2,0)</f>
        <v>0.669839462004969</v>
      </c>
      <c r="FL133" s="302"/>
      <c r="FM133" s="123"/>
      <c r="FN133" s="251"/>
      <c r="FO133" s="339"/>
      <c r="FP133" s="364">
        <f t="shared" si="517"/>
        <v>0.0656705354906832</v>
      </c>
      <c r="FQ133" s="364">
        <f t="shared" si="518"/>
        <v>0.669839462004969</v>
      </c>
      <c r="FR133" s="365">
        <f>各项系数!$F$76/4*($MQ133^2-$MN133^2*$EG133-$MO133^2*$EO133)*10^-2</f>
        <v>0.675115284404634</v>
      </c>
      <c r="FS133" s="366">
        <f t="shared" si="411"/>
        <v>1</v>
      </c>
      <c r="FT133" s="367">
        <f t="shared" si="361"/>
        <v>0.675115284404634</v>
      </c>
      <c r="FU133" s="388">
        <f>$FT133*(VLOOKUP($FT$9,各项系数!$D$1:$F$143,3,0))*10^-3*10^2*各项系数!$J$55</f>
        <v>0.0806087649579133</v>
      </c>
      <c r="FV133" s="389">
        <v>1</v>
      </c>
      <c r="FW133" s="390">
        <f t="shared" si="519"/>
        <v>0.0806087649579133</v>
      </c>
      <c r="FX133" s="367">
        <f>FW133*(VLOOKUP($FT$9,各项系数!$D$1:$F$143,2,0))</f>
        <v>0.24182629487374</v>
      </c>
      <c r="FY133" s="388">
        <f>IF($BK133&lt;&gt;$FY$9,0,各项系数!$F$76/4*($MS133^2-$MQ133^2)*10^-2*(VLOOKUP($FY$9,各项系数!$D$1:$F$143,3,0))*10^-3*10^2)*各项系数!$J$4</f>
        <v>0</v>
      </c>
      <c r="FZ133" s="389">
        <v>1</v>
      </c>
      <c r="GA133" s="390">
        <f t="shared" si="520"/>
        <v>0</v>
      </c>
      <c r="GB133" s="367">
        <f>GA133*(VLOOKUP($FY$9,各项系数!$D$1:$F$143,2,0))</f>
        <v>0</v>
      </c>
      <c r="GC133" s="388">
        <f>IF($BK133&lt;&gt;$GC$9,0,各项系数!$F$76/4*($MS133^2-$MQ133^2)*10^-2*(VLOOKUP($GC$9,各项系数!$D$1:$F$143,3,0))*10^-3*10^2)*各项系数!$J$4</f>
        <v>0.00455094504264111</v>
      </c>
      <c r="GD133" s="389">
        <v>1</v>
      </c>
      <c r="GE133" s="390">
        <f t="shared" si="521"/>
        <v>0.00455094504264111</v>
      </c>
      <c r="GF133" s="367">
        <f>GE133*(VLOOKUP($GC$9,各项系数!$D$1:$F$143,2,0))</f>
        <v>0.0587071910500703</v>
      </c>
      <c r="GG133" s="388">
        <f>IF($BK133&lt;&gt;$GG$9,0,各项系数!$F$76/4*($MS133^2-$MQ133^2)*10^-2*(VLOOKUP($GG$9,各项系数!$D$1:$F$143,3,0))*10^-3*10^2)*各项系数!$J$4</f>
        <v>0</v>
      </c>
      <c r="GH133" s="389">
        <v>1</v>
      </c>
      <c r="GI133" s="390">
        <f t="shared" si="522"/>
        <v>0</v>
      </c>
      <c r="GJ133" s="367">
        <f>GI133*(VLOOKUP($GG$9,各项系数!$D$1:$F$143,2,0))</f>
        <v>0</v>
      </c>
      <c r="GK133" s="388">
        <f>IF($BK133&lt;&gt;$GK$9,0,各项系数!$F$76/4*($MS133^2-$MQ133^2)*10^-2*(VLOOKUP($GK$9,各项系数!$D$1:$F$143,3,0))*10^-3*10^2)*各项系数!$J$4</f>
        <v>0</v>
      </c>
      <c r="GL133" s="389">
        <v>1</v>
      </c>
      <c r="GM133" s="390">
        <f t="shared" si="523"/>
        <v>0</v>
      </c>
      <c r="GN133" s="367">
        <f>GM133*(VLOOKUP($GK$9,各项系数!$D$1:$F$143,2,0))</f>
        <v>0</v>
      </c>
      <c r="GO133" s="390">
        <f t="shared" si="524"/>
        <v>0.00455094504264111</v>
      </c>
      <c r="GP133" s="390">
        <f t="shared" si="525"/>
        <v>0.0587071910500703</v>
      </c>
      <c r="GQ133" s="406">
        <f>各项系数!$F$76/4*($MU133^2-$MS133^2)*10^-2*(VLOOKUP($S133,各项系数!$D$1:$F$143,3,0))*10^-3*10^2*各项系数!$J$4</f>
        <v>0.125394883433099</v>
      </c>
      <c r="GR133" s="389">
        <v>1</v>
      </c>
      <c r="GS133" s="390">
        <f t="shared" si="526"/>
        <v>0.125394883433099</v>
      </c>
      <c r="GT133" s="390">
        <f t="shared" si="457"/>
        <v>0</v>
      </c>
      <c r="GU133" s="390">
        <f>ROUND($GS133*(VLOOKUP($S133,各项系数!$D$1:$F$143,2,0))+$E$3*GS133,GT133)</f>
        <v>1</v>
      </c>
      <c r="GV133" s="406">
        <f>各项系数!$F$76/4*($MT133^2-$MS133^2)*10^-2*(VLOOKUP($GV$9,各项系数!$D$1:$F$143,3,0))*10^-3*10^2*各项系数!$J$4*PI()/4*R133</f>
        <v>0.0235775965305617</v>
      </c>
      <c r="GW133" s="389">
        <v>1</v>
      </c>
      <c r="GX133" s="390">
        <f t="shared" si="527"/>
        <v>0.0235775965305617</v>
      </c>
      <c r="GY133" s="390">
        <f>$GX133*(VLOOKUP($GV$9,各项系数!$D$1:$F$143,2,0))</f>
        <v>1.59148776581292</v>
      </c>
      <c r="GZ133" s="406">
        <f>各项系数!$F$76/4*($MV133^2-$MS133^2)*10^-2*(VLOOKUP($GZ$9,各项系数!$D$1:$F$143,3,0))*10^-3*10^2*各项系数!$J$4</f>
        <v>0.151743655169766</v>
      </c>
      <c r="HA133" s="389">
        <v>1</v>
      </c>
      <c r="HB133" s="390">
        <f t="shared" si="412"/>
        <v>0.151743655169766</v>
      </c>
      <c r="HC133" s="390">
        <f>HB133*(VLOOKUP($GZ$9,各项系数!$D$1:$F$143,2,0))</f>
        <v>2.57964213788602</v>
      </c>
      <c r="HD133" s="406">
        <f>各项系数!$F$76/4*($MW133^2-$MT133^2)*10^-2*(VLOOKUP($HD$9,各项系数!$D$1:$F$143,3,0))*10^-3*10^2*各项系数!$J$4</f>
        <v>0.153049024616444</v>
      </c>
      <c r="HE133" s="389">
        <v>1</v>
      </c>
      <c r="HF133" s="390">
        <f t="shared" si="413"/>
        <v>0.153049024616444</v>
      </c>
      <c r="HG133" s="390">
        <f>HF133*(VLOOKUP($HD$9,各项系数!$D$1:$F$143,2,0))</f>
        <v>2.60183341847955</v>
      </c>
      <c r="HH133" s="406">
        <f>各项系数!$F$76/4*($MV133^2-$MS133^2)*10^-2*(VLOOKUP($HH$9,各项系数!$D$1:$F$143,3,0))*10^-3*10^2*各项系数!$J$4</f>
        <v>0.151743655169766</v>
      </c>
      <c r="HI133" s="420">
        <v>1</v>
      </c>
      <c r="HJ133" s="390">
        <f t="shared" si="414"/>
        <v>0.151743655169766</v>
      </c>
      <c r="HK133" s="390">
        <f>HJ133*(VLOOKUP($HH$9,各项系数!$D$1:$F$143,2,0))</f>
        <v>2.57964213788602</v>
      </c>
      <c r="HL133" s="406">
        <f>各项系数!$F$76/4*($MW133^2-$MT133^2)*10^-2*(VLOOKUP($HL$9,各项系数!$D$1:$F$143,3,0))*10^-3*10^2*各项系数!$J$4</f>
        <v>0.153049024616444</v>
      </c>
      <c r="HM133" s="420">
        <v>1</v>
      </c>
      <c r="HN133" s="390">
        <f t="shared" si="362"/>
        <v>0.153049024616444</v>
      </c>
      <c r="HO133" s="390">
        <f>HN133*(VLOOKUP($HL$9,各项系数!$D$1:$F$143,2,0))</f>
        <v>2.60183341847955</v>
      </c>
      <c r="HP133" s="406">
        <f>各项系数!$F$76/4*($MV133^2-$MS133^2)*10^-2*(VLOOKUP(AN133,各项系数!$D$1:$F$143,3,0))*10^-3*10^2*各项系数!$J$4</f>
        <v>0.153836671103142</v>
      </c>
      <c r="HQ133" s="389">
        <v>1</v>
      </c>
      <c r="HR133" s="390">
        <f t="shared" si="528"/>
        <v>0.153836671103142</v>
      </c>
      <c r="HS133" s="390">
        <f>HR133*(VLOOKUP(AN133,各项系数!$D$1:$F$143,2,0))</f>
        <v>1.53836671103142</v>
      </c>
      <c r="HT133" s="406">
        <f>各项系数!$F$76/4*($MW133^2-$MT133^2)*10^-2*(VLOOKUP(AN133,各项系数!$D$1:$F$143,3,0))*10^-3*10^2*各项系数!$J$4</f>
        <v>0.155160045645636</v>
      </c>
      <c r="HU133" s="389">
        <v>1</v>
      </c>
      <c r="HV133" s="390">
        <f t="shared" si="529"/>
        <v>0.155160045645636</v>
      </c>
      <c r="HW133" s="390">
        <f>HV133*(VLOOKUP(AN133,各项系数!$D$1:$F$143,2,0))</f>
        <v>1.55160045645636</v>
      </c>
      <c r="HX133" s="406">
        <f>各项系数!$F$76/4*($MV133^2-$MS133^2)*10^-2*(VLOOKUP($HX$9,各项系数!$D$1:$F$143,3,0))*10^-3*10^2*各项系数!$J$4</f>
        <v>0.153836671103142</v>
      </c>
      <c r="HY133" s="420">
        <v>1</v>
      </c>
      <c r="HZ133" s="390">
        <f t="shared" si="530"/>
        <v>0.153836671103142</v>
      </c>
      <c r="IA133" s="390">
        <f>HZ133*(VLOOKUP($HX$9,各项系数!$D$1:$F$143,2,0))</f>
        <v>1.69220338213456</v>
      </c>
      <c r="IB133" s="406">
        <f>各项系数!$F$76/4*($MW133^2-$MT133^2)*10^-2*(VLOOKUP($IB$9,各项系数!$D$1:$F$143,3,0))*10^-3*10^2*各项系数!$J$4</f>
        <v>0.155160045645636</v>
      </c>
      <c r="IC133" s="420">
        <v>1</v>
      </c>
      <c r="ID133" s="390">
        <f t="shared" si="531"/>
        <v>0.155160045645636</v>
      </c>
      <c r="IE133" s="390">
        <f>ID133*(VLOOKUP($IB$9,各项系数!$D$1:$F$143,2,0))</f>
        <v>1.706760502102</v>
      </c>
      <c r="IF133" s="429"/>
      <c r="IG133" s="406">
        <f t="shared" si="415"/>
        <v>0.0355655881577466</v>
      </c>
      <c r="IH133" s="389">
        <v>1</v>
      </c>
      <c r="II133" s="390">
        <f t="shared" si="532"/>
        <v>0.0355655881577466</v>
      </c>
      <c r="IJ133" s="390">
        <f>II133*(VLOOKUP($IG$8,各项系数!$D$1:$F$143,2,0))</f>
        <v>0.889139703943666</v>
      </c>
      <c r="IK133" s="406">
        <f>(各项系数!$F$76/4*($MX133^2-$MK133^2)*$EG133)*10^-2*(VLOOKUP($IG$8,各项系数!$D$1:$F$143,3,0))*10^-3*10^2*各项系数!$J$4</f>
        <v>0.0296099682738033</v>
      </c>
      <c r="IL133" s="389">
        <f>IK133*(VLOOKUP($IG$8,各项系数!$D$1:$F$143,2,0))</f>
        <v>0.740249206845084</v>
      </c>
      <c r="IM133" s="390">
        <f>(各项系数!$F$76/4*(($MM133+3*$X133)^2-MM133^2)*$EO133)*10^-2*(VLOOKUP($IG$8,各项系数!$D$1:$F$143,3,0))*10^-3*10^2*各项系数!$J$4</f>
        <v>0.00595561988394329</v>
      </c>
      <c r="IN133" s="389">
        <f>IM133*(VLOOKUP($IG$8,各项系数!$D$1:$F$143,2,0))</f>
        <v>0.148890497098582</v>
      </c>
      <c r="IO133" s="406">
        <f>各项系数!$F$76/4*($MZ133^2-$MX133^2)*10^-2*(VLOOKUP(L133,各项系数!$D$1:$F$143,3,0))*10^-3*10^2*$ES133*各项系数!$J$4</f>
        <v>0.0753670881989296</v>
      </c>
      <c r="IP133" s="389">
        <v>1</v>
      </c>
      <c r="IQ133" s="390">
        <f t="shared" si="533"/>
        <v>0.0753670881989296</v>
      </c>
      <c r="IR133" s="367">
        <f>IQ133*(VLOOKUP(L133,各项系数!$D$1:$F$143,2,0))</f>
        <v>0.768744299629082</v>
      </c>
      <c r="IS133" s="406">
        <f>IF($L133&lt;&gt;$IS$9,0,各项系数!$F$76/4*($MZ133^2-$MX133^2)*10^-2*各项系数!$F$12*10^-3*10^2)*$ES133*各项系数!$J$4</f>
        <v>0</v>
      </c>
      <c r="IT133" s="389">
        <v>1</v>
      </c>
      <c r="IU133" s="390">
        <f t="shared" si="534"/>
        <v>0</v>
      </c>
      <c r="IV133" s="367">
        <f>IU133*各项系数!$E$12</f>
        <v>0</v>
      </c>
      <c r="IW133" s="388">
        <f t="shared" si="535"/>
        <v>0.0753670881989296</v>
      </c>
      <c r="IX133" s="388">
        <f t="shared" si="536"/>
        <v>0.768744299629082</v>
      </c>
      <c r="IY133" s="447">
        <f>各项系数!$F$76/4*($NB133^2-$MZ133^2*$EG133-$NA133^2*$EO133)*10^-2</f>
        <v>0.814470414972473</v>
      </c>
      <c r="IZ133" s="366">
        <f t="shared" si="487"/>
        <v>1</v>
      </c>
      <c r="JA133" s="367">
        <f t="shared" si="363"/>
        <v>0.814470414972473</v>
      </c>
      <c r="JB133" s="364">
        <f>IF($DE133&lt;&gt;$JB$9,0,$JA133*各项系数!$F$32*10^-3*10^2)*各项系数!$J$4</f>
        <v>0</v>
      </c>
      <c r="JC133" s="123">
        <v>1</v>
      </c>
      <c r="JD133" s="251">
        <f t="shared" si="537"/>
        <v>0</v>
      </c>
      <c r="JE133" s="339">
        <f>JD133*各项系数!$E$32</f>
        <v>0</v>
      </c>
      <c r="JF133" s="364">
        <f>IF($DE133&lt;&gt;$JF$9,0,$JA133*VLOOKUP($JF$9,各项系数!$D$4:$F$540,2,0)*10^-3*10^2)*各项系数!$J$4</f>
        <v>0.405199031448805</v>
      </c>
      <c r="JG133" s="123">
        <v>1</v>
      </c>
      <c r="JH133" s="251">
        <f t="shared" si="364"/>
        <v>0.405199031448805</v>
      </c>
      <c r="JI133" s="339">
        <f>JH133*VLOOKUP($JF$9,各项系数!$D$4:$F$540,3,0)</f>
        <v>0.486238837738566</v>
      </c>
      <c r="JJ133" s="364">
        <f t="shared" si="538"/>
        <v>0.405199031448805</v>
      </c>
      <c r="JK133" s="251">
        <f t="shared" si="539"/>
        <v>0.486238837738566</v>
      </c>
      <c r="JL133" s="364">
        <f>IF($DF133&lt;&gt;$JL$9,0,各项系数!$F$76/4*($NE133^2-$NC133^2)*10^-2*各项系数!$F$39*10^-3*10^2)*各项系数!$J$4</f>
        <v>0.00206645841704709</v>
      </c>
      <c r="JM133" s="123">
        <v>1</v>
      </c>
      <c r="JN133" s="251">
        <f t="shared" si="540"/>
        <v>0.00206645841704709</v>
      </c>
      <c r="JO133" s="339">
        <f>JN133*各项系数!$E$39</f>
        <v>0.0413291683409418</v>
      </c>
      <c r="JP133" s="364">
        <f>IF($DF133&lt;&gt;$JP$9,0,各项系数!$F$76/4*($NE133^2-$NC133^2)*10^-2*各项系数!$F$36*10^-3*10^2)*各项系数!$J$4</f>
        <v>0</v>
      </c>
      <c r="JQ133" s="123">
        <v>1</v>
      </c>
      <c r="JR133" s="251">
        <f t="shared" si="541"/>
        <v>0</v>
      </c>
      <c r="JS133" s="339">
        <f>JR133*各项系数!$E$36</f>
        <v>0</v>
      </c>
      <c r="JT133" s="364">
        <f>IF($DF133&lt;&gt;$JT$9,0,各项系数!$F$76/4*($NE133^2-$NC133^2)*10^-2*各项系数!$F$40*10^-3*10^2)*各项系数!$J$4</f>
        <v>0</v>
      </c>
      <c r="JU133" s="123">
        <v>1</v>
      </c>
      <c r="JV133" s="251">
        <f t="shared" si="542"/>
        <v>0</v>
      </c>
      <c r="JW133" s="339">
        <f>JV133*各项系数!$E$40</f>
        <v>0</v>
      </c>
      <c r="JX133" s="364">
        <f>IF($DF133&lt;&gt;$JX$9,0,各项系数!$F$76/4*($NE133^2-$NC133^2)*10^-2*各项系数!$F$38*10^-3*10^2)*各项系数!$J$4</f>
        <v>0</v>
      </c>
      <c r="JY133" s="123">
        <v>1</v>
      </c>
      <c r="JZ133" s="251">
        <f t="shared" si="543"/>
        <v>0</v>
      </c>
      <c r="KA133" s="339">
        <f>JZ133*各项系数!$E$38</f>
        <v>0</v>
      </c>
      <c r="KB133" s="364">
        <f>IF($DF133&lt;&gt;$KB$9,0,各项系数!$F$76/4*($NE133^2-$NC133^2)*10^-2*各项系数!$F$41*10^-3*10^2)*各项系数!$J$4</f>
        <v>0</v>
      </c>
      <c r="KC133" s="123">
        <v>1</v>
      </c>
      <c r="KD133" s="251">
        <f t="shared" si="544"/>
        <v>0</v>
      </c>
      <c r="KE133" s="339">
        <f>KD133*各项系数!$E$41</f>
        <v>0</v>
      </c>
      <c r="KF133" s="251">
        <f t="shared" si="545"/>
        <v>0.00206645841704709</v>
      </c>
      <c r="KG133" s="251">
        <f t="shared" si="546"/>
        <v>0.0413291683409418</v>
      </c>
      <c r="KH133" s="302">
        <f>各项系数!$F$76/4*($NG133^2-$NE133^2)*10^-2*各项系数!$F$44*10^-3*10^2*各项系数!$J$4*0.75*$U133</f>
        <v>0.206616305320956</v>
      </c>
      <c r="KI133" s="123">
        <v>1</v>
      </c>
      <c r="KJ133" s="251">
        <f t="shared" si="547"/>
        <v>0.206616305320956</v>
      </c>
      <c r="KK133" s="251">
        <f>ROUND(KJ133*各项系数!$E$43,GT133)</f>
        <v>1</v>
      </c>
      <c r="KL133" s="302">
        <f>各项系数!$F$76/4*($NF133^2-$NE133^2)*10^-2*各项系数!$F$46*10^-3*10^2*各项系数!$J$4*PI()/4*R133</f>
        <v>0.0259298637527973</v>
      </c>
      <c r="KM133" s="123">
        <v>1</v>
      </c>
      <c r="KN133" s="251">
        <f t="shared" si="548"/>
        <v>0.0259298637527973</v>
      </c>
      <c r="KO133" s="251">
        <f>KN133*各项系数!$E$46</f>
        <v>1.75026580331382</v>
      </c>
      <c r="KP133" s="302">
        <f>各项系数!$F$76/4*($NH133^2-$NE133^2)*10^-2*(VLOOKUP($KP$9,各项系数!$D$1:$F$143,3,0))*10^-3*10^2*各项系数!$J$4</f>
        <v>0.165482668596056</v>
      </c>
      <c r="KQ133" s="123">
        <v>1</v>
      </c>
      <c r="KR133" s="251">
        <f t="shared" si="416"/>
        <v>0.165482668596056</v>
      </c>
      <c r="KS133" s="251">
        <f>KR133*(VLOOKUP($KP$9,各项系数!$D$1:$F$143,2,0))</f>
        <v>2.81320536613295</v>
      </c>
      <c r="KT133" s="302">
        <f>各项系数!$F$76/4*($NI133^2-$NF133^2)*10^-2*(VLOOKUP($KT$9,各项系数!$D$1:$F$143,3,0))*10^-3*10^2*各项系数!$J$4</f>
        <v>0.166788038042734</v>
      </c>
      <c r="KU133" s="123">
        <v>1</v>
      </c>
      <c r="KV133" s="251">
        <f t="shared" si="417"/>
        <v>0.166788038042734</v>
      </c>
      <c r="KW133" s="251">
        <f>KV133*(VLOOKUP($KT$9,各项系数!$D$1:$F$143,2,0))</f>
        <v>2.83539664672648</v>
      </c>
      <c r="KX133" s="251">
        <f>各项系数!$F$76/4*($NH133^2-$NE133^2)*10^-2*(VLOOKUP($KX$9,各项系数!$D$1:$F$143,3,0))*10^-3*10^2*各项系数!$J$4</f>
        <v>0.165482668596056</v>
      </c>
      <c r="KY133" s="479">
        <v>1</v>
      </c>
      <c r="KZ133" s="251">
        <f t="shared" si="418"/>
        <v>0.165482668596056</v>
      </c>
      <c r="LA133" s="251">
        <f>KZ133*(VLOOKUP($KX$9,各项系数!$D$1:$F$143,2,0))</f>
        <v>2.81320536613295</v>
      </c>
      <c r="LB133" s="251">
        <f>各项系数!$F$76/4*($NI133^2-$NF133^2)*10^-2*(VLOOKUP($LB$9,各项系数!$D$1:$F$143,3,0))*10^-3*10^2*各项系数!$J$4</f>
        <v>0.166788038042734</v>
      </c>
      <c r="LC133" s="479">
        <v>1</v>
      </c>
      <c r="LD133" s="251">
        <f t="shared" si="419"/>
        <v>0.166788038042734</v>
      </c>
      <c r="LE133" s="251">
        <f>LD133*(VLOOKUP($LB$9,各项系数!$D$1:$F$143,2,0))</f>
        <v>2.83539664672648</v>
      </c>
      <c r="LF133" s="302">
        <f>各项系数!$F$76/4*($NH133^2-$NE133^2)*10^-2*(VLOOKUP(AN133,各项系数!$D$1:$F$143,3,0))*10^-3*10^2*各项系数!$J$4</f>
        <v>0.167765188162898</v>
      </c>
      <c r="LG133" s="123">
        <v>1</v>
      </c>
      <c r="LH133" s="251">
        <f t="shared" si="549"/>
        <v>0.167765188162898</v>
      </c>
      <c r="LI133" s="251">
        <f>LH133*(VLOOKUP(AN133,各项系数!$D$1:$F$143,2,0))</f>
        <v>1.67765188162898</v>
      </c>
      <c r="LJ133" s="302">
        <f>各项系数!$F$76/4*($NI133^2-$NF133^2)*10^-2*(VLOOKUP(AN133,各项系数!$D$1:$F$143,3,0))*10^-3*10^2*各项系数!$J$4</f>
        <v>0.169088562705393</v>
      </c>
      <c r="LK133" s="123">
        <v>1</v>
      </c>
      <c r="LL133" s="251">
        <f t="shared" si="550"/>
        <v>0.169088562705393</v>
      </c>
      <c r="LM133" s="251">
        <f>LL133*(VLOOKUP(AN133,各项系数!$D$1:$F$143,2,0))</f>
        <v>1.69088562705393</v>
      </c>
      <c r="LN133" s="251">
        <f>各项系数!$F$76/4*($NH133^2-$NE133^2)*10^-2*(VLOOKUP($LN$9,各项系数!$D$1:$F$143,3,0))*10^-3*10^2*各项系数!$J$4</f>
        <v>0.167765188162898</v>
      </c>
      <c r="LO133" s="479">
        <v>1</v>
      </c>
      <c r="LP133" s="251">
        <f t="shared" si="551"/>
        <v>0.167765188162898</v>
      </c>
      <c r="LQ133" s="251">
        <f>LP133*(VLOOKUP($LN$9,各项系数!$D$1:$F$143,2,0))</f>
        <v>1.84541706979188</v>
      </c>
      <c r="LR133" s="251">
        <f>各项系数!$F$76/4*($NI133^2-$NF133^2)*10^-2*(VLOOKUP($LR$9,各项系数!$D$1:$F$143,3,0))*10^-3*10^2*各项系数!$J$4</f>
        <v>0.169088562705393</v>
      </c>
      <c r="LS133" s="479">
        <v>1</v>
      </c>
      <c r="LT133" s="251">
        <f t="shared" si="552"/>
        <v>0.169088562705393</v>
      </c>
      <c r="LU133" s="251">
        <f>LT133*(VLOOKUP($LR$9,各项系数!$D$1:$F$143,2,0))</f>
        <v>1.85997418975932</v>
      </c>
      <c r="LV133" s="499">
        <f t="shared" si="420"/>
        <v>77.36627852</v>
      </c>
      <c r="LW133" s="499">
        <f t="shared" si="421"/>
        <v>60.17377218</v>
      </c>
      <c r="LX133" s="499">
        <f t="shared" si="422"/>
        <v>8.75303526186549</v>
      </c>
      <c r="LY133" s="515">
        <f t="shared" si="423"/>
        <v>17.19250634</v>
      </c>
      <c r="LZ133" s="516">
        <f t="shared" si="365"/>
        <v>1</v>
      </c>
      <c r="MA133" s="517">
        <f t="shared" si="366"/>
        <v>77.36627852</v>
      </c>
      <c r="MB133" s="517">
        <f t="shared" si="424"/>
        <v>4.96250454</v>
      </c>
      <c r="MC133" s="499">
        <f t="shared" si="425"/>
        <v>12.15453832</v>
      </c>
      <c r="MD133" s="499">
        <f t="shared" si="426"/>
        <v>9.45352981</v>
      </c>
      <c r="ME133" s="499">
        <f t="shared" si="427"/>
        <v>3.46938149983894</v>
      </c>
      <c r="MF133" s="499">
        <f t="shared" si="428"/>
        <v>2.70100851</v>
      </c>
      <c r="MG133" s="516">
        <f t="shared" si="429"/>
        <v>1</v>
      </c>
      <c r="MH133" s="517">
        <f t="shared" si="367"/>
        <v>12.15453832</v>
      </c>
      <c r="MI133" s="517">
        <f t="shared" si="430"/>
        <v>3.93390884960784</v>
      </c>
      <c r="MJ133" s="251">
        <f t="shared" si="368"/>
        <v>4.96250454</v>
      </c>
      <c r="MK133" s="251">
        <f t="shared" si="431"/>
        <v>4.96250454</v>
      </c>
      <c r="ML133" s="251">
        <f t="shared" si="553"/>
        <v>3.93390884995299</v>
      </c>
      <c r="MM133" s="251">
        <f t="shared" si="369"/>
        <v>3.93390884960784</v>
      </c>
      <c r="MN133" s="251">
        <f t="shared" si="370"/>
        <v>6.36250454</v>
      </c>
      <c r="MO133" s="251">
        <f t="shared" si="432"/>
        <v>5.33390884960784</v>
      </c>
      <c r="MP133" s="251">
        <f t="shared" si="433"/>
        <v>16.62332059</v>
      </c>
      <c r="MQ133" s="251">
        <f t="shared" si="554"/>
        <v>16.62332059</v>
      </c>
      <c r="MR133" s="314">
        <f t="shared" si="434"/>
        <v>16.62332059</v>
      </c>
      <c r="MS133" s="530">
        <f t="shared" si="371"/>
        <v>16.79932059</v>
      </c>
      <c r="MT133" s="530">
        <f t="shared" si="372"/>
        <v>16.95932059</v>
      </c>
      <c r="MU133" s="530">
        <f t="shared" si="373"/>
        <v>17.39932059</v>
      </c>
      <c r="MV133" s="530">
        <f t="shared" si="374"/>
        <v>20.39932059</v>
      </c>
      <c r="MW133" s="530">
        <f t="shared" si="375"/>
        <v>20.55932059</v>
      </c>
      <c r="MX133" s="326">
        <f t="shared" si="376"/>
        <v>5.56250454</v>
      </c>
      <c r="MY133" s="326">
        <f t="shared" si="377"/>
        <v>4.53390884960784</v>
      </c>
      <c r="MZ133" s="251">
        <f t="shared" si="378"/>
        <v>6.96250454</v>
      </c>
      <c r="NA133" s="251">
        <f t="shared" si="379"/>
        <v>5.93390884960784</v>
      </c>
      <c r="NB133" s="251">
        <f t="shared" si="435"/>
        <v>18.24332059</v>
      </c>
      <c r="NC133" s="326">
        <f t="shared" si="555"/>
        <v>18.24332059</v>
      </c>
      <c r="ND133" s="314">
        <f t="shared" si="436"/>
        <v>18.24332059</v>
      </c>
      <c r="NE133" s="537">
        <f t="shared" si="437"/>
        <v>18.48332059</v>
      </c>
      <c r="NF133" s="530">
        <f t="shared" si="380"/>
        <v>18.64332059</v>
      </c>
      <c r="NG133" s="538">
        <f t="shared" si="381"/>
        <v>19.08332059</v>
      </c>
      <c r="NH133" s="326">
        <f t="shared" si="382"/>
        <v>22.08332059</v>
      </c>
      <c r="NI133" s="530">
        <f t="shared" si="383"/>
        <v>22.24332059</v>
      </c>
      <c r="NK133" s="539">
        <f t="shared" si="384"/>
        <v>0.938487008459303</v>
      </c>
      <c r="NL133" s="539">
        <f t="shared" si="385"/>
        <v>43.4071671350019</v>
      </c>
      <c r="NM133" s="539">
        <f t="shared" si="386"/>
        <v>0.938487008459303</v>
      </c>
      <c r="NN133" s="539">
        <f t="shared" si="387"/>
        <v>43.5610038061051</v>
      </c>
      <c r="NO133" s="539">
        <f t="shared" si="388"/>
        <v>1.31458556629504</v>
      </c>
      <c r="NP133" s="539">
        <f t="shared" si="389"/>
        <v>44.7966561660611</v>
      </c>
      <c r="NQ133" s="539">
        <f t="shared" si="390"/>
        <v>1.31458556629504</v>
      </c>
      <c r="NR133" s="539">
        <f t="shared" si="391"/>
        <v>44.9644213542241</v>
      </c>
      <c r="NS133" s="539">
        <f t="shared" si="392"/>
        <v>0.962064604989864</v>
      </c>
      <c r="NT133" s="539">
        <f t="shared" si="393"/>
        <v>0.962064604989864</v>
      </c>
      <c r="NU133" s="539">
        <f t="shared" si="394"/>
        <v>1.34051543004784</v>
      </c>
      <c r="NV133" s="539">
        <f t="shared" si="395"/>
        <v>1.34051543004784</v>
      </c>
      <c r="NW133">
        <f t="shared" si="396"/>
        <v>1.0638818918924</v>
      </c>
      <c r="NX133">
        <f>各项系数!$M$9*NK133</f>
        <v>0.281546102537791</v>
      </c>
      <c r="NY133">
        <f t="shared" si="397"/>
        <v>0.962064604989864</v>
      </c>
    </row>
    <row r="134" customHeight="1" spans="1:389">
      <c r="A134" s="85"/>
      <c r="B134" s="86"/>
      <c r="C134" s="87"/>
      <c r="D134" s="69" t="s">
        <v>387</v>
      </c>
      <c r="E134" s="77">
        <f t="shared" si="560"/>
        <v>24.58119559</v>
      </c>
      <c r="F134" s="84">
        <f>$F$22</f>
        <v>208.046961644752</v>
      </c>
      <c r="G134" s="74"/>
      <c r="H134" s="23"/>
      <c r="I134" s="174">
        <f>$F$21</f>
        <v>165.416818206689</v>
      </c>
      <c r="J134" s="78"/>
      <c r="K134" s="23"/>
      <c r="L134" s="118" t="s">
        <v>467</v>
      </c>
      <c r="M134" s="124">
        <f t="shared" si="339"/>
        <v>0.9</v>
      </c>
      <c r="N134" s="124">
        <f t="shared" si="501"/>
        <v>0.7</v>
      </c>
      <c r="O134" s="69">
        <f t="shared" si="572"/>
        <v>0.08</v>
      </c>
      <c r="P134" s="120">
        <v>0.1</v>
      </c>
      <c r="Q134" s="162">
        <f t="shared" ref="Q134:Q143" si="578">$Q$12</f>
        <v>0.1</v>
      </c>
      <c r="R134" s="86">
        <v>0.8</v>
      </c>
      <c r="S134" s="171" t="str">
        <f>各项系数!$D$43</f>
        <v>钢带</v>
      </c>
      <c r="T134" s="123">
        <v>0.2</v>
      </c>
      <c r="U134" s="123">
        <v>2</v>
      </c>
      <c r="V134" s="169"/>
      <c r="W134" s="170">
        <v>1.8</v>
      </c>
      <c r="X134" s="164">
        <f t="shared" ref="X134:X143" si="579">$X$12</f>
        <v>0.2</v>
      </c>
      <c r="Y134" s="219"/>
      <c r="Z134" s="220"/>
      <c r="AA134" s="217">
        <f>$AA$22</f>
        <v>1.011</v>
      </c>
      <c r="AB134" s="186">
        <f>PI()*EJ134*EJ134/4*EH134*(1-H134)*AA134*各项系数!$F$5*各项系数!$J$4*10^-7</f>
        <v>0.212807374667777</v>
      </c>
      <c r="AC134" s="186">
        <f t="shared" si="573"/>
        <v>208.046961644752</v>
      </c>
      <c r="AD134" s="186">
        <f t="shared" si="341"/>
        <v>24.0581280607511</v>
      </c>
      <c r="AE134" s="186">
        <f>POWER(4*EU134/PI()/EG134/10^-7/EH134/(1-H134)/各项系数!$F$5/各项系数!$J$4,0.5)</f>
        <v>209.188090412333</v>
      </c>
      <c r="AF134" s="218">
        <f>$AA$21</f>
        <v>1.011</v>
      </c>
      <c r="AG134" s="85">
        <f>IF(EM134=0,0,PI()*ER134*ER134/4*EP134*(1-K134)*(1+AF134)*各项系数!$F$5*各项系数!$J$4*10^-7)</f>
        <v>0.267598798728909</v>
      </c>
      <c r="AH134" s="85">
        <f t="shared" si="574"/>
        <v>165.416818206689</v>
      </c>
      <c r="AI134" s="85">
        <f t="shared" si="398"/>
        <v>15.2089209566661</v>
      </c>
      <c r="AJ134" s="85">
        <f>IF(OR(EP134="",EP134=0),0,POWER(4*EW134/PI()/EO134/10^-7/EP134/(1-K134)/各项系数!$F$5/各项系数!$J$4,0.5))</f>
        <v>166.32412244418</v>
      </c>
      <c r="AK134" s="85">
        <f t="shared" si="342"/>
        <v>0.985760769439347</v>
      </c>
      <c r="AL134" s="85">
        <f t="shared" si="575"/>
        <v>70.1338976226064</v>
      </c>
      <c r="AM134" s="250">
        <f t="shared" si="576"/>
        <v>25</v>
      </c>
      <c r="AN134" s="118" t="s">
        <v>486</v>
      </c>
      <c r="AO134" s="259">
        <f>AP134+各项系数!$M$9*$NK134</f>
        <v>68.758723159418</v>
      </c>
      <c r="AP134" s="259">
        <f>AQ134*(1+$BI134+(VLOOKUP($AM134,$A$12:$B$323,2,0))+各项系数!$J$6+各项系数!$M$5)*(1+$E$2)</f>
        <v>68.3324441078923</v>
      </c>
      <c r="AQ134" s="260">
        <f>AR134+各项系数!$L$9*$NK134</f>
        <v>69.7269837835635</v>
      </c>
      <c r="AR134" s="260">
        <f>AS134*(1+$BJ134+各项系数!$J$5+各项系数!$L$5)</f>
        <v>69.3007047320378</v>
      </c>
      <c r="AS134" s="260">
        <f t="shared" si="399"/>
        <v>67.9418673843508</v>
      </c>
      <c r="AT134" s="259">
        <f>AU134+各项系数!$M$9*$NM134</f>
        <v>70.0336090052655</v>
      </c>
      <c r="AU134" s="259">
        <f>AV134*(1+$BI134+(VLOOKUP($AM134,$A$12:$B$323,2,0))+各项系数!$J$6+各项系数!$M$5)*(1+$E$2)</f>
        <v>69.6073299537398</v>
      </c>
      <c r="AV134" s="260">
        <f>AW134+各项系数!$L$9*$NM134</f>
        <v>71.0278877078977</v>
      </c>
      <c r="AW134" s="260">
        <f>AX134*(1+$BJ134+各项系数!$J$5+各项系数!$L$5)</f>
        <v>70.601608656372</v>
      </c>
      <c r="AX134" s="260">
        <f t="shared" si="400"/>
        <v>69.2172633886</v>
      </c>
      <c r="AY134" s="259">
        <f>AZ134+各项系数!$M$9*$NS134</f>
        <v>70.7744132311488</v>
      </c>
      <c r="AZ134" s="259">
        <f>BA134*(1+$BI134+(VLOOKUP($AM134,$A$12:$B$214,2,0))+各项系数!$J$6+各项系数!$M$5)*(1+$E$2)</f>
        <v>70.3393084860279</v>
      </c>
      <c r="BA134" s="260">
        <f>BB134+各项系数!$L$9*$NS134</f>
        <v>71.7748045775795</v>
      </c>
      <c r="BB134" s="260">
        <f>BC134*(1+$BJ134+各项系数!$J$5+各项系数!$L$5)</f>
        <v>71.3396998324586</v>
      </c>
      <c r="BC134" s="262">
        <f t="shared" si="401"/>
        <v>69.9408821886849</v>
      </c>
      <c r="BD134" s="259">
        <f>BE134+各项系数!$M$9*$NS134</f>
        <v>72.0582530291508</v>
      </c>
      <c r="BE134" s="259">
        <f>BF134*(1+$BI134+(VLOOKUP($AM134,$A$12:$B$214,2,0))+各项系数!$J$6+各项系数!$M$5)*(1+$E$2)</f>
        <v>71.6231482840299</v>
      </c>
      <c r="BF134" s="260">
        <f>BG134+各项系数!$L$9*$NS134</f>
        <v>73.0848451877856</v>
      </c>
      <c r="BG134" s="260">
        <f>BH134*(1+$BJ134+各项系数!$J$5+各项系数!$L$5)</f>
        <v>72.6497404426648</v>
      </c>
      <c r="BH134" s="262">
        <f t="shared" si="402"/>
        <v>71.2252357281027</v>
      </c>
      <c r="BI134" s="275">
        <v>0</v>
      </c>
      <c r="BJ134" s="272"/>
      <c r="BK134" s="69" t="s">
        <v>514</v>
      </c>
      <c r="BL134" s="259">
        <f>BM134+各项系数!$M$9*$NM134</f>
        <v>69.6147499972955</v>
      </c>
      <c r="BM134" s="259">
        <f>BN134*(1+$CF134+(VLOOKUP($AM134,$A$12:$B$323,2,0))+各项系数!$J$6+各项系数!$M$5)*(1+$E$2)</f>
        <v>69.1884709457698</v>
      </c>
      <c r="BN134" s="260">
        <f>BO134+各项系数!$L$9*$NM134</f>
        <v>70.6004805569079</v>
      </c>
      <c r="BO134" s="260">
        <f>BP134*(1+$CG134+各项系数!$J$5+各项系数!$L$5)</f>
        <v>70.1742015053822</v>
      </c>
      <c r="BP134" s="260">
        <f t="shared" si="403"/>
        <v>68.130292723672</v>
      </c>
      <c r="BQ134" s="259">
        <f>BR134+各项系数!$M$9*$NM134</f>
        <v>70.7119381864738</v>
      </c>
      <c r="BR134" s="259">
        <f>BS134*(1+$CF134+(VLOOKUP($AM134,$A$12:$B$323,2,0))+各项系数!$J$6+各项系数!$M$5)*(1+$E$2)</f>
        <v>70.285659134948</v>
      </c>
      <c r="BS134" s="260">
        <f>BT134+各项系数!$L$9*$NM134</f>
        <v>71.7200603417837</v>
      </c>
      <c r="BT134" s="260">
        <f>BU134*(1+$CG134+各项系数!$J$5+各项系数!$L$5)</f>
        <v>71.293781290258</v>
      </c>
      <c r="BU134" s="260">
        <f t="shared" si="404"/>
        <v>69.2172633886</v>
      </c>
      <c r="BV134" s="259">
        <f>BW134+各项系数!$M$9*$NT134</f>
        <v>71.2330617132454</v>
      </c>
      <c r="BW134" s="259">
        <f>BX134*(1+$CF134+(VLOOKUP($AM134,$A$12:$B$214,2,0))+各项系数!$J$6+各项系数!$M$5)*(1+$E$2)</f>
        <v>70.7979569681245</v>
      </c>
      <c r="BX134" s="260">
        <f>BY134+各项系数!$L$9*$NT$12</f>
        <v>72.2428132327801</v>
      </c>
      <c r="BY134" s="260">
        <f>BZ134*(1+$CG134+各项系数!$J$5+各项系数!$L$5)</f>
        <v>72.2345498296251</v>
      </c>
      <c r="BZ134" s="262">
        <f t="shared" si="343"/>
        <v>70.1306309025487</v>
      </c>
      <c r="CA134" s="259">
        <f>CB134+各项系数!$M$9*$NT134</f>
        <v>72.3379558241596</v>
      </c>
      <c r="CB134" s="259">
        <f>CC134*(1+$CF134+(VLOOKUP($AM134,$A$12:$B$214,2,0))+各项系数!$J$6+各项系数!$M$5)*(1+$E$2)</f>
        <v>71.9028510790387</v>
      </c>
      <c r="CC134" s="260">
        <f>CD134+各项系数!$L$9*$NT$12</f>
        <v>73.3702562031007</v>
      </c>
      <c r="CD134" s="260">
        <f>CE134*(1+$CG134+各项系数!$J$5+各项系数!$L$5)</f>
        <v>73.3619927999458</v>
      </c>
      <c r="CE134" s="262">
        <f t="shared" si="405"/>
        <v>71.2252357281027</v>
      </c>
      <c r="CF134" s="275">
        <f>(BI134+$CF$2)-BI134/1.3</f>
        <v>0</v>
      </c>
      <c r="CG134" s="277">
        <f t="shared" si="344"/>
        <v>0.01</v>
      </c>
      <c r="CH134" s="123"/>
      <c r="CI134" s="259">
        <f>CJ134+各项系数!$M$9*$NO134</f>
        <v>71.3150959136468</v>
      </c>
      <c r="CJ134" s="259">
        <f>CK134*(1+$DC134+(VLOOKUP($AM134,$A$12:$B$323,2,0))+各项系数!$J$6+各项系数!$M$5)*(1+$E$2)+各项系数!$M$9*$NK134</f>
        <v>70.718712163813</v>
      </c>
      <c r="CK134" s="260">
        <f>CL134+各项系数!$L$9*$NO134</f>
        <v>71.7269725635585</v>
      </c>
      <c r="CL134" s="260">
        <f>CM134*(1+$DD134+各项系数!$J$5+各项系数!$L$5)</f>
        <v>71.1305888137247</v>
      </c>
      <c r="CM134" s="260">
        <f t="shared" si="345"/>
        <v>69.7358713860046</v>
      </c>
      <c r="CN134" s="259">
        <f>CO134+各项系数!$M$9*$NO134</f>
        <v>72.4328938928638</v>
      </c>
      <c r="CO134" s="259">
        <f>CP134*(1+$DC134+(VLOOKUP($AM134,$A$12:$B$323,2,0))+各项系数!$J$6+各项系数!$M$5)*(1+$E$2)+各项系数!$M$9*$NK134</f>
        <v>71.83651014303</v>
      </c>
      <c r="CP134" s="260">
        <f>CQ134+各项系数!$L$9*$NO134</f>
        <v>72.8675827464329</v>
      </c>
      <c r="CQ134" s="260">
        <f>CR134*(1+$DD134+各项系数!$J$5+各项系数!$L$5)</f>
        <v>72.2711989965992</v>
      </c>
      <c r="CR134" s="260">
        <f t="shared" si="346"/>
        <v>70.8541166633325</v>
      </c>
      <c r="CS134" s="259">
        <f>CT134+各项系数!$M$9*$NU134</f>
        <v>73.0851556088698</v>
      </c>
      <c r="CT134" s="259">
        <f t="shared" si="347"/>
        <v>72.4791499704785</v>
      </c>
      <c r="CU134" s="260">
        <f>CV134+各项系数!$L$9*$NU134</f>
        <v>73.9583162964066</v>
      </c>
      <c r="CV134" s="260">
        <f>CW134*(1+$DD134+各项系数!$J$5+各项系数!$L$5)</f>
        <v>73.3523106580153</v>
      </c>
      <c r="CW134" s="262">
        <f t="shared" si="348"/>
        <v>71.9140300568778</v>
      </c>
      <c r="CX134" s="259">
        <f>CY134+各项系数!$M$9*$NU134</f>
        <v>74.4753235887067</v>
      </c>
      <c r="CY134" s="259">
        <f t="shared" si="349"/>
        <v>73.8693179503154</v>
      </c>
      <c r="CZ134" s="260">
        <f>DA134+各项系数!$L$9*$NU134</f>
        <v>75.3768550513422</v>
      </c>
      <c r="DA134" s="260">
        <f>DB134*(1+$DD134+各项系数!$J$5+各项系数!$L$5)</f>
        <v>74.770849412951</v>
      </c>
      <c r="DB134" s="262">
        <f t="shared" si="350"/>
        <v>73.3047543264225</v>
      </c>
      <c r="DC134" s="275">
        <f>(BI134+$DC$2)-BI134/1.3</f>
        <v>0</v>
      </c>
      <c r="DD134" s="277">
        <f t="shared" si="351"/>
        <v>0</v>
      </c>
      <c r="DE134" s="69" t="s">
        <v>498</v>
      </c>
      <c r="DF134" s="69" t="s">
        <v>513</v>
      </c>
      <c r="DG134" s="259">
        <f>DH134+各项系数!$M$9*$NQ134</f>
        <v>72.2045667851159</v>
      </c>
      <c r="DH134" s="259">
        <f>DI134*(1+$EA134+(VLOOKUP($AM134,$A$12:$B$323,2,0))+各项系数!$J$6+各项系数!$M$5)*(1+$E$2)+各项系数!$M$9*$NK134</f>
        <v>71.6081830352821</v>
      </c>
      <c r="DI134" s="260">
        <f>DJ134+各项系数!$L$9*$NQ134</f>
        <v>72.6345959017923</v>
      </c>
      <c r="DJ134" s="260">
        <f>DK134*(1+$EB134+各项系数!$J$5+各项系数!$L$5)</f>
        <v>72.0382121519585</v>
      </c>
      <c r="DK134" s="260">
        <f t="shared" si="352"/>
        <v>69.940011798018</v>
      </c>
      <c r="DL134" s="259">
        <f>DM134+各项系数!$M$9*$NQ134</f>
        <v>73.3932627949089</v>
      </c>
      <c r="DM134" s="259">
        <f>DN134*(1+$EA134+(VLOOKUP($AM134,$A$12:$B$323,2,0))+各项系数!$J$6+各项系数!$M$5)*(1+$E$2)+各项系数!$M$9*$NK134</f>
        <v>72.7968790450751</v>
      </c>
      <c r="DN134" s="260">
        <f>DO134+各项系数!$L$9*$NQ134</f>
        <v>73.8475510138259</v>
      </c>
      <c r="DO134" s="260">
        <f>DP134*(1+$EB134+各项系数!$J$5+各项系数!$L$5)</f>
        <v>73.2511672639922</v>
      </c>
      <c r="DP134" s="260">
        <f t="shared" si="353"/>
        <v>71.1176381203808</v>
      </c>
      <c r="DQ134" s="259">
        <f>DR134+各项系数!$M$9*$NV134</f>
        <v>73.9973082495767</v>
      </c>
      <c r="DR134" s="259">
        <f t="shared" si="354"/>
        <v>73.3913026111854</v>
      </c>
      <c r="DS134" s="260">
        <f>DT134+各项系数!$L$9*$NV134</f>
        <v>74.8890842971279</v>
      </c>
      <c r="DT134" s="260">
        <f>DU134*(1+$EB134+各项系数!$J$5+各项系数!$L$5)</f>
        <v>74.2830786587366</v>
      </c>
      <c r="DU134" s="262">
        <f t="shared" si="355"/>
        <v>72.1194938434336</v>
      </c>
      <c r="DV134" s="259">
        <f>DW134+各项系数!$M$9*$NV134</f>
        <v>73.9604303484272</v>
      </c>
      <c r="DW134" s="259">
        <f t="shared" si="356"/>
        <v>73.3544247100359</v>
      </c>
      <c r="DX134" s="260">
        <f>DY134+各项系数!$L$9*$NV134</f>
        <v>74.8514537857509</v>
      </c>
      <c r="DY134" s="260">
        <f>DZ134*(1+$EB134+各项系数!$J$5+各项系数!$L$5)</f>
        <v>74.2454481473596</v>
      </c>
      <c r="DZ134" s="262">
        <f t="shared" si="357"/>
        <v>72.0829593663686</v>
      </c>
      <c r="EA134" s="275">
        <f>(BI134+$EA$2)-BI134/1.3</f>
        <v>0</v>
      </c>
      <c r="EB134" s="277">
        <f t="shared" si="358"/>
        <v>0.01</v>
      </c>
      <c r="EC134" s="302" t="str">
        <f t="shared" si="408"/>
        <v>4+1</v>
      </c>
      <c r="ED134" s="302" t="str">
        <f t="shared" si="565"/>
        <v>4*25</v>
      </c>
      <c r="EE134" s="251">
        <f t="shared" si="495"/>
        <v>25</v>
      </c>
      <c r="EF134" s="251" t="str">
        <f>LOOKUP(EH134,{1,7,10,14,19,24,30,37,48,61},{1,"1+6","2+8","4+10","1+6+12","2+8+14","4+10+16","1+6+12+18","3+9+15+21","1+6+12+18+24"})</f>
        <v>1+6</v>
      </c>
      <c r="EG134" s="250">
        <f t="shared" si="359"/>
        <v>4</v>
      </c>
      <c r="EH134" s="260">
        <f>VLOOKUP(EE134,各项系数!$B$87:$C$124,2,0)</f>
        <v>7</v>
      </c>
      <c r="EI134" s="250">
        <f>IF(EH134=0,0,VLOOKUP(EH134,各项系数!$D$142:$E$195,2,0))*1</f>
        <v>3</v>
      </c>
      <c r="EJ134" s="305">
        <f t="shared" si="409"/>
        <v>208.046961644752</v>
      </c>
      <c r="EK134" s="251" t="str">
        <f t="shared" si="566"/>
        <v>1*16</v>
      </c>
      <c r="EL134" s="251" t="str">
        <f t="shared" si="360"/>
        <v>16</v>
      </c>
      <c r="EM134" s="251">
        <f t="shared" si="567"/>
        <v>16</v>
      </c>
      <c r="EN134" s="251" t="str">
        <f>IF(EP134=0,0,LOOKUP(EP134,{1,7,10,14,19,24,30,37,48,61},{1,"1+6","2+8","4+10","1+6+12","2+8+14","4+10+16","1+6+12+18","3+9+15+21","1+6+12+18+24"}))</f>
        <v>1+6</v>
      </c>
      <c r="EO134" s="251" t="str">
        <f t="shared" si="568"/>
        <v>1</v>
      </c>
      <c r="EP134" s="251">
        <f>IF(EM134=0,0,IF(EM134&lt;10,1,IF(AND(EM134&gt;=10,EM134&lt;=35),7,LOOKUP(EM134,{50,70,95,120,150,185,240,300},{10,14,19,24,30,37,48,61})*1)))</f>
        <v>7</v>
      </c>
      <c r="EQ134" s="251">
        <f>IF(EP134=0,0,VLOOKUP(EP134,各项系数!$D$142:$E$195,2,0))*1</f>
        <v>3</v>
      </c>
      <c r="ER134" s="251">
        <f t="shared" si="577"/>
        <v>165.416818206689</v>
      </c>
      <c r="ES134" s="302">
        <f t="shared" si="570"/>
        <v>5</v>
      </c>
      <c r="ET134" s="251">
        <f>VLOOKUP(ES134,各项系数!$D$142:$E$195,2,0)*1</f>
        <v>2.7</v>
      </c>
      <c r="EU134" s="311">
        <f>((各项系数!$F$76/4*$EJ134^2*$EG134*$EH134*1*10^-7)*(1-$H134)*AA134)*(VLOOKUP($EY$9,各项系数!$D$4:$F$143,3,0))*各项系数!$J$4</f>
        <v>0.851229498671109</v>
      </c>
      <c r="EV134" s="312">
        <f>EU134*(VLOOKUP($EY$9,各项系数!$D$4:$F$143,2,0))</f>
        <v>55.7555321629576</v>
      </c>
      <c r="EW134" s="324">
        <f>(IF($EO134=0,0,(各项系数!$F$76/4*$ER134^2*$EO134*$EP134*1*10^-7))*(1-$K134)*$AF134)*(VLOOKUP($EY$9,各项系数!$D$4:$F$143,3,0))*各项系数!$J$4</f>
        <v>0.134531270768238</v>
      </c>
      <c r="EX134" s="325">
        <f>EW134*(VLOOKUP($EY$9,各项系数!$D$4:$F$143,2,0))</f>
        <v>8.81179823531959</v>
      </c>
      <c r="EY134" s="251">
        <f>((各项系数!$F$76/4*$EJ134^2*$EG134*$EH134*1*10^-7)*(1-$H134)*AA134+IF($EO134=0,0,(各项系数!$F$76/4*$ER134^2*$EO134*$EP134*1*10^-7))*(1-$K134)*$AF134)*(VLOOKUP($EY$9,各项系数!$D$4:$F$143,3,0))*各项系数!$J$4</f>
        <v>0.985760769439347</v>
      </c>
      <c r="EZ134" s="123">
        <v>1</v>
      </c>
      <c r="FA134" s="251">
        <f t="shared" si="515"/>
        <v>0.985760769439347</v>
      </c>
      <c r="FB134" s="326">
        <f>FA134*(VLOOKUP($EY$9,各项系数!$D$4:$F$143,2,0))</f>
        <v>64.5673303982772</v>
      </c>
      <c r="FC134" s="327"/>
      <c r="FD134" s="302">
        <f>各项系数!$F$76/4*($MN134^2-MK134^2)*10^-2*(VLOOKUP(L134,各项系数!$D$1:$F$143,3,0))*10^-3*10^2*$EG134*各项系数!$J$4</f>
        <v>0.0883999536662989</v>
      </c>
      <c r="FE134" s="339">
        <f>FD134*VLOOKUP(L134,各项系数!$D$1:$F$143,2,0)</f>
        <v>0.901679527396249</v>
      </c>
      <c r="FF134" s="250">
        <f>各项系数!$F$76/4*($MO134^2-ML134^2)*10^-2*(VLOOKUP(L134,各项系数!$D$1:$F$143,3,0))*10^-3*10^2*$EO134*各项系数!$J$4</f>
        <v>0.0136292589308284</v>
      </c>
      <c r="FG134" s="339">
        <f>FF134*VLOOKUP(L134,各项系数!$D$1:$F$143,2,0)</f>
        <v>0.13901844109445</v>
      </c>
      <c r="FH134" s="302">
        <f t="shared" si="410"/>
        <v>0.102029212597127</v>
      </c>
      <c r="FI134" s="123">
        <v>1</v>
      </c>
      <c r="FJ134" s="251">
        <f t="shared" si="516"/>
        <v>0.102029212597127</v>
      </c>
      <c r="FK134" s="339">
        <f>FJ134*VLOOKUP(L134,各项系数!$D$1:$F$143,2,0)</f>
        <v>1.0406979684907</v>
      </c>
      <c r="FL134" s="302"/>
      <c r="FM134" s="123"/>
      <c r="FN134" s="251"/>
      <c r="FO134" s="339"/>
      <c r="FP134" s="364">
        <f t="shared" si="517"/>
        <v>0.102029212597127</v>
      </c>
      <c r="FQ134" s="364">
        <f t="shared" si="518"/>
        <v>1.0406979684907</v>
      </c>
      <c r="FR134" s="365">
        <f>各项系数!$F$76/4*($MQ134^2-$MN134^2*$EG134-$MO134^2*$EO134)*10^-2</f>
        <v>1.05021615274488</v>
      </c>
      <c r="FS134" s="366">
        <f t="shared" si="411"/>
        <v>1</v>
      </c>
      <c r="FT134" s="367">
        <f t="shared" si="361"/>
        <v>1.05021615274488</v>
      </c>
      <c r="FU134" s="388">
        <f>$FT134*(VLOOKUP($FT$9,各项系数!$D$1:$F$143,3,0))*10^-3*10^2*各项系数!$J$55</f>
        <v>0.125395808637739</v>
      </c>
      <c r="FV134" s="389">
        <v>1</v>
      </c>
      <c r="FW134" s="390">
        <f t="shared" si="519"/>
        <v>0.125395808637739</v>
      </c>
      <c r="FX134" s="367">
        <f>FW134*(VLOOKUP($FT$9,各项系数!$D$1:$F$143,2,0))</f>
        <v>0.376187425913216</v>
      </c>
      <c r="FY134" s="388">
        <f>IF($BK134&lt;&gt;$FY$9,0,各项系数!$F$76/4*($MS134^2-$MQ134^2)*10^-2*(VLOOKUP($FY$9,各项系数!$D$1:$F$143,3,0))*10^-3*10^2)*各项系数!$J$4</f>
        <v>0</v>
      </c>
      <c r="FZ134" s="389">
        <v>1</v>
      </c>
      <c r="GA134" s="390">
        <f t="shared" si="520"/>
        <v>0</v>
      </c>
      <c r="GB134" s="367">
        <f>GA134*(VLOOKUP($FY$9,各项系数!$D$1:$F$143,2,0))</f>
        <v>0</v>
      </c>
      <c r="GC134" s="388">
        <f>IF($BK134&lt;&gt;$GC$9,0,各项系数!$F$76/4*($MS134^2-$MQ134^2)*10^-2*(VLOOKUP($GC$9,各项系数!$D$1:$F$143,3,0))*10^-3*10^2)*各项系数!$J$4</f>
        <v>0.00568978282614841</v>
      </c>
      <c r="GD134" s="389">
        <v>1</v>
      </c>
      <c r="GE134" s="390">
        <f t="shared" si="521"/>
        <v>0.00568978282614841</v>
      </c>
      <c r="GF134" s="367">
        <f>GE134*(VLOOKUP($GC$9,各项系数!$D$1:$F$143,2,0))</f>
        <v>0.0733981984573145</v>
      </c>
      <c r="GG134" s="388">
        <f>IF($BK134&lt;&gt;$GG$9,0,各项系数!$F$76/4*($MS134^2-$MQ134^2)*10^-2*(VLOOKUP($GG$9,各项系数!$D$1:$F$143,3,0))*10^-3*10^2)*各项系数!$J$4</f>
        <v>0</v>
      </c>
      <c r="GH134" s="389">
        <v>1</v>
      </c>
      <c r="GI134" s="390">
        <f t="shared" si="522"/>
        <v>0</v>
      </c>
      <c r="GJ134" s="367">
        <f>GI134*(VLOOKUP($GG$9,各项系数!$D$1:$F$143,2,0))</f>
        <v>0</v>
      </c>
      <c r="GK134" s="388">
        <f>IF($BK134&lt;&gt;$GK$9,0,各项系数!$F$76/4*($MS134^2-$MQ134^2)*10^-2*(VLOOKUP($GK$9,各项系数!$D$1:$F$143,3,0))*10^-3*10^2)*各项系数!$J$4</f>
        <v>0</v>
      </c>
      <c r="GL134" s="389">
        <v>1</v>
      </c>
      <c r="GM134" s="390">
        <f t="shared" si="523"/>
        <v>0</v>
      </c>
      <c r="GN134" s="367">
        <f>GM134*(VLOOKUP($GK$9,各项系数!$D$1:$F$143,2,0))</f>
        <v>0</v>
      </c>
      <c r="GO134" s="390">
        <f t="shared" si="524"/>
        <v>0.00568978282614841</v>
      </c>
      <c r="GP134" s="390">
        <f t="shared" si="525"/>
        <v>0.0733981984573145</v>
      </c>
      <c r="GQ134" s="406">
        <f>各项系数!$F$76/4*($MU134^2-$MS134^2)*10^-2*(VLOOKUP($S134,各项系数!$D$1:$F$143,3,0))*10^-3*10^2*各项系数!$J$4</f>
        <v>0.156061933939389</v>
      </c>
      <c r="GR134" s="389">
        <v>1</v>
      </c>
      <c r="GS134" s="390">
        <f t="shared" si="526"/>
        <v>0.156061933939389</v>
      </c>
      <c r="GT134" s="390">
        <f t="shared" si="457"/>
        <v>0</v>
      </c>
      <c r="GU134" s="390">
        <f>ROUND($GS134*(VLOOKUP($S134,各项系数!$D$1:$F$143,2,0))+$E$3*GS134,GT134)</f>
        <v>1</v>
      </c>
      <c r="GV134" s="406">
        <f>各项系数!$F$76/4*($MT134^2-$MS134^2)*10^-2*(VLOOKUP($GV$9,各项系数!$D$1:$F$143,3,0))*10^-3*10^2*各项系数!$J$4*PI()/4*R134</f>
        <v>0.0294189786505065</v>
      </c>
      <c r="GW134" s="389">
        <v>1</v>
      </c>
      <c r="GX134" s="390">
        <f t="shared" si="527"/>
        <v>0.0294189786505065</v>
      </c>
      <c r="GY134" s="390">
        <f>$GX134*(VLOOKUP($GV$9,各项系数!$D$1:$F$143,2,0))</f>
        <v>1.98578105890919</v>
      </c>
      <c r="GZ134" s="406">
        <f>各项系数!$F$76/4*($MV134^2-$MS134^2)*10^-2*(VLOOKUP($GZ$9,各项系数!$D$1:$F$143,3,0))*10^-3*10^2*各项系数!$J$4</f>
        <v>0.185861729262442</v>
      </c>
      <c r="HA134" s="389">
        <v>1</v>
      </c>
      <c r="HB134" s="390">
        <f t="shared" si="412"/>
        <v>0.185861729262442</v>
      </c>
      <c r="HC134" s="390">
        <f>HB134*(VLOOKUP($GZ$9,各项系数!$D$1:$F$143,2,0))</f>
        <v>3.15964939746151</v>
      </c>
      <c r="HD134" s="406">
        <f>各项系数!$F$76/4*($MW134^2-$MT134^2)*10^-2*(VLOOKUP($HD$9,各项系数!$D$1:$F$143,3,0))*10^-3*10^2*各项系数!$J$4</f>
        <v>0.18716709870912</v>
      </c>
      <c r="HE134" s="389">
        <v>1</v>
      </c>
      <c r="HF134" s="390">
        <f t="shared" si="413"/>
        <v>0.18716709870912</v>
      </c>
      <c r="HG134" s="390">
        <f>HF134*(VLOOKUP($HD$9,各项系数!$D$1:$F$143,2,0))</f>
        <v>3.18184067805505</v>
      </c>
      <c r="HH134" s="406">
        <f>各项系数!$F$76/4*($MV134^2-$MS134^2)*10^-2*(VLOOKUP($HH$9,各项系数!$D$1:$F$143,3,0))*10^-3*10^2*各项系数!$J$4</f>
        <v>0.185861729262442</v>
      </c>
      <c r="HI134" s="420">
        <v>1</v>
      </c>
      <c r="HJ134" s="390">
        <f t="shared" si="414"/>
        <v>0.185861729262442</v>
      </c>
      <c r="HK134" s="390">
        <f>HJ134*(VLOOKUP($HH$9,各项系数!$D$1:$F$143,2,0))</f>
        <v>3.15964939746151</v>
      </c>
      <c r="HL134" s="406">
        <f>各项系数!$F$76/4*($MW134^2-$MT134^2)*10^-2*(VLOOKUP($HL$9,各项系数!$D$1:$F$143,3,0))*10^-3*10^2*各项系数!$J$4</f>
        <v>0.18716709870912</v>
      </c>
      <c r="HM134" s="420">
        <v>1</v>
      </c>
      <c r="HN134" s="390">
        <f t="shared" si="362"/>
        <v>0.18716709870912</v>
      </c>
      <c r="HO134" s="390">
        <f>HN134*(VLOOKUP($HL$9,各项系数!$D$1:$F$143,2,0))</f>
        <v>3.18184067805505</v>
      </c>
      <c r="HP134" s="406">
        <f>各项系数!$F$76/4*($MV134^2-$MS134^2)*10^-2*(VLOOKUP(AN134,各项系数!$D$1:$F$143,3,0))*10^-3*10^2*各项系数!$J$4</f>
        <v>0.188425339321234</v>
      </c>
      <c r="HQ134" s="389">
        <v>1</v>
      </c>
      <c r="HR134" s="390">
        <f t="shared" si="528"/>
        <v>0.188425339321234</v>
      </c>
      <c r="HS134" s="390">
        <f>HR134*(VLOOKUP(AN134,各项系数!$D$1:$F$143,2,0))</f>
        <v>1.88425339321234</v>
      </c>
      <c r="HT134" s="406">
        <f>各项系数!$F$76/4*($MW134^2-$MT134^2)*10^-2*(VLOOKUP(AN134,各项系数!$D$1:$F$143,3,0))*10^-3*10^2*各项系数!$J$4</f>
        <v>0.189748713863729</v>
      </c>
      <c r="HU134" s="389">
        <v>1</v>
      </c>
      <c r="HV134" s="390">
        <f t="shared" si="529"/>
        <v>0.189748713863729</v>
      </c>
      <c r="HW134" s="390">
        <f>HV134*(VLOOKUP(AN134,各项系数!$D$1:$F$143,2,0))</f>
        <v>1.89748713863729</v>
      </c>
      <c r="HX134" s="406">
        <f>各项系数!$F$76/4*($MV134^2-$MS134^2)*10^-2*(VLOOKUP($HX$9,各项系数!$D$1:$F$143,3,0))*10^-3*10^2*各项系数!$J$4</f>
        <v>0.188425339321234</v>
      </c>
      <c r="HY134" s="420">
        <v>1</v>
      </c>
      <c r="HZ134" s="390">
        <f t="shared" si="530"/>
        <v>0.188425339321234</v>
      </c>
      <c r="IA134" s="390">
        <f>HZ134*(VLOOKUP($HX$9,各项系数!$D$1:$F$143,2,0))</f>
        <v>2.07267873253358</v>
      </c>
      <c r="IB134" s="406">
        <f>各项系数!$F$76/4*($MW134^2-$MT134^2)*10^-2*(VLOOKUP($IB$9,各项系数!$D$1:$F$143,3,0))*10^-3*10^2*各项系数!$J$4</f>
        <v>0.189748713863729</v>
      </c>
      <c r="IC134" s="420">
        <v>1</v>
      </c>
      <c r="ID134" s="390">
        <f t="shared" si="531"/>
        <v>0.189748713863729</v>
      </c>
      <c r="IE134" s="390">
        <f>ID134*(VLOOKUP($IB$9,各项系数!$D$1:$F$143,2,0))</f>
        <v>2.08723585250102</v>
      </c>
      <c r="IF134" s="429"/>
      <c r="IG134" s="406">
        <f t="shared" si="415"/>
        <v>0.0442083337330621</v>
      </c>
      <c r="IH134" s="389">
        <v>1</v>
      </c>
      <c r="II134" s="390">
        <f t="shared" si="532"/>
        <v>0.0442083337330621</v>
      </c>
      <c r="IJ134" s="390">
        <f>II134*(VLOOKUP($IG$8,各项系数!$D$1:$F$143,2,0))</f>
        <v>1.10520834332655</v>
      </c>
      <c r="IK134" s="406">
        <f>(各项系数!$F$76/4*($MX134^2-$MK134^2)*$EG134)*10^-2*(VLOOKUP($IG$8,各项系数!$D$1:$F$143,3,0))*10^-3*10^2*各项系数!$J$4</f>
        <v>0.0368058416554973</v>
      </c>
      <c r="IL134" s="389">
        <f>IK134*(VLOOKUP($IG$8,各项系数!$D$1:$F$143,2,0))</f>
        <v>0.920146041387433</v>
      </c>
      <c r="IM134" s="390">
        <f>(各项系数!$F$76/4*(($MM134+3*$X134)^2-MM134^2)*$EO134)*10^-2*(VLOOKUP($IG$8,各项系数!$D$1:$F$143,3,0))*10^-3*10^2*各项系数!$J$4</f>
        <v>0.00740249207756477</v>
      </c>
      <c r="IN134" s="389">
        <f>IM134*(VLOOKUP($IG$8,各项系数!$D$1:$F$143,2,0))</f>
        <v>0.185062301939119</v>
      </c>
      <c r="IO134" s="406">
        <f>各项系数!$F$76/4*($MZ134^2-$MX134^2)*10^-2*(VLOOKUP(L134,各项系数!$D$1:$F$143,3,0))*10^-3*10^2*$ES134*各项系数!$J$4</f>
        <v>0.11978381961313</v>
      </c>
      <c r="IP134" s="389">
        <v>1</v>
      </c>
      <c r="IQ134" s="390">
        <f t="shared" si="533"/>
        <v>0.11978381961313</v>
      </c>
      <c r="IR134" s="367">
        <f>IQ134*(VLOOKUP(L134,各项系数!$D$1:$F$143,2,0))</f>
        <v>1.22179496005392</v>
      </c>
      <c r="IS134" s="406">
        <f>IF($L134&lt;&gt;$IS$9,0,各项系数!$F$76/4*($MZ134^2-$MX134^2)*10^-2*各项系数!$F$12*10^-3*10^2)*$ES134*各项系数!$J$4</f>
        <v>0</v>
      </c>
      <c r="IT134" s="389">
        <v>1</v>
      </c>
      <c r="IU134" s="390">
        <f t="shared" si="534"/>
        <v>0</v>
      </c>
      <c r="IV134" s="367">
        <f>IU134*各项系数!$E$12</f>
        <v>0</v>
      </c>
      <c r="IW134" s="388">
        <f t="shared" si="535"/>
        <v>0.11978381961313</v>
      </c>
      <c r="IX134" s="388">
        <f t="shared" si="536"/>
        <v>1.22179496005392</v>
      </c>
      <c r="IY134" s="447">
        <f>各项系数!$F$76/4*($NB134^2-$MZ134^2*$EG134-$NA134^2*$EO134)*10^-2</f>
        <v>1.25444954066507</v>
      </c>
      <c r="IZ134" s="366">
        <f t="shared" si="487"/>
        <v>1</v>
      </c>
      <c r="JA134" s="367">
        <f t="shared" si="363"/>
        <v>1.25444954066507</v>
      </c>
      <c r="JB134" s="364">
        <f>IF($DE134&lt;&gt;$JB$9,0,$JA134*各项系数!$F$32*10^-3*10^2)*各项系数!$J$4</f>
        <v>0</v>
      </c>
      <c r="JC134" s="123">
        <v>1</v>
      </c>
      <c r="JD134" s="251">
        <f t="shared" si="537"/>
        <v>0</v>
      </c>
      <c r="JE134" s="339">
        <f>JD134*各项系数!$E$32</f>
        <v>0</v>
      </c>
      <c r="JF134" s="364">
        <f>IF($DE134&lt;&gt;$JF$9,0,$JA134*VLOOKUP($JF$9,各项系数!$D$4:$F$540,2,0)*10^-3*10^2)*各项系数!$J$4</f>
        <v>0.624088646480871</v>
      </c>
      <c r="JG134" s="123">
        <v>1</v>
      </c>
      <c r="JH134" s="251">
        <f t="shared" si="364"/>
        <v>0.624088646480871</v>
      </c>
      <c r="JI134" s="339">
        <f>JH134*VLOOKUP($JF$9,各项系数!$D$4:$F$540,3,0)</f>
        <v>0.748906375777045</v>
      </c>
      <c r="JJ134" s="364">
        <f t="shared" si="538"/>
        <v>0.624088646480871</v>
      </c>
      <c r="JK134" s="251">
        <f t="shared" si="539"/>
        <v>0.748906375777045</v>
      </c>
      <c r="JL134" s="364">
        <f>IF($DF134&lt;&gt;$JL$9,0,各项系数!$F$76/4*($NE134^2-$NC134^2)*10^-2*各项系数!$F$39*10^-3*10^2)*各项系数!$J$4</f>
        <v>0.00256135942181527</v>
      </c>
      <c r="JM134" s="123">
        <v>1</v>
      </c>
      <c r="JN134" s="251">
        <f t="shared" si="540"/>
        <v>0.00256135942181527</v>
      </c>
      <c r="JO134" s="339">
        <f>JN134*各项系数!$E$39</f>
        <v>0.0512271884363054</v>
      </c>
      <c r="JP134" s="364">
        <f>IF($DF134&lt;&gt;$JP$9,0,各项系数!$F$76/4*($NE134^2-$NC134^2)*10^-2*各项系数!$F$36*10^-3*10^2)*各项系数!$J$4</f>
        <v>0</v>
      </c>
      <c r="JQ134" s="123">
        <v>1</v>
      </c>
      <c r="JR134" s="251">
        <f t="shared" si="541"/>
        <v>0</v>
      </c>
      <c r="JS134" s="339">
        <f>JR134*各项系数!$E$36</f>
        <v>0</v>
      </c>
      <c r="JT134" s="364">
        <f>IF($DF134&lt;&gt;$JT$9,0,各项系数!$F$76/4*($NE134^2-$NC134^2)*10^-2*各项系数!$F$40*10^-3*10^2)*各项系数!$J$4</f>
        <v>0</v>
      </c>
      <c r="JU134" s="123">
        <v>1</v>
      </c>
      <c r="JV134" s="251">
        <f t="shared" si="542"/>
        <v>0</v>
      </c>
      <c r="JW134" s="339">
        <f>JV134*各项系数!$E$40</f>
        <v>0</v>
      </c>
      <c r="JX134" s="364">
        <f>IF($DF134&lt;&gt;$JX$9,0,各项系数!$F$76/4*($NE134^2-$NC134^2)*10^-2*各项系数!$F$38*10^-3*10^2)*各项系数!$J$4</f>
        <v>0</v>
      </c>
      <c r="JY134" s="123">
        <v>1</v>
      </c>
      <c r="JZ134" s="251">
        <f t="shared" si="543"/>
        <v>0</v>
      </c>
      <c r="KA134" s="339">
        <f>JZ134*各项系数!$E$38</f>
        <v>0</v>
      </c>
      <c r="KB134" s="364">
        <f>IF($DF134&lt;&gt;$KB$9,0,各项系数!$F$76/4*($NE134^2-$NC134^2)*10^-2*各项系数!$F$41*10^-3*10^2)*各项系数!$J$4</f>
        <v>0</v>
      </c>
      <c r="KC134" s="123">
        <v>1</v>
      </c>
      <c r="KD134" s="251">
        <f t="shared" si="544"/>
        <v>0</v>
      </c>
      <c r="KE134" s="339">
        <f>KD134*各项系数!$E$41</f>
        <v>0</v>
      </c>
      <c r="KF134" s="251">
        <f t="shared" si="545"/>
        <v>0.00256135942181527</v>
      </c>
      <c r="KG134" s="251">
        <f t="shared" si="546"/>
        <v>0.0512271884363054</v>
      </c>
      <c r="KH134" s="302">
        <f>各项系数!$F$76/4*($NG134^2-$NE134^2)*10^-2*各项系数!$F$44*10^-3*10^2*各项系数!$J$4*0.75*$U134</f>
        <v>0.254992878537045</v>
      </c>
      <c r="KI134" s="123">
        <v>1</v>
      </c>
      <c r="KJ134" s="251">
        <f t="shared" si="547"/>
        <v>0.254992878537045</v>
      </c>
      <c r="KK134" s="251">
        <f>ROUND(KJ134*各项系数!$E$43,GT134)</f>
        <v>1</v>
      </c>
      <c r="KL134" s="302">
        <f>各项系数!$F$76/4*($NF134^2-$NE134^2)*10^-2*各项系数!$F$46*10^-3*10^2*各项系数!$J$4*PI()/4*R134</f>
        <v>0.0320729618584919</v>
      </c>
      <c r="KM134" s="123">
        <v>1</v>
      </c>
      <c r="KN134" s="251">
        <f t="shared" si="548"/>
        <v>0.0320729618584919</v>
      </c>
      <c r="KO134" s="251">
        <f>KN134*各项系数!$E$46</f>
        <v>2.1649249254482</v>
      </c>
      <c r="KP134" s="302">
        <f>各项系数!$F$76/4*($NH134^2-$NE134^2)*10^-2*(VLOOKUP($KP$9,各项系数!$D$1:$F$143,3,0))*10^-3*10^2*各项系数!$J$4</f>
        <v>0.201362991441748</v>
      </c>
      <c r="KQ134" s="123">
        <v>1</v>
      </c>
      <c r="KR134" s="251">
        <f t="shared" si="416"/>
        <v>0.201362991441748</v>
      </c>
      <c r="KS134" s="251">
        <f>KR134*(VLOOKUP($KP$9,各项系数!$D$1:$F$143,2,0))</f>
        <v>3.42317085450972</v>
      </c>
      <c r="KT134" s="302">
        <f>各项系数!$F$76/4*($NI134^2-$NF134^2)*10^-2*(VLOOKUP($KT$9,各项系数!$D$1:$F$143,3,0))*10^-3*10^2*各项系数!$J$4</f>
        <v>0.202668360888426</v>
      </c>
      <c r="KU134" s="123">
        <v>1</v>
      </c>
      <c r="KV134" s="251">
        <f t="shared" si="417"/>
        <v>0.202668360888426</v>
      </c>
      <c r="KW134" s="251">
        <f>KV134*(VLOOKUP($KT$9,各项系数!$D$1:$F$143,2,0))</f>
        <v>3.44536213510325</v>
      </c>
      <c r="KX134" s="251">
        <f>各项系数!$F$76/4*($NH134^2-$NE134^2)*10^-2*(VLOOKUP($KX$9,各项系数!$D$1:$F$143,3,0))*10^-3*10^2*各项系数!$J$4</f>
        <v>0.201362991441748</v>
      </c>
      <c r="KY134" s="479">
        <v>1</v>
      </c>
      <c r="KZ134" s="251">
        <f t="shared" si="418"/>
        <v>0.201362991441748</v>
      </c>
      <c r="LA134" s="251">
        <f>KZ134*(VLOOKUP($KX$9,各项系数!$D$1:$F$143,2,0))</f>
        <v>3.42317085450972</v>
      </c>
      <c r="LB134" s="251">
        <f>各项系数!$F$76/4*($NI134^2-$NF134^2)*10^-2*(VLOOKUP($LB$9,各项系数!$D$1:$F$143,3,0))*10^-3*10^2*各项系数!$J$4</f>
        <v>0.202668360888426</v>
      </c>
      <c r="LC134" s="479">
        <v>1</v>
      </c>
      <c r="LD134" s="251">
        <f t="shared" si="419"/>
        <v>0.202668360888426</v>
      </c>
      <c r="LE134" s="251">
        <f>LD134*(VLOOKUP($LB$9,各项系数!$D$1:$F$143,2,0))</f>
        <v>3.44536213510325</v>
      </c>
      <c r="LF134" s="302">
        <f>各项系数!$F$76/4*($NH134^2-$NE134^2)*10^-2*(VLOOKUP(AN134,各项系数!$D$1:$F$143,3,0))*10^-3*10^2*各项系数!$J$4</f>
        <v>0.204140412013358</v>
      </c>
      <c r="LG134" s="123">
        <v>1</v>
      </c>
      <c r="LH134" s="251">
        <f t="shared" si="549"/>
        <v>0.204140412013358</v>
      </c>
      <c r="LI134" s="251">
        <f>LH134*(VLOOKUP(AN134,各项系数!$D$1:$F$143,2,0))</f>
        <v>2.04140412013358</v>
      </c>
      <c r="LJ134" s="302">
        <f>各项系数!$F$76/4*($NI134^2-$NF134^2)*10^-2*(VLOOKUP(AN134,各项系数!$D$1:$F$143,3,0))*10^-3*10^2*各项系数!$J$4</f>
        <v>0.205463786555853</v>
      </c>
      <c r="LK134" s="123">
        <v>1</v>
      </c>
      <c r="LL134" s="251">
        <f t="shared" si="550"/>
        <v>0.205463786555853</v>
      </c>
      <c r="LM134" s="251">
        <f>LL134*(VLOOKUP(AN134,各项系数!$D$1:$F$143,2,0))</f>
        <v>2.05463786555853</v>
      </c>
      <c r="LN134" s="251">
        <f>各项系数!$F$76/4*($NH134^2-$NE134^2)*10^-2*(VLOOKUP($LN$9,各项系数!$D$1:$F$143,3,0))*10^-3*10^2*各项系数!$J$4</f>
        <v>0.204140412013358</v>
      </c>
      <c r="LO134" s="479">
        <v>1</v>
      </c>
      <c r="LP134" s="251">
        <f t="shared" si="551"/>
        <v>0.204140412013358</v>
      </c>
      <c r="LQ134" s="251">
        <f>LP134*(VLOOKUP($LN$9,各项系数!$D$1:$F$143,2,0))</f>
        <v>2.24554453214694</v>
      </c>
      <c r="LR134" s="251">
        <f>各项系数!$F$76/4*($NI134^2-$NF134^2)*10^-2*(VLOOKUP($LR$9,各项系数!$D$1:$F$143,3,0))*10^-3*10^2*各项系数!$J$4</f>
        <v>0.205463786555853</v>
      </c>
      <c r="LS134" s="479">
        <v>1</v>
      </c>
      <c r="LT134" s="251">
        <f t="shared" si="552"/>
        <v>0.205463786555853</v>
      </c>
      <c r="LU134" s="251">
        <f>LT134*(VLOOKUP($LR$9,各项系数!$D$1:$F$143,2,0))</f>
        <v>2.26010165211438</v>
      </c>
      <c r="LV134" s="499">
        <f t="shared" si="420"/>
        <v>122.38132163</v>
      </c>
      <c r="LW134" s="499">
        <f t="shared" si="421"/>
        <v>95.18547238</v>
      </c>
      <c r="LX134" s="499">
        <f t="shared" si="422"/>
        <v>11.0088104497494</v>
      </c>
      <c r="LY134" s="515">
        <f t="shared" si="423"/>
        <v>27.19584925</v>
      </c>
      <c r="LZ134" s="516">
        <f t="shared" si="365"/>
        <v>1</v>
      </c>
      <c r="MA134" s="517">
        <f t="shared" si="366"/>
        <v>122.38132163</v>
      </c>
      <c r="MB134" s="517">
        <f t="shared" si="424"/>
        <v>6.24140886</v>
      </c>
      <c r="MC134" s="499">
        <f t="shared" si="425"/>
        <v>19.34156968</v>
      </c>
      <c r="MD134" s="499">
        <f t="shared" si="426"/>
        <v>15.04344305</v>
      </c>
      <c r="ME134" s="499">
        <f t="shared" si="427"/>
        <v>4.37651763166006</v>
      </c>
      <c r="MF134" s="499">
        <f t="shared" si="428"/>
        <v>4.29812663</v>
      </c>
      <c r="MG134" s="516">
        <f t="shared" si="429"/>
        <v>1</v>
      </c>
      <c r="MH134" s="517">
        <f t="shared" si="367"/>
        <v>19.34156968</v>
      </c>
      <c r="MI134" s="517">
        <f t="shared" si="430"/>
        <v>4.96250454647919</v>
      </c>
      <c r="MJ134" s="251">
        <f t="shared" si="368"/>
        <v>6.24140886</v>
      </c>
      <c r="MK134" s="251">
        <f t="shared" si="431"/>
        <v>6.24140886</v>
      </c>
      <c r="ML134" s="251">
        <f t="shared" si="553"/>
        <v>4.96250454620067</v>
      </c>
      <c r="MM134" s="251">
        <f t="shared" si="369"/>
        <v>4.96250454647919</v>
      </c>
      <c r="MN134" s="251">
        <f t="shared" si="370"/>
        <v>8.04140886</v>
      </c>
      <c r="MO134" s="251">
        <f t="shared" si="432"/>
        <v>6.36250454647919</v>
      </c>
      <c r="MP134" s="251">
        <f t="shared" si="433"/>
        <v>20.80519559</v>
      </c>
      <c r="MQ134" s="251">
        <f t="shared" si="554"/>
        <v>20.80519559</v>
      </c>
      <c r="MR134" s="314">
        <f t="shared" si="434"/>
        <v>20.80519559</v>
      </c>
      <c r="MS134" s="530">
        <f t="shared" si="371"/>
        <v>20.98119559</v>
      </c>
      <c r="MT134" s="530">
        <f t="shared" si="372"/>
        <v>21.14119559</v>
      </c>
      <c r="MU134" s="530">
        <f t="shared" si="373"/>
        <v>21.58119559</v>
      </c>
      <c r="MV134" s="530">
        <f t="shared" si="374"/>
        <v>24.58119559</v>
      </c>
      <c r="MW134" s="530">
        <f t="shared" si="375"/>
        <v>24.74119559</v>
      </c>
      <c r="MX134" s="326">
        <f t="shared" si="376"/>
        <v>6.84140886</v>
      </c>
      <c r="MY134" s="326">
        <f t="shared" si="377"/>
        <v>5.56250454647919</v>
      </c>
      <c r="MZ134" s="251">
        <f t="shared" si="378"/>
        <v>8.64140886</v>
      </c>
      <c r="NA134" s="251">
        <f t="shared" si="379"/>
        <v>7.36250454647919</v>
      </c>
      <c r="NB134" s="251">
        <f t="shared" si="435"/>
        <v>22.64119559</v>
      </c>
      <c r="NC134" s="326">
        <f t="shared" si="555"/>
        <v>22.64119559</v>
      </c>
      <c r="ND134" s="314">
        <f t="shared" si="436"/>
        <v>22.64119559</v>
      </c>
      <c r="NE134" s="537">
        <f t="shared" si="437"/>
        <v>22.88119559</v>
      </c>
      <c r="NF134" s="530">
        <f t="shared" si="380"/>
        <v>23.04119559</v>
      </c>
      <c r="NG134" s="538">
        <f t="shared" si="381"/>
        <v>23.48119559</v>
      </c>
      <c r="NH134" s="326">
        <f t="shared" si="382"/>
        <v>26.48119559</v>
      </c>
      <c r="NI134" s="530">
        <f t="shared" si="383"/>
        <v>26.64119559</v>
      </c>
      <c r="NK134" s="539">
        <f t="shared" si="384"/>
        <v>1.42093017175242</v>
      </c>
      <c r="NL134" s="539">
        <f t="shared" si="385"/>
        <v>68.0808858254453</v>
      </c>
      <c r="NM134" s="539">
        <f t="shared" si="386"/>
        <v>1.42093017175242</v>
      </c>
      <c r="NN134" s="539">
        <f t="shared" si="387"/>
        <v>68.2693111647665</v>
      </c>
      <c r="NO134" s="539">
        <f t="shared" si="388"/>
        <v>1.98794583277915</v>
      </c>
      <c r="NP134" s="539">
        <f t="shared" si="389"/>
        <v>69.9209336879437</v>
      </c>
      <c r="NQ134" s="539">
        <f t="shared" si="390"/>
        <v>1.98794583277915</v>
      </c>
      <c r="NR134" s="539">
        <f t="shared" si="391"/>
        <v>70.1250740999571</v>
      </c>
      <c r="NS134" s="539">
        <f t="shared" si="392"/>
        <v>1.45034915040293</v>
      </c>
      <c r="NT134" s="539">
        <f t="shared" si="393"/>
        <v>1.45034915040293</v>
      </c>
      <c r="NU134" s="539">
        <f t="shared" si="394"/>
        <v>2.02001879463764</v>
      </c>
      <c r="NV134" s="539">
        <f t="shared" si="395"/>
        <v>2.02001879463764</v>
      </c>
      <c r="NW134">
        <f t="shared" si="396"/>
        <v>1.57699210569181</v>
      </c>
      <c r="NX134">
        <f>各项系数!$M$9*NK134</f>
        <v>0.426279051525727</v>
      </c>
      <c r="NY134">
        <f t="shared" si="397"/>
        <v>1.45034915040293</v>
      </c>
    </row>
    <row r="135" customHeight="1" spans="1:389">
      <c r="A135" s="85"/>
      <c r="B135" s="86"/>
      <c r="C135" s="87"/>
      <c r="D135" s="69" t="s">
        <v>392</v>
      </c>
      <c r="E135" s="77">
        <f t="shared" si="560"/>
        <v>27.17929345</v>
      </c>
      <c r="F135" s="84">
        <f>$F$23</f>
        <v>245.05464536043</v>
      </c>
      <c r="G135" s="74"/>
      <c r="H135" s="23"/>
      <c r="I135" s="174">
        <f>$F$21</f>
        <v>165.416818206689</v>
      </c>
      <c r="J135" s="78"/>
      <c r="K135" s="23"/>
      <c r="L135" s="118" t="s">
        <v>467</v>
      </c>
      <c r="M135" s="124">
        <f t="shared" si="339"/>
        <v>0.9</v>
      </c>
      <c r="N135" s="124">
        <f t="shared" si="501"/>
        <v>0.7</v>
      </c>
      <c r="O135" s="69">
        <f t="shared" si="572"/>
        <v>0.08</v>
      </c>
      <c r="P135" s="120">
        <v>0.1</v>
      </c>
      <c r="Q135" s="162">
        <f t="shared" si="578"/>
        <v>0.1</v>
      </c>
      <c r="R135" s="86">
        <v>0.8</v>
      </c>
      <c r="S135" s="171" t="str">
        <f>各项系数!$D$43</f>
        <v>钢带</v>
      </c>
      <c r="T135" s="78">
        <v>0.2</v>
      </c>
      <c r="U135" s="78">
        <v>2</v>
      </c>
      <c r="V135" s="172"/>
      <c r="W135" s="174">
        <v>1.9</v>
      </c>
      <c r="X135" s="164">
        <f t="shared" si="579"/>
        <v>0.2</v>
      </c>
      <c r="Y135" s="219"/>
      <c r="Z135" s="220"/>
      <c r="AA135" s="217">
        <f>$AA$23</f>
        <v>1.011</v>
      </c>
      <c r="AB135" s="186">
        <f>PI()*EJ135*EJ135/4*EH135*(1-H135)*AA135*各项系数!$F$5*各项系数!$J$4*10^-7</f>
        <v>0.295249926304339</v>
      </c>
      <c r="AC135" s="186">
        <f t="shared" si="573"/>
        <v>245.05464536043</v>
      </c>
      <c r="AD135" s="186">
        <f t="shared" si="341"/>
        <v>33.3783570613855</v>
      </c>
      <c r="AE135" s="186">
        <f>POWER(4*EU135/PI()/EG135/10^-7/EH135/(1-H135)/各项系数!$F$5/各项系数!$J$4,0.5)</f>
        <v>246.398759704805</v>
      </c>
      <c r="AF135" s="218">
        <f>$AA$21</f>
        <v>1.011</v>
      </c>
      <c r="AG135" s="85">
        <f>IF(EM135=0,0,PI()*ER135*ER135/4*EP135*(1-K135)*(1+AF135)*各项系数!$F$5*各项系数!$J$4*10^-7)</f>
        <v>0.267598798728909</v>
      </c>
      <c r="AH135" s="85">
        <f t="shared" si="574"/>
        <v>165.416818206689</v>
      </c>
      <c r="AI135" s="85">
        <f t="shared" si="398"/>
        <v>15.2089209566661</v>
      </c>
      <c r="AJ135" s="85">
        <f>IF(OR(EP135="",EP135=0),0,POWER(4*EW135/PI()/EO135/10^-7/EP135/(1-K135)/各项系数!$F$5/各项系数!$J$4,0.5))</f>
        <v>166.32412244418</v>
      </c>
      <c r="AK135" s="85">
        <f t="shared" si="342"/>
        <v>1.31553097598559</v>
      </c>
      <c r="AL135" s="85">
        <f t="shared" si="575"/>
        <v>92.9660226198837</v>
      </c>
      <c r="AM135" s="250">
        <f t="shared" si="576"/>
        <v>35</v>
      </c>
      <c r="AN135" s="118" t="s">
        <v>486</v>
      </c>
      <c r="AO135" s="259">
        <f>AP135+各项系数!$M$9*$NK135</f>
        <v>91.1431594312586</v>
      </c>
      <c r="AP135" s="259">
        <f>AQ135*(1+$BI135+(VLOOKUP($AM135,$A$12:$B$323,2,0))+各项系数!$J$6+各项系数!$M$5)*(1+$E$2)</f>
        <v>90.5957368797711</v>
      </c>
      <c r="AQ135" s="260">
        <f>AR135+各项系数!$L$9*$NK135</f>
        <v>92.4446294691542</v>
      </c>
      <c r="AR135" s="260">
        <f>AS135*(1+$BJ135+各项系数!$J$5+各项系数!$L$5)</f>
        <v>91.8972069176668</v>
      </c>
      <c r="AS135" s="260">
        <f t="shared" si="399"/>
        <v>90.0953008996733</v>
      </c>
      <c r="AT135" s="259">
        <f>AU135+各项系数!$M$9*$NM135</f>
        <v>92.6364379371528</v>
      </c>
      <c r="AU135" s="259">
        <f>AV135*(1+$BI135+(VLOOKUP($AM135,$A$12:$B$323,2,0))+各项系数!$J$6+各项系数!$M$5)*(1+$E$2)</f>
        <v>92.0890153856654</v>
      </c>
      <c r="AV135" s="260">
        <f>AW135+各项系数!$L$9*$NM135</f>
        <v>93.9683830465973</v>
      </c>
      <c r="AW135" s="260">
        <f>AX135*(1+$BJ135+各项系数!$J$5+各项系数!$L$5)</f>
        <v>93.4209604951099</v>
      </c>
      <c r="AX135" s="260">
        <f t="shared" si="400"/>
        <v>91.5891769559901</v>
      </c>
      <c r="AY135" s="259">
        <f>AZ135+各项系数!$M$9*$NS135</f>
        <v>93.3875913648655</v>
      </c>
      <c r="AZ135" s="259">
        <f>BA135*(1+$BI135+(VLOOKUP($AM135,$A$12:$B$214,2,0))+各项系数!$J$6+各项系数!$M$5)*(1+$E$2)</f>
        <v>92.8303381969222</v>
      </c>
      <c r="BA135" s="260">
        <f>BB135+各项系数!$L$9*$NS135</f>
        <v>94.7248348948185</v>
      </c>
      <c r="BB135" s="260">
        <f>BC135*(1+$BJ135+各项系数!$J$5+各项系数!$L$5)</f>
        <v>94.1675817268752</v>
      </c>
      <c r="BC135" s="262">
        <f t="shared" si="401"/>
        <v>92.32115855576</v>
      </c>
      <c r="BD135" s="259">
        <f>BE135+各项系数!$M$9*$NS135</f>
        <v>94.8903212647006</v>
      </c>
      <c r="BE135" s="563">
        <f>BF135*(1+$BI135+(VLOOKUP($AM135,$A$12:$B$214,2,0))+各项系数!$J$6+各项系数!$M$5)*(1+$E$2)</f>
        <v>94.3330680967573</v>
      </c>
      <c r="BF135" s="260">
        <f>BG135+各项系数!$L$9*$NS135</f>
        <v>96.2582327517932</v>
      </c>
      <c r="BG135" s="260">
        <f>BH135*(1+$BJ135+各项系数!$J$5+各项系数!$L$5)</f>
        <v>95.7009795838498</v>
      </c>
      <c r="BH135" s="262">
        <f t="shared" si="402"/>
        <v>93.824489788088</v>
      </c>
      <c r="BI135" s="275">
        <v>0</v>
      </c>
      <c r="BJ135" s="272"/>
      <c r="BK135" s="69" t="s">
        <v>514</v>
      </c>
      <c r="BL135" s="259">
        <f>BM135+各项系数!$M$9*$NM135</f>
        <v>92.2488712878273</v>
      </c>
      <c r="BM135" s="259">
        <f>BN135*(1+$CF135+(VLOOKUP($AM135,$A$12:$B$323,2,0))+各项系数!$J$6+各项系数!$M$5)*(1+$E$2)</f>
        <v>91.7014487363399</v>
      </c>
      <c r="BN135" s="260">
        <f>BO135+各项系数!$L$9*$NM135</f>
        <v>93.5729068738162</v>
      </c>
      <c r="BO135" s="260">
        <f>BP135*(1+$CG135+各项系数!$J$5+各项系数!$L$5)</f>
        <v>93.0254843223288</v>
      </c>
      <c r="BP135" s="260">
        <f t="shared" si="403"/>
        <v>90.3160041964357</v>
      </c>
      <c r="BQ135" s="259">
        <f>BR135+各项系数!$M$9*$NM135</f>
        <v>93.5340118713215</v>
      </c>
      <c r="BR135" s="259">
        <f>BS135*(1+$CF135+(VLOOKUP($AM135,$A$12:$B$323,2,0))+各项系数!$J$6+各项系数!$M$5)*(1+$E$2)</f>
        <v>92.9865893198341</v>
      </c>
      <c r="BS135" s="260">
        <f>BT135+各项系数!$L$9*$NM135</f>
        <v>94.8842748161572</v>
      </c>
      <c r="BT135" s="260">
        <f>BU135*(1+$CG135+各项系数!$J$5+各项系数!$L$5)</f>
        <v>94.3368522646698</v>
      </c>
      <c r="BU135" s="260">
        <f t="shared" si="404"/>
        <v>91.5891769559901</v>
      </c>
      <c r="BV135" s="259">
        <f>BW135+各项系数!$M$9*$NT135</f>
        <v>93.978516683138</v>
      </c>
      <c r="BW135" s="259">
        <f>BX135*(1+$CF135+(VLOOKUP($AM135,$A$12:$B$214,2,0))+各项系数!$J$6+各项系数!$M$5)*(1+$E$2)</f>
        <v>93.4212635151947</v>
      </c>
      <c r="BX135" s="260">
        <f>BY135+各项系数!$L$9*$NT$12</f>
        <v>95.3278199134639</v>
      </c>
      <c r="BY135" s="260">
        <f>BZ135*(1+$CG135+各项系数!$J$5+各项系数!$L$5)</f>
        <v>95.319556510309</v>
      </c>
      <c r="BZ135" s="262">
        <f t="shared" si="343"/>
        <v>92.5432587478728</v>
      </c>
      <c r="CA135" s="259">
        <f>CB135+各项系数!$M$9*$NT135</f>
        <v>95.2717912951313</v>
      </c>
      <c r="CB135" s="259">
        <f>CC135*(1+$CF135+(VLOOKUP($AM135,$A$12:$B$214,2,0))+各项系数!$J$6+各项系数!$M$5)*(1+$E$2)</f>
        <v>94.7145381271879</v>
      </c>
      <c r="CC135" s="260">
        <f>CD135+各项系数!$L$9*$NT$12</f>
        <v>96.6474878848857</v>
      </c>
      <c r="CD135" s="260">
        <f>CE135*(1+$CG135+各项系数!$J$5+各项系数!$L$5)</f>
        <v>96.6392244817307</v>
      </c>
      <c r="CE135" s="262">
        <f t="shared" si="405"/>
        <v>93.824489788088</v>
      </c>
      <c r="CF135" s="275">
        <f>(BI135+$CF$2)-BI135/1.3</f>
        <v>0</v>
      </c>
      <c r="CG135" s="277">
        <f t="shared" si="344"/>
        <v>0.01</v>
      </c>
      <c r="CH135" s="123"/>
      <c r="CI135" s="259">
        <f>CJ135+各项系数!$M$9*$NO135</f>
        <v>94.1541132618166</v>
      </c>
      <c r="CJ135" s="259">
        <f>CK135*(1+$DC135+(VLOOKUP($AM135,$A$12:$B$323,2,0))+各项系数!$J$6+各项系数!$M$5)*(1+$E$2)+各项系数!$M$9*$NK135</f>
        <v>93.4034597934814</v>
      </c>
      <c r="CK135" s="260">
        <f>CL135+各项系数!$L$9*$NO135</f>
        <v>94.7510584101979</v>
      </c>
      <c r="CL135" s="260">
        <f>CM135*(1+$DD135+各项系数!$J$5+各项系数!$L$5)</f>
        <v>94.0004049418626</v>
      </c>
      <c r="CM135" s="260">
        <f t="shared" si="345"/>
        <v>92.1572597469241</v>
      </c>
      <c r="CN135" s="259">
        <f>CO135+各项系数!$M$9*$NO135</f>
        <v>95.4815767973787</v>
      </c>
      <c r="CO135" s="259">
        <f>CP135*(1+$DC135+(VLOOKUP($AM135,$A$12:$B$323,2,0))+各项系数!$J$6+各项系数!$M$5)*(1+$E$2)+各项系数!$M$9*$NK135</f>
        <v>94.7309233290434</v>
      </c>
      <c r="CP135" s="260">
        <f>CQ135+各项系数!$L$9*$NO135</f>
        <v>96.1056130383225</v>
      </c>
      <c r="CQ135" s="260">
        <f>CR135*(1+$DD135+各项系数!$J$5+各项系数!$L$5)</f>
        <v>95.3549595699872</v>
      </c>
      <c r="CR135" s="260">
        <f t="shared" si="346"/>
        <v>93.4852544803796</v>
      </c>
      <c r="CS135" s="259">
        <f>CT135+各项系数!$M$9*$NU135</f>
        <v>96.0317713189541</v>
      </c>
      <c r="CT135" s="259">
        <f t="shared" si="347"/>
        <v>95.2704910392005</v>
      </c>
      <c r="CU135" s="260">
        <f>CV135+各项系数!$L$9*$NU135</f>
        <v>97.2147867746944</v>
      </c>
      <c r="CV135" s="260">
        <f>CW135*(1+$DD135+各项系数!$J$5+各项系数!$L$5)</f>
        <v>96.4535064949408</v>
      </c>
      <c r="CW135" s="262">
        <f t="shared" si="348"/>
        <v>94.5622612695498</v>
      </c>
      <c r="CX135" s="259">
        <f>CY135+各项系数!$M$9*$NU135</f>
        <v>97.6467365218373</v>
      </c>
      <c r="CY135" s="259">
        <f t="shared" si="349"/>
        <v>96.8854562420836</v>
      </c>
      <c r="CZ135" s="260">
        <f>DA135+各项系数!$L$9*$NU135</f>
        <v>98.8627104511058</v>
      </c>
      <c r="DA135" s="260">
        <f>DB135*(1+$DD135+各项系数!$J$5+各项系数!$L$5)</f>
        <v>98.1014301713522</v>
      </c>
      <c r="DB135" s="262">
        <f t="shared" si="350"/>
        <v>96.1778727170119</v>
      </c>
      <c r="DC135" s="275">
        <f>(BI135+$DC$2)-BI135/1.3</f>
        <v>0</v>
      </c>
      <c r="DD135" s="277">
        <f t="shared" si="351"/>
        <v>0</v>
      </c>
      <c r="DE135" s="69" t="s">
        <v>498</v>
      </c>
      <c r="DF135" s="69" t="s">
        <v>513</v>
      </c>
      <c r="DG135" s="259">
        <f>DH135+各项系数!$M$9*$NQ135</f>
        <v>95.2967763758181</v>
      </c>
      <c r="DH135" s="259">
        <f>DI135*(1+$EA135+(VLOOKUP($AM135,$A$12:$B$323,2,0))+各项系数!$J$6+各项系数!$M$5)*(1+$E$2)+各项系数!$M$9*$NK135</f>
        <v>94.5461229074828</v>
      </c>
      <c r="DI135" s="260">
        <f>DJ135+各项系数!$L$9*$NQ135</f>
        <v>95.9170411795871</v>
      </c>
      <c r="DJ135" s="260">
        <f>DK135*(1+$EB135+各项系数!$J$5+各项系数!$L$5)</f>
        <v>95.1663877112518</v>
      </c>
      <c r="DK135" s="260">
        <f t="shared" si="352"/>
        <v>92.3945511759726</v>
      </c>
      <c r="DL135" s="259">
        <f>DM135+各项系数!$M$9*$NQ135</f>
        <v>96.6785085477389</v>
      </c>
      <c r="DM135" s="259">
        <f>DN135*(1+$EA135+(VLOOKUP($AM135,$A$12:$B$323,2,0))+各项系数!$J$6+各项系数!$M$5)*(1+$E$2)+各项系数!$M$9*$NK135</f>
        <v>95.9278550794037</v>
      </c>
      <c r="DN135" s="260">
        <f>DO135+各项系数!$L$9*$NQ135</f>
        <v>97.3269719672615</v>
      </c>
      <c r="DO135" s="260">
        <f>DP135*(1+$EB135+各项系数!$J$5+各项系数!$L$5)</f>
        <v>96.5763184989262</v>
      </c>
      <c r="DP135" s="260">
        <f t="shared" si="353"/>
        <v>93.7634160183749</v>
      </c>
      <c r="DQ135" s="259">
        <f>DR135+各项系数!$M$9*$NV135</f>
        <v>97.199413474044</v>
      </c>
      <c r="DR135" s="259">
        <f t="shared" si="354"/>
        <v>96.4381331942904</v>
      </c>
      <c r="DS135" s="260">
        <f>DT135+各项系数!$L$9*$NV135</f>
        <v>98.4062583615208</v>
      </c>
      <c r="DT135" s="260">
        <f>DU135*(1+$EB135+各项系数!$J$5+各项系数!$L$5)</f>
        <v>97.6449780817672</v>
      </c>
      <c r="DU135" s="262">
        <f t="shared" si="355"/>
        <v>94.8009495939487</v>
      </c>
      <c r="DV135" s="259">
        <f>DW135+各项系数!$M$9*$NV135</f>
        <v>97.1791295979186</v>
      </c>
      <c r="DW135" s="259">
        <f t="shared" si="356"/>
        <v>96.417849318165</v>
      </c>
      <c r="DX135" s="260">
        <f>DY135+各项系数!$L$9*$NV135</f>
        <v>98.3855605287398</v>
      </c>
      <c r="DY135" s="260">
        <f>DZ135*(1+$EB135+各项系数!$J$5+各项系数!$L$5)</f>
        <v>97.6242802489862</v>
      </c>
      <c r="DZ135" s="262">
        <f t="shared" si="357"/>
        <v>94.7808546106662</v>
      </c>
      <c r="EA135" s="275">
        <f>(BI135+$EA$2)-BI135/1.3</f>
        <v>0</v>
      </c>
      <c r="EB135" s="277">
        <f t="shared" si="358"/>
        <v>0.01</v>
      </c>
      <c r="EC135" s="302" t="str">
        <f t="shared" si="408"/>
        <v>4+1</v>
      </c>
      <c r="ED135" s="302" t="str">
        <f t="shared" si="565"/>
        <v>4*35</v>
      </c>
      <c r="EE135" s="251">
        <f t="shared" si="495"/>
        <v>35</v>
      </c>
      <c r="EF135" s="251" t="str">
        <f>LOOKUP(EH135,{1,7,10,14,19,24,30,37,48,61},{1,"1+6","2+8","4+10","1+6+12","2+8+14","4+10+16","1+6+12+18","3+9+15+21","1+6+12+18+24"})</f>
        <v>1+6</v>
      </c>
      <c r="EG135" s="250">
        <f t="shared" si="359"/>
        <v>4</v>
      </c>
      <c r="EH135" s="260">
        <f>VLOOKUP(EE135,各项系数!$B$87:$C$124,2,0)</f>
        <v>7</v>
      </c>
      <c r="EI135" s="250">
        <f>IF(EH135=0,0,VLOOKUP(EH135,各项系数!$D$142:$E$195,2,0))*1</f>
        <v>3</v>
      </c>
      <c r="EJ135" s="305">
        <f t="shared" si="409"/>
        <v>245.05464536043</v>
      </c>
      <c r="EK135" s="251" t="str">
        <f t="shared" si="566"/>
        <v>1*16</v>
      </c>
      <c r="EL135" s="251" t="str">
        <f t="shared" si="360"/>
        <v>16</v>
      </c>
      <c r="EM135" s="251">
        <f t="shared" si="567"/>
        <v>16</v>
      </c>
      <c r="EN135" s="251" t="str">
        <f>IF(EP135=0,0,LOOKUP(EP135,{1,7,10,14,19,24,30,37,48,61},{1,"1+6","2+8","4+10","1+6+12","2+8+14","4+10+16","1+6+12+18","3+9+15+21","1+6+12+18+24"}))</f>
        <v>1+6</v>
      </c>
      <c r="EO135" s="251" t="str">
        <f t="shared" si="568"/>
        <v>1</v>
      </c>
      <c r="EP135" s="251">
        <f>IF(EM135=0,0,IF(EM135&lt;10,1,IF(AND(EM135&gt;=10,EM135&lt;=35),7,LOOKUP(EM135,{50,70,95,120,150,185,240,300},{10,14,19,24,30,37,48,61})*1)))</f>
        <v>7</v>
      </c>
      <c r="EQ135" s="251">
        <f>IF(EP135=0,0,VLOOKUP(EP135,各项系数!$D$142:$E$195,2,0))*1</f>
        <v>3</v>
      </c>
      <c r="ER135" s="251">
        <f t="shared" si="577"/>
        <v>165.416818206689</v>
      </c>
      <c r="ES135" s="302">
        <f t="shared" si="570"/>
        <v>5</v>
      </c>
      <c r="ET135" s="251">
        <f>VLOOKUP(ES135,各项系数!$D$142:$E$195,2,0)*1</f>
        <v>2.7</v>
      </c>
      <c r="EU135" s="311">
        <f>((各项系数!$F$76/4*$EJ135^2*$EG135*$EH135*1*10^-7)*(1-$H135)*AA135)*(VLOOKUP($EY$9,各项系数!$D$4:$F$143,3,0))*各项系数!$J$4</f>
        <v>1.18099970521736</v>
      </c>
      <c r="EV135" s="312">
        <f>EU135*(VLOOKUP($EY$9,各项系数!$D$4:$F$143,2,0))</f>
        <v>77.3554806917368</v>
      </c>
      <c r="EW135" s="324">
        <f>(IF($EO135=0,0,(各项系数!$F$76/4*$ER135^2*$EO135*$EP135*1*10^-7))*(1-$K135)*$AF135)*(VLOOKUP($EY$9,各项系数!$D$4:$F$143,3,0))*各项系数!$J$4</f>
        <v>0.134531270768238</v>
      </c>
      <c r="EX135" s="325">
        <f>EW135*(VLOOKUP($EY$9,各项系数!$D$4:$F$143,2,0))</f>
        <v>8.81179823531959</v>
      </c>
      <c r="EY135" s="251">
        <f>((各项系数!$F$76/4*$EJ135^2*$EG135*$EH135*1*10^-7)*(1-$H135)*AA135+IF($EO135=0,0,(各项系数!$F$76/4*$ER135^2*$EO135*$EP135*1*10^-7))*(1-$K135)*$AF135)*(VLOOKUP($EY$9,各项系数!$D$4:$F$143,3,0))*各项系数!$J$4</f>
        <v>1.31553097598559</v>
      </c>
      <c r="EZ135" s="123">
        <v>1</v>
      </c>
      <c r="FA135" s="251">
        <f t="shared" si="515"/>
        <v>1.31553097598559</v>
      </c>
      <c r="FB135" s="326">
        <f>FA135*(VLOOKUP($EY$9,各项系数!$D$4:$F$143,2,0))</f>
        <v>86.1672789270564</v>
      </c>
      <c r="FC135" s="327"/>
      <c r="FD135" s="302">
        <f>各项系数!$F$76/4*($MN135^2-MK135^2)*10^-2*(VLOOKUP(L135,各项系数!$D$1:$F$143,3,0))*10^-3*10^2*$EG135*各项系数!$J$4</f>
        <v>0.10214294553232</v>
      </c>
      <c r="FE135" s="339">
        <f>FD135*VLOOKUP(L135,各项系数!$D$1:$F$143,2,0)</f>
        <v>1.04185804442967</v>
      </c>
      <c r="FF135" s="250">
        <f>各项系数!$F$76/4*($MO135^2-ML135^2)*10^-2*(VLOOKUP(L135,各项系数!$D$1:$F$143,3,0))*10^-3*10^2*$EO135*各项系数!$J$4</f>
        <v>0.0136292589308284</v>
      </c>
      <c r="FG135" s="339">
        <f>FF135*VLOOKUP(L135,各项系数!$D$1:$F$143,2,0)</f>
        <v>0.13901844109445</v>
      </c>
      <c r="FH135" s="302">
        <f t="shared" si="410"/>
        <v>0.115772204463149</v>
      </c>
      <c r="FI135" s="123">
        <v>1</v>
      </c>
      <c r="FJ135" s="251">
        <f t="shared" si="516"/>
        <v>0.115772204463149</v>
      </c>
      <c r="FK135" s="339">
        <f>FJ135*VLOOKUP(L135,各项系数!$D$1:$F$143,2,0)</f>
        <v>1.18087648552412</v>
      </c>
      <c r="FL135" s="302"/>
      <c r="FM135" s="123"/>
      <c r="FN135" s="251"/>
      <c r="FO135" s="339"/>
      <c r="FP135" s="364">
        <f t="shared" si="517"/>
        <v>0.115772204463149</v>
      </c>
      <c r="FQ135" s="364">
        <f t="shared" si="518"/>
        <v>1.18087648552412</v>
      </c>
      <c r="FR135" s="365">
        <f>各项系数!$F$76/4*($MQ135^2-$MN135^2*$EG135-$MO135^2*$EO135)*10^-2</f>
        <v>1.27942422403205</v>
      </c>
      <c r="FS135" s="366">
        <f t="shared" si="411"/>
        <v>1</v>
      </c>
      <c r="FT135" s="367">
        <f t="shared" si="361"/>
        <v>1.27942422403205</v>
      </c>
      <c r="FU135" s="388">
        <f>$FT135*(VLOOKUP($FT$9,各项系数!$D$1:$F$143,3,0))*10^-3*10^2*各项系数!$J$55</f>
        <v>0.152763252349427</v>
      </c>
      <c r="FV135" s="389">
        <v>1</v>
      </c>
      <c r="FW135" s="390">
        <f t="shared" si="519"/>
        <v>0.152763252349427</v>
      </c>
      <c r="FX135" s="367">
        <f>FW135*(VLOOKUP($FT$9,各项系数!$D$1:$F$143,2,0))</f>
        <v>0.45828975704828</v>
      </c>
      <c r="FY135" s="388">
        <f>IF($BK135&lt;&gt;$FY$9,0,各项系数!$F$76/4*($MS135^2-$MQ135^2)*10^-2*(VLOOKUP($FY$9,各项系数!$D$1:$F$143,3,0))*10^-3*10^2)*各项系数!$J$4</f>
        <v>0</v>
      </c>
      <c r="FZ135" s="389">
        <v>1</v>
      </c>
      <c r="GA135" s="390">
        <f t="shared" si="520"/>
        <v>0</v>
      </c>
      <c r="GB135" s="367">
        <f>GA135*(VLOOKUP($FY$9,各项系数!$D$1:$F$143,2,0))</f>
        <v>0</v>
      </c>
      <c r="GC135" s="388">
        <f>IF($BK135&lt;&gt;$GC$9,0,各项系数!$F$76/4*($MS135^2-$MQ135^2)*10^-2*(VLOOKUP($GC$9,各项系数!$D$1:$F$143,3,0))*10^-3*10^2)*各项系数!$J$4</f>
        <v>0.00634284980005741</v>
      </c>
      <c r="GD135" s="389">
        <v>1</v>
      </c>
      <c r="GE135" s="390">
        <f t="shared" si="521"/>
        <v>0.00634284980005741</v>
      </c>
      <c r="GF135" s="367">
        <f>GE135*(VLOOKUP($GC$9,各项系数!$D$1:$F$143,2,0))</f>
        <v>0.0818227624207406</v>
      </c>
      <c r="GG135" s="388">
        <f>IF($BK135&lt;&gt;$GG$9,0,各项系数!$F$76/4*($MS135^2-$MQ135^2)*10^-2*(VLOOKUP($GG$9,各项系数!$D$1:$F$143,3,0))*10^-3*10^2)*各项系数!$J$4</f>
        <v>0</v>
      </c>
      <c r="GH135" s="389">
        <v>1</v>
      </c>
      <c r="GI135" s="390">
        <f t="shared" si="522"/>
        <v>0</v>
      </c>
      <c r="GJ135" s="367">
        <f>GI135*(VLOOKUP($GG$9,各项系数!$D$1:$F$143,2,0))</f>
        <v>0</v>
      </c>
      <c r="GK135" s="388">
        <f>IF($BK135&lt;&gt;$GK$9,0,各项系数!$F$76/4*($MS135^2-$MQ135^2)*10^-2*(VLOOKUP($GK$9,各项系数!$D$1:$F$143,3,0))*10^-3*10^2)*各项系数!$J$4</f>
        <v>0</v>
      </c>
      <c r="GL135" s="389">
        <v>1</v>
      </c>
      <c r="GM135" s="390">
        <f t="shared" si="523"/>
        <v>0</v>
      </c>
      <c r="GN135" s="367">
        <f>GM135*(VLOOKUP($GK$9,各项系数!$D$1:$F$143,2,0))</f>
        <v>0</v>
      </c>
      <c r="GO135" s="390">
        <f t="shared" si="524"/>
        <v>0.00634284980005741</v>
      </c>
      <c r="GP135" s="390">
        <f t="shared" si="525"/>
        <v>0.0818227624207406</v>
      </c>
      <c r="GQ135" s="406">
        <f>各项系数!$F$76/4*($MU135^2-$MS135^2)*10^-2*(VLOOKUP($S135,各项系数!$D$1:$F$143,3,0))*10^-3*10^2*各项系数!$J$4</f>
        <v>0.173647966088042</v>
      </c>
      <c r="GR135" s="389">
        <v>1</v>
      </c>
      <c r="GS135" s="390">
        <f t="shared" si="526"/>
        <v>0.173647966088042</v>
      </c>
      <c r="GT135" s="390">
        <f t="shared" si="457"/>
        <v>0</v>
      </c>
      <c r="GU135" s="390">
        <f>ROUND($GS135*(VLOOKUP($S135,各项系数!$D$1:$F$143,2,0))+$E$3*GS135,GT135)</f>
        <v>1</v>
      </c>
      <c r="GV135" s="406">
        <f>各项系数!$F$76/4*($MT135^2-$MS135^2)*10^-2*(VLOOKUP($GV$9,各项系数!$D$1:$F$143,3,0))*10^-3*10^2*各项系数!$J$4*PI()/4*R135</f>
        <v>0.0327687215197415</v>
      </c>
      <c r="GW135" s="389">
        <v>1</v>
      </c>
      <c r="GX135" s="390">
        <f t="shared" si="527"/>
        <v>0.0327687215197415</v>
      </c>
      <c r="GY135" s="390">
        <f>$GX135*(VLOOKUP($GV$9,各项系数!$D$1:$F$143,2,0))</f>
        <v>2.21188870258255</v>
      </c>
      <c r="GZ135" s="406">
        <f>各项系数!$F$76/4*($MV135^2-$MS135^2)*10^-2*(VLOOKUP($GZ$9,各项系数!$D$1:$F$143,3,0))*10^-3*10^2*各项系数!$J$4</f>
        <v>0.217700530820035</v>
      </c>
      <c r="HA135" s="389">
        <v>1</v>
      </c>
      <c r="HB135" s="390">
        <f t="shared" si="412"/>
        <v>0.217700530820035</v>
      </c>
      <c r="HC135" s="390">
        <f>HB135*(VLOOKUP($GZ$9,各项系数!$D$1:$F$143,2,0))</f>
        <v>3.7009090239406</v>
      </c>
      <c r="HD135" s="406">
        <f>各项系数!$F$76/4*($MW135^2-$MT135^2)*10^-2*(VLOOKUP($HD$9,各项系数!$D$1:$F$143,3,0))*10^-3*10^2*各项系数!$J$4</f>
        <v>0.219078420791529</v>
      </c>
      <c r="HE135" s="389">
        <v>1</v>
      </c>
      <c r="HF135" s="390">
        <f t="shared" si="413"/>
        <v>0.219078420791529</v>
      </c>
      <c r="HG135" s="390">
        <f>HF135*(VLOOKUP($HD$9,各项系数!$D$1:$F$143,2,0))</f>
        <v>3.72433315345599</v>
      </c>
      <c r="HH135" s="406">
        <f>各项系数!$F$76/4*($MV135^2-$MS135^2)*10^-2*(VLOOKUP($HH$9,各项系数!$D$1:$F$143,3,0))*10^-3*10^2*各项系数!$J$4</f>
        <v>0.217700530820035</v>
      </c>
      <c r="HI135" s="420">
        <v>1</v>
      </c>
      <c r="HJ135" s="390">
        <f t="shared" si="414"/>
        <v>0.217700530820035</v>
      </c>
      <c r="HK135" s="390">
        <f>HJ135*(VLOOKUP($HH$9,各项系数!$D$1:$F$143,2,0))</f>
        <v>3.7009090239406</v>
      </c>
      <c r="HL135" s="406">
        <f>各项系数!$F$76/4*($MW135^2-$MT135^2)*10^-2*(VLOOKUP($HL$9,各项系数!$D$1:$F$143,3,0))*10^-3*10^2*各项系数!$J$4</f>
        <v>0.219078420791529</v>
      </c>
      <c r="HM135" s="420">
        <v>1</v>
      </c>
      <c r="HN135" s="390">
        <f t="shared" si="362"/>
        <v>0.219078420791529</v>
      </c>
      <c r="HO135" s="390">
        <f>HN135*(VLOOKUP($HL$9,各项系数!$D$1:$F$143,2,0))</f>
        <v>3.72433315345599</v>
      </c>
      <c r="HP135" s="406">
        <f>各项系数!$F$76/4*($MV135^2-$MS135^2)*10^-2*(VLOOKUP(AN135,各项系数!$D$1:$F$143,3,0))*10^-3*10^2*各项系数!$J$4</f>
        <v>0.22070329676238</v>
      </c>
      <c r="HQ135" s="389">
        <v>1</v>
      </c>
      <c r="HR135" s="390">
        <f t="shared" si="528"/>
        <v>0.22070329676238</v>
      </c>
      <c r="HS135" s="390">
        <f>HR135*(VLOOKUP(AN135,各项系数!$D$1:$F$143,2,0))</f>
        <v>2.2070329676238</v>
      </c>
      <c r="HT135" s="406">
        <f>各项系数!$F$76/4*($MW135^2-$MT135^2)*10^-2*(VLOOKUP(AN135,各项系数!$D$1:$F$143,3,0))*10^-3*10^2*各项系数!$J$4</f>
        <v>0.222100192112791</v>
      </c>
      <c r="HU135" s="389">
        <v>1</v>
      </c>
      <c r="HV135" s="390">
        <f t="shared" si="529"/>
        <v>0.222100192112791</v>
      </c>
      <c r="HW135" s="390">
        <f>HV135*(VLOOKUP(AN135,各项系数!$D$1:$F$143,2,0))</f>
        <v>2.22100192112791</v>
      </c>
      <c r="HX135" s="406">
        <f>各项系数!$F$76/4*($MV135^2-$MS135^2)*10^-2*(VLOOKUP($HX$9,各项系数!$D$1:$F$143,3,0))*10^-3*10^2*各项系数!$J$4</f>
        <v>0.22070329676238</v>
      </c>
      <c r="HY135" s="420">
        <v>1</v>
      </c>
      <c r="HZ135" s="390">
        <f t="shared" si="530"/>
        <v>0.22070329676238</v>
      </c>
      <c r="IA135" s="390">
        <f>HZ135*(VLOOKUP($HX$9,各项系数!$D$1:$F$143,2,0))</f>
        <v>2.42773626438618</v>
      </c>
      <c r="IB135" s="406">
        <f>各项系数!$F$76/4*($MW135^2-$MT135^2)*10^-2*(VLOOKUP($IB$9,各项系数!$D$1:$F$143,3,0))*10^-3*10^2*各项系数!$J$4</f>
        <v>0.222100192112791</v>
      </c>
      <c r="IC135" s="420">
        <v>1</v>
      </c>
      <c r="ID135" s="390">
        <f t="shared" si="531"/>
        <v>0.222100192112791</v>
      </c>
      <c r="IE135" s="390">
        <f>ID135*(VLOOKUP($IB$9,各项系数!$D$1:$F$143,2,0))</f>
        <v>2.44310211324071</v>
      </c>
      <c r="IF135" s="429"/>
      <c r="IG135" s="406">
        <f t="shared" si="415"/>
        <v>0.0504551482176173</v>
      </c>
      <c r="IH135" s="389">
        <v>1</v>
      </c>
      <c r="II135" s="390">
        <f t="shared" si="532"/>
        <v>0.0504551482176173</v>
      </c>
      <c r="IJ135" s="390">
        <f>II135*(VLOOKUP($IG$8,各项系数!$D$1:$F$143,2,0))</f>
        <v>1.26137870544043</v>
      </c>
      <c r="IK135" s="406">
        <f>(各项系数!$F$76/4*($MX135^2-$MK135^2)*$EG135)*10^-2*(VLOOKUP($IG$8,各项系数!$D$1:$F$143,3,0))*10^-3*10^2*各项系数!$J$4</f>
        <v>0.0430526561400525</v>
      </c>
      <c r="IL135" s="389">
        <f>IK135*(VLOOKUP($IG$8,各项系数!$D$1:$F$143,2,0))</f>
        <v>1.07631640350131</v>
      </c>
      <c r="IM135" s="390">
        <f>(各项系数!$F$76/4*(($MM135+3*$X135)^2-MM135^2)*$EO135)*10^-2*(VLOOKUP($IG$8,各项系数!$D$1:$F$143,3,0))*10^-3*10^2*各项系数!$J$4</f>
        <v>0.00740249207756477</v>
      </c>
      <c r="IN135" s="389">
        <f>IM135*(VLOOKUP($IG$8,各项系数!$D$1:$F$143,2,0))</f>
        <v>0.185062301939119</v>
      </c>
      <c r="IO135" s="406">
        <f>各项系数!$F$76/4*($MZ135^2-$MX135^2)*10^-2*(VLOOKUP(L135,各项系数!$D$1:$F$143,3,0))*10^-3*10^2*$ES135*各项系数!$J$4</f>
        <v>0.136962559445656</v>
      </c>
      <c r="IP135" s="389">
        <v>1</v>
      </c>
      <c r="IQ135" s="390">
        <f t="shared" si="533"/>
        <v>0.136962559445656</v>
      </c>
      <c r="IR135" s="367">
        <f>IQ135*(VLOOKUP(L135,各项系数!$D$1:$F$143,2,0))</f>
        <v>1.39701810634569</v>
      </c>
      <c r="IS135" s="406">
        <f>IF($L135&lt;&gt;$IS$9,0,各项系数!$F$76/4*($MZ135^2-$MX135^2)*10^-2*各项系数!$F$12*10^-3*10^2)*$ES135*各项系数!$J$4</f>
        <v>0</v>
      </c>
      <c r="IT135" s="389">
        <v>1</v>
      </c>
      <c r="IU135" s="390">
        <f t="shared" si="534"/>
        <v>0</v>
      </c>
      <c r="IV135" s="367">
        <f>IU135*各项系数!$E$12</f>
        <v>0</v>
      </c>
      <c r="IW135" s="388">
        <f t="shared" si="535"/>
        <v>0.136962559445656</v>
      </c>
      <c r="IX135" s="388">
        <f t="shared" si="536"/>
        <v>1.39701810634569</v>
      </c>
      <c r="IY135" s="447">
        <f>各项系数!$F$76/4*($NB135^2-$MZ135^2*$EG135-$NA135^2*$EO135)*10^-2</f>
        <v>1.51096362050574</v>
      </c>
      <c r="IZ135" s="366">
        <f t="shared" si="487"/>
        <v>1</v>
      </c>
      <c r="JA135" s="367">
        <f t="shared" si="363"/>
        <v>1.51096362050574</v>
      </c>
      <c r="JB135" s="364">
        <f>IF($DE135&lt;&gt;$JB$9,0,$JA135*各项系数!$F$32*10^-3*10^2)*各项系数!$J$4</f>
        <v>0</v>
      </c>
      <c r="JC135" s="123">
        <v>1</v>
      </c>
      <c r="JD135" s="251">
        <f t="shared" si="537"/>
        <v>0</v>
      </c>
      <c r="JE135" s="339">
        <f>JD135*各项系数!$E$32</f>
        <v>0</v>
      </c>
      <c r="JF135" s="364">
        <f>IF($DE135&lt;&gt;$JF$9,0,$JA135*VLOOKUP($JF$9,各项系数!$D$4:$F$540,2,0)*10^-3*10^2)*各项系数!$J$4</f>
        <v>0.751704401201605</v>
      </c>
      <c r="JG135" s="123">
        <v>1</v>
      </c>
      <c r="JH135" s="251">
        <f t="shared" si="364"/>
        <v>0.751704401201605</v>
      </c>
      <c r="JI135" s="339">
        <f>JH135*VLOOKUP($JF$9,各项系数!$D$4:$F$540,3,0)</f>
        <v>0.902045281441926</v>
      </c>
      <c r="JJ135" s="364">
        <f t="shared" si="538"/>
        <v>0.751704401201605</v>
      </c>
      <c r="JK135" s="251">
        <f t="shared" si="539"/>
        <v>0.902045281441926</v>
      </c>
      <c r="JL135" s="364">
        <f>IF($DF135&lt;&gt;$JL$9,0,各项系数!$F$76/4*($NE135^2-$NC135^2)*10^-2*各项系数!$F$39*10^-3*10^2)*各项系数!$J$4</f>
        <v>0.00283122180772809</v>
      </c>
      <c r="JM135" s="123">
        <v>1</v>
      </c>
      <c r="JN135" s="251">
        <f t="shared" si="540"/>
        <v>0.00283122180772809</v>
      </c>
      <c r="JO135" s="339">
        <f>JN135*各项系数!$E$39</f>
        <v>0.0566244361545617</v>
      </c>
      <c r="JP135" s="364">
        <f>IF($DF135&lt;&gt;$JP$9,0,各项系数!$F$76/4*($NE135^2-$NC135^2)*10^-2*各项系数!$F$36*10^-3*10^2)*各项系数!$J$4</f>
        <v>0</v>
      </c>
      <c r="JQ135" s="123">
        <v>1</v>
      </c>
      <c r="JR135" s="251">
        <f t="shared" si="541"/>
        <v>0</v>
      </c>
      <c r="JS135" s="339">
        <f>JR135*各项系数!$E$36</f>
        <v>0</v>
      </c>
      <c r="JT135" s="364">
        <f>IF($DF135&lt;&gt;$JT$9,0,各项系数!$F$76/4*($NE135^2-$NC135^2)*10^-2*各项系数!$F$40*10^-3*10^2)*各项系数!$J$4</f>
        <v>0</v>
      </c>
      <c r="JU135" s="123">
        <v>1</v>
      </c>
      <c r="JV135" s="251">
        <f t="shared" si="542"/>
        <v>0</v>
      </c>
      <c r="JW135" s="339">
        <f>JV135*各项系数!$E$40</f>
        <v>0</v>
      </c>
      <c r="JX135" s="364">
        <f>IF($DF135&lt;&gt;$JX$9,0,各项系数!$F$76/4*($NE135^2-$NC135^2)*10^-2*各项系数!$F$38*10^-3*10^2)*各项系数!$J$4</f>
        <v>0</v>
      </c>
      <c r="JY135" s="123">
        <v>1</v>
      </c>
      <c r="JZ135" s="251">
        <f t="shared" si="543"/>
        <v>0</v>
      </c>
      <c r="KA135" s="339">
        <f>JZ135*各项系数!$E$38</f>
        <v>0</v>
      </c>
      <c r="KB135" s="364">
        <f>IF($DF135&lt;&gt;$KB$9,0,各项系数!$F$76/4*($NE135^2-$NC135^2)*10^-2*各项系数!$F$41*10^-3*10^2)*各项系数!$J$4</f>
        <v>0</v>
      </c>
      <c r="KC135" s="123">
        <v>1</v>
      </c>
      <c r="KD135" s="251">
        <f t="shared" si="544"/>
        <v>0</v>
      </c>
      <c r="KE135" s="339">
        <f>KD135*各项系数!$E$41</f>
        <v>0</v>
      </c>
      <c r="KF135" s="251">
        <f t="shared" si="545"/>
        <v>0.00283122180772809</v>
      </c>
      <c r="KG135" s="251">
        <f t="shared" si="546"/>
        <v>0.0566244361545617</v>
      </c>
      <c r="KH135" s="302">
        <f>各项系数!$F$76/4*($NG135^2-$NE135^2)*10^-2*各项系数!$F$44*10^-3*10^2*各项系数!$J$4*0.75*$U135</f>
        <v>0.281371926760025</v>
      </c>
      <c r="KI135" s="123">
        <v>1</v>
      </c>
      <c r="KJ135" s="251">
        <f t="shared" si="547"/>
        <v>0.281371926760025</v>
      </c>
      <c r="KK135" s="251">
        <f>ROUND(KJ135*各项系数!$E$43,GT135)</f>
        <v>2</v>
      </c>
      <c r="KL135" s="302">
        <f>各项系数!$F$76/4*($NF135^2-$NE135^2)*10^-2*各项系数!$F$46*10^-3*10^2*各项系数!$J$4*PI()/4*R135</f>
        <v>0.0354227047277275</v>
      </c>
      <c r="KM135" s="123">
        <v>1</v>
      </c>
      <c r="KN135" s="251">
        <f t="shared" si="548"/>
        <v>0.0354227047277275</v>
      </c>
      <c r="KO135" s="251">
        <f>KN135*各项系数!$E$46</f>
        <v>2.39103256912161</v>
      </c>
      <c r="KP135" s="302">
        <f>各项系数!$F$76/4*($NH135^2-$NE135^2)*10^-2*(VLOOKUP($KP$9,各项系数!$D$1:$F$143,3,0))*10^-3*10^2*各项系数!$J$4</f>
        <v>0.234062974231525</v>
      </c>
      <c r="KQ135" s="123">
        <v>1</v>
      </c>
      <c r="KR135" s="251">
        <f t="shared" si="416"/>
        <v>0.234062974231525</v>
      </c>
      <c r="KS135" s="251">
        <f>KR135*(VLOOKUP($KP$9,各项系数!$D$1:$F$143,2,0))</f>
        <v>3.97907056193592</v>
      </c>
      <c r="KT135" s="302">
        <f>各项系数!$F$76/4*($NI135^2-$NF135^2)*10^-2*(VLOOKUP($KT$9,各项系数!$D$1:$F$143,3,0))*10^-3*10^2*各项系数!$J$4</f>
        <v>0.235440864203019</v>
      </c>
      <c r="KU135" s="123">
        <v>1</v>
      </c>
      <c r="KV135" s="251">
        <f t="shared" si="417"/>
        <v>0.235440864203019</v>
      </c>
      <c r="KW135" s="251">
        <f>KV135*(VLOOKUP($KT$9,各项系数!$D$1:$F$143,2,0))</f>
        <v>4.00249469145132</v>
      </c>
      <c r="KX135" s="251">
        <f>各项系数!$F$76/4*($NH135^2-$NE135^2)*10^-2*(VLOOKUP($KX$9,各项系数!$D$1:$F$143,3,0))*10^-3*10^2*各项系数!$J$4</f>
        <v>0.234062974231525</v>
      </c>
      <c r="KY135" s="479">
        <v>1</v>
      </c>
      <c r="KZ135" s="251">
        <f t="shared" si="418"/>
        <v>0.234062974231525</v>
      </c>
      <c r="LA135" s="251">
        <f>KZ135*(VLOOKUP($KX$9,各项系数!$D$1:$F$143,2,0))</f>
        <v>3.97907056193592</v>
      </c>
      <c r="LB135" s="251">
        <f>各项系数!$F$76/4*($NI135^2-$NF135^2)*10^-2*(VLOOKUP($LB$9,各项系数!$D$1:$F$143,3,0))*10^-3*10^2*各项系数!$J$4</f>
        <v>0.235440864203019</v>
      </c>
      <c r="LC135" s="479">
        <v>1</v>
      </c>
      <c r="LD135" s="251">
        <f t="shared" si="419"/>
        <v>0.235440864203019</v>
      </c>
      <c r="LE135" s="251">
        <f>LD135*(VLOOKUP($LB$9,各项系数!$D$1:$F$143,2,0))</f>
        <v>4.00249469145132</v>
      </c>
      <c r="LF135" s="302">
        <f>各项系数!$F$76/4*($NH135^2-$NE135^2)*10^-2*(VLOOKUP(AN135,各项系数!$D$1:$F$143,3,0))*10^-3*10^2*各项系数!$J$4</f>
        <v>0.237291429048511</v>
      </c>
      <c r="LG135" s="123">
        <v>1</v>
      </c>
      <c r="LH135" s="251">
        <f t="shared" si="549"/>
        <v>0.237291429048511</v>
      </c>
      <c r="LI135" s="251">
        <f>LH135*(VLOOKUP(AN135,各项系数!$D$1:$F$143,2,0))</f>
        <v>2.37291429048511</v>
      </c>
      <c r="LJ135" s="302">
        <f>各项系数!$F$76/4*($NI135^2-$NF135^2)*10^-2*(VLOOKUP(AN135,各项系数!$D$1:$F$143,3,0))*10^-3*10^2*各项系数!$J$4</f>
        <v>0.238688324398922</v>
      </c>
      <c r="LK135" s="123">
        <v>1</v>
      </c>
      <c r="LL135" s="251">
        <f t="shared" si="550"/>
        <v>0.238688324398922</v>
      </c>
      <c r="LM135" s="251">
        <f>LL135*(VLOOKUP(AN135,各项系数!$D$1:$F$143,2,0))</f>
        <v>2.38688324398922</v>
      </c>
      <c r="LN135" s="251">
        <f>各项系数!$F$76/4*($NH135^2-$NE135^2)*10^-2*(VLOOKUP($LN$9,各项系数!$D$1:$F$143,3,0))*10^-3*10^2*各项系数!$J$4</f>
        <v>0.237291429048511</v>
      </c>
      <c r="LO135" s="479">
        <v>1</v>
      </c>
      <c r="LP135" s="251">
        <f t="shared" si="551"/>
        <v>0.237291429048511</v>
      </c>
      <c r="LQ135" s="251">
        <f>LP135*(VLOOKUP($LN$9,各项系数!$D$1:$F$143,2,0))</f>
        <v>2.61020571953363</v>
      </c>
      <c r="LR135" s="251">
        <f>各项系数!$F$76/4*($NI135^2-$NF135^2)*10^-2*(VLOOKUP($LR$9,各项系数!$D$1:$F$143,3,0))*10^-3*10^2*各项系数!$J$4</f>
        <v>0.238688324398922</v>
      </c>
      <c r="LS135" s="479">
        <v>1</v>
      </c>
      <c r="LT135" s="251">
        <f t="shared" si="552"/>
        <v>0.238688324398922</v>
      </c>
      <c r="LU135" s="251">
        <f>LT135*(VLOOKUP($LR$9,各项系数!$D$1:$F$143,2,0))</f>
        <v>2.62557156838815</v>
      </c>
      <c r="LV135" s="499">
        <f t="shared" si="420"/>
        <v>169.79240507</v>
      </c>
      <c r="LW135" s="499">
        <f t="shared" si="421"/>
        <v>132.0607595</v>
      </c>
      <c r="LX135" s="499">
        <f t="shared" si="422"/>
        <v>12.9670729659071</v>
      </c>
      <c r="LY135" s="515">
        <f t="shared" si="423"/>
        <v>37.73164557</v>
      </c>
      <c r="LZ135" s="516">
        <f t="shared" si="365"/>
        <v>1</v>
      </c>
      <c r="MA135" s="517">
        <f t="shared" si="366"/>
        <v>169.79240507</v>
      </c>
      <c r="MB135" s="517">
        <f t="shared" si="424"/>
        <v>7.35163935</v>
      </c>
      <c r="MC135" s="499">
        <f t="shared" si="425"/>
        <v>19.34156968</v>
      </c>
      <c r="MD135" s="499">
        <f t="shared" si="426"/>
        <v>15.04344305</v>
      </c>
      <c r="ME135" s="499">
        <f t="shared" si="427"/>
        <v>4.37651763166006</v>
      </c>
      <c r="MF135" s="499">
        <f t="shared" si="428"/>
        <v>4.29812663</v>
      </c>
      <c r="MG135" s="516">
        <f t="shared" si="429"/>
        <v>1</v>
      </c>
      <c r="MH135" s="517">
        <f t="shared" si="367"/>
        <v>19.34156968</v>
      </c>
      <c r="MI135" s="517">
        <f t="shared" si="430"/>
        <v>4.96250454647919</v>
      </c>
      <c r="MJ135" s="251">
        <f t="shared" si="368"/>
        <v>7.35163935</v>
      </c>
      <c r="MK135" s="251">
        <f t="shared" si="431"/>
        <v>7.35163935</v>
      </c>
      <c r="ML135" s="251">
        <f t="shared" si="553"/>
        <v>4.96250454620067</v>
      </c>
      <c r="MM135" s="251">
        <f t="shared" si="369"/>
        <v>4.96250454647919</v>
      </c>
      <c r="MN135" s="251">
        <f t="shared" si="370"/>
        <v>9.15163935</v>
      </c>
      <c r="MO135" s="251">
        <f t="shared" si="432"/>
        <v>6.36250454647919</v>
      </c>
      <c r="MP135" s="251">
        <f t="shared" si="433"/>
        <v>23.20329345</v>
      </c>
      <c r="MQ135" s="251">
        <f t="shared" si="554"/>
        <v>23.20329345</v>
      </c>
      <c r="MR135" s="314">
        <f t="shared" si="434"/>
        <v>23.20329345</v>
      </c>
      <c r="MS135" s="530">
        <f t="shared" si="371"/>
        <v>23.37929345</v>
      </c>
      <c r="MT135" s="530">
        <f t="shared" si="372"/>
        <v>23.53929345</v>
      </c>
      <c r="MU135" s="530">
        <f t="shared" si="373"/>
        <v>23.97929345</v>
      </c>
      <c r="MV135" s="530">
        <f t="shared" si="374"/>
        <v>27.17929345</v>
      </c>
      <c r="MW135" s="530">
        <f t="shared" si="375"/>
        <v>27.33929345</v>
      </c>
      <c r="MX135" s="326">
        <f t="shared" si="376"/>
        <v>7.95163935</v>
      </c>
      <c r="MY135" s="326">
        <f t="shared" si="377"/>
        <v>5.56250454647919</v>
      </c>
      <c r="MZ135" s="251">
        <f t="shared" si="378"/>
        <v>9.75163935</v>
      </c>
      <c r="NA135" s="251">
        <f t="shared" si="379"/>
        <v>7.36250454647919</v>
      </c>
      <c r="NB135" s="251">
        <f t="shared" si="435"/>
        <v>25.03929345</v>
      </c>
      <c r="NC135" s="326">
        <f t="shared" si="555"/>
        <v>25.03929345</v>
      </c>
      <c r="ND135" s="314">
        <f t="shared" si="436"/>
        <v>25.03929345</v>
      </c>
      <c r="NE135" s="537">
        <f t="shared" si="437"/>
        <v>25.27929345</v>
      </c>
      <c r="NF135" s="530">
        <f t="shared" si="380"/>
        <v>25.43929345</v>
      </c>
      <c r="NG135" s="538">
        <f t="shared" si="381"/>
        <v>25.87929345</v>
      </c>
      <c r="NH135" s="326">
        <f t="shared" si="382"/>
        <v>29.07929345</v>
      </c>
      <c r="NI135" s="530">
        <f t="shared" si="383"/>
        <v>29.23929345</v>
      </c>
      <c r="NK135" s="539">
        <f t="shared" si="384"/>
        <v>1.82474183829144</v>
      </c>
      <c r="NL135" s="539">
        <f t="shared" si="385"/>
        <v>90.2343193407678</v>
      </c>
      <c r="NM135" s="539">
        <f t="shared" si="386"/>
        <v>1.82474183829144</v>
      </c>
      <c r="NN135" s="539">
        <f t="shared" si="387"/>
        <v>90.4550226375301</v>
      </c>
      <c r="NO135" s="539">
        <f t="shared" si="388"/>
        <v>2.50217822778428</v>
      </c>
      <c r="NP135" s="539">
        <f t="shared" si="389"/>
        <v>92.3423220488632</v>
      </c>
      <c r="NQ135" s="539">
        <f t="shared" si="390"/>
        <v>2.50217822778428</v>
      </c>
      <c r="NR135" s="539">
        <f t="shared" si="391"/>
        <v>92.5796134779117</v>
      </c>
      <c r="NS135" s="539">
        <f t="shared" si="392"/>
        <v>1.85751055981118</v>
      </c>
      <c r="NT135" s="539">
        <f t="shared" si="393"/>
        <v>1.85751055981118</v>
      </c>
      <c r="NU135" s="539">
        <f t="shared" si="394"/>
        <v>2.537600932512</v>
      </c>
      <c r="NV135" s="539">
        <f t="shared" si="395"/>
        <v>2.537600932512</v>
      </c>
      <c r="NW135">
        <f t="shared" si="396"/>
        <v>1.99838980437948</v>
      </c>
      <c r="NX135">
        <f>各项系数!$M$9*NK135</f>
        <v>0.547422551487431</v>
      </c>
      <c r="NY135">
        <f t="shared" si="397"/>
        <v>1.85751055981118</v>
      </c>
    </row>
    <row r="136" customHeight="1" spans="1:389">
      <c r="A136" s="85"/>
      <c r="B136" s="86"/>
      <c r="C136" s="87"/>
      <c r="D136" s="69" t="s">
        <v>397</v>
      </c>
      <c r="E136" s="77">
        <f t="shared" si="560"/>
        <v>33.45110729</v>
      </c>
      <c r="F136" s="84">
        <f>$F$24</f>
        <v>238.573455311777</v>
      </c>
      <c r="G136" s="74"/>
      <c r="H136" s="23"/>
      <c r="I136" s="174">
        <f>$F$22</f>
        <v>208.046961644752</v>
      </c>
      <c r="J136" s="78"/>
      <c r="K136" s="23"/>
      <c r="L136" s="118" t="s">
        <v>467</v>
      </c>
      <c r="M136" s="124">
        <f t="shared" si="339"/>
        <v>1</v>
      </c>
      <c r="N136" s="124">
        <f t="shared" si="501"/>
        <v>0.9</v>
      </c>
      <c r="O136" s="69">
        <f t="shared" si="572"/>
        <v>0.08</v>
      </c>
      <c r="P136" s="120">
        <v>0.1</v>
      </c>
      <c r="Q136" s="162">
        <f t="shared" si="578"/>
        <v>0.1</v>
      </c>
      <c r="R136" s="86">
        <v>0.8</v>
      </c>
      <c r="S136" s="171" t="str">
        <f>各项系数!$D$43</f>
        <v>钢带</v>
      </c>
      <c r="T136" s="123">
        <v>0.5</v>
      </c>
      <c r="U136" s="123">
        <v>2</v>
      </c>
      <c r="V136" s="169"/>
      <c r="W136" s="170">
        <v>2</v>
      </c>
      <c r="X136" s="164">
        <f t="shared" si="579"/>
        <v>0.2</v>
      </c>
      <c r="Y136" s="219"/>
      <c r="Z136" s="220"/>
      <c r="AA136" s="217">
        <f>$AA$24</f>
        <v>1.011</v>
      </c>
      <c r="AB136" s="186">
        <f>PI()*EJ136*EJ136/4*EH136*(1-H136)*AA136*各项系数!$F$5*各项系数!$J$4*10^-7</f>
        <v>0.399769926055488</v>
      </c>
      <c r="AC136" s="186">
        <f t="shared" si="573"/>
        <v>238.573455311777</v>
      </c>
      <c r="AD136" s="186">
        <f t="shared" si="341"/>
        <v>45.1944679590854</v>
      </c>
      <c r="AE136" s="186">
        <f>POWER(4*EU136/PI()/EG136/10^-7/EH136/(1-H136)/各项系数!$F$5/各项系数!$J$4,0.5)</f>
        <v>239.882020603408</v>
      </c>
      <c r="AF136" s="218">
        <f>$AA$22</f>
        <v>1.011</v>
      </c>
      <c r="AG136" s="85">
        <f>IF(EM136=0,0,PI()*ER136*ER136/4*EP136*(1-K136)*(1+AF136)*各项系数!$F$5*各项系数!$J$4*10^-7)</f>
        <v>0.423299337741741</v>
      </c>
      <c r="AH136" s="85">
        <f t="shared" si="574"/>
        <v>208.046961644752</v>
      </c>
      <c r="AI136" s="85">
        <f t="shared" si="398"/>
        <v>24.0581280607511</v>
      </c>
      <c r="AJ136" s="85">
        <f>IF(OR(EP136="",EP136=0),0,POWER(4*EW136/PI()/EO136/10^-7/EP136/(1-K136)/各项系数!$F$5/各项系数!$J$4,0.5))</f>
        <v>209.188090412333</v>
      </c>
      <c r="AK136" s="85">
        <f t="shared" si="342"/>
        <v>1.81188707888973</v>
      </c>
      <c r="AL136" s="85">
        <f t="shared" si="575"/>
        <v>128.077701164743</v>
      </c>
      <c r="AM136" s="250">
        <f t="shared" si="576"/>
        <v>50</v>
      </c>
      <c r="AN136" s="118" t="s">
        <v>486</v>
      </c>
      <c r="AO136" s="259">
        <f>AP136+各项系数!$M$9*$NK136</f>
        <v>125.566373690925</v>
      </c>
      <c r="AP136" s="259">
        <f>AQ136*(1+$BI136+(VLOOKUP($AM136,$A$12:$B$323,2,0))+各项系数!$J$6+各项系数!$M$5)*(1+$E$2)</f>
        <v>124.803955369387</v>
      </c>
      <c r="AQ136" s="260">
        <f>AR136+各项系数!$L$9*$NK136</f>
        <v>127.350974866721</v>
      </c>
      <c r="AR136" s="260">
        <f>AS136*(1+$BJ136+各项系数!$J$5+各项系数!$L$5)</f>
        <v>126.588556545184</v>
      </c>
      <c r="AS136" s="260">
        <f t="shared" si="399"/>
        <v>124.106427985474</v>
      </c>
      <c r="AT136" s="259">
        <f>AU136+各项系数!$M$9*$NM136</f>
        <v>127.522010565101</v>
      </c>
      <c r="AU136" s="259">
        <f>AV136*(1+$BI136+(VLOOKUP($AM136,$A$12:$B$323,2,0))+各项系数!$J$6+各项系数!$M$5)*(1+$E$2)</f>
        <v>126.759592243563</v>
      </c>
      <c r="AV136" s="260">
        <f>AW136+各项系数!$L$9*$NM136</f>
        <v>129.346522697513</v>
      </c>
      <c r="AW136" s="260">
        <f>AX136*(1+$BJ136+各项系数!$J$5+各项系数!$L$5)</f>
        <v>128.584104375975</v>
      </c>
      <c r="AX136" s="260">
        <f t="shared" si="400"/>
        <v>126.062847427427</v>
      </c>
      <c r="AY136" s="259">
        <f>AZ136+各项系数!$M$9*$NS136</f>
        <v>128.388837972818</v>
      </c>
      <c r="AZ136" s="259">
        <f>BA136*(1+$BI136+(VLOOKUP($AM136,$A$12:$B$214,2,0))+各项系数!$J$6+各项系数!$M$5)*(1+$E$2)</f>
        <v>127.614044641355</v>
      </c>
      <c r="BA136" s="260">
        <f>BB136+各项系数!$L$9*$NS136</f>
        <v>130.218412899342</v>
      </c>
      <c r="BB136" s="260">
        <f>BC136*(1+$BJ136+各项系数!$J$5+各项系数!$L$5)</f>
        <v>129.443619567878</v>
      </c>
      <c r="BC136" s="262">
        <f t="shared" si="401"/>
        <v>126.905509380273</v>
      </c>
      <c r="BD136" s="259">
        <f>BE136+各项系数!$M$9*$NS136</f>
        <v>130.354423682721</v>
      </c>
      <c r="BE136" s="563">
        <f>BF136*(1+$BI136+(VLOOKUP($AM136,$A$12:$B$214,2,0))+各项系数!$J$6+各项系数!$M$5)*(1+$E$2)</f>
        <v>129.579630351258</v>
      </c>
      <c r="BF136" s="260">
        <f>BG136+各项系数!$L$9*$NS136</f>
        <v>132.224112603324</v>
      </c>
      <c r="BG136" s="260">
        <f>BH136*(1+$BJ136+各项系数!$J$5+各项系数!$L$5)</f>
        <v>131.449319271861</v>
      </c>
      <c r="BH136" s="262">
        <f t="shared" si="402"/>
        <v>128.871881639079</v>
      </c>
      <c r="BI136" s="275">
        <v>0</v>
      </c>
      <c r="BJ136" s="272"/>
      <c r="BK136" s="69" t="s">
        <v>514</v>
      </c>
      <c r="BL136" s="259">
        <f>BM136+各项系数!$M$9*$NM136</f>
        <v>127.074372502622</v>
      </c>
      <c r="BM136" s="259">
        <f>BN136*(1+$CF136+(VLOOKUP($AM136,$A$12:$B$323,2,0))+各项系数!$J$6+各项系数!$M$5)*(1+$E$2)</f>
        <v>126.311954181084</v>
      </c>
      <c r="BN136" s="260">
        <f>BO136+各项系数!$L$9*$NM136</f>
        <v>128.889749164371</v>
      </c>
      <c r="BO136" s="260">
        <f>BP136*(1+$CG136+各项系数!$J$5+各项系数!$L$5)</f>
        <v>128.127330842833</v>
      </c>
      <c r="BP136" s="260">
        <f t="shared" si="403"/>
        <v>124.395466837702</v>
      </c>
      <c r="BQ136" s="259">
        <f>BR136+各项系数!$M$9*$NM136</f>
        <v>128.757426469889</v>
      </c>
      <c r="BR136" s="259">
        <f>BS136*(1+$CF136+(VLOOKUP($AM136,$A$12:$B$323,2,0))+各项系数!$J$6+各项系数!$M$5)*(1+$E$2)</f>
        <v>127.995008148352</v>
      </c>
      <c r="BS136" s="260">
        <f>BT136+各项系数!$L$9*$NM136</f>
        <v>130.607151171787</v>
      </c>
      <c r="BT136" s="260">
        <f>BU136*(1+$CG136+各项系数!$J$5+各项系数!$L$5)</f>
        <v>129.844732850249</v>
      </c>
      <c r="BU136" s="260">
        <f t="shared" si="404"/>
        <v>126.062847427427</v>
      </c>
      <c r="BV136" s="259">
        <f>BW136+各项系数!$M$9*$NT136</f>
        <v>129.174552690512</v>
      </c>
      <c r="BW136" s="259">
        <f>BX136*(1+$CF136+(VLOOKUP($AM136,$A$12:$B$214,2,0))+各项系数!$J$6+各项系数!$M$5)*(1+$E$2)</f>
        <v>128.399759359049</v>
      </c>
      <c r="BX136" s="260">
        <f>BY136+各项系数!$L$9*$NT$12</f>
        <v>131.020162611274</v>
      </c>
      <c r="BY136" s="260">
        <f>BZ136*(1+$CG136+各项系数!$J$5+各项系数!$L$5)</f>
        <v>131.011899208119</v>
      </c>
      <c r="BZ136" s="262">
        <f t="shared" si="343"/>
        <v>127.19601864866</v>
      </c>
      <c r="CA136" s="259">
        <f>CB136+各项系数!$M$9*$NT136</f>
        <v>130.866168793042</v>
      </c>
      <c r="CB136" s="259">
        <f>CC136*(1+$CF136+(VLOOKUP($AM136,$A$12:$B$214,2,0))+各项系数!$J$6+各项系数!$M$5)*(1+$E$2)</f>
        <v>130.091375461579</v>
      </c>
      <c r="CC136" s="260">
        <f>CD136+各项系数!$L$9*$NT$12</f>
        <v>132.746301491407</v>
      </c>
      <c r="CD136" s="260">
        <f>CE136*(1+$CG136+各项系数!$J$5+各项系数!$L$5)</f>
        <v>132.738038088252</v>
      </c>
      <c r="CE136" s="262">
        <f t="shared" si="405"/>
        <v>128.871881639079</v>
      </c>
      <c r="CF136" s="275">
        <f>(BI136+$CF$2)-BI136/1.3</f>
        <v>0</v>
      </c>
      <c r="CG136" s="277">
        <f t="shared" si="344"/>
        <v>0.01</v>
      </c>
      <c r="CH136" s="123"/>
      <c r="CI136" s="259">
        <f>CJ136+各项系数!$M$9*$NO136</f>
        <v>129.556922774424</v>
      </c>
      <c r="CJ136" s="259">
        <f>CK136*(1+$DC136+(VLOOKUP($AM136,$A$12:$B$323,2,0))+各项系数!$J$6+各项系数!$M$5)*(1+$E$2)+各项系数!$M$9*$NK136</f>
        <v>128.497333575063</v>
      </c>
      <c r="CK136" s="260">
        <f>CL136+各项系数!$L$9*$NO136</f>
        <v>130.341750258699</v>
      </c>
      <c r="CL136" s="260">
        <f>CM136*(1+$DD136+各项系数!$J$5+各项系数!$L$5)</f>
        <v>129.282161059337</v>
      </c>
      <c r="CM136" s="260">
        <f t="shared" si="345"/>
        <v>126.74721672484</v>
      </c>
      <c r="CN136" s="259">
        <f>CO136+各项系数!$M$9*$NO136</f>
        <v>131.347938913511</v>
      </c>
      <c r="CO136" s="259">
        <f>CP136*(1+$DC136+(VLOOKUP($AM136,$A$12:$B$323,2,0))+各项系数!$J$6+各项系数!$M$5)*(1+$E$2)+各项系数!$M$9*$NK136</f>
        <v>130.28834971415</v>
      </c>
      <c r="CP136" s="260">
        <f>CQ136+各项系数!$L$9*$NO136</f>
        <v>132.169317747563</v>
      </c>
      <c r="CQ136" s="260">
        <f>CR136*(1+$DD136+各项系数!$J$5+各项系数!$L$5)</f>
        <v>131.109728548201</v>
      </c>
      <c r="CR136" s="260">
        <f t="shared" si="346"/>
        <v>128.53894955706</v>
      </c>
      <c r="CS136" s="259">
        <f>CT136+各项系数!$M$9*$NU136</f>
        <v>131.787348958797</v>
      </c>
      <c r="CT136" s="259">
        <f t="shared" si="347"/>
        <v>130.714633811945</v>
      </c>
      <c r="CU136" s="260">
        <f>CV136+各项系数!$L$9*$NU136</f>
        <v>133.382279399944</v>
      </c>
      <c r="CV136" s="260">
        <f>CW136*(1+$DD136+各项系数!$J$5+各项系数!$L$5)</f>
        <v>132.309564253092</v>
      </c>
      <c r="CW136" s="262">
        <f t="shared" si="348"/>
        <v>129.715259071659</v>
      </c>
      <c r="CX136" s="259">
        <f>CY136+各项系数!$M$9*$NU136</f>
        <v>133.864361628845</v>
      </c>
      <c r="CY136" s="259">
        <f t="shared" si="349"/>
        <v>132.791646481993</v>
      </c>
      <c r="CZ136" s="260">
        <f>DA136+各项系数!$L$9*$NU136</f>
        <v>135.501680083667</v>
      </c>
      <c r="DA136" s="260">
        <f>DB136*(1+$DD136+各项系数!$J$5+各项系数!$L$5)</f>
        <v>134.428964936815</v>
      </c>
      <c r="DB136" s="262">
        <f t="shared" si="350"/>
        <v>131.79310287923</v>
      </c>
      <c r="DC136" s="275">
        <f>(BI136+$DC$2)-BI136/1.3</f>
        <v>0</v>
      </c>
      <c r="DD136" s="277">
        <f t="shared" si="351"/>
        <v>0</v>
      </c>
      <c r="DE136" s="69" t="s">
        <v>498</v>
      </c>
      <c r="DF136" s="69" t="s">
        <v>513</v>
      </c>
      <c r="DG136" s="259">
        <f>DH136+各项系数!$M$9*$NQ136</f>
        <v>131.107424782153</v>
      </c>
      <c r="DH136" s="259">
        <f>DI136*(1+$EA136+(VLOOKUP($AM136,$A$12:$B$323,2,0))+各项系数!$J$6+各项系数!$M$5)*(1+$E$2)+各项系数!$M$9*$NK136</f>
        <v>130.047835582792</v>
      </c>
      <c r="DI136" s="260">
        <f>DJ136+各项系数!$L$9*$NQ136</f>
        <v>131.923895164545</v>
      </c>
      <c r="DJ136" s="260">
        <f>DK136*(1+$EB136+各项系数!$J$5+各项系数!$L$5)</f>
        <v>130.864305965183</v>
      </c>
      <c r="DK136" s="260">
        <f t="shared" si="352"/>
        <v>127.052724238042</v>
      </c>
      <c r="DL136" s="259">
        <f>DM136+各项系数!$M$9*$NQ136</f>
        <v>132.886374664358</v>
      </c>
      <c r="DM136" s="259">
        <f>DN136*(1+$EA136+(VLOOKUP($AM136,$A$12:$B$323,2,0))+各项系数!$J$6+各项系数!$M$5)*(1+$E$2)+各项系数!$M$9*$NK136</f>
        <v>131.826785464996</v>
      </c>
      <c r="DN136" s="260">
        <f>DO136+各项系数!$L$9*$NQ136</f>
        <v>133.739150146386</v>
      </c>
      <c r="DO136" s="260">
        <f>DP136*(1+$EB136+各项系数!$J$5+各项系数!$L$5)</f>
        <v>132.679560947024</v>
      </c>
      <c r="DP136" s="260">
        <f t="shared" si="353"/>
        <v>128.815107715557</v>
      </c>
      <c r="DQ136" s="259">
        <f>DR136+各项系数!$M$9*$NV136</f>
        <v>133.368422019595</v>
      </c>
      <c r="DR136" s="259">
        <f t="shared" si="354"/>
        <v>132.295706872743</v>
      </c>
      <c r="DS136" s="260">
        <f>DT136+各项系数!$L$9*$NV136</f>
        <v>134.995619257901</v>
      </c>
      <c r="DT136" s="260">
        <f>DU136*(1+$EB136+各项系数!$J$5+各项系数!$L$5)</f>
        <v>133.92290411105</v>
      </c>
      <c r="DU136" s="262">
        <f t="shared" si="355"/>
        <v>130.022237001019</v>
      </c>
      <c r="DV136" s="259">
        <f>DW136+各项系数!$M$9*$NV136</f>
        <v>133.183516583028</v>
      </c>
      <c r="DW136" s="259">
        <f t="shared" si="356"/>
        <v>132.110801436177</v>
      </c>
      <c r="DX136" s="260">
        <f>DY136+各项系数!$L$9*$NV136</f>
        <v>134.806940240997</v>
      </c>
      <c r="DY136" s="260">
        <f>DZ136*(1+$EB136+各项系数!$J$5+各项系数!$L$5)</f>
        <v>133.734225094145</v>
      </c>
      <c r="DZ136" s="262">
        <f t="shared" si="357"/>
        <v>129.839053489461</v>
      </c>
      <c r="EA136" s="275">
        <f>(BI136+$EA$2)-BI136/1.3</f>
        <v>0</v>
      </c>
      <c r="EB136" s="277">
        <f t="shared" si="358"/>
        <v>0.01</v>
      </c>
      <c r="EC136" s="302" t="str">
        <f t="shared" si="408"/>
        <v>4+1</v>
      </c>
      <c r="ED136" s="302" t="str">
        <f t="shared" si="565"/>
        <v>4*50</v>
      </c>
      <c r="EE136" s="251">
        <f t="shared" si="495"/>
        <v>50</v>
      </c>
      <c r="EF136" s="251" t="str">
        <f>LOOKUP(EH136,{1,7,10,14,19,24,30,37,48,61},{1,"1+6","2+8","4+10","1+6+12","2+8+14","4+10+16","1+6+12+18","3+9+15+21","1+6+12+18+24"})</f>
        <v>2+8</v>
      </c>
      <c r="EG136" s="250">
        <f t="shared" si="359"/>
        <v>4</v>
      </c>
      <c r="EH136" s="260">
        <f>VLOOKUP(EE136,各项系数!$B$87:$C$124,2,0)</f>
        <v>10</v>
      </c>
      <c r="EI136" s="250">
        <f>IF(EH136=0,0,VLOOKUP(EH136,各项系数!$D$142:$E$195,2,0))*1</f>
        <v>4</v>
      </c>
      <c r="EJ136" s="305">
        <f t="shared" si="409"/>
        <v>238.573455311777</v>
      </c>
      <c r="EK136" s="251" t="str">
        <f t="shared" si="566"/>
        <v>1*25</v>
      </c>
      <c r="EL136" s="251" t="str">
        <f t="shared" si="360"/>
        <v>25</v>
      </c>
      <c r="EM136" s="251">
        <f t="shared" si="567"/>
        <v>25</v>
      </c>
      <c r="EN136" s="251" t="str">
        <f>IF(EP136=0,0,LOOKUP(EP136,{1,7,10,14,19,24,30,37,48,61},{1,"1+6","2+8","4+10","1+6+12","2+8+14","4+10+16","1+6+12+18","3+9+15+21","1+6+12+18+24"}))</f>
        <v>1+6</v>
      </c>
      <c r="EO136" s="251" t="str">
        <f t="shared" si="568"/>
        <v>1</v>
      </c>
      <c r="EP136" s="251">
        <f>IF(EM136=0,0,IF(EM136&lt;10,1,IF(AND(EM136&gt;=10,EM136&lt;=35),7,LOOKUP(EM136,{50,70,95,120,150,185,240,300},{10,14,19,24,30,37,48,61})*1)))</f>
        <v>7</v>
      </c>
      <c r="EQ136" s="251">
        <f>IF(EP136=0,0,VLOOKUP(EP136,各项系数!$D$142:$E$195,2,0))*1</f>
        <v>3</v>
      </c>
      <c r="ER136" s="251">
        <f t="shared" si="577"/>
        <v>208.046961644752</v>
      </c>
      <c r="ES136" s="302">
        <f t="shared" si="570"/>
        <v>5</v>
      </c>
      <c r="ET136" s="251">
        <f>VLOOKUP(ES136,各项系数!$D$142:$E$195,2,0)*1</f>
        <v>2.7</v>
      </c>
      <c r="EU136" s="311">
        <f>((各项系数!$F$76/4*$EJ136^2*$EG136*$EH136*1*10^-7)*(1-$H136)*AA136)*(VLOOKUP($EY$9,各项系数!$D$4:$F$143,3,0))*各项系数!$J$4</f>
        <v>1.59907970422195</v>
      </c>
      <c r="EV136" s="312">
        <f>EU136*(VLOOKUP($EY$9,各项系数!$D$4:$F$143,2,0))</f>
        <v>104.739720626538</v>
      </c>
      <c r="EW136" s="324">
        <f>(IF($EO136=0,0,(各项系数!$F$76/4*$ER136^2*$EO136*$EP136*1*10^-7))*(1-$K136)*$AF136)*(VLOOKUP($EY$9,各项系数!$D$4:$F$143,3,0))*各项系数!$J$4</f>
        <v>0.212807374667777</v>
      </c>
      <c r="EX136" s="325">
        <f>EW136*(VLOOKUP($EY$9,各项系数!$D$4:$F$143,2,0))</f>
        <v>13.9388830407394</v>
      </c>
      <c r="EY136" s="251">
        <f>((各项系数!$F$76/4*$EJ136^2*$EG136*$EH136*1*10^-7)*(1-$H136)*AA136+IF($EO136=0,0,(各项系数!$F$76/4*$ER136^2*$EO136*$EP136*1*10^-7))*(1-$K136)*$AF136)*(VLOOKUP($EY$9,各项系数!$D$4:$F$143,3,0))*各项系数!$J$4</f>
        <v>1.81188707888973</v>
      </c>
      <c r="EZ136" s="123">
        <v>1</v>
      </c>
      <c r="FA136" s="251">
        <f t="shared" si="515"/>
        <v>1.81188707888973</v>
      </c>
      <c r="FB136" s="326">
        <f>FA136*(VLOOKUP($EY$9,各项系数!$D$4:$F$143,2,0))</f>
        <v>118.678603667277</v>
      </c>
      <c r="FC136" s="327"/>
      <c r="FD136" s="302">
        <f>各项系数!$F$76/4*($MN136^2-MK136^2)*10^-2*(VLOOKUP(L136,各项系数!$D$1:$F$143,3,0))*10^-3*10^2*$EG136*各项系数!$J$4</f>
        <v>0.145006440085713</v>
      </c>
      <c r="FE136" s="339">
        <f>FD136*VLOOKUP(L136,各项系数!$D$1:$F$143,2,0)</f>
        <v>1.47906568887427</v>
      </c>
      <c r="FF136" s="250">
        <f>各项系数!$F$76/4*($MO136^2-ML136^2)*10^-2*(VLOOKUP(L136,各项系数!$D$1:$F$143,3,0))*10^-3*10^2*$EO136*各项系数!$J$4</f>
        <v>0.0220999883808721</v>
      </c>
      <c r="FG136" s="339">
        <f>FF136*VLOOKUP(L136,各项系数!$D$1:$F$143,2,0)</f>
        <v>0.225419881484895</v>
      </c>
      <c r="FH136" s="302">
        <f t="shared" si="410"/>
        <v>0.167106428466585</v>
      </c>
      <c r="FI136" s="123">
        <v>1</v>
      </c>
      <c r="FJ136" s="251">
        <f t="shared" si="516"/>
        <v>0.167106428466585</v>
      </c>
      <c r="FK136" s="339">
        <f>FJ136*VLOOKUP(L136,各项系数!$D$1:$F$143,2,0)</f>
        <v>1.70448557035917</v>
      </c>
      <c r="FL136" s="302"/>
      <c r="FM136" s="123"/>
      <c r="FN136" s="251"/>
      <c r="FO136" s="339"/>
      <c r="FP136" s="364">
        <f t="shared" si="517"/>
        <v>0.167106428466585</v>
      </c>
      <c r="FQ136" s="364">
        <f t="shared" si="518"/>
        <v>1.70448557035917</v>
      </c>
      <c r="FR136" s="365">
        <f>各项系数!$F$76/4*($MQ136^2-$MN136^2*$EG136-$MO136^2*$EO136)*10^-2</f>
        <v>2.03740107255131</v>
      </c>
      <c r="FS136" s="366">
        <f t="shared" si="411"/>
        <v>1</v>
      </c>
      <c r="FT136" s="367">
        <f t="shared" si="361"/>
        <v>2.03740107255131</v>
      </c>
      <c r="FU136" s="388">
        <f>$FT136*(VLOOKUP($FT$9,各项系数!$D$1:$F$143,3,0))*10^-3*10^2*各项系数!$J$55</f>
        <v>0.243265688062626</v>
      </c>
      <c r="FV136" s="389">
        <v>1</v>
      </c>
      <c r="FW136" s="390">
        <f t="shared" si="519"/>
        <v>0.243265688062626</v>
      </c>
      <c r="FX136" s="367">
        <f>FW136*(VLOOKUP($FT$9,各项系数!$D$1:$F$143,2,0))</f>
        <v>0.729797064187879</v>
      </c>
      <c r="FY136" s="388">
        <f>IF($BK136&lt;&gt;$FY$9,0,各项系数!$F$76/4*($MS136^2-$MQ136^2)*10^-2*(VLOOKUP($FY$9,各项系数!$D$1:$F$143,3,0))*10^-3*10^2)*各项系数!$J$4</f>
        <v>0</v>
      </c>
      <c r="FZ136" s="389">
        <v>1</v>
      </c>
      <c r="GA136" s="390">
        <f t="shared" si="520"/>
        <v>0</v>
      </c>
      <c r="GB136" s="367">
        <f>GA136*(VLOOKUP($FY$9,各项系数!$D$1:$F$143,2,0))</f>
        <v>0</v>
      </c>
      <c r="GC136" s="388">
        <f>IF($BK136&lt;&gt;$GC$9,0,各项系数!$F$76/4*($MS136^2-$MQ136^2)*10^-2*(VLOOKUP($GC$9,各项系数!$D$1:$F$143,3,0))*10^-3*10^2)*各项系数!$J$4</f>
        <v>0.00799636909831822</v>
      </c>
      <c r="GD136" s="389">
        <v>1</v>
      </c>
      <c r="GE136" s="390">
        <f t="shared" si="521"/>
        <v>0.00799636909831822</v>
      </c>
      <c r="GF136" s="367">
        <f>GE136*(VLOOKUP($GC$9,各项系数!$D$1:$F$143,2,0))</f>
        <v>0.103153161368305</v>
      </c>
      <c r="GG136" s="388">
        <f>IF($BK136&lt;&gt;$GG$9,0,各项系数!$F$76/4*($MS136^2-$MQ136^2)*10^-2*(VLOOKUP($GG$9,各项系数!$D$1:$F$143,3,0))*10^-3*10^2)*各项系数!$J$4</f>
        <v>0</v>
      </c>
      <c r="GH136" s="389">
        <v>1</v>
      </c>
      <c r="GI136" s="390">
        <f t="shared" si="522"/>
        <v>0</v>
      </c>
      <c r="GJ136" s="367">
        <f>GI136*(VLOOKUP($GG$9,各项系数!$D$1:$F$143,2,0))</f>
        <v>0</v>
      </c>
      <c r="GK136" s="388">
        <f>IF($BK136&lt;&gt;$GK$9,0,各项系数!$F$76/4*($MS136^2-$MQ136^2)*10^-2*(VLOOKUP($GK$9,各项系数!$D$1:$F$143,3,0))*10^-3*10^2)*各项系数!$J$4</f>
        <v>0</v>
      </c>
      <c r="GL136" s="389">
        <v>1</v>
      </c>
      <c r="GM136" s="390">
        <f t="shared" si="523"/>
        <v>0</v>
      </c>
      <c r="GN136" s="367">
        <f>GM136*(VLOOKUP($GK$9,各项系数!$D$1:$F$143,2,0))</f>
        <v>0</v>
      </c>
      <c r="GO136" s="390">
        <f t="shared" si="524"/>
        <v>0.00799636909831822</v>
      </c>
      <c r="GP136" s="390">
        <f t="shared" si="525"/>
        <v>0.103153161368305</v>
      </c>
      <c r="GQ136" s="406">
        <f>各项系数!$F$76/4*($MU136^2-$MS136^2)*10^-2*(VLOOKUP($S136,各项系数!$D$1:$F$143,3,0))*10^-3*10^2*各项系数!$J$4</f>
        <v>0.553686374298812</v>
      </c>
      <c r="GR136" s="389">
        <v>1</v>
      </c>
      <c r="GS136" s="390">
        <f t="shared" si="526"/>
        <v>0.553686374298812</v>
      </c>
      <c r="GT136" s="390">
        <f t="shared" si="457"/>
        <v>0</v>
      </c>
      <c r="GU136" s="390">
        <f>ROUND($GS136*(VLOOKUP($S136,各项系数!$D$1:$F$143,2,0))+$E$3*GS136,GT136)</f>
        <v>3</v>
      </c>
      <c r="GV136" s="406">
        <f>各项系数!$F$76/4*($MT136^2-$MS136^2)*10^-2*(VLOOKUP($GV$9,各项系数!$D$1:$F$143,3,0))*10^-3*10^2*各项系数!$J$4*PI()/4*R136</f>
        <v>0.0412500330846762</v>
      </c>
      <c r="GW136" s="389">
        <v>1</v>
      </c>
      <c r="GX136" s="390">
        <f t="shared" si="527"/>
        <v>0.0412500330846762</v>
      </c>
      <c r="GY136" s="390">
        <f>$GX136*(VLOOKUP($GV$9,各项系数!$D$1:$F$143,2,0))</f>
        <v>2.78437723321564</v>
      </c>
      <c r="GZ136" s="406">
        <f>各项系数!$F$76/4*($MV136^2-$MS136^2)*10^-2*(VLOOKUP($GZ$9,各项系数!$D$1:$F$143,3,0))*10^-3*10^2*各项系数!$J$4</f>
        <v>0.285106350837294</v>
      </c>
      <c r="HA136" s="389">
        <v>1</v>
      </c>
      <c r="HB136" s="390">
        <f t="shared" si="412"/>
        <v>0.285106350837294</v>
      </c>
      <c r="HC136" s="390">
        <f>HB136*(VLOOKUP($GZ$9,各项系数!$D$1:$F$143,2,0))</f>
        <v>4.84680796423399</v>
      </c>
      <c r="HD136" s="406">
        <f>各项系数!$F$76/4*($MW136^2-$MT136^2)*10^-2*(VLOOKUP($HD$9,各项系数!$D$1:$F$143,3,0))*10^-3*10^2*各项系数!$J$4</f>
        <v>0.286556761333603</v>
      </c>
      <c r="HE136" s="389">
        <v>1</v>
      </c>
      <c r="HF136" s="390">
        <f t="shared" si="413"/>
        <v>0.286556761333603</v>
      </c>
      <c r="HG136" s="390">
        <f>HF136*(VLOOKUP($HD$9,各项系数!$D$1:$F$143,2,0))</f>
        <v>4.87146494267125</v>
      </c>
      <c r="HH136" s="406">
        <f>各项系数!$F$76/4*($MV136^2-$MS136^2)*10^-2*(VLOOKUP($HH$9,各项系数!$D$1:$F$143,3,0))*10^-3*10^2*各项系数!$J$4</f>
        <v>0.285106350837294</v>
      </c>
      <c r="HI136" s="420">
        <v>1</v>
      </c>
      <c r="HJ136" s="390">
        <f t="shared" si="414"/>
        <v>0.285106350837294</v>
      </c>
      <c r="HK136" s="390">
        <f>HJ136*(VLOOKUP($HH$9,各项系数!$D$1:$F$143,2,0))</f>
        <v>4.84680796423399</v>
      </c>
      <c r="HL136" s="406">
        <f>各项系数!$F$76/4*($MW136^2-$MT136^2)*10^-2*(VLOOKUP($HL$9,各项系数!$D$1:$F$143,3,0))*10^-3*10^2*各项系数!$J$4</f>
        <v>0.286556761333603</v>
      </c>
      <c r="HM136" s="420">
        <v>1</v>
      </c>
      <c r="HN136" s="390">
        <f t="shared" si="362"/>
        <v>0.286556761333603</v>
      </c>
      <c r="HO136" s="390">
        <f>HN136*(VLOOKUP($HL$9,各项系数!$D$1:$F$143,2,0))</f>
        <v>4.87146494267125</v>
      </c>
      <c r="HP136" s="406">
        <f>各项系数!$F$76/4*($MV136^2-$MS136^2)*10^-2*(VLOOKUP(AN136,各项系数!$D$1:$F$143,3,0))*10^-3*10^2*各项系数!$J$4</f>
        <v>0.289038852228153</v>
      </c>
      <c r="HQ136" s="389">
        <v>1</v>
      </c>
      <c r="HR136" s="390">
        <f t="shared" si="528"/>
        <v>0.289038852228153</v>
      </c>
      <c r="HS136" s="390">
        <f>HR136*(VLOOKUP(AN136,各项系数!$D$1:$F$143,2,0))</f>
        <v>2.89038852228153</v>
      </c>
      <c r="HT136" s="406">
        <f>各项系数!$F$76/4*($MW136^2-$MT136^2)*10^-2*(VLOOKUP(AN136,各项系数!$D$1:$F$143,3,0))*10^-3*10^2*各项系数!$J$4</f>
        <v>0.290509268386481</v>
      </c>
      <c r="HU136" s="389">
        <v>1</v>
      </c>
      <c r="HV136" s="390">
        <f t="shared" si="529"/>
        <v>0.290509268386481</v>
      </c>
      <c r="HW136" s="390">
        <f>HV136*(VLOOKUP(AN136,各项系数!$D$1:$F$143,2,0))</f>
        <v>2.9050926838648</v>
      </c>
      <c r="HX136" s="406">
        <f>各项系数!$F$76/4*($MV136^2-$MS136^2)*10^-2*(VLOOKUP($HX$9,各项系数!$D$1:$F$143,3,0))*10^-3*10^2*各项系数!$J$4</f>
        <v>0.289038852228153</v>
      </c>
      <c r="HY136" s="420">
        <v>1</v>
      </c>
      <c r="HZ136" s="390">
        <f t="shared" si="530"/>
        <v>0.289038852228153</v>
      </c>
      <c r="IA136" s="390">
        <f>HZ136*(VLOOKUP($HX$9,各项系数!$D$1:$F$143,2,0))</f>
        <v>3.17942737450968</v>
      </c>
      <c r="IB136" s="406">
        <f>各项系数!$F$76/4*($MW136^2-$MT136^2)*10^-2*(VLOOKUP($IB$9,各项系数!$D$1:$F$143,3,0))*10^-3*10^2*各项系数!$J$4</f>
        <v>0.290509268386481</v>
      </c>
      <c r="IC136" s="420">
        <v>1</v>
      </c>
      <c r="ID136" s="390">
        <f t="shared" si="531"/>
        <v>0.290509268386481</v>
      </c>
      <c r="IE136" s="390">
        <f>ID136*(VLOOKUP($IB$9,各项系数!$D$1:$F$143,2,0))</f>
        <v>3.19560195225129</v>
      </c>
      <c r="IF136" s="429"/>
      <c r="IG136" s="406">
        <f t="shared" si="415"/>
        <v>0.0645836620875014</v>
      </c>
      <c r="IH136" s="389">
        <v>1</v>
      </c>
      <c r="II136" s="390">
        <f t="shared" si="532"/>
        <v>0.0645836620875014</v>
      </c>
      <c r="IJ136" s="390">
        <f>II136*(VLOOKUP($IG$8,各项系数!$D$1:$F$143,2,0))</f>
        <v>1.61459155218753</v>
      </c>
      <c r="IK136" s="406">
        <f>(各项系数!$F$76/4*($MX136^2-$MK136^2)*$EG136)*10^-2*(VLOOKUP($IG$8,各项系数!$D$1:$F$143,3,0))*10^-3*10^2*各项系数!$J$4</f>
        <v>0.0553822016888953</v>
      </c>
      <c r="IL136" s="389">
        <f>IK136*(VLOOKUP($IG$8,各项系数!$D$1:$F$143,2,0))</f>
        <v>1.38455504222238</v>
      </c>
      <c r="IM136" s="390">
        <f>(各项系数!$F$76/4*(($MM136+3*$X136)^2-MM136^2)*$EO136)*10^-2*(VLOOKUP($IG$8,各项系数!$D$1:$F$143,3,0))*10^-3*10^2*各项系数!$J$4</f>
        <v>0.00920146039860613</v>
      </c>
      <c r="IN136" s="389">
        <f>IM136*(VLOOKUP($IG$8,各项系数!$D$1:$F$143,2,0))</f>
        <v>0.230036509965153</v>
      </c>
      <c r="IO136" s="406">
        <f>各项系数!$F$76/4*($MZ136^2-$MX136^2)*10^-2*(VLOOKUP(L136,各项系数!$D$1:$F$143,3,0))*10^-3*10^2*$ES136*各项系数!$J$4</f>
        <v>0.191573469585203</v>
      </c>
      <c r="IP136" s="389">
        <v>1</v>
      </c>
      <c r="IQ136" s="390">
        <f t="shared" si="533"/>
        <v>0.191573469585203</v>
      </c>
      <c r="IR136" s="367">
        <f>IQ136*(VLOOKUP(L136,各项系数!$D$1:$F$143,2,0))</f>
        <v>1.95404938976907</v>
      </c>
      <c r="IS136" s="406">
        <f>IF($L136&lt;&gt;$IS$9,0,各项系数!$F$76/4*($MZ136^2-$MX136^2)*10^-2*各项系数!$F$12*10^-3*10^2)*$ES136*各项系数!$J$4</f>
        <v>0</v>
      </c>
      <c r="IT136" s="389">
        <v>1</v>
      </c>
      <c r="IU136" s="390">
        <f t="shared" si="534"/>
        <v>0</v>
      </c>
      <c r="IV136" s="367">
        <f>IU136*各项系数!$E$12</f>
        <v>0</v>
      </c>
      <c r="IW136" s="388">
        <f t="shared" si="535"/>
        <v>0.191573469585203</v>
      </c>
      <c r="IX136" s="388">
        <f t="shared" si="536"/>
        <v>1.95404938976907</v>
      </c>
      <c r="IY136" s="447">
        <f>各项系数!$F$76/4*($NB136^2-$MZ136^2*$EG136-$NA136^2*$EO136)*10^-2</f>
        <v>2.30293160382803</v>
      </c>
      <c r="IZ136" s="366">
        <f t="shared" si="487"/>
        <v>1</v>
      </c>
      <c r="JA136" s="367">
        <f t="shared" si="363"/>
        <v>2.30293160382803</v>
      </c>
      <c r="JB136" s="364">
        <f>IF($DE136&lt;&gt;$JB$9,0,$JA136*各项系数!$F$32*10^-3*10^2)*各项系数!$J$4</f>
        <v>0</v>
      </c>
      <c r="JC136" s="123">
        <v>1</v>
      </c>
      <c r="JD136" s="251">
        <f t="shared" si="537"/>
        <v>0</v>
      </c>
      <c r="JE136" s="339">
        <f>JD136*各项系数!$E$32</f>
        <v>0</v>
      </c>
      <c r="JF136" s="364">
        <f>IF($DE136&lt;&gt;$JF$9,0,$JA136*VLOOKUP($JF$9,各项系数!$D$4:$F$540,2,0)*10^-3*10^2)*各项系数!$J$4</f>
        <v>1.14570847290445</v>
      </c>
      <c r="JG136" s="123">
        <v>1</v>
      </c>
      <c r="JH136" s="251">
        <f t="shared" si="364"/>
        <v>1.14570847290445</v>
      </c>
      <c r="JI136" s="339">
        <f>JH136*VLOOKUP($JF$9,各项系数!$D$4:$F$540,3,0)</f>
        <v>1.37485016748534</v>
      </c>
      <c r="JJ136" s="364">
        <f t="shared" si="538"/>
        <v>1.14570847290445</v>
      </c>
      <c r="JK136" s="251">
        <f t="shared" si="539"/>
        <v>1.37485016748534</v>
      </c>
      <c r="JL136" s="364">
        <f>IF($DF136&lt;&gt;$JL$9,0,各项系数!$F$76/4*($NE136^2-$NC136^2)*10^-2*各项系数!$F$39*10^-3*10^2)*各项系数!$J$4</f>
        <v>0.00350234080534996</v>
      </c>
      <c r="JM136" s="123">
        <v>1</v>
      </c>
      <c r="JN136" s="251">
        <f t="shared" si="540"/>
        <v>0.00350234080534996</v>
      </c>
      <c r="JO136" s="339">
        <f>JN136*各项系数!$E$39</f>
        <v>0.0700468161069991</v>
      </c>
      <c r="JP136" s="364">
        <f>IF($DF136&lt;&gt;$JP$9,0,各项系数!$F$76/4*($NE136^2-$NC136^2)*10^-2*各项系数!$F$36*10^-3*10^2)*各项系数!$J$4</f>
        <v>0</v>
      </c>
      <c r="JQ136" s="123">
        <v>1</v>
      </c>
      <c r="JR136" s="251">
        <f t="shared" si="541"/>
        <v>0</v>
      </c>
      <c r="JS136" s="339">
        <f>JR136*各项系数!$E$36</f>
        <v>0</v>
      </c>
      <c r="JT136" s="364">
        <f>IF($DF136&lt;&gt;$JT$9,0,各项系数!$F$76/4*($NE136^2-$NC136^2)*10^-2*各项系数!$F$40*10^-3*10^2)*各项系数!$J$4</f>
        <v>0</v>
      </c>
      <c r="JU136" s="123">
        <v>1</v>
      </c>
      <c r="JV136" s="251">
        <f t="shared" si="542"/>
        <v>0</v>
      </c>
      <c r="JW136" s="339">
        <f>JV136*各项系数!$E$40</f>
        <v>0</v>
      </c>
      <c r="JX136" s="364">
        <f>IF($DF136&lt;&gt;$JX$9,0,各项系数!$F$76/4*($NE136^2-$NC136^2)*10^-2*各项系数!$F$38*10^-3*10^2)*各项系数!$J$4</f>
        <v>0</v>
      </c>
      <c r="JY136" s="123">
        <v>1</v>
      </c>
      <c r="JZ136" s="251">
        <f t="shared" si="543"/>
        <v>0</v>
      </c>
      <c r="KA136" s="339">
        <f>JZ136*各项系数!$E$38</f>
        <v>0</v>
      </c>
      <c r="KB136" s="364">
        <f>IF($DF136&lt;&gt;$KB$9,0,各项系数!$F$76/4*($NE136^2-$NC136^2)*10^-2*各项系数!$F$41*10^-3*10^2)*各项系数!$J$4</f>
        <v>0</v>
      </c>
      <c r="KC136" s="123">
        <v>1</v>
      </c>
      <c r="KD136" s="251">
        <f t="shared" si="544"/>
        <v>0</v>
      </c>
      <c r="KE136" s="339">
        <f>KD136*各项系数!$E$41</f>
        <v>0</v>
      </c>
      <c r="KF136" s="251">
        <f t="shared" si="545"/>
        <v>0.00350234080534996</v>
      </c>
      <c r="KG136" s="251">
        <f t="shared" si="546"/>
        <v>0.0700468161069991</v>
      </c>
      <c r="KH136" s="302">
        <f>各项系数!$F$76/4*($NG136^2-$NE136^2)*10^-2*各项系数!$F$44*10^-3*10^2*各项系数!$J$4*0.75*$U136</f>
        <v>0.879809508697306</v>
      </c>
      <c r="KI136" s="123">
        <v>1</v>
      </c>
      <c r="KJ136" s="251">
        <f t="shared" si="547"/>
        <v>0.879809508697306</v>
      </c>
      <c r="KK136" s="251">
        <f>ROUND(KJ136*各项系数!$E$43,GT136)</f>
        <v>5</v>
      </c>
      <c r="KL136" s="302">
        <f>各项系数!$F$76/4*($NF136^2-$NE136^2)*10^-2*各项系数!$F$46*10^-3*10^2*各项系数!$J$4*PI()/4*R136</f>
        <v>0.0437531582997869</v>
      </c>
      <c r="KM136" s="123">
        <v>1</v>
      </c>
      <c r="KN136" s="251">
        <f t="shared" si="548"/>
        <v>0.0437531582997869</v>
      </c>
      <c r="KO136" s="251">
        <f>KN136*各项系数!$E$46</f>
        <v>2.95333818523562</v>
      </c>
      <c r="KP136" s="302">
        <f>各项系数!$F$76/4*($NH136^2-$NE136^2)*10^-2*(VLOOKUP($KP$9,各项系数!$D$1:$F$143,3,0))*10^-3*10^2*各项系数!$J$4</f>
        <v>0.301350948395959</v>
      </c>
      <c r="KQ136" s="123">
        <v>1</v>
      </c>
      <c r="KR136" s="251">
        <f t="shared" si="416"/>
        <v>0.301350948395959</v>
      </c>
      <c r="KS136" s="251">
        <f>KR136*(VLOOKUP($KP$9,各项系数!$D$1:$F$143,2,0))</f>
        <v>5.1229661227313</v>
      </c>
      <c r="KT136" s="302">
        <f>各项系数!$F$76/4*($NI136^2-$NF136^2)*10^-2*(VLOOKUP($KT$9,各项系数!$D$1:$F$143,3,0))*10^-3*10^2*各项系数!$J$4</f>
        <v>0.302801358892267</v>
      </c>
      <c r="KU136" s="123">
        <v>1</v>
      </c>
      <c r="KV136" s="251">
        <f t="shared" si="417"/>
        <v>0.302801358892267</v>
      </c>
      <c r="KW136" s="251">
        <f>KV136*(VLOOKUP($KT$9,各项系数!$D$1:$F$143,2,0))</f>
        <v>5.14762310116854</v>
      </c>
      <c r="KX136" s="251">
        <f>各项系数!$F$76/4*($NH136^2-$NE136^2)*10^-2*(VLOOKUP($KX$9,各项系数!$D$1:$F$143,3,0))*10^-3*10^2*各项系数!$J$4</f>
        <v>0.301350948395959</v>
      </c>
      <c r="KY136" s="479">
        <v>1</v>
      </c>
      <c r="KZ136" s="251">
        <f t="shared" si="418"/>
        <v>0.301350948395959</v>
      </c>
      <c r="LA136" s="251">
        <f>KZ136*(VLOOKUP($KX$9,各项系数!$D$1:$F$143,2,0))</f>
        <v>5.1229661227313</v>
      </c>
      <c r="LB136" s="251">
        <f>各项系数!$F$76/4*($NI136^2-$NF136^2)*10^-2*(VLOOKUP($LB$9,各项系数!$D$1:$F$143,3,0))*10^-3*10^2*各项系数!$J$4</f>
        <v>0.302801358892267</v>
      </c>
      <c r="LC136" s="479">
        <v>1</v>
      </c>
      <c r="LD136" s="251">
        <f t="shared" si="419"/>
        <v>0.302801358892267</v>
      </c>
      <c r="LE136" s="251">
        <f>LD136*(VLOOKUP($LB$9,各项系数!$D$1:$F$143,2,0))</f>
        <v>5.14762310116854</v>
      </c>
      <c r="LF136" s="302">
        <f>各项系数!$F$76/4*($NH136^2-$NE136^2)*10^-2*(VLOOKUP(AN136,各项系数!$D$1:$F$143,3,0))*10^-3*10^2*各项系数!$J$4</f>
        <v>0.30550751320142</v>
      </c>
      <c r="LG136" s="123">
        <v>1</v>
      </c>
      <c r="LH136" s="251">
        <f t="shared" si="549"/>
        <v>0.30550751320142</v>
      </c>
      <c r="LI136" s="251">
        <f>LH136*(VLOOKUP(AN136,各项系数!$D$1:$F$143,2,0))</f>
        <v>3.0550751320142</v>
      </c>
      <c r="LJ136" s="302">
        <f>各项系数!$F$76/4*($NI136^2-$NF136^2)*10^-2*(VLOOKUP(AN136,各项系数!$D$1:$F$143,3,0))*10^-3*10^2*各项系数!$J$4</f>
        <v>0.306977929359747</v>
      </c>
      <c r="LK136" s="123">
        <v>1</v>
      </c>
      <c r="LL136" s="251">
        <f t="shared" si="550"/>
        <v>0.306977929359747</v>
      </c>
      <c r="LM136" s="251">
        <f>LL136*(VLOOKUP(AN136,各项系数!$D$1:$F$143,2,0))</f>
        <v>3.06977929359747</v>
      </c>
      <c r="LN136" s="251">
        <f>各项系数!$F$76/4*($NH136^2-$NE136^2)*10^-2*(VLOOKUP($LN$9,各项系数!$D$1:$F$143,3,0))*10^-3*10^2*各项系数!$J$4</f>
        <v>0.30550751320142</v>
      </c>
      <c r="LO136" s="479">
        <v>1</v>
      </c>
      <c r="LP136" s="251">
        <f t="shared" si="551"/>
        <v>0.30550751320142</v>
      </c>
      <c r="LQ136" s="251">
        <f>LP136*(VLOOKUP($LN$9,各项系数!$D$1:$F$143,2,0))</f>
        <v>3.36058264521562</v>
      </c>
      <c r="LR136" s="251">
        <f>各项系数!$F$76/4*($NI136^2-$NF136^2)*10^-2*(VLOOKUP($LR$9,各项系数!$D$1:$F$143,3,0))*10^-3*10^2*各项系数!$J$4</f>
        <v>0.306977929359747</v>
      </c>
      <c r="LS136" s="479">
        <v>1</v>
      </c>
      <c r="LT136" s="251">
        <f t="shared" si="552"/>
        <v>0.306977929359747</v>
      </c>
      <c r="LU136" s="251">
        <f>LT136*(VLOOKUP($LR$9,各项系数!$D$1:$F$143,2,0))</f>
        <v>3.37675722295722</v>
      </c>
      <c r="LV136" s="499">
        <f t="shared" si="420"/>
        <v>286.09752145</v>
      </c>
      <c r="LW136" s="499">
        <f t="shared" si="421"/>
        <v>178.8109509</v>
      </c>
      <c r="LX136" s="499">
        <f t="shared" si="422"/>
        <v>15.088710140949</v>
      </c>
      <c r="LY136" s="515">
        <f t="shared" si="423"/>
        <v>107.28657055</v>
      </c>
      <c r="LZ136" s="516">
        <f t="shared" si="365"/>
        <v>1</v>
      </c>
      <c r="MA136" s="517">
        <f t="shared" si="366"/>
        <v>286.09752145</v>
      </c>
      <c r="MB136" s="517">
        <f t="shared" si="424"/>
        <v>9.5429382</v>
      </c>
      <c r="MC136" s="499">
        <f t="shared" si="425"/>
        <v>30.5953303</v>
      </c>
      <c r="MD136" s="499">
        <f t="shared" si="426"/>
        <v>23.79636809</v>
      </c>
      <c r="ME136" s="499">
        <f t="shared" si="427"/>
        <v>5.50440522429644</v>
      </c>
      <c r="MF136" s="499">
        <f t="shared" si="428"/>
        <v>6.79896221</v>
      </c>
      <c r="MG136" s="516">
        <f t="shared" si="429"/>
        <v>1</v>
      </c>
      <c r="MH136" s="517">
        <f t="shared" si="367"/>
        <v>30.5953303</v>
      </c>
      <c r="MI136" s="517">
        <f t="shared" si="430"/>
        <v>6.24140884914567</v>
      </c>
      <c r="MJ136" s="251">
        <f t="shared" si="368"/>
        <v>9.5429382</v>
      </c>
      <c r="MK136" s="251">
        <f t="shared" si="431"/>
        <v>9.5429382</v>
      </c>
      <c r="ML136" s="251">
        <f t="shared" si="553"/>
        <v>6.24140884934256</v>
      </c>
      <c r="MM136" s="251">
        <f t="shared" si="369"/>
        <v>6.24140884914567</v>
      </c>
      <c r="MN136" s="251">
        <f t="shared" si="370"/>
        <v>11.5429382</v>
      </c>
      <c r="MO136" s="251">
        <f t="shared" si="432"/>
        <v>8.04140884914568</v>
      </c>
      <c r="MP136" s="251">
        <f t="shared" si="433"/>
        <v>29.27510729</v>
      </c>
      <c r="MQ136" s="251">
        <f t="shared" si="554"/>
        <v>29.27510729</v>
      </c>
      <c r="MR136" s="314">
        <f t="shared" si="434"/>
        <v>29.27510729</v>
      </c>
      <c r="MS136" s="530">
        <f t="shared" si="371"/>
        <v>29.45110729</v>
      </c>
      <c r="MT136" s="530">
        <f t="shared" si="372"/>
        <v>29.61110729</v>
      </c>
      <c r="MU136" s="530">
        <f t="shared" si="373"/>
        <v>30.95110729</v>
      </c>
      <c r="MV136" s="530">
        <f t="shared" si="374"/>
        <v>33.45110729</v>
      </c>
      <c r="MW136" s="530">
        <f t="shared" si="375"/>
        <v>33.61110729</v>
      </c>
      <c r="MX136" s="326">
        <f t="shared" si="376"/>
        <v>10.1429382</v>
      </c>
      <c r="MY136" s="326">
        <f t="shared" si="377"/>
        <v>6.84140884914567</v>
      </c>
      <c r="MZ136" s="251">
        <f t="shared" si="378"/>
        <v>12.1429382</v>
      </c>
      <c r="NA136" s="251">
        <f t="shared" si="379"/>
        <v>8.84140884914567</v>
      </c>
      <c r="NB136" s="251">
        <f t="shared" si="435"/>
        <v>31.00310729</v>
      </c>
      <c r="NC136" s="326">
        <f t="shared" si="555"/>
        <v>31.00310729</v>
      </c>
      <c r="ND136" s="314">
        <f t="shared" si="436"/>
        <v>31.00310729</v>
      </c>
      <c r="NE136" s="537">
        <f t="shared" si="437"/>
        <v>31.24310729</v>
      </c>
      <c r="NF136" s="530">
        <f t="shared" si="380"/>
        <v>31.40310729</v>
      </c>
      <c r="NG136" s="538">
        <f t="shared" si="381"/>
        <v>32.74310729</v>
      </c>
      <c r="NH136" s="326">
        <f t="shared" si="382"/>
        <v>35.24310729</v>
      </c>
      <c r="NI136" s="530">
        <f t="shared" si="383"/>
        <v>35.40310729</v>
      </c>
      <c r="NK136" s="539">
        <f t="shared" si="384"/>
        <v>2.54139440512628</v>
      </c>
      <c r="NL136" s="539">
        <f t="shared" si="385"/>
        <v>124.331847866959</v>
      </c>
      <c r="NM136" s="539">
        <f t="shared" si="386"/>
        <v>2.54139440512628</v>
      </c>
      <c r="NN136" s="539">
        <f t="shared" si="387"/>
        <v>124.620886719187</v>
      </c>
      <c r="NO136" s="539">
        <f t="shared" si="388"/>
        <v>3.53196399787226</v>
      </c>
      <c r="NP136" s="539">
        <f t="shared" si="389"/>
        <v>126.977253234806</v>
      </c>
      <c r="NQ136" s="539">
        <f t="shared" si="390"/>
        <v>3.53196399787226</v>
      </c>
      <c r="NR136" s="539">
        <f t="shared" si="391"/>
        <v>127.282760748007</v>
      </c>
      <c r="NS136" s="539">
        <f t="shared" si="392"/>
        <v>2.58264443821096</v>
      </c>
      <c r="NT136" s="539">
        <f t="shared" si="393"/>
        <v>2.58264443821096</v>
      </c>
      <c r="NU136" s="539">
        <f t="shared" si="394"/>
        <v>3.57571715617204</v>
      </c>
      <c r="NV136" s="539">
        <f t="shared" si="395"/>
        <v>3.57571715617204</v>
      </c>
      <c r="NW136">
        <f t="shared" si="396"/>
        <v>3.0950807794251</v>
      </c>
      <c r="NX136">
        <f>各项系数!$M$9*NK136</f>
        <v>0.762418321537885</v>
      </c>
      <c r="NY136">
        <f t="shared" si="397"/>
        <v>2.58264443821096</v>
      </c>
    </row>
    <row r="137" customHeight="1" spans="1:389">
      <c r="A137" s="85"/>
      <c r="B137" s="86"/>
      <c r="C137" s="87"/>
      <c r="D137" s="69" t="s">
        <v>402</v>
      </c>
      <c r="E137" s="77">
        <f t="shared" si="560"/>
        <v>37.15003007</v>
      </c>
      <c r="F137" s="84">
        <f>$F$25</f>
        <v>242.295968589101</v>
      </c>
      <c r="G137" s="74"/>
      <c r="H137" s="23"/>
      <c r="I137" s="174">
        <f>$F$23</f>
        <v>245.05464536043</v>
      </c>
      <c r="J137" s="78"/>
      <c r="K137" s="23"/>
      <c r="L137" s="118" t="s">
        <v>467</v>
      </c>
      <c r="M137" s="124">
        <f t="shared" si="339"/>
        <v>1.1</v>
      </c>
      <c r="N137" s="124">
        <f t="shared" si="501"/>
        <v>0.9</v>
      </c>
      <c r="O137" s="69">
        <f t="shared" si="572"/>
        <v>0.08</v>
      </c>
      <c r="P137" s="120">
        <v>0.1</v>
      </c>
      <c r="Q137" s="162">
        <f t="shared" si="578"/>
        <v>0.1</v>
      </c>
      <c r="R137" s="86">
        <v>0.8</v>
      </c>
      <c r="S137" s="171" t="str">
        <f>各项系数!$D$43</f>
        <v>钢带</v>
      </c>
      <c r="T137" s="123">
        <v>0.5</v>
      </c>
      <c r="U137" s="123">
        <v>2</v>
      </c>
      <c r="V137" s="169"/>
      <c r="W137" s="170">
        <v>2.1</v>
      </c>
      <c r="X137" s="164">
        <f t="shared" si="579"/>
        <v>0.2</v>
      </c>
      <c r="Y137" s="219"/>
      <c r="Z137" s="220"/>
      <c r="AA137" s="217">
        <f>$AA$25</f>
        <v>1.013</v>
      </c>
      <c r="AB137" s="186">
        <f>PI()*EJ137*EJ137/4*EH137*(1-H137)*AA137*各项系数!$F$5*各项系数!$J$4*10^-7</f>
        <v>0.578421704096205</v>
      </c>
      <c r="AC137" s="186">
        <f t="shared" si="573"/>
        <v>242.295968589101</v>
      </c>
      <c r="AD137" s="186">
        <f t="shared" si="341"/>
        <v>65.3912649972251</v>
      </c>
      <c r="AE137" s="186">
        <f>POWER(4*EU137/PI()/EG137/10^-7/EH137/(1-H137)/各项系数!$F$5/各项系数!$J$4,0.5)</f>
        <v>243.865806884974</v>
      </c>
      <c r="AF137" s="218">
        <f>$AA$23</f>
        <v>1.011</v>
      </c>
      <c r="AG137" s="85">
        <f>IF(EM137=0,0,PI()*ER137*ER137/4*EP137*(1-K137)*(1+AF137)*各项系数!$F$5*各项系数!$J$4*10^-7)</f>
        <v>0.587287439958483</v>
      </c>
      <c r="AH137" s="85">
        <f t="shared" si="574"/>
        <v>245.05464536043</v>
      </c>
      <c r="AI137" s="85">
        <f t="shared" si="398"/>
        <v>33.3783570613855</v>
      </c>
      <c r="AJ137" s="85">
        <f>IF(OR(EP137="",EP137=0),0,POWER(4*EW137/PI()/EO137/10^-7/EP137/(1-K137)/各项系数!$F$5/各项系数!$J$4,0.5))</f>
        <v>246.398759704805</v>
      </c>
      <c r="AK137" s="85">
        <f t="shared" si="342"/>
        <v>2.60893674268916</v>
      </c>
      <c r="AL137" s="85">
        <f t="shared" si="575"/>
        <v>182.970645071739</v>
      </c>
      <c r="AM137" s="250">
        <f t="shared" si="576"/>
        <v>70</v>
      </c>
      <c r="AN137" s="118" t="s">
        <v>486</v>
      </c>
      <c r="AO137" s="259">
        <f>AP137+各项系数!$M$9*$NK137</f>
        <v>179.38298536445</v>
      </c>
      <c r="AP137" s="259">
        <f>AQ137*(1+$BI137+(VLOOKUP($AM137,$A$12:$B$323,2,0))+各项系数!$J$6+各项系数!$M$5)*(1+$E$2)</f>
        <v>178.335553527798</v>
      </c>
      <c r="AQ137" s="260">
        <f>AR137+各项系数!$L$9*$NK137</f>
        <v>181.975054620202</v>
      </c>
      <c r="AR137" s="260">
        <f>AS137*(1+$BJ137+各项系数!$J$5+各项系数!$L$5)</f>
        <v>180.927622783551</v>
      </c>
      <c r="AS137" s="260">
        <f t="shared" si="399"/>
        <v>177.380022336814</v>
      </c>
      <c r="AT137" s="259">
        <f>AU137+各项系数!$M$9*$NM137</f>
        <v>181.671374995521</v>
      </c>
      <c r="AU137" s="259">
        <f>AV137*(1+$BI137+(VLOOKUP($AM137,$A$12:$B$323,2,0))+各项系数!$J$6+各项系数!$M$5)*(1+$E$2)</f>
        <v>180.62394315887</v>
      </c>
      <c r="AV137" s="260">
        <f>AW137+各项系数!$L$9*$NM137</f>
        <v>184.310146080479</v>
      </c>
      <c r="AW137" s="260">
        <f>AX137*(1+$BJ137+各项系数!$J$5+各项系数!$L$5)</f>
        <v>183.262714243828</v>
      </c>
      <c r="AX137" s="260">
        <f t="shared" si="400"/>
        <v>179.669327690027</v>
      </c>
      <c r="AY137" s="259">
        <f>AZ137+各项系数!$M$9*$NS137</f>
        <v>182.53885601518</v>
      </c>
      <c r="AZ137" s="259">
        <f>BA137*(1+$BI137+(VLOOKUP($AM137,$A$12:$B$214,2,0))+各项系数!$J$6+各项系数!$M$5)*(1+$E$2)</f>
        <v>181.477582945081</v>
      </c>
      <c r="BA137" s="260">
        <f>BB137+各项系数!$L$9*$NS137</f>
        <v>185.181207086817</v>
      </c>
      <c r="BB137" s="260">
        <f>BC137*(1+$BJ137+各项系数!$J$5+各项系数!$L$5)</f>
        <v>184.119934016719</v>
      </c>
      <c r="BC137" s="262">
        <f t="shared" si="401"/>
        <v>180.509739232077</v>
      </c>
      <c r="BD137" s="259">
        <f>BE137+各项系数!$M$9*$NS137</f>
        <v>184.837691923765</v>
      </c>
      <c r="BE137" s="259">
        <f>BF137*(1+$BI137+(VLOOKUP($AM137,$A$12:$B$214,2,0))+各项系数!$J$6+各项系数!$M$5)*(1+$E$2)</f>
        <v>183.776418853666</v>
      </c>
      <c r="BF137" s="564">
        <f>BG137+各项系数!$L$9*$NS137</f>
        <v>187.526958013945</v>
      </c>
      <c r="BG137" s="260">
        <f>BH137*(1+$BJ137+各项系数!$J$5+各项系数!$L$5)</f>
        <v>186.465684943846</v>
      </c>
      <c r="BH137" s="262">
        <f t="shared" si="402"/>
        <v>182.809495042986</v>
      </c>
      <c r="BI137" s="277"/>
      <c r="BJ137" s="272"/>
      <c r="BK137" s="69" t="s">
        <v>514</v>
      </c>
      <c r="BL137" s="259">
        <f>BM137+各项系数!$M$9*$NM137</f>
        <v>181.462707823611</v>
      </c>
      <c r="BM137" s="259">
        <f>BN137*(1+$CF137+(VLOOKUP($AM137,$A$12:$B$323,2,0))+各项系数!$J$6+各项系数!$M$5)*(1+$E$2)</f>
        <v>180.41527598696</v>
      </c>
      <c r="BN137" s="260">
        <f>BO137+各项系数!$L$9*$NM137</f>
        <v>184.097220394857</v>
      </c>
      <c r="BO137" s="260">
        <f>BP137*(1+$CG137+各项系数!$J$5+各项系数!$L$5)</f>
        <v>183.049788558205</v>
      </c>
      <c r="BP137" s="260">
        <f t="shared" si="403"/>
        <v>177.718241318646</v>
      </c>
      <c r="BQ137" s="259">
        <f>BR137+各项系数!$M$9*$NM137</f>
        <v>183.432134406884</v>
      </c>
      <c r="BR137" s="259">
        <f>BS137*(1+$CF137+(VLOOKUP($AM137,$A$12:$B$323,2,0))+各项系数!$J$6+各项系数!$M$5)*(1+$E$2)</f>
        <v>182.384702570232</v>
      </c>
      <c r="BS137" s="260">
        <f>BT137+各项系数!$L$9*$NM137</f>
        <v>186.10683935738</v>
      </c>
      <c r="BT137" s="260">
        <f>BU137*(1+$CG137+各项系数!$J$5+各项系数!$L$5)</f>
        <v>185.059407520728</v>
      </c>
      <c r="BU137" s="260">
        <f t="shared" si="404"/>
        <v>179.669327690027</v>
      </c>
      <c r="BV137" s="259">
        <f>BW137+各项系数!$M$9*$NT137</f>
        <v>183.618858676284</v>
      </c>
      <c r="BW137" s="259">
        <f>BX137*(1+$CF137+(VLOOKUP($AM137,$A$12:$B$214,2,0))+各项系数!$J$6+各项系数!$M$5)*(1+$E$2)</f>
        <v>182.557585606185</v>
      </c>
      <c r="BX137" s="260">
        <f>BY137+各项系数!$L$9*$NT$12</f>
        <v>186.283250618556</v>
      </c>
      <c r="BY137" s="260">
        <f>BZ137*(1+$CG137+各项系数!$J$5+各项系数!$L$5)</f>
        <v>186.274987215401</v>
      </c>
      <c r="BZ137" s="262">
        <f t="shared" si="343"/>
        <v>180.849502150875</v>
      </c>
      <c r="CA137" s="259">
        <f>CB137+各项系数!$M$9*$NT137</f>
        <v>185.597275501581</v>
      </c>
      <c r="CB137" s="259">
        <f>CC137*(1+$CF137+(VLOOKUP($AM137,$A$12:$B$214,2,0))+各项系数!$J$6+各项系数!$M$5)*(1+$E$2)</f>
        <v>184.536002431482</v>
      </c>
      <c r="CC137" s="260">
        <f>CD137+各项系数!$L$9*$NT$12</f>
        <v>188.302043297431</v>
      </c>
      <c r="CD137" s="260">
        <f>CE137*(1+$CG137+各项系数!$J$5+各项系数!$L$5)</f>
        <v>188.293779894276</v>
      </c>
      <c r="CE137" s="262">
        <f t="shared" si="405"/>
        <v>182.809495042986</v>
      </c>
      <c r="CF137" s="277">
        <f t="shared" si="514"/>
        <v>0</v>
      </c>
      <c r="CG137" s="277">
        <f t="shared" si="344"/>
        <v>0.01</v>
      </c>
      <c r="CH137" s="123"/>
      <c r="CI137" s="259">
        <f>CJ137+各项系数!$M$9*$NO137</f>
        <v>184.235500448176</v>
      </c>
      <c r="CJ137" s="259">
        <f>CK137*(1+$DC137+(VLOOKUP($AM137,$A$12:$B$323,2,0))+各项系数!$J$6+各项系数!$M$5)*(1+$E$2)+各项系数!$M$9*$NK137</f>
        <v>182.81875535599</v>
      </c>
      <c r="CK137" s="260">
        <f>CL137+各项系数!$L$9*$NO137</f>
        <v>185.480942366671</v>
      </c>
      <c r="CL137" s="260">
        <f>CM137*(1+$DD137+各项系数!$J$5+各项系数!$L$5)</f>
        <v>184.064197274485</v>
      </c>
      <c r="CM137" s="260">
        <f t="shared" si="345"/>
        <v>180.455095367142</v>
      </c>
      <c r="CN137" s="259">
        <f>CO137+各项系数!$M$9*$NO137</f>
        <v>186.340620901512</v>
      </c>
      <c r="CO137" s="259">
        <f>CP137*(1+$DC137+(VLOOKUP($AM137,$A$12:$B$323,2,0))+各项系数!$J$6+各项系数!$M$5)*(1+$E$2)+各项系数!$M$9*$NK137</f>
        <v>184.923875809325</v>
      </c>
      <c r="CP137" s="260">
        <f>CQ137+各项系数!$L$9*$NO137</f>
        <v>187.629024461912</v>
      </c>
      <c r="CQ137" s="260">
        <f>CR137*(1+$DD137+各项系数!$J$5+各项系数!$L$5)</f>
        <v>186.212279369725</v>
      </c>
      <c r="CR137" s="260">
        <f t="shared" si="346"/>
        <v>182.561058205613</v>
      </c>
      <c r="CS137" s="259">
        <f>CT137+各项系数!$M$9*$NU137</f>
        <v>186.524587937272</v>
      </c>
      <c r="CT137" s="259">
        <f t="shared" si="347"/>
        <v>185.093205416676</v>
      </c>
      <c r="CU137" s="260">
        <f>CV137+各项系数!$L$9*$NU137</f>
        <v>188.870617772119</v>
      </c>
      <c r="CV137" s="260">
        <f>CW137*(1+$DD137+各项系数!$J$5+各项系数!$L$5)</f>
        <v>187.439235251522</v>
      </c>
      <c r="CW137" s="262">
        <f t="shared" si="348"/>
        <v>183.763956128943</v>
      </c>
      <c r="CX137" s="259">
        <f>CY137+各项系数!$M$9*$NU137</f>
        <v>188.947473391332</v>
      </c>
      <c r="CY137" s="259">
        <f t="shared" si="349"/>
        <v>187.516090870735</v>
      </c>
      <c r="CZ137" s="260">
        <f>DA137+各项系数!$L$9*$NU137</f>
        <v>191.342949868097</v>
      </c>
      <c r="DA137" s="260">
        <f>DB137*(1+$DD137+各项系数!$J$5+各项系数!$L$5)</f>
        <v>189.911567347501</v>
      </c>
      <c r="DB137" s="262">
        <f t="shared" si="350"/>
        <v>186.187811125001</v>
      </c>
      <c r="DC137" s="277">
        <f t="shared" si="571"/>
        <v>0</v>
      </c>
      <c r="DD137" s="277">
        <f t="shared" si="351"/>
        <v>0</v>
      </c>
      <c r="DE137" s="69" t="s">
        <v>498</v>
      </c>
      <c r="DF137" s="69" t="s">
        <v>513</v>
      </c>
      <c r="DG137" s="259">
        <f>DH137+各项系数!$M$9*$NQ137</f>
        <v>186.363865216473</v>
      </c>
      <c r="DH137" s="259">
        <f>DI137*(1+$EA137+(VLOOKUP($AM137,$A$12:$B$323,2,0))+各项系数!$J$6+各项系数!$M$5)*(1+$E$2)+各项系数!$M$9*$NK137</f>
        <v>184.947120124286</v>
      </c>
      <c r="DI137" s="260">
        <f>DJ137+各项系数!$L$9*$NQ137</f>
        <v>187.652743150648</v>
      </c>
      <c r="DJ137" s="260">
        <f>DK137*(1+$EB137+各项系数!$J$5+各项系数!$L$5)</f>
        <v>186.235998058461</v>
      </c>
      <c r="DK137" s="260">
        <f t="shared" si="352"/>
        <v>180.811648600447</v>
      </c>
      <c r="DL137" s="259">
        <f>DM137+各项系数!$M$9*$NQ137</f>
        <v>188.440050923796</v>
      </c>
      <c r="DM137" s="259">
        <f>DN137*(1+$EA137+(VLOOKUP($AM137,$A$12:$B$323,2,0))+各项系数!$J$6+各项系数!$M$5)*(1+$E$2)+各项系数!$M$9*$NK137</f>
        <v>187.023305831609</v>
      </c>
      <c r="DN137" s="260">
        <f>DO137+各项系数!$L$9*$NQ137</f>
        <v>189.771299994854</v>
      </c>
      <c r="DO137" s="260">
        <f>DP137*(1+$EB137+各项系数!$J$5+各项系数!$L$5)</f>
        <v>188.354554902668</v>
      </c>
      <c r="DP137" s="260">
        <f t="shared" si="353"/>
        <v>182.868499905503</v>
      </c>
      <c r="DQ137" s="259">
        <f>DR137+各项系数!$M$9*$NV137</f>
        <v>188.686937991009</v>
      </c>
      <c r="DR137" s="259">
        <f t="shared" si="354"/>
        <v>187.255555470412</v>
      </c>
      <c r="DS137" s="260">
        <f>DT137+各项系数!$L$9*$NV137</f>
        <v>191.077097418788</v>
      </c>
      <c r="DT137" s="260">
        <f>DU137*(1+$EB137+各项系数!$J$5+各项系数!$L$5)</f>
        <v>189.645714898192</v>
      </c>
      <c r="DU137" s="262">
        <f t="shared" si="355"/>
        <v>184.122053299215</v>
      </c>
      <c r="DV137" s="259">
        <f>DW137+各项系数!$M$9*$NV137</f>
        <v>188.360561802505</v>
      </c>
      <c r="DW137" s="259">
        <f t="shared" si="356"/>
        <v>186.929179281909</v>
      </c>
      <c r="DX137" s="260">
        <f>DY137+各项系数!$L$9*$NV137</f>
        <v>190.744060491744</v>
      </c>
      <c r="DY137" s="260">
        <f>DZ137*(1+$EB137+各项系数!$J$5+各项系数!$L$5)</f>
        <v>189.312677971147</v>
      </c>
      <c r="DZ137" s="262">
        <f t="shared" si="357"/>
        <v>183.798716476842</v>
      </c>
      <c r="EA137" s="277">
        <f t="shared" si="559"/>
        <v>0</v>
      </c>
      <c r="EB137" s="277">
        <f t="shared" si="358"/>
        <v>0.01</v>
      </c>
      <c r="EC137" s="302" t="str">
        <f t="shared" si="408"/>
        <v>4+1</v>
      </c>
      <c r="ED137" s="302" t="str">
        <f t="shared" si="565"/>
        <v>4*70</v>
      </c>
      <c r="EE137" s="251">
        <f t="shared" si="495"/>
        <v>70</v>
      </c>
      <c r="EF137" s="251" t="str">
        <f>LOOKUP(EH137,{1,7,10,14,19,24,30,37,48,61},{1,"1+6","2+8","4+10","1+6+12","2+8+14","4+10+16","1+6+12+18","3+9+15+21","1+6+12+18+24"})</f>
        <v>4+10</v>
      </c>
      <c r="EG137" s="250">
        <f t="shared" si="359"/>
        <v>4</v>
      </c>
      <c r="EH137" s="260">
        <f>VLOOKUP(EE137,各项系数!$B$87:$C$124,2,0)</f>
        <v>14</v>
      </c>
      <c r="EI137" s="250">
        <f>IF(EH137=0,0,VLOOKUP(EH137,各项系数!$D$142:$E$195,2,0))*1</f>
        <v>4.41</v>
      </c>
      <c r="EJ137" s="305">
        <f t="shared" si="409"/>
        <v>242.295968589101</v>
      </c>
      <c r="EK137" s="251" t="str">
        <f t="shared" si="566"/>
        <v>1*35</v>
      </c>
      <c r="EL137" s="251" t="str">
        <f t="shared" si="360"/>
        <v>35</v>
      </c>
      <c r="EM137" s="251">
        <f t="shared" si="567"/>
        <v>35</v>
      </c>
      <c r="EN137" s="251" t="str">
        <f>IF(EP137=0,0,LOOKUP(EP137,{1,7,10,14,19,24,30,37,48,61},{1,"1+6","2+8","4+10","1+6+12","2+8+14","4+10+16","1+6+12+18","3+9+15+21","1+6+12+18+24"}))</f>
        <v>1+6</v>
      </c>
      <c r="EO137" s="251" t="str">
        <f t="shared" si="568"/>
        <v>1</v>
      </c>
      <c r="EP137" s="251">
        <f>IF(EM137=0,0,IF(EM137&lt;10,1,IF(AND(EM137&gt;=10,EM137&lt;=35),7,LOOKUP(EM137,{50,70,95,120,150,185,240,300},{10,14,19,24,30,37,48,61})*1)))</f>
        <v>7</v>
      </c>
      <c r="EQ137" s="251">
        <f>IF(EP137=0,0,VLOOKUP(EP137,各项系数!$D$142:$E$195,2,0))*1</f>
        <v>3</v>
      </c>
      <c r="ER137" s="251">
        <f t="shared" si="577"/>
        <v>245.05464536043</v>
      </c>
      <c r="ES137" s="302">
        <f t="shared" si="570"/>
        <v>5</v>
      </c>
      <c r="ET137" s="251">
        <f>VLOOKUP(ES137,各项系数!$D$142:$E$195,2,0)*1</f>
        <v>2.7</v>
      </c>
      <c r="EU137" s="311">
        <f>((各项系数!$F$76/4*$EJ137^2*$EG137*$EH137*1*10^-7)*(1-$H137)*AA137)*(VLOOKUP($EY$9,各项系数!$D$4:$F$143,3,0))*各项系数!$J$4</f>
        <v>2.31368681638482</v>
      </c>
      <c r="EV137" s="312">
        <f>EU137*(VLOOKUP($EY$9,各项系数!$D$4:$F$143,2,0))</f>
        <v>151.546486473206</v>
      </c>
      <c r="EW137" s="324">
        <f>(IF($EO137=0,0,(各项系数!$F$76/4*$ER137^2*$EO137*$EP137*1*10^-7))*(1-$K137)*$AF137)*(VLOOKUP($EY$9,各项系数!$D$4:$F$143,3,0))*各项系数!$J$4</f>
        <v>0.295249926304339</v>
      </c>
      <c r="EX137" s="325">
        <f>EW137*(VLOOKUP($EY$9,各项系数!$D$4:$F$143,2,0))</f>
        <v>19.3388701729342</v>
      </c>
      <c r="EY137" s="251">
        <f>((各项系数!$F$76/4*$EJ137^2*$EG137*$EH137*1*10^-7)*(1-$H137)*AA137+IF($EO137=0,0,(各项系数!$F$76/4*$ER137^2*$EO137*$EP137*1*10^-7))*(1-$K137)*$AF137)*(VLOOKUP($EY$9,各项系数!$D$4:$F$143,3,0))*各项系数!$J$4</f>
        <v>2.60893674268916</v>
      </c>
      <c r="EZ137" s="123">
        <v>1</v>
      </c>
      <c r="FA137" s="251">
        <f t="shared" si="515"/>
        <v>2.60893674268916</v>
      </c>
      <c r="FB137" s="326">
        <f>FA137*(VLOOKUP($EY$9,各项系数!$D$4:$F$143,2,0))</f>
        <v>170.88535664614</v>
      </c>
      <c r="FC137" s="327"/>
      <c r="FD137" s="302">
        <f>各项系数!$F$76/4*($MN137^2-MK137^2)*10^-2*(VLOOKUP(L137,各项系数!$D$1:$F$143,3,0))*10^-3*10^2*$EG137*各项系数!$J$4</f>
        <v>0.178302403263918</v>
      </c>
      <c r="FE137" s="339">
        <f>FD137*VLOOKUP(L137,各项系数!$D$1:$F$143,2,0)</f>
        <v>1.81868451329196</v>
      </c>
      <c r="FF137" s="250">
        <f>各项系数!$F$76/4*($MO137^2-ML137^2)*10^-2*(VLOOKUP(L137,各项系数!$D$1:$F$143,3,0))*10^-3*10^2*$EO137*各项系数!$J$4</f>
        <v>0.0255357364135693</v>
      </c>
      <c r="FG137" s="339">
        <f>FF137*VLOOKUP(L137,各项系数!$D$1:$F$143,2,0)</f>
        <v>0.260464511418407</v>
      </c>
      <c r="FH137" s="302">
        <f t="shared" si="410"/>
        <v>0.203838139677487</v>
      </c>
      <c r="FI137" s="123">
        <v>1</v>
      </c>
      <c r="FJ137" s="251">
        <f t="shared" si="516"/>
        <v>0.203838139677487</v>
      </c>
      <c r="FK137" s="339">
        <f>FJ137*VLOOKUP(L137,各项系数!$D$1:$F$143,2,0)</f>
        <v>2.07914902471037</v>
      </c>
      <c r="FL137" s="302"/>
      <c r="FM137" s="123"/>
      <c r="FN137" s="251"/>
      <c r="FO137" s="339"/>
      <c r="FP137" s="364">
        <f t="shared" si="517"/>
        <v>0.203838139677487</v>
      </c>
      <c r="FQ137" s="364">
        <f t="shared" si="518"/>
        <v>2.07914902471037</v>
      </c>
      <c r="FR137" s="365">
        <f>各项系数!$F$76/4*($MQ137^2-$MN137^2*$EG137-$MO137^2*$EO137)*10^-2</f>
        <v>2.56248437514032</v>
      </c>
      <c r="FS137" s="366">
        <f t="shared" si="411"/>
        <v>1</v>
      </c>
      <c r="FT137" s="367">
        <f t="shared" si="361"/>
        <v>2.56248437514032</v>
      </c>
      <c r="FU137" s="388">
        <f>$FT137*(VLOOKUP($FT$9,各项系数!$D$1:$F$143,3,0))*10^-3*10^2*各项系数!$J$55</f>
        <v>0.305960634391754</v>
      </c>
      <c r="FV137" s="389">
        <v>1</v>
      </c>
      <c r="FW137" s="390">
        <f t="shared" si="519"/>
        <v>0.305960634391754</v>
      </c>
      <c r="FX137" s="367">
        <f>FW137*(VLOOKUP($FT$9,各项系数!$D$1:$F$143,2,0))</f>
        <v>0.917881903175263</v>
      </c>
      <c r="FY137" s="388">
        <f>IF($BK137&lt;&gt;$FY$9,0,各项系数!$F$76/4*($MS137^2-$MQ137^2)*10^-2*(VLOOKUP($FY$9,各项系数!$D$1:$F$143,3,0))*10^-3*10^2)*各项系数!$J$4</f>
        <v>0</v>
      </c>
      <c r="FZ137" s="389">
        <v>1</v>
      </c>
      <c r="GA137" s="390">
        <f t="shared" si="520"/>
        <v>0</v>
      </c>
      <c r="GB137" s="367">
        <f>GA137*(VLOOKUP($FY$9,各项系数!$D$1:$F$143,2,0))</f>
        <v>0</v>
      </c>
      <c r="GC137" s="388">
        <f>IF($BK137&lt;&gt;$GC$9,0,各项系数!$F$76/4*($MS137^2-$MQ137^2)*10^-2*(VLOOKUP($GC$9,各项系数!$D$1:$F$143,3,0))*10^-3*10^2)*各项系数!$J$4</f>
        <v>0.00894922050192038</v>
      </c>
      <c r="GD137" s="389">
        <v>1</v>
      </c>
      <c r="GE137" s="390">
        <f t="shared" si="521"/>
        <v>0.00894922050192038</v>
      </c>
      <c r="GF137" s="367">
        <f>GE137*(VLOOKUP($GC$9,各项系数!$D$1:$F$143,2,0))</f>
        <v>0.115444944474773</v>
      </c>
      <c r="GG137" s="388">
        <f>IF($BK137&lt;&gt;$GG$9,0,各项系数!$F$76/4*($MS137^2-$MQ137^2)*10^-2*(VLOOKUP($GG$9,各项系数!$D$1:$F$143,3,0))*10^-3*10^2)*各项系数!$J$4</f>
        <v>0</v>
      </c>
      <c r="GH137" s="389">
        <v>1</v>
      </c>
      <c r="GI137" s="390">
        <f t="shared" si="522"/>
        <v>0</v>
      </c>
      <c r="GJ137" s="367">
        <f>GI137*(VLOOKUP($GG$9,各项系数!$D$1:$F$143,2,0))</f>
        <v>0</v>
      </c>
      <c r="GK137" s="388">
        <f>IF($BK137&lt;&gt;$GK$9,0,各项系数!$F$76/4*($MS137^2-$MQ137^2)*10^-2*(VLOOKUP($GK$9,各项系数!$D$1:$F$143,3,0))*10^-3*10^2)*各项系数!$J$4</f>
        <v>0</v>
      </c>
      <c r="GL137" s="389">
        <v>1</v>
      </c>
      <c r="GM137" s="390">
        <f t="shared" si="523"/>
        <v>0</v>
      </c>
      <c r="GN137" s="367">
        <f>GM137*(VLOOKUP($GK$9,各项系数!$D$1:$F$143,2,0))</f>
        <v>0</v>
      </c>
      <c r="GO137" s="390">
        <f t="shared" si="524"/>
        <v>0.00894922050192038</v>
      </c>
      <c r="GP137" s="390">
        <f t="shared" si="525"/>
        <v>0.115444944474773</v>
      </c>
      <c r="GQ137" s="406">
        <f>各项系数!$F$76/4*($MU137^2-$MS137^2)*10^-2*(VLOOKUP($S137,各项系数!$D$1:$F$143,3,0))*10^-3*10^2*各项系数!$J$4</f>
        <v>0.617833223267202</v>
      </c>
      <c r="GR137" s="389">
        <v>1</v>
      </c>
      <c r="GS137" s="390">
        <f t="shared" si="526"/>
        <v>0.617833223267202</v>
      </c>
      <c r="GT137" s="390">
        <f t="shared" si="457"/>
        <v>0</v>
      </c>
      <c r="GU137" s="390">
        <f>ROUND($GS137*(VLOOKUP($S137,各项系数!$D$1:$F$143,2,0))+$E$3*GS137,GT137)</f>
        <v>4</v>
      </c>
      <c r="GV137" s="406">
        <f>各项系数!$F$76/4*($MT137^2-$MS137^2)*10^-2*(VLOOKUP($GV$9,各项系数!$D$1:$F$143,3,0))*10^-3*10^2*各项系数!$J$4*PI()/4*R137</f>
        <v>0.0461374448237061</v>
      </c>
      <c r="GW137" s="389">
        <v>1</v>
      </c>
      <c r="GX137" s="390">
        <f t="shared" si="527"/>
        <v>0.0461374448237061</v>
      </c>
      <c r="GY137" s="390">
        <f>$GX137*(VLOOKUP($GV$9,各项系数!$D$1:$F$143,2,0))</f>
        <v>3.11427752560016</v>
      </c>
      <c r="GZ137" s="406">
        <f>各项系数!$F$76/4*($MV137^2-$MS137^2)*10^-2*(VLOOKUP($GZ$9,各项系数!$D$1:$F$143,3,0))*10^-3*10^2*各项系数!$J$4</f>
        <v>0.333617363031001</v>
      </c>
      <c r="HA137" s="389">
        <v>1</v>
      </c>
      <c r="HB137" s="390">
        <f t="shared" si="412"/>
        <v>0.333617363031001</v>
      </c>
      <c r="HC137" s="390">
        <f>HB137*(VLOOKUP($GZ$9,各项系数!$D$1:$F$143,2,0))</f>
        <v>5.67149517152701</v>
      </c>
      <c r="HD137" s="406">
        <f>各项系数!$F$76/4*($MW137^2-$MT137^2)*10^-2*(VLOOKUP($HD$9,各项系数!$D$1:$F$143,3,0))*10^-3*10^2*各项系数!$J$4</f>
        <v>0.335140294052126</v>
      </c>
      <c r="HE137" s="389">
        <v>1</v>
      </c>
      <c r="HF137" s="390">
        <f t="shared" si="413"/>
        <v>0.335140294052126</v>
      </c>
      <c r="HG137" s="390">
        <f>HF137*(VLOOKUP($HD$9,各项系数!$D$1:$F$143,2,0))</f>
        <v>5.69738499888614</v>
      </c>
      <c r="HH137" s="406">
        <f>各项系数!$F$76/4*($MV137^2-$MS137^2)*10^-2*(VLOOKUP($HH$9,各项系数!$D$1:$F$143,3,0))*10^-3*10^2*各项系数!$J$4</f>
        <v>0.333617363031001</v>
      </c>
      <c r="HI137" s="420">
        <v>1</v>
      </c>
      <c r="HJ137" s="390">
        <f t="shared" si="414"/>
        <v>0.333617363031001</v>
      </c>
      <c r="HK137" s="390">
        <f>HJ137*(VLOOKUP($HH$9,各项系数!$D$1:$F$143,2,0))</f>
        <v>5.67149517152701</v>
      </c>
      <c r="HL137" s="406">
        <f>各项系数!$F$76/4*($MW137^2-$MT137^2)*10^-2*(VLOOKUP($HL$9,各项系数!$D$1:$F$143,3,0))*10^-3*10^2*各项系数!$J$4</f>
        <v>0.335140294052126</v>
      </c>
      <c r="HM137" s="420">
        <v>1</v>
      </c>
      <c r="HN137" s="390">
        <f t="shared" si="362"/>
        <v>0.335140294052126</v>
      </c>
      <c r="HO137" s="390">
        <f>HN137*(VLOOKUP($HL$9,各项系数!$D$1:$F$143,2,0))</f>
        <v>5.69738499888614</v>
      </c>
      <c r="HP137" s="406">
        <f>各项系数!$F$76/4*($MV137^2-$MS137^2)*10^-2*(VLOOKUP(AN137,各项系数!$D$1:$F$143,3,0))*10^-3*10^2*各项系数!$J$4</f>
        <v>0.338218981831428</v>
      </c>
      <c r="HQ137" s="389">
        <v>1</v>
      </c>
      <c r="HR137" s="390">
        <f t="shared" si="528"/>
        <v>0.338218981831428</v>
      </c>
      <c r="HS137" s="390">
        <f>HR137*(VLOOKUP(AN137,各项系数!$D$1:$F$143,2,0))</f>
        <v>3.38218981831428</v>
      </c>
      <c r="HT137" s="406">
        <f>各项系数!$F$76/4*($MW137^2-$MT137^2)*10^-2*(VLOOKUP(AN137,各项系数!$D$1:$F$143,3,0))*10^-3*10^2*各项系数!$J$4</f>
        <v>0.339762918797672</v>
      </c>
      <c r="HU137" s="389">
        <v>1</v>
      </c>
      <c r="HV137" s="390">
        <f t="shared" si="529"/>
        <v>0.339762918797672</v>
      </c>
      <c r="HW137" s="390">
        <f>HV137*(VLOOKUP(AN137,各项系数!$D$1:$F$143,2,0))</f>
        <v>3.39762918797672</v>
      </c>
      <c r="HX137" s="406">
        <f>各项系数!$F$76/4*($MV137^2-$MS137^2)*10^-2*(VLOOKUP($HX$9,各项系数!$D$1:$F$143,3,0))*10^-3*10^2*各项系数!$J$4</f>
        <v>0.338218981831428</v>
      </c>
      <c r="HY137" s="420">
        <v>1</v>
      </c>
      <c r="HZ137" s="390">
        <f t="shared" si="530"/>
        <v>0.338218981831428</v>
      </c>
      <c r="IA137" s="390">
        <f>HZ137*(VLOOKUP($HX$9,各项系数!$D$1:$F$143,2,0))</f>
        <v>3.72040880014571</v>
      </c>
      <c r="IB137" s="406">
        <f>各项系数!$F$76/4*($MW137^2-$MT137^2)*10^-2*(VLOOKUP($IB$9,各项系数!$D$1:$F$143,3,0))*10^-3*10^2*各项系数!$J$4</f>
        <v>0.339762918797672</v>
      </c>
      <c r="IC137" s="420">
        <v>1</v>
      </c>
      <c r="ID137" s="390">
        <f t="shared" si="531"/>
        <v>0.339762918797672</v>
      </c>
      <c r="IE137" s="390">
        <f>ID137*(VLOOKUP($IB$9,各项系数!$D$1:$F$143,2,0))</f>
        <v>3.73739210677439</v>
      </c>
      <c r="IF137" s="429"/>
      <c r="IG137" s="406">
        <f t="shared" si="415"/>
        <v>0.0725727012271028</v>
      </c>
      <c r="IH137" s="389">
        <v>1</v>
      </c>
      <c r="II137" s="390">
        <f t="shared" si="532"/>
        <v>0.0725727012271028</v>
      </c>
      <c r="IJ137" s="390">
        <f>II137*(VLOOKUP($IG$8,各项系数!$D$1:$F$143,2,0))</f>
        <v>1.81431753067757</v>
      </c>
      <c r="IK137" s="406">
        <f>(各项系数!$F$76/4*($MX137^2-$MK137^2)*$EG137)*10^-2*(VLOOKUP($IG$8,各项系数!$D$1:$F$143,3,0))*10^-3*10^2*各项系数!$J$4</f>
        <v>0.0618095371771455</v>
      </c>
      <c r="IL137" s="389">
        <f>IK137*(VLOOKUP($IG$8,各项系数!$D$1:$F$143,2,0))</f>
        <v>1.54523842942864</v>
      </c>
      <c r="IM137" s="390">
        <f>(各项系数!$F$76/4*(($MM137+3*$X137)^2-MM137^2)*$EO137)*10^-2*(VLOOKUP($IG$8,各项系数!$D$1:$F$143,3,0))*10^-3*10^2*各项系数!$J$4</f>
        <v>0.0107631640499573</v>
      </c>
      <c r="IN137" s="389">
        <f>IM137*(VLOOKUP($IG$8,各项系数!$D$1:$F$143,2,0))</f>
        <v>0.269079101248933</v>
      </c>
      <c r="IO137" s="406">
        <f>各项系数!$F$76/4*($MZ137^2-$MX137^2)*10^-2*(VLOOKUP(L137,各项系数!$D$1:$F$143,3,0))*10^-3*10^2*$ES137*各项系数!$J$4</f>
        <v>0.234224965505765</v>
      </c>
      <c r="IP137" s="389">
        <v>1</v>
      </c>
      <c r="IQ137" s="390">
        <f t="shared" si="533"/>
        <v>0.234224965505765</v>
      </c>
      <c r="IR137" s="367">
        <f>IQ137*(VLOOKUP(L137,各项系数!$D$1:$F$143,2,0))</f>
        <v>2.38909464815881</v>
      </c>
      <c r="IS137" s="406">
        <f>IF($L137&lt;&gt;$IS$9,0,各项系数!$F$76/4*($MZ137^2-$MX137^2)*10^-2*各项系数!$F$12*10^-3*10^2)*$ES137*各项系数!$J$4</f>
        <v>0</v>
      </c>
      <c r="IT137" s="389">
        <v>1</v>
      </c>
      <c r="IU137" s="390">
        <f t="shared" si="534"/>
        <v>0</v>
      </c>
      <c r="IV137" s="367">
        <f>IU137*各项系数!$E$12</f>
        <v>0</v>
      </c>
      <c r="IW137" s="388">
        <f t="shared" si="535"/>
        <v>0.234224965505765</v>
      </c>
      <c r="IX137" s="388">
        <f t="shared" si="536"/>
        <v>2.38909464815881</v>
      </c>
      <c r="IY137" s="447">
        <f>各项系数!$F$76/4*($NB137^2-$MZ137^2*$EG137-$NA137^2*$EO137)*10^-2</f>
        <v>2.88547658160957</v>
      </c>
      <c r="IZ137" s="366">
        <f t="shared" si="487"/>
        <v>1</v>
      </c>
      <c r="JA137" s="367">
        <f t="shared" si="363"/>
        <v>2.88547658160957</v>
      </c>
      <c r="JB137" s="364">
        <f>IF($DE137&lt;&gt;$JB$9,0,$JA137*各项系数!$F$32*10^-3*10^2)*各项系数!$J$4</f>
        <v>0</v>
      </c>
      <c r="JC137" s="123">
        <v>1</v>
      </c>
      <c r="JD137" s="251">
        <f t="shared" si="537"/>
        <v>0</v>
      </c>
      <c r="JE137" s="339">
        <f>JD137*各项系数!$E$32</f>
        <v>0</v>
      </c>
      <c r="JF137" s="364">
        <f>IF($DE137&lt;&gt;$JF$9,0,$JA137*VLOOKUP($JF$9,各项系数!$D$4:$F$540,2,0)*10^-3*10^2)*各项系数!$J$4</f>
        <v>1.43552459935076</v>
      </c>
      <c r="JG137" s="123">
        <v>1</v>
      </c>
      <c r="JH137" s="251">
        <f t="shared" si="364"/>
        <v>1.43552459935076</v>
      </c>
      <c r="JI137" s="339">
        <f>JH137*VLOOKUP($JF$9,各项系数!$D$4:$F$540,3,0)</f>
        <v>1.72262951922091</v>
      </c>
      <c r="JJ137" s="364">
        <f t="shared" si="538"/>
        <v>1.43552459935076</v>
      </c>
      <c r="JK137" s="251">
        <f t="shared" si="539"/>
        <v>1.72262951922091</v>
      </c>
      <c r="JL137" s="364">
        <f>IF($DF137&lt;&gt;$JL$9,0,各项系数!$F$76/4*($NE137^2-$NC137^2)*10^-2*各项系数!$F$39*10^-3*10^2)*各项系数!$J$4</f>
        <v>0.00390823449444833</v>
      </c>
      <c r="JM137" s="123">
        <v>1</v>
      </c>
      <c r="JN137" s="251">
        <f t="shared" si="540"/>
        <v>0.00390823449444833</v>
      </c>
      <c r="JO137" s="339">
        <f>JN137*各项系数!$E$39</f>
        <v>0.0781646898889665</v>
      </c>
      <c r="JP137" s="364">
        <f>IF($DF137&lt;&gt;$JP$9,0,各项系数!$F$76/4*($NE137^2-$NC137^2)*10^-2*各项系数!$F$36*10^-3*10^2)*各项系数!$J$4</f>
        <v>0</v>
      </c>
      <c r="JQ137" s="123">
        <v>1</v>
      </c>
      <c r="JR137" s="251">
        <f t="shared" si="541"/>
        <v>0</v>
      </c>
      <c r="JS137" s="339">
        <f>JR137*各项系数!$E$36</f>
        <v>0</v>
      </c>
      <c r="JT137" s="364">
        <f>IF($DF137&lt;&gt;$JT$9,0,各项系数!$F$76/4*($NE137^2-$NC137^2)*10^-2*各项系数!$F$40*10^-3*10^2)*各项系数!$J$4</f>
        <v>0</v>
      </c>
      <c r="JU137" s="123">
        <v>1</v>
      </c>
      <c r="JV137" s="251">
        <f t="shared" si="542"/>
        <v>0</v>
      </c>
      <c r="JW137" s="339">
        <f>JV137*各项系数!$E$40</f>
        <v>0</v>
      </c>
      <c r="JX137" s="364">
        <f>IF($DF137&lt;&gt;$JX$9,0,各项系数!$F$76/4*($NE137^2-$NC137^2)*10^-2*各项系数!$F$38*10^-3*10^2)*各项系数!$J$4</f>
        <v>0</v>
      </c>
      <c r="JY137" s="123">
        <v>1</v>
      </c>
      <c r="JZ137" s="251">
        <f t="shared" si="543"/>
        <v>0</v>
      </c>
      <c r="KA137" s="339">
        <f>JZ137*各项系数!$E$38</f>
        <v>0</v>
      </c>
      <c r="KB137" s="364">
        <f>IF($DF137&lt;&gt;$KB$9,0,各项系数!$F$76/4*($NE137^2-$NC137^2)*10^-2*各项系数!$F$41*10^-3*10^2)*各项系数!$J$4</f>
        <v>0</v>
      </c>
      <c r="KC137" s="123">
        <v>1</v>
      </c>
      <c r="KD137" s="251">
        <f t="shared" si="544"/>
        <v>0</v>
      </c>
      <c r="KE137" s="339">
        <f>KD137*各项系数!$E$41</f>
        <v>0</v>
      </c>
      <c r="KF137" s="251">
        <f t="shared" si="545"/>
        <v>0.00390823449444833</v>
      </c>
      <c r="KG137" s="251">
        <f t="shared" si="546"/>
        <v>0.0781646898889665</v>
      </c>
      <c r="KH137" s="302">
        <f>各项系数!$F$76/4*($NG137^2-$NE137^2)*10^-2*各项系数!$F$44*10^-3*10^2*各项系数!$J$4*0.75*$U137</f>
        <v>0.978999778970703</v>
      </c>
      <c r="KI137" s="123">
        <v>1</v>
      </c>
      <c r="KJ137" s="251">
        <f t="shared" si="547"/>
        <v>0.978999778970703</v>
      </c>
      <c r="KK137" s="251">
        <f>ROUND(KJ137*各项系数!$E$43,GT137)</f>
        <v>6</v>
      </c>
      <c r="KL137" s="302">
        <f>各项系数!$F$76/4*($NF137^2-$NE137^2)*10^-2*各项系数!$F$46*10^-3*10^2*各项系数!$J$4*PI()/4*R137</f>
        <v>0.0487914280316916</v>
      </c>
      <c r="KM137" s="123">
        <v>1</v>
      </c>
      <c r="KN137" s="251">
        <f t="shared" si="548"/>
        <v>0.0487914280316916</v>
      </c>
      <c r="KO137" s="251">
        <f>KN137*各项系数!$E$46</f>
        <v>3.29342139213918</v>
      </c>
      <c r="KP137" s="302">
        <f>各项系数!$F$76/4*($NH137^2-$NE137^2)*10^-2*(VLOOKUP($KP$9,各项系数!$D$1:$F$143,3,0))*10^-3*10^2*各项系数!$J$4</f>
        <v>0.351702168906858</v>
      </c>
      <c r="KQ137" s="123">
        <v>1</v>
      </c>
      <c r="KR137" s="251">
        <f t="shared" si="416"/>
        <v>0.351702168906858</v>
      </c>
      <c r="KS137" s="251">
        <f>KR137*(VLOOKUP($KP$9,各项系数!$D$1:$F$143,2,0))</f>
        <v>5.97893687141658</v>
      </c>
      <c r="KT137" s="302">
        <f>各项系数!$F$76/4*($NI137^2-$NF137^2)*10^-2*(VLOOKUP($KT$9,各项系数!$D$1:$F$143,3,0))*10^-3*10^2*各项系数!$J$4</f>
        <v>0.353225099927982</v>
      </c>
      <c r="KU137" s="123">
        <v>1</v>
      </c>
      <c r="KV137" s="251">
        <f t="shared" si="417"/>
        <v>0.353225099927982</v>
      </c>
      <c r="KW137" s="251">
        <f>KV137*(VLOOKUP($KT$9,各项系数!$D$1:$F$143,2,0))</f>
        <v>6.0048266987757</v>
      </c>
      <c r="KX137" s="251">
        <f>各项系数!$F$76/4*($NH137^2-$NE137^2)*10^-2*(VLOOKUP($KX$9,各项系数!$D$1:$F$143,3,0))*10^-3*10^2*各项系数!$J$4</f>
        <v>0.351702168906858</v>
      </c>
      <c r="KY137" s="479">
        <v>1</v>
      </c>
      <c r="KZ137" s="251">
        <f t="shared" si="418"/>
        <v>0.351702168906858</v>
      </c>
      <c r="LA137" s="251">
        <f>KZ137*(VLOOKUP($KX$9,各项系数!$D$1:$F$143,2,0))</f>
        <v>5.97893687141658</v>
      </c>
      <c r="LB137" s="251">
        <f>各项系数!$F$76/4*($NI137^2-$NF137^2)*10^-2*(VLOOKUP($LB$9,各项系数!$D$1:$F$143,3,0))*10^-3*10^2*各项系数!$J$4</f>
        <v>0.353225099927982</v>
      </c>
      <c r="LC137" s="479">
        <v>1</v>
      </c>
      <c r="LD137" s="251">
        <f t="shared" si="419"/>
        <v>0.353225099927982</v>
      </c>
      <c r="LE137" s="251">
        <f>LD137*(VLOOKUP($LB$9,各项系数!$D$1:$F$143,2,0))</f>
        <v>6.0048266987757</v>
      </c>
      <c r="LF137" s="302">
        <f>各项系数!$F$76/4*($NH137^2-$NE137^2)*10^-2*(VLOOKUP(AN137,各项系数!$D$1:$F$143,3,0))*10^-3*10^2*各项系数!$J$4</f>
        <v>0.356553233305573</v>
      </c>
      <c r="LG137" s="123">
        <v>1</v>
      </c>
      <c r="LH137" s="251">
        <f t="shared" si="549"/>
        <v>0.356553233305573</v>
      </c>
      <c r="LI137" s="251">
        <f>LH137*(VLOOKUP(AN137,各项系数!$D$1:$F$143,2,0))</f>
        <v>3.56553233305573</v>
      </c>
      <c r="LJ137" s="302">
        <f>各项系数!$F$76/4*($NI137^2-$NF137^2)*10^-2*(VLOOKUP(AN137,各项系数!$D$1:$F$143,3,0))*10^-3*10^2*各项系数!$J$4</f>
        <v>0.358097170271817</v>
      </c>
      <c r="LK137" s="123">
        <v>1</v>
      </c>
      <c r="LL137" s="251">
        <f t="shared" si="550"/>
        <v>0.358097170271817</v>
      </c>
      <c r="LM137" s="251">
        <f>LL137*(VLOOKUP(AN137,各项系数!$D$1:$F$143,2,0))</f>
        <v>3.58097170271817</v>
      </c>
      <c r="LN137" s="251">
        <f>各项系数!$F$76/4*($NH137^2-$NE137^2)*10^-2*(VLOOKUP($LN$9,各项系数!$D$1:$F$143,3,0))*10^-3*10^2*各项系数!$J$4</f>
        <v>0.356553233305573</v>
      </c>
      <c r="LO137" s="479">
        <v>1</v>
      </c>
      <c r="LP137" s="251">
        <f t="shared" si="551"/>
        <v>0.356553233305573</v>
      </c>
      <c r="LQ137" s="251">
        <f>LP137*(VLOOKUP($LN$9,各项系数!$D$1:$F$143,2,0))</f>
        <v>3.9220855663613</v>
      </c>
      <c r="LR137" s="251">
        <f>各项系数!$F$76/4*($NI137^2-$NF137^2)*10^-2*(VLOOKUP($LR$9,各项系数!$D$1:$F$143,3,0))*10^-3*10^2*各项系数!$J$4</f>
        <v>0.358097170271817</v>
      </c>
      <c r="LS137" s="479">
        <v>1</v>
      </c>
      <c r="LT137" s="251">
        <f t="shared" si="552"/>
        <v>0.358097170271817</v>
      </c>
      <c r="LU137" s="251">
        <f>LT137*(VLOOKUP($LR$9,各项系数!$D$1:$F$143,2,0))</f>
        <v>3.93906887298998</v>
      </c>
      <c r="LV137" s="499">
        <f t="shared" si="420"/>
        <v>358.6901324</v>
      </c>
      <c r="LW137" s="499">
        <f t="shared" si="421"/>
        <v>258.2083523</v>
      </c>
      <c r="LX137" s="499">
        <f t="shared" si="422"/>
        <v>18.1317700440213</v>
      </c>
      <c r="LY137" s="515">
        <f t="shared" si="423"/>
        <v>100.4817801</v>
      </c>
      <c r="LZ137" s="516">
        <f t="shared" si="365"/>
        <v>1</v>
      </c>
      <c r="MA137" s="517">
        <f t="shared" si="366"/>
        <v>358.6901324</v>
      </c>
      <c r="MB137" s="517">
        <f t="shared" si="424"/>
        <v>10.68525223</v>
      </c>
      <c r="MC137" s="499">
        <f t="shared" si="425"/>
        <v>42.44810139</v>
      </c>
      <c r="MD137" s="499">
        <f t="shared" si="426"/>
        <v>33.01518987</v>
      </c>
      <c r="ME137" s="499">
        <f t="shared" si="427"/>
        <v>6.48353648246262</v>
      </c>
      <c r="MF137" s="499">
        <f t="shared" si="428"/>
        <v>9.43291152</v>
      </c>
      <c r="MG137" s="516">
        <f t="shared" si="429"/>
        <v>1</v>
      </c>
      <c r="MH137" s="517">
        <f t="shared" si="367"/>
        <v>42.44810139</v>
      </c>
      <c r="MI137" s="517">
        <f t="shared" si="430"/>
        <v>7.35163936062397</v>
      </c>
      <c r="MJ137" s="251">
        <f t="shared" si="368"/>
        <v>10.68525223</v>
      </c>
      <c r="MK137" s="251">
        <f t="shared" si="431"/>
        <v>10.68525223</v>
      </c>
      <c r="ML137" s="251">
        <f t="shared" si="553"/>
        <v>7.3516393608129</v>
      </c>
      <c r="MM137" s="251">
        <f t="shared" si="369"/>
        <v>7.35163936062397</v>
      </c>
      <c r="MN137" s="251">
        <f t="shared" si="370"/>
        <v>12.88525223</v>
      </c>
      <c r="MO137" s="251">
        <f t="shared" si="432"/>
        <v>9.15163936062397</v>
      </c>
      <c r="MP137" s="251">
        <f t="shared" si="433"/>
        <v>32.77403007</v>
      </c>
      <c r="MQ137" s="251">
        <f t="shared" si="554"/>
        <v>32.77403007</v>
      </c>
      <c r="MR137" s="314">
        <f t="shared" si="434"/>
        <v>32.77403007</v>
      </c>
      <c r="MS137" s="530">
        <f t="shared" si="371"/>
        <v>32.95003007</v>
      </c>
      <c r="MT137" s="530">
        <f t="shared" si="372"/>
        <v>33.11003007</v>
      </c>
      <c r="MU137" s="530">
        <f t="shared" si="373"/>
        <v>34.45003007</v>
      </c>
      <c r="MV137" s="530">
        <f t="shared" si="374"/>
        <v>37.15003007</v>
      </c>
      <c r="MW137" s="530">
        <f t="shared" si="375"/>
        <v>37.31003007</v>
      </c>
      <c r="MX137" s="326">
        <f t="shared" si="376"/>
        <v>11.28525223</v>
      </c>
      <c r="MY137" s="326">
        <f t="shared" si="377"/>
        <v>7.95163936062397</v>
      </c>
      <c r="MZ137" s="251">
        <f t="shared" si="378"/>
        <v>13.48525223</v>
      </c>
      <c r="NA137" s="251">
        <f t="shared" si="379"/>
        <v>10.151639360624</v>
      </c>
      <c r="NB137" s="251">
        <f t="shared" si="435"/>
        <v>34.61003007</v>
      </c>
      <c r="NC137" s="326">
        <f t="shared" si="555"/>
        <v>34.61003007</v>
      </c>
      <c r="ND137" s="314">
        <f t="shared" si="436"/>
        <v>34.61003007</v>
      </c>
      <c r="NE137" s="537">
        <f t="shared" si="437"/>
        <v>34.85003007</v>
      </c>
      <c r="NF137" s="530">
        <f t="shared" si="380"/>
        <v>35.01003007</v>
      </c>
      <c r="NG137" s="538">
        <f t="shared" si="381"/>
        <v>36.35003007</v>
      </c>
      <c r="NH137" s="326">
        <f t="shared" si="382"/>
        <v>39.05003007</v>
      </c>
      <c r="NI137" s="530">
        <f t="shared" si="383"/>
        <v>39.21003007</v>
      </c>
      <c r="NK137" s="539">
        <f t="shared" si="384"/>
        <v>3.49143945550531</v>
      </c>
      <c r="NL137" s="539">
        <f t="shared" si="385"/>
        <v>177.640486848233</v>
      </c>
      <c r="NM137" s="539">
        <f t="shared" si="386"/>
        <v>3.49143945550531</v>
      </c>
      <c r="NN137" s="539">
        <f t="shared" si="387"/>
        <v>177.978705830064</v>
      </c>
      <c r="NO137" s="539">
        <f t="shared" si="388"/>
        <v>4.72248364062276</v>
      </c>
      <c r="NP137" s="539">
        <f t="shared" si="389"/>
        <v>180.724174468391</v>
      </c>
      <c r="NQ137" s="539">
        <f t="shared" si="390"/>
        <v>4.72248364062276</v>
      </c>
      <c r="NR137" s="539">
        <f t="shared" si="391"/>
        <v>181.080727701696</v>
      </c>
      <c r="NS137" s="539">
        <f t="shared" si="392"/>
        <v>3.53757690032902</v>
      </c>
      <c r="NT137" s="539">
        <f t="shared" si="393"/>
        <v>3.53757690032902</v>
      </c>
      <c r="NU137" s="539">
        <f t="shared" si="394"/>
        <v>4.77127506865445</v>
      </c>
      <c r="NV137" s="539">
        <f t="shared" si="395"/>
        <v>4.77127506865445</v>
      </c>
      <c r="NW137">
        <f t="shared" si="396"/>
        <v>4.10927267877252</v>
      </c>
      <c r="NX137">
        <f>各项系数!$M$9*NK137</f>
        <v>1.04743183665159</v>
      </c>
      <c r="NY137">
        <f t="shared" si="397"/>
        <v>3.53757690032902</v>
      </c>
    </row>
    <row r="138" customHeight="1" spans="1:389">
      <c r="A138" s="85"/>
      <c r="B138" s="86"/>
      <c r="C138" s="87"/>
      <c r="D138" s="69" t="s">
        <v>407</v>
      </c>
      <c r="E138" s="77">
        <f t="shared" si="560"/>
        <v>42.23069679</v>
      </c>
      <c r="F138" s="84">
        <f>$F$26</f>
        <v>245.088056587712</v>
      </c>
      <c r="G138" s="74"/>
      <c r="H138" s="78"/>
      <c r="I138" s="174">
        <f>$F$24</f>
        <v>238.573455311777</v>
      </c>
      <c r="J138" s="78"/>
      <c r="K138" s="78"/>
      <c r="L138" s="118" t="s">
        <v>467</v>
      </c>
      <c r="M138" s="124">
        <f t="shared" si="339"/>
        <v>1.1</v>
      </c>
      <c r="N138" s="124">
        <f t="shared" si="501"/>
        <v>1</v>
      </c>
      <c r="O138" s="69">
        <f t="shared" ref="O138:O147" si="580">$O$36</f>
        <v>0.08</v>
      </c>
      <c r="P138" s="120">
        <v>0.1</v>
      </c>
      <c r="Q138" s="162">
        <f t="shared" si="578"/>
        <v>0.1</v>
      </c>
      <c r="R138" s="86">
        <v>0.8</v>
      </c>
      <c r="S138" s="171" t="str">
        <f>各项系数!$D$43</f>
        <v>钢带</v>
      </c>
      <c r="T138" s="123">
        <v>0.5</v>
      </c>
      <c r="U138" s="123">
        <v>2</v>
      </c>
      <c r="V138" s="169"/>
      <c r="W138" s="170">
        <v>2.3</v>
      </c>
      <c r="X138" s="164">
        <f t="shared" si="579"/>
        <v>0.2</v>
      </c>
      <c r="Y138" s="219"/>
      <c r="Z138" s="220"/>
      <c r="AA138" s="217">
        <f>$AA$26</f>
        <v>1.013</v>
      </c>
      <c r="AB138" s="186">
        <f>PI()*EJ138*EJ138/4*EH138*(1-H138)*AA138*各项系数!$F$5*各项系数!$J$4*10^-7</f>
        <v>0.803196977708722</v>
      </c>
      <c r="AC138" s="186">
        <f t="shared" si="573"/>
        <v>245.088056587712</v>
      </c>
      <c r="AD138" s="186">
        <f t="shared" si="341"/>
        <v>90.8023783381159</v>
      </c>
      <c r="AE138" s="186">
        <f>POWER(4*EU138/PI()/EG138/10^-7/EH138/(1-H138)/各项系数!$F$5/各项系数!$J$4,0.5)</f>
        <v>246.675984853019</v>
      </c>
      <c r="AF138" s="218">
        <f>$AA$24</f>
        <v>1.011</v>
      </c>
      <c r="AG138" s="85">
        <f>IF(EM138=0,0,PI()*ER138*ER138/4*EP138*(1-K138)*(1+AF138)*各项系数!$F$5*各项系数!$J$4*10^-7)</f>
        <v>0.795190228780996</v>
      </c>
      <c r="AH138" s="85">
        <f t="shared" si="574"/>
        <v>238.573455311777</v>
      </c>
      <c r="AI138" s="85">
        <f t="shared" si="398"/>
        <v>45.1944679590854</v>
      </c>
      <c r="AJ138" s="85">
        <f>IF(OR(EP138="",EP138=0),0,POWER(4*EW138/PI()/EO138/10^-7/EP138/(1-K138)/各项系数!$F$5/各项系数!$J$4,0.5))</f>
        <v>239.882020603408</v>
      </c>
      <c r="AK138" s="85">
        <f t="shared" si="342"/>
        <v>3.61255783689037</v>
      </c>
      <c r="AL138" s="85">
        <f t="shared" si="575"/>
        <v>252.282065062041</v>
      </c>
      <c r="AM138" s="250">
        <f t="shared" si="576"/>
        <v>95</v>
      </c>
      <c r="AN138" s="118" t="s">
        <v>486</v>
      </c>
      <c r="AO138" s="259">
        <f>AP138+各项系数!$M$9*$NK138</f>
        <v>247.335357903962</v>
      </c>
      <c r="AP138" s="259">
        <f>AQ138*(1+$BI138+(VLOOKUP($AM138,$A$12:$B$323,2,0))+各项系数!$J$6+各项系数!$M$5)*(1+$E$2)</f>
        <v>245.917488246184</v>
      </c>
      <c r="AQ138" s="260">
        <f>AR138+各项系数!$L$9*$NK138</f>
        <v>250.936212496106</v>
      </c>
      <c r="AR138" s="260">
        <f>AS138*(1+$BJ138+各项系数!$J$5+各项系数!$L$5)</f>
        <v>249.518342838329</v>
      </c>
      <c r="AS138" s="260">
        <f t="shared" si="399"/>
        <v>244.625826312087</v>
      </c>
      <c r="AT138" s="259">
        <f>AU138+各项系数!$M$9*$NM138</f>
        <v>250.19069249311</v>
      </c>
      <c r="AU138" s="259">
        <f>AV138*(1+$BI138+(VLOOKUP($AM138,$A$12:$B$323,2,0))+各项系数!$J$6+各项系数!$M$5)*(1+$E$2)</f>
        <v>248.772822835333</v>
      </c>
      <c r="AV138" s="260">
        <f>AW138+各项系数!$L$9*$NM138</f>
        <v>253.849819219727</v>
      </c>
      <c r="AW138" s="260">
        <f>AX138*(1+$BJ138+各项系数!$J$5+各项系数!$L$5)</f>
        <v>252.43194956195</v>
      </c>
      <c r="AX138" s="260">
        <f t="shared" si="400"/>
        <v>247.482303492108</v>
      </c>
      <c r="AY138" s="259">
        <f>AZ138+各项系数!$M$9*$NS138</f>
        <v>250.937727983299</v>
      </c>
      <c r="AZ138" s="259">
        <f>BA138*(1+$BI138+(VLOOKUP($AM138,$A$12:$B$214,2,0))+各项系数!$J$6+各项系数!$M$5)*(1+$E$2)</f>
        <v>249.504055658778</v>
      </c>
      <c r="BA138" s="260">
        <f>BB138+各项系数!$L$9*$NS138</f>
        <v>254.595975162018</v>
      </c>
      <c r="BB138" s="260">
        <f>BC138*(1+$BJ138+各项系数!$J$5+各项系数!$L$5)</f>
        <v>253.162302837497</v>
      </c>
      <c r="BC138" s="262">
        <f t="shared" si="401"/>
        <v>248.198336115193</v>
      </c>
      <c r="BD138" s="259">
        <f>BE138+各项系数!$M$9*$NS138</f>
        <v>253.804503733533</v>
      </c>
      <c r="BE138" s="259">
        <f>BF138*(1+$BI138+(VLOOKUP($AM138,$A$12:$B$214,2,0))+各项系数!$J$6+各项系数!$M$5)*(1+$E$2)</f>
        <v>252.370831409012</v>
      </c>
      <c r="BF138" s="260">
        <f>BG138+各项系数!$L$9*$NS138</f>
        <v>257.521256539809</v>
      </c>
      <c r="BG138" s="260">
        <f>BH138*(1+$BJ138+各项系数!$J$5+各项系数!$L$5)</f>
        <v>256.087584215288</v>
      </c>
      <c r="BH138" s="262">
        <f t="shared" si="402"/>
        <v>251.066259034596</v>
      </c>
      <c r="BI138" s="277"/>
      <c r="BJ138" s="272"/>
      <c r="BK138" s="69" t="s">
        <v>514</v>
      </c>
      <c r="BL138" s="259">
        <f>BM138+各项系数!$M$9*$NM138</f>
        <v>250.158670123057</v>
      </c>
      <c r="BM138" s="259">
        <f>BN138*(1+$CF138+(VLOOKUP($AM138,$A$12:$B$323,2,0))+各项系数!$J$6+各项系数!$M$5)*(1+$E$2)</f>
        <v>248.740800465279</v>
      </c>
      <c r="BN138" s="260">
        <f>BO138+各项系数!$L$9*$NM138</f>
        <v>253.817143331918</v>
      </c>
      <c r="BO138" s="260">
        <f>BP138*(1+$CG138+各项系数!$J$5+各项系数!$L$5)</f>
        <v>252.39927367414</v>
      </c>
      <c r="BP138" s="260">
        <f t="shared" si="403"/>
        <v>245.047838518583</v>
      </c>
      <c r="BQ138" s="259">
        <f>BR138+各项系数!$M$9*$NM138</f>
        <v>252.616019067333</v>
      </c>
      <c r="BR138" s="259">
        <f>BS138*(1+$CF138+(VLOOKUP($AM138,$A$12:$B$323,2,0))+各项系数!$J$6+各项系数!$M$5)*(1+$E$2)</f>
        <v>251.198149409556</v>
      </c>
      <c r="BS138" s="260">
        <f>BT138+各项系数!$L$9*$NM138</f>
        <v>256.324642254648</v>
      </c>
      <c r="BT138" s="260">
        <f>BU138*(1+$CG138+各项系数!$J$5+各项系数!$L$5)</f>
        <v>254.906772596871</v>
      </c>
      <c r="BU138" s="260">
        <f t="shared" si="404"/>
        <v>247.482303492108</v>
      </c>
      <c r="BV138" s="259">
        <f>BW138+各项系数!$M$9*$NT138</f>
        <v>252.400856929306</v>
      </c>
      <c r="BW138" s="259">
        <f>BX138*(1+$CF138+(VLOOKUP($AM138,$A$12:$B$214,2,0))+各项系数!$J$6+各项系数!$M$5)*(1+$E$2)</f>
        <v>250.967184604785</v>
      </c>
      <c r="BX138" s="260">
        <f>BY138+各项系数!$L$9*$NT$12</f>
        <v>256.088963882434</v>
      </c>
      <c r="BY138" s="260">
        <f>BZ138*(1+$CG138+各项系数!$J$5+各项系数!$L$5)</f>
        <v>256.080700479279</v>
      </c>
      <c r="BZ138" s="262">
        <f t="shared" si="343"/>
        <v>248.622039300271</v>
      </c>
      <c r="CA138" s="259">
        <f>CB138+各项系数!$M$9*$NT138</f>
        <v>254.868052329134</v>
      </c>
      <c r="CB138" s="259">
        <f>CC138*(1+$CF138+(VLOOKUP($AM138,$A$12:$B$214,2,0))+各项系数!$J$6+各项系数!$M$5)*(1+$E$2)</f>
        <v>253.434380004613</v>
      </c>
      <c r="CC138" s="260">
        <f>CD138+各项系数!$L$9*$NT$12</f>
        <v>258.606510208789</v>
      </c>
      <c r="CD138" s="260">
        <f>CE138*(1+$CG138+各项系数!$J$5+各项系数!$L$5)</f>
        <v>258.598246805634</v>
      </c>
      <c r="CE138" s="262">
        <f t="shared" si="405"/>
        <v>251.066259034596</v>
      </c>
      <c r="CF138" s="277">
        <f t="shared" si="514"/>
        <v>0</v>
      </c>
      <c r="CG138" s="277">
        <f t="shared" si="344"/>
        <v>0.01</v>
      </c>
      <c r="CH138" s="123"/>
      <c r="CI138" s="259">
        <f>CJ138+各项系数!$M$9*$NO138</f>
        <v>253.208006048038</v>
      </c>
      <c r="CJ138" s="259">
        <f>CK138*(1+$DC138+(VLOOKUP($AM138,$A$12:$B$323,2,0))+各项系数!$J$6+各项系数!$M$5)*(1+$E$2)+各项系数!$M$9*$NK138</f>
        <v>251.323523652162</v>
      </c>
      <c r="CK138" s="260">
        <f>CL138+各项系数!$L$9*$NO138</f>
        <v>255.005769382025</v>
      </c>
      <c r="CL138" s="260">
        <f>CM138*(1+$DD138+各项系数!$J$5+各项系数!$L$5)</f>
        <v>253.121286986149</v>
      </c>
      <c r="CM138" s="260">
        <f t="shared" si="345"/>
        <v>248.158124496224</v>
      </c>
      <c r="CN138" s="259">
        <f>CO138+各项系数!$M$9*$NO138</f>
        <v>255.874026791834</v>
      </c>
      <c r="CO138" s="259">
        <f>CP138*(1+$DC138+(VLOOKUP($AM138,$A$12:$B$323,2,0))+各项系数!$J$6+各项系数!$M$5)*(1+$E$2)+各项系数!$M$9*$NK138</f>
        <v>253.989544395958</v>
      </c>
      <c r="CP138" s="260">
        <f>CQ138+各项系数!$L$9*$NO138</f>
        <v>257.726198712429</v>
      </c>
      <c r="CQ138" s="260">
        <f>CR138*(1+$DD138+各项系数!$J$5+各项系数!$L$5)</f>
        <v>255.841716316553</v>
      </c>
      <c r="CR138" s="260">
        <f t="shared" si="346"/>
        <v>250.825212075052</v>
      </c>
      <c r="CS138" s="259">
        <f>CT138+各项系数!$M$9*$NU138</f>
        <v>255.562886693614</v>
      </c>
      <c r="CT138" s="259">
        <f t="shared" si="347"/>
        <v>253.66185069343</v>
      </c>
      <c r="CU138" s="260">
        <f>CV138+各项系数!$L$9*$NU138</f>
        <v>258.838623156561</v>
      </c>
      <c r="CV138" s="260">
        <f>CW138*(1+$DD138+各项系数!$J$5+各项系数!$L$5)</f>
        <v>256.937587156377</v>
      </c>
      <c r="CW138" s="262">
        <f t="shared" si="348"/>
        <v>251.89959525135</v>
      </c>
      <c r="CX138" s="259">
        <f>CY138+各项系数!$M$9*$NU138</f>
        <v>258.557803448016</v>
      </c>
      <c r="CY138" s="259">
        <f t="shared" si="349"/>
        <v>256.656767447832</v>
      </c>
      <c r="CZ138" s="260">
        <f>DA138+各项系数!$L$9*$NU138</f>
        <v>261.894660661053</v>
      </c>
      <c r="DA138" s="260">
        <f>DB138*(1+$DD138+各项系数!$J$5+各项系数!$L$5)</f>
        <v>259.993624660869</v>
      </c>
      <c r="DB138" s="262">
        <f t="shared" si="350"/>
        <v>254.895710451832</v>
      </c>
      <c r="DC138" s="277">
        <f t="shared" si="571"/>
        <v>0</v>
      </c>
      <c r="DD138" s="277">
        <f t="shared" si="351"/>
        <v>0</v>
      </c>
      <c r="DE138" s="69" t="s">
        <v>498</v>
      </c>
      <c r="DF138" s="69" t="s">
        <v>513</v>
      </c>
      <c r="DG138" s="259">
        <f>DH138+各项系数!$M$9*$NQ138</f>
        <v>256.085051775682</v>
      </c>
      <c r="DH138" s="259">
        <f>DI138*(1+$EA138+(VLOOKUP($AM138,$A$12:$B$323,2,0))+各项系数!$J$6+各项系数!$M$5)*(1+$E$2)+各项系数!$M$9*$NK138</f>
        <v>254.200569379806</v>
      </c>
      <c r="DI138" s="260">
        <f>DJ138+各项系数!$L$9*$NQ138</f>
        <v>257.9415303286</v>
      </c>
      <c r="DJ138" s="260">
        <f>DK138*(1+$EB138+各项系数!$J$5+各项系数!$L$5)</f>
        <v>256.057047932724</v>
      </c>
      <c r="DK138" s="260">
        <f t="shared" si="352"/>
        <v>248.599075662839</v>
      </c>
      <c r="DL138" s="259">
        <f>DM138+各项系数!$M$9*$NQ138</f>
        <v>258.652681022135</v>
      </c>
      <c r="DM138" s="259">
        <f>DN138*(1+$EA138+(VLOOKUP($AM138,$A$12:$B$323,2,0))+各项系数!$J$6+各项系数!$M$5)*(1+$E$2)+各项系数!$M$9*$NK138</f>
        <v>256.768198626259</v>
      </c>
      <c r="DN138" s="260">
        <f>DO138+各项系数!$L$9*$NQ138</f>
        <v>260.56156017192</v>
      </c>
      <c r="DO138" s="260">
        <f>DP138*(1+$EB138+各项系数!$J$5+各项系数!$L$5)</f>
        <v>258.677077776044</v>
      </c>
      <c r="DP138" s="260">
        <f t="shared" si="353"/>
        <v>251.142793957324</v>
      </c>
      <c r="DQ138" s="259">
        <f>DR138+各项系数!$M$9*$NV138</f>
        <v>258.478305708439</v>
      </c>
      <c r="DR138" s="259">
        <f t="shared" si="354"/>
        <v>256.577269708255</v>
      </c>
      <c r="DS138" s="260">
        <f>DT138+各项系数!$L$9*$NV138</f>
        <v>261.813540518627</v>
      </c>
      <c r="DT138" s="260">
        <f>DU138*(1+$EB138+各项系数!$J$5+各项系数!$L$5)</f>
        <v>259.912504518443</v>
      </c>
      <c r="DU138" s="262">
        <f t="shared" si="355"/>
        <v>252.342237396547</v>
      </c>
      <c r="DV138" s="259">
        <f>DW138+各项系数!$M$9*$NV138</f>
        <v>258.338697462501</v>
      </c>
      <c r="DW138" s="259">
        <f t="shared" si="356"/>
        <v>256.437661462317</v>
      </c>
      <c r="DX138" s="260">
        <f>DY138+各项系数!$L$9*$NV138</f>
        <v>261.671083124813</v>
      </c>
      <c r="DY138" s="260">
        <f>DZ138*(1+$EB138+各项系数!$J$5+各项系数!$L$5)</f>
        <v>259.770047124629</v>
      </c>
      <c r="DZ138" s="262">
        <f t="shared" si="357"/>
        <v>252.203929247212</v>
      </c>
      <c r="EA138" s="277">
        <f t="shared" si="559"/>
        <v>0</v>
      </c>
      <c r="EB138" s="277">
        <f t="shared" si="358"/>
        <v>0.01</v>
      </c>
      <c r="EC138" s="302" t="str">
        <f t="shared" si="408"/>
        <v>4+1</v>
      </c>
      <c r="ED138" s="302" t="str">
        <f t="shared" si="565"/>
        <v>4*95</v>
      </c>
      <c r="EE138" s="251">
        <f t="shared" si="495"/>
        <v>95</v>
      </c>
      <c r="EF138" s="251" t="str">
        <f>LOOKUP(EH138,{1,7,10,14,19,24,30,37,48,61},{1,"1+6","2+8","4+10","1+6+12","2+8+14","4+10+16","1+6+12+18","3+9+15+21","1+6+12+18+24"})</f>
        <v>1+6+12</v>
      </c>
      <c r="EG138" s="250">
        <f t="shared" si="359"/>
        <v>4</v>
      </c>
      <c r="EH138" s="260">
        <f>VLOOKUP(EE138,各项系数!$B$87:$C$124,2,0)</f>
        <v>19</v>
      </c>
      <c r="EI138" s="250">
        <f>IF(EH138=0,0,VLOOKUP(EH138,各项系数!$D$142:$E$195,2,0))*1</f>
        <v>5</v>
      </c>
      <c r="EJ138" s="305">
        <f t="shared" si="409"/>
        <v>245.088056587712</v>
      </c>
      <c r="EK138" s="251" t="str">
        <f t="shared" si="566"/>
        <v>1*50</v>
      </c>
      <c r="EL138" s="251" t="str">
        <f t="shared" si="360"/>
        <v>50</v>
      </c>
      <c r="EM138" s="251">
        <f t="shared" si="567"/>
        <v>50</v>
      </c>
      <c r="EN138" s="251" t="str">
        <f>IF(EP138=0,0,LOOKUP(EP138,{1,7,10,14,19,24,30,37,48,61},{1,"1+6","2+8","4+10","1+6+12","2+8+14","4+10+16","1+6+12+18","3+9+15+21","1+6+12+18+24"}))</f>
        <v>2+8</v>
      </c>
      <c r="EO138" s="251" t="str">
        <f t="shared" si="568"/>
        <v>1</v>
      </c>
      <c r="EP138" s="251">
        <f>IF(EM138=0,0,IF(EM138&lt;10,1,IF(AND(EM138&gt;=10,EM138&lt;=35),7,LOOKUP(EM138,{50,70,95,120,150,185,240,300},{10,14,19,24,30,37,48,61})*1)))</f>
        <v>10</v>
      </c>
      <c r="EQ138" s="251">
        <f>IF(EP138=0,0,VLOOKUP(EP138,各项系数!$D$142:$E$195,2,0))*1</f>
        <v>4</v>
      </c>
      <c r="ER138" s="251">
        <f t="shared" si="577"/>
        <v>238.573455311777</v>
      </c>
      <c r="ES138" s="302">
        <f t="shared" si="570"/>
        <v>5</v>
      </c>
      <c r="ET138" s="251">
        <f>VLOOKUP(ES138,各项系数!$D$142:$E$195,2,0)*1</f>
        <v>2.7</v>
      </c>
      <c r="EU138" s="311">
        <f>((各项系数!$F$76/4*$EJ138^2*$EG138*$EH138*1*10^-7)*(1-$H138)*AA138)*(VLOOKUP($EY$9,各项系数!$D$4:$F$143,3,0))*各项系数!$J$4</f>
        <v>3.21278791083489</v>
      </c>
      <c r="EV138" s="312">
        <f>EU138*(VLOOKUP($EY$9,各项系数!$D$4:$F$143,2,0))</f>
        <v>210.437608159685</v>
      </c>
      <c r="EW138" s="324">
        <f>(IF($EO138=0,0,(各项系数!$F$76/4*$ER138^2*$EO138*$EP138*1*10^-7))*(1-$K138)*$AF138)*(VLOOKUP($EY$9,各项系数!$D$4:$F$143,3,0))*各项系数!$J$4</f>
        <v>0.399769926055488</v>
      </c>
      <c r="EX138" s="325">
        <f>EW138*(VLOOKUP($EY$9,各项系数!$D$4:$F$143,2,0))</f>
        <v>26.1849301566345</v>
      </c>
      <c r="EY138" s="251">
        <f>((各项系数!$F$76/4*$EJ138^2*$EG138*$EH138*1*10^-7)*(1-$H138)*AA138+IF($EO138=0,0,(各项系数!$F$76/4*$ER138^2*$EO138*$EP138*1*10^-7))*(1-$K138)*$AF138)*(VLOOKUP($EY$9,各项系数!$D$4:$F$143,3,0))*各项系数!$J$4</f>
        <v>3.61255783689037</v>
      </c>
      <c r="EZ138" s="123">
        <v>1</v>
      </c>
      <c r="FA138" s="251">
        <f t="shared" si="515"/>
        <v>3.61255783689037</v>
      </c>
      <c r="FB138" s="326">
        <f>FA138*(VLOOKUP($EY$9,各项系数!$D$4:$F$143,2,0))</f>
        <v>236.622538316319</v>
      </c>
      <c r="FC138" s="327"/>
      <c r="FD138" s="302">
        <f>各项系数!$F$76/4*($MN138^2-MK138^2)*10^-2*(VLOOKUP(L138,各项系数!$D$1:$F$143,3,0))*10^-3*10^2*$EG138*各项系数!$J$4</f>
        <v>0.202042525339274</v>
      </c>
      <c r="FE138" s="339">
        <f>FD138*VLOOKUP(L138,各项系数!$D$1:$F$143,2,0)</f>
        <v>2.06083375846059</v>
      </c>
      <c r="FF138" s="250">
        <f>各项系数!$F$76/4*($MO138^2-ML138^2)*10^-2*(VLOOKUP(L138,各项系数!$D$1:$F$143,3,0))*10^-3*10^2*$EO138*各项系数!$J$4</f>
        <v>0.0362516100662907</v>
      </c>
      <c r="FG138" s="339">
        <f>FF138*VLOOKUP(L138,各项系数!$D$1:$F$143,2,0)</f>
        <v>0.369766422676165</v>
      </c>
      <c r="FH138" s="302">
        <f t="shared" si="410"/>
        <v>0.238294135405564</v>
      </c>
      <c r="FI138" s="123">
        <v>1</v>
      </c>
      <c r="FJ138" s="251">
        <f t="shared" si="516"/>
        <v>0.238294135405564</v>
      </c>
      <c r="FK138" s="339">
        <f>FJ138*VLOOKUP(L138,各项系数!$D$1:$F$143,2,0)</f>
        <v>2.43060018113676</v>
      </c>
      <c r="FL138" s="302"/>
      <c r="FM138" s="123"/>
      <c r="FN138" s="251"/>
      <c r="FO138" s="339"/>
      <c r="FP138" s="364">
        <f t="shared" si="517"/>
        <v>0.238294135405564</v>
      </c>
      <c r="FQ138" s="364">
        <f t="shared" si="518"/>
        <v>2.43060018113676</v>
      </c>
      <c r="FR138" s="365">
        <f>各项系数!$F$76/4*($MQ138^2-$MN138^2*$EG138-$MO138^2*$EO138)*10^-2</f>
        <v>3.40780997452844</v>
      </c>
      <c r="FS138" s="366">
        <f t="shared" si="411"/>
        <v>1</v>
      </c>
      <c r="FT138" s="367">
        <f t="shared" si="361"/>
        <v>3.40780997452844</v>
      </c>
      <c r="FU138" s="388">
        <f>$FT138*(VLOOKUP($FT$9,各项系数!$D$1:$F$143,3,0))*10^-3*10^2*各项系数!$J$55</f>
        <v>0.406892510958696</v>
      </c>
      <c r="FV138" s="389">
        <v>1</v>
      </c>
      <c r="FW138" s="390">
        <f t="shared" si="519"/>
        <v>0.406892510958696</v>
      </c>
      <c r="FX138" s="367">
        <f>FW138*(VLOOKUP($FT$9,各项系数!$D$1:$F$143,2,0))</f>
        <v>1.22067753287609</v>
      </c>
      <c r="FY138" s="388">
        <f>IF($BK138&lt;&gt;$FY$9,0,各项系数!$F$76/4*($MS138^2-$MQ138^2)*10^-2*(VLOOKUP($FY$9,各项系数!$D$1:$F$143,3,0))*10^-3*10^2)*各项系数!$J$4</f>
        <v>0</v>
      </c>
      <c r="FZ138" s="389">
        <v>1</v>
      </c>
      <c r="GA138" s="390">
        <f t="shared" si="520"/>
        <v>0</v>
      </c>
      <c r="GB138" s="367">
        <f>GA138*(VLOOKUP($FY$9,各项系数!$D$1:$F$143,2,0))</f>
        <v>0</v>
      </c>
      <c r="GC138" s="388">
        <f>IF($BK138&lt;&gt;$GC$9,0,各项系数!$F$76/4*($MS138^2-$MQ138^2)*10^-2*(VLOOKUP($GC$9,各项系数!$D$1:$F$143,3,0))*10^-3*10^2)*各项系数!$J$4</f>
        <v>0.0102238927751809</v>
      </c>
      <c r="GD138" s="389">
        <v>1</v>
      </c>
      <c r="GE138" s="390">
        <f t="shared" si="521"/>
        <v>0.0102238927751809</v>
      </c>
      <c r="GF138" s="367">
        <f>GE138*(VLOOKUP($GC$9,各项系数!$D$1:$F$143,2,0))</f>
        <v>0.131888216799833</v>
      </c>
      <c r="GG138" s="388">
        <f>IF($BK138&lt;&gt;$GG$9,0,各项系数!$F$76/4*($MS138^2-$MQ138^2)*10^-2*(VLOOKUP($GG$9,各项系数!$D$1:$F$143,3,0))*10^-3*10^2)*各项系数!$J$4</f>
        <v>0</v>
      </c>
      <c r="GH138" s="389">
        <v>1</v>
      </c>
      <c r="GI138" s="390">
        <f t="shared" si="522"/>
        <v>0</v>
      </c>
      <c r="GJ138" s="367">
        <f>GI138*(VLOOKUP($GG$9,各项系数!$D$1:$F$143,2,0))</f>
        <v>0</v>
      </c>
      <c r="GK138" s="388">
        <f>IF($BK138&lt;&gt;$GK$9,0,各项系数!$F$76/4*($MS138^2-$MQ138^2)*10^-2*(VLOOKUP($GK$9,各项系数!$D$1:$F$143,3,0))*10^-3*10^2)*各项系数!$J$4</f>
        <v>0</v>
      </c>
      <c r="GL138" s="389">
        <v>1</v>
      </c>
      <c r="GM138" s="390">
        <f t="shared" si="523"/>
        <v>0</v>
      </c>
      <c r="GN138" s="367">
        <f>GM138*(VLOOKUP($GK$9,各项系数!$D$1:$F$143,2,0))</f>
        <v>0</v>
      </c>
      <c r="GO138" s="390">
        <f t="shared" si="524"/>
        <v>0.0102238927751809</v>
      </c>
      <c r="GP138" s="390">
        <f t="shared" si="525"/>
        <v>0.131888216799833</v>
      </c>
      <c r="GQ138" s="406">
        <f>各项系数!$F$76/4*($MU138^2-$MS138^2)*10^-2*(VLOOKUP($S138,各项系数!$D$1:$F$143,3,0))*10^-3*10^2*各项系数!$J$4</f>
        <v>0.703645354611008</v>
      </c>
      <c r="GR138" s="389">
        <v>1</v>
      </c>
      <c r="GS138" s="390">
        <f t="shared" si="526"/>
        <v>0.703645354611008</v>
      </c>
      <c r="GT138" s="390">
        <f t="shared" si="457"/>
        <v>0</v>
      </c>
      <c r="GU138" s="390">
        <f>ROUND($GS138*(VLOOKUP($S138,各项系数!$D$1:$F$143,2,0))+$E$3*GS138,GT138)</f>
        <v>4</v>
      </c>
      <c r="GV138" s="406">
        <f>各项系数!$F$76/4*($MT138^2-$MS138^2)*10^-2*(VLOOKUP($GV$9,各项系数!$D$1:$F$143,3,0))*10^-3*10^2*各项系数!$J$4*PI()/4*R138</f>
        <v>0.0526755558116314</v>
      </c>
      <c r="GW138" s="389">
        <v>1</v>
      </c>
      <c r="GX138" s="390">
        <f t="shared" si="527"/>
        <v>0.0526755558116314</v>
      </c>
      <c r="GY138" s="390">
        <f>$GX138*(VLOOKUP($GV$9,各项系数!$D$1:$F$143,2,0))</f>
        <v>3.55560001728512</v>
      </c>
      <c r="GZ138" s="406">
        <f>各项系数!$F$76/4*($MV138^2-$MS138^2)*10^-2*(VLOOKUP($GZ$9,各项系数!$D$1:$F$143,3,0))*10^-3*10^2*各项系数!$J$4</f>
        <v>0.416270543822098</v>
      </c>
      <c r="HA138" s="389">
        <v>1</v>
      </c>
      <c r="HB138" s="390">
        <f t="shared" si="412"/>
        <v>0.416270543822098</v>
      </c>
      <c r="HC138" s="390">
        <f>HB138*(VLOOKUP($GZ$9,各项系数!$D$1:$F$143,2,0))</f>
        <v>7.07659924497567</v>
      </c>
      <c r="HD138" s="406">
        <f>各项系数!$F$76/4*($MW138^2-$MT138^2)*10^-2*(VLOOKUP($HD$9,各项系数!$D$1:$F$143,3,0))*10^-3*10^2*各项系数!$J$4</f>
        <v>0.417938515892854</v>
      </c>
      <c r="HE138" s="389">
        <v>1</v>
      </c>
      <c r="HF138" s="390">
        <f t="shared" si="413"/>
        <v>0.417938515892854</v>
      </c>
      <c r="HG138" s="390">
        <f>HF138*(VLOOKUP($HD$9,各项系数!$D$1:$F$143,2,0))</f>
        <v>7.10495477017851</v>
      </c>
      <c r="HH138" s="406">
        <f>各项系数!$F$76/4*($MV138^2-$MS138^2)*10^-2*(VLOOKUP($HH$9,各项系数!$D$1:$F$143,3,0))*10^-3*10^2*各项系数!$J$4</f>
        <v>0.416270543822098</v>
      </c>
      <c r="HI138" s="420">
        <v>1</v>
      </c>
      <c r="HJ138" s="390">
        <f t="shared" si="414"/>
        <v>0.416270543822098</v>
      </c>
      <c r="HK138" s="390">
        <f>HJ138*(VLOOKUP($HH$9,各项系数!$D$1:$F$143,2,0))</f>
        <v>7.07659924497567</v>
      </c>
      <c r="HL138" s="406">
        <f>各项系数!$F$76/4*($MW138^2-$MT138^2)*10^-2*(VLOOKUP($HL$9,各项系数!$D$1:$F$143,3,0))*10^-3*10^2*各项系数!$J$4</f>
        <v>0.417938515892854</v>
      </c>
      <c r="HM138" s="420">
        <v>1</v>
      </c>
      <c r="HN138" s="390">
        <f t="shared" si="362"/>
        <v>0.417938515892854</v>
      </c>
      <c r="HO138" s="390">
        <f>HN138*(VLOOKUP($HL$9,各项系数!$D$1:$F$143,2,0))</f>
        <v>7.10495477017851</v>
      </c>
      <c r="HP138" s="406">
        <f>各项系数!$F$76/4*($MV138^2-$MS138^2)*10^-2*(VLOOKUP(AN138,各项系数!$D$1:$F$143,3,0))*10^-3*10^2*各项系数!$J$4</f>
        <v>0.422012206495506</v>
      </c>
      <c r="HQ138" s="389">
        <v>1</v>
      </c>
      <c r="HR138" s="390">
        <f t="shared" si="528"/>
        <v>0.422012206495506</v>
      </c>
      <c r="HS138" s="390">
        <f>HR138*(VLOOKUP(AN138,各项系数!$D$1:$F$143,2,0))</f>
        <v>4.22012206495506</v>
      </c>
      <c r="HT138" s="406">
        <f>各项系数!$F$76/4*($MW138^2-$MT138^2)*10^-2*(VLOOKUP(AN138,各项系数!$D$1:$F$143,3,0))*10^-3*10^2*各项系数!$J$4</f>
        <v>0.423703185077583</v>
      </c>
      <c r="HU138" s="389">
        <v>1</v>
      </c>
      <c r="HV138" s="390">
        <f t="shared" si="529"/>
        <v>0.423703185077583</v>
      </c>
      <c r="HW138" s="390">
        <f>HV138*(VLOOKUP(AN138,各项系数!$D$1:$F$143,2,0))</f>
        <v>4.23703185077583</v>
      </c>
      <c r="HX138" s="406">
        <f>各项系数!$F$76/4*($MV138^2-$MS138^2)*10^-2*(VLOOKUP($HX$9,各项系数!$D$1:$F$143,3,0))*10^-3*10^2*各项系数!$J$4</f>
        <v>0.422012206495506</v>
      </c>
      <c r="HY138" s="420">
        <v>1</v>
      </c>
      <c r="HZ138" s="390">
        <f t="shared" si="530"/>
        <v>0.422012206495506</v>
      </c>
      <c r="IA138" s="390">
        <f>HZ138*(VLOOKUP($HX$9,各项系数!$D$1:$F$143,2,0))</f>
        <v>4.64213427145057</v>
      </c>
      <c r="IB138" s="406">
        <f>各项系数!$F$76/4*($MW138^2-$MT138^2)*10^-2*(VLOOKUP($IB$9,各项系数!$D$1:$F$143,3,0))*10^-3*10^2*各项系数!$J$4</f>
        <v>0.423703185077583</v>
      </c>
      <c r="IC138" s="420">
        <v>1</v>
      </c>
      <c r="ID138" s="390">
        <f t="shared" si="531"/>
        <v>0.423703185077583</v>
      </c>
      <c r="IE138" s="390">
        <f>ID138*(VLOOKUP($IB$9,各项系数!$D$1:$F$143,2,0))</f>
        <v>4.66073503585341</v>
      </c>
      <c r="IF138" s="429"/>
      <c r="IG138" s="406">
        <f t="shared" si="415"/>
        <v>0.0844840586368128</v>
      </c>
      <c r="IH138" s="389">
        <v>1</v>
      </c>
      <c r="II138" s="390">
        <f t="shared" si="532"/>
        <v>0.0844840586368128</v>
      </c>
      <c r="IJ138" s="390">
        <f>II138*(VLOOKUP($IG$8,各项系数!$D$1:$F$143,2,0))</f>
        <v>2.11210146592032</v>
      </c>
      <c r="IK138" s="406">
        <f>(各项系数!$F$76/4*($MX138^2-$MK138^2)*$EG138)*10^-2*(VLOOKUP($IG$8,各项系数!$D$1:$F$143,3,0))*10^-3*10^2*各项系数!$J$4</f>
        <v>0.0706385081969061</v>
      </c>
      <c r="IL138" s="389">
        <f>IK138*(VLOOKUP($IG$8,各项系数!$D$1:$F$143,2,0))</f>
        <v>1.76596270492265</v>
      </c>
      <c r="IM138" s="390">
        <f>(各项系数!$F$76/4*(($MM138+3*$X138)^2-MM138^2)*$EO138)*10^-2*(VLOOKUP($IG$8,各项系数!$D$1:$F$143,3,0))*10^-3*10^2*各项系数!$J$4</f>
        <v>0.0138455504399067</v>
      </c>
      <c r="IN138" s="389">
        <f>IM138*(VLOOKUP($IG$8,各项系数!$D$1:$F$143,2,0))</f>
        <v>0.346138760997667</v>
      </c>
      <c r="IO138" s="406">
        <f>各项系数!$F$76/4*($MZ138^2-$MX138^2)*10^-2*(VLOOKUP(L138,各项系数!$D$1:$F$143,3,0))*10^-3*10^2*$ES138*各项系数!$J$4</f>
        <v>0.263900118099961</v>
      </c>
      <c r="IP138" s="389">
        <v>1</v>
      </c>
      <c r="IQ138" s="390">
        <f t="shared" si="533"/>
        <v>0.263900118099961</v>
      </c>
      <c r="IR138" s="367">
        <f>IQ138*(VLOOKUP(L138,各项系数!$D$1:$F$143,2,0))</f>
        <v>2.6917812046196</v>
      </c>
      <c r="IS138" s="406">
        <f>IF($L138&lt;&gt;$IS$9,0,各项系数!$F$76/4*($MZ138^2-$MX138^2)*10^-2*各项系数!$F$12*10^-3*10^2)*$ES138*各项系数!$J$4</f>
        <v>0</v>
      </c>
      <c r="IT138" s="389">
        <v>1</v>
      </c>
      <c r="IU138" s="390">
        <f t="shared" si="534"/>
        <v>0</v>
      </c>
      <c r="IV138" s="367">
        <f>IU138*各项系数!$E$12</f>
        <v>0</v>
      </c>
      <c r="IW138" s="388">
        <f t="shared" si="535"/>
        <v>0.263900118099961</v>
      </c>
      <c r="IX138" s="388">
        <f t="shared" si="536"/>
        <v>2.6917812046196</v>
      </c>
      <c r="IY138" s="447">
        <f>各项系数!$F$76/4*($NB138^2-$MZ138^2*$EG138-$NA138^2*$EO138)*10^-2</f>
        <v>3.74160090540128</v>
      </c>
      <c r="IZ138" s="366">
        <f t="shared" si="487"/>
        <v>1</v>
      </c>
      <c r="JA138" s="367">
        <f t="shared" si="363"/>
        <v>3.74160090540128</v>
      </c>
      <c r="JB138" s="364">
        <f>IF($DE138&lt;&gt;$JB$9,0,$JA138*各项系数!$F$32*10^-3*10^2)*各项系数!$J$4</f>
        <v>0</v>
      </c>
      <c r="JC138" s="123">
        <v>1</v>
      </c>
      <c r="JD138" s="251">
        <f t="shared" si="537"/>
        <v>0</v>
      </c>
      <c r="JE138" s="339">
        <f>JD138*各项系数!$E$32</f>
        <v>0</v>
      </c>
      <c r="JF138" s="364">
        <f>IF($DE138&lt;&gt;$JF$9,0,$JA138*VLOOKUP($JF$9,各项系数!$D$4:$F$540,2,0)*10^-3*10^2)*各项系数!$J$4</f>
        <v>1.86144645043714</v>
      </c>
      <c r="JG138" s="123">
        <v>1</v>
      </c>
      <c r="JH138" s="251">
        <f t="shared" si="364"/>
        <v>1.86144645043714</v>
      </c>
      <c r="JI138" s="339">
        <f>JH138*VLOOKUP($JF$9,各项系数!$D$4:$F$540,3,0)</f>
        <v>2.23373574052456</v>
      </c>
      <c r="JJ138" s="364">
        <f t="shared" si="538"/>
        <v>1.86144645043714</v>
      </c>
      <c r="JK138" s="251">
        <f t="shared" si="539"/>
        <v>2.23373574052456</v>
      </c>
      <c r="JL138" s="364">
        <f>IF($DF138&lt;&gt;$JL$9,0,各项系数!$F$76/4*($NE138^2-$NC138^2)*10^-2*各项系数!$F$39*10^-3*10^2)*各项系数!$J$4</f>
        <v>0.00442280513463205</v>
      </c>
      <c r="JM138" s="123">
        <v>1</v>
      </c>
      <c r="JN138" s="251">
        <f t="shared" si="540"/>
        <v>0.00442280513463205</v>
      </c>
      <c r="JO138" s="339">
        <f>JN138*各项系数!$E$39</f>
        <v>0.088456102692641</v>
      </c>
      <c r="JP138" s="364">
        <f>IF($DF138&lt;&gt;$JP$9,0,各项系数!$F$76/4*($NE138^2-$NC138^2)*10^-2*各项系数!$F$36*10^-3*10^2)*各项系数!$J$4</f>
        <v>0</v>
      </c>
      <c r="JQ138" s="123">
        <v>1</v>
      </c>
      <c r="JR138" s="251">
        <f t="shared" si="541"/>
        <v>0</v>
      </c>
      <c r="JS138" s="339">
        <f>JR138*各项系数!$E$36</f>
        <v>0</v>
      </c>
      <c r="JT138" s="364">
        <f>IF($DF138&lt;&gt;$JT$9,0,各项系数!$F$76/4*($NE138^2-$NC138^2)*10^-2*各项系数!$F$40*10^-3*10^2)*各项系数!$J$4</f>
        <v>0</v>
      </c>
      <c r="JU138" s="123">
        <v>1</v>
      </c>
      <c r="JV138" s="251">
        <f t="shared" si="542"/>
        <v>0</v>
      </c>
      <c r="JW138" s="339">
        <f>JV138*各项系数!$E$40</f>
        <v>0</v>
      </c>
      <c r="JX138" s="364">
        <f>IF($DF138&lt;&gt;$JX$9,0,各项系数!$F$76/4*($NE138^2-$NC138^2)*10^-2*各项系数!$F$38*10^-3*10^2)*各项系数!$J$4</f>
        <v>0</v>
      </c>
      <c r="JY138" s="123">
        <v>1</v>
      </c>
      <c r="JZ138" s="251">
        <f t="shared" si="543"/>
        <v>0</v>
      </c>
      <c r="KA138" s="339">
        <f>JZ138*各项系数!$E$38</f>
        <v>0</v>
      </c>
      <c r="KB138" s="364">
        <f>IF($DF138&lt;&gt;$KB$9,0,各项系数!$F$76/4*($NE138^2-$NC138^2)*10^-2*各项系数!$F$41*10^-3*10^2)*各项系数!$J$4</f>
        <v>0</v>
      </c>
      <c r="KC138" s="123">
        <v>1</v>
      </c>
      <c r="KD138" s="251">
        <f t="shared" si="544"/>
        <v>0</v>
      </c>
      <c r="KE138" s="339">
        <f>KD138*各项系数!$E$41</f>
        <v>0</v>
      </c>
      <c r="KF138" s="251">
        <f t="shared" si="545"/>
        <v>0.00442280513463205</v>
      </c>
      <c r="KG138" s="251">
        <f t="shared" si="546"/>
        <v>0.088456102692641</v>
      </c>
      <c r="KH138" s="302">
        <f>各项系数!$F$76/4*($NG138^2-$NE138^2)*10^-2*各项系数!$F$44*10^-3*10^2*各项系数!$J$4*0.75*$U138</f>
        <v>1.1047479791656</v>
      </c>
      <c r="KI138" s="123">
        <v>1</v>
      </c>
      <c r="KJ138" s="251">
        <f t="shared" si="547"/>
        <v>1.1047479791656</v>
      </c>
      <c r="KK138" s="251">
        <f>ROUND(KJ138*各项系数!$E$43,GT138)</f>
        <v>6</v>
      </c>
      <c r="KL138" s="302">
        <f>各项系数!$F$76/4*($NF138^2-$NE138^2)*10^-2*各项系数!$F$46*10^-3*10^2*各项系数!$J$4*PI()/4*R138</f>
        <v>0.0551786810267417</v>
      </c>
      <c r="KM138" s="123">
        <v>1</v>
      </c>
      <c r="KN138" s="251">
        <f t="shared" si="548"/>
        <v>0.0551786810267417</v>
      </c>
      <c r="KO138" s="251">
        <f>KN138*各项系数!$E$46</f>
        <v>3.72456096930506</v>
      </c>
      <c r="KP138" s="302">
        <f>各项系数!$F$76/4*($NH138^2-$NE138^2)*10^-2*(VLOOKUP($KP$9,各项系数!$D$1:$F$143,3,0))*10^-3*10^2*各项系数!$J$4</f>
        <v>0.434951831014562</v>
      </c>
      <c r="KQ138" s="123">
        <v>1</v>
      </c>
      <c r="KR138" s="251">
        <f t="shared" si="416"/>
        <v>0.434951831014562</v>
      </c>
      <c r="KS138" s="251">
        <f>KR138*(VLOOKUP($KP$9,各项系数!$D$1:$F$143,2,0))</f>
        <v>7.39418112724756</v>
      </c>
      <c r="KT138" s="302">
        <f>各项系数!$F$76/4*($NI138^2-$NF138^2)*10^-2*(VLOOKUP($KT$9,各项系数!$D$1:$F$143,3,0))*10^-3*10^2*各项系数!$J$4</f>
        <v>0.436619803085318</v>
      </c>
      <c r="KU138" s="123">
        <v>1</v>
      </c>
      <c r="KV138" s="251">
        <f t="shared" si="417"/>
        <v>0.436619803085318</v>
      </c>
      <c r="KW138" s="251">
        <f>KV138*(VLOOKUP($KT$9,各项系数!$D$1:$F$143,2,0))</f>
        <v>7.4225366524504</v>
      </c>
      <c r="KX138" s="251">
        <f>各项系数!$F$76/4*($NH138^2-$NE138^2)*10^-2*(VLOOKUP($KX$9,各项系数!$D$1:$F$143,3,0))*10^-3*10^2*各项系数!$J$4</f>
        <v>0.434951831014562</v>
      </c>
      <c r="KY138" s="479">
        <v>1</v>
      </c>
      <c r="KZ138" s="251">
        <f t="shared" si="418"/>
        <v>0.434951831014562</v>
      </c>
      <c r="LA138" s="251">
        <f>KZ138*(VLOOKUP($KX$9,各项系数!$D$1:$F$143,2,0))</f>
        <v>7.39418112724756</v>
      </c>
      <c r="LB138" s="251">
        <f>各项系数!$F$76/4*($NI138^2-$NF138^2)*10^-2*(VLOOKUP($LB$9,各项系数!$D$1:$F$143,3,0))*10^-3*10^2*各项系数!$J$4</f>
        <v>0.436619803085318</v>
      </c>
      <c r="LC138" s="479">
        <v>1</v>
      </c>
      <c r="LD138" s="251">
        <f t="shared" si="419"/>
        <v>0.436619803085318</v>
      </c>
      <c r="LE138" s="251">
        <f>LD138*(VLOOKUP($LB$9,各项系数!$D$1:$F$143,2,0))</f>
        <v>7.4225366524504</v>
      </c>
      <c r="LF138" s="302">
        <f>各项系数!$F$76/4*($NH138^2-$NE138^2)*10^-2*(VLOOKUP(AN138,各项系数!$D$1:$F$143,3,0))*10^-3*10^2*各项系数!$J$4</f>
        <v>0.440951166614763</v>
      </c>
      <c r="LG138" s="123">
        <v>1</v>
      </c>
      <c r="LH138" s="251">
        <f t="shared" si="549"/>
        <v>0.440951166614763</v>
      </c>
      <c r="LI138" s="251">
        <f>LH138*(VLOOKUP(AN138,各项系数!$D$1:$F$143,2,0))</f>
        <v>4.40951166614763</v>
      </c>
      <c r="LJ138" s="302">
        <f>各项系数!$F$76/4*($NI138^2-$NF138^2)*10^-2*(VLOOKUP(AN138,各项系数!$D$1:$F$143,3,0))*10^-3*10^2*各项系数!$J$4</f>
        <v>0.442642145196839</v>
      </c>
      <c r="LK138" s="123">
        <v>1</v>
      </c>
      <c r="LL138" s="251">
        <f t="shared" si="550"/>
        <v>0.442642145196839</v>
      </c>
      <c r="LM138" s="251">
        <f>LL138*(VLOOKUP(AN138,各项系数!$D$1:$F$143,2,0))</f>
        <v>4.42642145196839</v>
      </c>
      <c r="LN138" s="251">
        <f>各项系数!$F$76/4*($NH138^2-$NE138^2)*10^-2*(VLOOKUP($LN$9,各项系数!$D$1:$F$143,3,0))*10^-3*10^2*各项系数!$J$4</f>
        <v>0.440951166614763</v>
      </c>
      <c r="LO138" s="479">
        <v>1</v>
      </c>
      <c r="LP138" s="251">
        <f t="shared" si="551"/>
        <v>0.440951166614763</v>
      </c>
      <c r="LQ138" s="251">
        <f>LP138*(VLOOKUP($LN$9,各项系数!$D$1:$F$143,2,0))</f>
        <v>4.8504628327624</v>
      </c>
      <c r="LR138" s="251">
        <f>各项系数!$F$76/4*($NI138^2-$NF138^2)*10^-2*(VLOOKUP($LR$9,各项系数!$D$1:$F$143,3,0))*10^-3*10^2*各项系数!$J$4</f>
        <v>0.442642145196839</v>
      </c>
      <c r="LS138" s="479">
        <v>1</v>
      </c>
      <c r="LT138" s="251">
        <f t="shared" si="552"/>
        <v>0.442642145196839</v>
      </c>
      <c r="LU138" s="251">
        <f>LT138*(VLOOKUP($LR$9,各项系数!$D$1:$F$143,2,0))</f>
        <v>4.86906359716523</v>
      </c>
      <c r="LV138" s="499">
        <f t="shared" si="420"/>
        <v>471.77419153</v>
      </c>
      <c r="LW138" s="499">
        <f t="shared" si="421"/>
        <v>358.54838556</v>
      </c>
      <c r="LX138" s="499">
        <f t="shared" si="422"/>
        <v>21.3662814545709</v>
      </c>
      <c r="LY138" s="515">
        <f t="shared" si="423"/>
        <v>113.22580597</v>
      </c>
      <c r="LZ138" s="516">
        <f t="shared" si="365"/>
        <v>1</v>
      </c>
      <c r="MA138" s="517">
        <f t="shared" si="366"/>
        <v>471.77419153</v>
      </c>
      <c r="MB138" s="517">
        <f t="shared" si="424"/>
        <v>12.25440285</v>
      </c>
      <c r="MC138" s="499">
        <f t="shared" si="425"/>
        <v>71.52438055</v>
      </c>
      <c r="MD138" s="499">
        <f t="shared" si="426"/>
        <v>44.70273773</v>
      </c>
      <c r="ME138" s="499">
        <f t="shared" si="427"/>
        <v>7.54435507089642</v>
      </c>
      <c r="MF138" s="499">
        <f t="shared" si="428"/>
        <v>26.82164282</v>
      </c>
      <c r="MG138" s="516">
        <f t="shared" si="429"/>
        <v>1</v>
      </c>
      <c r="MH138" s="517">
        <f t="shared" si="367"/>
        <v>71.52438055</v>
      </c>
      <c r="MI138" s="517">
        <f t="shared" si="430"/>
        <v>9.54293821257093</v>
      </c>
      <c r="MJ138" s="251">
        <f t="shared" si="368"/>
        <v>12.25440285</v>
      </c>
      <c r="MK138" s="251">
        <f t="shared" si="431"/>
        <v>12.25440285</v>
      </c>
      <c r="ML138" s="251">
        <f t="shared" si="553"/>
        <v>9.54293821247108</v>
      </c>
      <c r="MM138" s="251">
        <f t="shared" si="369"/>
        <v>9.54293821257093</v>
      </c>
      <c r="MN138" s="251">
        <f t="shared" si="370"/>
        <v>14.45440285</v>
      </c>
      <c r="MO138" s="251">
        <f t="shared" si="432"/>
        <v>11.5429382125709</v>
      </c>
      <c r="MP138" s="251">
        <f t="shared" si="433"/>
        <v>37.45469679</v>
      </c>
      <c r="MQ138" s="251">
        <f t="shared" si="554"/>
        <v>37.45469679</v>
      </c>
      <c r="MR138" s="314">
        <f t="shared" si="434"/>
        <v>37.45469679</v>
      </c>
      <c r="MS138" s="530">
        <f t="shared" si="371"/>
        <v>37.63069679</v>
      </c>
      <c r="MT138" s="530">
        <f t="shared" si="372"/>
        <v>37.79069679</v>
      </c>
      <c r="MU138" s="530">
        <f t="shared" si="373"/>
        <v>39.13069679</v>
      </c>
      <c r="MV138" s="530">
        <f t="shared" si="374"/>
        <v>42.23069679</v>
      </c>
      <c r="MW138" s="530">
        <f t="shared" si="375"/>
        <v>42.39069679</v>
      </c>
      <c r="MX138" s="326">
        <f t="shared" si="376"/>
        <v>12.85440285</v>
      </c>
      <c r="MY138" s="326">
        <f t="shared" si="377"/>
        <v>10.1429382125709</v>
      </c>
      <c r="MZ138" s="251">
        <f t="shared" si="378"/>
        <v>15.05440285</v>
      </c>
      <c r="NA138" s="251">
        <f t="shared" si="379"/>
        <v>12.3429382125709</v>
      </c>
      <c r="NB138" s="251">
        <f t="shared" si="435"/>
        <v>39.18269679</v>
      </c>
      <c r="NC138" s="326">
        <f t="shared" si="555"/>
        <v>39.18269679</v>
      </c>
      <c r="ND138" s="314">
        <f t="shared" si="436"/>
        <v>39.18269679</v>
      </c>
      <c r="NE138" s="537">
        <f t="shared" si="437"/>
        <v>39.42269679</v>
      </c>
      <c r="NF138" s="530">
        <f t="shared" si="380"/>
        <v>39.58269679</v>
      </c>
      <c r="NG138" s="538">
        <f t="shared" si="381"/>
        <v>40.92269679</v>
      </c>
      <c r="NH138" s="326">
        <f t="shared" si="382"/>
        <v>44.02269679</v>
      </c>
      <c r="NI138" s="530">
        <f t="shared" si="383"/>
        <v>44.18269679</v>
      </c>
      <c r="NK138" s="539">
        <f t="shared" si="384"/>
        <v>4.72623219259161</v>
      </c>
      <c r="NL138" s="539">
        <f t="shared" si="385"/>
        <v>244.995592734763</v>
      </c>
      <c r="NM138" s="539">
        <f t="shared" si="386"/>
        <v>4.72623219259161</v>
      </c>
      <c r="NN138" s="539">
        <f t="shared" si="387"/>
        <v>245.417604941259</v>
      </c>
      <c r="NO138" s="539">
        <f t="shared" si="388"/>
        <v>6.28160798625359</v>
      </c>
      <c r="NP138" s="539">
        <f t="shared" si="389"/>
        <v>248.504263257222</v>
      </c>
      <c r="NQ138" s="539">
        <f t="shared" si="390"/>
        <v>6.28160798625359</v>
      </c>
      <c r="NR138" s="539">
        <f t="shared" si="391"/>
        <v>248.945214423837</v>
      </c>
      <c r="NS138" s="539">
        <f t="shared" si="392"/>
        <v>4.77890774840324</v>
      </c>
      <c r="NT138" s="539">
        <f t="shared" si="393"/>
        <v>4.77890774840324</v>
      </c>
      <c r="NU138" s="539">
        <f t="shared" si="394"/>
        <v>6.33678666728033</v>
      </c>
      <c r="NV138" s="539">
        <f t="shared" si="395"/>
        <v>6.33678666728033</v>
      </c>
      <c r="NW138">
        <f t="shared" si="396"/>
        <v>5.42987754720262</v>
      </c>
      <c r="NX138">
        <f>各项系数!$M$9*NK138</f>
        <v>1.41786965777748</v>
      </c>
      <c r="NY138">
        <f t="shared" si="397"/>
        <v>4.77890774840324</v>
      </c>
    </row>
    <row r="139" customHeight="1" spans="1:389">
      <c r="A139" s="85"/>
      <c r="B139" s="86"/>
      <c r="C139" s="218"/>
      <c r="D139" s="123" t="s">
        <v>411</v>
      </c>
      <c r="E139" s="77">
        <f t="shared" si="560"/>
        <v>49.05981555</v>
      </c>
      <c r="F139" s="84">
        <f>$F$27</f>
        <v>244.921136962963</v>
      </c>
      <c r="G139" s="74"/>
      <c r="H139" s="78"/>
      <c r="I139" s="174">
        <f>$F$25</f>
        <v>242.295968589101</v>
      </c>
      <c r="J139" s="78"/>
      <c r="K139" s="78"/>
      <c r="L139" s="118" t="s">
        <v>467</v>
      </c>
      <c r="M139" s="124">
        <f t="shared" si="339"/>
        <v>1.2</v>
      </c>
      <c r="N139" s="124">
        <f t="shared" si="501"/>
        <v>1.1</v>
      </c>
      <c r="O139" s="69">
        <f t="shared" si="580"/>
        <v>0.08</v>
      </c>
      <c r="P139" s="120">
        <v>0.1</v>
      </c>
      <c r="Q139" s="162">
        <f t="shared" si="578"/>
        <v>0.1</v>
      </c>
      <c r="R139" s="86">
        <v>0.8</v>
      </c>
      <c r="S139" s="171" t="str">
        <f>各项系数!$D$43</f>
        <v>钢带</v>
      </c>
      <c r="T139" s="123">
        <v>0.5</v>
      </c>
      <c r="U139" s="123">
        <v>2</v>
      </c>
      <c r="V139" s="169"/>
      <c r="W139" s="170">
        <v>2.5</v>
      </c>
      <c r="X139" s="164">
        <f t="shared" si="579"/>
        <v>0.2</v>
      </c>
      <c r="Y139" s="219"/>
      <c r="Z139" s="220"/>
      <c r="AA139" s="217">
        <f>$AA$27</f>
        <v>1.013</v>
      </c>
      <c r="AB139" s="186">
        <f>PI()*EJ139*EJ139/4*EH139*(1-H139)*AA139*各项系数!$F$5*各项系数!$J$4*10^-7</f>
        <v>1.01318311567178</v>
      </c>
      <c r="AC139" s="186">
        <f t="shared" si="573"/>
        <v>244.921136962963</v>
      </c>
      <c r="AD139" s="186">
        <f t="shared" si="341"/>
        <v>114.541562217361</v>
      </c>
      <c r="AE139" s="186">
        <f>POWER(4*EU139/PI()/EG139/10^-7/EH139/(1-H139)/各项系数!$F$5/各项系数!$J$4,0.5)</f>
        <v>246.50798375415</v>
      </c>
      <c r="AF139" s="218">
        <f>$AA$25</f>
        <v>1.013</v>
      </c>
      <c r="AG139" s="85">
        <f>IF(EM139=0,0,PI()*ER139*ER139/4*EP139*(1-K139)*(1+AF139)*各项系数!$F$5*各项系数!$J$4*10^-7)</f>
        <v>1.14942042482296</v>
      </c>
      <c r="AH139" s="85">
        <f t="shared" si="574"/>
        <v>242.295968589101</v>
      </c>
      <c r="AI139" s="85">
        <f t="shared" si="398"/>
        <v>65.3912649972251</v>
      </c>
      <c r="AJ139" s="85">
        <f>IF(OR(EP139="",EP139=0),0,POWER(4*EW139/PI()/EO139/10^-7/EP139/(1-K139)/各项系数!$F$5/各项系数!$J$4,0.5))</f>
        <v>243.865806884974</v>
      </c>
      <c r="AK139" s="85">
        <f t="shared" si="342"/>
        <v>4.63115416678332</v>
      </c>
      <c r="AL139" s="85">
        <f t="shared" si="575"/>
        <v>323.466919716805</v>
      </c>
      <c r="AM139" s="250">
        <f t="shared" si="576"/>
        <v>120</v>
      </c>
      <c r="AN139" s="118" t="s">
        <v>486</v>
      </c>
      <c r="AO139" s="259">
        <f>AP139+各项系数!$M$9*$NK139</f>
        <v>317.124431094907</v>
      </c>
      <c r="AP139" s="259">
        <f>AQ139*(1+$BI139+(VLOOKUP($AM139,$A$12:$B$323,2,0))+各项系数!$J$6+各项系数!$M$5)*(1+$E$2)</f>
        <v>315.299384500023</v>
      </c>
      <c r="AQ139" s="260">
        <f>AR139+各项系数!$L$9*$NK139</f>
        <v>321.73406581635</v>
      </c>
      <c r="AR139" s="260">
        <f>AS139*(1+$BJ139+各项系数!$J$5+各项系数!$L$5)</f>
        <v>319.909019221467</v>
      </c>
      <c r="AS139" s="260">
        <f t="shared" si="399"/>
        <v>313.63629335438</v>
      </c>
      <c r="AT139" s="259">
        <f>AU139+各项系数!$M$9*$NM139</f>
        <v>320.743305754264</v>
      </c>
      <c r="AU139" s="259">
        <f>AV139*(1+$BI139+(VLOOKUP($AM139,$A$12:$B$323,2,0))+各项系数!$J$6+各项系数!$M$5)*(1+$E$2)</f>
        <v>318.91825915938</v>
      </c>
      <c r="AV139" s="260">
        <f>AW139+各项系数!$L$9*$NM139</f>
        <v>325.426795060592</v>
      </c>
      <c r="AW139" s="260">
        <f>AX139*(1+$BJ139+各项系数!$J$5+各项系数!$L$5)</f>
        <v>323.601748465709</v>
      </c>
      <c r="AX139" s="260">
        <f t="shared" si="400"/>
        <v>317.256616142852</v>
      </c>
      <c r="AY139" s="259">
        <f>AZ139+各项系数!$M$9*$NS139</f>
        <v>321.339540363039</v>
      </c>
      <c r="AZ139" s="259">
        <f>BA139*(1+$BI139+(VLOOKUP($AM139,$A$12:$B$214,2,0))+各项系数!$J$6+各项系数!$M$5)*(1+$E$2)</f>
        <v>319.495996979323</v>
      </c>
      <c r="BA139" s="260">
        <f>BB139+各项系数!$L$9*$NS139</f>
        <v>326.016323448289</v>
      </c>
      <c r="BB139" s="260">
        <f>BC139*(1+$BJ139+各项系数!$J$5+各项系数!$L$5)</f>
        <v>324.172780064573</v>
      </c>
      <c r="BC139" s="262">
        <f t="shared" si="401"/>
        <v>317.816451043699</v>
      </c>
      <c r="BD139" s="259">
        <f>BE139+各项系数!$M$9*$NS139</f>
        <v>324.970851067055</v>
      </c>
      <c r="BE139" s="259">
        <f>BF139*(1+$BI139+(VLOOKUP($AM139,$A$12:$B$214,2,0))+各项系数!$J$6+各项系数!$M$5)*(1+$E$2)</f>
        <v>323.127307683339</v>
      </c>
      <c r="BF139" s="260">
        <f>BG139+各项系数!$L$9*$NS139</f>
        <v>329.721742534019</v>
      </c>
      <c r="BG139" s="260">
        <f>BH139*(1+$BJ139+各项系数!$J$5+各项系数!$L$5)</f>
        <v>327.878199150304</v>
      </c>
      <c r="BH139" s="262">
        <f t="shared" si="402"/>
        <v>321.449214853239</v>
      </c>
      <c r="BI139" s="277"/>
      <c r="BJ139" s="272"/>
      <c r="BK139" s="69" t="s">
        <v>514</v>
      </c>
      <c r="BL139" s="259">
        <f>BM139+各项系数!$M$9*$NM139</f>
        <v>320.73795622901</v>
      </c>
      <c r="BM139" s="259">
        <f>BN139*(1+$CF139+(VLOOKUP($AM139,$A$12:$B$323,2,0))+各项系数!$J$6+各项系数!$M$5)*(1+$E$2)</f>
        <v>318.912909634127</v>
      </c>
      <c r="BN139" s="260">
        <f>BO139+各项系数!$L$9*$NM139</f>
        <v>325.421336361354</v>
      </c>
      <c r="BO139" s="260">
        <f>BP139*(1+$CG139+各项系数!$J$5+各项系数!$L$5)</f>
        <v>323.596289766471</v>
      </c>
      <c r="BP139" s="260">
        <f t="shared" si="403"/>
        <v>314.171155113078</v>
      </c>
      <c r="BQ139" s="259">
        <f>BR139+各项系数!$M$9*$NM139</f>
        <v>323.852420592463</v>
      </c>
      <c r="BR139" s="259">
        <f>BS139*(1+$CF139+(VLOOKUP($AM139,$A$12:$B$323,2,0))+各项系数!$J$6+各项系数!$M$5)*(1+$E$2)</f>
        <v>322.02737399758</v>
      </c>
      <c r="BS139" s="260">
        <f>BT139+各项系数!$L$9*$NM139</f>
        <v>328.599361222021</v>
      </c>
      <c r="BT139" s="260">
        <f>BU139*(1+$CG139+各项系数!$J$5+各项系数!$L$5)</f>
        <v>326.774314627138</v>
      </c>
      <c r="BU139" s="260">
        <f t="shared" si="404"/>
        <v>317.256616142852</v>
      </c>
      <c r="BV139" s="259">
        <f>BW139+各项系数!$M$9*$NT139</f>
        <v>323.197311959136</v>
      </c>
      <c r="BW139" s="259">
        <f>BX139*(1+$CF139+(VLOOKUP($AM139,$A$12:$B$214,2,0))+各项系数!$J$6+各项系数!$M$5)*(1+$E$2)</f>
        <v>321.35376857542</v>
      </c>
      <c r="BX139" s="260">
        <f>BY139+各项系数!$L$9*$NT$12</f>
        <v>327.912008750429</v>
      </c>
      <c r="BY139" s="260">
        <f>BZ139*(1+$CG139+各项系数!$J$5+各项系数!$L$5)</f>
        <v>327.903745347274</v>
      </c>
      <c r="BZ139" s="262">
        <f t="shared" si="343"/>
        <v>318.353150822596</v>
      </c>
      <c r="CA139" s="259">
        <f>CB139+各项系数!$M$9*$NT139</f>
        <v>326.322478991667</v>
      </c>
      <c r="CB139" s="259">
        <f>CC139*(1+$CF139+(VLOOKUP($AM139,$A$12:$B$214,2,0))+各项系数!$J$6+各项系数!$M$5)*(1+$E$2)</f>
        <v>324.478935607951</v>
      </c>
      <c r="CC139" s="260">
        <f>CD139+各项系数!$L$9*$NT$12</f>
        <v>331.100954701991</v>
      </c>
      <c r="CD139" s="260">
        <f>CE139*(1+$CG139+各项系数!$J$5+各项系数!$L$5)</f>
        <v>331.092691298836</v>
      </c>
      <c r="CE139" s="262">
        <f t="shared" si="405"/>
        <v>321.449214853239</v>
      </c>
      <c r="CF139" s="277">
        <f t="shared" si="514"/>
        <v>0</v>
      </c>
      <c r="CG139" s="277">
        <f t="shared" si="344"/>
        <v>0.01</v>
      </c>
      <c r="CH139" s="123"/>
      <c r="CI139" s="259">
        <f>CJ139+各项系数!$M$9*$NO139</f>
        <v>324.508073816611</v>
      </c>
      <c r="CJ139" s="259">
        <f>CK139*(1+$DC139+(VLOOKUP($AM139,$A$12:$B$323,2,0))+各项系数!$J$6+各项系数!$M$5)*(1+$E$2)+各项系数!$M$9*$NK139</f>
        <v>322.062885165317</v>
      </c>
      <c r="CK139" s="260">
        <f>CL139+各项系数!$L$9*$NO139</f>
        <v>326.773304663708</v>
      </c>
      <c r="CL139" s="260">
        <f>CM139*(1+$DD139+各项系数!$J$5+各项系数!$L$5)</f>
        <v>324.328116012414</v>
      </c>
      <c r="CM139" s="260">
        <f t="shared" si="345"/>
        <v>317.968741188641</v>
      </c>
      <c r="CN139" s="259">
        <f>CO139+各项系数!$M$9*$NO139</f>
        <v>327.921172557107</v>
      </c>
      <c r="CO139" s="259">
        <f>CP139*(1+$DC139+(VLOOKUP($AM139,$A$12:$B$323,2,0))+各项系数!$J$6+各项系数!$M$5)*(1+$E$2)+各项系数!$M$9*$NK139</f>
        <v>325.475983905813</v>
      </c>
      <c r="CP139" s="260">
        <f>CQ139+各项系数!$L$9*$NO139</f>
        <v>330.256058480541</v>
      </c>
      <c r="CQ139" s="260">
        <f>CR139*(1+$DD139+各项系数!$J$5+各项系数!$L$5)</f>
        <v>327.810869829246</v>
      </c>
      <c r="CR139" s="260">
        <f t="shared" si="346"/>
        <v>321.383205714947</v>
      </c>
      <c r="CS139" s="259">
        <f>CT139+各项系数!$M$9*$NU139</f>
        <v>327.068516713877</v>
      </c>
      <c r="CT139" s="259">
        <f t="shared" si="347"/>
        <v>324.604080336186</v>
      </c>
      <c r="CU139" s="260">
        <f>CV139+各项系数!$L$9*$NU139</f>
        <v>331.228653404271</v>
      </c>
      <c r="CV139" s="260">
        <f>CW139*(1+$DD139+各项系数!$J$5+各项系数!$L$5)</f>
        <v>328.76421702658</v>
      </c>
      <c r="CW139" s="262">
        <f t="shared" si="348"/>
        <v>322.31785982998</v>
      </c>
      <c r="CX139" s="259">
        <f>CY139+各项系数!$M$9*$NU139</f>
        <v>330.839111118075</v>
      </c>
      <c r="CY139" s="259">
        <f t="shared" si="349"/>
        <v>328.374674740383</v>
      </c>
      <c r="CZ139" s="260">
        <f>DA139+各项系数!$L$9*$NU139</f>
        <v>335.076198714677</v>
      </c>
      <c r="DA139" s="260">
        <f>DB139*(1+$DD139+各项系数!$J$5+各项系数!$L$5)</f>
        <v>332.611762336985</v>
      </c>
      <c r="DB139" s="262">
        <f t="shared" si="350"/>
        <v>326.089963075476</v>
      </c>
      <c r="DC139" s="277">
        <f t="shared" si="571"/>
        <v>0</v>
      </c>
      <c r="DD139" s="277">
        <f t="shared" si="351"/>
        <v>0</v>
      </c>
      <c r="DE139" s="69" t="s">
        <v>498</v>
      </c>
      <c r="DF139" s="69" t="s">
        <v>513</v>
      </c>
      <c r="DG139" s="259">
        <f>DH139+各项系数!$M$9*$NQ139</f>
        <v>328.184836272474</v>
      </c>
      <c r="DH139" s="259">
        <f>DI139*(1+$EA139+(VLOOKUP($AM139,$A$12:$B$323,2,0))+各项系数!$J$6+各项系数!$M$5)*(1+$E$2)+各项系数!$M$9*$NK139</f>
        <v>325.739647621179</v>
      </c>
      <c r="DI139" s="260">
        <f>DJ139+各项系数!$L$9*$NQ139</f>
        <v>330.525103088057</v>
      </c>
      <c r="DJ139" s="260">
        <f>DK139*(1+$EB139+各项系数!$J$5+各项系数!$L$5)</f>
        <v>328.079914436763</v>
      </c>
      <c r="DK139" s="260">
        <f t="shared" si="352"/>
        <v>318.524188773556</v>
      </c>
      <c r="DL139" s="259">
        <f>DM139+各项系数!$M$9*$NQ139</f>
        <v>331.419170529598</v>
      </c>
      <c r="DM139" s="259">
        <f>DN139*(1+$EA139+(VLOOKUP($AM139,$A$12:$B$323,2,0))+各项系数!$J$6+各项系数!$M$5)*(1+$E$2)+各项系数!$M$9*$NK139</f>
        <v>328.973981878303</v>
      </c>
      <c r="DN139" s="260">
        <f>DO139+各项系数!$L$9*$NQ139</f>
        <v>333.825444166755</v>
      </c>
      <c r="DO139" s="260">
        <f>DP139*(1+$EB139+各项系数!$J$5+各项系数!$L$5)</f>
        <v>331.380255515461</v>
      </c>
      <c r="DP139" s="260">
        <f t="shared" si="353"/>
        <v>321.728403413069</v>
      </c>
      <c r="DQ139" s="259">
        <f>DR139+各项系数!$M$9*$NV139</f>
        <v>330.789755830012</v>
      </c>
      <c r="DR139" s="259">
        <f t="shared" si="354"/>
        <v>328.325319452321</v>
      </c>
      <c r="DS139" s="260">
        <f>DT139+各项系数!$L$9*$NV139</f>
        <v>335.025836175838</v>
      </c>
      <c r="DT139" s="260">
        <f>DU139*(1+$EB139+各项系数!$J$5+各项系数!$L$5)</f>
        <v>332.561399798146</v>
      </c>
      <c r="DU139" s="262">
        <f t="shared" si="355"/>
        <v>322.875145435094</v>
      </c>
      <c r="DV139" s="259">
        <f>DW139+各项系数!$M$9*$NV139</f>
        <v>330.530989249945</v>
      </c>
      <c r="DW139" s="259">
        <f t="shared" si="356"/>
        <v>328.066552872254</v>
      </c>
      <c r="DX139" s="260">
        <f>DY139+各项系数!$L$9*$NV139</f>
        <v>334.761788645157</v>
      </c>
      <c r="DY139" s="260">
        <f>DZ139*(1+$EB139+各项系数!$J$5+各项系数!$L$5)</f>
        <v>332.297352267466</v>
      </c>
      <c r="DZ139" s="262">
        <f t="shared" si="357"/>
        <v>322.61878860919</v>
      </c>
      <c r="EA139" s="277">
        <f t="shared" ref="EA139:EA151" si="581">BI139+$EA$2</f>
        <v>0</v>
      </c>
      <c r="EB139" s="277">
        <f t="shared" si="358"/>
        <v>0.01</v>
      </c>
      <c r="EC139" s="302" t="str">
        <f t="shared" si="408"/>
        <v>4+1</v>
      </c>
      <c r="ED139" s="302" t="str">
        <f t="shared" si="565"/>
        <v>4*120</v>
      </c>
      <c r="EE139" s="251">
        <f t="shared" si="495"/>
        <v>120</v>
      </c>
      <c r="EF139" s="251" t="str">
        <f>LOOKUP(EH139,{1,7,10,14,19,24,30,37,48,61},{1,"1+6","2+8","4+10","1+6+12","2+8+14","4+10+16","1+6+12+18","3+9+15+21","1+6+12+18+24"})</f>
        <v>2+8+14</v>
      </c>
      <c r="EG139" s="250">
        <f t="shared" si="359"/>
        <v>4</v>
      </c>
      <c r="EH139" s="260">
        <f>VLOOKUP(EE139,各项系数!$B$87:$C$124,2,0)</f>
        <v>24</v>
      </c>
      <c r="EI139" s="250">
        <f>IF(EH139=0,0,VLOOKUP(EH139,各项系数!$D$142:$E$195,2,0))*1</f>
        <v>6</v>
      </c>
      <c r="EJ139" s="305">
        <f t="shared" si="409"/>
        <v>244.921136962963</v>
      </c>
      <c r="EK139" s="251" t="str">
        <f t="shared" si="566"/>
        <v>1*70</v>
      </c>
      <c r="EL139" s="251" t="str">
        <f t="shared" si="360"/>
        <v>70</v>
      </c>
      <c r="EM139" s="251">
        <f t="shared" si="567"/>
        <v>70</v>
      </c>
      <c r="EN139" s="251" t="str">
        <f>IF(EP139=0,0,LOOKUP(EP139,{1,7,10,14,19,24,30,37,48,61},{1,"1+6","2+8","4+10","1+6+12","2+8+14","4+10+16","1+6+12+18","3+9+15+21","1+6+12+18+24"}))</f>
        <v>4+10</v>
      </c>
      <c r="EO139" s="251" t="str">
        <f t="shared" si="568"/>
        <v>1</v>
      </c>
      <c r="EP139" s="251">
        <f>IF(EM139=0,0,IF(EM139&lt;10,1,IF(AND(EM139&gt;=10,EM139&lt;=35),7,LOOKUP(EM139,{50,70,95,120,150,185,240,300},{10,14,19,24,30,37,48,61})*1)))</f>
        <v>14</v>
      </c>
      <c r="EQ139" s="251">
        <f>IF(EP139=0,0,VLOOKUP(EP139,各项系数!$D$142:$E$195,2,0))*1</f>
        <v>4.41</v>
      </c>
      <c r="ER139" s="251">
        <f t="shared" si="577"/>
        <v>242.295968589101</v>
      </c>
      <c r="ES139" s="302">
        <f t="shared" si="570"/>
        <v>5</v>
      </c>
      <c r="ET139" s="251">
        <f>VLOOKUP(ES139,各项系数!$D$142:$E$195,2,0)*1</f>
        <v>2.7</v>
      </c>
      <c r="EU139" s="311">
        <f>((各项系数!$F$76/4*$EJ139^2*$EG139*$EH139*1*10^-7)*(1-$H139)*AA139)*(VLOOKUP($EY$9,各项系数!$D$4:$F$143,3,0))*各项系数!$J$4</f>
        <v>4.05273246268712</v>
      </c>
      <c r="EV139" s="312">
        <f>EU139*(VLOOKUP($EY$9,各项系数!$D$4:$F$143,2,0))</f>
        <v>265.453976306006</v>
      </c>
      <c r="EW139" s="324">
        <f>(IF($EO139=0,0,(各项系数!$F$76/4*$ER139^2*$EO139*$EP139*1*10^-7))*(1-$K139)*$AF139)*(VLOOKUP($EY$9,各项系数!$D$4:$F$143,3,0))*各项系数!$J$4</f>
        <v>0.578421704096204</v>
      </c>
      <c r="EX139" s="325">
        <f>EW139*(VLOOKUP($EY$9,各项系数!$D$4:$F$143,2,0))</f>
        <v>37.8866216183014</v>
      </c>
      <c r="EY139" s="251">
        <f>((各项系数!$F$76/4*$EJ139^2*$EG139*$EH139*1*10^-7)*(1-$H139)*AA139+IF($EO139=0,0,(各项系数!$F$76/4*$ER139^2*$EO139*$EP139*1*10^-7))*(1-$K139)*$AF139)*(VLOOKUP($EY$9,各项系数!$D$4:$F$143,3,0))*各项系数!$J$4</f>
        <v>4.63115416678332</v>
      </c>
      <c r="EZ139" s="123">
        <v>1</v>
      </c>
      <c r="FA139" s="251">
        <f t="shared" si="515"/>
        <v>4.63115416678332</v>
      </c>
      <c r="FB139" s="326">
        <f>FA139*(VLOOKUP($EY$9,各项系数!$D$4:$F$143,2,0))</f>
        <v>303.340597924308</v>
      </c>
      <c r="FC139" s="327"/>
      <c r="FD139" s="302">
        <f>各项系数!$F$76/4*($MN139^2-MK139^2)*10^-2*(VLOOKUP(L139,各项系数!$D$1:$F$143,3,0))*10^-3*10^2*$EG139*各项系数!$J$4</f>
        <v>0.262346175048975</v>
      </c>
      <c r="FE139" s="339">
        <f>FD139*VLOOKUP(L139,各项系数!$D$1:$F$143,2,0)</f>
        <v>2.67593098549954</v>
      </c>
      <c r="FF139" s="250">
        <f>各项系数!$F$76/4*($MO139^2-ML139^2)*10^-2*(VLOOKUP(L139,各项系数!$D$1:$F$143,3,0))*10^-3*10^2*$EO139*各项系数!$J$4</f>
        <v>0.0445756007532287</v>
      </c>
      <c r="FG139" s="339">
        <f>FF139*VLOOKUP(L139,各项系数!$D$1:$F$143,2,0)</f>
        <v>0.454671127682933</v>
      </c>
      <c r="FH139" s="302">
        <f t="shared" si="410"/>
        <v>0.306921775802203</v>
      </c>
      <c r="FI139" s="123">
        <v>1</v>
      </c>
      <c r="FJ139" s="251">
        <f t="shared" si="516"/>
        <v>0.306921775802203</v>
      </c>
      <c r="FK139" s="339">
        <f>FJ139*VLOOKUP(L139,各项系数!$D$1:$F$143,2,0)</f>
        <v>3.13060211318247</v>
      </c>
      <c r="FL139" s="302"/>
      <c r="FM139" s="123"/>
      <c r="FN139" s="251"/>
      <c r="FO139" s="339"/>
      <c r="FP139" s="364">
        <f t="shared" si="517"/>
        <v>0.306921775802203</v>
      </c>
      <c r="FQ139" s="364">
        <f t="shared" si="518"/>
        <v>3.13060211318247</v>
      </c>
      <c r="FR139" s="365">
        <f>各项系数!$F$76/4*($MQ139^2-$MN139^2*$EG139-$MO139^2*$EO139)*10^-2</f>
        <v>4.63987128723593</v>
      </c>
      <c r="FS139" s="366">
        <f t="shared" si="411"/>
        <v>1</v>
      </c>
      <c r="FT139" s="367">
        <f t="shared" si="361"/>
        <v>4.63987128723593</v>
      </c>
      <c r="FU139" s="388">
        <f>$FT139*(VLOOKUP($FT$9,各项系数!$D$1:$F$143,3,0))*10^-3*10^2*各项系数!$J$55</f>
        <v>0.55400063169597</v>
      </c>
      <c r="FV139" s="389">
        <v>1</v>
      </c>
      <c r="FW139" s="390">
        <f t="shared" si="519"/>
        <v>0.55400063169597</v>
      </c>
      <c r="FX139" s="367">
        <f>FW139*(VLOOKUP($FT$9,各项系数!$D$1:$F$143,2,0))</f>
        <v>1.66200189508791</v>
      </c>
      <c r="FY139" s="388">
        <f>IF($BK139&lt;&gt;$FY$9,0,各项系数!$F$76/4*($MS139^2-$MQ139^2)*10^-2*(VLOOKUP($FY$9,各项系数!$D$1:$F$143,3,0))*10^-3*10^2)*各项系数!$J$4</f>
        <v>0</v>
      </c>
      <c r="FZ139" s="389">
        <v>1</v>
      </c>
      <c r="GA139" s="390">
        <f t="shared" si="520"/>
        <v>0</v>
      </c>
      <c r="GB139" s="367">
        <f>GA139*(VLOOKUP($FY$9,各项系数!$D$1:$F$143,2,0))</f>
        <v>0</v>
      </c>
      <c r="GC139" s="388">
        <f>IF($BK139&lt;&gt;$GC$9,0,各项系数!$F$76/4*($MS139^2-$MQ139^2)*10^-2*(VLOOKUP($GC$9,各项系数!$D$1:$F$143,3,0))*10^-3*10^2)*各项系数!$J$4</f>
        <v>0.01197471587691</v>
      </c>
      <c r="GD139" s="389">
        <v>1</v>
      </c>
      <c r="GE139" s="390">
        <f t="shared" si="521"/>
        <v>0.01197471587691</v>
      </c>
      <c r="GF139" s="367">
        <f>GE139*(VLOOKUP($GC$9,各项系数!$D$1:$F$143,2,0))</f>
        <v>0.154473834812139</v>
      </c>
      <c r="GG139" s="388">
        <f>IF($BK139&lt;&gt;$GG$9,0,各项系数!$F$76/4*($MS139^2-$MQ139^2)*10^-2*(VLOOKUP($GG$9,各项系数!$D$1:$F$143,3,0))*10^-3*10^2)*各项系数!$J$4</f>
        <v>0</v>
      </c>
      <c r="GH139" s="389">
        <v>1</v>
      </c>
      <c r="GI139" s="390">
        <f t="shared" si="522"/>
        <v>0</v>
      </c>
      <c r="GJ139" s="367">
        <f>GI139*(VLOOKUP($GG$9,各项系数!$D$1:$F$143,2,0))</f>
        <v>0</v>
      </c>
      <c r="GK139" s="388">
        <f>IF($BK139&lt;&gt;$GK$9,0,各项系数!$F$76/4*($MS139^2-$MQ139^2)*10^-2*(VLOOKUP($GK$9,各项系数!$D$1:$F$143,3,0))*10^-3*10^2)*各项系数!$J$4</f>
        <v>0</v>
      </c>
      <c r="GL139" s="389">
        <v>1</v>
      </c>
      <c r="GM139" s="390">
        <f t="shared" si="523"/>
        <v>0</v>
      </c>
      <c r="GN139" s="367">
        <f>GM139*(VLOOKUP($GK$9,各项系数!$D$1:$F$143,2,0))</f>
        <v>0</v>
      </c>
      <c r="GO139" s="390">
        <f t="shared" si="524"/>
        <v>0.01197471587691</v>
      </c>
      <c r="GP139" s="390">
        <f t="shared" si="525"/>
        <v>0.154473834812139</v>
      </c>
      <c r="GQ139" s="406">
        <f>各项系数!$F$76/4*($MU139^2-$MS139^2)*10^-2*(VLOOKUP($S139,各项系数!$D$1:$F$143,3,0))*10^-3*10^2*各项系数!$J$4</f>
        <v>0.821512405708817</v>
      </c>
      <c r="GR139" s="389">
        <v>1</v>
      </c>
      <c r="GS139" s="390">
        <f t="shared" si="526"/>
        <v>0.821512405708817</v>
      </c>
      <c r="GT139" s="390">
        <f t="shared" si="457"/>
        <v>0</v>
      </c>
      <c r="GU139" s="390">
        <f>ROUND($GS139*(VLOOKUP($S139,各项系数!$D$1:$F$143,2,0))+$E$3*GS139,GT139)</f>
        <v>5</v>
      </c>
      <c r="GV139" s="406">
        <f>各项系数!$F$76/4*($MT139^2-$MS139^2)*10^-2*(VLOOKUP($GV$9,各项系数!$D$1:$F$143,3,0))*10^-3*10^2*各项系数!$J$4*PI()/4*R139</f>
        <v>0.0616559627754122</v>
      </c>
      <c r="GW139" s="389">
        <v>1</v>
      </c>
      <c r="GX139" s="390">
        <f t="shared" si="527"/>
        <v>0.0616559627754122</v>
      </c>
      <c r="GY139" s="390">
        <f>$GX139*(VLOOKUP($GV$9,各项系数!$D$1:$F$143,2,0))</f>
        <v>4.16177748734032</v>
      </c>
      <c r="GZ139" s="406">
        <f>各项系数!$F$76/4*($MV139^2-$MS139^2)*10^-2*(VLOOKUP($GZ$9,各项系数!$D$1:$F$143,3,0))*10^-3*10^2*各项系数!$J$4</f>
        <v>0.527584727968332</v>
      </c>
      <c r="HA139" s="389">
        <v>1</v>
      </c>
      <c r="HB139" s="390">
        <f t="shared" si="412"/>
        <v>0.527584727968332</v>
      </c>
      <c r="HC139" s="390">
        <f>HB139*(VLOOKUP($GZ$9,各项系数!$D$1:$F$143,2,0))</f>
        <v>8.96894037546165</v>
      </c>
      <c r="HD139" s="406">
        <f>各项系数!$F$76/4*($MW139^2-$MT139^2)*10^-2*(VLOOKUP($HD$9,各项系数!$D$1:$F$143,3,0))*10^-3*10^2*各项系数!$J$4</f>
        <v>0.529397741088719</v>
      </c>
      <c r="HE139" s="389">
        <v>1</v>
      </c>
      <c r="HF139" s="390">
        <f t="shared" si="413"/>
        <v>0.529397741088719</v>
      </c>
      <c r="HG139" s="390">
        <f>HF139*(VLOOKUP($HD$9,各项系数!$D$1:$F$143,2,0))</f>
        <v>8.99976159850822</v>
      </c>
      <c r="HH139" s="406">
        <f>各项系数!$F$76/4*($MV139^2-$MS139^2)*10^-2*(VLOOKUP($HH$9,各项系数!$D$1:$F$143,3,0))*10^-3*10^2*各项系数!$J$4</f>
        <v>0.527584727968332</v>
      </c>
      <c r="HI139" s="420">
        <v>1</v>
      </c>
      <c r="HJ139" s="390">
        <f t="shared" si="414"/>
        <v>0.527584727968332</v>
      </c>
      <c r="HK139" s="390">
        <f>HJ139*(VLOOKUP($HH$9,各项系数!$D$1:$F$143,2,0))</f>
        <v>8.96894037546165</v>
      </c>
      <c r="HL139" s="406">
        <f>各项系数!$F$76/4*($MW139^2-$MT139^2)*10^-2*(VLOOKUP($HL$9,各项系数!$D$1:$F$143,3,0))*10^-3*10^2*各项系数!$J$4</f>
        <v>0.529397741088719</v>
      </c>
      <c r="HM139" s="420">
        <v>1</v>
      </c>
      <c r="HN139" s="390">
        <f t="shared" si="362"/>
        <v>0.529397741088719</v>
      </c>
      <c r="HO139" s="390">
        <f>HN139*(VLOOKUP($HL$9,各项系数!$D$1:$F$143,2,0))</f>
        <v>8.99976159850822</v>
      </c>
      <c r="HP139" s="406">
        <f>各项系数!$F$76/4*($MV139^2-$MS139^2)*10^-2*(VLOOKUP(AN139,各项系数!$D$1:$F$143,3,0))*10^-3*10^2*各项系数!$J$4</f>
        <v>0.53486175869893</v>
      </c>
      <c r="HQ139" s="389">
        <v>1</v>
      </c>
      <c r="HR139" s="390">
        <f t="shared" si="528"/>
        <v>0.53486175869893</v>
      </c>
      <c r="HS139" s="390">
        <f>HR139*(VLOOKUP(AN139,各项系数!$D$1:$F$143,2,0))</f>
        <v>5.3486175869893</v>
      </c>
      <c r="HT139" s="406">
        <f>各项系数!$F$76/4*($MW139^2-$MT139^2)*10^-2*(VLOOKUP(AN139,各项系数!$D$1:$F$143,3,0))*10^-3*10^2*各项系数!$J$4</f>
        <v>0.536699778896839</v>
      </c>
      <c r="HU139" s="389">
        <v>1</v>
      </c>
      <c r="HV139" s="390">
        <f t="shared" si="529"/>
        <v>0.536699778896839</v>
      </c>
      <c r="HW139" s="390">
        <f>HV139*(VLOOKUP(AN139,各项系数!$D$1:$F$143,2,0))</f>
        <v>5.36699778896839</v>
      </c>
      <c r="HX139" s="406">
        <f>各项系数!$F$76/4*($MV139^2-$MS139^2)*10^-2*(VLOOKUP($HX$9,各项系数!$D$1:$F$143,3,0))*10^-3*10^2*各项系数!$J$4</f>
        <v>0.53486175869893</v>
      </c>
      <c r="HY139" s="420">
        <v>1</v>
      </c>
      <c r="HZ139" s="390">
        <f t="shared" si="530"/>
        <v>0.53486175869893</v>
      </c>
      <c r="IA139" s="390">
        <f>HZ139*(VLOOKUP($HX$9,各项系数!$D$1:$F$143,2,0))</f>
        <v>5.88347934568823</v>
      </c>
      <c r="IB139" s="406">
        <f>各项系数!$F$76/4*($MW139^2-$MT139^2)*10^-2*(VLOOKUP($IB$9,各项系数!$D$1:$F$143,3,0))*10^-3*10^2*各项系数!$J$4</f>
        <v>0.536699778896839</v>
      </c>
      <c r="IC139" s="420">
        <v>1</v>
      </c>
      <c r="ID139" s="390">
        <f t="shared" si="531"/>
        <v>0.536699778896839</v>
      </c>
      <c r="IE139" s="390">
        <f>ID139*(VLOOKUP($IB$9,各项系数!$D$1:$F$143,2,0))</f>
        <v>5.90369756786523</v>
      </c>
      <c r="IF139" s="429"/>
      <c r="IG139" s="406">
        <f t="shared" si="415"/>
        <v>0.0998246471136491</v>
      </c>
      <c r="IH139" s="389">
        <v>1</v>
      </c>
      <c r="II139" s="390">
        <f t="shared" si="532"/>
        <v>0.0998246471136491</v>
      </c>
      <c r="IJ139" s="390">
        <f>II139*(VLOOKUP($IG$8,各项系数!$D$1:$F$143,2,0))</f>
        <v>2.49561617784123</v>
      </c>
      <c r="IK139" s="406">
        <f>(各项系数!$F$76/4*($MX139^2-$MK139^2)*$EG139)*10^-2*(VLOOKUP($IG$8,各项系数!$D$1:$F$143,3,0))*10^-3*10^2*各项系数!$J$4</f>
        <v>0.0843722628411018</v>
      </c>
      <c r="IL139" s="389">
        <f>IK139*(VLOOKUP($IG$8,各项系数!$D$1:$F$143,2,0))</f>
        <v>2.10930657102754</v>
      </c>
      <c r="IM139" s="390">
        <f>(各项系数!$F$76/4*(($MM139+3*$X139)^2-MM139^2)*$EO139)*10^-2*(VLOOKUP($IG$8,各项系数!$D$1:$F$143,3,0))*10^-3*10^2*各项系数!$J$4</f>
        <v>0.0154523842725473</v>
      </c>
      <c r="IN139" s="389">
        <f>IM139*(VLOOKUP($IG$8,各项系数!$D$1:$F$143,2,0))</f>
        <v>0.386309606813683</v>
      </c>
      <c r="IO139" s="406">
        <f>各项系数!$F$76/4*($MZ139^2-$MX139^2)*10^-2*(VLOOKUP(L139,各项系数!$D$1:$F$143,3,0))*10^-3*10^2*$ES139*各项系数!$J$4</f>
        <v>0.340311222184892</v>
      </c>
      <c r="IP139" s="389">
        <v>1</v>
      </c>
      <c r="IQ139" s="390">
        <f t="shared" si="533"/>
        <v>0.340311222184892</v>
      </c>
      <c r="IR139" s="367">
        <f>IQ139*(VLOOKUP(L139,各项系数!$D$1:$F$143,2,0))</f>
        <v>3.4711744662859</v>
      </c>
      <c r="IS139" s="406">
        <f>IF($L139&lt;&gt;$IS$9,0,各项系数!$F$76/4*($MZ139^2-$MX139^2)*10^-2*各项系数!$F$12*10^-3*10^2)*$ES139*各项系数!$J$4</f>
        <v>0</v>
      </c>
      <c r="IT139" s="389">
        <v>1</v>
      </c>
      <c r="IU139" s="390">
        <f t="shared" si="534"/>
        <v>0</v>
      </c>
      <c r="IV139" s="367">
        <f>IU139*各项系数!$E$12</f>
        <v>0</v>
      </c>
      <c r="IW139" s="388">
        <f t="shared" si="535"/>
        <v>0.340311222184892</v>
      </c>
      <c r="IX139" s="388">
        <f t="shared" si="536"/>
        <v>3.4711744662859</v>
      </c>
      <c r="IY139" s="447">
        <f>各项系数!$F$76/4*($NB139^2-$MZ139^2*$EG139-$NA139^2*$EO139)*10^-2</f>
        <v>5.03174381230667</v>
      </c>
      <c r="IZ139" s="366">
        <f t="shared" si="487"/>
        <v>1</v>
      </c>
      <c r="JA139" s="367">
        <f t="shared" si="363"/>
        <v>5.03174381230667</v>
      </c>
      <c r="JB139" s="364">
        <f>IF($DE139&lt;&gt;$JB$9,0,$JA139*各项系数!$F$32*10^-3*10^2)*各项系数!$J$4</f>
        <v>0</v>
      </c>
      <c r="JC139" s="123">
        <v>1</v>
      </c>
      <c r="JD139" s="251">
        <f t="shared" si="537"/>
        <v>0</v>
      </c>
      <c r="JE139" s="339">
        <f>JD139*各项系数!$E$32</f>
        <v>0</v>
      </c>
      <c r="JF139" s="364">
        <f>IF($DE139&lt;&gt;$JF$9,0,$JA139*VLOOKUP($JF$9,各项系数!$D$4:$F$540,2,0)*10^-3*10^2)*各项系数!$J$4</f>
        <v>2.50329254662257</v>
      </c>
      <c r="JG139" s="123">
        <v>1</v>
      </c>
      <c r="JH139" s="251">
        <f t="shared" si="364"/>
        <v>2.50329254662257</v>
      </c>
      <c r="JI139" s="339">
        <f>JH139*VLOOKUP($JF$9,各项系数!$D$4:$F$540,3,0)</f>
        <v>3.00395105594708</v>
      </c>
      <c r="JJ139" s="364">
        <f t="shared" si="538"/>
        <v>2.50329254662257</v>
      </c>
      <c r="JK139" s="251">
        <f t="shared" si="539"/>
        <v>3.00395105594708</v>
      </c>
      <c r="JL139" s="364">
        <f>IF($DF139&lt;&gt;$JL$9,0,各项系数!$F$76/4*($NE139^2-$NC139^2)*10^-2*各项系数!$F$39*10^-3*10^2)*各项系数!$J$4</f>
        <v>0.00514628575518122</v>
      </c>
      <c r="JM139" s="123">
        <v>1</v>
      </c>
      <c r="JN139" s="251">
        <f t="shared" si="540"/>
        <v>0.00514628575518122</v>
      </c>
      <c r="JO139" s="339">
        <f>JN139*各项系数!$E$39</f>
        <v>0.102925715103624</v>
      </c>
      <c r="JP139" s="364">
        <f>IF($DF139&lt;&gt;$JP$9,0,各项系数!$F$76/4*($NE139^2-$NC139^2)*10^-2*各项系数!$F$36*10^-3*10^2)*各项系数!$J$4</f>
        <v>0</v>
      </c>
      <c r="JQ139" s="123">
        <v>1</v>
      </c>
      <c r="JR139" s="251">
        <f t="shared" si="541"/>
        <v>0</v>
      </c>
      <c r="JS139" s="339">
        <f>JR139*各项系数!$E$36</f>
        <v>0</v>
      </c>
      <c r="JT139" s="364">
        <f>IF($DF139&lt;&gt;$JT$9,0,各项系数!$F$76/4*($NE139^2-$NC139^2)*10^-2*各项系数!$F$40*10^-3*10^2)*各项系数!$J$4</f>
        <v>0</v>
      </c>
      <c r="JU139" s="123">
        <v>1</v>
      </c>
      <c r="JV139" s="251">
        <f t="shared" si="542"/>
        <v>0</v>
      </c>
      <c r="JW139" s="339">
        <f>JV139*各项系数!$E$40</f>
        <v>0</v>
      </c>
      <c r="JX139" s="364">
        <f>IF($DF139&lt;&gt;$JX$9,0,各项系数!$F$76/4*($NE139^2-$NC139^2)*10^-2*各项系数!$F$38*10^-3*10^2)*各项系数!$J$4</f>
        <v>0</v>
      </c>
      <c r="JY139" s="123">
        <v>1</v>
      </c>
      <c r="JZ139" s="251">
        <f t="shared" si="543"/>
        <v>0</v>
      </c>
      <c r="KA139" s="339">
        <f>JZ139*各项系数!$E$38</f>
        <v>0</v>
      </c>
      <c r="KB139" s="364">
        <f>IF($DF139&lt;&gt;$KB$9,0,各项系数!$F$76/4*($NE139^2-$NC139^2)*10^-2*各项系数!$F$41*10^-3*10^2)*各项系数!$J$4</f>
        <v>0</v>
      </c>
      <c r="KC139" s="123">
        <v>1</v>
      </c>
      <c r="KD139" s="251">
        <f t="shared" si="544"/>
        <v>0</v>
      </c>
      <c r="KE139" s="339">
        <f>KD139*各项系数!$E$41</f>
        <v>0</v>
      </c>
      <c r="KF139" s="251">
        <f t="shared" si="545"/>
        <v>0.00514628575518122</v>
      </c>
      <c r="KG139" s="251">
        <f t="shared" si="546"/>
        <v>0.102925715103624</v>
      </c>
      <c r="KH139" s="302">
        <f>各项系数!$F$76/4*($NG139^2-$NE139^2)*10^-2*各项系数!$F$44*10^-3*10^2*各项系数!$J$4*0.75*$U139</f>
        <v>1.28154855581232</v>
      </c>
      <c r="KI139" s="123">
        <v>1</v>
      </c>
      <c r="KJ139" s="251">
        <f t="shared" si="547"/>
        <v>1.28154855581232</v>
      </c>
      <c r="KK139" s="251">
        <f>ROUND(KJ139*各项系数!$E$43,GT139)</f>
        <v>7</v>
      </c>
      <c r="KL139" s="302">
        <f>各项系数!$F$76/4*($NF139^2-$NE139^2)*10^-2*各项系数!$F$46*10^-3*10^2*各项系数!$J$4*PI()/4*R139</f>
        <v>0.0641590879905225</v>
      </c>
      <c r="KM139" s="123">
        <v>1</v>
      </c>
      <c r="KN139" s="251">
        <f t="shared" si="548"/>
        <v>0.0641590879905225</v>
      </c>
      <c r="KO139" s="251">
        <f>KN139*各项系数!$E$46</f>
        <v>4.33073843936027</v>
      </c>
      <c r="KP139" s="302">
        <f>各项系数!$F$76/4*($NH139^2-$NE139^2)*10^-2*(VLOOKUP($KP$9,各项系数!$D$1:$F$143,3,0))*10^-3*10^2*各项系数!$J$4</f>
        <v>0.547890474916663</v>
      </c>
      <c r="KQ139" s="123">
        <v>1</v>
      </c>
      <c r="KR139" s="251">
        <f t="shared" si="416"/>
        <v>0.547890474916663</v>
      </c>
      <c r="KS139" s="251">
        <f>KR139*(VLOOKUP($KP$9,各项系数!$D$1:$F$143,2,0))</f>
        <v>9.31413807358327</v>
      </c>
      <c r="KT139" s="302">
        <f>各项系数!$F$76/4*($NI139^2-$NF139^2)*10^-2*(VLOOKUP($KT$9,各项系数!$D$1:$F$143,3,0))*10^-3*10^2*各项系数!$J$4</f>
        <v>0.54970348803705</v>
      </c>
      <c r="KU139" s="123">
        <v>1</v>
      </c>
      <c r="KV139" s="251">
        <f t="shared" si="417"/>
        <v>0.54970348803705</v>
      </c>
      <c r="KW139" s="251">
        <f>KV139*(VLOOKUP($KT$9,各项系数!$D$1:$F$143,2,0))</f>
        <v>9.34495929662985</v>
      </c>
      <c r="KX139" s="251">
        <f>各项系数!$F$76/4*($NH139^2-$NE139^2)*10^-2*(VLOOKUP($KX$9,各项系数!$D$1:$F$143,3,0))*10^-3*10^2*各项系数!$J$4</f>
        <v>0.547890474916663</v>
      </c>
      <c r="KY139" s="479">
        <v>1</v>
      </c>
      <c r="KZ139" s="251">
        <f t="shared" si="418"/>
        <v>0.547890474916663</v>
      </c>
      <c r="LA139" s="251">
        <f>KZ139*(VLOOKUP($KX$9,各项系数!$D$1:$F$143,2,0))</f>
        <v>9.31413807358327</v>
      </c>
      <c r="LB139" s="251">
        <f>各项系数!$F$76/4*($NI139^2-$NF139^2)*10^-2*(VLOOKUP($LB$9,各项系数!$D$1:$F$143,3,0))*10^-3*10^2*各项系数!$J$4</f>
        <v>0.54970348803705</v>
      </c>
      <c r="LC139" s="479">
        <v>1</v>
      </c>
      <c r="LD139" s="251">
        <f t="shared" si="419"/>
        <v>0.54970348803705</v>
      </c>
      <c r="LE139" s="251">
        <f>LD139*(VLOOKUP($LB$9,各项系数!$D$1:$F$143,2,0))</f>
        <v>9.34495929662985</v>
      </c>
      <c r="LF139" s="302">
        <f>各项系数!$F$76/4*($NH139^2-$NE139^2)*10^-2*(VLOOKUP(AN139,各项系数!$D$1:$F$143,3,0))*10^-3*10^2*各项系数!$J$4</f>
        <v>0.555447584915513</v>
      </c>
      <c r="LG139" s="123">
        <v>1</v>
      </c>
      <c r="LH139" s="251">
        <f t="shared" si="549"/>
        <v>0.555447584915513</v>
      </c>
      <c r="LI139" s="251">
        <f>LH139*(VLOOKUP(AN139,各项系数!$D$1:$F$143,2,0))</f>
        <v>5.55447584915513</v>
      </c>
      <c r="LJ139" s="302">
        <f>各项系数!$F$76/4*($NI139^2-$NF139^2)*10^-2*(VLOOKUP(AN139,各项系数!$D$1:$F$143,3,0))*10^-3*10^2*各项系数!$J$4</f>
        <v>0.557285605113423</v>
      </c>
      <c r="LK139" s="123">
        <v>1</v>
      </c>
      <c r="LL139" s="251">
        <f t="shared" si="550"/>
        <v>0.557285605113423</v>
      </c>
      <c r="LM139" s="251">
        <f>LL139*(VLOOKUP(AN139,各项系数!$D$1:$F$143,2,0))</f>
        <v>5.57285605113423</v>
      </c>
      <c r="LN139" s="251">
        <f>各项系数!$F$76/4*($NH139^2-$NE139^2)*10^-2*(VLOOKUP($LN$9,各项系数!$D$1:$F$143,3,0))*10^-3*10^2*各项系数!$J$4</f>
        <v>0.555447584915513</v>
      </c>
      <c r="LO139" s="479">
        <v>1</v>
      </c>
      <c r="LP139" s="251">
        <f t="shared" si="551"/>
        <v>0.555447584915513</v>
      </c>
      <c r="LQ139" s="251">
        <f>LP139*(VLOOKUP($LN$9,各项系数!$D$1:$F$143,2,0))</f>
        <v>6.10992343407065</v>
      </c>
      <c r="LR139" s="251">
        <f>各项系数!$F$76/4*($NI139^2-$NF139^2)*10^-2*(VLOOKUP($LR$9,各项系数!$D$1:$F$143,3,0))*10^-3*10^2*各项系数!$J$4</f>
        <v>0.557285605113423</v>
      </c>
      <c r="LS139" s="479">
        <v>1</v>
      </c>
      <c r="LT139" s="251">
        <f t="shared" si="552"/>
        <v>0.557285605113423</v>
      </c>
      <c r="LU139" s="251">
        <f>LT139*(VLOOKUP($LR$9,各项系数!$D$1:$F$143,2,0))</f>
        <v>6.13014165624766</v>
      </c>
      <c r="LV139" s="499">
        <f t="shared" si="420"/>
        <v>678.42978629</v>
      </c>
      <c r="LW139" s="499">
        <f t="shared" si="421"/>
        <v>452.28652419</v>
      </c>
      <c r="LX139" s="499">
        <f t="shared" si="422"/>
        <v>23.9972725147989</v>
      </c>
      <c r="LY139" s="515">
        <f t="shared" si="423"/>
        <v>226.1432621</v>
      </c>
      <c r="LZ139" s="516">
        <f t="shared" si="365"/>
        <v>1</v>
      </c>
      <c r="MA139" s="517">
        <f t="shared" si="366"/>
        <v>678.42978629</v>
      </c>
      <c r="MB139" s="517">
        <f t="shared" si="424"/>
        <v>14.69526822</v>
      </c>
      <c r="MC139" s="499">
        <f t="shared" si="425"/>
        <v>89.67253284</v>
      </c>
      <c r="MD139" s="499">
        <f t="shared" si="426"/>
        <v>64.55208807</v>
      </c>
      <c r="ME139" s="499">
        <f t="shared" si="427"/>
        <v>9.06588502165955</v>
      </c>
      <c r="MF139" s="499">
        <f t="shared" si="428"/>
        <v>25.12044477</v>
      </c>
      <c r="MG139" s="516">
        <f t="shared" si="429"/>
        <v>1</v>
      </c>
      <c r="MH139" s="517">
        <f t="shared" si="367"/>
        <v>89.67253284</v>
      </c>
      <c r="MI139" s="517">
        <f t="shared" si="430"/>
        <v>10.6852522145455</v>
      </c>
      <c r="MJ139" s="251">
        <f t="shared" si="368"/>
        <v>14.69526822</v>
      </c>
      <c r="MK139" s="251">
        <f t="shared" si="431"/>
        <v>14.69526822</v>
      </c>
      <c r="ML139" s="251">
        <f t="shared" si="553"/>
        <v>10.6852522147794</v>
      </c>
      <c r="MM139" s="251">
        <f t="shared" si="369"/>
        <v>10.6852522145455</v>
      </c>
      <c r="MN139" s="251">
        <f t="shared" si="370"/>
        <v>17.09526822</v>
      </c>
      <c r="MO139" s="251">
        <f t="shared" si="432"/>
        <v>12.8852522145455</v>
      </c>
      <c r="MP139" s="251">
        <f t="shared" si="433"/>
        <v>43.88381555</v>
      </c>
      <c r="MQ139" s="251">
        <f t="shared" si="554"/>
        <v>43.88381555</v>
      </c>
      <c r="MR139" s="314">
        <f t="shared" si="434"/>
        <v>43.88381555</v>
      </c>
      <c r="MS139" s="530">
        <f t="shared" si="371"/>
        <v>44.05981555</v>
      </c>
      <c r="MT139" s="530">
        <f t="shared" si="372"/>
        <v>44.21981555</v>
      </c>
      <c r="MU139" s="530">
        <f t="shared" si="373"/>
        <v>45.55981555</v>
      </c>
      <c r="MV139" s="530">
        <f t="shared" si="374"/>
        <v>49.05981555</v>
      </c>
      <c r="MW139" s="530">
        <f t="shared" si="375"/>
        <v>49.21981555</v>
      </c>
      <c r="MX139" s="326">
        <f t="shared" si="376"/>
        <v>15.29526822</v>
      </c>
      <c r="MY139" s="326">
        <f t="shared" si="377"/>
        <v>11.2852522145455</v>
      </c>
      <c r="MZ139" s="251">
        <f t="shared" si="378"/>
        <v>17.69526822</v>
      </c>
      <c r="NA139" s="251">
        <f t="shared" si="379"/>
        <v>13.6852522145455</v>
      </c>
      <c r="NB139" s="251">
        <f t="shared" si="435"/>
        <v>45.61181555</v>
      </c>
      <c r="NC139" s="326">
        <f t="shared" si="555"/>
        <v>45.61181555</v>
      </c>
      <c r="ND139" s="314">
        <f t="shared" si="436"/>
        <v>45.61181555</v>
      </c>
      <c r="NE139" s="537">
        <f t="shared" si="437"/>
        <v>45.85181555</v>
      </c>
      <c r="NF139" s="530">
        <f t="shared" si="380"/>
        <v>46.01181555</v>
      </c>
      <c r="NG139" s="538">
        <f t="shared" si="381"/>
        <v>47.35181555</v>
      </c>
      <c r="NH139" s="326">
        <f t="shared" si="382"/>
        <v>50.85181555</v>
      </c>
      <c r="NI139" s="530">
        <f t="shared" si="383"/>
        <v>51.01181555</v>
      </c>
      <c r="NK139" s="539">
        <f t="shared" si="384"/>
        <v>6.08348864961057</v>
      </c>
      <c r="NL139" s="539">
        <f t="shared" si="385"/>
        <v>314.090964482063</v>
      </c>
      <c r="NM139" s="539">
        <f t="shared" si="386"/>
        <v>6.08348864961057</v>
      </c>
      <c r="NN139" s="539">
        <f t="shared" si="387"/>
        <v>314.625826240761</v>
      </c>
      <c r="NO139" s="539">
        <f t="shared" si="388"/>
        <v>8.15062883764768</v>
      </c>
      <c r="NP139" s="539">
        <f t="shared" si="389"/>
        <v>318.355050795454</v>
      </c>
      <c r="NQ139" s="539">
        <f t="shared" si="390"/>
        <v>8.15062883764768</v>
      </c>
      <c r="NR139" s="539">
        <f t="shared" si="391"/>
        <v>318.91049838037</v>
      </c>
      <c r="NS139" s="539">
        <f t="shared" si="392"/>
        <v>6.14514461238598</v>
      </c>
      <c r="NT139" s="539">
        <f t="shared" si="393"/>
        <v>6.14514461238598</v>
      </c>
      <c r="NU139" s="539">
        <f t="shared" si="394"/>
        <v>8.2147879256382</v>
      </c>
      <c r="NV139" s="539">
        <f t="shared" si="395"/>
        <v>8.2147879256382</v>
      </c>
      <c r="NW139">
        <f t="shared" si="396"/>
        <v>6.90500105531938</v>
      </c>
      <c r="NX139">
        <f>各项系数!$M$9*NK139</f>
        <v>1.82504659488317</v>
      </c>
      <c r="NY139">
        <f t="shared" si="397"/>
        <v>6.14514461238598</v>
      </c>
    </row>
    <row r="140" customHeight="1" spans="1:389">
      <c r="A140" s="85"/>
      <c r="B140" s="86"/>
      <c r="C140" s="218"/>
      <c r="D140" s="123" t="s">
        <v>415</v>
      </c>
      <c r="E140" s="77">
        <f t="shared" si="560"/>
        <v>52.07334742</v>
      </c>
      <c r="F140" s="84">
        <f>$F$28</f>
        <v>243.335870228497</v>
      </c>
      <c r="G140" s="74"/>
      <c r="H140" s="23"/>
      <c r="I140" s="174">
        <f>$F$25</f>
        <v>242.295968589101</v>
      </c>
      <c r="J140" s="78"/>
      <c r="K140" s="23"/>
      <c r="L140" s="118" t="s">
        <v>467</v>
      </c>
      <c r="M140" s="124">
        <f t="shared" ref="M140:M203" si="582">VLOOKUP(EE140,$A$12:$C$46,3,0)</f>
        <v>1.4</v>
      </c>
      <c r="N140" s="124">
        <f t="shared" ref="N140:N171" si="583">IF(EM140=0,0,VLOOKUP(EM140,$A$12:$C$46,3,0))</f>
        <v>1.1</v>
      </c>
      <c r="O140" s="69">
        <f t="shared" si="580"/>
        <v>0.08</v>
      </c>
      <c r="P140" s="120">
        <v>0.1</v>
      </c>
      <c r="Q140" s="162">
        <f t="shared" si="578"/>
        <v>0.1</v>
      </c>
      <c r="R140" s="86">
        <v>0.8</v>
      </c>
      <c r="S140" s="171" t="str">
        <f>各项系数!$D$43</f>
        <v>钢带</v>
      </c>
      <c r="T140" s="123">
        <v>0.5</v>
      </c>
      <c r="U140" s="123">
        <v>2</v>
      </c>
      <c r="V140" s="169"/>
      <c r="W140" s="170">
        <v>2.6</v>
      </c>
      <c r="X140" s="164">
        <f t="shared" si="579"/>
        <v>0.2</v>
      </c>
      <c r="Y140" s="219"/>
      <c r="Z140" s="220"/>
      <c r="AA140" s="217">
        <f>$AA$28</f>
        <v>1.015</v>
      </c>
      <c r="AB140" s="186">
        <f>PI()*EJ140*EJ140/4*EH140*(1-H140)*AA140*各项系数!$F$5*各项系数!$J$4*10^-7</f>
        <v>1.25260541945236</v>
      </c>
      <c r="AC140" s="186">
        <f t="shared" si="573"/>
        <v>243.335870228497</v>
      </c>
      <c r="AD140" s="186">
        <f t="shared" ref="AD140:AD203" si="584">PI()*AE140*AE140*10^-4/4*EH140</f>
        <v>141.608539825376</v>
      </c>
      <c r="AE140" s="186">
        <f>POWER(4*EU140/PI()/EG140/10^-7/EH140/(1-H140)/各项系数!$F$5/各项系数!$J$4,0.5)</f>
        <v>245.154096286311</v>
      </c>
      <c r="AF140" s="218">
        <f>$AA$25</f>
        <v>1.013</v>
      </c>
      <c r="AG140" s="85">
        <f>IF(EM140=0,0,PI()*ER140*ER140/4*EP140*(1-K140)*(1+AF140)*各项系数!$F$5*各项系数!$J$4*10^-7)</f>
        <v>1.14942042482296</v>
      </c>
      <c r="AH140" s="85">
        <f t="shared" si="574"/>
        <v>242.295968589101</v>
      </c>
      <c r="AI140" s="85">
        <f t="shared" si="398"/>
        <v>65.3912649972251</v>
      </c>
      <c r="AJ140" s="85">
        <f>IF(OR(EP140="",EP140=0),0,POWER(4*EW140/PI()/EO140/10^-7/EP140/(1-K140)/各项系数!$F$5/各项系数!$J$4,0.5))</f>
        <v>243.865806884974</v>
      </c>
      <c r="AK140" s="85">
        <f t="shared" ref="AK140:AK203" si="585">IF((EG140*AB140+EO140*AG140)-EY140&lt;0.000001,"√",EY140)</f>
        <v>5.58884338190563</v>
      </c>
      <c r="AL140" s="85">
        <f t="shared" si="575"/>
        <v>389.57759828495</v>
      </c>
      <c r="AM140" s="250">
        <f t="shared" si="576"/>
        <v>150</v>
      </c>
      <c r="AN140" s="118" t="s">
        <v>486</v>
      </c>
      <c r="AO140" s="259">
        <f>AP140+各项系数!$M$9*$NK140</f>
        <v>381.93882184799</v>
      </c>
      <c r="AP140" s="259">
        <f>AQ140*(1+$BI140+(VLOOKUP($AM140,$A$12:$B$323,2,0))+各项系数!$J$6+各项系数!$M$5)*(1+$E$2)</f>
        <v>379.770219327882</v>
      </c>
      <c r="AQ140" s="260">
        <f>AR140+各项系数!$L$9*$NK140</f>
        <v>387.520631967226</v>
      </c>
      <c r="AR140" s="260">
        <f>AS140*(1+$BJ140+各项系数!$J$5+各项系数!$L$5)</f>
        <v>385.352029447118</v>
      </c>
      <c r="AS140" s="260">
        <f t="shared" si="399"/>
        <v>377.796107301096</v>
      </c>
      <c r="AT140" s="259">
        <f>AU140+各项系数!$M$9*$NM140</f>
        <v>385.937964774652</v>
      </c>
      <c r="AU140" s="259">
        <f>AV140*(1+$BI140+(VLOOKUP($AM140,$A$12:$B$323,2,0))+各项系数!$J$6+各项系数!$M$5)*(1+$E$2)</f>
        <v>383.769362254544</v>
      </c>
      <c r="AV140" s="260">
        <f>AW140+各项系数!$L$9*$NM140</f>
        <v>391.601390055657</v>
      </c>
      <c r="AW140" s="260">
        <f>AX140*(1+$BJ140+各项系数!$J$5+各项系数!$L$5)</f>
        <v>389.432787535548</v>
      </c>
      <c r="AX140" s="260">
        <f t="shared" si="400"/>
        <v>381.796850525047</v>
      </c>
      <c r="AY140" s="259">
        <f>AZ140+各项系数!$M$9*$NS140</f>
        <v>386.422171716664</v>
      </c>
      <c r="AZ140" s="259">
        <f>BA140*(1+$BI140+(VLOOKUP($AM140,$A$12:$B$214,2,0))+各项系数!$J$6+各项系数!$M$5)*(1+$E$2)</f>
        <v>384.233893397248</v>
      </c>
      <c r="BA140" s="260">
        <f>BB140+各项系数!$L$9*$NS140</f>
        <v>392.075401425764</v>
      </c>
      <c r="BB140" s="260">
        <f>BC140*(1+$BJ140+各项系数!$J$5+各项系数!$L$5)</f>
        <v>389.887123106348</v>
      </c>
      <c r="BC140" s="262">
        <f t="shared" si="401"/>
        <v>382.242277555243</v>
      </c>
      <c r="BD140" s="259">
        <f>BE140+各项系数!$M$9*$NS140</f>
        <v>390.434248129772</v>
      </c>
      <c r="BE140" s="259">
        <f>BF140*(1+$BI140+(VLOOKUP($AM140,$A$12:$B$214,2,0))+各项系数!$J$6+各项系数!$M$5)*(1+$E$2)</f>
        <v>388.245969810356</v>
      </c>
      <c r="BF140" s="260">
        <f>BG140+各项系数!$L$9*$NS140</f>
        <v>396.169356949343</v>
      </c>
      <c r="BG140" s="260">
        <f>BH140*(1+$BJ140+各项系数!$J$5+各项系数!$L$5)</f>
        <v>393.981078629927</v>
      </c>
      <c r="BH140" s="262">
        <f t="shared" si="402"/>
        <v>386.255959441105</v>
      </c>
      <c r="BI140" s="277"/>
      <c r="BJ140" s="272"/>
      <c r="BK140" s="69" t="s">
        <v>514</v>
      </c>
      <c r="BL140" s="259">
        <f>BM140+各项系数!$M$9*$NM140</f>
        <v>386.237844283368</v>
      </c>
      <c r="BM140" s="259">
        <f>BN140*(1+$CF140+(VLOOKUP($AM140,$A$12:$B$323,2,0))+各项系数!$J$6+各项系数!$M$5)*(1+$E$2)</f>
        <v>384.069241763259</v>
      </c>
      <c r="BN140" s="260">
        <f>BO140+各项系数!$L$9*$NM140</f>
        <v>391.907389554346</v>
      </c>
      <c r="BO140" s="260">
        <f>BP140*(1+$CG140+各项系数!$J$5+各项系数!$L$5)</f>
        <v>389.738787034238</v>
      </c>
      <c r="BP140" s="260">
        <f t="shared" si="403"/>
        <v>378.387171877901</v>
      </c>
      <c r="BQ140" s="259">
        <f>BR140+各项系数!$M$9*$NM140</f>
        <v>389.679573909798</v>
      </c>
      <c r="BR140" s="259">
        <f>BS140*(1+$CF140+(VLOOKUP($AM140,$A$12:$B$323,2,0))+各项系数!$J$6+各项系数!$M$5)*(1+$E$2)</f>
        <v>387.510971389689</v>
      </c>
      <c r="BS140" s="260">
        <f>BT140+各项系数!$L$9*$NM140</f>
        <v>395.419358560907</v>
      </c>
      <c r="BT140" s="260">
        <f>BU140*(1+$CG140+各项系数!$J$5+各项系数!$L$5)</f>
        <v>393.250756040799</v>
      </c>
      <c r="BU140" s="260">
        <f t="shared" si="404"/>
        <v>381.796850525047</v>
      </c>
      <c r="BV140" s="259">
        <f>BW140+各项系数!$M$9*$NT140</f>
        <v>388.630281512088</v>
      </c>
      <c r="BW140" s="259">
        <f>BX140*(1+$CF140+(VLOOKUP($AM140,$A$12:$B$214,2,0))+各项系数!$J$6+各项系数!$M$5)*(1+$E$2)</f>
        <v>386.442003192672</v>
      </c>
      <c r="BX140" s="260">
        <f>BY140+各项系数!$L$9*$NT$12</f>
        <v>394.3285746864</v>
      </c>
      <c r="BY140" s="260">
        <f>BZ140*(1+$CG140+各项系数!$J$5+各项系数!$L$5)</f>
        <v>394.320311283245</v>
      </c>
      <c r="BZ140" s="262">
        <f t="shared" ref="BZ140:BZ203" si="586">SUM($FB140,$FQ140,$FX140,$GP140,$GY140,$IE140)</f>
        <v>382.835253673054</v>
      </c>
      <c r="CA140" s="259">
        <f>CB140+各项系数!$M$9*$NT140</f>
        <v>392.083141914359</v>
      </c>
      <c r="CB140" s="259">
        <f>CC140*(1+$CF140+(VLOOKUP($AM140,$A$12:$B$214,2,0))+各项系数!$J$6+各项系数!$M$5)*(1+$E$2)</f>
        <v>389.894863594943</v>
      </c>
      <c r="CC140" s="260">
        <f>CD140+各项系数!$L$9*$NT$12</f>
        <v>397.851901627493</v>
      </c>
      <c r="CD140" s="260">
        <f>CE140*(1+$CG140+各项系数!$J$5+各项系数!$L$5)</f>
        <v>397.843638224338</v>
      </c>
      <c r="CE140" s="262">
        <f t="shared" si="405"/>
        <v>386.255959441105</v>
      </c>
      <c r="CF140" s="277">
        <f t="shared" si="514"/>
        <v>0</v>
      </c>
      <c r="CG140" s="277">
        <f t="shared" ref="CG140:CG203" si="587">BJ140+$E$4</f>
        <v>0.01</v>
      </c>
      <c r="CH140" s="123"/>
      <c r="CI140" s="259">
        <f>CJ140+各项系数!$M$9*$NO140</f>
        <v>390.374001023682</v>
      </c>
      <c r="CJ140" s="259">
        <f>CK140*(1+$DC140+(VLOOKUP($AM140,$A$12:$B$323,2,0))+各项系数!$J$6+各项系数!$M$5)*(1+$E$2)+各项系数!$M$9*$NK140</f>
        <v>387.499429059419</v>
      </c>
      <c r="CK140" s="260">
        <f>CL140+各项系数!$L$9*$NO140</f>
        <v>393.194720958481</v>
      </c>
      <c r="CL140" s="260">
        <f>CM140*(1+$DD140+各项系数!$J$5+各项系数!$L$5)</f>
        <v>390.320148994218</v>
      </c>
      <c r="CM140" s="260">
        <f t="shared" ref="CM140:CM203" si="588">SUM($FB140,$IJ140,$IX140,$JK140,$KG140,$LI140)</f>
        <v>382.66681273943</v>
      </c>
      <c r="CN140" s="259">
        <f>CO140+各项系数!$M$9*$NO140</f>
        <v>394.133341513471</v>
      </c>
      <c r="CO140" s="259">
        <f>CP140*(1+$DC140+(VLOOKUP($AM140,$A$12:$B$323,2,0))+各项系数!$J$6+各项系数!$M$5)*(1+$E$2)+各项系数!$M$9*$NK140</f>
        <v>391.258769549209</v>
      </c>
      <c r="CP140" s="260">
        <f>CQ140+各项系数!$L$9*$NO140</f>
        <v>397.030782682755</v>
      </c>
      <c r="CQ140" s="260">
        <f>CR140*(1+$DD140+各项系数!$J$5+各项系数!$L$5)</f>
        <v>394.156210718493</v>
      </c>
      <c r="CR140" s="260">
        <f t="shared" ref="CR140:CR203" si="589">SUM($FB140,$IJ140,$IX140,$JK140,$KG140,$HC140)</f>
        <v>386.42765756715</v>
      </c>
      <c r="CS140" s="259">
        <f>CT140+各项系数!$M$9*$NU140</f>
        <v>392.879665498266</v>
      </c>
      <c r="CT140" s="259">
        <f t="shared" ref="CT140:CT203" si="590">CU140*(1+$DC140+(VLOOKUP($AM140,$A$12:$B$323,2,0)))*(1+$E$2)+$E$3*$OM140</f>
        <v>389.984576282336</v>
      </c>
      <c r="CU140" s="260">
        <f>CV140+各项系数!$L$9*$NU140</f>
        <v>397.943445186057</v>
      </c>
      <c r="CV140" s="260">
        <f>CW140*(1+$DD140+各项系数!$J$5+各项系数!$L$5)</f>
        <v>395.048355970128</v>
      </c>
      <c r="CW140" s="262">
        <f t="shared" ref="CW140:CW203" si="591">SUM($FB140,$IJ140,$IX140,$JK140,$KG140,$KO140,$LM140)</f>
        <v>387.302309774635</v>
      </c>
      <c r="CX140" s="259">
        <f>CY140+各项系数!$M$9*$NU140</f>
        <v>397.054057166263</v>
      </c>
      <c r="CY140" s="259">
        <f t="shared" ref="CY140:CY203" si="592">CZ140*(1+$DC140+(VLOOKUP($AM140,$A$12:$B$323,2,0)))*(1+$E$2)+$E$3*$OM140</f>
        <v>394.158967950334</v>
      </c>
      <c r="CZ140" s="260">
        <f>DA140+各项系数!$L$9*$NU140</f>
        <v>402.203028520749</v>
      </c>
      <c r="DA140" s="260">
        <f>DB140*(1+$DD140+各项系数!$J$5+各项系数!$L$5)</f>
        <v>399.307939304819</v>
      </c>
      <c r="DB140" s="262">
        <f t="shared" ref="DB140:DB203" si="593">SUM($FB140,$IJ140,$IX140,$JK140,$KG140,$KO140,$KW140)</f>
        <v>391.47837186747</v>
      </c>
      <c r="DC140" s="277">
        <f t="shared" si="571"/>
        <v>0</v>
      </c>
      <c r="DD140" s="277">
        <f t="shared" ref="DD140:DD203" si="594">BJ140+$E$5</f>
        <v>0</v>
      </c>
      <c r="DE140" s="69" t="s">
        <v>498</v>
      </c>
      <c r="DF140" s="69" t="s">
        <v>513</v>
      </c>
      <c r="DG140" s="259">
        <f>DH140+各项系数!$M$9*$NQ140</f>
        <v>394.744971716471</v>
      </c>
      <c r="DH140" s="259">
        <f>DI140*(1+$EA140+(VLOOKUP($AM140,$A$12:$B$323,2,0))+各项系数!$J$6+各项系数!$M$5)*(1+$E$2)+各项系数!$M$9*$NK140</f>
        <v>391.870399752208</v>
      </c>
      <c r="DI140" s="260">
        <f>DJ140+各项系数!$L$9*$NQ140</f>
        <v>397.654895134796</v>
      </c>
      <c r="DJ140" s="260">
        <f>DK140*(1+$EB140+各项系数!$J$5+各项系数!$L$5)</f>
        <v>394.780323170533</v>
      </c>
      <c r="DK140" s="260">
        <f t="shared" ref="DK140:DK203" si="595">SUM($FB140,$IJ140,$IX140,$JK140,$KG140,$LQ140)</f>
        <v>383.281867155858</v>
      </c>
      <c r="DL140" s="259">
        <f>DM140+各项系数!$M$9*$NQ140</f>
        <v>398.326392579703</v>
      </c>
      <c r="DM140" s="259">
        <f>DN140*(1+$EA140+(VLOOKUP($AM140,$A$12:$B$323,2,0))+各项系数!$J$6+各项系数!$M$5)*(1+$E$2)+各项系数!$M$9*$NK140</f>
        <v>395.451820615441</v>
      </c>
      <c r="DN140" s="260">
        <f>DO140+各项系数!$L$9*$NQ140</f>
        <v>401.309406219727</v>
      </c>
      <c r="DO140" s="260">
        <f>DP140*(1+$EB140+各项系数!$J$5+各项系数!$L$5)</f>
        <v>398.434834255465</v>
      </c>
      <c r="DP140" s="260">
        <f t="shared" ref="DP140:DP203" si="596">SUM($FB140,$IJ140,$IX140,$JK140,$KG140,$LA140)</f>
        <v>386.829936170354</v>
      </c>
      <c r="DQ140" s="259">
        <f>DR140+各项系数!$M$9*$NV140</f>
        <v>397.297993571491</v>
      </c>
      <c r="DR140" s="259">
        <f t="shared" ref="DR140:DR203" si="597">DS140*(1+$EA140+(VLOOKUP($AM140,$A$12:$B$323,2,0)))*(1+$E$2)+$E$3*$NV140</f>
        <v>394.402904355561</v>
      </c>
      <c r="DS140" s="260">
        <f>DT140+各项系数!$L$9*$NV140</f>
        <v>402.451943219961</v>
      </c>
      <c r="DT140" s="260">
        <f>DU140*(1+$EB140+各项系数!$J$5+各项系数!$L$5)</f>
        <v>399.556854004031</v>
      </c>
      <c r="DU140" s="262">
        <f t="shared" ref="DU140:DU203" si="598">SUM($FB140,IX140,$IJ140,$JK140,$KG140,$LU140,$KO140)</f>
        <v>387.919275732069</v>
      </c>
      <c r="DV140" s="259">
        <f>DW140+各项系数!$M$9*$NV140</f>
        <v>396.529543563141</v>
      </c>
      <c r="DW140" s="259">
        <f t="shared" ref="DW140:DW203" si="599">DX140*(1+$EA140+(VLOOKUP($AM140,$A$12:$B$323,2,0)))*(1+$E$2)+$E$3*$NV140</f>
        <v>393.634454347212</v>
      </c>
      <c r="DX140" s="260">
        <f>DY140+各项系数!$L$9*$NV140</f>
        <v>401.667810558379</v>
      </c>
      <c r="DY140" s="260">
        <f>DZ140*(1+$EB140+各项系数!$J$5+各项系数!$L$5)</f>
        <v>398.77272134245</v>
      </c>
      <c r="DZ140" s="262">
        <f t="shared" ref="DZ140:DZ203" si="600">SUM($FB140,JE140,$IJ140,$JK140,$KG140,$LE140,$KO140)</f>
        <v>387.157981885873</v>
      </c>
      <c r="EA140" s="277">
        <f t="shared" si="581"/>
        <v>0</v>
      </c>
      <c r="EB140" s="277">
        <f t="shared" ref="EB140:EB203" si="601">BJ140+$E$6</f>
        <v>0.01</v>
      </c>
      <c r="EC140" s="302" t="str">
        <f t="shared" si="408"/>
        <v>4+1</v>
      </c>
      <c r="ED140" s="302" t="str">
        <f t="shared" si="565"/>
        <v>4*150</v>
      </c>
      <c r="EE140" s="251">
        <f t="shared" si="495"/>
        <v>150</v>
      </c>
      <c r="EF140" s="251" t="str">
        <f>LOOKUP(EH140,{1,7,10,14,19,24,30,37,48,61},{1,"1+6","2+8","4+10","1+6+12","2+8+14","4+10+16","1+6+12+18","3+9+15+21","1+6+12+18+24"})</f>
        <v>4+10+16</v>
      </c>
      <c r="EG140" s="250">
        <f t="shared" ref="EG140:EG203" si="602">IF(D140="",0,MID(D140,1,FIND("*",D140)-1))*1</f>
        <v>4</v>
      </c>
      <c r="EH140" s="260">
        <f>VLOOKUP(EE140,各项系数!$B$87:$C$124,2,0)</f>
        <v>30</v>
      </c>
      <c r="EI140" s="250">
        <f>IF(EH140=0,0,VLOOKUP(EH140,各项系数!$D$142:$E$195,2,0))*1</f>
        <v>6.41</v>
      </c>
      <c r="EJ140" s="305">
        <f t="shared" si="409"/>
        <v>243.335870228497</v>
      </c>
      <c r="EK140" s="251" t="str">
        <f t="shared" si="566"/>
        <v>1*70</v>
      </c>
      <c r="EL140" s="251" t="str">
        <f t="shared" ref="EL140:EL203" si="603">IF(COUNTIF(D140,"*+*")&gt;0,(MID(D140,FIND("#",SUBSTITUTE(D140,"*","#",2))+1,FIND("#",SUBSTITUTE(D140,"*","#",2))-1)),0)</f>
        <v>70</v>
      </c>
      <c r="EM140" s="251">
        <f t="shared" si="567"/>
        <v>70</v>
      </c>
      <c r="EN140" s="251" t="str">
        <f>IF(EP140=0,0,LOOKUP(EP140,{1,7,10,14,19,24,30,37,48,61},{1,"1+6","2+8","4+10","1+6+12","2+8+14","4+10+16","1+6+12+18","3+9+15+21","1+6+12+18+24"}))</f>
        <v>4+10</v>
      </c>
      <c r="EO140" s="251" t="str">
        <f t="shared" si="568"/>
        <v>1</v>
      </c>
      <c r="EP140" s="251">
        <f>IF(EM140=0,0,IF(EM140&lt;10,1,IF(AND(EM140&gt;=10,EM140&lt;=35),7,LOOKUP(EM140,{50,70,95,120,150,185,240,300},{10,14,19,24,30,37,48,61})*1)))</f>
        <v>14</v>
      </c>
      <c r="EQ140" s="251">
        <f>IF(EP140=0,0,VLOOKUP(EP140,各项系数!$D$142:$E$195,2,0))*1</f>
        <v>4.41</v>
      </c>
      <c r="ER140" s="251">
        <f t="shared" si="577"/>
        <v>242.295968589101</v>
      </c>
      <c r="ES140" s="302">
        <f t="shared" si="570"/>
        <v>5</v>
      </c>
      <c r="ET140" s="251">
        <f>VLOOKUP(ES140,各项系数!$D$142:$E$195,2,0)*1</f>
        <v>2.7</v>
      </c>
      <c r="EU140" s="311">
        <f>((各项系数!$F$76/4*$EJ140^2*$EG140*$EH140*1*10^-7)*(1-$H140)*AA140)*(VLOOKUP($EY$9,各项系数!$D$4:$F$143,3,0))*各项系数!$J$4</f>
        <v>5.01042167780943</v>
      </c>
      <c r="EV140" s="312">
        <f>EU140*(VLOOKUP($EY$9,各项系数!$D$4:$F$143,2,0))</f>
        <v>328.182619896518</v>
      </c>
      <c r="EW140" s="324">
        <f>(IF($EO140=0,0,(各项系数!$F$76/4*$ER140^2*$EO140*$EP140*1*10^-7))*(1-$K140)*$AF140)*(VLOOKUP($EY$9,各项系数!$D$4:$F$143,3,0))*各项系数!$J$4</f>
        <v>0.578421704096204</v>
      </c>
      <c r="EX140" s="325">
        <f>EW140*(VLOOKUP($EY$9,各项系数!$D$4:$F$143,2,0))</f>
        <v>37.8866216183014</v>
      </c>
      <c r="EY140" s="251">
        <f>((各项系数!$F$76/4*$EJ140^2*$EG140*$EH140*1*10^-7)*(1-$H140)*AA140+IF($EO140=0,0,(各项系数!$F$76/4*$ER140^2*$EO140*$EP140*1*10^-7))*(1-$K140)*$AF140)*(VLOOKUP($EY$9,各项系数!$D$4:$F$143,3,0))*各项系数!$J$4</f>
        <v>5.58884338190563</v>
      </c>
      <c r="EZ140" s="123">
        <v>1</v>
      </c>
      <c r="FA140" s="251">
        <f t="shared" si="515"/>
        <v>5.58884338190563</v>
      </c>
      <c r="FB140" s="326">
        <f>FA140*(VLOOKUP($EY$9,各项系数!$D$4:$F$143,2,0))</f>
        <v>366.069241514819</v>
      </c>
      <c r="FC140" s="327"/>
      <c r="FD140" s="302">
        <f>各项系数!$F$76/4*($MN140^2-MK140^2)*10^-2*(VLOOKUP(L140,各项系数!$D$1:$F$143,3,0))*10^-3*10^2*$EG140*各项系数!$J$4</f>
        <v>0.327300846388192</v>
      </c>
      <c r="FE140" s="339">
        <f>FD140*VLOOKUP(L140,各项系数!$D$1:$F$143,2,0)</f>
        <v>3.33846863315956</v>
      </c>
      <c r="FF140" s="250">
        <f>各项系数!$F$76/4*($MO140^2-ML140^2)*10^-2*(VLOOKUP(L140,各项系数!$D$1:$F$143,3,0))*10^-3*10^2*$EO140*各项系数!$J$4</f>
        <v>0.0445756007532287</v>
      </c>
      <c r="FG140" s="339">
        <f>FF140*VLOOKUP(L140,各项系数!$D$1:$F$143,2,0)</f>
        <v>0.454671127682933</v>
      </c>
      <c r="FH140" s="302">
        <f t="shared" si="410"/>
        <v>0.371876447141421</v>
      </c>
      <c r="FI140" s="123">
        <v>1</v>
      </c>
      <c r="FJ140" s="251">
        <f t="shared" si="516"/>
        <v>0.371876447141421</v>
      </c>
      <c r="FK140" s="339">
        <f>FJ140*VLOOKUP(L140,各项系数!$D$1:$F$143,2,0)</f>
        <v>3.79313976084249</v>
      </c>
      <c r="FL140" s="302"/>
      <c r="FM140" s="123"/>
      <c r="FN140" s="251"/>
      <c r="FO140" s="339"/>
      <c r="FP140" s="364">
        <f t="shared" si="517"/>
        <v>0.371876447141421</v>
      </c>
      <c r="FQ140" s="364">
        <f t="shared" si="518"/>
        <v>3.79313976084249</v>
      </c>
      <c r="FR140" s="365">
        <f>各项系数!$F$76/4*($MQ140^2-$MN140^2*$EG140-$MO140^2*$EO140)*10^-2</f>
        <v>5.18906317959894</v>
      </c>
      <c r="FS140" s="366">
        <f t="shared" si="411"/>
        <v>1</v>
      </c>
      <c r="FT140" s="367">
        <f t="shared" ref="FT140:FT203" si="604">FR140*$FS140</f>
        <v>5.18906317959894</v>
      </c>
      <c r="FU140" s="388">
        <f>$FT140*(VLOOKUP($FT$9,各项系数!$D$1:$F$143,3,0))*10^-3*10^2*各项系数!$J$55</f>
        <v>0.619574143644113</v>
      </c>
      <c r="FV140" s="389">
        <v>1</v>
      </c>
      <c r="FW140" s="390">
        <f t="shared" si="519"/>
        <v>0.619574143644113</v>
      </c>
      <c r="FX140" s="367">
        <f>FW140*(VLOOKUP($FT$9,各项系数!$D$1:$F$143,2,0))</f>
        <v>1.85872243093234</v>
      </c>
      <c r="FY140" s="388">
        <f>IF($BK140&lt;&gt;$FY$9,0,各项系数!$F$76/4*($MS140^2-$MQ140^2)*10^-2*(VLOOKUP($FY$9,各项系数!$D$1:$F$143,3,0))*10^-3*10^2)*各项系数!$J$4</f>
        <v>0</v>
      </c>
      <c r="FZ140" s="389">
        <v>1</v>
      </c>
      <c r="GA140" s="390">
        <f t="shared" si="520"/>
        <v>0</v>
      </c>
      <c r="GB140" s="367">
        <f>GA140*(VLOOKUP($FY$9,各项系数!$D$1:$F$143,2,0))</f>
        <v>0</v>
      </c>
      <c r="GC140" s="388">
        <f>IF($BK140&lt;&gt;$GC$9,0,各项系数!$F$76/4*($MS140^2-$MQ140^2)*10^-2*(VLOOKUP($GC$9,各项系数!$D$1:$F$143,3,0))*10^-3*10^2)*各项系数!$J$4</f>
        <v>0.012740916779294</v>
      </c>
      <c r="GD140" s="389">
        <v>1</v>
      </c>
      <c r="GE140" s="390">
        <f t="shared" si="521"/>
        <v>0.012740916779294</v>
      </c>
      <c r="GF140" s="367">
        <f>GE140*(VLOOKUP($GC$9,各项系数!$D$1:$F$143,2,0))</f>
        <v>0.164357826452892</v>
      </c>
      <c r="GG140" s="388">
        <f>IF($BK140&lt;&gt;$GG$9,0,各项系数!$F$76/4*($MS140^2-$MQ140^2)*10^-2*(VLOOKUP($GG$9,各项系数!$D$1:$F$143,3,0))*10^-3*10^2)*各项系数!$J$4</f>
        <v>0</v>
      </c>
      <c r="GH140" s="389">
        <v>1</v>
      </c>
      <c r="GI140" s="390">
        <f t="shared" si="522"/>
        <v>0</v>
      </c>
      <c r="GJ140" s="367">
        <f>GI140*(VLOOKUP($GG$9,各项系数!$D$1:$F$143,2,0))</f>
        <v>0</v>
      </c>
      <c r="GK140" s="388">
        <f>IF($BK140&lt;&gt;$GK$9,0,各项系数!$F$76/4*($MS140^2-$MQ140^2)*10^-2*(VLOOKUP($GK$9,各项系数!$D$1:$F$143,3,0))*10^-3*10^2)*各项系数!$J$4</f>
        <v>0</v>
      </c>
      <c r="GL140" s="389">
        <v>1</v>
      </c>
      <c r="GM140" s="390">
        <f t="shared" si="523"/>
        <v>0</v>
      </c>
      <c r="GN140" s="367">
        <f>GM140*(VLOOKUP($GK$9,各项系数!$D$1:$F$143,2,0))</f>
        <v>0</v>
      </c>
      <c r="GO140" s="390">
        <f t="shared" si="524"/>
        <v>0.012740916779294</v>
      </c>
      <c r="GP140" s="390">
        <f t="shared" si="525"/>
        <v>0.164357826452892</v>
      </c>
      <c r="GQ140" s="406">
        <f>各项系数!$F$76/4*($MU140^2-$MS140^2)*10^-2*(VLOOKUP($S140,各项系数!$D$1:$F$143,3,0))*10^-3*10^2*各项系数!$J$4</f>
        <v>0.873093768111059</v>
      </c>
      <c r="GR140" s="389">
        <v>1</v>
      </c>
      <c r="GS140" s="390">
        <f t="shared" si="526"/>
        <v>0.873093768111059</v>
      </c>
      <c r="GT140" s="390">
        <f t="shared" si="457"/>
        <v>0</v>
      </c>
      <c r="GU140" s="390">
        <f>ROUND($GS140*(VLOOKUP($S140,各项系数!$D$1:$F$143,2,0))+$E$3*GS140,GT140)</f>
        <v>5</v>
      </c>
      <c r="GV140" s="406">
        <f>各项系数!$F$76/4*($MT140^2-$MS140^2)*10^-2*(VLOOKUP($GV$9,各项系数!$D$1:$F$143,3,0))*10^-3*10^2*各项系数!$J$4*PI()/4*R140</f>
        <v>0.0655859976902086</v>
      </c>
      <c r="GW140" s="389">
        <v>1</v>
      </c>
      <c r="GX140" s="390">
        <f t="shared" si="527"/>
        <v>0.0655859976902086</v>
      </c>
      <c r="GY140" s="390">
        <f>$GX140*(VLOOKUP($GV$9,各项系数!$D$1:$F$143,2,0))</f>
        <v>4.42705484408908</v>
      </c>
      <c r="GZ140" s="406">
        <f>各项系数!$F$76/4*($MV140^2-$MS140^2)*10^-2*(VLOOKUP($GZ$9,各项系数!$D$1:$F$143,3,0))*10^-3*10^2*各项系数!$J$4</f>
        <v>0.583022881882402</v>
      </c>
      <c r="HA140" s="389">
        <v>1</v>
      </c>
      <c r="HB140" s="390">
        <f t="shared" si="412"/>
        <v>0.583022881882402</v>
      </c>
      <c r="HC140" s="390">
        <f>HB140*(VLOOKUP($GZ$9,各项系数!$D$1:$F$143,2,0))</f>
        <v>9.91138899200083</v>
      </c>
      <c r="HD140" s="406">
        <f>各项系数!$F$76/4*($MW140^2-$MT140^2)*10^-2*(VLOOKUP($HD$9,各项系数!$D$1:$F$143,3,0))*10^-3*10^2*各项系数!$J$4</f>
        <v>0.584908415527604</v>
      </c>
      <c r="HE140" s="389">
        <v>1</v>
      </c>
      <c r="HF140" s="390">
        <f t="shared" si="413"/>
        <v>0.584908415527604</v>
      </c>
      <c r="HG140" s="390">
        <f>HF140*(VLOOKUP($HD$9,各项系数!$D$1:$F$143,2,0))</f>
        <v>9.94344306396927</v>
      </c>
      <c r="HH140" s="406">
        <f>各项系数!$F$76/4*($MV140^2-$MS140^2)*10^-2*(VLOOKUP($HH$9,各项系数!$D$1:$F$143,3,0))*10^-3*10^2*各项系数!$J$4</f>
        <v>0.583022881882402</v>
      </c>
      <c r="HI140" s="420">
        <v>1</v>
      </c>
      <c r="HJ140" s="390">
        <f t="shared" si="414"/>
        <v>0.583022881882402</v>
      </c>
      <c r="HK140" s="390">
        <f>HJ140*(VLOOKUP($HH$9,各项系数!$D$1:$F$143,2,0))</f>
        <v>9.91138899200083</v>
      </c>
      <c r="HL140" s="406">
        <f>各项系数!$F$76/4*($MW140^2-$MT140^2)*10^-2*(VLOOKUP($HL$9,各项系数!$D$1:$F$143,3,0))*10^-3*10^2*各项系数!$J$4</f>
        <v>0.584908415527604</v>
      </c>
      <c r="HM140" s="420">
        <v>1</v>
      </c>
      <c r="HN140" s="390">
        <f t="shared" ref="HN140:HN203" si="605">HM140*HL140</f>
        <v>0.584908415527604</v>
      </c>
      <c r="HO140" s="390">
        <f>HN140*(VLOOKUP($HL$9,各项系数!$D$1:$F$143,2,0))</f>
        <v>9.94344306396927</v>
      </c>
      <c r="HP140" s="406">
        <f>各项系数!$F$76/4*($MV140^2-$MS140^2)*10^-2*(VLOOKUP(AN140,各项系数!$D$1:$F$143,3,0))*10^-3*10^2*各项系数!$J$4</f>
        <v>0.591064576804918</v>
      </c>
      <c r="HQ140" s="389">
        <v>1</v>
      </c>
      <c r="HR140" s="390">
        <f t="shared" si="528"/>
        <v>0.591064576804918</v>
      </c>
      <c r="HS140" s="390">
        <f>HR140*(VLOOKUP(AN140,各项系数!$D$1:$F$143,2,0))</f>
        <v>5.91064576804918</v>
      </c>
      <c r="HT140" s="406">
        <f>各项系数!$F$76/4*($MW140^2-$MT140^2)*10^-2*(VLOOKUP(AN140,各项系数!$D$1:$F$143,3,0))*10^-3*10^2*各项系数!$J$4</f>
        <v>0.592976117810743</v>
      </c>
      <c r="HU140" s="389">
        <v>1</v>
      </c>
      <c r="HV140" s="390">
        <f t="shared" si="529"/>
        <v>0.592976117810743</v>
      </c>
      <c r="HW140" s="390">
        <f>HV140*(VLOOKUP(AN140,各项系数!$D$1:$F$143,2,0))</f>
        <v>5.92976117810743</v>
      </c>
      <c r="HX140" s="406">
        <f>各项系数!$F$76/4*($MV140^2-$MS140^2)*10^-2*(VLOOKUP($HX$9,各项系数!$D$1:$F$143,3,0))*10^-3*10^2*各项系数!$J$4</f>
        <v>0.591064576804918</v>
      </c>
      <c r="HY140" s="420">
        <v>1</v>
      </c>
      <c r="HZ140" s="390">
        <f t="shared" si="530"/>
        <v>0.591064576804918</v>
      </c>
      <c r="IA140" s="390">
        <f>HZ140*(VLOOKUP($HX$9,各项系数!$D$1:$F$143,2,0))</f>
        <v>6.5017103448541</v>
      </c>
      <c r="IB140" s="406">
        <f>各项系数!$F$76/4*($MW140^2-$MT140^2)*10^-2*(VLOOKUP($IB$9,各项系数!$D$1:$F$143,3,0))*10^-3*10^2*各项系数!$J$4</f>
        <v>0.592976117810743</v>
      </c>
      <c r="IC140" s="420">
        <v>1</v>
      </c>
      <c r="ID140" s="390">
        <f t="shared" si="531"/>
        <v>0.592976117810743</v>
      </c>
      <c r="IE140" s="390">
        <f>ID140*(VLOOKUP($IB$9,各项系数!$D$1:$F$143,2,0))</f>
        <v>6.52273729591817</v>
      </c>
      <c r="IF140" s="429"/>
      <c r="IG140" s="406">
        <f t="shared" si="415"/>
        <v>0.104902990296546</v>
      </c>
      <c r="IH140" s="389">
        <v>1</v>
      </c>
      <c r="II140" s="390">
        <f t="shared" si="532"/>
        <v>0.104902990296546</v>
      </c>
      <c r="IJ140" s="390">
        <f>II140*(VLOOKUP($IG$8,各项系数!$D$1:$F$143,2,0))</f>
        <v>2.62257475741364</v>
      </c>
      <c r="IK140" s="406">
        <f>(各项系数!$F$76/4*($MX140^2-$MK140^2)*$EG140)*10^-2*(VLOOKUP($IG$8,各项系数!$D$1:$F$143,3,0))*10^-3*10^2*各项系数!$J$4</f>
        <v>0.0894506060239983</v>
      </c>
      <c r="IL140" s="389">
        <f>IK140*(VLOOKUP($IG$8,各项系数!$D$1:$F$143,2,0))</f>
        <v>2.23626515059996</v>
      </c>
      <c r="IM140" s="390">
        <f>(各项系数!$F$76/4*(($MM140+3*$X140)^2-MM140^2)*$EO140)*10^-2*(VLOOKUP($IG$8,各项系数!$D$1:$F$143,3,0))*10^-3*10^2*各项系数!$J$4</f>
        <v>0.0154523842725473</v>
      </c>
      <c r="IN140" s="389">
        <f>IM140*(VLOOKUP($IG$8,各项系数!$D$1:$F$143,2,0))</f>
        <v>0.386309606813683</v>
      </c>
      <c r="IO140" s="406">
        <f>各项系数!$F$76/4*($MZ140^2-$MX140^2)*10^-2*(VLOOKUP(L140,各项系数!$D$1:$F$143,3,0))*10^-3*10^2*$ES140*各项系数!$J$4</f>
        <v>0.423567645254528</v>
      </c>
      <c r="IP140" s="389">
        <v>1</v>
      </c>
      <c r="IQ140" s="390">
        <f t="shared" si="533"/>
        <v>0.423567645254528</v>
      </c>
      <c r="IR140" s="367">
        <f>IQ140*(VLOOKUP(L140,各项系数!$D$1:$F$143,2,0))</f>
        <v>4.32038998159618</v>
      </c>
      <c r="IS140" s="406">
        <f>IF($L140&lt;&gt;$IS$9,0,各项系数!$F$76/4*($MZ140^2-$MX140^2)*10^-2*各项系数!$F$12*10^-3*10^2)*$ES140*各项系数!$J$4</f>
        <v>0</v>
      </c>
      <c r="IT140" s="389">
        <v>1</v>
      </c>
      <c r="IU140" s="390">
        <f t="shared" si="534"/>
        <v>0</v>
      </c>
      <c r="IV140" s="367">
        <f>IU140*各项系数!$E$12</f>
        <v>0</v>
      </c>
      <c r="IW140" s="388">
        <f t="shared" si="535"/>
        <v>0.423567645254528</v>
      </c>
      <c r="IX140" s="388">
        <f t="shared" si="536"/>
        <v>4.32038998159618</v>
      </c>
      <c r="IY140" s="447">
        <f>各项系数!$F$76/4*($NB140^2-$MZ140^2*$EG140-$NA140^2*$EO140)*10^-2</f>
        <v>5.68562517548952</v>
      </c>
      <c r="IZ140" s="366">
        <f t="shared" si="487"/>
        <v>1</v>
      </c>
      <c r="JA140" s="367">
        <f t="shared" ref="JA140:JA203" si="606">IY140*$IZ140</f>
        <v>5.68562517548952</v>
      </c>
      <c r="JB140" s="364">
        <f>IF($DE140&lt;&gt;$JB$9,0,$JA140*各项系数!$F$32*10^-3*10^2)*各项系数!$J$4</f>
        <v>0</v>
      </c>
      <c r="JC140" s="123">
        <v>1</v>
      </c>
      <c r="JD140" s="251">
        <f t="shared" si="537"/>
        <v>0</v>
      </c>
      <c r="JE140" s="339">
        <f>JD140*各项系数!$E$32</f>
        <v>0</v>
      </c>
      <c r="JF140" s="364">
        <f>IF($DE140&lt;&gt;$JF$9,0,$JA140*VLOOKUP($JF$9,各项系数!$D$4:$F$540,2,0)*10^-3*10^2)*各项系数!$J$4</f>
        <v>2.82859852480604</v>
      </c>
      <c r="JG140" s="123">
        <v>1</v>
      </c>
      <c r="JH140" s="251">
        <f t="shared" ref="JH140:JH203" si="607">JG140*JF140</f>
        <v>2.82859852480604</v>
      </c>
      <c r="JI140" s="339">
        <f>JH140*VLOOKUP($JF$9,各项系数!$D$4:$F$540,3,0)</f>
        <v>3.39431822976724</v>
      </c>
      <c r="JJ140" s="364">
        <f t="shared" si="538"/>
        <v>2.82859852480604</v>
      </c>
      <c r="JK140" s="251">
        <f t="shared" si="539"/>
        <v>3.39431822976724</v>
      </c>
      <c r="JL140" s="364">
        <f>IF($DF140&lt;&gt;$JL$9,0,各项系数!$F$76/4*($NE140^2-$NC140^2)*10^-2*各项系数!$F$39*10^-3*10^2)*各项系数!$J$4</f>
        <v>0.00548720457766716</v>
      </c>
      <c r="JM140" s="123">
        <v>1</v>
      </c>
      <c r="JN140" s="251">
        <f t="shared" si="540"/>
        <v>0.00548720457766716</v>
      </c>
      <c r="JO140" s="339">
        <f>JN140*各项系数!$E$39</f>
        <v>0.109744091553343</v>
      </c>
      <c r="JP140" s="364">
        <f>IF($DF140&lt;&gt;$JP$9,0,各项系数!$F$76/4*($NE140^2-$NC140^2)*10^-2*各项系数!$F$36*10^-3*10^2)*各项系数!$J$4</f>
        <v>0</v>
      </c>
      <c r="JQ140" s="123">
        <v>1</v>
      </c>
      <c r="JR140" s="251">
        <f t="shared" si="541"/>
        <v>0</v>
      </c>
      <c r="JS140" s="339">
        <f>JR140*各项系数!$E$36</f>
        <v>0</v>
      </c>
      <c r="JT140" s="364">
        <f>IF($DF140&lt;&gt;$JT$9,0,各项系数!$F$76/4*($NE140^2-$NC140^2)*10^-2*各项系数!$F$40*10^-3*10^2)*各项系数!$J$4</f>
        <v>0</v>
      </c>
      <c r="JU140" s="123">
        <v>1</v>
      </c>
      <c r="JV140" s="251">
        <f t="shared" si="542"/>
        <v>0</v>
      </c>
      <c r="JW140" s="339">
        <f>JV140*各项系数!$E$40</f>
        <v>0</v>
      </c>
      <c r="JX140" s="364">
        <f>IF($DF140&lt;&gt;$JX$9,0,各项系数!$F$76/4*($NE140^2-$NC140^2)*10^-2*各项系数!$F$38*10^-3*10^2)*各项系数!$J$4</f>
        <v>0</v>
      </c>
      <c r="JY140" s="123">
        <v>1</v>
      </c>
      <c r="JZ140" s="251">
        <f t="shared" si="543"/>
        <v>0</v>
      </c>
      <c r="KA140" s="339">
        <f>JZ140*各项系数!$E$38</f>
        <v>0</v>
      </c>
      <c r="KB140" s="364">
        <f>IF($DF140&lt;&gt;$KB$9,0,各项系数!$F$76/4*($NE140^2-$NC140^2)*10^-2*各项系数!$F$41*10^-3*10^2)*各项系数!$J$4</f>
        <v>0</v>
      </c>
      <c r="KC140" s="123">
        <v>1</v>
      </c>
      <c r="KD140" s="251">
        <f t="shared" si="544"/>
        <v>0</v>
      </c>
      <c r="KE140" s="339">
        <f>KD140*各项系数!$E$41</f>
        <v>0</v>
      </c>
      <c r="KF140" s="251">
        <f t="shared" si="545"/>
        <v>0.00548720457766716</v>
      </c>
      <c r="KG140" s="251">
        <f t="shared" si="546"/>
        <v>0.109744091553343</v>
      </c>
      <c r="KH140" s="302">
        <f>各项系数!$F$76/4*($NG140^2-$NE140^2)*10^-2*各项系数!$F$44*10^-3*10^2*各项系数!$J$4*0.75*$U140</f>
        <v>1.36486059305731</v>
      </c>
      <c r="KI140" s="123">
        <v>1</v>
      </c>
      <c r="KJ140" s="251">
        <f t="shared" si="547"/>
        <v>1.36486059305731</v>
      </c>
      <c r="KK140" s="251">
        <f>ROUND(KJ140*各项系数!$E$43,GT140)</f>
        <v>8</v>
      </c>
      <c r="KL140" s="302">
        <f>各项系数!$F$76/4*($NF140^2-$NE140^2)*10^-2*各项系数!$F$46*10^-3*10^2*各项系数!$J$4*PI()/4*R140</f>
        <v>0.0683908388910703</v>
      </c>
      <c r="KM140" s="123">
        <v>1</v>
      </c>
      <c r="KN140" s="251">
        <f t="shared" si="548"/>
        <v>0.0683908388910703</v>
      </c>
      <c r="KO140" s="251">
        <f>KN140*各项系数!$E$46</f>
        <v>4.61638162514725</v>
      </c>
      <c r="KP140" s="302">
        <f>各项系数!$F$76/4*($NH140^2-$NE140^2)*10^-2*(VLOOKUP($KP$9,各项系数!$D$1:$F$143,3,0))*10^-3*10^2*各项系数!$J$4</f>
        <v>0.606686329129689</v>
      </c>
      <c r="KQ140" s="123">
        <v>1</v>
      </c>
      <c r="KR140" s="251">
        <f t="shared" si="416"/>
        <v>0.606686329129689</v>
      </c>
      <c r="KS140" s="251">
        <f>KR140*(VLOOKUP($KP$9,各项系数!$D$1:$F$143,2,0))</f>
        <v>10.3136675952047</v>
      </c>
      <c r="KT140" s="302">
        <f>各项系数!$F$76/4*($NI140^2-$NF140^2)*10^-2*(VLOOKUP($KT$9,各项系数!$D$1:$F$143,3,0))*10^-3*10^2*各项系数!$J$4</f>
        <v>0.60857186277489</v>
      </c>
      <c r="KU140" s="123">
        <v>1</v>
      </c>
      <c r="KV140" s="251">
        <f t="shared" si="417"/>
        <v>0.60857186277489</v>
      </c>
      <c r="KW140" s="251">
        <f>KV140*(VLOOKUP($KT$9,各项系数!$D$1:$F$143,2,0))</f>
        <v>10.3457216671731</v>
      </c>
      <c r="KX140" s="251">
        <f>各项系数!$F$76/4*($NH140^2-$NE140^2)*10^-2*(VLOOKUP($KX$9,各项系数!$D$1:$F$143,3,0))*10^-3*10^2*各项系数!$J$4</f>
        <v>0.606686329129689</v>
      </c>
      <c r="KY140" s="479">
        <v>1</v>
      </c>
      <c r="KZ140" s="251">
        <f t="shared" si="418"/>
        <v>0.606686329129689</v>
      </c>
      <c r="LA140" s="251">
        <f>KZ140*(VLOOKUP($KX$9,各项系数!$D$1:$F$143,2,0))</f>
        <v>10.3136675952047</v>
      </c>
      <c r="LB140" s="251">
        <f>各项系数!$F$76/4*($NI140^2-$NF140^2)*10^-2*(VLOOKUP($LB$9,各项系数!$D$1:$F$143,3,0))*10^-3*10^2*各项系数!$J$4</f>
        <v>0.60857186277489</v>
      </c>
      <c r="LC140" s="479">
        <v>1</v>
      </c>
      <c r="LD140" s="251">
        <f t="shared" si="419"/>
        <v>0.60857186277489</v>
      </c>
      <c r="LE140" s="251">
        <f>LD140*(VLOOKUP($LB$9,各项系数!$D$1:$F$143,2,0))</f>
        <v>10.3457216671731</v>
      </c>
      <c r="LF140" s="302">
        <f>各项系数!$F$76/4*($NH140^2-$NE140^2)*10^-2*(VLOOKUP(AN140,各项系数!$D$1:$F$143,3,0))*10^-3*10^2*各项系数!$J$4</f>
        <v>0.61505441642803</v>
      </c>
      <c r="LG140" s="123">
        <v>1</v>
      </c>
      <c r="LH140" s="251">
        <f t="shared" si="549"/>
        <v>0.61505441642803</v>
      </c>
      <c r="LI140" s="251">
        <f>LH140*(VLOOKUP(AN140,各项系数!$D$1:$F$143,2,0))</f>
        <v>6.1505441642803</v>
      </c>
      <c r="LJ140" s="302">
        <f>各项系数!$F$76/4*($NI140^2-$NF140^2)*10^-2*(VLOOKUP(AN140,各项系数!$D$1:$F$143,3,0))*10^-3*10^2*各项系数!$J$4</f>
        <v>0.616965957433854</v>
      </c>
      <c r="LK140" s="123">
        <v>1</v>
      </c>
      <c r="LL140" s="251">
        <f t="shared" si="550"/>
        <v>0.616965957433854</v>
      </c>
      <c r="LM140" s="251">
        <f>LL140*(VLOOKUP(AN140,各项系数!$D$1:$F$143,2,0))</f>
        <v>6.16965957433854</v>
      </c>
      <c r="LN140" s="251">
        <f>各项系数!$F$76/4*($NH140^2-$NE140^2)*10^-2*(VLOOKUP($LN$9,各项系数!$D$1:$F$143,3,0))*10^-3*10^2*各项系数!$J$4</f>
        <v>0.61505441642803</v>
      </c>
      <c r="LO140" s="479">
        <v>1</v>
      </c>
      <c r="LP140" s="251">
        <f t="shared" si="551"/>
        <v>0.61505441642803</v>
      </c>
      <c r="LQ140" s="251">
        <f>LP140*(VLOOKUP($LN$9,各项系数!$D$1:$F$143,2,0))</f>
        <v>6.76559858070833</v>
      </c>
      <c r="LR140" s="251">
        <f>各项系数!$F$76/4*($NI140^2-$NF140^2)*10^-2*(VLOOKUP($LR$9,各项系数!$D$1:$F$143,3,0))*10^-3*10^2*各项系数!$J$4</f>
        <v>0.616965957433854</v>
      </c>
      <c r="LS140" s="479">
        <v>1</v>
      </c>
      <c r="LT140" s="251">
        <f t="shared" si="552"/>
        <v>0.616965957433854</v>
      </c>
      <c r="LU140" s="251">
        <f>LT140*(VLOOKUP($LR$9,各项系数!$D$1:$F$143,2,0))</f>
        <v>6.7866255317724</v>
      </c>
      <c r="LV140" s="499">
        <f t="shared" si="420"/>
        <v>764.32523304</v>
      </c>
      <c r="LW140" s="499">
        <f t="shared" si="421"/>
        <v>558.06321009</v>
      </c>
      <c r="LX140" s="499">
        <f t="shared" si="422"/>
        <v>26.6561090099143</v>
      </c>
      <c r="LY140" s="515">
        <f t="shared" si="423"/>
        <v>206.26202295</v>
      </c>
      <c r="LZ140" s="516">
        <f t="shared" ref="LZ140:LZ203" si="608">$LZ$8</f>
        <v>1</v>
      </c>
      <c r="MA140" s="517">
        <f t="shared" ref="MA140:MA203" si="609">LV140-LY140*(1-LZ140)</f>
        <v>764.32523304</v>
      </c>
      <c r="MB140" s="517">
        <f t="shared" si="424"/>
        <v>15.59782927</v>
      </c>
      <c r="MC140" s="499">
        <f t="shared" si="425"/>
        <v>89.67253284</v>
      </c>
      <c r="MD140" s="499">
        <f t="shared" si="426"/>
        <v>64.55208807</v>
      </c>
      <c r="ME140" s="499">
        <f t="shared" si="427"/>
        <v>9.06588502165955</v>
      </c>
      <c r="MF140" s="499">
        <f t="shared" si="428"/>
        <v>25.12044477</v>
      </c>
      <c r="MG140" s="516">
        <f t="shared" si="429"/>
        <v>1</v>
      </c>
      <c r="MH140" s="517">
        <f t="shared" ref="MH140:MH203" si="610">MC140-MF140*(1-MG140)</f>
        <v>89.67253284</v>
      </c>
      <c r="MI140" s="517">
        <f t="shared" si="430"/>
        <v>10.6852522145455</v>
      </c>
      <c r="MJ140" s="251">
        <f t="shared" ref="MJ140:MJ203" si="611">ROUND(ROUND($EJ140*10^-2,8)*$EI140,8)</f>
        <v>15.59782927</v>
      </c>
      <c r="MK140" s="251">
        <f t="shared" si="431"/>
        <v>15.59782927</v>
      </c>
      <c r="ML140" s="251">
        <f t="shared" si="553"/>
        <v>10.6852522147794</v>
      </c>
      <c r="MM140" s="251">
        <f t="shared" ref="MM140:MM203" si="612">(1-$K140)^(1/2)*$MI140</f>
        <v>10.6852522145455</v>
      </c>
      <c r="MN140" s="251">
        <f t="shared" ref="MN140:MN203" si="613">MK140+M140*2</f>
        <v>18.39782927</v>
      </c>
      <c r="MO140" s="251">
        <f t="shared" si="432"/>
        <v>12.8852522145455</v>
      </c>
      <c r="MP140" s="251">
        <f t="shared" si="433"/>
        <v>46.69734742</v>
      </c>
      <c r="MQ140" s="251">
        <f t="shared" si="554"/>
        <v>46.69734742</v>
      </c>
      <c r="MR140" s="314">
        <f t="shared" si="434"/>
        <v>46.69734742</v>
      </c>
      <c r="MS140" s="530">
        <f t="shared" ref="MS140:MS203" si="614">MR140+2*O140*(1+P140)</f>
        <v>46.87334742</v>
      </c>
      <c r="MT140" s="530">
        <f t="shared" ref="MT140:MT203" si="615">MS140+(Q140*R140*2)</f>
        <v>47.03334742</v>
      </c>
      <c r="MU140" s="530">
        <f t="shared" ref="MU140:MU203" si="616">MS140+(T140*U140*1.5)</f>
        <v>48.37334742</v>
      </c>
      <c r="MV140" s="530">
        <f t="shared" ref="MV140:MV203" si="617">MS140+W140*2</f>
        <v>52.07334742</v>
      </c>
      <c r="MW140" s="530">
        <f t="shared" ref="MW140:MW203" si="618">MT140+W140*2</f>
        <v>52.23334742</v>
      </c>
      <c r="MX140" s="326">
        <f t="shared" ref="MX140:MX203" si="619">MK140+3*X140</f>
        <v>16.19782927</v>
      </c>
      <c r="MY140" s="326">
        <f t="shared" ref="MY140:MY203" si="620">IF(MM140=0,0,MM140+3*X140)</f>
        <v>11.2852522145455</v>
      </c>
      <c r="MZ140" s="251">
        <f t="shared" ref="MZ140:MZ203" si="621">MX140+M140*2</f>
        <v>18.99782927</v>
      </c>
      <c r="NA140" s="251">
        <f t="shared" ref="NA140:NA203" si="622">IF(MM140=0,0,MY140+M140*2)</f>
        <v>14.0852522145455</v>
      </c>
      <c r="NB140" s="251">
        <f t="shared" si="435"/>
        <v>48.64134742</v>
      </c>
      <c r="NC140" s="326">
        <f t="shared" si="555"/>
        <v>48.64134742</v>
      </c>
      <c r="ND140" s="314">
        <f t="shared" si="436"/>
        <v>48.64134742</v>
      </c>
      <c r="NE140" s="537">
        <f t="shared" si="437"/>
        <v>48.88134742</v>
      </c>
      <c r="NF140" s="530">
        <f t="shared" ref="NF140:NF203" si="623">NE140++(Q140*R140*2)</f>
        <v>49.04134742</v>
      </c>
      <c r="NG140" s="538">
        <f t="shared" ref="NG140:NG203" si="624">NE140+(T140*U140*1.5)</f>
        <v>50.38134742</v>
      </c>
      <c r="NH140" s="326">
        <f t="shared" ref="NH140:NH203" si="625">NE140+W140*2</f>
        <v>54.08134742</v>
      </c>
      <c r="NI140" s="530">
        <f t="shared" ref="NI140:NI203" si="626">NF140+W140*2</f>
        <v>54.24134742</v>
      </c>
      <c r="NK140" s="539">
        <f t="shared" ref="NK140:NK203" si="627">SUM(HR140,GM140,GI140,GE140,GA140,FW140,FN140,FJ140,FF140,FA140)</f>
        <v>7.22867506702861</v>
      </c>
      <c r="NL140" s="539">
        <f t="shared" ref="NL140:NL203" si="628">SUM(FB140,FG140,FK140,FO140,FX140,GB140,GF140,GJ140,GN140,HS140)</f>
        <v>378.250778428779</v>
      </c>
      <c r="NM140" s="539">
        <f t="shared" ref="NM140:NM203" si="629">SUM(HZ140,GM140,GI140,GE140,GA140,FW140,FN140,FJ140,FF140,FA140)</f>
        <v>7.22867506702861</v>
      </c>
      <c r="NN140" s="539">
        <f t="shared" ref="NN140:NN203" si="630">SUM(FB140,FG140,FK140,FO140,FX140,GB140,GF140,GJ140,GN140,IA140)</f>
        <v>378.841843005584</v>
      </c>
      <c r="NO140" s="539">
        <f t="shared" ref="NO140:NO203" si="631">SUM(LH140,KD140,JZ140,JV140,JR140,JN140,JH140,JD140,IU140,IQ140,IM140,II140,FA140)</f>
        <v>9.58190654754099</v>
      </c>
      <c r="NP140" s="539">
        <f t="shared" ref="NP140:NP203" si="632">SUM(LI140,KE140,KA140,JW140,JS140,JO140,JI140,JE140,IV140,IR140,IN140,IJ140,FB140)</f>
        <v>383.053122346243</v>
      </c>
      <c r="NQ140" s="539">
        <f t="shared" ref="NQ140:NQ203" si="633">SUM(LN140,KD140,JZ140,JV140,JR140,JN140,JH140,JD140,IU140,IQ140,IM140,II140,FA140)</f>
        <v>9.58190654754099</v>
      </c>
      <c r="NR140" s="539">
        <f t="shared" ref="NR140:NR203" si="634">SUM(FB140,IJ140,IN140,IR140,IV140,JE140,JI140,JO140,JS140,JW140,KA140,KE140,LQ140)</f>
        <v>383.668176762671</v>
      </c>
      <c r="NS140" s="539">
        <f t="shared" ref="NS140:NS203" si="635">SUM(HR140,GM140,GI140,GE140,GA140,FW140,FN140,FJ140,FF140,FA140,GV140)</f>
        <v>7.29426106471882</v>
      </c>
      <c r="NT140" s="539">
        <f t="shared" ref="NT140:NT203" si="636">SUM(HZ140,GM140,GI140,GE140,GA140,FW140,FN140,FJ140,FF140,FA140,GV140)</f>
        <v>7.29426106471882</v>
      </c>
      <c r="NU140" s="539">
        <f t="shared" ref="NU140:NU203" si="637">SUM(LH140,KD140,JZ140,JV140,JR140,JN140,JH140,JD140,IU140,IQ140,IM140,II140,FA140,KL140)</f>
        <v>9.65029738643206</v>
      </c>
      <c r="NV140" s="539">
        <f t="shared" ref="NV140:NV203" si="638">SUM(LN140,KD140,JZ140,JV140,JR140,JN140,JH140,JD140,IU140,IQ140,IM140,II140,FA140,KL140)</f>
        <v>9.65029738643206</v>
      </c>
      <c r="NW140">
        <f t="shared" ref="NW140:NW203" si="639">NK140+GS140</f>
        <v>8.10176883513967</v>
      </c>
      <c r="NX140">
        <f>各项系数!$M$9*NK140</f>
        <v>2.16860252010858</v>
      </c>
      <c r="NY140">
        <f t="shared" ref="NY140:NY203" si="640">SUM(HR140,GX140,GM140,GI140,GE140,GA140,FW140,FN140,FJ140,FF140,FA140)</f>
        <v>7.29426106471882</v>
      </c>
    </row>
    <row r="141" customHeight="1" spans="1:389">
      <c r="A141" s="85"/>
      <c r="B141" s="86"/>
      <c r="C141" s="218"/>
      <c r="D141" s="123" t="s">
        <v>419</v>
      </c>
      <c r="E141" s="77">
        <f t="shared" si="560"/>
        <v>57.55220768</v>
      </c>
      <c r="F141" s="84">
        <f>$F$29</f>
        <v>245.09808262108</v>
      </c>
      <c r="G141" s="74"/>
      <c r="H141" s="23"/>
      <c r="I141" s="174">
        <f>$F$26</f>
        <v>245.088056587712</v>
      </c>
      <c r="J141" s="78"/>
      <c r="K141" s="23"/>
      <c r="L141" s="118" t="s">
        <v>467</v>
      </c>
      <c r="M141" s="124">
        <f t="shared" si="582"/>
        <v>1.6</v>
      </c>
      <c r="N141" s="124">
        <f t="shared" si="583"/>
        <v>1.1</v>
      </c>
      <c r="O141" s="69">
        <f t="shared" si="580"/>
        <v>0.08</v>
      </c>
      <c r="P141" s="120">
        <v>0.1</v>
      </c>
      <c r="Q141" s="162">
        <f t="shared" si="578"/>
        <v>0.1</v>
      </c>
      <c r="R141" s="86">
        <v>0.8</v>
      </c>
      <c r="S141" s="171" t="str">
        <f>各项系数!$D$43</f>
        <v>钢带</v>
      </c>
      <c r="T141" s="123">
        <v>0.5</v>
      </c>
      <c r="U141" s="123">
        <v>2</v>
      </c>
      <c r="V141" s="169"/>
      <c r="W141" s="170">
        <v>2.8</v>
      </c>
      <c r="X141" s="164">
        <f t="shared" si="579"/>
        <v>0.2</v>
      </c>
      <c r="Y141" s="219"/>
      <c r="Z141" s="220"/>
      <c r="AA141" s="217">
        <f>$AA$29</f>
        <v>1.015</v>
      </c>
      <c r="AB141" s="186">
        <f>PI()*EJ141*EJ141/4*EH141*(1-H141)*AA141*各项系数!$F$5*各项系数!$J$4*10^-7</f>
        <v>1.56733675087884</v>
      </c>
      <c r="AC141" s="186">
        <f t="shared" si="573"/>
        <v>245.09808262108</v>
      </c>
      <c r="AD141" s="186">
        <f t="shared" si="584"/>
        <v>177.189293020653</v>
      </c>
      <c r="AE141" s="186">
        <f>POWER(4*EU141/PI()/EG141/10^-7/EH141/(1-H141)/各项系数!$F$5/各项系数!$J$4,0.5)</f>
        <v>246.929476077883</v>
      </c>
      <c r="AF141" s="218">
        <f>$AA$26</f>
        <v>1.013</v>
      </c>
      <c r="AG141" s="85">
        <f>IF(EM141=0,0,PI()*ER141*ER141/4*EP141*(1-K141)*(1+AF141)*各项系数!$F$5*各项系数!$J$4*10^-7)</f>
        <v>1.59608639301842</v>
      </c>
      <c r="AH141" s="85">
        <f t="shared" si="574"/>
        <v>245.088056587712</v>
      </c>
      <c r="AI141" s="85">
        <f t="shared" ref="AI141:AI204" si="641">PI()*AJ141*AJ141*10^-4/4*EP141</f>
        <v>90.8023783381159</v>
      </c>
      <c r="AJ141" s="85">
        <f>IF(OR(EP141="",EP141=0),0,POWER(4*EW141/PI()/EO141/10^-7/EP141/(1-K141)/各项系数!$F$5/各项系数!$J$4,0.5))</f>
        <v>246.675984853019</v>
      </c>
      <c r="AK141" s="85">
        <f t="shared" si="585"/>
        <v>7.07254398122406</v>
      </c>
      <c r="AL141" s="85">
        <f t="shared" si="575"/>
        <v>492.343937196536</v>
      </c>
      <c r="AM141" s="250">
        <f t="shared" si="576"/>
        <v>185</v>
      </c>
      <c r="AN141" s="118" t="s">
        <v>486</v>
      </c>
      <c r="AO141" s="259">
        <f>AP141+各项系数!$M$9*$NK141</f>
        <v>482.690134506408</v>
      </c>
      <c r="AP141" s="259">
        <f>AQ141*(1+$BI141+(VLOOKUP($AM141,$A$12:$B$323,2,0))+各项系数!$J$6+各项系数!$M$5)*(1+$E$2)</f>
        <v>479.969593207728</v>
      </c>
      <c r="AQ141" s="260">
        <f>AR141+各项系数!$L$9*$NK141</f>
        <v>489.764891028294</v>
      </c>
      <c r="AR141" s="260">
        <f>AS141*(1+$BJ141+各项系数!$J$5+各项系数!$L$5)</f>
        <v>487.044349729614</v>
      </c>
      <c r="AS141" s="260">
        <f t="shared" ref="AS141:AS204" si="642">SUM($FB141,$FQ141,$FX141,$GP141,$HS141)</f>
        <v>477.494460519229</v>
      </c>
      <c r="AT141" s="259">
        <f>AU141+各项系数!$M$9*$NM141</f>
        <v>487.45644080564</v>
      </c>
      <c r="AU141" s="259">
        <f>AV141*(1+$BI141+(VLOOKUP($AM141,$A$12:$B$323,2,0))+各项系数!$J$6+各项系数!$M$5)*(1+$E$2)</f>
        <v>484.73589950696</v>
      </c>
      <c r="AV141" s="260">
        <f>AW141+各项系数!$L$9*$NM141</f>
        <v>494.628468884653</v>
      </c>
      <c r="AW141" s="260">
        <f>AX141*(1+$BJ141+各项系数!$J$5+各项系数!$L$5)</f>
        <v>491.907927585973</v>
      </c>
      <c r="AX141" s="260">
        <f t="shared" ref="AX141:AX204" si="643">SUM($FB141,$FQ141,$FX141,$GP141,$HC141)</f>
        <v>482.262674103895</v>
      </c>
      <c r="AY141" s="259">
        <f>AZ141+各项系数!$M$9*$NS141</f>
        <v>487.657843348637</v>
      </c>
      <c r="AZ141" s="259">
        <f>BA141*(1+$BI141+(VLOOKUP($AM141,$A$12:$B$214,2,0))+各项系数!$J$6+各项系数!$M$5)*(1+$E$2)</f>
        <v>484.915497954358</v>
      </c>
      <c r="BA141" s="260">
        <f>BB141+各项系数!$L$9*$NS141</f>
        <v>494.811732606488</v>
      </c>
      <c r="BB141" s="260">
        <f>BC141*(1+$BJ141+各项系数!$J$5+各项系数!$L$5)</f>
        <v>492.06938721221</v>
      </c>
      <c r="BC141" s="262">
        <f t="shared" ref="BC141:BC204" si="644">SUM($FB141,$FQ141,$FX141,$GP141,$GY141,$HW141)</f>
        <v>482.420967855107</v>
      </c>
      <c r="BD141" s="259">
        <f>BE141+各项系数!$M$9*$NS141</f>
        <v>492.438078017887</v>
      </c>
      <c r="BE141" s="259">
        <f>BF141*(1+$BI141+(VLOOKUP($AM141,$A$12:$B$214,2,0))+各项系数!$J$6+各项系数!$M$5)*(1+$E$2)</f>
        <v>489.695732623608</v>
      </c>
      <c r="BF141" s="260">
        <f>BG141+各项系数!$L$9*$NS141</f>
        <v>499.689523085315</v>
      </c>
      <c r="BG141" s="260">
        <f>BH141*(1+$BJ141+各项系数!$J$5+各项系数!$L$5)</f>
        <v>496.947177691036</v>
      </c>
      <c r="BH141" s="262">
        <f t="shared" ref="BH141:BH204" si="645">SUM($FB141,$FQ141,$FX141,$GP141,$GY141,$HO141)</f>
        <v>487.203115383369</v>
      </c>
      <c r="BI141" s="277"/>
      <c r="BJ141" s="272"/>
      <c r="BK141" s="69" t="s">
        <v>514</v>
      </c>
      <c r="BL141" s="259">
        <f>BM141+各项系数!$M$9*$NM141</f>
        <v>488.080651691333</v>
      </c>
      <c r="BM141" s="259">
        <f>BN141*(1+$CF141+(VLOOKUP($AM141,$A$12:$B$323,2,0))+各项系数!$J$6+各项系数!$M$5)*(1+$E$2)</f>
        <v>485.360110392653</v>
      </c>
      <c r="BN141" s="260">
        <f>BO141+各项系数!$L$9*$NM141</f>
        <v>495.265418768013</v>
      </c>
      <c r="BO141" s="260">
        <f>BP141*(1+$CG141+各项系数!$J$5+各项系数!$L$5)</f>
        <v>492.544877469333</v>
      </c>
      <c r="BP141" s="260">
        <f t="shared" ref="BP141:BP204" si="646">SUM(FB141,FQ141,FX141,GP141,IA141)</f>
        <v>478.198910164401</v>
      </c>
      <c r="BQ141" s="259">
        <f>BR141+各项系数!$M$9*$NM141</f>
        <v>492.182615011858</v>
      </c>
      <c r="BR141" s="259">
        <f>BS141*(1+$CF141+(VLOOKUP($AM141,$A$12:$B$323,2,0))+各项系数!$J$6+各项系数!$M$5)*(1+$E$2)</f>
        <v>489.462073713178</v>
      </c>
      <c r="BS141" s="260">
        <f>BT141+各项系数!$L$9*$NM141</f>
        <v>499.451095625692</v>
      </c>
      <c r="BT141" s="260">
        <f>BU141*(1+$CG141+各项系数!$J$5+各项系数!$L$5)</f>
        <v>496.730554327012</v>
      </c>
      <c r="BU141" s="260">
        <f t="shared" ref="BU141:BU204" si="647">SUM(FB141,FQ141,FX141,GP141,HK141)</f>
        <v>482.262674103895</v>
      </c>
      <c r="BV141" s="259">
        <f>BW141+各项系数!$M$9*$NT141</f>
        <v>490.41931788745</v>
      </c>
      <c r="BW141" s="259">
        <f>BX141*(1+$CF141+(VLOOKUP($AM141,$A$12:$B$214,2,0))+各项系数!$J$6+各项系数!$M$5)*(1+$E$2)</f>
        <v>487.676972493172</v>
      </c>
      <c r="BX141" s="260">
        <f>BY141+各项系数!$L$9*$NT$12</f>
        <v>497.629563768543</v>
      </c>
      <c r="BY141" s="260">
        <f>BZ141*(1+$CG141+各项系数!$J$5+各项系数!$L$5)</f>
        <v>497.621300365388</v>
      </c>
      <c r="BZ141" s="262">
        <f t="shared" si="586"/>
        <v>483.127476082901</v>
      </c>
      <c r="CA141" s="259">
        <f>CB141+各项系数!$M$9*$NT141</f>
        <v>494.533268197343</v>
      </c>
      <c r="CB141" s="259">
        <f>CC141*(1+$CF141+(VLOOKUP($AM141,$A$12:$B$214,2,0))+各项系数!$J$6+各项系数!$M$5)*(1+$E$2)</f>
        <v>491.790922803064</v>
      </c>
      <c r="CC141" s="260">
        <f>CD141+各项系数!$L$9*$NT$12</f>
        <v>501.827472248025</v>
      </c>
      <c r="CD141" s="260">
        <f>CE141*(1+$CG141+各项系数!$J$5+各项系数!$L$5)</f>
        <v>501.81920884487</v>
      </c>
      <c r="CE141" s="262">
        <f t="shared" ref="CE141:CE204" si="648">SUM($FB141,$FQ141,$FX141,$GP141,$GY141,$HO141)</f>
        <v>487.203115383369</v>
      </c>
      <c r="CF141" s="277">
        <f t="shared" si="514"/>
        <v>0</v>
      </c>
      <c r="CG141" s="277">
        <f t="shared" si="587"/>
        <v>0.01</v>
      </c>
      <c r="CH141" s="123"/>
      <c r="CI141" s="259">
        <f>CJ141+各项系数!$M$9*$NO141</f>
        <v>492.866161557274</v>
      </c>
      <c r="CJ141" s="259">
        <f>CK141*(1+$DC141+(VLOOKUP($AM141,$A$12:$B$323,2,0))+各项系数!$J$6+各项系数!$M$5)*(1+$E$2)+各项系数!$M$9*$NK141</f>
        <v>489.274184740917</v>
      </c>
      <c r="CK141" s="260">
        <f>CL141+各项系数!$L$9*$NO141</f>
        <v>496.483309634936</v>
      </c>
      <c r="CL141" s="260">
        <f>CM141*(1+$DD141+各项系数!$J$5+各项系数!$L$5)</f>
        <v>492.891332818578</v>
      </c>
      <c r="CM141" s="260">
        <f t="shared" si="588"/>
        <v>483.226796880959</v>
      </c>
      <c r="CN141" s="259">
        <f>CO141+各项系数!$M$9*$NO141</f>
        <v>497.34643932929</v>
      </c>
      <c r="CO141" s="259">
        <f>CP141*(1+$DC141+(VLOOKUP($AM141,$A$12:$B$323,2,0))+各项系数!$J$6+各项系数!$M$5)*(1+$E$2)+各项系数!$M$9*$NK141</f>
        <v>493.754462512932</v>
      </c>
      <c r="CP141" s="260">
        <f>CQ141+各项系数!$L$9*$NO141</f>
        <v>501.055021647196</v>
      </c>
      <c r="CQ141" s="260">
        <f>CR141*(1+$DD141+各项系数!$J$5+各项系数!$L$5)</f>
        <v>497.463044830839</v>
      </c>
      <c r="CR141" s="260">
        <f t="shared" si="589"/>
        <v>487.708867481215</v>
      </c>
      <c r="CS141" s="259">
        <f>CT141+各项系数!$M$9*$NU141</f>
        <v>495.324783128844</v>
      </c>
      <c r="CT141" s="259">
        <f t="shared" si="590"/>
        <v>491.710070249733</v>
      </c>
      <c r="CU141" s="260">
        <f>CV141+各项系数!$L$9*$NU141</f>
        <v>501.744969642584</v>
      </c>
      <c r="CV141" s="260">
        <f>CW141*(1+$DD141+各项系数!$J$5+各项系数!$L$5)</f>
        <v>498.130256763472</v>
      </c>
      <c r="CW141" s="262">
        <f t="shared" si="591"/>
        <v>488.362996826934</v>
      </c>
      <c r="CX141" s="259">
        <f>CY141+各项系数!$M$9*$NU141</f>
        <v>500.298622141347</v>
      </c>
      <c r="CY141" s="259">
        <f t="shared" si="592"/>
        <v>496.683909262235</v>
      </c>
      <c r="CZ141" s="260">
        <f>DA141+各项系数!$L$9*$NU141</f>
        <v>506.820315573709</v>
      </c>
      <c r="DA141" s="260">
        <f>DB141*(1+$DD141+各项系数!$J$5+各项系数!$L$5)</f>
        <v>503.205602694597</v>
      </c>
      <c r="DB141" s="262">
        <f t="shared" si="593"/>
        <v>493.338826171174</v>
      </c>
      <c r="DC141" s="277">
        <f t="shared" si="571"/>
        <v>0</v>
      </c>
      <c r="DD141" s="277">
        <f t="shared" si="594"/>
        <v>0</v>
      </c>
      <c r="DE141" s="69" t="s">
        <v>498</v>
      </c>
      <c r="DF141" s="69" t="s">
        <v>513</v>
      </c>
      <c r="DG141" s="259">
        <f>DH141+各项系数!$M$9*$NQ141</f>
        <v>498.341738911391</v>
      </c>
      <c r="DH141" s="259">
        <f>DI141*(1+$EA141+(VLOOKUP($AM141,$A$12:$B$323,2,0))+各项系数!$J$6+各项系数!$M$5)*(1+$E$2)+各项系数!$M$9*$NK141</f>
        <v>494.749762095033</v>
      </c>
      <c r="DI141" s="260">
        <f>DJ141+各项系数!$L$9*$NQ141</f>
        <v>502.070633465667</v>
      </c>
      <c r="DJ141" s="260">
        <f>DK141*(1+$EB141+各项系数!$J$5+各项系数!$L$5)</f>
        <v>498.478656649309</v>
      </c>
      <c r="DK141" s="260">
        <f t="shared" si="595"/>
        <v>483.959860824572</v>
      </c>
      <c r="DL141" s="259">
        <f>DM141+各项系数!$M$9*$NQ141</f>
        <v>502.610321384118</v>
      </c>
      <c r="DM141" s="259">
        <f>DN141*(1+$EA141+(VLOOKUP($AM141,$A$12:$B$323,2,0))+各项系数!$J$6+各项系数!$M$5)*(1+$E$2)+各项系数!$M$9*$NK141</f>
        <v>499.018344567761</v>
      </c>
      <c r="DN141" s="260">
        <f>DO141+各项系数!$L$9*$NQ141</f>
        <v>506.426329866409</v>
      </c>
      <c r="DO141" s="260">
        <f>DP141*(1+$EB141+各项系数!$J$5+各项系数!$L$5)</f>
        <v>502.834353050052</v>
      </c>
      <c r="DP141" s="260">
        <f t="shared" si="596"/>
        <v>488.188692281604</v>
      </c>
      <c r="DQ141" s="259">
        <f>DR141+各项系数!$M$9*$NV141</f>
        <v>500.852773175729</v>
      </c>
      <c r="DR141" s="259">
        <f t="shared" si="597"/>
        <v>497.238060296618</v>
      </c>
      <c r="DS141" s="260">
        <f>DT141+各项系数!$L$9*$NV141</f>
        <v>507.385775812875</v>
      </c>
      <c r="DT141" s="260">
        <f>DU141*(1+$EB141+各项系数!$J$5+各项系数!$L$5)</f>
        <v>503.771062933763</v>
      </c>
      <c r="DU141" s="262">
        <f t="shared" si="598"/>
        <v>489.098119353168</v>
      </c>
      <c r="DV141" s="259">
        <f>DW141+各项系数!$M$9*$NV141</f>
        <v>499.651151956158</v>
      </c>
      <c r="DW141" s="259">
        <f t="shared" si="599"/>
        <v>496.036439077046</v>
      </c>
      <c r="DX141" s="260">
        <f>DY141+各项系数!$L$9*$NV141</f>
        <v>506.159631711271</v>
      </c>
      <c r="DY141" s="260">
        <f>DZ141*(1+$EB141+各项系数!$J$5+各项系数!$L$5)</f>
        <v>502.544918832159</v>
      </c>
      <c r="DZ141" s="262">
        <f t="shared" si="600"/>
        <v>487.907688186562</v>
      </c>
      <c r="EA141" s="277">
        <f t="shared" si="581"/>
        <v>0</v>
      </c>
      <c r="EB141" s="277">
        <f t="shared" si="601"/>
        <v>0.01</v>
      </c>
      <c r="EC141" s="302" t="str">
        <f t="shared" ref="EC141:EC204" si="649">IF(EO141=0,EG141,EG141&amp;"+"&amp;EO141)</f>
        <v>4+1</v>
      </c>
      <c r="ED141" s="302" t="str">
        <f t="shared" si="565"/>
        <v>4*185</v>
      </c>
      <c r="EE141" s="251">
        <f t="shared" si="495"/>
        <v>185</v>
      </c>
      <c r="EF141" s="251" t="str">
        <f>LOOKUP(EH141,{1,7,10,14,19,24,30,37,48,61},{1,"1+6","2+8","4+10","1+6+12","2+8+14","4+10+16","1+6+12+18","3+9+15+21","1+6+12+18+24"})</f>
        <v>1+6+12+18</v>
      </c>
      <c r="EG141" s="250">
        <f t="shared" si="602"/>
        <v>4</v>
      </c>
      <c r="EH141" s="260">
        <f>VLOOKUP(EE141,各项系数!$B$87:$C$124,2,0)</f>
        <v>37</v>
      </c>
      <c r="EI141" s="250">
        <f>IF(EH141=0,0,VLOOKUP(EH141,各项系数!$D$142:$E$195,2,0))*1</f>
        <v>7</v>
      </c>
      <c r="EJ141" s="305">
        <f t="shared" ref="EJ141:EJ204" si="650">$F141-$G141</f>
        <v>245.09808262108</v>
      </c>
      <c r="EK141" s="251" t="str">
        <f t="shared" si="566"/>
        <v>1*95</v>
      </c>
      <c r="EL141" s="251" t="str">
        <f t="shared" si="603"/>
        <v>95</v>
      </c>
      <c r="EM141" s="251">
        <f t="shared" si="567"/>
        <v>95</v>
      </c>
      <c r="EN141" s="251" t="str">
        <f>IF(EP141=0,0,LOOKUP(EP141,{1,7,10,14,19,24,30,37,48,61},{1,"1+6","2+8","4+10","1+6+12","2+8+14","4+10+16","1+6+12+18","3+9+15+21","1+6+12+18+24"}))</f>
        <v>1+6+12</v>
      </c>
      <c r="EO141" s="251" t="str">
        <f t="shared" si="568"/>
        <v>1</v>
      </c>
      <c r="EP141" s="251">
        <f>IF(EM141=0,0,IF(EM141&lt;10,1,IF(AND(EM141&gt;=10,EM141&lt;=35),7,LOOKUP(EM141,{50,70,95,120,150,185,240,300},{10,14,19,24,30,37,48,61})*1)))</f>
        <v>19</v>
      </c>
      <c r="EQ141" s="251">
        <f>IF(EP141=0,0,VLOOKUP(EP141,各项系数!$D$142:$E$195,2,0))*1</f>
        <v>5</v>
      </c>
      <c r="ER141" s="251">
        <f t="shared" si="577"/>
        <v>245.088056587712</v>
      </c>
      <c r="ES141" s="302">
        <f t="shared" si="570"/>
        <v>5</v>
      </c>
      <c r="ET141" s="251">
        <f>VLOOKUP(ES141,各项系数!$D$142:$E$195,2,0)*1</f>
        <v>2.7</v>
      </c>
      <c r="EU141" s="311">
        <f>((各项系数!$F$76/4*$EJ141^2*$EG141*$EH141*1*10^-7)*(1-$H141)*AA141)*(VLOOKUP($EY$9,各项系数!$D$4:$F$143,3,0))*各项系数!$J$4</f>
        <v>6.26934700351534</v>
      </c>
      <c r="EV141" s="312">
        <f>EU141*(VLOOKUP($EY$9,各项系数!$D$4:$F$143,2,0))</f>
        <v>410.642228730255</v>
      </c>
      <c r="EW141" s="324">
        <f>(IF($EO141=0,0,(各项系数!$F$76/4*$ER141^2*$EO141*$EP141*1*10^-7))*(1-$K141)*$AF141)*(VLOOKUP($EY$9,各项系数!$D$4:$F$143,3,0))*各项系数!$J$4</f>
        <v>0.803196977708721</v>
      </c>
      <c r="EX141" s="325">
        <f>EW141*(VLOOKUP($EY$9,各项系数!$D$4:$F$143,2,0))</f>
        <v>52.6094020399212</v>
      </c>
      <c r="EY141" s="251">
        <f>((各项系数!$F$76/4*$EJ141^2*$EG141*$EH141*1*10^-7)*(1-$H141)*AA141+IF($EO141=0,0,(各项系数!$F$76/4*$ER141^2*$EO141*$EP141*1*10^-7))*(1-$K141)*$AF141)*(VLOOKUP($EY$9,各项系数!$D$4:$F$143,3,0))*各项系数!$J$4</f>
        <v>7.07254398122406</v>
      </c>
      <c r="EZ141" s="123">
        <v>1</v>
      </c>
      <c r="FA141" s="251">
        <f t="shared" si="515"/>
        <v>7.07254398122406</v>
      </c>
      <c r="FB141" s="326">
        <f>FA141*(VLOOKUP($EY$9,各项系数!$D$4:$F$143,2,0))</f>
        <v>463.251630770176</v>
      </c>
      <c r="FC141" s="327"/>
      <c r="FD141" s="302">
        <f>各项系数!$F$76/4*($MN141^2-MK141^2)*10^-2*(VLOOKUP(L141,各项系数!$D$1:$F$143,3,0))*10^-3*10^2*$EG141*各项系数!$J$4</f>
        <v>0.412767869704257</v>
      </c>
      <c r="FE141" s="339">
        <f>FD141*VLOOKUP(L141,各项系数!$D$1:$F$143,2,0)</f>
        <v>4.21023227098342</v>
      </c>
      <c r="FF141" s="250">
        <f>各项系数!$F$76/4*($MO141^2-ML141^2)*10^-2*(VLOOKUP(L141,各项系数!$D$1:$F$143,3,0))*10^-3*10^2*$EO141*各项系数!$J$4</f>
        <v>0.0505106312626931</v>
      </c>
      <c r="FG141" s="339">
        <f>FF141*VLOOKUP(L141,各项系数!$D$1:$F$143,2,0)</f>
        <v>0.515208438879469</v>
      </c>
      <c r="FH141" s="302">
        <f t="shared" ref="FH141:FH204" si="651">FF141+FD141</f>
        <v>0.46327850096695</v>
      </c>
      <c r="FI141" s="123">
        <v>1</v>
      </c>
      <c r="FJ141" s="251">
        <f t="shared" si="516"/>
        <v>0.46327850096695</v>
      </c>
      <c r="FK141" s="339">
        <f>FJ141*VLOOKUP(L141,各项系数!$D$1:$F$143,2,0)</f>
        <v>4.72544070986289</v>
      </c>
      <c r="FL141" s="302"/>
      <c r="FM141" s="123"/>
      <c r="FN141" s="251"/>
      <c r="FO141" s="339"/>
      <c r="FP141" s="364">
        <f t="shared" si="517"/>
        <v>0.46327850096695</v>
      </c>
      <c r="FQ141" s="364">
        <f t="shared" si="518"/>
        <v>4.72544070986289</v>
      </c>
      <c r="FR141" s="365">
        <f>各项系数!$F$76/4*($MQ141^2-$MN141^2*$EG141-$MO141^2*$EO141)*10^-2</f>
        <v>6.39501012596587</v>
      </c>
      <c r="FS141" s="366">
        <f t="shared" ref="FS141:FS204" si="652">VLOOKUP(EC141,$A$38:$B$65,2,0)</f>
        <v>1</v>
      </c>
      <c r="FT141" s="367">
        <f t="shared" si="604"/>
        <v>6.39501012596587</v>
      </c>
      <c r="FU141" s="388">
        <f>$FT141*(VLOOKUP($FT$9,各项系数!$D$1:$F$143,3,0))*10^-3*10^2*各项系数!$J$55</f>
        <v>0.763564209040325</v>
      </c>
      <c r="FV141" s="389">
        <v>1</v>
      </c>
      <c r="FW141" s="390">
        <f t="shared" si="519"/>
        <v>0.763564209040325</v>
      </c>
      <c r="FX141" s="367">
        <f>FW141*(VLOOKUP($FT$9,各项系数!$D$1:$F$143,2,0))</f>
        <v>2.29069262712097</v>
      </c>
      <c r="FY141" s="388">
        <f>IF($BK141&lt;&gt;$FY$9,0,各项系数!$F$76/4*($MS141^2-$MQ141^2)*10^-2*(VLOOKUP($FY$9,各项系数!$D$1:$F$143,3,0))*10^-3*10^2)*各项系数!$J$4</f>
        <v>0</v>
      </c>
      <c r="FZ141" s="389">
        <v>1</v>
      </c>
      <c r="GA141" s="390">
        <f t="shared" si="520"/>
        <v>0</v>
      </c>
      <c r="GB141" s="367">
        <f>GA141*(VLOOKUP($FY$9,各项系数!$D$1:$F$143,2,0))</f>
        <v>0</v>
      </c>
      <c r="GC141" s="388">
        <f>IF($BK141&lt;&gt;$GC$9,0,各项系数!$F$76/4*($MS141^2-$MQ141^2)*10^-2*(VLOOKUP($GC$9,各项系数!$D$1:$F$143,3,0))*10^-3*10^2)*各项系数!$J$4</f>
        <v>0.0141240279342765</v>
      </c>
      <c r="GD141" s="389">
        <v>1</v>
      </c>
      <c r="GE141" s="390">
        <f t="shared" si="521"/>
        <v>0.0141240279342765</v>
      </c>
      <c r="GF141" s="367">
        <f>GE141*(VLOOKUP($GC$9,各项系数!$D$1:$F$143,2,0))</f>
        <v>0.182199960352166</v>
      </c>
      <c r="GG141" s="388">
        <f>IF($BK141&lt;&gt;$GG$9,0,各项系数!$F$76/4*($MS141^2-$MQ141^2)*10^-2*(VLOOKUP($GG$9,各项系数!$D$1:$F$143,3,0))*10^-3*10^2)*各项系数!$J$4</f>
        <v>0</v>
      </c>
      <c r="GH141" s="389">
        <v>1</v>
      </c>
      <c r="GI141" s="390">
        <f t="shared" si="522"/>
        <v>0</v>
      </c>
      <c r="GJ141" s="367">
        <f>GI141*(VLOOKUP($GG$9,各项系数!$D$1:$F$143,2,0))</f>
        <v>0</v>
      </c>
      <c r="GK141" s="388">
        <f>IF($BK141&lt;&gt;$GK$9,0,各项系数!$F$76/4*($MS141^2-$MQ141^2)*10^-2*(VLOOKUP($GK$9,各项系数!$D$1:$F$143,3,0))*10^-3*10^2)*各项系数!$J$4</f>
        <v>0</v>
      </c>
      <c r="GL141" s="389">
        <v>1</v>
      </c>
      <c r="GM141" s="390">
        <f t="shared" si="523"/>
        <v>0</v>
      </c>
      <c r="GN141" s="367">
        <f>GM141*(VLOOKUP($GK$9,各项系数!$D$1:$F$143,2,0))</f>
        <v>0</v>
      </c>
      <c r="GO141" s="390">
        <f t="shared" si="524"/>
        <v>0.0141240279342765</v>
      </c>
      <c r="GP141" s="390">
        <f t="shared" si="525"/>
        <v>0.182199960352166</v>
      </c>
      <c r="GQ141" s="406">
        <f>各项系数!$F$76/4*($MU141^2-$MS141^2)*10^-2*(VLOOKUP($S141,各项系数!$D$1:$F$143,3,0))*10^-3*10^2*各项系数!$J$4</f>
        <v>0.966206106540481</v>
      </c>
      <c r="GR141" s="389">
        <v>1</v>
      </c>
      <c r="GS141" s="390">
        <f t="shared" si="526"/>
        <v>0.966206106540481</v>
      </c>
      <c r="GT141" s="390">
        <f t="shared" si="457"/>
        <v>0</v>
      </c>
      <c r="GU141" s="390">
        <f>ROUND($GS141*(VLOOKUP($S141,各项系数!$D$1:$F$143,2,0))+$E$3*GS141,GT141)</f>
        <v>6</v>
      </c>
      <c r="GV141" s="406">
        <f>各项系数!$F$76/4*($MT141^2-$MS141^2)*10^-2*(VLOOKUP($GV$9,各项系数!$D$1:$F$143,3,0))*10^-3*10^2*各项系数!$J$4*PI()/4*R141</f>
        <v>0.0726803186616529</v>
      </c>
      <c r="GW141" s="389">
        <v>1</v>
      </c>
      <c r="GX141" s="390">
        <f t="shared" si="527"/>
        <v>0.0726803186616529</v>
      </c>
      <c r="GY141" s="390">
        <f>$GX141*(VLOOKUP($GV$9,各项系数!$D$1:$F$143,2,0))</f>
        <v>4.90592150966157</v>
      </c>
      <c r="GZ141" s="406">
        <f>各项系数!$F$76/4*($MV141^2-$MS141^2)*10^-2*(VLOOKUP($GZ$9,各项系数!$D$1:$F$143,3,0))*10^-3*10^2*各项系数!$J$4</f>
        <v>0.69486529625783</v>
      </c>
      <c r="HA141" s="389">
        <v>1</v>
      </c>
      <c r="HB141" s="390">
        <f t="shared" ref="HB141:HB204" si="653">HA141*GZ141</f>
        <v>0.69486529625783</v>
      </c>
      <c r="HC141" s="390">
        <f>HB141*(VLOOKUP($GZ$9,各项系数!$D$1:$F$143,2,0))</f>
        <v>11.8127100363831</v>
      </c>
      <c r="HD141" s="406">
        <f>各项系数!$F$76/4*($MW141^2-$MT141^2)*10^-2*(VLOOKUP($HD$9,各项系数!$D$1:$F$143,3,0))*10^-3*10^2*各项系数!$J$4</f>
        <v>0.696895870952663</v>
      </c>
      <c r="HE141" s="389">
        <v>1</v>
      </c>
      <c r="HF141" s="390">
        <f t="shared" ref="HF141:HF204" si="654">HE141*HD141</f>
        <v>0.696895870952663</v>
      </c>
      <c r="HG141" s="390">
        <f>HF141*(VLOOKUP($HD$9,各项系数!$D$1:$F$143,2,0))</f>
        <v>11.8472298061953</v>
      </c>
      <c r="HH141" s="406">
        <f>各项系数!$F$76/4*($MV141^2-$MS141^2)*10^-2*(VLOOKUP($HH$9,各项系数!$D$1:$F$143,3,0))*10^-3*10^2*各项系数!$J$4</f>
        <v>0.69486529625783</v>
      </c>
      <c r="HI141" s="420">
        <v>1</v>
      </c>
      <c r="HJ141" s="390">
        <f t="shared" ref="HJ141:HJ204" si="655">HI141*HH141</f>
        <v>0.69486529625783</v>
      </c>
      <c r="HK141" s="390">
        <f>HJ141*(VLOOKUP($HH$9,各项系数!$D$1:$F$143,2,0))</f>
        <v>11.8127100363831</v>
      </c>
      <c r="HL141" s="406">
        <f>各项系数!$F$76/4*($MW141^2-$MT141^2)*10^-2*(VLOOKUP($HL$9,各项系数!$D$1:$F$143,3,0))*10^-3*10^2*各项系数!$J$4</f>
        <v>0.696895870952663</v>
      </c>
      <c r="HM141" s="420">
        <v>1</v>
      </c>
      <c r="HN141" s="390">
        <f t="shared" si="605"/>
        <v>0.696895870952663</v>
      </c>
      <c r="HO141" s="390">
        <f>HN141*(VLOOKUP($HL$9,各项系数!$D$1:$F$143,2,0))</f>
        <v>11.8472298061953</v>
      </c>
      <c r="HP141" s="406">
        <f>各项系数!$F$76/4*($MV141^2-$MS141^2)*10^-2*(VLOOKUP(AN141,各项系数!$D$1:$F$143,3,0))*10^-3*10^2*各项系数!$J$4</f>
        <v>0.704449645171731</v>
      </c>
      <c r="HQ141" s="389">
        <v>1</v>
      </c>
      <c r="HR141" s="390">
        <f t="shared" si="528"/>
        <v>0.704449645171731</v>
      </c>
      <c r="HS141" s="390">
        <f>HR141*(VLOOKUP(AN141,各项系数!$D$1:$F$143,2,0))</f>
        <v>7.04449645171731</v>
      </c>
      <c r="HT141" s="406">
        <f>各项系数!$F$76/4*($MW141^2-$MT141^2)*10^-2*(VLOOKUP(AN141,各项系数!$D$1:$F$143,3,0))*10^-3*10^2*各项系数!$J$4</f>
        <v>0.706508227793389</v>
      </c>
      <c r="HU141" s="389">
        <v>1</v>
      </c>
      <c r="HV141" s="390">
        <f t="shared" si="529"/>
        <v>0.706508227793389</v>
      </c>
      <c r="HW141" s="390">
        <f>HV141*(VLOOKUP(AN141,各项系数!$D$1:$F$143,2,0))</f>
        <v>7.06508227793389</v>
      </c>
      <c r="HX141" s="406">
        <f>各项系数!$F$76/4*($MV141^2-$MS141^2)*10^-2*(VLOOKUP($HX$9,各项系数!$D$1:$F$143,3,0))*10^-3*10^2*各项系数!$J$4</f>
        <v>0.704449645171731</v>
      </c>
      <c r="HY141" s="420">
        <v>1</v>
      </c>
      <c r="HZ141" s="390">
        <f t="shared" si="530"/>
        <v>0.704449645171731</v>
      </c>
      <c r="IA141" s="390">
        <f>HZ141*(VLOOKUP($HX$9,各项系数!$D$1:$F$143,2,0))</f>
        <v>7.74894609688904</v>
      </c>
      <c r="IB141" s="406">
        <f>各项系数!$F$76/4*($MW141^2-$MT141^2)*10^-2*(VLOOKUP($IB$9,各项系数!$D$1:$F$143,3,0))*10^-3*10^2*各项系数!$J$4</f>
        <v>0.706508227793389</v>
      </c>
      <c r="IC141" s="420">
        <v>1</v>
      </c>
      <c r="ID141" s="390">
        <f t="shared" si="531"/>
        <v>0.706508227793389</v>
      </c>
      <c r="IE141" s="390">
        <f>ID141*(VLOOKUP($IB$9,各项系数!$D$1:$F$143,2,0))</f>
        <v>7.77159050572728</v>
      </c>
      <c r="IF141" s="429"/>
      <c r="IG141" s="406">
        <f t="shared" ref="IG141:IG204" si="656">IK141+IM141</f>
        <v>0.115882296258227</v>
      </c>
      <c r="IH141" s="389">
        <v>1</v>
      </c>
      <c r="II141" s="390">
        <f t="shared" si="532"/>
        <v>0.115882296258227</v>
      </c>
      <c r="IJ141" s="390">
        <f>II141*(VLOOKUP($IG$8,各项系数!$D$1:$F$143,2,0))</f>
        <v>2.89705740645569</v>
      </c>
      <c r="IK141" s="406">
        <f>(各项系数!$F$76/4*($MX141^2-$MK141^2)*$EG141)*10^-2*(VLOOKUP($IG$8,各项系数!$D$1:$F$143,3,0))*10^-3*10^2*各项系数!$J$4</f>
        <v>0.0982226692376673</v>
      </c>
      <c r="IL141" s="389">
        <f>IK141*(VLOOKUP($IG$8,各项系数!$D$1:$F$143,2,0))</f>
        <v>2.45556673094168</v>
      </c>
      <c r="IM141" s="390">
        <f>(各项系数!$F$76/4*(($MM141+3*$X141)^2-MM141^2)*$EO141)*10^-2*(VLOOKUP($IG$8,各项系数!$D$1:$F$143,3,0))*10^-3*10^2*各项系数!$J$4</f>
        <v>0.0176596270205602</v>
      </c>
      <c r="IN141" s="389">
        <f>IM141*(VLOOKUP($IG$8,各项系数!$D$1:$F$143,2,0))</f>
        <v>0.441490675514005</v>
      </c>
      <c r="IO141" s="406">
        <f>各项系数!$F$76/4*($MZ141^2-$MX141^2)*10^-2*(VLOOKUP(L141,各项系数!$D$1:$F$143,3,0))*10^-3*10^2*$ES141*各项系数!$J$4</f>
        <v>0.532464508295221</v>
      </c>
      <c r="IP141" s="389">
        <v>1</v>
      </c>
      <c r="IQ141" s="390">
        <f t="shared" si="533"/>
        <v>0.532464508295221</v>
      </c>
      <c r="IR141" s="367">
        <f>IQ141*(VLOOKUP(L141,各项系数!$D$1:$F$143,2,0))</f>
        <v>5.43113798461125</v>
      </c>
      <c r="IS141" s="406">
        <f>IF($L141&lt;&gt;$IS$9,0,各项系数!$F$76/4*($MZ141^2-$MX141^2)*10^-2*各项系数!$F$12*10^-3*10^2)*$ES141*各项系数!$J$4</f>
        <v>0</v>
      </c>
      <c r="IT141" s="389">
        <v>1</v>
      </c>
      <c r="IU141" s="390">
        <f t="shared" si="534"/>
        <v>0</v>
      </c>
      <c r="IV141" s="367">
        <f>IU141*各项系数!$E$12</f>
        <v>0</v>
      </c>
      <c r="IW141" s="388">
        <f t="shared" si="535"/>
        <v>0.532464508295221</v>
      </c>
      <c r="IX141" s="388">
        <f t="shared" si="536"/>
        <v>5.43113798461125</v>
      </c>
      <c r="IY141" s="447">
        <f>各项系数!$F$76/4*($NB141^2-$MZ141^2*$EG141-$NA141^2*$EO141)*10^-2</f>
        <v>7.02624854898807</v>
      </c>
      <c r="IZ141" s="366">
        <f t="shared" si="487"/>
        <v>1</v>
      </c>
      <c r="JA141" s="367">
        <f t="shared" si="606"/>
        <v>7.02624854898807</v>
      </c>
      <c r="JB141" s="364">
        <f>IF($DE141&lt;&gt;$JB$9,0,$JA141*各项系数!$F$32*10^-3*10^2)*各项系数!$J$4</f>
        <v>0</v>
      </c>
      <c r="JC141" s="123">
        <v>1</v>
      </c>
      <c r="JD141" s="251">
        <f t="shared" si="537"/>
        <v>0</v>
      </c>
      <c r="JE141" s="339">
        <f>JD141*各项系数!$E$32</f>
        <v>0</v>
      </c>
      <c r="JF141" s="364">
        <f>IF($DE141&lt;&gt;$JF$9,0,$JA141*VLOOKUP($JF$9,各项系数!$D$4:$F$540,2,0)*10^-3*10^2)*各项系数!$J$4</f>
        <v>3.49555865312156</v>
      </c>
      <c r="JG141" s="123">
        <v>1</v>
      </c>
      <c r="JH141" s="251">
        <f t="shared" si="607"/>
        <v>3.49555865312156</v>
      </c>
      <c r="JI141" s="339">
        <f>JH141*VLOOKUP($JF$9,各项系数!$D$4:$F$540,3,0)</f>
        <v>4.19467038374588</v>
      </c>
      <c r="JJ141" s="364">
        <f t="shared" si="538"/>
        <v>3.49555865312156</v>
      </c>
      <c r="JK141" s="251">
        <f t="shared" si="539"/>
        <v>4.19467038374588</v>
      </c>
      <c r="JL141" s="364">
        <f>IF($DF141&lt;&gt;$JL$9,0,各项系数!$F$76/4*($NE141^2-$NC141^2)*10^-2*各项系数!$F$39*10^-3*10^2)*各项系数!$J$4</f>
        <v>0.00608304499213572</v>
      </c>
      <c r="JM141" s="123">
        <v>1</v>
      </c>
      <c r="JN141" s="251">
        <f t="shared" si="540"/>
        <v>0.00608304499213572</v>
      </c>
      <c r="JO141" s="339">
        <f>JN141*各项系数!$E$39</f>
        <v>0.121660899842714</v>
      </c>
      <c r="JP141" s="364">
        <f>IF($DF141&lt;&gt;$JP$9,0,各项系数!$F$76/4*($NE141^2-$NC141^2)*10^-2*各项系数!$F$36*10^-3*10^2)*各项系数!$J$4</f>
        <v>0</v>
      </c>
      <c r="JQ141" s="123">
        <v>1</v>
      </c>
      <c r="JR141" s="251">
        <f t="shared" si="541"/>
        <v>0</v>
      </c>
      <c r="JS141" s="339">
        <f>JR141*各项系数!$E$36</f>
        <v>0</v>
      </c>
      <c r="JT141" s="364">
        <f>IF($DF141&lt;&gt;$JT$9,0,各项系数!$F$76/4*($NE141^2-$NC141^2)*10^-2*各项系数!$F$40*10^-3*10^2)*各项系数!$J$4</f>
        <v>0</v>
      </c>
      <c r="JU141" s="123">
        <v>1</v>
      </c>
      <c r="JV141" s="251">
        <f t="shared" si="542"/>
        <v>0</v>
      </c>
      <c r="JW141" s="339">
        <f>JV141*各项系数!$E$40</f>
        <v>0</v>
      </c>
      <c r="JX141" s="364">
        <f>IF($DF141&lt;&gt;$JX$9,0,各项系数!$F$76/4*($NE141^2-$NC141^2)*10^-2*各项系数!$F$38*10^-3*10^2)*各项系数!$J$4</f>
        <v>0</v>
      </c>
      <c r="JY141" s="123">
        <v>1</v>
      </c>
      <c r="JZ141" s="251">
        <f t="shared" si="543"/>
        <v>0</v>
      </c>
      <c r="KA141" s="339">
        <f>JZ141*各项系数!$E$38</f>
        <v>0</v>
      </c>
      <c r="KB141" s="364">
        <f>IF($DF141&lt;&gt;$KB$9,0,各项系数!$F$76/4*($NE141^2-$NC141^2)*10^-2*各项系数!$F$41*10^-3*10^2)*各项系数!$J$4</f>
        <v>0</v>
      </c>
      <c r="KC141" s="123">
        <v>1</v>
      </c>
      <c r="KD141" s="251">
        <f t="shared" si="544"/>
        <v>0</v>
      </c>
      <c r="KE141" s="339">
        <f>KD141*各项系数!$E$41</f>
        <v>0</v>
      </c>
      <c r="KF141" s="251">
        <f t="shared" si="545"/>
        <v>0.00608304499213572</v>
      </c>
      <c r="KG141" s="251">
        <f t="shared" si="546"/>
        <v>0.121660899842714</v>
      </c>
      <c r="KH141" s="302">
        <f>各项系数!$F$76/4*($NG141^2-$NE141^2)*10^-2*各项系数!$F$44*10^-3*10^2*各项系数!$J$4*0.75*$U141</f>
        <v>1.51046909434307</v>
      </c>
      <c r="KI141" s="123">
        <v>1</v>
      </c>
      <c r="KJ141" s="251">
        <f t="shared" si="547"/>
        <v>1.51046909434307</v>
      </c>
      <c r="KK141" s="251">
        <f>ROUND(KJ141*各项系数!$E$43,GT141)</f>
        <v>9</v>
      </c>
      <c r="KL141" s="302">
        <f>各项系数!$F$76/4*($NF141^2-$NE141^2)*10^-2*各项系数!$F$46*10^-3*10^2*各项系数!$J$4*PI()/4*R141</f>
        <v>0.0757868758482651</v>
      </c>
      <c r="KM141" s="123">
        <v>1</v>
      </c>
      <c r="KN141" s="251">
        <f t="shared" si="548"/>
        <v>0.0757868758482651</v>
      </c>
      <c r="KO141" s="251">
        <f>KN141*各项系数!$E$46</f>
        <v>5.11561411975789</v>
      </c>
      <c r="KP141" s="302">
        <f>各项系数!$F$76/4*($NH141^2-$NE141^2)*10^-2*(VLOOKUP($KP$9,各项系数!$D$1:$F$143,3,0))*10^-3*10^2*各项系数!$J$4</f>
        <v>0.72309028451601</v>
      </c>
      <c r="KQ141" s="123">
        <v>1</v>
      </c>
      <c r="KR141" s="251">
        <f t="shared" ref="KR141:KR204" si="657">KQ141*KP141</f>
        <v>0.72309028451601</v>
      </c>
      <c r="KS141" s="251">
        <f>KR141*(VLOOKUP($KP$9,各项系数!$D$1:$F$143,2,0))</f>
        <v>12.2925348367722</v>
      </c>
      <c r="KT141" s="302">
        <f>各项系数!$F$76/4*($NI141^2-$NF141^2)*10^-2*(VLOOKUP($KT$9,各项系数!$D$1:$F$143,3,0))*10^-3*10^2*各项系数!$J$4</f>
        <v>0.725120859210842</v>
      </c>
      <c r="KU141" s="123">
        <v>1</v>
      </c>
      <c r="KV141" s="251">
        <f t="shared" ref="KV141:KV204" si="658">KU141*KT141</f>
        <v>0.725120859210842</v>
      </c>
      <c r="KW141" s="251">
        <f>KV141*(VLOOKUP($KT$9,各项系数!$D$1:$F$143,2,0))</f>
        <v>12.3270546065843</v>
      </c>
      <c r="KX141" s="251">
        <f>各项系数!$F$76/4*($NH141^2-$NE141^2)*10^-2*(VLOOKUP($KX$9,各项系数!$D$1:$F$143,3,0))*10^-3*10^2*各项系数!$J$4</f>
        <v>0.72309028451601</v>
      </c>
      <c r="KY141" s="479">
        <v>1</v>
      </c>
      <c r="KZ141" s="251">
        <f t="shared" ref="KZ141:KZ204" si="659">KY141*KX141</f>
        <v>0.72309028451601</v>
      </c>
      <c r="LA141" s="251">
        <f>KZ141*(VLOOKUP($KX$9,各项系数!$D$1:$F$143,2,0))</f>
        <v>12.2925348367722</v>
      </c>
      <c r="LB141" s="251">
        <f>各项系数!$F$76/4*($NI141^2-$NF141^2)*10^-2*(VLOOKUP($LB$9,各项系数!$D$1:$F$143,3,0))*10^-3*10^2*各项系数!$J$4</f>
        <v>0.725120859210842</v>
      </c>
      <c r="LC141" s="479">
        <v>1</v>
      </c>
      <c r="LD141" s="251">
        <f t="shared" ref="LD141:LD204" si="660">LC141*LB141</f>
        <v>0.725120859210842</v>
      </c>
      <c r="LE141" s="251">
        <f>LD141*(VLOOKUP($LB$9,各项系数!$D$1:$F$143,2,0))</f>
        <v>12.3270546065843</v>
      </c>
      <c r="LF141" s="302">
        <f>各项系数!$F$76/4*($NH141^2-$NE141^2)*10^-2*(VLOOKUP(AN141,各项系数!$D$1:$F$143,3,0))*10^-3*10^2*各项系数!$J$4</f>
        <v>0.733063943612782</v>
      </c>
      <c r="LG141" s="123">
        <v>1</v>
      </c>
      <c r="LH141" s="251">
        <f t="shared" si="549"/>
        <v>0.733063943612782</v>
      </c>
      <c r="LI141" s="251">
        <f>LH141*(VLOOKUP(AN141,各项系数!$D$1:$F$143,2,0))</f>
        <v>7.33063943612782</v>
      </c>
      <c r="LJ141" s="302">
        <f>各项系数!$F$76/4*($NI141^2-$NF141^2)*10^-2*(VLOOKUP(AN141,各项系数!$D$1:$F$143,3,0))*10^-3*10^2*各项系数!$J$4</f>
        <v>0.73512252623444</v>
      </c>
      <c r="LK141" s="123">
        <v>1</v>
      </c>
      <c r="LL141" s="251">
        <f t="shared" si="550"/>
        <v>0.73512252623444</v>
      </c>
      <c r="LM141" s="251">
        <f>LL141*(VLOOKUP(AN141,各项系数!$D$1:$F$143,2,0))</f>
        <v>7.3512252623444</v>
      </c>
      <c r="LN141" s="251">
        <f>各项系数!$F$76/4*($NH141^2-$NE141^2)*10^-2*(VLOOKUP($LN$9,各项系数!$D$1:$F$143,3,0))*10^-3*10^2*各项系数!$J$4</f>
        <v>0.733063943612782</v>
      </c>
      <c r="LO141" s="479">
        <v>1</v>
      </c>
      <c r="LP141" s="251">
        <f t="shared" si="551"/>
        <v>0.733063943612782</v>
      </c>
      <c r="LQ141" s="251">
        <f>LP141*(VLOOKUP($LN$9,各项系数!$D$1:$F$143,2,0))</f>
        <v>8.06370337974061</v>
      </c>
      <c r="LR141" s="251">
        <f>各项系数!$F$76/4*($NI141^2-$NF141^2)*10^-2*(VLOOKUP($LR$9,各项系数!$D$1:$F$143,3,0))*10^-3*10^2*各项系数!$J$4</f>
        <v>0.73512252623444</v>
      </c>
      <c r="LS141" s="479">
        <v>1</v>
      </c>
      <c r="LT141" s="251">
        <f t="shared" si="552"/>
        <v>0.73512252623444</v>
      </c>
      <c r="LU141" s="251">
        <f>LT141*(VLOOKUP($LR$9,各项系数!$D$1:$F$143,2,0))</f>
        <v>8.08634778857884</v>
      </c>
      <c r="LV141" s="499">
        <f t="shared" ref="LV141:LV204" si="661">ROUND(PI()*MJ141*MJ141/4*EG141,8)</f>
        <v>924.75306988</v>
      </c>
      <c r="LW141" s="499">
        <f t="shared" ref="LW141:LW204" si="662">ROUND(PI()*ROUND($EJ141*10^-2,8)^2/4*$EG141*$EH141,8)</f>
        <v>698.28293032</v>
      </c>
      <c r="LX141" s="499">
        <f t="shared" ref="LX141:LX204" si="663">SQRT(LW141/PI()*4)</f>
        <v>29.8174687104216</v>
      </c>
      <c r="LY141" s="515">
        <f t="shared" ref="LY141:LY204" si="664">LV141-LW141</f>
        <v>226.47013956</v>
      </c>
      <c r="LZ141" s="516">
        <f t="shared" si="608"/>
        <v>1</v>
      </c>
      <c r="MA141" s="517">
        <f t="shared" si="609"/>
        <v>924.75306988</v>
      </c>
      <c r="MB141" s="517">
        <f t="shared" ref="MB141:MB204" si="665">ROUND(SQRT(MA141/EG141/PI()*4),8)</f>
        <v>17.15686581</v>
      </c>
      <c r="MC141" s="499">
        <f t="shared" ref="MC141:MC204" si="666">ROUND(PI()*ML141*ML141/4*EO141,8)</f>
        <v>117.94354749</v>
      </c>
      <c r="MD141" s="499">
        <f t="shared" ref="MD141:MD204" si="667">ROUND(PI()*ROUND($ER141*10^-2,8)^2/4*$EO141*$EP141,8)</f>
        <v>89.63709639</v>
      </c>
      <c r="ME141" s="499">
        <f t="shared" ref="ME141:ME204" si="668">SQRT(MD141/PI()*4)</f>
        <v>10.6831407272855</v>
      </c>
      <c r="MF141" s="499">
        <f t="shared" ref="MF141:MF204" si="669">MC141-MD141</f>
        <v>28.3064511</v>
      </c>
      <c r="MG141" s="516">
        <f t="shared" ref="MG141:MG204" si="670">$MG$8</f>
        <v>1</v>
      </c>
      <c r="MH141" s="517">
        <f t="shared" si="610"/>
        <v>117.94354749</v>
      </c>
      <c r="MI141" s="517">
        <f t="shared" ref="MI141:MI204" si="671">IF(EK141=0,0,SQRT(MH141/EO141/PI()*4))</f>
        <v>12.2544028296208</v>
      </c>
      <c r="MJ141" s="251">
        <f t="shared" si="611"/>
        <v>17.15686581</v>
      </c>
      <c r="MK141" s="251">
        <f t="shared" ref="MK141:MK204" si="672">ROUND((1-$H141)^(1/2)*$MB141,8)</f>
        <v>17.15686581</v>
      </c>
      <c r="ML141" s="251">
        <f t="shared" si="553"/>
        <v>12.2544028293856</v>
      </c>
      <c r="MM141" s="251">
        <f t="shared" si="612"/>
        <v>12.2544028296208</v>
      </c>
      <c r="MN141" s="251">
        <f t="shared" si="613"/>
        <v>20.35686581</v>
      </c>
      <c r="MO141" s="251">
        <f t="shared" ref="MO141:MO204" si="673">IF(MM141=0,0,MM141+N141*2)</f>
        <v>14.4544028296208</v>
      </c>
      <c r="MP141" s="251">
        <f t="shared" ref="MP141:MP204" si="674">ROUND($ET141*($EG141*MN141+$EO141*MO141)/$ES141,8)</f>
        <v>51.77620768</v>
      </c>
      <c r="MQ141" s="251">
        <f t="shared" si="554"/>
        <v>51.77620768</v>
      </c>
      <c r="MR141" s="314">
        <f t="shared" ref="MR141:MR204" si="675">IF(FR141=0,MQ141,ROUND(SQRT((PI()*MQ141*MQ141/4-(FR141-FT141))*4/PI()),8))</f>
        <v>51.77620768</v>
      </c>
      <c r="MS141" s="530">
        <f t="shared" si="614"/>
        <v>51.95220768</v>
      </c>
      <c r="MT141" s="530">
        <f t="shared" si="615"/>
        <v>52.11220768</v>
      </c>
      <c r="MU141" s="530">
        <f t="shared" si="616"/>
        <v>53.45220768</v>
      </c>
      <c r="MV141" s="530">
        <f t="shared" si="617"/>
        <v>57.55220768</v>
      </c>
      <c r="MW141" s="530">
        <f t="shared" si="618"/>
        <v>57.71220768</v>
      </c>
      <c r="MX141" s="326">
        <f t="shared" si="619"/>
        <v>17.75686581</v>
      </c>
      <c r="MY141" s="326">
        <f t="shared" si="620"/>
        <v>12.8544028296208</v>
      </c>
      <c r="MZ141" s="251">
        <f t="shared" si="621"/>
        <v>20.95686581</v>
      </c>
      <c r="NA141" s="251">
        <f t="shared" si="622"/>
        <v>16.0544028296208</v>
      </c>
      <c r="NB141" s="251">
        <f t="shared" ref="NB141:NB204" si="676">ROUND($ET141*($EG141*MZ141+$EO141*NA141)/$ES141,8)</f>
        <v>53.93620768</v>
      </c>
      <c r="NC141" s="326">
        <f t="shared" si="555"/>
        <v>53.93620768</v>
      </c>
      <c r="ND141" s="314">
        <f t="shared" ref="ND141:ND204" si="677">IF(IY141=0,NC141,ROUND(SQRT((PI()*NC141*NC141/4-(IY141-JA141))*4/PI()),8))</f>
        <v>53.93620768</v>
      </c>
      <c r="NE141" s="537">
        <f t="shared" ref="NE141:NE204" si="678">ND141+3*O141</f>
        <v>54.17620768</v>
      </c>
      <c r="NF141" s="530">
        <f t="shared" si="623"/>
        <v>54.33620768</v>
      </c>
      <c r="NG141" s="538">
        <f t="shared" si="624"/>
        <v>55.67620768</v>
      </c>
      <c r="NH141" s="326">
        <f t="shared" si="625"/>
        <v>59.77620768</v>
      </c>
      <c r="NI141" s="530">
        <f t="shared" si="626"/>
        <v>59.93620768</v>
      </c>
      <c r="NK141" s="539">
        <f t="shared" si="627"/>
        <v>9.06847099560004</v>
      </c>
      <c r="NL141" s="539">
        <f t="shared" si="628"/>
        <v>478.009668958109</v>
      </c>
      <c r="NM141" s="539">
        <f t="shared" si="629"/>
        <v>9.06847099560004</v>
      </c>
      <c r="NN141" s="539">
        <f t="shared" si="630"/>
        <v>478.71411860328</v>
      </c>
      <c r="NO141" s="539">
        <f t="shared" si="631"/>
        <v>11.9732560545246</v>
      </c>
      <c r="NP141" s="539">
        <f t="shared" si="632"/>
        <v>483.668287556473</v>
      </c>
      <c r="NQ141" s="539">
        <f t="shared" si="633"/>
        <v>11.9732560545246</v>
      </c>
      <c r="NR141" s="539">
        <f t="shared" si="634"/>
        <v>484.401351500086</v>
      </c>
      <c r="NS141" s="539">
        <f t="shared" si="635"/>
        <v>9.14115131426169</v>
      </c>
      <c r="NT141" s="539">
        <f t="shared" si="636"/>
        <v>9.14115131426169</v>
      </c>
      <c r="NU141" s="539">
        <f t="shared" si="637"/>
        <v>12.0490429303728</v>
      </c>
      <c r="NV141" s="539">
        <f t="shared" si="638"/>
        <v>12.0490429303728</v>
      </c>
      <c r="NW141">
        <f t="shared" si="639"/>
        <v>10.0346771021405</v>
      </c>
      <c r="NX141">
        <f>各项系数!$M$9*NK141</f>
        <v>2.72054129868001</v>
      </c>
      <c r="NY141">
        <f t="shared" si="640"/>
        <v>9.14115131426169</v>
      </c>
    </row>
    <row r="142" customHeight="1" spans="1:389">
      <c r="A142" s="85"/>
      <c r="B142" s="86"/>
      <c r="C142" s="218"/>
      <c r="D142" s="123" t="s">
        <v>423</v>
      </c>
      <c r="E142" s="77">
        <f t="shared" ref="E142:E147" si="679">MV142</f>
        <v>66.38072901</v>
      </c>
      <c r="F142" s="84">
        <f>$F$30</f>
        <v>246.701228113631</v>
      </c>
      <c r="G142" s="74"/>
      <c r="H142" s="23"/>
      <c r="I142" s="174">
        <f>$F$27</f>
        <v>244.921136962963</v>
      </c>
      <c r="J142" s="78"/>
      <c r="K142" s="23"/>
      <c r="L142" s="118" t="s">
        <v>467</v>
      </c>
      <c r="M142" s="124">
        <f t="shared" si="582"/>
        <v>1.7</v>
      </c>
      <c r="N142" s="124">
        <f t="shared" si="583"/>
        <v>1.2</v>
      </c>
      <c r="O142" s="69">
        <f t="shared" si="580"/>
        <v>0.08</v>
      </c>
      <c r="P142" s="120">
        <v>0.1</v>
      </c>
      <c r="Q142" s="162">
        <f t="shared" si="578"/>
        <v>0.1</v>
      </c>
      <c r="R142" s="86">
        <v>0.8</v>
      </c>
      <c r="S142" s="171" t="str">
        <f>各项系数!$D$43</f>
        <v>钢带</v>
      </c>
      <c r="T142" s="123">
        <v>0.5</v>
      </c>
      <c r="U142" s="123">
        <v>2</v>
      </c>
      <c r="V142" s="169"/>
      <c r="W142" s="170">
        <v>3.1</v>
      </c>
      <c r="X142" s="164">
        <f t="shared" si="579"/>
        <v>0.2</v>
      </c>
      <c r="Y142" s="219"/>
      <c r="Z142" s="220"/>
      <c r="AA142" s="217">
        <f>$AA$30</f>
        <v>1.015</v>
      </c>
      <c r="AB142" s="186">
        <f>PI()*EJ142*EJ142/4*EH142*(1-H142)*AA142*各项系数!$F$5*各项系数!$J$4*10^-7</f>
        <v>2.05998769246807</v>
      </c>
      <c r="AC142" s="186">
        <f t="shared" si="573"/>
        <v>246.701228113631</v>
      </c>
      <c r="AD142" s="186">
        <f t="shared" si="584"/>
        <v>232.884070800354</v>
      </c>
      <c r="AE142" s="186">
        <f>POWER(4*EU142/PI()/EG142/10^-7/EH142/(1-H142)/各项系数!$F$5/各项系数!$J$4,0.5)</f>
        <v>248.544600408187</v>
      </c>
      <c r="AF142" s="218">
        <f>$AA$27</f>
        <v>1.013</v>
      </c>
      <c r="AG142" s="85">
        <f>IF(EM142=0,0,PI()*ER142*ER142/4*EP142*(1-K142)*(1+AF142)*各项系数!$F$5*各项系数!$J$4*10^-7)</f>
        <v>2.01336388138923</v>
      </c>
      <c r="AH142" s="85">
        <f t="shared" si="574"/>
        <v>244.921136962963</v>
      </c>
      <c r="AI142" s="85">
        <f t="shared" si="641"/>
        <v>114.541562217361</v>
      </c>
      <c r="AJ142" s="85">
        <f>IF(OR(EP142="",EP142=0),0,POWER(4*EW142/PI()/EO142/10^-7/EP142/(1-K142)/各项系数!$F$5/各项系数!$J$4,0.5))</f>
        <v>246.50798375415</v>
      </c>
      <c r="AK142" s="85">
        <f t="shared" si="585"/>
        <v>9.25313388554405</v>
      </c>
      <c r="AL142" s="85">
        <f t="shared" si="575"/>
        <v>643.669822859772</v>
      </c>
      <c r="AM142" s="250">
        <f t="shared" si="576"/>
        <v>240</v>
      </c>
      <c r="AN142" s="118" t="s">
        <v>486</v>
      </c>
      <c r="AO142" s="259">
        <f>AP142+各项系数!$M$9*$NK142</f>
        <v>631.048845940953</v>
      </c>
      <c r="AP142" s="259">
        <f>AQ142*(1+$BI142+(VLOOKUP($AM142,$A$12:$B$323,2,0))+各项系数!$J$6+各项系数!$M$5)*(1+$E$2)</f>
        <v>627.496316027491</v>
      </c>
      <c r="AQ142" s="260">
        <f>AR142+各项系数!$L$9*$NK142</f>
        <v>640.302363293358</v>
      </c>
      <c r="AR142" s="260">
        <f>AS142*(1+$BJ142+各项系数!$J$5+各项系数!$L$5)</f>
        <v>636.749833379896</v>
      </c>
      <c r="AS142" s="260">
        <f t="shared" si="642"/>
        <v>624.26454252931</v>
      </c>
      <c r="AT142" s="259">
        <f>AU142+各项系数!$M$9*$NM142</f>
        <v>637.147801224153</v>
      </c>
      <c r="AU142" s="259">
        <f>AV142*(1+$BI142+(VLOOKUP($AM142,$A$12:$B$323,2,0))+各项系数!$J$6+各项系数!$M$5)*(1+$E$2)</f>
        <v>633.595271310691</v>
      </c>
      <c r="AV142" s="260">
        <f>AW142+各项系数!$L$9*$NM142</f>
        <v>646.525787051726</v>
      </c>
      <c r="AW142" s="260">
        <f>AX142*(1+$BJ142+各项系数!$J$5+各项系数!$L$5)</f>
        <v>642.973257138264</v>
      </c>
      <c r="AX142" s="260">
        <f t="shared" si="643"/>
        <v>630.365938370847</v>
      </c>
      <c r="AY142" s="259">
        <f>AZ142+各项系数!$M$9*$NS142</f>
        <v>636.801112933391</v>
      </c>
      <c r="AZ142" s="259">
        <f>BA142*(1+$BI142+(VLOOKUP($AM142,$A$12:$B$214,2,0))+各项系数!$J$6+各项系数!$M$5)*(1+$E$2)</f>
        <v>633.22333076263</v>
      </c>
      <c r="BA142" s="260">
        <f>BB142+各项系数!$L$9*$NS142</f>
        <v>646.146255880235</v>
      </c>
      <c r="BB142" s="260">
        <f>BC142*(1+$BJ142+各项系数!$J$5+各项系数!$L$5)</f>
        <v>642.568473709474</v>
      </c>
      <c r="BC142" s="262">
        <f t="shared" si="644"/>
        <v>629.969091872033</v>
      </c>
      <c r="BD142" s="259">
        <f>BE142+各项系数!$M$9*$NS142</f>
        <v>642.915488911968</v>
      </c>
      <c r="BE142" s="259">
        <f>BF142*(1+$BI142+(VLOOKUP($AM142,$A$12:$B$214,2,0))+各项系数!$J$6+各项系数!$M$5)*(1+$E$2)</f>
        <v>639.337706741208</v>
      </c>
      <c r="BF142" s="260">
        <f>BG142+各项系数!$L$9*$NS142</f>
        <v>652.385415042049</v>
      </c>
      <c r="BG142" s="260">
        <f>BH142*(1+$BJ142+各项系数!$J$5+各项系数!$L$5)</f>
        <v>648.807632871288</v>
      </c>
      <c r="BH142" s="262">
        <f t="shared" si="645"/>
        <v>636.085914579694</v>
      </c>
      <c r="BI142" s="277"/>
      <c r="BJ142" s="272"/>
      <c r="BK142" s="69" t="s">
        <v>514</v>
      </c>
      <c r="BL142" s="259">
        <f>BM142+各项系数!$M$9*$NM142</f>
        <v>638.076523982845</v>
      </c>
      <c r="BM142" s="259">
        <f>BN142*(1+$CF142+(VLOOKUP($AM142,$A$12:$B$323,2,0))+各项系数!$J$6+各项系数!$M$5)*(1+$E$2)</f>
        <v>634.523994069383</v>
      </c>
      <c r="BN142" s="260">
        <f>BO142+各项系数!$L$9*$NM142</f>
        <v>647.473463336105</v>
      </c>
      <c r="BO142" s="260">
        <f>BP142*(1+$CG142+各项系数!$J$5+各项系数!$L$5)</f>
        <v>643.920933422644</v>
      </c>
      <c r="BP142" s="260">
        <f t="shared" si="646"/>
        <v>625.165954779266</v>
      </c>
      <c r="BQ142" s="259">
        <f>BR142+各项系数!$M$9*$NM142</f>
        <v>643.325387420187</v>
      </c>
      <c r="BR142" s="259">
        <f>BS142*(1+$CF142+(VLOOKUP($AM142,$A$12:$B$323,2,0))+各项系数!$J$6+各项系数!$M$5)*(1+$E$2)</f>
        <v>639.772857506725</v>
      </c>
      <c r="BS142" s="260">
        <f>BT142+各项系数!$L$9*$NM142</f>
        <v>652.829446435434</v>
      </c>
      <c r="BT142" s="260">
        <f>BU142*(1+$CG142+各项系数!$J$5+各项系数!$L$5)</f>
        <v>649.276916521972</v>
      </c>
      <c r="BU142" s="260">
        <f t="shared" si="647"/>
        <v>630.365938370847</v>
      </c>
      <c r="BV142" s="259">
        <f>BW142+各项系数!$M$9*$NT142</f>
        <v>640.388867735597</v>
      </c>
      <c r="BW142" s="259">
        <f>BX142*(1+$CF142+(VLOOKUP($AM142,$A$12:$B$214,2,0))+各项系数!$J$6+各项系数!$M$5)*(1+$E$2)</f>
        <v>636.811085564837</v>
      </c>
      <c r="BX142" s="260">
        <f>BY142+各项系数!$L$9*$NT$12</f>
        <v>649.8072301682</v>
      </c>
      <c r="BY142" s="260">
        <f>BZ142*(1+$CG142+各项系数!$J$5+各项系数!$L$5)</f>
        <v>649.798966765046</v>
      </c>
      <c r="BZ142" s="262">
        <f t="shared" si="586"/>
        <v>630.872783267034</v>
      </c>
      <c r="CA142" s="259">
        <f>CB142+各项系数!$M$9*$NT142</f>
        <v>645.651002482596</v>
      </c>
      <c r="CB142" s="259">
        <f>CC142*(1+$CF142+(VLOOKUP($AM142,$A$12:$B$214,2,0))+各项系数!$J$6+各项系数!$M$5)*(1+$E$2)</f>
        <v>642.073220311835</v>
      </c>
      <c r="CC142" s="260">
        <f>CD142+各项系数!$L$9*$NT$12</f>
        <v>655.17675542024</v>
      </c>
      <c r="CD142" s="260">
        <f>CE142*(1+$CG142+各项系数!$J$5+各项系数!$L$5)</f>
        <v>655.168492017085</v>
      </c>
      <c r="CE142" s="262">
        <f t="shared" si="648"/>
        <v>636.085914579694</v>
      </c>
      <c r="CF142" s="277">
        <f t="shared" si="514"/>
        <v>0</v>
      </c>
      <c r="CG142" s="277">
        <f t="shared" si="587"/>
        <v>0.01</v>
      </c>
      <c r="CH142" s="123"/>
      <c r="CI142" s="259">
        <f>CJ142+各项系数!$M$9*$NO142</f>
        <v>643.811092741574</v>
      </c>
      <c r="CJ142" s="259">
        <f>CK142*(1+$DC142+(VLOOKUP($AM142,$A$12:$B$323,2,0))+各项系数!$J$6+各项系数!$M$5)*(1+$E$2)+各项系数!$M$9*$NK142</f>
        <v>639.114032431794</v>
      </c>
      <c r="CK142" s="260">
        <f>CL142+各项系数!$L$9*$NO142</f>
        <v>648.53214542687</v>
      </c>
      <c r="CL142" s="260">
        <f>CM142*(1+$DD142+各项系数!$J$5+各项系数!$L$5)</f>
        <v>643.835085117089</v>
      </c>
      <c r="CM142" s="260">
        <f t="shared" si="588"/>
        <v>631.210867761852</v>
      </c>
      <c r="CN142" s="259">
        <f>CO142+各项系数!$M$9*$NO142</f>
        <v>649.593373583927</v>
      </c>
      <c r="CO142" s="259">
        <f>CP142*(1+$DC142+(VLOOKUP($AM142,$A$12:$B$323,2,0))+各项系数!$J$6+各项系数!$M$5)*(1+$E$2)+各项系数!$M$9*$NK142</f>
        <v>644.896313274147</v>
      </c>
      <c r="CP142" s="260">
        <f>CQ142+各项系数!$L$9*$NO142</f>
        <v>654.432432000699</v>
      </c>
      <c r="CQ142" s="260">
        <f>CR142*(1+$DD142+各项系数!$J$5+各项系数!$L$5)</f>
        <v>649.735371690919</v>
      </c>
      <c r="CR142" s="260">
        <f t="shared" si="589"/>
        <v>636.995462442077</v>
      </c>
      <c r="CS142" s="259">
        <f>CT142+各项系数!$M$9*$NU142</f>
        <v>646.222283848572</v>
      </c>
      <c r="CT142" s="259">
        <f t="shared" si="590"/>
        <v>641.499039314337</v>
      </c>
      <c r="CU142" s="260">
        <f>CV142+各项系数!$L$9*$NU142</f>
        <v>654.590856443201</v>
      </c>
      <c r="CV142" s="260">
        <f>CW142*(1+$DD142+各项系数!$J$5+各项系数!$L$5)</f>
        <v>649.867611908965</v>
      </c>
      <c r="CW142" s="262">
        <f t="shared" si="591"/>
        <v>637.125109714672</v>
      </c>
      <c r="CX142" s="259">
        <f>CY142+各项系数!$M$9*$NU142</f>
        <v>652.551007492893</v>
      </c>
      <c r="CY142" s="259">
        <f t="shared" si="592"/>
        <v>647.827762958658</v>
      </c>
      <c r="CZ142" s="260">
        <f>DA142+各项系数!$L$9*$NU142</f>
        <v>661.048737712916</v>
      </c>
      <c r="DA142" s="260">
        <f>DB142*(1+$DD142+各项系数!$J$5+各项系数!$L$5)</f>
        <v>656.325493178681</v>
      </c>
      <c r="DB142" s="262">
        <f t="shared" si="593"/>
        <v>643.456365861452</v>
      </c>
      <c r="DC142" s="277">
        <f t="shared" si="571"/>
        <v>0</v>
      </c>
      <c r="DD142" s="277">
        <f t="shared" si="594"/>
        <v>0</v>
      </c>
      <c r="DE142" s="69" t="s">
        <v>498</v>
      </c>
      <c r="DF142" s="69" t="s">
        <v>513</v>
      </c>
      <c r="DG142" s="259">
        <f>DH142+各项系数!$M$9*$NQ142</f>
        <v>650.938822679969</v>
      </c>
      <c r="DH142" s="259">
        <f>DI142*(1+$EA142+(VLOOKUP($AM142,$A$12:$B$323,2,0))+各项系数!$J$6+各项系数!$M$5)*(1+$E$2)+各项系数!$M$9*$NK142</f>
        <v>646.241762370188</v>
      </c>
      <c r="DI142" s="260">
        <f>DJ142+各项系数!$L$9*$NQ142</f>
        <v>655.805339241557</v>
      </c>
      <c r="DJ142" s="260">
        <f>DK142*(1+$EB142+各项系数!$J$5+各项系数!$L$5)</f>
        <v>651.108278931777</v>
      </c>
      <c r="DK142" s="260">
        <f t="shared" si="595"/>
        <v>632.143960127939</v>
      </c>
      <c r="DL142" s="259">
        <f>DM142+各项系数!$M$9*$NQ142</f>
        <v>656.372157321535</v>
      </c>
      <c r="DM142" s="259">
        <f>DN142*(1+$EA142+(VLOOKUP($AM142,$A$12:$B$323,2,0))+各项系数!$J$6+各项系数!$M$5)*(1+$E$2)+各项系数!$M$9*$NK142</f>
        <v>651.675097011754</v>
      </c>
      <c r="DN142" s="260">
        <f>DO142+各项系数!$L$9*$NQ142</f>
        <v>661.349558263564</v>
      </c>
      <c r="DO142" s="260">
        <f>DP142*(1+$EB142+各项系数!$J$5+各项系数!$L$5)</f>
        <v>656.652497953783</v>
      </c>
      <c r="DP142" s="260">
        <f t="shared" si="596"/>
        <v>637.526697042508</v>
      </c>
      <c r="DQ142" s="259">
        <f>DR142+各项系数!$M$9*$NV142</f>
        <v>653.410273927113</v>
      </c>
      <c r="DR142" s="259">
        <f t="shared" si="597"/>
        <v>648.687029392877</v>
      </c>
      <c r="DS142" s="260">
        <f>DT142+各项系数!$L$9*$NV142</f>
        <v>661.925540196814</v>
      </c>
      <c r="DT142" s="260">
        <f>DU142*(1+$EB142+各项系数!$J$5+各项系数!$L$5)</f>
        <v>657.202295662578</v>
      </c>
      <c r="DU142" s="262">
        <f t="shared" si="598"/>
        <v>638.060481225804</v>
      </c>
      <c r="DV142" s="259">
        <f>DW142+各项系数!$M$9*$NV142</f>
        <v>652.114468030237</v>
      </c>
      <c r="DW142" s="259">
        <f t="shared" si="599"/>
        <v>647.391223496002</v>
      </c>
      <c r="DX142" s="260">
        <f>DY142+各项系数!$L$9*$NV142</f>
        <v>660.603289281635</v>
      </c>
      <c r="DY142" s="260">
        <f>DZ142*(1+$EB142+各项系数!$J$5+各项系数!$L$5)</f>
        <v>655.880044747399</v>
      </c>
      <c r="DZ142" s="262">
        <f t="shared" si="600"/>
        <v>636.776742473203</v>
      </c>
      <c r="EA142" s="277">
        <f t="shared" si="581"/>
        <v>0</v>
      </c>
      <c r="EB142" s="277">
        <f t="shared" si="601"/>
        <v>0.01</v>
      </c>
      <c r="EC142" s="302" t="str">
        <f t="shared" si="649"/>
        <v>4+1</v>
      </c>
      <c r="ED142" s="302" t="str">
        <f t="shared" ref="ED142:ED157" si="680">IF(COUNTIF($D142,"*+*")&gt;0,MID($D142,1,FIND("+",$D142)-1),MID($D142,1,LEN($D142)))</f>
        <v>4*240</v>
      </c>
      <c r="EE142" s="251">
        <f t="shared" si="495"/>
        <v>240</v>
      </c>
      <c r="EF142" s="251" t="str">
        <f>LOOKUP(EH142,{1,7,10,14,19,24,30,37,48,61},{1,"1+6","2+8","4+10","1+6+12","2+8+14","4+10+16","1+6+12+18","3+9+15+21","1+6+12+18+24"})</f>
        <v>3+9+15+21</v>
      </c>
      <c r="EG142" s="250">
        <f t="shared" si="602"/>
        <v>4</v>
      </c>
      <c r="EH142" s="260">
        <f>VLOOKUP(EE142,各项系数!$B$87:$C$124,2,0)</f>
        <v>48</v>
      </c>
      <c r="EI142" s="250">
        <f>IF(EH142=0,0,VLOOKUP(EH142,各项系数!$D$142:$E$195,2,0))*1</f>
        <v>8.15</v>
      </c>
      <c r="EJ142" s="305">
        <f t="shared" si="650"/>
        <v>246.701228113631</v>
      </c>
      <c r="EK142" s="251" t="str">
        <f t="shared" ref="EK142:EK147" si="681">IF(COUNTIF($D142,"*+*")&gt;0,MID($D142,FIND("+",$D142)+1,LEN($D142)),0)</f>
        <v>1*120</v>
      </c>
      <c r="EL142" s="251" t="str">
        <f t="shared" si="603"/>
        <v>120</v>
      </c>
      <c r="EM142" s="251">
        <f t="shared" ref="EM142:EM147" si="682">EL142/1</f>
        <v>120</v>
      </c>
      <c r="EN142" s="251" t="str">
        <f>IF(EP142=0,0,LOOKUP(EP142,{1,7,10,14,19,24,30,37,48,61},{1,"1+6","2+8","4+10","1+6+12","2+8+14","4+10+16","1+6+12+18","3+9+15+21","1+6+12+18+24"}))</f>
        <v>2+8+14</v>
      </c>
      <c r="EO142" s="251" t="str">
        <f t="shared" ref="EO142:EO147" si="683">IF(EK142=0,0,MID(EK142,1,1))</f>
        <v>1</v>
      </c>
      <c r="EP142" s="251">
        <f>IF(EM142=0,0,IF(EM142&lt;10,1,IF(AND(EM142&gt;=10,EM142&lt;=35),7,LOOKUP(EM142,{50,70,95,120,150,185,240,300},{10,14,19,24,30,37,48,61})*1)))</f>
        <v>24</v>
      </c>
      <c r="EQ142" s="251">
        <f>IF(EP142=0,0,VLOOKUP(EP142,各项系数!$D$142:$E$195,2,0))*1</f>
        <v>6</v>
      </c>
      <c r="ER142" s="251">
        <f t="shared" si="577"/>
        <v>244.921136962963</v>
      </c>
      <c r="ES142" s="302">
        <f t="shared" ref="ES142:ES147" si="684">EO142+EG142</f>
        <v>5</v>
      </c>
      <c r="ET142" s="251">
        <f>VLOOKUP(ES142,各项系数!$D$142:$E$195,2,0)*1</f>
        <v>2.7</v>
      </c>
      <c r="EU142" s="311">
        <f>((各项系数!$F$76/4*$EJ142^2*$EG142*$EH142*1*10^-7)*(1-$H142)*AA142)*(VLOOKUP($EY$9,各项系数!$D$4:$F$143,3,0))*各项系数!$J$4</f>
        <v>8.23995076987227</v>
      </c>
      <c r="EV142" s="312">
        <f>EU142*(VLOOKUP($EY$9,各项系数!$D$4:$F$143,2,0))</f>
        <v>539.716775426634</v>
      </c>
      <c r="EW142" s="324">
        <f>(IF($EO142=0,0,(各项系数!$F$76/4*$ER142^2*$EO142*$EP142*1*10^-7))*(1-$K142)*$AF142)*(VLOOKUP($EY$9,各项系数!$D$4:$F$143,3,0))*各项系数!$J$4</f>
        <v>1.01318311567178</v>
      </c>
      <c r="EX142" s="325">
        <f>EW142*(VLOOKUP($EY$9,各项系数!$D$4:$F$143,2,0))</f>
        <v>66.3634940765016</v>
      </c>
      <c r="EY142" s="251">
        <f>((各项系数!$F$76/4*$EJ142^2*$EG142*$EH142*1*10^-7)*(1-$H142)*AA142+IF($EO142=0,0,(各项系数!$F$76/4*$ER142^2*$EO142*$EP142*1*10^-7))*(1-$K142)*$AF142)*(VLOOKUP($EY$9,各项系数!$D$4:$F$143,3,0))*各项系数!$J$4</f>
        <v>9.25313388554405</v>
      </c>
      <c r="EZ142" s="123">
        <v>1</v>
      </c>
      <c r="FA142" s="251">
        <f t="shared" si="515"/>
        <v>9.25313388554405</v>
      </c>
      <c r="FB142" s="326">
        <f>FA142*(VLOOKUP($EY$9,各项系数!$D$4:$F$143,2,0))</f>
        <v>606.080269503135</v>
      </c>
      <c r="FC142" s="327"/>
      <c r="FD142" s="302">
        <f>各项系数!$F$76/4*($MN142^2-MK142^2)*10^-2*(VLOOKUP(L142,各项系数!$D$1:$F$143,3,0))*10^-3*10^2*$EG142*各项系数!$J$4</f>
        <v>0.509863059960695</v>
      </c>
      <c r="FE142" s="339">
        <f>FD142*VLOOKUP(L142,各项系数!$D$1:$F$143,2,0)</f>
        <v>5.20060321159909</v>
      </c>
      <c r="FF142" s="250">
        <f>各项系数!$F$76/4*($MO142^2-ML142^2)*10^-2*(VLOOKUP(L142,各项系数!$D$1:$F$143,3,0))*10^-3*10^2*$EO142*各项系数!$J$4</f>
        <v>0.0655865437514609</v>
      </c>
      <c r="FG142" s="339">
        <f>FF142*VLOOKUP(L142,各项系数!$D$1:$F$143,2,0)</f>
        <v>0.668982746264902</v>
      </c>
      <c r="FH142" s="302">
        <f t="shared" si="651"/>
        <v>0.575449603712156</v>
      </c>
      <c r="FI142" s="123">
        <v>1</v>
      </c>
      <c r="FJ142" s="251">
        <f t="shared" si="516"/>
        <v>0.575449603712156</v>
      </c>
      <c r="FK142" s="339">
        <f>FJ142*VLOOKUP(L142,各项系数!$D$1:$F$143,2,0)</f>
        <v>5.86958595786399</v>
      </c>
      <c r="FL142" s="302"/>
      <c r="FM142" s="123"/>
      <c r="FN142" s="251"/>
      <c r="FO142" s="339"/>
      <c r="FP142" s="364">
        <f t="shared" si="517"/>
        <v>0.575449603712156</v>
      </c>
      <c r="FQ142" s="364">
        <f t="shared" si="518"/>
        <v>5.86958595786399</v>
      </c>
      <c r="FR142" s="365">
        <f>各项系数!$F$76/4*($MQ142^2-$MN142^2*$EG142-$MO142^2*$EO142)*10^-2</f>
        <v>8.6249515759592</v>
      </c>
      <c r="FS142" s="366">
        <f t="shared" si="652"/>
        <v>1</v>
      </c>
      <c r="FT142" s="367">
        <f t="shared" si="604"/>
        <v>8.6249515759592</v>
      </c>
      <c r="FU142" s="388">
        <f>$FT142*(VLOOKUP($FT$9,各项系数!$D$1:$F$143,3,0))*10^-3*10^2*各项系数!$J$55</f>
        <v>1.02981921816953</v>
      </c>
      <c r="FV142" s="389">
        <v>1</v>
      </c>
      <c r="FW142" s="390">
        <f t="shared" si="519"/>
        <v>1.02981921816953</v>
      </c>
      <c r="FX142" s="367">
        <f>FW142*(VLOOKUP($FT$9,各项系数!$D$1:$F$143,2,0))</f>
        <v>3.08945765450858</v>
      </c>
      <c r="FY142" s="388">
        <f>IF($BK142&lt;&gt;$FY$9,0,各项系数!$F$76/4*($MS142^2-$MQ142^2)*10^-2*(VLOOKUP($FY$9,各项系数!$D$1:$F$143,3,0))*10^-3*10^2)*各项系数!$J$4</f>
        <v>0</v>
      </c>
      <c r="FZ142" s="389">
        <v>1</v>
      </c>
      <c r="GA142" s="390">
        <f t="shared" si="520"/>
        <v>0</v>
      </c>
      <c r="GB142" s="367">
        <f>GA142*(VLOOKUP($FY$9,各项系数!$D$1:$F$143,2,0))</f>
        <v>0</v>
      </c>
      <c r="GC142" s="388">
        <f>IF($BK142&lt;&gt;$GC$9,0,各项系数!$F$76/4*($MS142^2-$MQ142^2)*10^-2*(VLOOKUP($GC$9,各项系数!$D$1:$F$143,3,0))*10^-3*10^2)*各项系数!$J$4</f>
        <v>0.0163648770732393</v>
      </c>
      <c r="GD142" s="389">
        <v>1</v>
      </c>
      <c r="GE142" s="390">
        <f t="shared" si="521"/>
        <v>0.0163648770732393</v>
      </c>
      <c r="GF142" s="367">
        <f>GE142*(VLOOKUP($GC$9,各项系数!$D$1:$F$143,2,0))</f>
        <v>0.211106914244787</v>
      </c>
      <c r="GG142" s="388">
        <f>IF($BK142&lt;&gt;$GG$9,0,各项系数!$F$76/4*($MS142^2-$MQ142^2)*10^-2*(VLOOKUP($GG$9,各项系数!$D$1:$F$143,3,0))*10^-3*10^2)*各项系数!$J$4</f>
        <v>0</v>
      </c>
      <c r="GH142" s="389">
        <v>1</v>
      </c>
      <c r="GI142" s="390">
        <f t="shared" si="522"/>
        <v>0</v>
      </c>
      <c r="GJ142" s="367">
        <f>GI142*(VLOOKUP($GG$9,各项系数!$D$1:$F$143,2,0))</f>
        <v>0</v>
      </c>
      <c r="GK142" s="388">
        <f>IF($BK142&lt;&gt;$GK$9,0,各项系数!$F$76/4*($MS142^2-$MQ142^2)*10^-2*(VLOOKUP($GK$9,各项系数!$D$1:$F$143,3,0))*10^-3*10^2)*各项系数!$J$4</f>
        <v>0</v>
      </c>
      <c r="GL142" s="389">
        <v>1</v>
      </c>
      <c r="GM142" s="390">
        <f t="shared" si="523"/>
        <v>0</v>
      </c>
      <c r="GN142" s="367">
        <f>GM142*(VLOOKUP($GK$9,各项系数!$D$1:$F$143,2,0))</f>
        <v>0</v>
      </c>
      <c r="GO142" s="390">
        <f t="shared" si="524"/>
        <v>0.0163648770732393</v>
      </c>
      <c r="GP142" s="390">
        <f t="shared" si="525"/>
        <v>0.211106914244787</v>
      </c>
      <c r="GQ142" s="406">
        <f>各项系数!$F$76/4*($MU142^2-$MS142^2)*10^-2*(VLOOKUP($S142,各项系数!$D$1:$F$143,3,0))*10^-3*10^2*各项系数!$J$4</f>
        <v>1.11706216944241</v>
      </c>
      <c r="GR142" s="389">
        <v>1</v>
      </c>
      <c r="GS142" s="390">
        <f t="shared" si="526"/>
        <v>1.11706216944241</v>
      </c>
      <c r="GT142" s="390">
        <f t="shared" si="457"/>
        <v>0</v>
      </c>
      <c r="GU142" s="390">
        <f>ROUND($GS142*(VLOOKUP($S142,各项系数!$D$1:$F$143,2,0))+$E$3*GS142,GT142)</f>
        <v>6</v>
      </c>
      <c r="GV142" s="406">
        <f>各项系数!$F$76/4*($MT142^2-$MS142^2)*10^-2*(VLOOKUP($GV$9,各项系数!$D$1:$F$143,3,0))*10^-3*10^2*各项系数!$J$4*PI()/4*R142</f>
        <v>0.0841741909965852</v>
      </c>
      <c r="GW142" s="389">
        <v>1</v>
      </c>
      <c r="GX142" s="390">
        <f t="shared" si="527"/>
        <v>0.0841741909965852</v>
      </c>
      <c r="GY142" s="390">
        <f>$GX142*(VLOOKUP($GV$9,各项系数!$D$1:$F$143,2,0))</f>
        <v>5.6817578922695</v>
      </c>
      <c r="GZ142" s="406">
        <f>各项系数!$F$76/4*($MV142^2-$MS142^2)*10^-2*(VLOOKUP($GZ$9,各项系数!$D$1:$F$143,3,0))*10^-3*10^2*各项系数!$J$4</f>
        <v>0.889148137711415</v>
      </c>
      <c r="HA142" s="389">
        <v>1</v>
      </c>
      <c r="HB142" s="390">
        <f t="shared" si="653"/>
        <v>0.889148137711415</v>
      </c>
      <c r="HC142" s="390">
        <f>HB142*(VLOOKUP($GZ$9,各项系数!$D$1:$F$143,2,0))</f>
        <v>15.1155183410941</v>
      </c>
      <c r="HD142" s="406">
        <f>各项系数!$F$76/4*($MW142^2-$MT142^2)*10^-2*(VLOOKUP($HD$9,各项系数!$D$1:$F$143,3,0))*10^-3*10^2*各项系数!$J$4</f>
        <v>0.891396273980694</v>
      </c>
      <c r="HE142" s="389">
        <v>1</v>
      </c>
      <c r="HF142" s="390">
        <f t="shared" si="654"/>
        <v>0.891396273980694</v>
      </c>
      <c r="HG142" s="390">
        <f>HF142*(VLOOKUP($HD$9,各项系数!$D$1:$F$143,2,0))</f>
        <v>15.1537366576718</v>
      </c>
      <c r="HH142" s="406">
        <f>各项系数!$F$76/4*($MV142^2-$MS142^2)*10^-2*(VLOOKUP($HH$9,各项系数!$D$1:$F$143,3,0))*10^-3*10^2*各项系数!$J$4</f>
        <v>0.889148137711415</v>
      </c>
      <c r="HI142" s="420">
        <v>1</v>
      </c>
      <c r="HJ142" s="390">
        <f t="shared" si="655"/>
        <v>0.889148137711415</v>
      </c>
      <c r="HK142" s="390">
        <f>HJ142*(VLOOKUP($HH$9,各项系数!$D$1:$F$143,2,0))</f>
        <v>15.1155183410941</v>
      </c>
      <c r="HL142" s="406">
        <f>各项系数!$F$76/4*($MW142^2-$MT142^2)*10^-2*(VLOOKUP($HL$9,各项系数!$D$1:$F$143,3,0))*10^-3*10^2*各项系数!$J$4</f>
        <v>0.891396273980694</v>
      </c>
      <c r="HM142" s="420">
        <v>1</v>
      </c>
      <c r="HN142" s="390">
        <f t="shared" si="605"/>
        <v>0.891396273980694</v>
      </c>
      <c r="HO142" s="390">
        <f>HN142*(VLOOKUP($HL$9,各项系数!$D$1:$F$143,2,0))</f>
        <v>15.1537366576718</v>
      </c>
      <c r="HP142" s="406">
        <f>各项系数!$F$76/4*($MV142^2-$MS142^2)*10^-2*(VLOOKUP(AN142,各项系数!$D$1:$F$143,3,0))*10^-3*10^2*各项系数!$J$4</f>
        <v>0.90141224995571</v>
      </c>
      <c r="HQ142" s="389">
        <v>1</v>
      </c>
      <c r="HR142" s="390">
        <f t="shared" si="528"/>
        <v>0.90141224995571</v>
      </c>
      <c r="HS142" s="390">
        <f>HR142*(VLOOKUP(AN142,各项系数!$D$1:$F$143,2,0))</f>
        <v>9.0141224995571</v>
      </c>
      <c r="HT142" s="406">
        <f>各项系数!$F$76/4*($MW142^2-$MT142^2)*10^-2*(VLOOKUP(AN142,各项系数!$D$1:$F$143,3,0))*10^-3*10^2*各项系数!$J$4</f>
        <v>0.903691395001117</v>
      </c>
      <c r="HU142" s="389">
        <v>1</v>
      </c>
      <c r="HV142" s="390">
        <f t="shared" si="529"/>
        <v>0.903691395001117</v>
      </c>
      <c r="HW142" s="390">
        <f>HV142*(VLOOKUP(AN142,各项系数!$D$1:$F$143,2,0))</f>
        <v>9.03691395001117</v>
      </c>
      <c r="HX142" s="406">
        <f>各项系数!$F$76/4*($MV142^2-$MS142^2)*10^-2*(VLOOKUP($HX$9,各项系数!$D$1:$F$143,3,0))*10^-3*10^2*各项系数!$J$4</f>
        <v>0.90141224995571</v>
      </c>
      <c r="HY142" s="420">
        <v>1</v>
      </c>
      <c r="HZ142" s="390">
        <f t="shared" si="530"/>
        <v>0.90141224995571</v>
      </c>
      <c r="IA142" s="390">
        <f>HZ142*(VLOOKUP($HX$9,各项系数!$D$1:$F$143,2,0))</f>
        <v>9.91553474951281</v>
      </c>
      <c r="IB142" s="406">
        <f>各项系数!$F$76/4*($MW142^2-$MT142^2)*10^-2*(VLOOKUP($IB$9,各项系数!$D$1:$F$143,3,0))*10^-3*10^2*各项系数!$J$4</f>
        <v>0.903691395001117</v>
      </c>
      <c r="IC142" s="420">
        <v>1</v>
      </c>
      <c r="ID142" s="390">
        <f t="shared" si="531"/>
        <v>0.903691395001117</v>
      </c>
      <c r="IE142" s="390">
        <f>ID142*(VLOOKUP($IB$9,各项系数!$D$1:$F$143,2,0))</f>
        <v>9.94060534501229</v>
      </c>
      <c r="IF142" s="429"/>
      <c r="IG142" s="406">
        <f t="shared" si="656"/>
        <v>0.13591015552934</v>
      </c>
      <c r="IH142" s="389">
        <v>1</v>
      </c>
      <c r="II142" s="390">
        <f t="shared" si="532"/>
        <v>0.13591015552934</v>
      </c>
      <c r="IJ142" s="390">
        <f>II142*(VLOOKUP($IG$8,各项系数!$D$1:$F$143,2,0))</f>
        <v>3.3977538882335</v>
      </c>
      <c r="IK142" s="406">
        <f>(各项系数!$F$76/4*($MX142^2-$MK142^2)*$EG142)*10^-2*(VLOOKUP($IG$8,各项系数!$D$1:$F$143,3,0))*10^-3*10^2*各项系数!$J$4</f>
        <v>0.114817089822268</v>
      </c>
      <c r="IL142" s="389">
        <f>IK142*(VLOOKUP($IG$8,各项系数!$D$1:$F$143,2,0))</f>
        <v>2.87042724555669</v>
      </c>
      <c r="IM142" s="390">
        <f>(各项系数!$F$76/4*(($MM142+3*$X142)^2-MM142^2)*$EO142)*10^-2*(VLOOKUP($IG$8,各项系数!$D$1:$F$143,3,0))*10^-3*10^2*各项系数!$J$4</f>
        <v>0.0210930657070723</v>
      </c>
      <c r="IN142" s="389">
        <f>IM142*(VLOOKUP($IG$8,各项系数!$D$1:$F$143,2,0))</f>
        <v>0.527326642676808</v>
      </c>
      <c r="IO142" s="406">
        <f>各项系数!$F$76/4*($MZ142^2-$MX142^2)*10^-2*(VLOOKUP(L142,各项系数!$D$1:$F$143,3,0))*10^-3*10^2*$ES142*各项系数!$J$4</f>
        <v>0.654865038063573</v>
      </c>
      <c r="IP142" s="389">
        <v>1</v>
      </c>
      <c r="IQ142" s="390">
        <f t="shared" si="533"/>
        <v>0.654865038063573</v>
      </c>
      <c r="IR142" s="367">
        <f>IQ142*(VLOOKUP(L142,各项系数!$D$1:$F$143,2,0))</f>
        <v>6.67962338824845</v>
      </c>
      <c r="IS142" s="406">
        <f>IF($L142&lt;&gt;$IS$9,0,各项系数!$F$76/4*($MZ142^2-$MX142^2)*10^-2*各项系数!$F$12*10^-3*10^2)*$ES142*各项系数!$J$4</f>
        <v>0</v>
      </c>
      <c r="IT142" s="389">
        <v>1</v>
      </c>
      <c r="IU142" s="390">
        <f t="shared" si="534"/>
        <v>0</v>
      </c>
      <c r="IV142" s="367">
        <f>IU142*各项系数!$E$12</f>
        <v>0</v>
      </c>
      <c r="IW142" s="388">
        <f t="shared" si="535"/>
        <v>0.654865038063573</v>
      </c>
      <c r="IX142" s="388">
        <f t="shared" si="536"/>
        <v>6.67962338824845</v>
      </c>
      <c r="IY142" s="447">
        <f>各项系数!$F$76/4*($NB142^2-$MZ142^2*$EG142-$NA142^2*$EO142)*10^-2</f>
        <v>9.35027974397252</v>
      </c>
      <c r="IZ142" s="366">
        <f t="shared" si="487"/>
        <v>1</v>
      </c>
      <c r="JA142" s="367">
        <f t="shared" si="606"/>
        <v>9.35027974397252</v>
      </c>
      <c r="JB142" s="364">
        <f>IF($DE142&lt;&gt;$JB$9,0,$JA142*各项系数!$F$32*10^-3*10^2)*各项系数!$J$4</f>
        <v>0</v>
      </c>
      <c r="JC142" s="123">
        <v>1</v>
      </c>
      <c r="JD142" s="251">
        <f t="shared" si="537"/>
        <v>0</v>
      </c>
      <c r="JE142" s="339">
        <f>JD142*各项系数!$E$32</f>
        <v>0</v>
      </c>
      <c r="JF142" s="364">
        <f>IF($DE142&lt;&gt;$JF$9,0,$JA142*VLOOKUP($JF$9,各项系数!$D$4:$F$540,2,0)*10^-3*10^2)*各项系数!$J$4</f>
        <v>4.65176417262633</v>
      </c>
      <c r="JG142" s="123">
        <v>1</v>
      </c>
      <c r="JH142" s="251">
        <f t="shared" si="607"/>
        <v>4.65176417262633</v>
      </c>
      <c r="JI142" s="339">
        <f>JH142*VLOOKUP($JF$9,各项系数!$D$4:$F$540,3,0)</f>
        <v>5.5821170071516</v>
      </c>
      <c r="JJ142" s="364">
        <f t="shared" si="538"/>
        <v>4.65176417262633</v>
      </c>
      <c r="JK142" s="251">
        <f t="shared" si="539"/>
        <v>5.5821170071516</v>
      </c>
      <c r="JL142" s="364">
        <f>IF($DF142&lt;&gt;$JL$9,0,各项系数!$F$76/4*($NE142^2-$NC142^2)*10^-2*各项系数!$F$39*10^-3*10^2)*各项系数!$J$4</f>
        <v>0.00700901571071541</v>
      </c>
      <c r="JM142" s="123">
        <v>1</v>
      </c>
      <c r="JN142" s="251">
        <f t="shared" si="540"/>
        <v>0.00700901571071541</v>
      </c>
      <c r="JO142" s="339">
        <f>JN142*各项系数!$E$39</f>
        <v>0.140180314214308</v>
      </c>
      <c r="JP142" s="364">
        <f>IF($DF142&lt;&gt;$JP$9,0,各项系数!$F$76/4*($NE142^2-$NC142^2)*10^-2*各项系数!$F$36*10^-3*10^2)*各项系数!$J$4</f>
        <v>0</v>
      </c>
      <c r="JQ142" s="123">
        <v>1</v>
      </c>
      <c r="JR142" s="251">
        <f t="shared" si="541"/>
        <v>0</v>
      </c>
      <c r="JS142" s="339">
        <f>JR142*各项系数!$E$36</f>
        <v>0</v>
      </c>
      <c r="JT142" s="364">
        <f>IF($DF142&lt;&gt;$JT$9,0,各项系数!$F$76/4*($NE142^2-$NC142^2)*10^-2*各项系数!$F$40*10^-3*10^2)*各项系数!$J$4</f>
        <v>0</v>
      </c>
      <c r="JU142" s="123">
        <v>1</v>
      </c>
      <c r="JV142" s="251">
        <f t="shared" si="542"/>
        <v>0</v>
      </c>
      <c r="JW142" s="339">
        <f>JV142*各项系数!$E$40</f>
        <v>0</v>
      </c>
      <c r="JX142" s="364">
        <f>IF($DF142&lt;&gt;$JX$9,0,各项系数!$F$76/4*($NE142^2-$NC142^2)*10^-2*各项系数!$F$38*10^-3*10^2)*各项系数!$J$4</f>
        <v>0</v>
      </c>
      <c r="JY142" s="123">
        <v>1</v>
      </c>
      <c r="JZ142" s="251">
        <f t="shared" si="543"/>
        <v>0</v>
      </c>
      <c r="KA142" s="339">
        <f>JZ142*各项系数!$E$38</f>
        <v>0</v>
      </c>
      <c r="KB142" s="364">
        <f>IF($DF142&lt;&gt;$KB$9,0,各项系数!$F$76/4*($NE142^2-$NC142^2)*10^-2*各项系数!$F$41*10^-3*10^2)*各项系数!$J$4</f>
        <v>0</v>
      </c>
      <c r="KC142" s="123">
        <v>1</v>
      </c>
      <c r="KD142" s="251">
        <f t="shared" si="544"/>
        <v>0</v>
      </c>
      <c r="KE142" s="339">
        <f>KD142*各项系数!$E$41</f>
        <v>0</v>
      </c>
      <c r="KF142" s="251">
        <f t="shared" si="545"/>
        <v>0.00700901571071541</v>
      </c>
      <c r="KG142" s="251">
        <f t="shared" si="546"/>
        <v>0.140180314214308</v>
      </c>
      <c r="KH142" s="302">
        <f>各项系数!$F$76/4*($NG142^2-$NE142^2)*10^-2*各项系数!$F$44*10^-3*10^2*各项系数!$J$4*0.75*$U142</f>
        <v>1.73675318869596</v>
      </c>
      <c r="KI142" s="123">
        <v>1</v>
      </c>
      <c r="KJ142" s="251">
        <f t="shared" si="547"/>
        <v>1.73675318869596</v>
      </c>
      <c r="KK142" s="251">
        <f>ROUND(KJ142*各项系数!$E$43,GT142)</f>
        <v>10</v>
      </c>
      <c r="KL142" s="302">
        <f>各项系数!$F$76/4*($NF142^2-$NE142^2)*10^-2*各项系数!$F$46*10^-3*10^2*各项系数!$J$4*PI()/4*R142</f>
        <v>0.0872807481831954</v>
      </c>
      <c r="KM142" s="123">
        <v>1</v>
      </c>
      <c r="KN142" s="251">
        <f t="shared" si="548"/>
        <v>0.0872807481831954</v>
      </c>
      <c r="KO142" s="251">
        <f>KN142*各项系数!$E$46</f>
        <v>5.89145050236569</v>
      </c>
      <c r="KP142" s="302">
        <f>各项系数!$F$76/4*($NH142^2-$NE142^2)*10^-2*(VLOOKUP($KP$9,各项系数!$D$1:$F$143,3,0))*10^-3*10^2*各项系数!$J$4</f>
        <v>0.920397231854399</v>
      </c>
      <c r="KQ142" s="123">
        <v>1</v>
      </c>
      <c r="KR142" s="251">
        <f t="shared" si="657"/>
        <v>0.920397231854399</v>
      </c>
      <c r="KS142" s="251">
        <f>KR142*(VLOOKUP($KP$9,各项系数!$D$1:$F$143,2,0))</f>
        <v>15.6467529415248</v>
      </c>
      <c r="KT142" s="302">
        <f>各项系数!$F$76/4*($NI142^2-$NF142^2)*10^-2*(VLOOKUP($KT$9,各项系数!$D$1:$F$143,3,0))*10^-3*10^2*各项系数!$J$4</f>
        <v>0.922645368123679</v>
      </c>
      <c r="KU142" s="123">
        <v>1</v>
      </c>
      <c r="KV142" s="251">
        <f t="shared" si="658"/>
        <v>0.922645368123679</v>
      </c>
      <c r="KW142" s="251">
        <f>KV142*(VLOOKUP($KT$9,各项系数!$D$1:$F$143,2,0))</f>
        <v>15.6849712581025</v>
      </c>
      <c r="KX142" s="251">
        <f>各项系数!$F$76/4*($NH142^2-$NE142^2)*10^-2*(VLOOKUP($KX$9,各项系数!$D$1:$F$143,3,0))*10^-3*10^2*各项系数!$J$4</f>
        <v>0.920397231854399</v>
      </c>
      <c r="KY142" s="479">
        <v>1</v>
      </c>
      <c r="KZ142" s="251">
        <f t="shared" si="659"/>
        <v>0.920397231854399</v>
      </c>
      <c r="LA142" s="251">
        <f>KZ142*(VLOOKUP($KX$9,各项系数!$D$1:$F$143,2,0))</f>
        <v>15.6467529415248</v>
      </c>
      <c r="LB142" s="251">
        <f>各项系数!$F$76/4*($NI142^2-$NF142^2)*10^-2*(VLOOKUP($LB$9,各项系数!$D$1:$F$143,3,0))*10^-3*10^2*各项系数!$J$4</f>
        <v>0.922645368123679</v>
      </c>
      <c r="LC142" s="479">
        <v>1</v>
      </c>
      <c r="LD142" s="251">
        <f t="shared" si="660"/>
        <v>0.922645368123679</v>
      </c>
      <c r="LE142" s="251">
        <f>LD142*(VLOOKUP($LB$9,各项系数!$D$1:$F$143,2,0))</f>
        <v>15.6849712581025</v>
      </c>
      <c r="LF142" s="302">
        <f>各项系数!$F$76/4*($NH142^2-$NE142^2)*10^-2*(VLOOKUP(AN142,各项系数!$D$1:$F$143,3,0))*10^-3*10^2*各项系数!$J$4</f>
        <v>0.933092366086873</v>
      </c>
      <c r="LG142" s="123">
        <v>1</v>
      </c>
      <c r="LH142" s="251">
        <f t="shared" si="549"/>
        <v>0.933092366086873</v>
      </c>
      <c r="LI142" s="251">
        <f>LH142*(VLOOKUP(AN142,各项系数!$D$1:$F$143,2,0))</f>
        <v>9.33092366086873</v>
      </c>
      <c r="LJ142" s="302">
        <f>各项系数!$F$76/4*($NI142^2-$NF142^2)*10^-2*(VLOOKUP(AN142,各项系数!$D$1:$F$143,3,0))*10^-3*10^2*各项系数!$J$4</f>
        <v>0.935371511132281</v>
      </c>
      <c r="LK142" s="123">
        <v>1</v>
      </c>
      <c r="LL142" s="251">
        <f t="shared" si="550"/>
        <v>0.935371511132281</v>
      </c>
      <c r="LM142" s="251">
        <f>LL142*(VLOOKUP(AN142,各项系数!$D$1:$F$143,2,0))</f>
        <v>9.35371511132281</v>
      </c>
      <c r="LN142" s="251">
        <f>各项系数!$F$76/4*($NH142^2-$NE142^2)*10^-2*(VLOOKUP($LN$9,各项系数!$D$1:$F$143,3,0))*10^-3*10^2*各项系数!$J$4</f>
        <v>0.933092366086873</v>
      </c>
      <c r="LO142" s="479">
        <v>1</v>
      </c>
      <c r="LP142" s="251">
        <f t="shared" si="551"/>
        <v>0.933092366086873</v>
      </c>
      <c r="LQ142" s="251">
        <f>LP142*(VLOOKUP($LN$9,各项系数!$D$1:$F$143,2,0))</f>
        <v>10.2640160269556</v>
      </c>
      <c r="LR142" s="251">
        <f>各项系数!$F$76/4*($NI142^2-$NF142^2)*10^-2*(VLOOKUP($LR$9,各项系数!$D$1:$F$143,3,0))*10^-3*10^2*各项系数!$J$4</f>
        <v>0.935371511132281</v>
      </c>
      <c r="LS142" s="479">
        <v>1</v>
      </c>
      <c r="LT142" s="251">
        <f t="shared" si="552"/>
        <v>0.935371511132281</v>
      </c>
      <c r="LU142" s="251">
        <f>LT142*(VLOOKUP($LR$9,各项系数!$D$1:$F$143,2,0))</f>
        <v>10.2890866224551</v>
      </c>
      <c r="LV142" s="499">
        <f t="shared" si="661"/>
        <v>1270.01167286</v>
      </c>
      <c r="LW142" s="499">
        <f t="shared" si="662"/>
        <v>917.7697363</v>
      </c>
      <c r="LX142" s="499">
        <f t="shared" si="663"/>
        <v>34.1839248948731</v>
      </c>
      <c r="LY142" s="515">
        <f t="shared" si="664"/>
        <v>352.24193656</v>
      </c>
      <c r="LZ142" s="516">
        <f t="shared" si="608"/>
        <v>1</v>
      </c>
      <c r="MA142" s="517">
        <f t="shared" si="609"/>
        <v>1270.01167286</v>
      </c>
      <c r="MB142" s="517">
        <f t="shared" si="665"/>
        <v>20.10615008</v>
      </c>
      <c r="MC142" s="499">
        <f t="shared" si="666"/>
        <v>169.60744652</v>
      </c>
      <c r="MD142" s="499">
        <f t="shared" si="667"/>
        <v>113.07163105</v>
      </c>
      <c r="ME142" s="499">
        <f t="shared" si="668"/>
        <v>11.9986362575321</v>
      </c>
      <c r="MF142" s="499">
        <f t="shared" si="669"/>
        <v>56.53581547</v>
      </c>
      <c r="MG142" s="516">
        <f t="shared" si="670"/>
        <v>1</v>
      </c>
      <c r="MH142" s="517">
        <f t="shared" si="610"/>
        <v>169.60744652</v>
      </c>
      <c r="MI142" s="517">
        <f t="shared" si="671"/>
        <v>14.6952682177229</v>
      </c>
      <c r="MJ142" s="251">
        <f t="shared" si="611"/>
        <v>20.10615008</v>
      </c>
      <c r="MK142" s="251">
        <f t="shared" si="672"/>
        <v>20.10615008</v>
      </c>
      <c r="ML142" s="251">
        <f t="shared" si="553"/>
        <v>14.6952682177778</v>
      </c>
      <c r="MM142" s="251">
        <f t="shared" si="612"/>
        <v>14.6952682177229</v>
      </c>
      <c r="MN142" s="251">
        <f t="shared" si="613"/>
        <v>23.50615008</v>
      </c>
      <c r="MO142" s="251">
        <f t="shared" si="673"/>
        <v>17.0952682177229</v>
      </c>
      <c r="MP142" s="251">
        <f t="shared" si="674"/>
        <v>60.00472901</v>
      </c>
      <c r="MQ142" s="251">
        <f t="shared" si="554"/>
        <v>60.00472901</v>
      </c>
      <c r="MR142" s="314">
        <f t="shared" si="675"/>
        <v>60.00472901</v>
      </c>
      <c r="MS142" s="530">
        <f t="shared" si="614"/>
        <v>60.18072901</v>
      </c>
      <c r="MT142" s="530">
        <f t="shared" si="615"/>
        <v>60.34072901</v>
      </c>
      <c r="MU142" s="530">
        <f t="shared" si="616"/>
        <v>61.68072901</v>
      </c>
      <c r="MV142" s="530">
        <f t="shared" si="617"/>
        <v>66.38072901</v>
      </c>
      <c r="MW142" s="530">
        <f t="shared" si="618"/>
        <v>66.54072901</v>
      </c>
      <c r="MX142" s="326">
        <f t="shared" si="619"/>
        <v>20.70615008</v>
      </c>
      <c r="MY142" s="326">
        <f t="shared" si="620"/>
        <v>15.2952682177229</v>
      </c>
      <c r="MZ142" s="251">
        <f t="shared" si="621"/>
        <v>24.10615008</v>
      </c>
      <c r="NA142" s="251">
        <f t="shared" si="622"/>
        <v>18.6952682177229</v>
      </c>
      <c r="NB142" s="251">
        <f t="shared" si="676"/>
        <v>62.16472901</v>
      </c>
      <c r="NC142" s="326">
        <f t="shared" si="555"/>
        <v>62.16472901</v>
      </c>
      <c r="ND142" s="314">
        <f t="shared" si="677"/>
        <v>62.16472901</v>
      </c>
      <c r="NE142" s="537">
        <f t="shared" si="678"/>
        <v>62.40472901</v>
      </c>
      <c r="NF142" s="530">
        <f t="shared" si="623"/>
        <v>62.56472901</v>
      </c>
      <c r="NG142" s="538">
        <f t="shared" si="624"/>
        <v>63.90472901</v>
      </c>
      <c r="NH142" s="326">
        <f t="shared" si="625"/>
        <v>68.60472901</v>
      </c>
      <c r="NI142" s="530">
        <f t="shared" si="626"/>
        <v>68.76472901</v>
      </c>
      <c r="NK142" s="539">
        <f t="shared" si="627"/>
        <v>11.8417663782061</v>
      </c>
      <c r="NL142" s="539">
        <f t="shared" si="628"/>
        <v>624.933525275575</v>
      </c>
      <c r="NM142" s="539">
        <f t="shared" si="629"/>
        <v>11.8417663782061</v>
      </c>
      <c r="NN142" s="539">
        <f t="shared" si="630"/>
        <v>625.83493752553</v>
      </c>
      <c r="NO142" s="539">
        <f t="shared" si="631"/>
        <v>15.656867699268</v>
      </c>
      <c r="NP142" s="539">
        <f t="shared" si="632"/>
        <v>631.738194404529</v>
      </c>
      <c r="NQ142" s="539">
        <f t="shared" si="633"/>
        <v>15.656867699268</v>
      </c>
      <c r="NR142" s="539">
        <f t="shared" si="634"/>
        <v>632.671286770616</v>
      </c>
      <c r="NS142" s="539">
        <f t="shared" si="635"/>
        <v>11.9259405692027</v>
      </c>
      <c r="NT142" s="539">
        <f t="shared" si="636"/>
        <v>11.9259405692027</v>
      </c>
      <c r="NU142" s="539">
        <f t="shared" si="637"/>
        <v>15.7441484474512</v>
      </c>
      <c r="NV142" s="539">
        <f t="shared" si="638"/>
        <v>15.7441484474512</v>
      </c>
      <c r="NW142">
        <f t="shared" si="639"/>
        <v>12.9588285476486</v>
      </c>
      <c r="NX142">
        <f>各项系数!$M$9*NK142</f>
        <v>3.55252991346184</v>
      </c>
      <c r="NY142">
        <f t="shared" si="640"/>
        <v>11.9259405692027</v>
      </c>
    </row>
    <row r="143" customHeight="1" spans="1:389">
      <c r="A143" s="85"/>
      <c r="B143" s="86"/>
      <c r="C143" s="218"/>
      <c r="D143" s="123" t="s">
        <v>425</v>
      </c>
      <c r="E143" s="77">
        <f t="shared" si="679"/>
        <v>72.13779384</v>
      </c>
      <c r="F143" s="84">
        <f>$F$31</f>
        <v>245.118138379664</v>
      </c>
      <c r="G143" s="74"/>
      <c r="H143" s="23"/>
      <c r="I143" s="174">
        <f>$F$28</f>
        <v>243.335870228497</v>
      </c>
      <c r="J143" s="78"/>
      <c r="K143" s="23"/>
      <c r="L143" s="118" t="s">
        <v>467</v>
      </c>
      <c r="M143" s="124">
        <f t="shared" si="582"/>
        <v>1.8</v>
      </c>
      <c r="N143" s="124">
        <f t="shared" si="583"/>
        <v>1.4</v>
      </c>
      <c r="O143" s="69">
        <f t="shared" si="580"/>
        <v>0.08</v>
      </c>
      <c r="P143" s="120">
        <v>0.1</v>
      </c>
      <c r="Q143" s="162">
        <f t="shared" si="578"/>
        <v>0.1</v>
      </c>
      <c r="R143" s="86">
        <v>0.8</v>
      </c>
      <c r="S143" s="171" t="str">
        <f>各项系数!$D$43</f>
        <v>钢带</v>
      </c>
      <c r="T143" s="123">
        <v>0.5</v>
      </c>
      <c r="U143" s="123">
        <v>2</v>
      </c>
      <c r="V143" s="169"/>
      <c r="W143" s="170">
        <v>3.3</v>
      </c>
      <c r="X143" s="164">
        <f t="shared" si="579"/>
        <v>0.2</v>
      </c>
      <c r="Y143" s="219"/>
      <c r="Z143" s="220"/>
      <c r="AA143" s="217">
        <f>$AA$31</f>
        <v>1.02</v>
      </c>
      <c r="AB143" s="186">
        <f>PI()*EJ143*EJ143/4*EH143*(1-H143)*AA143*各项系数!$F$5*各项系数!$J$4*10^-7</f>
        <v>2.59714160229395</v>
      </c>
      <c r="AC143" s="186">
        <f t="shared" si="573"/>
        <v>245.118138379664</v>
      </c>
      <c r="AD143" s="186">
        <f t="shared" si="584"/>
        <v>293.609962330657</v>
      </c>
      <c r="AE143" s="186">
        <f>POWER(4*EU143/PI()/EG143/10^-7/EH143/(1-H143)/各项系数!$F$5/各项系数!$J$4,0.5)</f>
        <v>247.557184904753</v>
      </c>
      <c r="AF143" s="218">
        <f>$AA$28</f>
        <v>1.015</v>
      </c>
      <c r="AG143" s="85">
        <f>IF(EM143=0,0,PI()*ER143*ER143/4*EP143*(1-K143)*(1+AF143)*各项系数!$F$5*各项系数!$J$4*10^-7)</f>
        <v>2.48669942876503</v>
      </c>
      <c r="AH143" s="85">
        <f t="shared" si="574"/>
        <v>243.335870228497</v>
      </c>
      <c r="AI143" s="85">
        <f t="shared" si="641"/>
        <v>141.608539825376</v>
      </c>
      <c r="AJ143" s="85">
        <f>IF(OR(EP143="",EP143=0),0,POWER(4*EW143/PI()/EO143/10^-7/EP143/(1-K143)/各项系数!$F$5/各项系数!$J$4,0.5))</f>
        <v>245.154096286311</v>
      </c>
      <c r="AK143" s="85">
        <f t="shared" si="585"/>
        <v>11.6411718286281</v>
      </c>
      <c r="AL143" s="85">
        <f t="shared" si="575"/>
        <v>807.927566340501</v>
      </c>
      <c r="AM143" s="250">
        <f t="shared" si="576"/>
        <v>300</v>
      </c>
      <c r="AN143" s="118" t="s">
        <v>486</v>
      </c>
      <c r="AO143" s="259">
        <f>AP143+各项系数!$M$9*$NK143</f>
        <v>792.085849353433</v>
      </c>
      <c r="AP143" s="259">
        <f>AQ143*(1+$BI143+(VLOOKUP($AM143,$A$12:$B$323,2,0))+各项系数!$J$6+各项系数!$M$5)*(1+$E$2)</f>
        <v>787.683014646387</v>
      </c>
      <c r="AQ143" s="260">
        <f>AR143+各项系数!$L$9*$NK143</f>
        <v>803.758178210599</v>
      </c>
      <c r="AR143" s="260">
        <f>AS143*(1+$BJ143+各项系数!$J$5+各项系数!$L$5)</f>
        <v>799.355343503552</v>
      </c>
      <c r="AS143" s="260">
        <f t="shared" si="642"/>
        <v>783.681709317208</v>
      </c>
      <c r="AT143" s="259">
        <f>AU143+各项系数!$M$9*$NM143</f>
        <v>799.148425850439</v>
      </c>
      <c r="AU143" s="259">
        <f>AV143*(1+$BI143+(VLOOKUP($AM143,$A$12:$B$323,2,0))+各项系数!$J$6+各项系数!$M$5)*(1+$E$2)</f>
        <v>794.745591143393</v>
      </c>
      <c r="AV143" s="260">
        <f>AW143+各项系数!$L$9*$NM143</f>
        <v>810.964888921829</v>
      </c>
      <c r="AW143" s="260">
        <f>AX143*(1+$BJ143+各项系数!$J$5+各项系数!$L$5)</f>
        <v>806.562054214783</v>
      </c>
      <c r="AX143" s="260">
        <f t="shared" si="643"/>
        <v>790.747111975278</v>
      </c>
      <c r="AY143" s="259">
        <f>AZ143+各项系数!$M$9*$NS143</f>
        <v>798.348926523087</v>
      </c>
      <c r="AZ143" s="259">
        <f>BA143*(1+$BI143+(VLOOKUP($AM143,$A$12:$B$214,2,0))+各项系数!$J$6+各项系数!$M$5)*(1+$E$2)</f>
        <v>793.918594680831</v>
      </c>
      <c r="BA143" s="260">
        <f>BB143+各项系数!$L$9*$NS143</f>
        <v>810.12101498044</v>
      </c>
      <c r="BB143" s="260">
        <f>BC143*(1+$BJ143+各项系数!$J$5+各项系数!$L$5)</f>
        <v>805.690683138183</v>
      </c>
      <c r="BC143" s="262">
        <f t="shared" si="644"/>
        <v>789.892826606062</v>
      </c>
      <c r="BD143" s="259">
        <f>BE143+各项系数!$M$9*$NS143</f>
        <v>805.427918599043</v>
      </c>
      <c r="BE143" s="259">
        <f>BF143*(1+$BI143+(VLOOKUP($AM143,$A$12:$B$214,2,0))+各项系数!$J$6+各项系数!$M$5)*(1+$E$2)</f>
        <v>800.997586756787</v>
      </c>
      <c r="BF143" s="260">
        <f>BG143+各项系数!$L$9*$NS143</f>
        <v>817.344476282436</v>
      </c>
      <c r="BG143" s="260">
        <f>BH143*(1+$BJ143+各项系数!$J$5+各项系数!$L$5)</f>
        <v>812.914144440179</v>
      </c>
      <c r="BH143" s="262">
        <f t="shared" si="645"/>
        <v>796.974651411941</v>
      </c>
      <c r="BI143" s="277"/>
      <c r="BJ143" s="272"/>
      <c r="BK143" s="69" t="s">
        <v>514</v>
      </c>
      <c r="BL143" s="259">
        <f>BM143+各项系数!$M$9*$NM143</f>
        <v>800.819575495826</v>
      </c>
      <c r="BM143" s="259">
        <f>BN143*(1+$CF143+(VLOOKUP($AM143,$A$12:$B$323,2,0))+各项系数!$J$6+各项系数!$M$5)*(1+$E$2)</f>
        <v>796.41674078878</v>
      </c>
      <c r="BN143" s="260">
        <f>BO143+各项系数!$L$9*$NM143</f>
        <v>812.67014366202</v>
      </c>
      <c r="BO143" s="260">
        <f>BP143*(1+$CG143+各项系数!$J$5+各项系数!$L$5)</f>
        <v>808.267308954974</v>
      </c>
      <c r="BP143" s="260">
        <f t="shared" si="646"/>
        <v>784.725542674732</v>
      </c>
      <c r="BQ143" s="259">
        <f>BR143+各项系数!$M$9*$NM143</f>
        <v>806.897747547797</v>
      </c>
      <c r="BR143" s="259">
        <f>BS143*(1+$CF143+(VLOOKUP($AM143,$A$12:$B$323,2,0))+各项系数!$J$6+各项系数!$M$5)*(1+$E$2)</f>
        <v>802.49491284075</v>
      </c>
      <c r="BS143" s="260">
        <f>BT143+各项系数!$L$9*$NM143</f>
        <v>818.872360041582</v>
      </c>
      <c r="BT143" s="260">
        <f>BU143*(1+$CG143+各项系数!$J$5+各项系数!$L$5)</f>
        <v>814.469525334536</v>
      </c>
      <c r="BU143" s="260">
        <f t="shared" si="647"/>
        <v>790.747111975278</v>
      </c>
      <c r="BV143" s="259">
        <f>BW143+各项系数!$M$9*$NT143</f>
        <v>802.812343537408</v>
      </c>
      <c r="BW143" s="259">
        <f>BX143*(1+$CF143+(VLOOKUP($AM143,$A$12:$B$214,2,0))+各项系数!$J$6+各项系数!$M$5)*(1+$E$2)</f>
        <v>798.382011695151</v>
      </c>
      <c r="BX143" s="260">
        <f>BY143+各项系数!$L$9*$NT$12</f>
        <v>814.67552213791</v>
      </c>
      <c r="BY143" s="260">
        <f>BZ143*(1+$CG143+各项系数!$J$5+各项系数!$L$5)</f>
        <v>814.667258734755</v>
      </c>
      <c r="BZ143" s="262">
        <f t="shared" si="586"/>
        <v>790.939086150247</v>
      </c>
      <c r="CA143" s="259">
        <f>CB143+各项系数!$M$9*$NT143</f>
        <v>808.904643112561</v>
      </c>
      <c r="CB143" s="259">
        <f>CC143*(1+$CF143+(VLOOKUP($AM143,$A$12:$B$214,2,0))+各项系数!$J$6+各项系数!$M$5)*(1+$E$2)</f>
        <v>804.474311270305</v>
      </c>
      <c r="CC143" s="260">
        <f>CD143+各项系数!$L$9*$NT$12</f>
        <v>820.892154357454</v>
      </c>
      <c r="CD143" s="260">
        <f>CE143*(1+$CG143+各项系数!$J$5+各项系数!$L$5)</f>
        <v>820.883890954299</v>
      </c>
      <c r="CE143" s="262">
        <f t="shared" si="648"/>
        <v>796.974651411941</v>
      </c>
      <c r="CF143" s="277">
        <f t="shared" si="514"/>
        <v>0</v>
      </c>
      <c r="CG143" s="277">
        <f t="shared" si="587"/>
        <v>0.01</v>
      </c>
      <c r="CH143" s="123"/>
      <c r="CI143" s="259">
        <f>CJ143+各项系数!$M$9*$NO143</f>
        <v>806.802034379614</v>
      </c>
      <c r="CJ143" s="259">
        <f>CK143*(1+$DC143+(VLOOKUP($AM143,$A$12:$B$323,2,0))+各项系数!$J$6+各项系数!$M$5)*(1+$E$2)+各项系数!$M$9*$NK143</f>
        <v>801.072105751584</v>
      </c>
      <c r="CK143" s="260">
        <f>CL143+各项系数!$L$9*$NO143</f>
        <v>812.927827596467</v>
      </c>
      <c r="CL143" s="260">
        <f>CM143*(1+$DD143+各项系数!$J$5+各项系数!$L$5)</f>
        <v>807.197898968437</v>
      </c>
      <c r="CM143" s="260">
        <f t="shared" si="588"/>
        <v>791.370489184742</v>
      </c>
      <c r="CN143" s="259">
        <f>CO143+各项系数!$M$9*$NO143</f>
        <v>813.543876035946</v>
      </c>
      <c r="CO143" s="259">
        <f>CP143*(1+$DC143+(VLOOKUP($AM143,$A$12:$B$323,2,0))+各项系数!$J$6+各项系数!$M$5)*(1+$E$2)+各项系数!$M$9*$NK143</f>
        <v>807.813947407916</v>
      </c>
      <c r="CP143" s="260">
        <f>CQ143+各项系数!$L$9*$NO143</f>
        <v>819.80725785803</v>
      </c>
      <c r="CQ143" s="260">
        <f>CR143*(1+$DD143+各项系数!$J$5+各项系数!$L$5)</f>
        <v>814.07732923</v>
      </c>
      <c r="CR143" s="260">
        <f t="shared" si="589"/>
        <v>798.115028656862</v>
      </c>
      <c r="CS143" s="259">
        <f>CT143+各项系数!$M$9*$NU143</f>
        <v>808.863462419242</v>
      </c>
      <c r="CT143" s="259">
        <f t="shared" si="590"/>
        <v>803.105149946244</v>
      </c>
      <c r="CU143" s="260">
        <f>CV143+各项系数!$L$9*$NU143</f>
        <v>819.495050965555</v>
      </c>
      <c r="CV143" s="260">
        <f>CW143*(1+$DD143+各项系数!$J$5+各项系数!$L$5)</f>
        <v>813.736738492557</v>
      </c>
      <c r="CW143" s="262">
        <f t="shared" si="591"/>
        <v>797.781116169173</v>
      </c>
      <c r="CX143" s="259">
        <f>CY143+各项系数!$M$9*$NU143</f>
        <v>816.159550526811</v>
      </c>
      <c r="CY143" s="259">
        <f t="shared" si="592"/>
        <v>810.401238053813</v>
      </c>
      <c r="CZ143" s="260">
        <f>DA143+各项系数!$L$9*$NU143</f>
        <v>826.940038830421</v>
      </c>
      <c r="DA143" s="260">
        <f>DB143*(1+$DD143+各项系数!$J$5+各项系数!$L$5)</f>
        <v>821.181726357423</v>
      </c>
      <c r="DB143" s="262">
        <f t="shared" si="593"/>
        <v>805.080123879826</v>
      </c>
      <c r="DC143" s="277">
        <f t="shared" si="571"/>
        <v>0</v>
      </c>
      <c r="DD143" s="277">
        <f t="shared" si="594"/>
        <v>0</v>
      </c>
      <c r="DE143" s="69" t="s">
        <v>498</v>
      </c>
      <c r="DF143" s="69" t="s">
        <v>513</v>
      </c>
      <c r="DG143" s="259">
        <f>DH143+各项系数!$M$9*$NQ143</f>
        <v>815.643498494699</v>
      </c>
      <c r="DH143" s="259">
        <f>DI143*(1+$EA143+(VLOOKUP($AM143,$A$12:$B$323,2,0))+各项系数!$J$6+各项系数!$M$5)*(1+$E$2)+各项系数!$M$9*$NK143</f>
        <v>809.913569866669</v>
      </c>
      <c r="DI143" s="260">
        <f>DJ143+各项系数!$L$9*$NQ143</f>
        <v>821.949729754717</v>
      </c>
      <c r="DJ143" s="260">
        <f>DK143*(1+$EB143+各项系数!$J$5+各项系数!$L$5)</f>
        <v>816.219801126687</v>
      </c>
      <c r="DK143" s="260">
        <f t="shared" si="595"/>
        <v>792.446408860861</v>
      </c>
      <c r="DL143" s="259">
        <f>DM143+各项系数!$M$9*$NQ143</f>
        <v>821.90850704076</v>
      </c>
      <c r="DM143" s="259">
        <f>DN143*(1+$EA143+(VLOOKUP($AM143,$A$12:$B$323,2,0))+各项系数!$J$6+各项系数!$M$5)*(1+$E$2)+各项系数!$M$9*$NK143</f>
        <v>816.17857841273</v>
      </c>
      <c r="DN143" s="260">
        <f>DO143+各项系数!$L$9*$NQ143</f>
        <v>828.342595618044</v>
      </c>
      <c r="DO143" s="260">
        <f>DP143*(1+$EB143+各项系数!$J$5+各项系数!$L$5)</f>
        <v>822.612666990014</v>
      </c>
      <c r="DP143" s="260">
        <f t="shared" si="596"/>
        <v>798.653074747586</v>
      </c>
      <c r="DQ143" s="259">
        <f>DR143+各项系数!$M$9*$NV143</f>
        <v>817.77019967159</v>
      </c>
      <c r="DR143" s="259">
        <f t="shared" si="597"/>
        <v>812.011887198592</v>
      </c>
      <c r="DS143" s="260">
        <f>DT143+各项系数!$L$9*$NV143</f>
        <v>828.58355836591</v>
      </c>
      <c r="DT143" s="260">
        <f>DU143*(1+$EB143+各项系数!$J$5+各项系数!$L$5)</f>
        <v>822.825245892912</v>
      </c>
      <c r="DU143" s="262">
        <f t="shared" si="598"/>
        <v>798.859462031953</v>
      </c>
      <c r="DV143" s="259">
        <f>DW143+各项系数!$M$9*$NV143</f>
        <v>816.25571439782</v>
      </c>
      <c r="DW143" s="259">
        <f t="shared" si="599"/>
        <v>810.497401924822</v>
      </c>
      <c r="DX143" s="260">
        <f>DY143+各项系数!$L$9*$NV143</f>
        <v>827.03816522941</v>
      </c>
      <c r="DY143" s="260">
        <f>DZ143*(1+$EB143+各项系数!$J$5+各项系数!$L$5)</f>
        <v>821.279852756411</v>
      </c>
      <c r="DZ143" s="262">
        <f t="shared" si="600"/>
        <v>797.35908034603</v>
      </c>
      <c r="EA143" s="277">
        <f t="shared" si="581"/>
        <v>0</v>
      </c>
      <c r="EB143" s="277">
        <f t="shared" si="601"/>
        <v>0.01</v>
      </c>
      <c r="EC143" s="302" t="str">
        <f t="shared" si="649"/>
        <v>4+1</v>
      </c>
      <c r="ED143" s="302" t="str">
        <f t="shared" si="680"/>
        <v>4*300</v>
      </c>
      <c r="EE143" s="251">
        <f t="shared" si="495"/>
        <v>300</v>
      </c>
      <c r="EF143" s="251" t="str">
        <f>LOOKUP(EH143,{1,7,10,14,19,24,30,37,48,61},{1,"1+6","2+8","4+10","1+6+12","2+8+14","4+10+16","1+6+12+18","3+9+15+21","1+6+12+18+24"})</f>
        <v>1+6+12+18+24</v>
      </c>
      <c r="EG143" s="250">
        <f t="shared" si="602"/>
        <v>4</v>
      </c>
      <c r="EH143" s="260">
        <f>VLOOKUP(EE143,各项系数!$B$87:$C$124,2,0)</f>
        <v>61</v>
      </c>
      <c r="EI143" s="250">
        <f>IF(EH143=0,0,VLOOKUP(EH143,各项系数!$D$142:$E$195,2,0))*1</f>
        <v>9</v>
      </c>
      <c r="EJ143" s="305">
        <f t="shared" si="650"/>
        <v>245.118138379664</v>
      </c>
      <c r="EK143" s="251" t="str">
        <f t="shared" si="681"/>
        <v>1*150</v>
      </c>
      <c r="EL143" s="251" t="str">
        <f t="shared" si="603"/>
        <v>150</v>
      </c>
      <c r="EM143" s="251">
        <f t="shared" si="682"/>
        <v>150</v>
      </c>
      <c r="EN143" s="251" t="str">
        <f>IF(EP143=0,0,LOOKUP(EP143,{1,7,10,14,19,24,30,37,48,61},{1,"1+6","2+8","4+10","1+6+12","2+8+14","4+10+16","1+6+12+18","3+9+15+21","1+6+12+18+24"}))</f>
        <v>4+10+16</v>
      </c>
      <c r="EO143" s="251" t="str">
        <f t="shared" si="683"/>
        <v>1</v>
      </c>
      <c r="EP143" s="251">
        <f>IF(EM143=0,0,IF(EM143&lt;10,1,IF(AND(EM143&gt;=10,EM143&lt;=35),7,LOOKUP(EM143,{50,70,95,120,150,185,240,300},{10,14,19,24,30,37,48,61})*1)))</f>
        <v>30</v>
      </c>
      <c r="EQ143" s="251">
        <f>IF(EP143=0,0,VLOOKUP(EP143,各项系数!$D$142:$E$195,2,0))*1</f>
        <v>6.41</v>
      </c>
      <c r="ER143" s="251">
        <f t="shared" si="577"/>
        <v>243.335870228497</v>
      </c>
      <c r="ES143" s="302">
        <f t="shared" si="684"/>
        <v>5</v>
      </c>
      <c r="ET143" s="251">
        <f>VLOOKUP(ES143,各项系数!$D$142:$E$195,2,0)*1</f>
        <v>2.7</v>
      </c>
      <c r="EU143" s="311">
        <f>((各项系数!$F$76/4*$EJ143^2*$EG143*$EH143*1*10^-7)*(1-$H143)*AA143)*(VLOOKUP($EY$9,各项系数!$D$4:$F$143,3,0))*各项系数!$J$4</f>
        <v>10.3885664091758</v>
      </c>
      <c r="EV143" s="312">
        <f>EU143*(VLOOKUP($EY$9,各项系数!$D$4:$F$143,2,0))</f>
        <v>680.451099801014</v>
      </c>
      <c r="EW143" s="324">
        <f>(IF($EO143=0,0,(各项系数!$F$76/4*$ER143^2*$EO143*$EP143*1*10^-7))*(1-$K143)*$AF143)*(VLOOKUP($EY$9,各项系数!$D$4:$F$143,3,0))*各项系数!$J$4</f>
        <v>1.25260541945236</v>
      </c>
      <c r="EX143" s="325">
        <f>EW143*(VLOOKUP($EY$9,各项系数!$D$4:$F$143,2,0))</f>
        <v>82.0456549741294</v>
      </c>
      <c r="EY143" s="251">
        <f>((各项系数!$F$76/4*$EJ143^2*$EG143*$EH143*1*10^-7)*(1-$H143)*AA143+IF($EO143=0,0,(各项系数!$F$76/4*$ER143^2*$EO143*$EP143*1*10^-7))*(1-$K143)*$AF143)*(VLOOKUP($EY$9,各项系数!$D$4:$F$143,3,0))*各项系数!$J$4</f>
        <v>11.6411718286281</v>
      </c>
      <c r="EZ143" s="123">
        <v>1</v>
      </c>
      <c r="FA143" s="251">
        <f t="shared" si="515"/>
        <v>11.6411718286281</v>
      </c>
      <c r="FB143" s="326">
        <f>FA143*(VLOOKUP($EY$9,各项系数!$D$4:$F$143,2,0))</f>
        <v>762.496754775143</v>
      </c>
      <c r="FC143" s="327"/>
      <c r="FD143" s="302">
        <f>各项系数!$F$76/4*($MN143^2-MK143^2)*10^-2*(VLOOKUP(L143,各项系数!$D$1:$F$143,3,0))*10^-3*10^2*$EG143*各项系数!$J$4</f>
        <v>0.590717837817954</v>
      </c>
      <c r="FE143" s="339">
        <f>FD143*VLOOKUP(L143,各项系数!$D$1:$F$143,2,0)</f>
        <v>6.02532194574313</v>
      </c>
      <c r="FF143" s="250">
        <f>各项系数!$F$76/4*($MO143^2-ML143^2)*10^-2*(VLOOKUP(L143,各项系数!$D$1:$F$143,3,0))*10^-3*10^2*$EO143*各项系数!$J$4</f>
        <v>0.081825211659405</v>
      </c>
      <c r="FG143" s="339">
        <f>FF143*VLOOKUP(L143,各项系数!$D$1:$F$143,2,0)</f>
        <v>0.834617158925931</v>
      </c>
      <c r="FH143" s="302">
        <f t="shared" si="651"/>
        <v>0.672543049477358</v>
      </c>
      <c r="FI143" s="123">
        <v>1</v>
      </c>
      <c r="FJ143" s="251">
        <f t="shared" si="516"/>
        <v>0.672543049477358</v>
      </c>
      <c r="FK143" s="339">
        <f>FJ143*VLOOKUP(L143,各项系数!$D$1:$F$143,2,0)</f>
        <v>6.85993910466906</v>
      </c>
      <c r="FL143" s="302"/>
      <c r="FM143" s="123"/>
      <c r="FN143" s="251"/>
      <c r="FO143" s="339"/>
      <c r="FP143" s="364">
        <f t="shared" si="517"/>
        <v>0.672543049477358</v>
      </c>
      <c r="FQ143" s="364">
        <f t="shared" si="518"/>
        <v>6.85993910466906</v>
      </c>
      <c r="FR143" s="365">
        <f>各项系数!$F$76/4*($MQ143^2-$MN143^2*$EG143-$MO143^2*$EO143)*10^-2</f>
        <v>10.2086975879442</v>
      </c>
      <c r="FS143" s="366">
        <f t="shared" si="652"/>
        <v>1</v>
      </c>
      <c r="FT143" s="367">
        <f t="shared" si="604"/>
        <v>10.2086975879442</v>
      </c>
      <c r="FU143" s="388">
        <f>$FT143*(VLOOKUP($FT$9,各项系数!$D$1:$F$143,3,0))*10^-3*10^2*各项系数!$J$55</f>
        <v>1.21891849200054</v>
      </c>
      <c r="FV143" s="389">
        <v>1</v>
      </c>
      <c r="FW143" s="390">
        <f t="shared" si="519"/>
        <v>1.21891849200054</v>
      </c>
      <c r="FX143" s="367">
        <f>FW143*(VLOOKUP($FT$9,各项系数!$D$1:$F$143,2,0))</f>
        <v>3.65675547600161</v>
      </c>
      <c r="FY143" s="388">
        <f>IF($BK143&lt;&gt;$FY$9,0,各项系数!$F$76/4*($MS143^2-$MQ143^2)*10^-2*(VLOOKUP($FY$9,各项系数!$D$1:$F$143,3,0))*10^-3*10^2)*各项系数!$J$4</f>
        <v>0</v>
      </c>
      <c r="FZ143" s="389">
        <v>1</v>
      </c>
      <c r="GA143" s="390">
        <f t="shared" si="520"/>
        <v>0</v>
      </c>
      <c r="GB143" s="367">
        <f>GA143*(VLOOKUP($FY$9,各项系数!$D$1:$F$143,2,0))</f>
        <v>0</v>
      </c>
      <c r="GC143" s="388">
        <f>IF($BK143&lt;&gt;$GC$9,0,各项系数!$F$76/4*($MS143^2-$MQ143^2)*10^-2*(VLOOKUP($GC$9,各项系数!$D$1:$F$143,3,0))*10^-3*10^2)*各项系数!$J$4</f>
        <v>0.017823750864805</v>
      </c>
      <c r="GD143" s="389">
        <v>1</v>
      </c>
      <c r="GE143" s="390">
        <f t="shared" si="521"/>
        <v>0.017823750864805</v>
      </c>
      <c r="GF143" s="367">
        <f>GE143*(VLOOKUP($GC$9,各项系数!$D$1:$F$143,2,0))</f>
        <v>0.229926386155985</v>
      </c>
      <c r="GG143" s="388">
        <f>IF($BK143&lt;&gt;$GG$9,0,各项系数!$F$76/4*($MS143^2-$MQ143^2)*10^-2*(VLOOKUP($GG$9,各项系数!$D$1:$F$143,3,0))*10^-3*10^2)*各项系数!$J$4</f>
        <v>0</v>
      </c>
      <c r="GH143" s="389">
        <v>1</v>
      </c>
      <c r="GI143" s="390">
        <f t="shared" si="522"/>
        <v>0</v>
      </c>
      <c r="GJ143" s="367">
        <f>GI143*(VLOOKUP($GG$9,各项系数!$D$1:$F$143,2,0))</f>
        <v>0</v>
      </c>
      <c r="GK143" s="388">
        <f>IF($BK143&lt;&gt;$GK$9,0,各项系数!$F$76/4*($MS143^2-$MQ143^2)*10^-2*(VLOOKUP($GK$9,各项系数!$D$1:$F$143,3,0))*10^-3*10^2)*各项系数!$J$4</f>
        <v>0</v>
      </c>
      <c r="GL143" s="389">
        <v>1</v>
      </c>
      <c r="GM143" s="390">
        <f t="shared" si="523"/>
        <v>0</v>
      </c>
      <c r="GN143" s="367">
        <f>GM143*(VLOOKUP($GK$9,各项系数!$D$1:$F$143,2,0))</f>
        <v>0</v>
      </c>
      <c r="GO143" s="390">
        <f t="shared" si="524"/>
        <v>0.017823750864805</v>
      </c>
      <c r="GP143" s="390">
        <f t="shared" si="525"/>
        <v>0.229926386155985</v>
      </c>
      <c r="GQ143" s="406">
        <f>各项系数!$F$76/4*($MU143^2-$MS143^2)*10^-2*(VLOOKUP($S143,各项系数!$D$1:$F$143,3,0))*10^-3*10^2*各项系数!$J$4</f>
        <v>1.21527491952884</v>
      </c>
      <c r="GR143" s="389">
        <v>1</v>
      </c>
      <c r="GS143" s="390">
        <f t="shared" si="526"/>
        <v>1.21527491952884</v>
      </c>
      <c r="GT143" s="390">
        <f t="shared" si="457"/>
        <v>0</v>
      </c>
      <c r="GU143" s="390">
        <f>ROUND($GS143*(VLOOKUP($S143,各项系数!$D$1:$F$143,2,0))+$E$3*GS143,GT143)</f>
        <v>7</v>
      </c>
      <c r="GV143" s="406">
        <f>各项系数!$F$76/4*($MT143^2-$MS143^2)*10^-2*(VLOOKUP($GV$9,各项系数!$D$1:$F$143,3,0))*10^-3*10^2*各项系数!$J$4*PI()/4*R143</f>
        <v>0.0916571173665396</v>
      </c>
      <c r="GW143" s="389">
        <v>1</v>
      </c>
      <c r="GX143" s="390">
        <f t="shared" si="527"/>
        <v>0.0916571173665396</v>
      </c>
      <c r="GY143" s="390">
        <f>$GX143*(VLOOKUP($GV$9,各项系数!$D$1:$F$143,2,0))</f>
        <v>6.18685542224143</v>
      </c>
      <c r="GZ143" s="406">
        <f>各项系数!$F$76/4*($MV143^2-$MS143^2)*10^-2*(VLOOKUP($GZ$9,各项系数!$D$1:$F$143,3,0))*10^-3*10^2*各项系数!$J$4</f>
        <v>1.02963154313574</v>
      </c>
      <c r="HA143" s="389">
        <v>1</v>
      </c>
      <c r="HB143" s="390">
        <f t="shared" si="653"/>
        <v>1.02963154313574</v>
      </c>
      <c r="HC143" s="390">
        <f>HB143*(VLOOKUP($GZ$9,各项系数!$D$1:$F$143,2,0))</f>
        <v>17.5037362333075</v>
      </c>
      <c r="HD143" s="406">
        <f>各项系数!$F$76/4*($MW143^2-$MT143^2)*10^-2*(VLOOKUP($HD$9,各项系数!$D$1:$F$143,3,0))*10^-3*10^2*各项系数!$J$4</f>
        <v>1.03202472045465</v>
      </c>
      <c r="HE143" s="389">
        <v>1</v>
      </c>
      <c r="HF143" s="390">
        <f t="shared" si="654"/>
        <v>1.03202472045465</v>
      </c>
      <c r="HG143" s="390">
        <f>HF143*(VLOOKUP($HD$9,各项系数!$D$1:$F$143,2,0))</f>
        <v>17.544420247729</v>
      </c>
      <c r="HH143" s="406">
        <f>各项系数!$F$76/4*($MV143^2-$MS143^2)*10^-2*(VLOOKUP($HH$9,各项系数!$D$1:$F$143,3,0))*10^-3*10^2*各项系数!$J$4</f>
        <v>1.02963154313574</v>
      </c>
      <c r="HI143" s="420">
        <v>1</v>
      </c>
      <c r="HJ143" s="390">
        <f t="shared" si="655"/>
        <v>1.02963154313574</v>
      </c>
      <c r="HK143" s="390">
        <f>HJ143*(VLOOKUP($HH$9,各项系数!$D$1:$F$143,2,0))</f>
        <v>17.5037362333075</v>
      </c>
      <c r="HL143" s="406">
        <f>各项系数!$F$76/4*($MW143^2-$MT143^2)*10^-2*(VLOOKUP($HL$9,各项系数!$D$1:$F$143,3,0))*10^-3*10^2*各项系数!$J$4</f>
        <v>1.03202472045465</v>
      </c>
      <c r="HM143" s="420">
        <v>1</v>
      </c>
      <c r="HN143" s="390">
        <f t="shared" si="605"/>
        <v>1.03202472045465</v>
      </c>
      <c r="HO143" s="390">
        <f>HN143*(VLOOKUP($HL$9,各项系数!$D$1:$F$143,2,0))</f>
        <v>17.544420247729</v>
      </c>
      <c r="HP143" s="406">
        <f>各项系数!$F$76/4*($MV143^2-$MS143^2)*10^-2*(VLOOKUP(AN143,各项系数!$D$1:$F$143,3,0))*10^-3*10^2*各项系数!$J$4</f>
        <v>1.04383335752382</v>
      </c>
      <c r="HQ143" s="389">
        <v>1</v>
      </c>
      <c r="HR143" s="390">
        <f t="shared" si="528"/>
        <v>1.04383335752382</v>
      </c>
      <c r="HS143" s="390">
        <f>HR143*(VLOOKUP(AN143,各项系数!$D$1:$F$143,2,0))</f>
        <v>10.4383335752382</v>
      </c>
      <c r="HT143" s="406">
        <f>各项系数!$F$76/4*($MW143^2-$MT143^2)*10^-2*(VLOOKUP(AN143,各项系数!$D$1:$F$143,3,0))*10^-3*10^2*各项系数!$J$4</f>
        <v>1.04625954418506</v>
      </c>
      <c r="HU143" s="389">
        <v>1</v>
      </c>
      <c r="HV143" s="390">
        <f t="shared" si="529"/>
        <v>1.04625954418506</v>
      </c>
      <c r="HW143" s="390">
        <f>HV143*(VLOOKUP(AN143,各项系数!$D$1:$F$143,2,0))</f>
        <v>10.4625954418506</v>
      </c>
      <c r="HX143" s="406">
        <f>各项系数!$F$76/4*($MV143^2-$MS143^2)*10^-2*(VLOOKUP($HX$9,各项系数!$D$1:$F$143,3,0))*10^-3*10^2*各项系数!$J$4</f>
        <v>1.04383335752382</v>
      </c>
      <c r="HY143" s="420">
        <v>1</v>
      </c>
      <c r="HZ143" s="390">
        <f t="shared" si="530"/>
        <v>1.04383335752382</v>
      </c>
      <c r="IA143" s="390">
        <f>HZ143*(VLOOKUP($HX$9,各项系数!$D$1:$F$143,2,0))</f>
        <v>11.482166932762</v>
      </c>
      <c r="IB143" s="406">
        <f>各项系数!$F$76/4*($MW143^2-$MT143^2)*10^-2*(VLOOKUP($IB$9,各项系数!$D$1:$F$143,3,0))*10^-3*10^2*各项系数!$J$4</f>
        <v>1.04625954418506</v>
      </c>
      <c r="IC143" s="420">
        <v>1</v>
      </c>
      <c r="ID143" s="390">
        <f t="shared" si="531"/>
        <v>1.04625954418506</v>
      </c>
      <c r="IE143" s="390">
        <f>ID143*(VLOOKUP($IB$9,各项系数!$D$1:$F$143,2,0))</f>
        <v>11.5088549860356</v>
      </c>
      <c r="IF143" s="429"/>
      <c r="IG143" s="406">
        <f t="shared" si="656"/>
        <v>0.148176816908328</v>
      </c>
      <c r="IH143" s="389">
        <v>1</v>
      </c>
      <c r="II143" s="390">
        <f t="shared" si="532"/>
        <v>0.148176816908328</v>
      </c>
      <c r="IJ143" s="390">
        <f>II143*(VLOOKUP($IG$8,各项系数!$D$1:$F$143,2,0))</f>
        <v>3.7044204227082</v>
      </c>
      <c r="IK143" s="406">
        <f>(各项系数!$F$76/4*($MX143^2-$MK143^2)*$EG143)*10^-2*(VLOOKUP($IG$8,各项系数!$D$1:$F$143,3,0))*10^-3*10^2*各项系数!$J$4</f>
        <v>0.125814165385666</v>
      </c>
      <c r="IL143" s="389">
        <f>IK143*(VLOOKUP($IG$8,各项系数!$D$1:$F$143,2,0))</f>
        <v>3.14535413464165</v>
      </c>
      <c r="IM143" s="390">
        <f>(各项系数!$F$76/4*(($MM143+3*$X143)^2-MM143^2)*$EO143)*10^-2*(VLOOKUP($IG$8,各项系数!$D$1:$F$143,3,0))*10^-3*10^2*各项系数!$J$4</f>
        <v>0.0223626515226621</v>
      </c>
      <c r="IN143" s="389">
        <f>IM143*(VLOOKUP($IG$8,各项系数!$D$1:$F$143,2,0))</f>
        <v>0.559066288066553</v>
      </c>
      <c r="IO143" s="406">
        <f>各项系数!$F$76/4*($MZ143^2-$MX143^2)*10^-2*(VLOOKUP(L143,各项系数!$D$1:$F$143,3,0))*10^-3*10^2*$ES143*各项系数!$J$4</f>
        <v>0.756965052332955</v>
      </c>
      <c r="IP143" s="389">
        <v>1</v>
      </c>
      <c r="IQ143" s="390">
        <f t="shared" si="533"/>
        <v>0.756965052332955</v>
      </c>
      <c r="IR143" s="367">
        <f>IQ143*(VLOOKUP(L143,各项系数!$D$1:$F$143,2,0))</f>
        <v>7.72104353379614</v>
      </c>
      <c r="IS143" s="406">
        <f>IF($L143&lt;&gt;$IS$9,0,各项系数!$F$76/4*($MZ143^2-$MX143^2)*10^-2*各项系数!$F$12*10^-3*10^2)*$ES143*各项系数!$J$4</f>
        <v>0</v>
      </c>
      <c r="IT143" s="389">
        <v>1</v>
      </c>
      <c r="IU143" s="390">
        <f t="shared" si="534"/>
        <v>0</v>
      </c>
      <c r="IV143" s="367">
        <f>IU143*各项系数!$E$12</f>
        <v>0</v>
      </c>
      <c r="IW143" s="388">
        <f t="shared" si="535"/>
        <v>0.756965052332955</v>
      </c>
      <c r="IX143" s="388">
        <f t="shared" si="536"/>
        <v>7.72104353379614</v>
      </c>
      <c r="IY143" s="447">
        <f>各项系数!$F$76/4*($NB143^2-$MZ143^2*$EG143-$NA143^2*$EO143)*10^-2</f>
        <v>10.949882141192</v>
      </c>
      <c r="IZ143" s="366">
        <f t="shared" si="487"/>
        <v>1</v>
      </c>
      <c r="JA143" s="367">
        <f t="shared" si="606"/>
        <v>10.949882141192</v>
      </c>
      <c r="JB143" s="364">
        <f>IF($DE143&lt;&gt;$JB$9,0,$JA143*各项系数!$F$32*10^-3*10^2)*各项系数!$J$4</f>
        <v>0</v>
      </c>
      <c r="JC143" s="123">
        <v>1</v>
      </c>
      <c r="JD143" s="251">
        <f t="shared" si="537"/>
        <v>0</v>
      </c>
      <c r="JE143" s="339">
        <f>JD143*各项系数!$E$32</f>
        <v>0</v>
      </c>
      <c r="JF143" s="364">
        <f>IF($DE143&lt;&gt;$JF$9,0,$JA143*VLOOKUP($JF$9,各项系数!$D$4:$F$540,2,0)*10^-3*10^2)*各项系数!$J$4</f>
        <v>5.44756636524301</v>
      </c>
      <c r="JG143" s="123">
        <v>1</v>
      </c>
      <c r="JH143" s="251">
        <f t="shared" si="607"/>
        <v>5.44756636524301</v>
      </c>
      <c r="JI143" s="339">
        <f>JH143*VLOOKUP($JF$9,各项系数!$D$4:$F$540,3,0)</f>
        <v>6.53707963829161</v>
      </c>
      <c r="JJ143" s="364">
        <f t="shared" si="538"/>
        <v>5.44756636524301</v>
      </c>
      <c r="JK143" s="251">
        <f t="shared" si="539"/>
        <v>6.53707963829161</v>
      </c>
      <c r="JL143" s="364">
        <f>IF($DF143&lt;&gt;$JL$9,0,各项系数!$F$76/4*($NE143^2-$NC143^2)*10^-2*各项系数!$F$39*10^-3*10^2)*各项系数!$J$4</f>
        <v>0.00759970268077676</v>
      </c>
      <c r="JM143" s="123">
        <v>1</v>
      </c>
      <c r="JN143" s="251">
        <f t="shared" si="540"/>
        <v>0.00759970268077676</v>
      </c>
      <c r="JO143" s="339">
        <f>JN143*各项系数!$E$39</f>
        <v>0.151994053615535</v>
      </c>
      <c r="JP143" s="364">
        <f>IF($DF143&lt;&gt;$JP$9,0,各项系数!$F$76/4*($NE143^2-$NC143^2)*10^-2*各项系数!$F$36*10^-3*10^2)*各项系数!$J$4</f>
        <v>0</v>
      </c>
      <c r="JQ143" s="123">
        <v>1</v>
      </c>
      <c r="JR143" s="251">
        <f t="shared" si="541"/>
        <v>0</v>
      </c>
      <c r="JS143" s="339">
        <f>JR143*各项系数!$E$36</f>
        <v>0</v>
      </c>
      <c r="JT143" s="364">
        <f>IF($DF143&lt;&gt;$JT$9,0,各项系数!$F$76/4*($NE143^2-$NC143^2)*10^-2*各项系数!$F$40*10^-3*10^2)*各项系数!$J$4</f>
        <v>0</v>
      </c>
      <c r="JU143" s="123">
        <v>1</v>
      </c>
      <c r="JV143" s="251">
        <f t="shared" si="542"/>
        <v>0</v>
      </c>
      <c r="JW143" s="339">
        <f>JV143*各项系数!$E$40</f>
        <v>0</v>
      </c>
      <c r="JX143" s="364">
        <f>IF($DF143&lt;&gt;$JX$9,0,各项系数!$F$76/4*($NE143^2-$NC143^2)*10^-2*各项系数!$F$38*10^-3*10^2)*各项系数!$J$4</f>
        <v>0</v>
      </c>
      <c r="JY143" s="123">
        <v>1</v>
      </c>
      <c r="JZ143" s="251">
        <f t="shared" si="543"/>
        <v>0</v>
      </c>
      <c r="KA143" s="339">
        <f>JZ143*各项系数!$E$38</f>
        <v>0</v>
      </c>
      <c r="KB143" s="364">
        <f>IF($DF143&lt;&gt;$KB$9,0,各项系数!$F$76/4*($NE143^2-$NC143^2)*10^-2*各项系数!$F$41*10^-3*10^2)*各项系数!$J$4</f>
        <v>0</v>
      </c>
      <c r="KC143" s="123">
        <v>1</v>
      </c>
      <c r="KD143" s="251">
        <f t="shared" si="544"/>
        <v>0</v>
      </c>
      <c r="KE143" s="339">
        <f>KD143*各项系数!$E$41</f>
        <v>0</v>
      </c>
      <c r="KF143" s="251">
        <f t="shared" si="545"/>
        <v>0.00759970268077676</v>
      </c>
      <c r="KG143" s="251">
        <f t="shared" si="546"/>
        <v>0.151994053615535</v>
      </c>
      <c r="KH143" s="302">
        <f>各项系数!$F$76/4*($NG143^2-$NE143^2)*10^-2*各项系数!$F$44*10^-3*10^2*各项系数!$J$4*0.75*$U143</f>
        <v>1.8811023170048</v>
      </c>
      <c r="KI143" s="123">
        <v>1</v>
      </c>
      <c r="KJ143" s="251">
        <f t="shared" si="547"/>
        <v>1.8811023170048</v>
      </c>
      <c r="KK143" s="251">
        <f>ROUND(KJ143*各项系数!$E$43,GT143)</f>
        <v>11</v>
      </c>
      <c r="KL143" s="302">
        <f>各项系数!$F$76/4*($NF143^2-$NE143^2)*10^-2*各项系数!$F$46*10^-3*10^2*各项系数!$J$4*PI()/4*R143</f>
        <v>0.0946128165602766</v>
      </c>
      <c r="KM143" s="123">
        <v>1</v>
      </c>
      <c r="KN143" s="251">
        <f t="shared" si="548"/>
        <v>0.0946128165602766</v>
      </c>
      <c r="KO143" s="251">
        <f>KN143*各项系数!$E$46</f>
        <v>6.38636511781867</v>
      </c>
      <c r="KP143" s="302">
        <f>各项系数!$F$76/4*($NH143^2-$NE143^2)*10^-2*(VLOOKUP($KP$9,各项系数!$D$1:$F$143,3,0))*10^-3*10^2*各项系数!$J$4</f>
        <v>1.06128131317833</v>
      </c>
      <c r="KQ143" s="123">
        <v>1</v>
      </c>
      <c r="KR143" s="251">
        <f t="shared" si="657"/>
        <v>1.06128131317833</v>
      </c>
      <c r="KS143" s="251">
        <f>KR143*(VLOOKUP($KP$9,各项系数!$D$1:$F$143,2,0))</f>
        <v>18.0417823240316</v>
      </c>
      <c r="KT143" s="302">
        <f>各项系数!$F$76/4*($NI143^2-$NF143^2)*10^-2*(VLOOKUP($KT$9,各项系数!$D$1:$F$143,3,0))*10^-3*10^2*各项系数!$J$4</f>
        <v>1.06367449049724</v>
      </c>
      <c r="KU143" s="123">
        <v>1</v>
      </c>
      <c r="KV143" s="251">
        <f t="shared" si="658"/>
        <v>1.06367449049724</v>
      </c>
      <c r="KW143" s="251">
        <f>KV143*(VLOOKUP($KT$9,各项系数!$D$1:$F$143,2,0))</f>
        <v>18.082466338453</v>
      </c>
      <c r="KX143" s="251">
        <f>各项系数!$F$76/4*($NH143^2-$NE143^2)*10^-2*(VLOOKUP($KX$9,各项系数!$D$1:$F$143,3,0))*10^-3*10^2*各项系数!$J$4</f>
        <v>1.06128131317833</v>
      </c>
      <c r="KY143" s="479">
        <v>1</v>
      </c>
      <c r="KZ143" s="251">
        <f t="shared" si="659"/>
        <v>1.06128131317833</v>
      </c>
      <c r="LA143" s="251">
        <f>KZ143*(VLOOKUP($KX$9,各项系数!$D$1:$F$143,2,0))</f>
        <v>18.0417823240316</v>
      </c>
      <c r="LB143" s="251">
        <f>各项系数!$F$76/4*($NI143^2-$NF143^2)*10^-2*(VLOOKUP($LB$9,各项系数!$D$1:$F$143,3,0))*10^-3*10^2*各项系数!$J$4</f>
        <v>1.06367449049724</v>
      </c>
      <c r="LC143" s="479">
        <v>1</v>
      </c>
      <c r="LD143" s="251">
        <f t="shared" si="660"/>
        <v>1.06367449049724</v>
      </c>
      <c r="LE143" s="251">
        <f>LD143*(VLOOKUP($LB$9,各项系数!$D$1:$F$143,2,0))</f>
        <v>18.082466338453</v>
      </c>
      <c r="LF143" s="302">
        <f>各项系数!$F$76/4*($NH143^2-$NE143^2)*10^-2*(VLOOKUP(AN143,各项系数!$D$1:$F$143,3,0))*10^-3*10^2*各项系数!$J$4</f>
        <v>1.07591967611872</v>
      </c>
      <c r="LG143" s="123">
        <v>1</v>
      </c>
      <c r="LH143" s="251">
        <f t="shared" si="549"/>
        <v>1.07591967611872</v>
      </c>
      <c r="LI143" s="251">
        <f>LH143*(VLOOKUP(AN143,各项系数!$D$1:$F$143,2,0))</f>
        <v>10.7591967611872</v>
      </c>
      <c r="LJ143" s="302">
        <f>各项系数!$F$76/4*($NI143^2-$NF143^2)*10^-2*(VLOOKUP(AN143,各项系数!$D$1:$F$143,3,0))*10^-3*10^2*各项系数!$J$4</f>
        <v>1.07834586277996</v>
      </c>
      <c r="LK143" s="123">
        <v>1</v>
      </c>
      <c r="LL143" s="251">
        <f t="shared" si="550"/>
        <v>1.07834586277996</v>
      </c>
      <c r="LM143" s="251">
        <f>LL143*(VLOOKUP(AN143,各项系数!$D$1:$F$143,2,0))</f>
        <v>10.7834586277996</v>
      </c>
      <c r="LN143" s="251">
        <f>各项系数!$F$76/4*($NH143^2-$NE143^2)*10^-2*(VLOOKUP($LN$9,各项系数!$D$1:$F$143,3,0))*10^-3*10^2*各项系数!$J$4</f>
        <v>1.07591967611872</v>
      </c>
      <c r="LO143" s="479">
        <v>1</v>
      </c>
      <c r="LP143" s="251">
        <f t="shared" si="551"/>
        <v>1.07591967611872</v>
      </c>
      <c r="LQ143" s="251">
        <f>LP143*(VLOOKUP($LN$9,各项系数!$D$1:$F$143,2,0))</f>
        <v>11.8351164373059</v>
      </c>
      <c r="LR143" s="251">
        <f>各项系数!$F$76/4*($NI143^2-$NF143^2)*10^-2*(VLOOKUP($LR$9,各项系数!$D$1:$F$143,3,0))*10^-3*10^2*各项系数!$J$4</f>
        <v>1.07834586277996</v>
      </c>
      <c r="LS143" s="479">
        <v>1</v>
      </c>
      <c r="LT143" s="251">
        <f t="shared" si="552"/>
        <v>1.07834586277996</v>
      </c>
      <c r="LU143" s="251">
        <f>LT143*(VLOOKUP($LR$9,各项系数!$D$1:$F$143,2,0))</f>
        <v>11.8618044905795</v>
      </c>
      <c r="LV143" s="499">
        <f t="shared" si="661"/>
        <v>1528.92361781</v>
      </c>
      <c r="LW143" s="499">
        <f t="shared" si="662"/>
        <v>1151.41161342</v>
      </c>
      <c r="LX143" s="499">
        <f t="shared" si="663"/>
        <v>38.2886771575313</v>
      </c>
      <c r="LY143" s="515">
        <f t="shared" si="664"/>
        <v>377.51200439</v>
      </c>
      <c r="LZ143" s="516">
        <f t="shared" si="608"/>
        <v>1</v>
      </c>
      <c r="MA143" s="517">
        <f t="shared" si="609"/>
        <v>1528.92361781</v>
      </c>
      <c r="MB143" s="517">
        <f t="shared" si="665"/>
        <v>22.06063242</v>
      </c>
      <c r="MC143" s="499">
        <f t="shared" si="666"/>
        <v>191.08130855</v>
      </c>
      <c r="MD143" s="499">
        <f t="shared" si="667"/>
        <v>139.51580252</v>
      </c>
      <c r="ME143" s="499">
        <f t="shared" si="668"/>
        <v>13.3280545048377</v>
      </c>
      <c r="MF143" s="499">
        <f t="shared" si="669"/>
        <v>51.56550603</v>
      </c>
      <c r="MG143" s="516">
        <f t="shared" si="670"/>
        <v>1</v>
      </c>
      <c r="MH143" s="517">
        <f t="shared" si="610"/>
        <v>191.08130855</v>
      </c>
      <c r="MI143" s="517">
        <f t="shared" si="671"/>
        <v>15.5978292818456</v>
      </c>
      <c r="MJ143" s="251">
        <f t="shared" si="611"/>
        <v>22.06063242</v>
      </c>
      <c r="MK143" s="251">
        <f t="shared" si="672"/>
        <v>22.06063242</v>
      </c>
      <c r="ML143" s="251">
        <f t="shared" si="553"/>
        <v>15.5978292816467</v>
      </c>
      <c r="MM143" s="251">
        <f t="shared" si="612"/>
        <v>15.5978292818456</v>
      </c>
      <c r="MN143" s="251">
        <f t="shared" si="613"/>
        <v>25.66063242</v>
      </c>
      <c r="MO143" s="251">
        <f t="shared" si="673"/>
        <v>18.3978292818456</v>
      </c>
      <c r="MP143" s="251">
        <f t="shared" si="674"/>
        <v>65.36179384</v>
      </c>
      <c r="MQ143" s="251">
        <f t="shared" si="554"/>
        <v>65.36179384</v>
      </c>
      <c r="MR143" s="314">
        <f t="shared" si="675"/>
        <v>65.36179384</v>
      </c>
      <c r="MS143" s="530">
        <f t="shared" si="614"/>
        <v>65.53779384</v>
      </c>
      <c r="MT143" s="530">
        <f t="shared" si="615"/>
        <v>65.69779384</v>
      </c>
      <c r="MU143" s="530">
        <f t="shared" si="616"/>
        <v>67.03779384</v>
      </c>
      <c r="MV143" s="530">
        <f t="shared" si="617"/>
        <v>72.13779384</v>
      </c>
      <c r="MW143" s="530">
        <f t="shared" si="618"/>
        <v>72.29779384</v>
      </c>
      <c r="MX143" s="326">
        <f t="shared" si="619"/>
        <v>22.66063242</v>
      </c>
      <c r="MY143" s="326">
        <f t="shared" si="620"/>
        <v>16.1978292818456</v>
      </c>
      <c r="MZ143" s="251">
        <f t="shared" si="621"/>
        <v>26.26063242</v>
      </c>
      <c r="NA143" s="251">
        <f t="shared" si="622"/>
        <v>19.7978292818456</v>
      </c>
      <c r="NB143" s="251">
        <f t="shared" si="676"/>
        <v>67.41379384</v>
      </c>
      <c r="NC143" s="326">
        <f t="shared" si="555"/>
        <v>67.41379384</v>
      </c>
      <c r="ND143" s="314">
        <f t="shared" si="677"/>
        <v>67.41379384</v>
      </c>
      <c r="NE143" s="537">
        <f t="shared" si="678"/>
        <v>67.65379384</v>
      </c>
      <c r="NF143" s="530">
        <f t="shared" si="623"/>
        <v>67.81379384</v>
      </c>
      <c r="NG143" s="538">
        <f t="shared" si="624"/>
        <v>69.15379384</v>
      </c>
      <c r="NH143" s="326">
        <f t="shared" si="625"/>
        <v>74.25379384</v>
      </c>
      <c r="NI143" s="530">
        <f t="shared" si="626"/>
        <v>74.41379384</v>
      </c>
      <c r="NK143" s="539">
        <f t="shared" si="627"/>
        <v>14.6761156901541</v>
      </c>
      <c r="NL143" s="539">
        <f t="shared" si="628"/>
        <v>784.516326476134</v>
      </c>
      <c r="NM143" s="539">
        <f t="shared" si="629"/>
        <v>14.6761156901541</v>
      </c>
      <c r="NN143" s="539">
        <f t="shared" si="630"/>
        <v>785.560159833658</v>
      </c>
      <c r="NO143" s="539">
        <f t="shared" si="631"/>
        <v>19.0997620934346</v>
      </c>
      <c r="NP143" s="539">
        <f t="shared" si="632"/>
        <v>791.929555472809</v>
      </c>
      <c r="NQ143" s="539">
        <f t="shared" si="633"/>
        <v>19.0997620934346</v>
      </c>
      <c r="NR143" s="539">
        <f t="shared" si="634"/>
        <v>793.005475148927</v>
      </c>
      <c r="NS143" s="539">
        <f t="shared" si="635"/>
        <v>14.7677728075206</v>
      </c>
      <c r="NT143" s="539">
        <f t="shared" si="636"/>
        <v>14.7677728075206</v>
      </c>
      <c r="NU143" s="539">
        <f t="shared" si="637"/>
        <v>19.1943749099949</v>
      </c>
      <c r="NV143" s="539">
        <f t="shared" si="638"/>
        <v>19.1943749099949</v>
      </c>
      <c r="NW143">
        <f t="shared" si="639"/>
        <v>15.8913906096829</v>
      </c>
      <c r="NX143">
        <f>各项系数!$M$9*NK143</f>
        <v>4.40283470704622</v>
      </c>
      <c r="NY143">
        <f t="shared" si="640"/>
        <v>14.7677728075206</v>
      </c>
    </row>
    <row r="144" customHeight="1" spans="1:389">
      <c r="A144" s="85"/>
      <c r="B144" s="86"/>
      <c r="C144" s="218"/>
      <c r="D144" s="85" t="s">
        <v>428</v>
      </c>
      <c r="E144" s="77">
        <f t="shared" si="679"/>
        <v>80.89273105</v>
      </c>
      <c r="F144" s="84">
        <f>$F$32</f>
        <v>277.181191063812</v>
      </c>
      <c r="G144" s="23"/>
      <c r="H144" s="23"/>
      <c r="I144" s="174">
        <f>$F$29</f>
        <v>245.09808262108</v>
      </c>
      <c r="J144" s="78"/>
      <c r="K144" s="23"/>
      <c r="L144" s="118" t="s">
        <v>467</v>
      </c>
      <c r="M144" s="124">
        <f t="shared" si="582"/>
        <v>2</v>
      </c>
      <c r="N144" s="124">
        <f t="shared" si="583"/>
        <v>1.6</v>
      </c>
      <c r="O144" s="69">
        <f t="shared" si="580"/>
        <v>0.08</v>
      </c>
      <c r="P144" s="120">
        <v>0.1</v>
      </c>
      <c r="Q144" s="162">
        <f t="shared" ref="Q144:Q153" si="685">$Q$12</f>
        <v>0.1</v>
      </c>
      <c r="R144" s="86">
        <v>0.8</v>
      </c>
      <c r="S144" s="171" t="str">
        <f>各项系数!$D$43</f>
        <v>钢带</v>
      </c>
      <c r="T144" s="78">
        <v>0.5</v>
      </c>
      <c r="U144" s="78">
        <v>2</v>
      </c>
      <c r="V144" s="172"/>
      <c r="W144" s="170">
        <v>3.6</v>
      </c>
      <c r="X144" s="164">
        <f t="shared" ref="X144:X153" si="686">$X$12</f>
        <v>0.2</v>
      </c>
      <c r="Y144" s="219"/>
      <c r="Z144" s="220"/>
      <c r="AA144" s="217">
        <f>$AA$32</f>
        <v>1.02</v>
      </c>
      <c r="AB144" s="186">
        <f>PI()*EJ144*EJ144/4*EH144*(1-H144)*AA144*各项系数!$F$5*各项系数!$J$4*10^-7</f>
        <v>3.32102575101844</v>
      </c>
      <c r="AC144" s="186">
        <f t="shared" si="573"/>
        <v>277.181191063812</v>
      </c>
      <c r="AD144" s="186">
        <f t="shared" si="584"/>
        <v>375.445930554736</v>
      </c>
      <c r="AE144" s="186">
        <f>POWER(4*EU144/PI()/EG144/10^-7/EH144/(1-H144)/各项系数!$F$5/各项系数!$J$4,0.5)</f>
        <v>279.939280797005</v>
      </c>
      <c r="AF144" s="218">
        <f>$AA$29</f>
        <v>1.015</v>
      </c>
      <c r="AG144" s="85">
        <f>IF(EM144=0,0,PI()*ER144*ER144/4*EP144*(1-K144)*(1+AF144)*各项系数!$F$5*各项系数!$J$4*10^-7)</f>
        <v>3.11151088967572</v>
      </c>
      <c r="AH144" s="85">
        <f t="shared" si="574"/>
        <v>245.09808262108</v>
      </c>
      <c r="AI144" s="85">
        <f t="shared" si="641"/>
        <v>177.189293020653</v>
      </c>
      <c r="AJ144" s="85">
        <f>IF(OR(EP144="",EP144=0),0,POWER(4*EW144/PI()/EO144/10^-7/EP144/(1-K144)/各项系数!$F$5/各项系数!$J$4,0.5))</f>
        <v>246.929476077883</v>
      </c>
      <c r="AK144" s="85">
        <f t="shared" si="585"/>
        <v>14.8514397549526</v>
      </c>
      <c r="AL144" s="85">
        <f t="shared" si="575"/>
        <v>1029.90059981588</v>
      </c>
      <c r="AM144" s="250">
        <f t="shared" si="576"/>
        <v>400</v>
      </c>
      <c r="AN144" s="118" t="s">
        <v>486</v>
      </c>
      <c r="AO144" s="259">
        <f>AP144+各项系数!$M$9*$NK144</f>
        <v>1009.70647040772</v>
      </c>
      <c r="AP144" s="259">
        <f>AQ144*(1+$BI144+(VLOOKUP($AM144,$A$12:$B$323,2,0))+各项系数!$J$6+各项系数!$M$5)*(1+$E$2)</f>
        <v>1004.11613308969</v>
      </c>
      <c r="AQ144" s="260">
        <f>AR144+各项系数!$L$9*$NK144</f>
        <v>1024.60829907111</v>
      </c>
      <c r="AR144" s="260">
        <f>AS144*(1+$BJ144+各项系数!$J$5+各项系数!$L$5)</f>
        <v>1019.01796175308</v>
      </c>
      <c r="AS144" s="260">
        <f t="shared" si="642"/>
        <v>999.037217404985</v>
      </c>
      <c r="AT144" s="259">
        <f>AU144+各项系数!$M$9*$NM144</f>
        <v>1018.35741310414</v>
      </c>
      <c r="AU144" s="259">
        <f>AV144*(1+$BI144+(VLOOKUP($AM144,$A$12:$B$323,2,0))+各项系数!$J$6+各项系数!$M$5)*(1+$E$2)</f>
        <v>1012.76707578611</v>
      </c>
      <c r="AV144" s="260">
        <f>AW144+各项系数!$L$9*$NM144</f>
        <v>1033.43579161848</v>
      </c>
      <c r="AW144" s="260">
        <f>AX144*(1+$BJ144+各项系数!$J$5+各项系数!$L$5)</f>
        <v>1027.84545430045</v>
      </c>
      <c r="AX144" s="260">
        <f t="shared" si="643"/>
        <v>1007.69162186319</v>
      </c>
      <c r="AY144" s="259">
        <f>AZ144+各项系数!$M$9*$NS144</f>
        <v>1016.74710947823</v>
      </c>
      <c r="AZ144" s="259">
        <f>BA144*(1+$BI144+(VLOOKUP($AM144,$A$12:$B$214,2,0))+各项系数!$J$6+各项系数!$M$5)*(1+$E$2)</f>
        <v>1011.12585769871</v>
      </c>
      <c r="BA144" s="260">
        <f>BB144+各项系数!$L$9*$NS144</f>
        <v>1031.7610792844</v>
      </c>
      <c r="BB144" s="260">
        <f>BC144*(1+$BJ144+各项系数!$J$5+各项系数!$L$5)</f>
        <v>1026.13982750488</v>
      </c>
      <c r="BC144" s="262">
        <f t="shared" si="644"/>
        <v>1006.01943873028</v>
      </c>
      <c r="BD144" s="259">
        <f>BE144+各项系数!$M$9*$NS144</f>
        <v>1025.41596007896</v>
      </c>
      <c r="BE144" s="259">
        <f>BF144*(1+$BI144+(VLOOKUP($AM144,$A$12:$B$214,2,0))+各项系数!$J$6+各项系数!$M$5)*(1+$E$2)</f>
        <v>1019.79470829944</v>
      </c>
      <c r="BF144" s="260">
        <f>BG144+各项系数!$L$9*$NS144</f>
        <v>1040.60684520351</v>
      </c>
      <c r="BG144" s="260">
        <f>BH144*(1+$BJ144+各项系数!$J$5+各项系数!$L$5)</f>
        <v>1034.985593424</v>
      </c>
      <c r="BH144" s="262">
        <f t="shared" si="645"/>
        <v>1014.69175825882</v>
      </c>
      <c r="BI144" s="277"/>
      <c r="BJ144" s="272"/>
      <c r="BK144" s="123" t="s">
        <v>514</v>
      </c>
      <c r="BL144" s="259">
        <f>BM144+各项系数!$M$9*$NM144</f>
        <v>1020.78764429551</v>
      </c>
      <c r="BM144" s="259">
        <f>BN144*(1+$CF144+(VLOOKUP($AM144,$A$12:$B$323,2,0))+各项系数!$J$6+各项系数!$M$5)*(1+$E$2)</f>
        <v>1015.19730697748</v>
      </c>
      <c r="BN144" s="260">
        <f>BO144+各项系数!$L$9*$NM144</f>
        <v>1035.91561936478</v>
      </c>
      <c r="BO144" s="260">
        <f>BP144*(1+$CG144+各项系数!$J$5+各项系数!$L$5)</f>
        <v>1030.32528204675</v>
      </c>
      <c r="BP144" s="260">
        <f t="shared" si="646"/>
        <v>1000.31580781238</v>
      </c>
      <c r="BQ144" s="259">
        <f>BR144+各项系数!$M$9*$NM144</f>
        <v>1028.2327909984</v>
      </c>
      <c r="BR144" s="259">
        <f>BS144*(1+$CF144+(VLOOKUP($AM144,$A$12:$B$323,2,0))+各项系数!$J$6+各项系数!$M$5)*(1+$E$2)</f>
        <v>1022.64245368037</v>
      </c>
      <c r="BS144" s="260">
        <f>BT144+各项系数!$L$9*$NM144</f>
        <v>1043.51270783712</v>
      </c>
      <c r="BT144" s="260">
        <f>BU144*(1+$CG144+各项系数!$J$5+各项系数!$L$5)</f>
        <v>1037.92237051909</v>
      </c>
      <c r="BU144" s="260">
        <f t="shared" si="647"/>
        <v>1007.69162186319</v>
      </c>
      <c r="BV144" s="259">
        <f>BW144+各项系数!$M$9*$NT144</f>
        <v>1022.3986521547</v>
      </c>
      <c r="BW144" s="259">
        <f>BX144*(1+$CF144+(VLOOKUP($AM144,$A$12:$B$214,2,0))+各项系数!$J$6+各项系数!$M$5)*(1+$E$2)</f>
        <v>1016.77740037518</v>
      </c>
      <c r="BX144" s="260">
        <f>BY144+各项系数!$L$9*$NT$12</f>
        <v>1037.52795956651</v>
      </c>
      <c r="BY144" s="260">
        <f>BZ144*(1+$CG144+各项系数!$J$5+各项系数!$L$5)</f>
        <v>1037.51969616336</v>
      </c>
      <c r="BZ144" s="262">
        <f t="shared" si="586"/>
        <v>1007.30067588676</v>
      </c>
      <c r="CA144" s="259">
        <f>CB144+各项系数!$M$9*$NT144</f>
        <v>1029.85921070106</v>
      </c>
      <c r="CB144" s="259">
        <f>CC144*(1+$CF144+(VLOOKUP($AM144,$A$12:$B$214,2,0))+各项系数!$J$6+各项系数!$M$5)*(1+$E$2)</f>
        <v>1024.23795892155</v>
      </c>
      <c r="CC144" s="260">
        <f>CD144+各项系数!$L$9*$NT$12</f>
        <v>1045.14077440974</v>
      </c>
      <c r="CD144" s="260">
        <f>CE144*(1+$CG144+各项系数!$J$5+各项系数!$L$5)</f>
        <v>1045.13251100658</v>
      </c>
      <c r="CE144" s="262">
        <f t="shared" si="648"/>
        <v>1014.69175825882</v>
      </c>
      <c r="CF144" s="277">
        <f t="shared" si="514"/>
        <v>0</v>
      </c>
      <c r="CG144" s="277">
        <f t="shared" si="587"/>
        <v>0.01</v>
      </c>
      <c r="CH144" s="123"/>
      <c r="CI144" s="259">
        <f>CJ144+各项系数!$M$9*$NO144</f>
        <v>1027.60671020211</v>
      </c>
      <c r="CJ144" s="259">
        <f>CK144*(1+$DC144+(VLOOKUP($AM144,$A$12:$B$323,2,0))+各项系数!$J$6+各项系数!$M$5)*(1+$E$2)+各项系数!$M$9*$NK144</f>
        <v>1020.36725135644</v>
      </c>
      <c r="CK144" s="260">
        <f>CL144+各项系数!$L$9*$NO144</f>
        <v>1035.48664697797</v>
      </c>
      <c r="CL144" s="260">
        <f>CM144*(1+$DD144+各项系数!$J$5+各项系数!$L$5)</f>
        <v>1028.2471881323</v>
      </c>
      <c r="CM144" s="260">
        <f t="shared" si="588"/>
        <v>1008.08547856107</v>
      </c>
      <c r="CN144" s="259">
        <f>CO144+各项系数!$M$9*$NO144</f>
        <v>1035.90776034507</v>
      </c>
      <c r="CO144" s="259">
        <f>CP144*(1+$DC144+(VLOOKUP($AM144,$A$12:$B$323,2,0))+各项系数!$J$6+各项系数!$M$5)*(1+$E$2)+各项系数!$M$9*$NK144</f>
        <v>1028.6683014994</v>
      </c>
      <c r="CP144" s="260">
        <f>CQ144+各项系数!$L$9*$NO144</f>
        <v>1043.95710630752</v>
      </c>
      <c r="CQ144" s="260">
        <f>CR144*(1+$DD144+各项系数!$J$5+各项系数!$L$5)</f>
        <v>1036.71764746185</v>
      </c>
      <c r="CR144" s="260">
        <f t="shared" si="589"/>
        <v>1016.38985045279</v>
      </c>
      <c r="CS144" s="259">
        <f>CT144+各项系数!$M$9*$NU144</f>
        <v>1029.25819753161</v>
      </c>
      <c r="CT144" s="259">
        <f t="shared" si="590"/>
        <v>1021.98693751469</v>
      </c>
      <c r="CU144" s="260">
        <f>CV144+各项系数!$L$9*$NU144</f>
        <v>1042.8438137905</v>
      </c>
      <c r="CV144" s="260">
        <f>CW144*(1+$DD144+各项系数!$J$5+各项系数!$L$5)</f>
        <v>1035.57255377358</v>
      </c>
      <c r="CW144" s="262">
        <f t="shared" si="591"/>
        <v>1015.26720958194</v>
      </c>
      <c r="CX144" s="259">
        <f>CY144+各项系数!$M$9*$NU144</f>
        <v>1038.16388016683</v>
      </c>
      <c r="CY144" s="259">
        <f t="shared" si="592"/>
        <v>1030.89262014991</v>
      </c>
      <c r="CZ144" s="260">
        <f>DA144+各项系数!$L$9*$NU144</f>
        <v>1051.93124505093</v>
      </c>
      <c r="DA144" s="260">
        <f>DB144*(1+$DD144+各项系数!$J$5+各项系数!$L$5)</f>
        <v>1044.65998503401</v>
      </c>
      <c r="DB144" s="262">
        <f t="shared" si="593"/>
        <v>1024.1764559157</v>
      </c>
      <c r="DC144" s="277">
        <f t="shared" si="571"/>
        <v>0</v>
      </c>
      <c r="DD144" s="277">
        <f t="shared" si="594"/>
        <v>0</v>
      </c>
      <c r="DE144" s="69" t="s">
        <v>498</v>
      </c>
      <c r="DF144" s="69" t="s">
        <v>513</v>
      </c>
      <c r="DG144" s="259">
        <f>DH144+各项系数!$M$9*$NQ144</f>
        <v>1038.8118893365</v>
      </c>
      <c r="DH144" s="259">
        <f>DI144*(1+$EA144+(VLOOKUP($AM144,$A$12:$B$323,2,0))+各项系数!$J$6+各项系数!$M$5)*(1+$E$2)+各项系数!$M$9*$NK144</f>
        <v>1031.57243049082</v>
      </c>
      <c r="DI144" s="260">
        <f>DJ144+各项系数!$L$9*$NQ144</f>
        <v>1046.92050323754</v>
      </c>
      <c r="DJ144" s="260">
        <f>DK144*(1+$EB144+各项系数!$J$5+各项系数!$L$5)</f>
        <v>1039.68104439187</v>
      </c>
      <c r="DK144" s="260">
        <f t="shared" si="595"/>
        <v>1009.39907222512</v>
      </c>
      <c r="DL144" s="259">
        <f>DM144+各项系数!$M$9*$NQ144</f>
        <v>1046.4608576693</v>
      </c>
      <c r="DM144" s="259">
        <f>DN144*(1+$EA144+(VLOOKUP($AM144,$A$12:$B$323,2,0))+各项系数!$J$6+各项系数!$M$5)*(1+$E$2)+各项系数!$M$9*$NK144</f>
        <v>1039.22139882363</v>
      </c>
      <c r="DN144" s="260">
        <f>DO144+各项系数!$L$9*$NQ144</f>
        <v>1054.7255729649</v>
      </c>
      <c r="DO144" s="260">
        <f>DP144*(1+$EB144+各项系数!$J$5+各项系数!$L$5)</f>
        <v>1047.48611411922</v>
      </c>
      <c r="DP144" s="260">
        <f t="shared" si="596"/>
        <v>1016.97680982449</v>
      </c>
      <c r="DQ144" s="259">
        <f>DR144+各项系数!$M$9*$NV144</f>
        <v>1040.53642925852</v>
      </c>
      <c r="DR144" s="259">
        <f t="shared" si="597"/>
        <v>1033.26516924161</v>
      </c>
      <c r="DS144" s="260">
        <f>DT144+各项系数!$L$9*$NV144</f>
        <v>1054.35221351184</v>
      </c>
      <c r="DT144" s="260">
        <f>DU144*(1+$EB144+各项系数!$J$5+各项系数!$L$5)</f>
        <v>1047.08095349492</v>
      </c>
      <c r="DU144" s="262">
        <f t="shared" si="598"/>
        <v>1016.58344999507</v>
      </c>
      <c r="DV144" s="259">
        <f>DW144+各项系数!$M$9*$NV144</f>
        <v>1038.44883628006</v>
      </c>
      <c r="DW144" s="259">
        <f t="shared" si="599"/>
        <v>1031.17757626314</v>
      </c>
      <c r="DX144" s="260">
        <f>DY144+各项系数!$L$9*$NV144</f>
        <v>1052.22201659504</v>
      </c>
      <c r="DY144" s="260">
        <f>DZ144*(1+$EB144+各项系数!$J$5+各项系数!$L$5)</f>
        <v>1044.95075657812</v>
      </c>
      <c r="DZ144" s="262">
        <f t="shared" si="600"/>
        <v>1014.51529764866</v>
      </c>
      <c r="EA144" s="277">
        <f t="shared" si="581"/>
        <v>0</v>
      </c>
      <c r="EB144" s="277">
        <f t="shared" si="601"/>
        <v>0.01</v>
      </c>
      <c r="EC144" s="302" t="str">
        <f t="shared" si="649"/>
        <v>4+1</v>
      </c>
      <c r="ED144" s="302" t="str">
        <f t="shared" si="680"/>
        <v>4*400</v>
      </c>
      <c r="EE144" s="251">
        <f t="shared" si="495"/>
        <v>400</v>
      </c>
      <c r="EF144" s="251" t="str">
        <f>LOOKUP(EH144,{1,7,10,14,19,24,30,37,48,61},{1,"1+6","2+8","4+10","1+6+12","2+8+14","4+10+16","1+6+12+18","3+9+15+21","1+6+12+18+24"})</f>
        <v>1+6+12+18+24</v>
      </c>
      <c r="EG144" s="250">
        <f t="shared" si="602"/>
        <v>4</v>
      </c>
      <c r="EH144" s="260">
        <f>VLOOKUP(EE144,各项系数!$B$87:$C$124,2,0)</f>
        <v>61</v>
      </c>
      <c r="EI144" s="250">
        <f>IF(EH144=0,0,VLOOKUP(EH144,各项系数!$D$142:$E$195,2,0))*1</f>
        <v>9</v>
      </c>
      <c r="EJ144" s="305">
        <f t="shared" si="650"/>
        <v>277.181191063812</v>
      </c>
      <c r="EK144" s="251" t="str">
        <f t="shared" si="681"/>
        <v>1*185</v>
      </c>
      <c r="EL144" s="251" t="str">
        <f t="shared" si="603"/>
        <v>185</v>
      </c>
      <c r="EM144" s="251">
        <f t="shared" si="682"/>
        <v>185</v>
      </c>
      <c r="EN144" s="251" t="str">
        <f>IF(EP144=0,0,LOOKUP(EP144,{1,7,10,14,19,24,30,37,48,61},{1,"1+6","2+8","4+10","1+6+12","2+8+14","4+10+16","1+6+12+18","3+9+15+21","1+6+12+18+24"}))</f>
        <v>1+6+12+18</v>
      </c>
      <c r="EO144" s="251" t="str">
        <f t="shared" si="683"/>
        <v>1</v>
      </c>
      <c r="EP144" s="251">
        <f>IF(EM144=0,0,IF(EM144&lt;10,1,IF(AND(EM144&gt;=10,EM144&lt;=35),7,LOOKUP(EM144,{50,70,95,120,150,185,240,300},{10,14,19,24,30,37,48,61})*1)))</f>
        <v>37</v>
      </c>
      <c r="EQ144" s="251">
        <f>IF(EP144=0,0,VLOOKUP(EP144,各项系数!$D$142:$E$195,2,0))*1</f>
        <v>7</v>
      </c>
      <c r="ER144" s="69">
        <f t="shared" si="577"/>
        <v>245.09808262108</v>
      </c>
      <c r="ES144" s="566">
        <f t="shared" si="684"/>
        <v>5</v>
      </c>
      <c r="ET144" s="251">
        <f>VLOOKUP(ES144,各项系数!$D$142:$E$195,2,0)*1</f>
        <v>2.7</v>
      </c>
      <c r="EU144" s="311">
        <f>((各项系数!$F$76/4*$EJ144^2*$EG144*$EH144*1*10^-7)*(1-$H144)*AA144)*(VLOOKUP($EY$9,各项系数!$D$4:$F$143,3,0))*各项系数!$J$4</f>
        <v>13.2841030040738</v>
      </c>
      <c r="EV144" s="312">
        <f>EU144*(VLOOKUP($EY$9,各项系数!$D$4:$F$143,2,0))</f>
        <v>870.108746766832</v>
      </c>
      <c r="EW144" s="324">
        <f>(IF($EO144=0,0,(各项系数!$F$76/4*$ER144^2*$EO144*$EP144*1*10^-7))*(1-$K144)*$AF144)*(VLOOKUP($EY$9,各项系数!$D$4:$F$143,3,0))*各项系数!$J$4</f>
        <v>1.56733675087884</v>
      </c>
      <c r="EX144" s="325">
        <f>EW144*(VLOOKUP($EY$9,各项系数!$D$4:$F$143,2,0))</f>
        <v>102.660557182564</v>
      </c>
      <c r="EY144" s="251">
        <f>((各项系数!$F$76/4*$EJ144^2*$EG144*$EH144*1*10^-7)*(1-$H144)*AA144+IF($EO144=0,0,(各项系数!$F$76/4*$ER144^2*$EO144*$EP144*1*10^-7))*(1-$K144)*$AF144)*(VLOOKUP($EY$9,各项系数!$D$4:$F$143,3,0))*各项系数!$J$4</f>
        <v>14.8514397549526</v>
      </c>
      <c r="EZ144" s="123">
        <v>1</v>
      </c>
      <c r="FA144" s="251">
        <f t="shared" si="515"/>
        <v>14.8514397549526</v>
      </c>
      <c r="FB144" s="326">
        <f>FA144*(VLOOKUP($EY$9,各项系数!$D$4:$F$143,2,0))</f>
        <v>972.769303949395</v>
      </c>
      <c r="FC144" s="327"/>
      <c r="FD144" s="302">
        <f>各项系数!$F$76/4*($MN144^2-MK144^2)*10^-2*(VLOOKUP(L144,各项系数!$D$1:$F$143,3,0))*10^-3*10^2*$EG144*各项系数!$J$4</f>
        <v>0.741233232132187</v>
      </c>
      <c r="FE144" s="339">
        <f>FD144*VLOOKUP(L144,各项系数!$D$1:$F$143,2,0)</f>
        <v>7.56057896774831</v>
      </c>
      <c r="FF144" s="250">
        <f>各项系数!$F$76/4*($MO144^2-ML144^2)*10^-2*(VLOOKUP(L144,各项系数!$D$1:$F$143,3,0))*10^-3*10^2*$EO144*各项系数!$J$4</f>
        <v>0.103191967285665</v>
      </c>
      <c r="FG144" s="339">
        <f>FF144*VLOOKUP(L144,各项系数!$D$1:$F$143,2,0)</f>
        <v>1.05255806631378</v>
      </c>
      <c r="FH144" s="302">
        <f t="shared" si="651"/>
        <v>0.844425199417852</v>
      </c>
      <c r="FI144" s="123">
        <v>1</v>
      </c>
      <c r="FJ144" s="251">
        <f t="shared" si="516"/>
        <v>0.844425199417852</v>
      </c>
      <c r="FK144" s="339">
        <f>FJ144*VLOOKUP(L144,各项系数!$D$1:$F$143,2,0)</f>
        <v>8.61313703406209</v>
      </c>
      <c r="FL144" s="302"/>
      <c r="FM144" s="123"/>
      <c r="FN144" s="251"/>
      <c r="FO144" s="339"/>
      <c r="FP144" s="364">
        <f t="shared" si="517"/>
        <v>0.844425199417852</v>
      </c>
      <c r="FQ144" s="364">
        <f t="shared" si="518"/>
        <v>8.61313703406209</v>
      </c>
      <c r="FR144" s="365">
        <f>各项系数!$F$76/4*($MQ144^2-$MN144^2*$EG144-$MO144^2*$EO144)*10^-2</f>
        <v>12.8707356504125</v>
      </c>
      <c r="FS144" s="366">
        <f t="shared" si="652"/>
        <v>1</v>
      </c>
      <c r="FT144" s="367">
        <f t="shared" si="604"/>
        <v>12.8707356504125</v>
      </c>
      <c r="FU144" s="388">
        <f>$FT144*(VLOOKUP($FT$9,各项系数!$D$1:$F$143,3,0))*10^-3*10^2*各项系数!$J$55</f>
        <v>1.53676583665925</v>
      </c>
      <c r="FV144" s="389">
        <v>1</v>
      </c>
      <c r="FW144" s="390">
        <f t="shared" si="519"/>
        <v>1.53676583665925</v>
      </c>
      <c r="FX144" s="367">
        <f>FW144*(VLOOKUP($FT$9,各项系数!$D$1:$F$143,2,0))</f>
        <v>4.61029750997776</v>
      </c>
      <c r="FY144" s="388">
        <f>IF($BK144&lt;&gt;$FY$9,0,各项系数!$F$76/4*($MS144^2-$MQ144^2)*10^-2*(VLOOKUP($FY$9,各项系数!$D$1:$F$143,3,0))*10^-3*10^2)*各项系数!$J$4</f>
        <v>0</v>
      </c>
      <c r="FZ144" s="389">
        <v>1</v>
      </c>
      <c r="GA144" s="390">
        <f t="shared" si="520"/>
        <v>0</v>
      </c>
      <c r="GB144" s="367">
        <f>GA144*(VLOOKUP($FY$9,各项系数!$D$1:$F$143,2,0))</f>
        <v>0</v>
      </c>
      <c r="GC144" s="388">
        <f>IF($BK144&lt;&gt;$GC$9,0,各项系数!$F$76/4*($MS144^2-$MQ144^2)*10^-2*(VLOOKUP($GC$9,各项系数!$D$1:$F$143,3,0))*10^-3*10^2)*各项系数!$J$4</f>
        <v>0.0200445610556585</v>
      </c>
      <c r="GD144" s="389">
        <v>1</v>
      </c>
      <c r="GE144" s="390">
        <f t="shared" si="521"/>
        <v>0.0200445610556585</v>
      </c>
      <c r="GF144" s="367">
        <f>GE144*(VLOOKUP($GC$9,各项系数!$D$1:$F$143,2,0))</f>
        <v>0.258574837617994</v>
      </c>
      <c r="GG144" s="388">
        <f>IF($BK144&lt;&gt;$GG$9,0,各项系数!$F$76/4*($MS144^2-$MQ144^2)*10^-2*(VLOOKUP($GG$9,各项系数!$D$1:$F$143,3,0))*10^-3*10^2)*各项系数!$J$4</f>
        <v>0</v>
      </c>
      <c r="GH144" s="389">
        <v>1</v>
      </c>
      <c r="GI144" s="390">
        <f t="shared" si="522"/>
        <v>0</v>
      </c>
      <c r="GJ144" s="367">
        <f>GI144*(VLOOKUP($GG$9,各项系数!$D$1:$F$143,2,0))</f>
        <v>0</v>
      </c>
      <c r="GK144" s="388">
        <f>IF($BK144&lt;&gt;$GK$9,0,各项系数!$F$76/4*($MS144^2-$MQ144^2)*10^-2*(VLOOKUP($GK$9,各项系数!$D$1:$F$143,3,0))*10^-3*10^2)*各项系数!$J$4</f>
        <v>0</v>
      </c>
      <c r="GL144" s="389">
        <v>1</v>
      </c>
      <c r="GM144" s="390">
        <f t="shared" si="523"/>
        <v>0</v>
      </c>
      <c r="GN144" s="367">
        <f>GM144*(VLOOKUP($GK$9,各项系数!$D$1:$F$143,2,0))</f>
        <v>0</v>
      </c>
      <c r="GO144" s="390">
        <f t="shared" si="524"/>
        <v>0.0200445610556585</v>
      </c>
      <c r="GP144" s="390">
        <f t="shared" si="525"/>
        <v>0.258574837617994</v>
      </c>
      <c r="GQ144" s="406">
        <f>各项系数!$F$76/4*($MU144^2-$MS144^2)*10^-2*(VLOOKUP($S144,各项系数!$D$1:$F$143,3,0))*10^-3*10^2*各项系数!$J$4</f>
        <v>1.36478194167483</v>
      </c>
      <c r="GR144" s="389">
        <v>1</v>
      </c>
      <c r="GS144" s="390">
        <f t="shared" si="526"/>
        <v>1.36478194167483</v>
      </c>
      <c r="GT144" s="390">
        <f t="shared" si="457"/>
        <v>0</v>
      </c>
      <c r="GU144" s="390">
        <f>ROUND($GS144*(VLOOKUP($S144,各项系数!$D$1:$F$143,2,0))+$E$3*GS144,GT144)</f>
        <v>8</v>
      </c>
      <c r="GV144" s="406">
        <f>各项系数!$F$76/4*($MT144^2-$MS144^2)*10^-2*(VLOOKUP($GV$9,各项系数!$D$1:$F$143,3,0))*10^-3*10^2*各项系数!$J$4*PI()/4*R144</f>
        <v>0.103048204954703</v>
      </c>
      <c r="GW144" s="389">
        <v>1</v>
      </c>
      <c r="GX144" s="390">
        <f t="shared" si="527"/>
        <v>0.103048204954703</v>
      </c>
      <c r="GY144" s="390">
        <f>$GX144*(VLOOKUP($GV$9,各项系数!$D$1:$F$143,2,0))</f>
        <v>6.95575383444244</v>
      </c>
      <c r="GZ144" s="406">
        <f>各项系数!$F$76/4*($MV144^2-$MS144^2)*10^-2*(VLOOKUP($GZ$9,各项系数!$D$1:$F$143,3,0))*10^-3*10^2*各项系数!$J$4</f>
        <v>1.26119461953751</v>
      </c>
      <c r="HA144" s="389">
        <v>1</v>
      </c>
      <c r="HB144" s="390">
        <f t="shared" si="653"/>
        <v>1.26119461953751</v>
      </c>
      <c r="HC144" s="390">
        <f>HB144*(VLOOKUP($GZ$9,各项系数!$D$1:$F$143,2,0))</f>
        <v>21.4403085321377</v>
      </c>
      <c r="HD144" s="406">
        <f>各项系数!$F$76/4*($MW144^2-$MT144^2)*10^-2*(VLOOKUP($HD$9,各项系数!$D$1:$F$143,3,0))*10^-3*10^2*各项系数!$J$4</f>
        <v>1.26380535843087</v>
      </c>
      <c r="HE144" s="389">
        <v>1</v>
      </c>
      <c r="HF144" s="390">
        <f t="shared" si="654"/>
        <v>1.26380535843087</v>
      </c>
      <c r="HG144" s="390">
        <f>HF144*(VLOOKUP($HD$9,各项系数!$D$1:$F$143,2,0))</f>
        <v>21.4846910933248</v>
      </c>
      <c r="HH144" s="406">
        <f>各项系数!$F$76/4*($MV144^2-$MS144^2)*10^-2*(VLOOKUP($HH$9,各项系数!$D$1:$F$143,3,0))*10^-3*10^2*各项系数!$J$4</f>
        <v>1.26119461953751</v>
      </c>
      <c r="HI144" s="420">
        <v>1</v>
      </c>
      <c r="HJ144" s="390">
        <f t="shared" si="655"/>
        <v>1.26119461953751</v>
      </c>
      <c r="HK144" s="390">
        <f>HJ144*(VLOOKUP($HH$9,各项系数!$D$1:$F$143,2,0))</f>
        <v>21.4403085321377</v>
      </c>
      <c r="HL144" s="406">
        <f>各项系数!$F$76/4*($MW144^2-$MT144^2)*10^-2*(VLOOKUP($HL$9,各项系数!$D$1:$F$143,3,0))*10^-3*10^2*各项系数!$J$4</f>
        <v>1.26380535843087</v>
      </c>
      <c r="HM144" s="420">
        <v>1</v>
      </c>
      <c r="HN144" s="390">
        <f t="shared" si="605"/>
        <v>1.26380535843087</v>
      </c>
      <c r="HO144" s="390">
        <f>HN144*(VLOOKUP($HL$9,各项系数!$D$1:$F$143,2,0))</f>
        <v>21.4846910933248</v>
      </c>
      <c r="HP144" s="406">
        <f>各项系数!$F$76/4*($MV144^2-$MS144^2)*10^-2*(VLOOKUP(AN144,各项系数!$D$1:$F$143,3,0))*10^-3*10^2*各项系数!$J$4</f>
        <v>1.2785904073932</v>
      </c>
      <c r="HQ144" s="389">
        <v>1</v>
      </c>
      <c r="HR144" s="390">
        <f t="shared" si="528"/>
        <v>1.2785904073932</v>
      </c>
      <c r="HS144" s="390">
        <f>HR144*(VLOOKUP(AN144,各项系数!$D$1:$F$143,2,0))</f>
        <v>12.785904073932</v>
      </c>
      <c r="HT144" s="406">
        <f>各项系数!$F$76/4*($MW144^2-$MT144^2)*10^-2*(VLOOKUP(AN144,各项系数!$D$1:$F$143,3,0))*10^-3*10^2*各项系数!$J$4</f>
        <v>1.28123715647819</v>
      </c>
      <c r="HU144" s="389">
        <v>1</v>
      </c>
      <c r="HV144" s="390">
        <f t="shared" si="529"/>
        <v>1.28123715647819</v>
      </c>
      <c r="HW144" s="390">
        <f>HV144*(VLOOKUP(AN144,各项系数!$D$1:$F$143,2,0))</f>
        <v>12.8123715647819</v>
      </c>
      <c r="HX144" s="406">
        <f>各项系数!$F$76/4*($MV144^2-$MS144^2)*10^-2*(VLOOKUP($HX$9,各项系数!$D$1:$F$143,3,0))*10^-3*10^2*各项系数!$J$4</f>
        <v>1.2785904073932</v>
      </c>
      <c r="HY144" s="420">
        <v>1</v>
      </c>
      <c r="HZ144" s="390">
        <f t="shared" si="530"/>
        <v>1.2785904073932</v>
      </c>
      <c r="IA144" s="390">
        <f>HZ144*(VLOOKUP($HX$9,各项系数!$D$1:$F$143,2,0))</f>
        <v>14.0644944813252</v>
      </c>
      <c r="IB144" s="406">
        <f>各项系数!$F$76/4*($MW144^2-$MT144^2)*10^-2*(VLOOKUP($IB$9,各项系数!$D$1:$F$143,3,0))*10^-3*10^2*各项系数!$J$4</f>
        <v>1.28123715647819</v>
      </c>
      <c r="IC144" s="420">
        <v>1</v>
      </c>
      <c r="ID144" s="390">
        <f t="shared" si="531"/>
        <v>1.28123715647819</v>
      </c>
      <c r="IE144" s="390">
        <f>ID144*(VLOOKUP($IB$9,各项系数!$D$1:$F$143,2,0))</f>
        <v>14.0936087212601</v>
      </c>
      <c r="IF144" s="429"/>
      <c r="IG144" s="406">
        <f t="shared" si="656"/>
        <v>0.166606348510619</v>
      </c>
      <c r="IH144" s="389">
        <v>1</v>
      </c>
      <c r="II144" s="390">
        <f t="shared" si="532"/>
        <v>0.166606348510619</v>
      </c>
      <c r="IJ144" s="390">
        <f>II144*(VLOOKUP($IG$8,各项系数!$D$1:$F$143,2,0))</f>
        <v>4.16515871276547</v>
      </c>
      <c r="IK144" s="406">
        <f>(各项系数!$F$76/4*($MX144^2-$MK144^2)*$EG144)*10^-2*(VLOOKUP($IG$8,各项系数!$D$1:$F$143,3,0))*10^-3*10^2*各项系数!$J$4</f>
        <v>0.14205068123829</v>
      </c>
      <c r="IL144" s="389">
        <f>IK144*(VLOOKUP($IG$8,各项系数!$D$1:$F$143,2,0))</f>
        <v>3.55126703095725</v>
      </c>
      <c r="IM144" s="390">
        <f>(各项系数!$F$76/4*(($MM144+3*$X144)^2-MM144^2)*$EO144)*10^-2*(VLOOKUP($IG$8,各项系数!$D$1:$F$143,3,0))*10^-3*10^2*各项系数!$J$4</f>
        <v>0.0245556672723285</v>
      </c>
      <c r="IN144" s="389">
        <f>IM144*(VLOOKUP($IG$8,各项系数!$D$1:$F$143,2,0))</f>
        <v>0.613891681808213</v>
      </c>
      <c r="IO144" s="406">
        <f>各项系数!$F$76/4*($MZ144^2-$MX144^2)*10^-2*(VLOOKUP(L144,各项系数!$D$1:$F$143,3,0))*10^-3*10^2*$ES144*各项系数!$J$4</f>
        <v>0.947172379121358</v>
      </c>
      <c r="IP144" s="389">
        <v>1</v>
      </c>
      <c r="IQ144" s="390">
        <f t="shared" si="533"/>
        <v>0.947172379121358</v>
      </c>
      <c r="IR144" s="367">
        <f>IQ144*(VLOOKUP(L144,各项系数!$D$1:$F$143,2,0))</f>
        <v>9.66115826703785</v>
      </c>
      <c r="IS144" s="406">
        <f>IF($L144&lt;&gt;$IS$9,0,各项系数!$F$76/4*($MZ144^2-$MX144^2)*10^-2*各项系数!$F$12*10^-3*10^2)*$ES144*各项系数!$J$4</f>
        <v>0</v>
      </c>
      <c r="IT144" s="389">
        <v>1</v>
      </c>
      <c r="IU144" s="390">
        <f t="shared" si="534"/>
        <v>0</v>
      </c>
      <c r="IV144" s="367">
        <f>IU144*各项系数!$E$12</f>
        <v>0</v>
      </c>
      <c r="IW144" s="388">
        <f t="shared" si="535"/>
        <v>0.947172379121358</v>
      </c>
      <c r="IX144" s="388">
        <f t="shared" si="536"/>
        <v>9.66115826703785</v>
      </c>
      <c r="IY144" s="447">
        <f>各项系数!$F$76/4*($NB144^2-$MZ144^2*$EG144-$NA144^2*$EO144)*10^-2</f>
        <v>13.707827696161</v>
      </c>
      <c r="IZ144" s="366">
        <f t="shared" si="487"/>
        <v>1</v>
      </c>
      <c r="JA144" s="367">
        <f t="shared" si="606"/>
        <v>13.707827696161</v>
      </c>
      <c r="JB144" s="364">
        <f>IF($DE144&lt;&gt;$JB$9,0,$JA144*各项系数!$F$32*10^-3*10^2)*各项系数!$J$4</f>
        <v>0</v>
      </c>
      <c r="JC144" s="123">
        <v>1</v>
      </c>
      <c r="JD144" s="251">
        <f t="shared" si="537"/>
        <v>0</v>
      </c>
      <c r="JE144" s="339">
        <f>JD144*各项系数!$E$32</f>
        <v>0</v>
      </c>
      <c r="JF144" s="364">
        <f>IF($DE144&lt;&gt;$JF$9,0,$JA144*VLOOKUP($JF$9,各项系数!$D$4:$F$540,2,0)*10^-3*10^2)*各项系数!$J$4</f>
        <v>6.81964427884009</v>
      </c>
      <c r="JG144" s="123">
        <v>1</v>
      </c>
      <c r="JH144" s="251">
        <f t="shared" si="607"/>
        <v>6.81964427884009</v>
      </c>
      <c r="JI144" s="339">
        <f>JH144*VLOOKUP($JF$9,各项系数!$D$4:$F$540,3,0)</f>
        <v>8.18357313460811</v>
      </c>
      <c r="JJ144" s="364">
        <f t="shared" si="538"/>
        <v>6.81964427884009</v>
      </c>
      <c r="JK144" s="251">
        <f t="shared" si="539"/>
        <v>8.18357313460811</v>
      </c>
      <c r="JL144" s="364">
        <f>IF($DF144&lt;&gt;$JL$9,0,各项系数!$F$76/4*($NE144^2-$NC144^2)*10^-2*各项系数!$F$39*10^-3*10^2)*各项系数!$J$4</f>
        <v>0.00851739284228676</v>
      </c>
      <c r="JM144" s="123">
        <v>1</v>
      </c>
      <c r="JN144" s="251">
        <f t="shared" si="540"/>
        <v>0.00851739284228676</v>
      </c>
      <c r="JO144" s="339">
        <f>JN144*各项系数!$E$39</f>
        <v>0.170347856845735</v>
      </c>
      <c r="JP144" s="364">
        <f>IF($DF144&lt;&gt;$JP$9,0,各项系数!$F$76/4*($NE144^2-$NC144^2)*10^-2*各项系数!$F$36*10^-3*10^2)*各项系数!$J$4</f>
        <v>0</v>
      </c>
      <c r="JQ144" s="123">
        <v>1</v>
      </c>
      <c r="JR144" s="251">
        <f t="shared" si="541"/>
        <v>0</v>
      </c>
      <c r="JS144" s="339">
        <f>JR144*各项系数!$E$36</f>
        <v>0</v>
      </c>
      <c r="JT144" s="364">
        <f>IF($DF144&lt;&gt;$JT$9,0,各项系数!$F$76/4*($NE144^2-$NC144^2)*10^-2*各项系数!$F$40*10^-3*10^2)*各项系数!$J$4</f>
        <v>0</v>
      </c>
      <c r="JU144" s="123">
        <v>1</v>
      </c>
      <c r="JV144" s="251">
        <f t="shared" si="542"/>
        <v>0</v>
      </c>
      <c r="JW144" s="339">
        <f>JV144*各项系数!$E$40</f>
        <v>0</v>
      </c>
      <c r="JX144" s="364">
        <f>IF($DF144&lt;&gt;$JX$9,0,各项系数!$F$76/4*($NE144^2-$NC144^2)*10^-2*各项系数!$F$38*10^-3*10^2)*各项系数!$J$4</f>
        <v>0</v>
      </c>
      <c r="JY144" s="123">
        <v>1</v>
      </c>
      <c r="JZ144" s="251">
        <f t="shared" si="543"/>
        <v>0</v>
      </c>
      <c r="KA144" s="339">
        <f>JZ144*各项系数!$E$38</f>
        <v>0</v>
      </c>
      <c r="KB144" s="364">
        <f>IF($DF144&lt;&gt;$KB$9,0,各项系数!$F$76/4*($NE144^2-$NC144^2)*10^-2*各项系数!$F$41*10^-3*10^2)*各项系数!$J$4</f>
        <v>0</v>
      </c>
      <c r="KC144" s="123">
        <v>1</v>
      </c>
      <c r="KD144" s="251">
        <f t="shared" si="544"/>
        <v>0</v>
      </c>
      <c r="KE144" s="339">
        <f>KD144*各项系数!$E$41</f>
        <v>0</v>
      </c>
      <c r="KF144" s="251">
        <f t="shared" si="545"/>
        <v>0.00851739284228676</v>
      </c>
      <c r="KG144" s="251">
        <f t="shared" si="546"/>
        <v>0.170347856845735</v>
      </c>
      <c r="KH144" s="302">
        <f>各项系数!$F$76/4*($NG144^2-$NE144^2)*10^-2*各项系数!$F$44*10^-3*10^2*各项系数!$J$4*0.75*$U144</f>
        <v>2.10536285022378</v>
      </c>
      <c r="KI144" s="123">
        <v>1</v>
      </c>
      <c r="KJ144" s="251">
        <f t="shared" si="547"/>
        <v>2.10536285022378</v>
      </c>
      <c r="KK144" s="251">
        <f>ROUND(KJ144*各项系数!$E$43,GT144)</f>
        <v>12</v>
      </c>
      <c r="KL144" s="302">
        <f>各项系数!$F$76/4*($NF144^2-$NE144^2)*10^-2*各项系数!$F$46*10^-3*10^2*各项系数!$J$4*PI()/4*R144</f>
        <v>0.10600390414844</v>
      </c>
      <c r="KM144" s="123">
        <v>1</v>
      </c>
      <c r="KN144" s="251">
        <f t="shared" si="548"/>
        <v>0.10600390414844</v>
      </c>
      <c r="KO144" s="251">
        <f>KN144*各项系数!$E$46</f>
        <v>7.15526353001968</v>
      </c>
      <c r="KP144" s="302">
        <f>各项系数!$F$76/4*($NH144^2-$NE144^2)*10^-2*(VLOOKUP($KP$9,各项系数!$D$1:$F$143,3,0))*10^-3*10^2*各项系数!$J$4</f>
        <v>1.29572164140216</v>
      </c>
      <c r="KQ144" s="123">
        <v>1</v>
      </c>
      <c r="KR144" s="251">
        <f t="shared" si="657"/>
        <v>1.29572164140216</v>
      </c>
      <c r="KS144" s="251">
        <f>KR144*(VLOOKUP($KP$9,各项系数!$D$1:$F$143,2,0))</f>
        <v>22.0272679038366</v>
      </c>
      <c r="KT144" s="302">
        <f>各项系数!$F$76/4*($NI144^2-$NF144^2)*10^-2*(VLOOKUP($KT$9,各项系数!$D$1:$F$143,3,0))*10^-3*10^2*各项系数!$J$4</f>
        <v>1.29833238029551</v>
      </c>
      <c r="KU144" s="123">
        <v>1</v>
      </c>
      <c r="KV144" s="251">
        <f t="shared" si="658"/>
        <v>1.29833238029551</v>
      </c>
      <c r="KW144" s="251">
        <f>KV144*(VLOOKUP($KT$9,各项系数!$D$1:$F$143,2,0))</f>
        <v>22.0716504650237</v>
      </c>
      <c r="KX144" s="251">
        <f>各项系数!$F$76/4*($NH144^2-$NE144^2)*10^-2*(VLOOKUP($KX$9,各项系数!$D$1:$F$143,3,0))*10^-3*10^2*各项系数!$J$4</f>
        <v>1.29572164140216</v>
      </c>
      <c r="KY144" s="479">
        <v>1</v>
      </c>
      <c r="KZ144" s="251">
        <f t="shared" si="659"/>
        <v>1.29572164140216</v>
      </c>
      <c r="LA144" s="251">
        <f>KZ144*(VLOOKUP($KX$9,各项系数!$D$1:$F$143,2,0))</f>
        <v>22.0272679038366</v>
      </c>
      <c r="LB144" s="251">
        <f>各项系数!$F$76/4*($NI144^2-$NF144^2)*10^-2*(VLOOKUP($LB$9,各项系数!$D$1:$F$143,3,0))*10^-3*10^2*各项系数!$J$4</f>
        <v>1.29833238029551</v>
      </c>
      <c r="LC144" s="479">
        <v>1</v>
      </c>
      <c r="LD144" s="251">
        <f t="shared" si="660"/>
        <v>1.29833238029551</v>
      </c>
      <c r="LE144" s="251">
        <f>LD144*(VLOOKUP($LB$9,各项系数!$D$1:$F$143,2,0))</f>
        <v>22.0716504650237</v>
      </c>
      <c r="LF144" s="302">
        <f>各项系数!$F$76/4*($NH144^2-$NE144^2)*10^-2*(VLOOKUP(AN144,各项系数!$D$1:$F$143,3,0))*10^-3*10^2*各项系数!$J$4</f>
        <v>1.31359366404219</v>
      </c>
      <c r="LG144" s="123">
        <v>1</v>
      </c>
      <c r="LH144" s="251">
        <f t="shared" si="549"/>
        <v>1.31359366404219</v>
      </c>
      <c r="LI144" s="251">
        <f>LH144*(VLOOKUP(AN144,各项系数!$D$1:$F$143,2,0))</f>
        <v>13.1359366404219</v>
      </c>
      <c r="LJ144" s="302">
        <f>各项系数!$F$76/4*($NI144^2-$NF144^2)*10^-2*(VLOOKUP(AN144,各项系数!$D$1:$F$143,3,0))*10^-3*10^2*各项系数!$J$4</f>
        <v>1.31624041312718</v>
      </c>
      <c r="LK144" s="123">
        <v>1</v>
      </c>
      <c r="LL144" s="251">
        <f t="shared" si="550"/>
        <v>1.31624041312718</v>
      </c>
      <c r="LM144" s="251">
        <f>LL144*(VLOOKUP(AN144,各项系数!$D$1:$F$143,2,0))</f>
        <v>13.1624041312718</v>
      </c>
      <c r="LN144" s="251">
        <f>各项系数!$F$76/4*($NH144^2-$NE144^2)*10^-2*(VLOOKUP($LN$9,各项系数!$D$1:$F$143,3,0))*10^-3*10^2*各项系数!$J$4</f>
        <v>1.31359366404219</v>
      </c>
      <c r="LO144" s="479">
        <v>1</v>
      </c>
      <c r="LP144" s="251">
        <f t="shared" si="551"/>
        <v>1.31359366404219</v>
      </c>
      <c r="LQ144" s="251">
        <f>LP144*(VLOOKUP($LN$9,各项系数!$D$1:$F$143,2,0))</f>
        <v>14.449530304464</v>
      </c>
      <c r="LR144" s="251">
        <f>各项系数!$F$76/4*($NI144^2-$NF144^2)*10^-2*(VLOOKUP($LR$9,各项系数!$D$1:$F$143,3,0))*10^-3*10^2*各项系数!$J$4</f>
        <v>1.31624041312718</v>
      </c>
      <c r="LS144" s="479">
        <v>1</v>
      </c>
      <c r="LT144" s="251">
        <f t="shared" si="552"/>
        <v>1.31624041312718</v>
      </c>
      <c r="LU144" s="251">
        <f>LT144*(VLOOKUP($LR$9,各项系数!$D$1:$F$143,2,0))</f>
        <v>14.4786445443989</v>
      </c>
      <c r="LV144" s="499">
        <f t="shared" si="661"/>
        <v>1955.07041857</v>
      </c>
      <c r="LW144" s="499">
        <f t="shared" si="662"/>
        <v>1472.33698189</v>
      </c>
      <c r="LX144" s="499">
        <f t="shared" si="663"/>
        <v>43.2970861435082</v>
      </c>
      <c r="LY144" s="515">
        <f t="shared" si="664"/>
        <v>482.73343668</v>
      </c>
      <c r="LZ144" s="516">
        <f t="shared" si="608"/>
        <v>1</v>
      </c>
      <c r="MA144" s="517">
        <f t="shared" si="609"/>
        <v>1955.07041857</v>
      </c>
      <c r="MB144" s="517">
        <f t="shared" si="665"/>
        <v>24.94630719</v>
      </c>
      <c r="MC144" s="499">
        <f t="shared" si="666"/>
        <v>231.18826676</v>
      </c>
      <c r="MD144" s="499">
        <f t="shared" si="667"/>
        <v>174.57073258</v>
      </c>
      <c r="ME144" s="499">
        <f t="shared" si="668"/>
        <v>14.9087343552108</v>
      </c>
      <c r="MF144" s="499">
        <f t="shared" si="669"/>
        <v>56.61753418</v>
      </c>
      <c r="MG144" s="516">
        <f t="shared" si="670"/>
        <v>1</v>
      </c>
      <c r="MH144" s="517">
        <f t="shared" si="610"/>
        <v>231.18826676</v>
      </c>
      <c r="MI144" s="517">
        <f t="shared" si="671"/>
        <v>17.1568657836335</v>
      </c>
      <c r="MJ144" s="251">
        <f t="shared" si="611"/>
        <v>24.94630719</v>
      </c>
      <c r="MK144" s="251">
        <f t="shared" si="672"/>
        <v>24.94630719</v>
      </c>
      <c r="ML144" s="251">
        <f t="shared" si="553"/>
        <v>17.1568657834756</v>
      </c>
      <c r="MM144" s="251">
        <f t="shared" si="612"/>
        <v>17.1568657836335</v>
      </c>
      <c r="MN144" s="251">
        <f t="shared" si="613"/>
        <v>28.94630719</v>
      </c>
      <c r="MO144" s="251">
        <f t="shared" si="673"/>
        <v>20.3568657836335</v>
      </c>
      <c r="MP144" s="251">
        <f t="shared" si="674"/>
        <v>73.51673105</v>
      </c>
      <c r="MQ144" s="251">
        <f t="shared" si="554"/>
        <v>73.51673105</v>
      </c>
      <c r="MR144" s="314">
        <f t="shared" si="675"/>
        <v>73.51673105</v>
      </c>
      <c r="MS144" s="530">
        <f t="shared" si="614"/>
        <v>73.69273105</v>
      </c>
      <c r="MT144" s="530">
        <f t="shared" si="615"/>
        <v>73.85273105</v>
      </c>
      <c r="MU144" s="530">
        <f t="shared" si="616"/>
        <v>75.19273105</v>
      </c>
      <c r="MV144" s="530">
        <f t="shared" si="617"/>
        <v>80.89273105</v>
      </c>
      <c r="MW144" s="530">
        <f t="shared" si="618"/>
        <v>81.05273105</v>
      </c>
      <c r="MX144" s="326">
        <f t="shared" si="619"/>
        <v>25.54630719</v>
      </c>
      <c r="MY144" s="326">
        <f t="shared" si="620"/>
        <v>17.7568657836335</v>
      </c>
      <c r="MZ144" s="251">
        <f t="shared" si="621"/>
        <v>29.54630719</v>
      </c>
      <c r="NA144" s="251">
        <f t="shared" si="622"/>
        <v>21.7568657836335</v>
      </c>
      <c r="NB144" s="251">
        <f t="shared" si="676"/>
        <v>75.56873105</v>
      </c>
      <c r="NC144" s="326">
        <f t="shared" si="555"/>
        <v>75.56873105</v>
      </c>
      <c r="ND144" s="314">
        <f t="shared" si="677"/>
        <v>75.56873105</v>
      </c>
      <c r="NE144" s="537">
        <f t="shared" si="678"/>
        <v>75.80873105</v>
      </c>
      <c r="NF144" s="530">
        <f t="shared" si="623"/>
        <v>75.96873105</v>
      </c>
      <c r="NG144" s="538">
        <f t="shared" si="624"/>
        <v>77.30873105</v>
      </c>
      <c r="NH144" s="326">
        <f t="shared" si="625"/>
        <v>83.00873105</v>
      </c>
      <c r="NI144" s="530">
        <f t="shared" si="626"/>
        <v>83.16873105</v>
      </c>
      <c r="NK144" s="539">
        <f t="shared" si="627"/>
        <v>18.6344577267642</v>
      </c>
      <c r="NL144" s="539">
        <f t="shared" si="628"/>
        <v>1000.0897754713</v>
      </c>
      <c r="NM144" s="539">
        <f t="shared" si="629"/>
        <v>18.6344577267642</v>
      </c>
      <c r="NN144" s="539">
        <f t="shared" si="630"/>
        <v>1001.36836587869</v>
      </c>
      <c r="NO144" s="539">
        <f t="shared" si="631"/>
        <v>24.1315294855815</v>
      </c>
      <c r="NP144" s="539">
        <f t="shared" si="632"/>
        <v>1008.69937024288</v>
      </c>
      <c r="NQ144" s="539">
        <f t="shared" si="633"/>
        <v>24.1315294855815</v>
      </c>
      <c r="NR144" s="539">
        <f t="shared" si="634"/>
        <v>1010.01296390692</v>
      </c>
      <c r="NS144" s="539">
        <f t="shared" si="635"/>
        <v>18.7375059317189</v>
      </c>
      <c r="NT144" s="539">
        <f t="shared" si="636"/>
        <v>18.7375059317189</v>
      </c>
      <c r="NU144" s="539">
        <f t="shared" si="637"/>
        <v>24.2375333897299</v>
      </c>
      <c r="NV144" s="539">
        <f t="shared" si="638"/>
        <v>24.2375333897299</v>
      </c>
      <c r="NW144">
        <f t="shared" si="639"/>
        <v>19.9992396684391</v>
      </c>
      <c r="NX144">
        <f>各项系数!$M$9*NK144</f>
        <v>5.59033731802927</v>
      </c>
      <c r="NY144">
        <f t="shared" si="640"/>
        <v>18.7375059317189</v>
      </c>
    </row>
    <row r="145" customHeight="1" spans="1:389">
      <c r="A145" s="23"/>
      <c r="B145" s="182"/>
      <c r="C145" s="556"/>
      <c r="D145" s="261" t="s">
        <v>937</v>
      </c>
      <c r="E145" s="77">
        <f t="shared" si="679"/>
        <v>91.23495241</v>
      </c>
      <c r="F145" s="84">
        <f>$F$33</f>
        <v>314.103042329295</v>
      </c>
      <c r="G145" s="74"/>
      <c r="H145" s="23"/>
      <c r="I145" s="174">
        <f>$F$30</f>
        <v>246.701228113631</v>
      </c>
      <c r="J145" s="78"/>
      <c r="K145" s="23"/>
      <c r="L145" s="118" t="s">
        <v>467</v>
      </c>
      <c r="M145" s="124">
        <f t="shared" si="582"/>
        <v>2.2</v>
      </c>
      <c r="N145" s="124">
        <f t="shared" si="583"/>
        <v>1.7</v>
      </c>
      <c r="O145" s="69">
        <f t="shared" si="580"/>
        <v>0.08</v>
      </c>
      <c r="P145" s="120">
        <v>0.1</v>
      </c>
      <c r="Q145" s="162">
        <f t="shared" si="685"/>
        <v>0.1</v>
      </c>
      <c r="R145" s="86">
        <v>0.8</v>
      </c>
      <c r="S145" s="171" t="str">
        <f>各项系数!$D$43</f>
        <v>钢带</v>
      </c>
      <c r="T145" s="78">
        <v>0.5</v>
      </c>
      <c r="U145" s="78">
        <v>2</v>
      </c>
      <c r="V145" s="172"/>
      <c r="W145" s="174">
        <v>3.9</v>
      </c>
      <c r="X145" s="164">
        <f t="shared" si="686"/>
        <v>0.2</v>
      </c>
      <c r="Y145" s="219"/>
      <c r="Z145" s="220"/>
      <c r="AA145" s="217">
        <f>$AA$33</f>
        <v>1.02</v>
      </c>
      <c r="AB145" s="186">
        <f>PI()*EJ145*EJ145/4*EH145*(1-H145)*AA145*各项系数!$F$5*各项系数!$J$4*10^-7</f>
        <v>4.26470519939525</v>
      </c>
      <c r="AC145" s="186">
        <f t="shared" si="573"/>
        <v>314.103042329295</v>
      </c>
      <c r="AD145" s="186">
        <f t="shared" si="584"/>
        <v>482.13002011127</v>
      </c>
      <c r="AE145" s="186">
        <f>POWER(4*EU145/PI()/EG145/10^-7/EH145/(1-H145)/各项系数!$F$5/各项系数!$J$4,0.5)</f>
        <v>317.228522715927</v>
      </c>
      <c r="AF145" s="218">
        <f>$AA$30</f>
        <v>1.015</v>
      </c>
      <c r="AG145" s="85">
        <f>IF(EM145=0,0,PI()*ER145*ER145/4*EP145*(1-K145)*(1+AF145)*各项系数!$F$5*各项系数!$J$4*10^-7)</f>
        <v>4.08953221706715</v>
      </c>
      <c r="AH145" s="85">
        <f t="shared" si="574"/>
        <v>246.701228113631</v>
      </c>
      <c r="AI145" s="85">
        <f t="shared" si="641"/>
        <v>232.884070800354</v>
      </c>
      <c r="AJ145" s="85">
        <f>IF(OR(EP145="",EP145=0),0,POWER(4*EW145/PI()/EO145/10^-7/EP145/(1-K145)/各项系数!$F$5/各项系数!$J$4,0.5))</f>
        <v>248.544600408187</v>
      </c>
      <c r="AK145" s="85">
        <f t="shared" si="585"/>
        <v>19.118808490049</v>
      </c>
      <c r="AL145" s="85">
        <f t="shared" si="575"/>
        <v>1324.49799648331</v>
      </c>
      <c r="AM145" s="127">
        <f t="shared" si="576"/>
        <v>500</v>
      </c>
      <c r="AN145" s="118" t="s">
        <v>486</v>
      </c>
      <c r="AO145" s="259">
        <f>AP145+各项系数!$M$9*$NK145</f>
        <v>1298.52744753266</v>
      </c>
      <c r="AP145" s="259">
        <f>AQ145*(1+$BI145+(VLOOKUP($AM145,$A$12:$B$323,2,0))+各项系数!$J$6+各项系数!$M$5)*(1+$E$2)</f>
        <v>1291.36868359993</v>
      </c>
      <c r="AQ145" s="260">
        <f>AR145+各项系数!$L$9*$NK145</f>
        <v>1317.72314653054</v>
      </c>
      <c r="AR145" s="260">
        <f>AS145*(1+$BJ145+各项系数!$J$5+各项系数!$L$5)</f>
        <v>1310.56438259782</v>
      </c>
      <c r="AS145" s="260">
        <f t="shared" si="642"/>
        <v>1284.86704176257</v>
      </c>
      <c r="AT145" s="259">
        <f>AU145+各项系数!$M$9*$NM145</f>
        <v>1309.11693587521</v>
      </c>
      <c r="AU145" s="259">
        <f>AV145*(1+$BI145+(VLOOKUP($AM145,$A$12:$B$323,2,0))+各项系数!$J$6+各项系数!$M$5)*(1+$E$2)</f>
        <v>1301.95817194249</v>
      </c>
      <c r="AV145" s="260">
        <f>AW145+各项系数!$L$9*$NM145</f>
        <v>1328.52874688009</v>
      </c>
      <c r="AW145" s="260">
        <f>AX145*(1+$BJ145+各项系数!$J$5+各项系数!$L$5)</f>
        <v>1321.36998294736</v>
      </c>
      <c r="AX145" s="260">
        <f t="shared" si="643"/>
        <v>1295.46076759545</v>
      </c>
      <c r="AY145" s="259">
        <f>AZ145+各项系数!$M$9*$NS145</f>
        <v>1306.49656470327</v>
      </c>
      <c r="AZ145" s="259">
        <f>BA145*(1+$BI145+(VLOOKUP($AM145,$A$12:$B$214,2,0))+各项系数!$J$6+各项系数!$M$5)*(1+$E$2)</f>
        <v>1299.30280383138</v>
      </c>
      <c r="BA145" s="260">
        <f>BB145+各项系数!$L$9*$NS145</f>
        <v>1325.81918758305</v>
      </c>
      <c r="BB145" s="260">
        <f>BC145*(1+$BJ145+各项系数!$J$5+各项系数!$L$5)</f>
        <v>1318.62542671117</v>
      </c>
      <c r="BC145" s="262">
        <f t="shared" si="644"/>
        <v>1292.77002618742</v>
      </c>
      <c r="BD145" s="259">
        <f>BE145+各项系数!$M$9*$NS145</f>
        <v>1317.10545327549</v>
      </c>
      <c r="BE145" s="259">
        <f>BF145*(1+$BI145+(VLOOKUP($AM145,$A$12:$B$214,2,0))+各项系数!$J$6+各项系数!$M$5)*(1+$E$2)</f>
        <v>1309.91169240361</v>
      </c>
      <c r="BF145" s="562">
        <f>BG145+各项系数!$L$9*$NS145</f>
        <v>1336.64458408531</v>
      </c>
      <c r="BG145" s="260">
        <f>BH145*(1+$BJ145+各项系数!$J$5+各项系数!$L$5)</f>
        <v>1329.45082321343</v>
      </c>
      <c r="BH145" s="262">
        <f t="shared" si="645"/>
        <v>1303.38316001317</v>
      </c>
      <c r="BI145" s="277"/>
      <c r="BJ145" s="272"/>
      <c r="BK145" s="123" t="s">
        <v>514</v>
      </c>
      <c r="BL145" s="259">
        <f>BM145+各项系数!$M$9*$NM145</f>
        <v>1312.69895972564</v>
      </c>
      <c r="BM145" s="259">
        <f>BN145*(1+$CF145+(VLOOKUP($AM145,$A$12:$B$323,2,0))+各项系数!$J$6+各项系数!$M$5)*(1+$E$2)</f>
        <v>1305.54019579291</v>
      </c>
      <c r="BN145" s="260">
        <f>BO145+各项系数!$L$9*$NM145</f>
        <v>1332.18387325808</v>
      </c>
      <c r="BO145" s="260">
        <f>BP145*(1+$CG145+各项系数!$J$5+各项系数!$L$5)</f>
        <v>1325.02510932535</v>
      </c>
      <c r="BP145" s="260">
        <f t="shared" si="646"/>
        <v>1286.43214497607</v>
      </c>
      <c r="BQ145" s="259">
        <f>BR145+各项系数!$M$9*$NM145</f>
        <v>1321.81245139765</v>
      </c>
      <c r="BR145" s="259">
        <f>BS145*(1+$CF145+(VLOOKUP($AM145,$A$12:$B$323,2,0))+各项系数!$J$6+各项系数!$M$5)*(1+$E$2)</f>
        <v>1314.65368746492</v>
      </c>
      <c r="BS145" s="260">
        <f>BT145+各项系数!$L$9*$NM145</f>
        <v>1341.48335455604</v>
      </c>
      <c r="BT145" s="260">
        <f>BU145*(1+$CG145+各项系数!$J$5+各项系数!$L$5)</f>
        <v>1334.32459062332</v>
      </c>
      <c r="BU145" s="260">
        <f t="shared" si="647"/>
        <v>1295.46076759545</v>
      </c>
      <c r="BV145" s="259">
        <f>BW145+各项系数!$M$9*$NT145</f>
        <v>1313.7066328885</v>
      </c>
      <c r="BW145" s="259">
        <f>BX145*(1+$CF145+(VLOOKUP($AM145,$A$12:$B$214,2,0))+各项系数!$J$6+各项系数!$M$5)*(1+$E$2)</f>
        <v>1306.51287201662</v>
      </c>
      <c r="BX145" s="260">
        <f>BY145+各项系数!$L$9*$NT$12</f>
        <v>1333.17640001696</v>
      </c>
      <c r="BY145" s="260">
        <f>BZ145*(1+$CG145+各项系数!$J$5+各项系数!$L$5)</f>
        <v>1333.1681366138</v>
      </c>
      <c r="BZ145" s="262">
        <f t="shared" si="586"/>
        <v>1294.33799671243</v>
      </c>
      <c r="CA145" s="259">
        <f>CB145+各项系数!$M$9*$NT145</f>
        <v>1322.83682072427</v>
      </c>
      <c r="CB145" s="259">
        <f>CC145*(1+$CF145+(VLOOKUP($AM145,$A$12:$B$214,2,0))+各项系数!$J$6+各项系数!$M$5)*(1+$E$2)</f>
        <v>1315.64305985239</v>
      </c>
      <c r="CC145" s="260">
        <f>CD145+各项系数!$L$9*$NT$12</f>
        <v>1342.49291821672</v>
      </c>
      <c r="CD145" s="260">
        <f>CE145*(1+$CG145+各项系数!$J$5+各项系数!$L$5)</f>
        <v>1342.48465481356</v>
      </c>
      <c r="CE145" s="262">
        <f t="shared" si="648"/>
        <v>1303.38316001317</v>
      </c>
      <c r="CF145" s="277">
        <f t="shared" si="514"/>
        <v>0</v>
      </c>
      <c r="CG145" s="277">
        <f t="shared" si="587"/>
        <v>0.01</v>
      </c>
      <c r="CH145" s="127"/>
      <c r="CI145" s="259">
        <f>CJ145+各项系数!$M$9*$NO145</f>
        <v>1320.72333625777</v>
      </c>
      <c r="CJ145" s="259">
        <f>CK145*(1+$DC145+(VLOOKUP($AM145,$A$12:$B$323,2,0))+各项系数!$J$6+各项系数!$M$5)*(1+$E$2)+各项系数!$M$9*$NK145</f>
        <v>1311.46110991033</v>
      </c>
      <c r="CK145" s="260">
        <f>CL145+各项系数!$L$9*$NO145</f>
        <v>1330.92076120164</v>
      </c>
      <c r="CL145" s="260">
        <f>CM145*(1+$DD145+各项系数!$J$5+各项系数!$L$5)</f>
        <v>1321.6585348542</v>
      </c>
      <c r="CM145" s="260">
        <f t="shared" si="588"/>
        <v>1295.74366162177</v>
      </c>
      <c r="CN145" s="259">
        <f>CO145+各项系数!$M$9*$NO145</f>
        <v>1330.91442772313</v>
      </c>
      <c r="CO145" s="259">
        <f>CP145*(1+$DC145+(VLOOKUP($AM145,$A$12:$B$323,2,0))+各项系数!$J$6+各项系数!$M$5)*(1+$E$2)+各项系数!$M$9*$NK145</f>
        <v>1321.65220137569</v>
      </c>
      <c r="CP145" s="260">
        <f>CQ145+各项系数!$L$9*$NO145</f>
        <v>1341.31983412548</v>
      </c>
      <c r="CQ145" s="260">
        <f>CR145*(1+$DD145+各项系数!$J$5+各项系数!$L$5)</f>
        <v>1332.05760777804</v>
      </c>
      <c r="CR145" s="260">
        <f t="shared" si="589"/>
        <v>1305.93883115494</v>
      </c>
      <c r="CS145" s="259">
        <f>CT145+各项系数!$M$9*$NU145</f>
        <v>1321.74514352367</v>
      </c>
      <c r="CT145" s="259">
        <f t="shared" si="590"/>
        <v>1312.44698826993</v>
      </c>
      <c r="CU145" s="260">
        <f>CV145+各项系数!$L$9*$NU145</f>
        <v>1339.2316206836</v>
      </c>
      <c r="CV145" s="260">
        <f>CW145*(1+$DD145+各项系数!$J$5+各项系数!$L$5)</f>
        <v>1329.93346542985</v>
      </c>
      <c r="CW145" s="262">
        <f t="shared" si="591"/>
        <v>1303.85633865671</v>
      </c>
      <c r="CX145" s="259">
        <f>CY145+各项系数!$M$9*$NU145</f>
        <v>1332.62369528828</v>
      </c>
      <c r="CY145" s="259">
        <f t="shared" si="592"/>
        <v>1323.32554003454</v>
      </c>
      <c r="CZ145" s="260">
        <f>DA145+各项系数!$L$9*$NU145</f>
        <v>1350.33218370871</v>
      </c>
      <c r="DA145" s="260">
        <f>DB145*(1+$DD145+各项系数!$J$5+各项系数!$L$5)</f>
        <v>1341.03402845496</v>
      </c>
      <c r="DB145" s="262">
        <f t="shared" si="593"/>
        <v>1314.73924358329</v>
      </c>
      <c r="DC145" s="277">
        <f t="shared" si="571"/>
        <v>0</v>
      </c>
      <c r="DD145" s="277">
        <f t="shared" si="594"/>
        <v>0</v>
      </c>
      <c r="DE145" s="69" t="s">
        <v>498</v>
      </c>
      <c r="DF145" s="69" t="s">
        <v>513</v>
      </c>
      <c r="DG145" s="259">
        <f>DH145+各项系数!$M$9*$NQ145</f>
        <v>1335.04166959827</v>
      </c>
      <c r="DH145" s="259">
        <f>DI145*(1+$EA145+(VLOOKUP($AM145,$A$12:$B$323,2,0))+各项系数!$J$6+各项系数!$M$5)*(1+$E$2)+各项系数!$M$9*$NK145</f>
        <v>1325.77944325083</v>
      </c>
      <c r="DI145" s="260">
        <f>DJ145+各项系数!$L$9*$NQ145</f>
        <v>1345.53130542664</v>
      </c>
      <c r="DJ145" s="260">
        <f>DK145*(1+$EB145+各项系数!$J$5+各项系数!$L$5)</f>
        <v>1336.2690790792</v>
      </c>
      <c r="DK145" s="260">
        <f t="shared" si="595"/>
        <v>1297.34862046524</v>
      </c>
      <c r="DL145" s="259">
        <f>DM145+各项系数!$M$9*$NQ145</f>
        <v>1344.38723794656</v>
      </c>
      <c r="DM145" s="259">
        <f>DN145*(1+$EA145+(VLOOKUP($AM145,$A$12:$B$323,2,0))+各项系数!$J$6+各项系数!$M$5)*(1+$E$2)+各项系数!$M$9*$NK145</f>
        <v>1335.12501159912</v>
      </c>
      <c r="DN145" s="260">
        <f>DO145+各项系数!$L$9*$NQ145</f>
        <v>1355.06759965959</v>
      </c>
      <c r="DO145" s="260">
        <f>DP145*(1+$EB145+各项系数!$J$5+各项系数!$L$5)</f>
        <v>1345.80537331215</v>
      </c>
      <c r="DP145" s="260">
        <f t="shared" si="596"/>
        <v>1306.60715855548</v>
      </c>
      <c r="DQ145" s="259">
        <f>DR145+各项系数!$M$9*$NV145</f>
        <v>1336.14587536335</v>
      </c>
      <c r="DR145" s="259">
        <f t="shared" si="597"/>
        <v>1326.8477201096</v>
      </c>
      <c r="DS145" s="260">
        <f>DT145+各项系数!$L$9*$NV145</f>
        <v>1353.9262450098</v>
      </c>
      <c r="DT145" s="260">
        <f>DU145*(1+$EB145+各项系数!$J$5+各项系数!$L$5)</f>
        <v>1344.62808975605</v>
      </c>
      <c r="DU145" s="262">
        <f t="shared" si="598"/>
        <v>1305.4641648117</v>
      </c>
      <c r="DV145" s="259">
        <f>DW145+各项系数!$M$9*$NV145</f>
        <v>1333.409044562</v>
      </c>
      <c r="DW145" s="259">
        <f t="shared" si="599"/>
        <v>1324.11088930825</v>
      </c>
      <c r="DX145" s="260">
        <f>DY145+各项系数!$L$9*$NV145</f>
        <v>1351.13356051862</v>
      </c>
      <c r="DY145" s="260">
        <f>DZ145*(1+$EB145+各项系数!$J$5+各项系数!$L$5)</f>
        <v>1341.83540526487</v>
      </c>
      <c r="DZ145" s="262">
        <f t="shared" si="600"/>
        <v>1302.75282064551</v>
      </c>
      <c r="EA145" s="277">
        <f t="shared" si="581"/>
        <v>0</v>
      </c>
      <c r="EB145" s="277">
        <f t="shared" si="601"/>
        <v>0.01</v>
      </c>
      <c r="EC145" s="302" t="str">
        <f t="shared" si="649"/>
        <v>4+1</v>
      </c>
      <c r="ED145" s="304" t="str">
        <f t="shared" si="680"/>
        <v>4*500</v>
      </c>
      <c r="EE145" s="251">
        <f t="shared" si="495"/>
        <v>500</v>
      </c>
      <c r="EF145" s="95" t="str">
        <f>LOOKUP(EH145,{1,7,10,14,19,24,30,37,48,61},{1,"1+6","2+8","4+10","1+6+12","2+8+14","4+10+16","1+6+12+18","3+9+15+21","1+6+12+18+24"})</f>
        <v>1+6+12+18+24</v>
      </c>
      <c r="EG145" s="250">
        <f t="shared" si="602"/>
        <v>4</v>
      </c>
      <c r="EH145" s="260">
        <f>VLOOKUP(EE145,各项系数!$B$87:$C$124,2,0)</f>
        <v>61</v>
      </c>
      <c r="EI145" s="250">
        <f>IF(EH145=0,0,VLOOKUP(EH145,各项系数!$D$142:$E$195,2,0))*1</f>
        <v>9</v>
      </c>
      <c r="EJ145" s="305">
        <f t="shared" si="650"/>
        <v>314.103042329295</v>
      </c>
      <c r="EK145" s="95" t="str">
        <f t="shared" si="681"/>
        <v>1*240</v>
      </c>
      <c r="EL145" s="251" t="str">
        <f t="shared" si="603"/>
        <v>240</v>
      </c>
      <c r="EM145" s="95">
        <f t="shared" si="682"/>
        <v>240</v>
      </c>
      <c r="EN145" s="95" t="str">
        <f>IF(EP145=0,0,LOOKUP(EP145,{1,7,10,14,19,24,30,37,48,61},{1,"1+6","2+8","4+10","1+6+12","2+8+14","4+10+16","1+6+12+18","3+9+15+21","1+6+12+18+24"}))</f>
        <v>3+9+15+21</v>
      </c>
      <c r="EO145" s="95" t="str">
        <f t="shared" si="683"/>
        <v>1</v>
      </c>
      <c r="EP145" s="95">
        <f>IF(EM145=0,0,IF(EM145&lt;10,1,IF(AND(EM145&gt;=10,EM145&lt;=35),7,LOOKUP(EM145,{50,70,95,120,150,185,240,300},{10,14,19,24,30,37,48,61})*1)))</f>
        <v>48</v>
      </c>
      <c r="EQ145" s="251">
        <f>IF(EP145=0,0,VLOOKUP(EP145,各项系数!$D$142:$E$195,2,0))*1</f>
        <v>8.15</v>
      </c>
      <c r="ER145" s="95">
        <f t="shared" si="577"/>
        <v>246.701228113631</v>
      </c>
      <c r="ES145" s="304">
        <f t="shared" si="684"/>
        <v>5</v>
      </c>
      <c r="ET145" s="251">
        <f>VLOOKUP(ES145,各项系数!$D$142:$E$195,2,0)*1</f>
        <v>2.7</v>
      </c>
      <c r="EU145" s="311">
        <f>((各项系数!$F$76/4*$EJ145^2*$EG145*$EH145*1*10^-7)*(1-$H145)*AA145)*(VLOOKUP($EY$9,各项系数!$D$4:$F$143,3,0))*各项系数!$J$4</f>
        <v>17.058820797581</v>
      </c>
      <c r="EV145" s="312">
        <f>EU145*(VLOOKUP($EY$9,各项系数!$D$4:$F$143,2,0))</f>
        <v>1117.35276224155</v>
      </c>
      <c r="EW145" s="324">
        <f>(IF($EO145=0,0,(各项系数!$F$76/4*$ER145^2*$EO145*$EP145*1*10^-7))*(1-$K145)*$AF145)*(VLOOKUP($EY$9,各项系数!$D$4:$F$143,3,0))*各项系数!$J$4</f>
        <v>2.05998769246807</v>
      </c>
      <c r="EX145" s="325">
        <f>EW145*(VLOOKUP($EY$9,各项系数!$D$4:$F$143,2,0))</f>
        <v>134.929193856658</v>
      </c>
      <c r="EY145" s="251">
        <f>((各项系数!$F$76/4*$EJ145^2*$EG145*$EH145*1*10^-7)*(1-$H145)*AA145+IF($EO145=0,0,(各项系数!$F$76/4*$ER145^2*$EO145*$EP145*1*10^-7))*(1-$K145)*$AF145)*(VLOOKUP($EY$9,各项系数!$D$4:$F$143,3,0))*各项系数!$J$4</f>
        <v>19.118808490049</v>
      </c>
      <c r="EZ145" s="123">
        <v>1</v>
      </c>
      <c r="FA145" s="251">
        <f t="shared" si="515"/>
        <v>19.118808490049</v>
      </c>
      <c r="FB145" s="326">
        <f>FA145*(VLOOKUP($EY$9,各项系数!$D$4:$F$143,2,0))</f>
        <v>1252.28195609821</v>
      </c>
      <c r="FC145" s="329"/>
      <c r="FD145" s="302">
        <f>各项系数!$F$76/4*($MN145^2-MK145^2)*10^-2*(VLOOKUP(L145,各项系数!$D$1:$F$143,3,0))*10^-3*10^2*$EG145*各项系数!$J$4</f>
        <v>0.921956464682346</v>
      </c>
      <c r="FE145" s="339">
        <f>FD145*VLOOKUP(L145,各项系数!$D$1:$F$143,2,0)</f>
        <v>9.40395593975992</v>
      </c>
      <c r="FF145" s="250">
        <f>各项系数!$F$76/4*($MO145^2-ML145^2)*10^-2*(VLOOKUP(L145,各项系数!$D$1:$F$143,3,0))*10^-3*10^2*$EO145*各项系数!$J$4</f>
        <v>0.12746576505584</v>
      </c>
      <c r="FG145" s="339">
        <f>FF145*VLOOKUP(L145,各项系数!$D$1:$F$143,2,0)</f>
        <v>1.30015080356957</v>
      </c>
      <c r="FH145" s="302">
        <f t="shared" si="651"/>
        <v>1.04942222973819</v>
      </c>
      <c r="FI145" s="123">
        <v>1</v>
      </c>
      <c r="FJ145" s="251">
        <f t="shared" si="516"/>
        <v>1.04942222973819</v>
      </c>
      <c r="FK145" s="339">
        <f>FJ145*VLOOKUP(L145,各项系数!$D$1:$F$143,2,0)</f>
        <v>10.7041067433295</v>
      </c>
      <c r="FL145" s="304"/>
      <c r="FM145" s="127"/>
      <c r="FN145" s="251"/>
      <c r="FO145" s="339"/>
      <c r="FP145" s="364">
        <f t="shared" si="517"/>
        <v>1.04942222973819</v>
      </c>
      <c r="FQ145" s="364">
        <f t="shared" si="518"/>
        <v>10.7041067433295</v>
      </c>
      <c r="FR145" s="365">
        <f>各项系数!$F$76/4*($MQ145^2-$MN145^2*$EG145-$MO145^2*$EO145)*10^-2</f>
        <v>16.5749506899468</v>
      </c>
      <c r="FS145" s="366">
        <f t="shared" si="652"/>
        <v>1</v>
      </c>
      <c r="FT145" s="367">
        <f t="shared" si="604"/>
        <v>16.5749506899468</v>
      </c>
      <c r="FU145" s="388">
        <f>$FT145*(VLOOKUP($FT$9,各项系数!$D$1:$F$143,3,0))*10^-3*10^2*各项系数!$J$55</f>
        <v>1.97904911237965</v>
      </c>
      <c r="FV145" s="389">
        <v>1</v>
      </c>
      <c r="FW145" s="390">
        <f t="shared" si="519"/>
        <v>1.97904911237965</v>
      </c>
      <c r="FX145" s="367">
        <f>FW145*(VLOOKUP($FT$9,各项系数!$D$1:$F$143,2,0))</f>
        <v>5.93714733713894</v>
      </c>
      <c r="FY145" s="388">
        <f>IF($BK145&lt;&gt;$FY$9,0,各项系数!$F$76/4*($MS145^2-$MQ145^2)*10^-2*(VLOOKUP($FY$9,各项系数!$D$1:$F$143,3,0))*10^-3*10^2)*各项系数!$J$4</f>
        <v>0</v>
      </c>
      <c r="FZ145" s="389">
        <v>1</v>
      </c>
      <c r="GA145" s="390">
        <f t="shared" si="520"/>
        <v>0</v>
      </c>
      <c r="GB145" s="367">
        <f>GA145*(VLOOKUP($FY$9,各项系数!$D$1:$F$143,2,0))</f>
        <v>0</v>
      </c>
      <c r="GC145" s="388">
        <f>IF($BK145&lt;&gt;$GC$9,0,各项系数!$F$76/4*($MS145^2-$MQ145^2)*10^-2*(VLOOKUP($GC$9,各项系数!$D$1:$F$143,3,0))*10^-3*10^2)*各项系数!$J$4</f>
        <v>0.022697631695039</v>
      </c>
      <c r="GD145" s="389">
        <v>1</v>
      </c>
      <c r="GE145" s="390">
        <f t="shared" si="521"/>
        <v>0.022697631695039</v>
      </c>
      <c r="GF145" s="367">
        <f>GE145*(VLOOKUP($GC$9,各项系数!$D$1:$F$143,2,0))</f>
        <v>0.292799448866003</v>
      </c>
      <c r="GG145" s="388">
        <f>IF($BK145&lt;&gt;$GG$9,0,各项系数!$F$76/4*($MS145^2-$MQ145^2)*10^-2*(VLOOKUP($GG$9,各项系数!$D$1:$F$143,3,0))*10^-3*10^2)*各项系数!$J$4</f>
        <v>0</v>
      </c>
      <c r="GH145" s="389">
        <v>1</v>
      </c>
      <c r="GI145" s="390">
        <f t="shared" si="522"/>
        <v>0</v>
      </c>
      <c r="GJ145" s="367">
        <f>GI145*(VLOOKUP($GG$9,各项系数!$D$1:$F$143,2,0))</f>
        <v>0</v>
      </c>
      <c r="GK145" s="388">
        <f>IF($BK145&lt;&gt;$GK$9,0,各项系数!$F$76/4*($MS145^2-$MQ145^2)*10^-2*(VLOOKUP($GK$9,各项系数!$D$1:$F$143,3,0))*10^-3*10^2)*各项系数!$J$4</f>
        <v>0</v>
      </c>
      <c r="GL145" s="389">
        <v>1</v>
      </c>
      <c r="GM145" s="390">
        <f t="shared" si="523"/>
        <v>0</v>
      </c>
      <c r="GN145" s="367">
        <f>GM145*(VLOOKUP($GK$9,各项系数!$D$1:$F$143,2,0))</f>
        <v>0</v>
      </c>
      <c r="GO145" s="390">
        <f t="shared" si="524"/>
        <v>0.022697631695039</v>
      </c>
      <c r="GP145" s="390">
        <f t="shared" si="525"/>
        <v>0.292799448866003</v>
      </c>
      <c r="GQ145" s="406">
        <f>各项系数!$F$76/4*($MU145^2-$MS145^2)*10^-2*(VLOOKUP($S145,各项系数!$D$1:$F$143,3,0))*10^-3*10^2*各项系数!$J$4</f>
        <v>1.54338914208768</v>
      </c>
      <c r="GR145" s="389">
        <v>1</v>
      </c>
      <c r="GS145" s="390">
        <f t="shared" si="526"/>
        <v>1.54338914208768</v>
      </c>
      <c r="GT145" s="390">
        <f t="shared" si="457"/>
        <v>0</v>
      </c>
      <c r="GU145" s="390">
        <f>ROUND($GS145*(VLOOKUP($S145,各项系数!$D$1:$F$143,2,0))+$E$3*GS145,GT145)</f>
        <v>9</v>
      </c>
      <c r="GV145" s="406">
        <f>各项系数!$F$76/4*($MT145^2-$MS145^2)*10^-2*(VLOOKUP($GV$9,各项系数!$D$1:$F$143,3,0))*10^-3*10^2*各项系数!$J$4*PI()/4*R145</f>
        <v>0.116656463848348</v>
      </c>
      <c r="GW145" s="389">
        <v>1</v>
      </c>
      <c r="GX145" s="390">
        <f t="shared" si="527"/>
        <v>0.116656463848348</v>
      </c>
      <c r="GY145" s="390">
        <f>$GX145*(VLOOKUP($GV$9,各项系数!$D$1:$F$143,2,0))</f>
        <v>7.87431130976352</v>
      </c>
      <c r="GZ145" s="406">
        <f>各项系数!$F$76/4*($MV145^2-$MS145^2)*10^-2*(VLOOKUP($GZ$9,各项系数!$D$1:$F$143,3,0))*10^-3*10^2*各项系数!$J$4</f>
        <v>1.54380929222983</v>
      </c>
      <c r="HA145" s="389">
        <v>1</v>
      </c>
      <c r="HB145" s="390">
        <f t="shared" si="653"/>
        <v>1.54380929222983</v>
      </c>
      <c r="HC145" s="390">
        <f>HB145*(VLOOKUP($GZ$9,各项系数!$D$1:$F$143,2,0))</f>
        <v>26.2447579679072</v>
      </c>
      <c r="HD145" s="406">
        <f>各项系数!$F$76/4*($MW145^2-$MT145^2)*10^-2*(VLOOKUP($HD$9,各项系数!$D$1:$F$143,3,0))*10^-3*10^2*各项系数!$J$4</f>
        <v>1.54663759269764</v>
      </c>
      <c r="HE145" s="389">
        <v>1</v>
      </c>
      <c r="HF145" s="390">
        <f t="shared" si="654"/>
        <v>1.54663759269764</v>
      </c>
      <c r="HG145" s="390">
        <f>HF145*(VLOOKUP($HD$9,各项系数!$D$1:$F$143,2,0))</f>
        <v>26.2928390758598</v>
      </c>
      <c r="HH145" s="406">
        <f>各项系数!$F$76/4*($MV145^2-$MS145^2)*10^-2*(VLOOKUP($HH$9,各项系数!$D$1:$F$143,3,0))*10^-3*10^2*各项系数!$J$4</f>
        <v>1.54380929222983</v>
      </c>
      <c r="HI145" s="420">
        <v>1</v>
      </c>
      <c r="HJ145" s="390">
        <f t="shared" si="655"/>
        <v>1.54380929222983</v>
      </c>
      <c r="HK145" s="390">
        <f>HJ145*(VLOOKUP($HH$9,各项系数!$D$1:$F$143,2,0))</f>
        <v>26.2447579679072</v>
      </c>
      <c r="HL145" s="406">
        <f>各项系数!$F$76/4*($MW145^2-$MT145^2)*10^-2*(VLOOKUP($HL$9,各项系数!$D$1:$F$143,3,0))*10^-3*10^2*各项系数!$J$4</f>
        <v>1.54663759269764</v>
      </c>
      <c r="HM145" s="420">
        <v>1</v>
      </c>
      <c r="HN145" s="390">
        <f t="shared" si="605"/>
        <v>1.54663759269764</v>
      </c>
      <c r="HO145" s="390">
        <f>HN145*(VLOOKUP($HL$9,各项系数!$D$1:$F$143,2,0))</f>
        <v>26.2928390758598</v>
      </c>
      <c r="HP145" s="406">
        <f>各项系数!$F$76/4*($MV145^2-$MS145^2)*10^-2*(VLOOKUP(AN145,各项系数!$D$1:$F$143,3,0))*10^-3*10^2*各项系数!$J$4</f>
        <v>1.56510321350197</v>
      </c>
      <c r="HQ145" s="389">
        <v>1</v>
      </c>
      <c r="HR145" s="390">
        <f t="shared" si="528"/>
        <v>1.56510321350197</v>
      </c>
      <c r="HS145" s="390">
        <f>HR145*(VLOOKUP(AN145,各项系数!$D$1:$F$143,2,0))</f>
        <v>15.6510321350197</v>
      </c>
      <c r="HT145" s="406">
        <f>各项系数!$F$76/4*($MW145^2-$MT145^2)*10^-2*(VLOOKUP(AN145,各项系数!$D$1:$F$143,3,0))*10^-3*10^2*各项系数!$J$4</f>
        <v>1.56797052501071</v>
      </c>
      <c r="HU145" s="389">
        <v>1</v>
      </c>
      <c r="HV145" s="390">
        <f t="shared" si="529"/>
        <v>1.56797052501071</v>
      </c>
      <c r="HW145" s="390">
        <f>HV145*(VLOOKUP(AN145,各项系数!$D$1:$F$143,2,0))</f>
        <v>15.6797052501071</v>
      </c>
      <c r="HX145" s="406">
        <f>各项系数!$F$76/4*($MV145^2-$MS145^2)*10^-2*(VLOOKUP($HX$9,各项系数!$D$1:$F$143,3,0))*10^-3*10^2*各项系数!$J$4</f>
        <v>1.56510321350197</v>
      </c>
      <c r="HY145" s="420">
        <v>1</v>
      </c>
      <c r="HZ145" s="390">
        <f t="shared" si="530"/>
        <v>1.56510321350197</v>
      </c>
      <c r="IA145" s="390">
        <f>HZ145*(VLOOKUP($HX$9,各项系数!$D$1:$F$143,2,0))</f>
        <v>17.2161353485217</v>
      </c>
      <c r="IB145" s="406">
        <f>各项系数!$F$76/4*($MW145^2-$MT145^2)*10^-2*(VLOOKUP($IB$9,各项系数!$D$1:$F$143,3,0))*10^-3*10^2*各项系数!$J$4</f>
        <v>1.56797052501071</v>
      </c>
      <c r="IC145" s="420">
        <v>1</v>
      </c>
      <c r="ID145" s="390">
        <f t="shared" si="531"/>
        <v>1.56797052501071</v>
      </c>
      <c r="IE145" s="390">
        <f>ID145*(VLOOKUP($IB$9,各项系数!$D$1:$F$143,2,0))</f>
        <v>17.2476757751178</v>
      </c>
      <c r="IF145" s="395"/>
      <c r="IG145" s="406">
        <f t="shared" si="656"/>
        <v>0.189451932411929</v>
      </c>
      <c r="IH145" s="389">
        <v>1</v>
      </c>
      <c r="II145" s="390">
        <f t="shared" si="532"/>
        <v>0.189451932411929</v>
      </c>
      <c r="IJ145" s="390">
        <f>II145*(VLOOKUP($IG$8,各项系数!$D$1:$F$143,2,0))</f>
        <v>4.73629831029823</v>
      </c>
      <c r="IK145" s="406">
        <f>(各项系数!$F$76/4*($MX145^2-$MK145^2)*$EG145)*10^-2*(VLOOKUP($IG$8,各项系数!$D$1:$F$143,3,0))*10^-3*10^2*各项系数!$J$4</f>
        <v>0.160747659940528</v>
      </c>
      <c r="IL145" s="389">
        <f>IK145*(VLOOKUP($IG$8,各项系数!$D$1:$F$143,2,0))</f>
        <v>4.01869149851319</v>
      </c>
      <c r="IM145" s="390">
        <f>(各项系数!$F$76/4*(($MM145+3*$X145)^2-MM145^2)*$EO145)*10^-2*(VLOOKUP($IG$8,各项系数!$D$1:$F$143,3,0))*10^-3*10^2*各项系数!$J$4</f>
        <v>0.0287042724714015</v>
      </c>
      <c r="IN145" s="389">
        <f>IM145*(VLOOKUP($IG$8,各项系数!$D$1:$F$143,2,0))</f>
        <v>0.717606811785039</v>
      </c>
      <c r="IO145" s="406">
        <f>各项系数!$F$76/4*($MZ145^2-$MX145^2)*10^-2*(VLOOKUP(L145,各项系数!$D$1:$F$143,3,0))*10^-3*10^2*$ES145*各项系数!$J$4</f>
        <v>1.17513950370467</v>
      </c>
      <c r="IP145" s="389">
        <v>1</v>
      </c>
      <c r="IQ145" s="390">
        <f t="shared" si="533"/>
        <v>1.17513950370467</v>
      </c>
      <c r="IR145" s="367">
        <f>IQ145*(VLOOKUP(L145,各项系数!$D$1:$F$143,2,0))</f>
        <v>11.9864229377876</v>
      </c>
      <c r="IS145" s="406">
        <f>IF($L145&lt;&gt;$IS$9,0,各项系数!$F$76/4*($MZ145^2-$MX145^2)*10^-2*各项系数!$F$12*10^-3*10^2)*$ES145*各项系数!$J$4</f>
        <v>0</v>
      </c>
      <c r="IT145" s="396">
        <v>1</v>
      </c>
      <c r="IU145" s="390">
        <f t="shared" si="534"/>
        <v>0</v>
      </c>
      <c r="IV145" s="367">
        <f>IU145*各项系数!$E$12</f>
        <v>0</v>
      </c>
      <c r="IW145" s="388">
        <f t="shared" si="535"/>
        <v>1.17513950370467</v>
      </c>
      <c r="IX145" s="388">
        <f t="shared" si="536"/>
        <v>11.9864229377876</v>
      </c>
      <c r="IY145" s="447">
        <f>各项系数!$F$76/4*($NB145^2-$MZ145^2*$EG145-$NA145^2*$EO145)*10^-2</f>
        <v>17.5827114094889</v>
      </c>
      <c r="IZ145" s="366">
        <f t="shared" si="487"/>
        <v>1</v>
      </c>
      <c r="JA145" s="367">
        <f t="shared" si="606"/>
        <v>17.5827114094889</v>
      </c>
      <c r="JB145" s="364">
        <f>IF($DE145&lt;&gt;$JB$9,0,$JA145*各项系数!$F$32*10^-3*10^2)*各项系数!$J$4</f>
        <v>0</v>
      </c>
      <c r="JC145" s="123">
        <v>1</v>
      </c>
      <c r="JD145" s="251">
        <f t="shared" si="537"/>
        <v>0</v>
      </c>
      <c r="JE145" s="339">
        <f>JD145*各项系数!$E$32</f>
        <v>0</v>
      </c>
      <c r="JF145" s="364">
        <f>IF($DE145&lt;&gt;$JF$9,0,$JA145*VLOOKUP($JF$9,各项系数!$D$4:$F$540,2,0)*10^-3*10^2)*各项系数!$J$4</f>
        <v>8.74739892622072</v>
      </c>
      <c r="JG145" s="123">
        <v>1</v>
      </c>
      <c r="JH145" s="251">
        <f t="shared" si="607"/>
        <v>8.74739892622072</v>
      </c>
      <c r="JI145" s="339">
        <f>JH145*VLOOKUP($JF$9,各项系数!$D$4:$F$540,3,0)</f>
        <v>10.4968787114649</v>
      </c>
      <c r="JJ145" s="364">
        <f t="shared" si="538"/>
        <v>8.74739892622072</v>
      </c>
      <c r="JK145" s="251">
        <f t="shared" si="539"/>
        <v>10.4968787114649</v>
      </c>
      <c r="JL145" s="364">
        <f>IF($DF145&lt;&gt;$JL$9,0,各项系数!$F$76/4*($NE145^2-$NC145^2)*10^-2*各项系数!$F$39*10^-3*10^2)*各项系数!$J$4</f>
        <v>0.00962585646352515</v>
      </c>
      <c r="JM145" s="123">
        <v>1</v>
      </c>
      <c r="JN145" s="251">
        <f t="shared" si="540"/>
        <v>0.00962585646352515</v>
      </c>
      <c r="JO145" s="339">
        <f>JN145*各项系数!$E$39</f>
        <v>0.192517129270503</v>
      </c>
      <c r="JP145" s="364">
        <f>IF($DF145&lt;&gt;$JP$9,0,各项系数!$F$76/4*($NE145^2-$NC145^2)*10^-2*各项系数!$F$36*10^-3*10^2)*各项系数!$J$4</f>
        <v>0</v>
      </c>
      <c r="JQ145" s="123">
        <v>1</v>
      </c>
      <c r="JR145" s="251">
        <f t="shared" si="541"/>
        <v>0</v>
      </c>
      <c r="JS145" s="339">
        <f>JR145*各项系数!$E$36</f>
        <v>0</v>
      </c>
      <c r="JT145" s="364">
        <f>IF($DF145&lt;&gt;$JT$9,0,各项系数!$F$76/4*($NE145^2-$NC145^2)*10^-2*各项系数!$F$40*10^-3*10^2)*各项系数!$J$4</f>
        <v>0</v>
      </c>
      <c r="JU145" s="123">
        <v>1</v>
      </c>
      <c r="JV145" s="251">
        <f t="shared" si="542"/>
        <v>0</v>
      </c>
      <c r="JW145" s="339">
        <f>JV145*各项系数!$E$40</f>
        <v>0</v>
      </c>
      <c r="JX145" s="364">
        <f>IF($DF145&lt;&gt;$JX$9,0,各项系数!$F$76/4*($NE145^2-$NC145^2)*10^-2*各项系数!$F$38*10^-3*10^2)*各项系数!$J$4</f>
        <v>0</v>
      </c>
      <c r="JY145" s="123">
        <v>1</v>
      </c>
      <c r="JZ145" s="251">
        <f t="shared" si="543"/>
        <v>0</v>
      </c>
      <c r="KA145" s="339">
        <f>JZ145*各项系数!$E$38</f>
        <v>0</v>
      </c>
      <c r="KB145" s="364">
        <f>IF($DF145&lt;&gt;$KB$9,0,各项系数!$F$76/4*($NE145^2-$NC145^2)*10^-2*各项系数!$F$41*10^-3*10^2)*各项系数!$J$4</f>
        <v>0</v>
      </c>
      <c r="KC145" s="123">
        <v>1</v>
      </c>
      <c r="KD145" s="251">
        <f t="shared" si="544"/>
        <v>0</v>
      </c>
      <c r="KE145" s="339">
        <f>KD145*各项系数!$E$41</f>
        <v>0</v>
      </c>
      <c r="KF145" s="251">
        <f t="shared" si="545"/>
        <v>0.00962585646352515</v>
      </c>
      <c r="KG145" s="251">
        <f t="shared" si="546"/>
        <v>0.192517129270503</v>
      </c>
      <c r="KH145" s="302">
        <f>各项系数!$F$76/4*($NG145^2-$NE145^2)*10^-2*各项系数!$F$44*10^-3*10^2*各项系数!$J$4*0.75*$U145</f>
        <v>2.37624364766386</v>
      </c>
      <c r="KI145" s="123">
        <v>1</v>
      </c>
      <c r="KJ145" s="251">
        <f t="shared" si="547"/>
        <v>2.37624364766386</v>
      </c>
      <c r="KK145" s="251">
        <f>ROUND(KJ145*各项系数!$E$43,GT145)</f>
        <v>14</v>
      </c>
      <c r="KL145" s="302">
        <f>各项系数!$F$76/4*($NF145^2-$NE145^2)*10^-2*各项系数!$F$46*10^-3*10^2*各项系数!$J$4*PI()/4*R145</f>
        <v>0.119763021034957</v>
      </c>
      <c r="KM145" s="123">
        <v>1</v>
      </c>
      <c r="KN145" s="251">
        <f t="shared" si="548"/>
        <v>0.119763021034957</v>
      </c>
      <c r="KO145" s="251">
        <f>KN145*各项系数!$E$46</f>
        <v>8.08400391985957</v>
      </c>
      <c r="KP145" s="302">
        <f>各项系数!$F$76/4*($NH145^2-$NE145^2)*10^-2*(VLOOKUP($KP$9,各项系数!$D$1:$F$143,3,0))*10^-3*10^2*各项系数!$J$4</f>
        <v>1.5831226687323</v>
      </c>
      <c r="KQ145" s="123">
        <v>1</v>
      </c>
      <c r="KR145" s="251">
        <f t="shared" si="657"/>
        <v>1.5831226687323</v>
      </c>
      <c r="KS145" s="251">
        <f>KR145*(VLOOKUP($KP$9,各项系数!$D$1:$F$143,2,0))</f>
        <v>26.913085368449</v>
      </c>
      <c r="KT145" s="302">
        <f>各项系数!$F$76/4*($NI145^2-$NF145^2)*10^-2*(VLOOKUP($KT$9,各项系数!$D$1:$F$143,3,0))*10^-3*10^2*各项系数!$J$4</f>
        <v>1.5859509692001</v>
      </c>
      <c r="KU145" s="123">
        <v>1</v>
      </c>
      <c r="KV145" s="251">
        <f t="shared" si="658"/>
        <v>1.5859509692001</v>
      </c>
      <c r="KW145" s="251">
        <f>KV145*(VLOOKUP($KT$9,各项系数!$D$1:$F$143,2,0))</f>
        <v>26.9611664764017</v>
      </c>
      <c r="KX145" s="251">
        <f>各项系数!$F$76/4*($NH145^2-$NE145^2)*10^-2*(VLOOKUP($KX$9,各项系数!$D$1:$F$143,3,0))*10^-3*10^2*各项系数!$J$4</f>
        <v>1.5831226687323</v>
      </c>
      <c r="KY145" s="479">
        <v>1</v>
      </c>
      <c r="KZ145" s="251">
        <f t="shared" si="659"/>
        <v>1.5831226687323</v>
      </c>
      <c r="LA145" s="251">
        <f>KZ145*(VLOOKUP($KX$9,各项系数!$D$1:$F$143,2,0))</f>
        <v>26.913085368449</v>
      </c>
      <c r="LB145" s="251">
        <f>各项系数!$F$76/4*($NI145^2-$NF145^2)*10^-2*(VLOOKUP($LB$9,各项系数!$D$1:$F$143,3,0))*10^-3*10^2*各项系数!$J$4</f>
        <v>1.5859509692001</v>
      </c>
      <c r="LC145" s="479">
        <v>1</v>
      </c>
      <c r="LD145" s="251">
        <f t="shared" si="660"/>
        <v>1.5859509692001</v>
      </c>
      <c r="LE145" s="251">
        <f>LD145*(VLOOKUP($LB$9,各项系数!$D$1:$F$143,2,0))</f>
        <v>26.9611664764017</v>
      </c>
      <c r="LF145" s="302">
        <f>各项系数!$F$76/4*($NH145^2-$NE145^2)*10^-2*(VLOOKUP(AN145,各项系数!$D$1:$F$143,3,0))*10^-3*10^2*各项系数!$J$4</f>
        <v>1.60495884347343</v>
      </c>
      <c r="LG145" s="123">
        <v>1</v>
      </c>
      <c r="LH145" s="251">
        <f t="shared" si="549"/>
        <v>1.60495884347343</v>
      </c>
      <c r="LI145" s="251">
        <f>LH145*(VLOOKUP(AN145,各项系数!$D$1:$F$143,2,0))</f>
        <v>16.0495884347343</v>
      </c>
      <c r="LJ145" s="302">
        <f>各项系数!$F$76/4*($NI145^2-$NF145^2)*10^-2*(VLOOKUP(AN145,各项系数!$D$1:$F$143,3,0))*10^-3*10^2*各项系数!$J$4</f>
        <v>1.60782615498217</v>
      </c>
      <c r="LK145" s="123">
        <v>1</v>
      </c>
      <c r="LL145" s="251">
        <f t="shared" si="550"/>
        <v>1.60782615498217</v>
      </c>
      <c r="LM145" s="251">
        <f>LL145*(VLOOKUP(AN145,各项系数!$D$1:$F$143,2,0))</f>
        <v>16.0782615498217</v>
      </c>
      <c r="LN145" s="251">
        <f>各项系数!$F$76/4*($NH145^2-$NE145^2)*10^-2*(VLOOKUP($LN$9,各项系数!$D$1:$F$143,3,0))*10^-3*10^2*各项系数!$J$4</f>
        <v>1.60495884347343</v>
      </c>
      <c r="LO145" s="479">
        <v>1</v>
      </c>
      <c r="LP145" s="251">
        <f t="shared" si="551"/>
        <v>1.60495884347343</v>
      </c>
      <c r="LQ145" s="251">
        <f>LP145*(VLOOKUP($LN$9,各项系数!$D$1:$F$143,2,0))</f>
        <v>17.6545472782077</v>
      </c>
      <c r="LR145" s="251">
        <f>各项系数!$F$76/4*($NI145^2-$NF145^2)*10^-2*(VLOOKUP($LR$9,各项系数!$D$1:$F$143,3,0))*10^-3*10^2*各项系数!$J$4</f>
        <v>1.60782615498217</v>
      </c>
      <c r="LS145" s="479">
        <v>1</v>
      </c>
      <c r="LT145" s="251">
        <f t="shared" si="552"/>
        <v>1.60782615498217</v>
      </c>
      <c r="LU145" s="251">
        <f>LT145*(VLOOKUP($LR$9,各项系数!$D$1:$F$143,2,0))</f>
        <v>17.6860877048039</v>
      </c>
      <c r="LV145" s="499">
        <f t="shared" si="661"/>
        <v>2510.6095498</v>
      </c>
      <c r="LW145" s="499">
        <f t="shared" si="662"/>
        <v>1890.70595726</v>
      </c>
      <c r="LX145" s="499">
        <f t="shared" si="663"/>
        <v>49.0644636396831</v>
      </c>
      <c r="LY145" s="515">
        <f t="shared" si="664"/>
        <v>619.90359254</v>
      </c>
      <c r="LZ145" s="516">
        <f t="shared" si="608"/>
        <v>1</v>
      </c>
      <c r="MA145" s="517">
        <f t="shared" si="609"/>
        <v>2510.6095498</v>
      </c>
      <c r="MB145" s="517">
        <f t="shared" si="665"/>
        <v>28.26927378</v>
      </c>
      <c r="MC145" s="499">
        <f t="shared" si="666"/>
        <v>317.50291857</v>
      </c>
      <c r="MD145" s="499">
        <f t="shared" si="667"/>
        <v>229.44243407</v>
      </c>
      <c r="ME145" s="499">
        <f t="shared" si="668"/>
        <v>17.0919624472503</v>
      </c>
      <c r="MF145" s="499">
        <f t="shared" si="669"/>
        <v>88.0604845</v>
      </c>
      <c r="MG145" s="516">
        <f t="shared" si="670"/>
        <v>1</v>
      </c>
      <c r="MH145" s="517">
        <f t="shared" si="610"/>
        <v>317.50291857</v>
      </c>
      <c r="MI145" s="517">
        <f t="shared" si="671"/>
        <v>20.106150091257</v>
      </c>
      <c r="MJ145" s="251">
        <f t="shared" si="611"/>
        <v>28.26927378</v>
      </c>
      <c r="MK145" s="251">
        <f t="shared" si="672"/>
        <v>28.26927378</v>
      </c>
      <c r="ML145" s="251">
        <f t="shared" si="553"/>
        <v>20.1061500912609</v>
      </c>
      <c r="MM145" s="251">
        <f t="shared" si="612"/>
        <v>20.106150091257</v>
      </c>
      <c r="MN145" s="251">
        <f t="shared" si="613"/>
        <v>32.66927378</v>
      </c>
      <c r="MO145" s="251">
        <f t="shared" si="673"/>
        <v>23.506150091257</v>
      </c>
      <c r="MP145" s="251">
        <f t="shared" si="674"/>
        <v>83.25895241</v>
      </c>
      <c r="MQ145" s="251">
        <f t="shared" si="554"/>
        <v>83.25895241</v>
      </c>
      <c r="MR145" s="314">
        <f t="shared" si="675"/>
        <v>83.25895241</v>
      </c>
      <c r="MS145" s="530">
        <f t="shared" si="614"/>
        <v>83.43495241</v>
      </c>
      <c r="MT145" s="530">
        <f t="shared" si="615"/>
        <v>83.59495241</v>
      </c>
      <c r="MU145" s="530">
        <f t="shared" si="616"/>
        <v>84.93495241</v>
      </c>
      <c r="MV145" s="530">
        <f t="shared" si="617"/>
        <v>91.23495241</v>
      </c>
      <c r="MW145" s="530">
        <f t="shared" si="618"/>
        <v>91.39495241</v>
      </c>
      <c r="MX145" s="326">
        <f t="shared" si="619"/>
        <v>28.86927378</v>
      </c>
      <c r="MY145" s="326">
        <f t="shared" si="620"/>
        <v>20.706150091257</v>
      </c>
      <c r="MZ145" s="251">
        <f t="shared" si="621"/>
        <v>33.26927378</v>
      </c>
      <c r="NA145" s="251">
        <f t="shared" si="622"/>
        <v>25.106150091257</v>
      </c>
      <c r="NB145" s="251">
        <f t="shared" si="676"/>
        <v>85.41895241</v>
      </c>
      <c r="NC145" s="326">
        <f t="shared" si="555"/>
        <v>85.41895241</v>
      </c>
      <c r="ND145" s="314">
        <f t="shared" si="677"/>
        <v>85.41895241</v>
      </c>
      <c r="NE145" s="537">
        <f t="shared" si="678"/>
        <v>85.65895241</v>
      </c>
      <c r="NF145" s="530">
        <f t="shared" si="623"/>
        <v>85.81895241</v>
      </c>
      <c r="NG145" s="538">
        <f t="shared" si="624"/>
        <v>87.15895241</v>
      </c>
      <c r="NH145" s="326">
        <f t="shared" si="625"/>
        <v>93.45895241</v>
      </c>
      <c r="NI145" s="530">
        <f t="shared" si="626"/>
        <v>93.61895241</v>
      </c>
      <c r="NK145" s="539">
        <f t="shared" si="627"/>
        <v>23.8625464424197</v>
      </c>
      <c r="NL145" s="539">
        <f t="shared" si="628"/>
        <v>1286.16719256614</v>
      </c>
      <c r="NM145" s="539">
        <f t="shared" si="629"/>
        <v>23.8625464424197</v>
      </c>
      <c r="NN145" s="539">
        <f t="shared" si="630"/>
        <v>1287.73229577964</v>
      </c>
      <c r="NO145" s="539">
        <f t="shared" si="631"/>
        <v>30.8740878247947</v>
      </c>
      <c r="NP145" s="539">
        <f t="shared" si="632"/>
        <v>1296.46126843355</v>
      </c>
      <c r="NQ145" s="539">
        <f t="shared" si="633"/>
        <v>30.8740878247947</v>
      </c>
      <c r="NR145" s="539">
        <f t="shared" si="634"/>
        <v>1298.06622727703</v>
      </c>
      <c r="NS145" s="539">
        <f t="shared" si="635"/>
        <v>23.9792029062681</v>
      </c>
      <c r="NT145" s="539">
        <f t="shared" si="636"/>
        <v>23.9792029062681</v>
      </c>
      <c r="NU145" s="539">
        <f t="shared" si="637"/>
        <v>30.9938508458297</v>
      </c>
      <c r="NV145" s="539">
        <f t="shared" si="638"/>
        <v>30.9938508458297</v>
      </c>
      <c r="NW145">
        <f t="shared" si="639"/>
        <v>25.4059355845074</v>
      </c>
      <c r="NX145">
        <f>各项系数!$M$9*NK145</f>
        <v>7.15876393272592</v>
      </c>
      <c r="NY145">
        <f t="shared" si="640"/>
        <v>23.9792029062681</v>
      </c>
    </row>
    <row r="146" customHeight="1" spans="1:389">
      <c r="A146" s="23"/>
      <c r="B146" s="182"/>
      <c r="C146" s="556"/>
      <c r="D146" s="261" t="s">
        <v>938</v>
      </c>
      <c r="E146" s="77">
        <f t="shared" si="679"/>
        <v>102.0417034</v>
      </c>
      <c r="F146" s="84">
        <f>$F$34</f>
        <v>357.206594414564</v>
      </c>
      <c r="G146" s="74"/>
      <c r="H146" s="23"/>
      <c r="I146" s="174">
        <f>$F$31</f>
        <v>245.118138379664</v>
      </c>
      <c r="J146" s="78"/>
      <c r="K146" s="23"/>
      <c r="L146" s="118" t="s">
        <v>467</v>
      </c>
      <c r="M146" s="124">
        <f t="shared" si="582"/>
        <v>2.4</v>
      </c>
      <c r="N146" s="124">
        <f t="shared" si="583"/>
        <v>1.8</v>
      </c>
      <c r="O146" s="69">
        <f t="shared" si="580"/>
        <v>0.08</v>
      </c>
      <c r="P146" s="120">
        <v>0.1</v>
      </c>
      <c r="Q146" s="162">
        <f t="shared" si="685"/>
        <v>0.1</v>
      </c>
      <c r="R146" s="86">
        <v>0.8</v>
      </c>
      <c r="S146" s="171" t="str">
        <f>各项系数!$D$43</f>
        <v>钢带</v>
      </c>
      <c r="T146" s="78">
        <v>0.5</v>
      </c>
      <c r="U146" s="78">
        <v>2</v>
      </c>
      <c r="V146" s="172"/>
      <c r="W146" s="174">
        <v>4.1</v>
      </c>
      <c r="X146" s="164">
        <f t="shared" si="686"/>
        <v>0.2</v>
      </c>
      <c r="Y146" s="219"/>
      <c r="Z146" s="220"/>
      <c r="AA146" s="217">
        <f>$AA$34</f>
        <v>1.03</v>
      </c>
      <c r="AB146" s="186">
        <f>PI()*EJ146*EJ146/4*EH146*(1-H146)*AA146*各项系数!$F$5*各项系数!$J$4*10^-7</f>
        <v>5.56955783990862</v>
      </c>
      <c r="AC146" s="186">
        <f t="shared" si="573"/>
        <v>357.206594414564</v>
      </c>
      <c r="AD146" s="186">
        <f t="shared" si="584"/>
        <v>629.645170725237</v>
      </c>
      <c r="AE146" s="186">
        <f>POWER(4*EU146/PI()/EG146/10^-7/EH146/(1-H146)/各项系数!$F$5/各项系数!$J$4,0.5)</f>
        <v>362.525099304928</v>
      </c>
      <c r="AF146" s="218">
        <f>$AA$31</f>
        <v>1.02</v>
      </c>
      <c r="AG146" s="85">
        <f>IF(EM146=0,0,PI()*ER146*ER146/4*EP146*(1-K146)*(1+AF146)*各项系数!$F$5*各项系数!$J$4*10^-7)</f>
        <v>5.14335885944488</v>
      </c>
      <c r="AH146" s="85">
        <f t="shared" si="574"/>
        <v>245.118138379664</v>
      </c>
      <c r="AI146" s="85">
        <f t="shared" si="641"/>
        <v>293.609962330657</v>
      </c>
      <c r="AJ146" s="85">
        <f>IF(OR(EP146="",EP146=0),0,POWER(4*EW146/PI()/EO146/10^-7/EP146/(1-K146)/各项系数!$F$5/各项系数!$J$4,0.5))</f>
        <v>247.557184904753</v>
      </c>
      <c r="AK146" s="85">
        <f t="shared" si="585"/>
        <v>24.8753729619284</v>
      </c>
      <c r="AL146" s="85">
        <f t="shared" si="575"/>
        <v>1719.99979053147</v>
      </c>
      <c r="AM146" s="127">
        <f t="shared" si="576"/>
        <v>630</v>
      </c>
      <c r="AN146" s="118" t="s">
        <v>486</v>
      </c>
      <c r="AO146" s="259">
        <f>AP146+各项系数!$M$9*$NK146</f>
        <v>1686.27430444262</v>
      </c>
      <c r="AP146" s="259">
        <f>AQ146*(1+$BI146+(VLOOKUP($AM146,$A$12:$B$323,2,0))+各项系数!$J$6+各项系数!$M$5)*(1+$E$2)</f>
        <v>1677.07309027717</v>
      </c>
      <c r="AQ146" s="260">
        <f>AR146+各项系数!$L$9*$NK146</f>
        <v>1711.29907171139</v>
      </c>
      <c r="AR146" s="260">
        <f>AS146*(1+$BJ146+各项系数!$J$5+各项系数!$L$5)</f>
        <v>1702.09785754594</v>
      </c>
      <c r="AS146" s="260">
        <f t="shared" si="642"/>
        <v>1668.72338975092</v>
      </c>
      <c r="AT146" s="259">
        <f>AU146+各项系数!$M$9*$NM146</f>
        <v>1698.75888026665</v>
      </c>
      <c r="AU146" s="259">
        <f>AV146*(1+$BI146+(VLOOKUP($AM146,$A$12:$B$323,2,0))+各项系数!$J$6+各项系数!$M$5)*(1+$E$2)</f>
        <v>1689.5576661012</v>
      </c>
      <c r="AV146" s="260">
        <f>AW146+各项系数!$L$9*$NM146</f>
        <v>1724.03843479714</v>
      </c>
      <c r="AW146" s="260">
        <f>AX146*(1+$BJ146+各项系数!$J$5+各项系数!$L$5)</f>
        <v>1714.83722063169</v>
      </c>
      <c r="AX146" s="260">
        <f t="shared" si="643"/>
        <v>1681.21296140361</v>
      </c>
      <c r="AY146" s="259">
        <f>AZ146+各项系数!$M$9*$NS146</f>
        <v>1695.23434711363</v>
      </c>
      <c r="AZ146" s="259">
        <f>BA146*(1+$BI146+(VLOOKUP($AM146,$A$12:$B$214,2,0))+各项系数!$J$6+各项系数!$M$5)*(1+$E$2)</f>
        <v>1685.99377506023</v>
      </c>
      <c r="BA146" s="260">
        <f>BB146+各项系数!$L$9*$NS146</f>
        <v>1720.40181128595</v>
      </c>
      <c r="BB146" s="260">
        <f>BC146*(1+$BJ146+各项系数!$J$5+各项系数!$L$5)</f>
        <v>1711.16123923254</v>
      </c>
      <c r="BC146" s="262">
        <f t="shared" si="644"/>
        <v>1677.60905807112</v>
      </c>
      <c r="BD146" s="259">
        <f>BE146+各项系数!$M$9*$NS146</f>
        <v>1707.7393180509</v>
      </c>
      <c r="BE146" s="259">
        <f>BF146*(1+$BI146+(VLOOKUP($AM146,$A$12:$B$214,2,0))+各项系数!$J$6+各项系数!$M$5)*(1+$E$2)</f>
        <v>1698.4987459975</v>
      </c>
      <c r="BF146" s="260">
        <f>BG146+各项系数!$L$9*$NS146</f>
        <v>1733.16198571173</v>
      </c>
      <c r="BG146" s="260">
        <f>BH146*(1+$BJ146+各项系数!$J$5+各项系数!$L$5)</f>
        <v>1723.92141365833</v>
      </c>
      <c r="BH146" s="262">
        <f t="shared" si="645"/>
        <v>1690.11903299836</v>
      </c>
      <c r="BI146" s="277"/>
      <c r="BJ146" s="272"/>
      <c r="BK146" s="123" t="s">
        <v>514</v>
      </c>
      <c r="BL146" s="259">
        <f>BM146+各项系数!$M$9*$NM146</f>
        <v>1704.49033147429</v>
      </c>
      <c r="BM146" s="259">
        <f>BN146*(1+$CF146+(VLOOKUP($AM146,$A$12:$B$323,2,0))+各项系数!$J$6+各项系数!$M$5)*(1+$E$2)</f>
        <v>1695.28911730884</v>
      </c>
      <c r="BN146" s="260">
        <f>BO146+各项系数!$L$9*$NM146</f>
        <v>1729.88685439678</v>
      </c>
      <c r="BO146" s="260">
        <f>BP146*(1+$CG146+各项系数!$J$5+各项系数!$L$5)</f>
        <v>1720.68564023132</v>
      </c>
      <c r="BP146" s="260">
        <f t="shared" si="646"/>
        <v>1670.56858274886</v>
      </c>
      <c r="BQ146" s="259">
        <f>BR146+各项系数!$M$9*$NM146</f>
        <v>1715.2347672884</v>
      </c>
      <c r="BR146" s="259">
        <f>BS146*(1+$CF146+(VLOOKUP($AM146,$A$12:$B$323,2,0))+各项系数!$J$6+各项系数!$M$5)*(1+$E$2)</f>
        <v>1706.03355312295</v>
      </c>
      <c r="BS146" s="260">
        <f>BT146+各项系数!$L$9*$NM146</f>
        <v>1740.85056441117</v>
      </c>
      <c r="BT146" s="260">
        <f>BU146*(1+$CG146+各项系数!$J$5+各项系数!$L$5)</f>
        <v>1731.64935024572</v>
      </c>
      <c r="BU146" s="260">
        <f t="shared" si="647"/>
        <v>1681.21296140361</v>
      </c>
      <c r="BV146" s="259">
        <f>BW146+各项系数!$M$9*$NT146</f>
        <v>1704.49283390564</v>
      </c>
      <c r="BW146" s="259">
        <f>BX146*(1+$CF146+(VLOOKUP($AM146,$A$12:$B$214,2,0))+各项系数!$J$6+各项系数!$M$5)*(1+$E$2)</f>
        <v>1695.25226185224</v>
      </c>
      <c r="BX146" s="260">
        <f>BY146+各项系数!$L$9*$NT$12</f>
        <v>1729.849246788</v>
      </c>
      <c r="BY146" s="260">
        <f>BZ146*(1+$CG146+各项系数!$J$5+各项系数!$L$5)</f>
        <v>1729.84098338485</v>
      </c>
      <c r="BZ146" s="262">
        <f t="shared" si="586"/>
        <v>1679.45726542218</v>
      </c>
      <c r="CA146" s="259">
        <f>CB146+各项系数!$M$9*$NT146</f>
        <v>1715.25482209704</v>
      </c>
      <c r="CB146" s="259">
        <f>CC146*(1+$CF146+(VLOOKUP($AM146,$A$12:$B$214,2,0))+各项系数!$J$6+各项系数!$M$5)*(1+$E$2)</f>
        <v>1706.01425004364</v>
      </c>
      <c r="CC146" s="260">
        <f>CD146+各项系数!$L$9*$NT$12</f>
        <v>1740.83086739147</v>
      </c>
      <c r="CD146" s="260">
        <f>CE146*(1+$CG146+各项系数!$J$5+各项系数!$L$5)</f>
        <v>1740.82260398831</v>
      </c>
      <c r="CE146" s="262">
        <f t="shared" si="648"/>
        <v>1690.11903299836</v>
      </c>
      <c r="CF146" s="277">
        <f t="shared" si="514"/>
        <v>0</v>
      </c>
      <c r="CG146" s="277">
        <f t="shared" si="587"/>
        <v>0.01</v>
      </c>
      <c r="CH146" s="127"/>
      <c r="CI146" s="259">
        <f>CJ146+各项系数!$M$9*$NO146</f>
        <v>1713.72312136552</v>
      </c>
      <c r="CJ146" s="259">
        <f>CK146*(1+$DC146+(VLOOKUP($AM146,$A$12:$B$323,2,0))+各项系数!$J$6+各项系数!$M$5)*(1+$E$2)+各项系数!$M$9*$NK146</f>
        <v>1701.88836295712</v>
      </c>
      <c r="CK146" s="260">
        <f>CL146+各项系数!$L$9*$NO146</f>
        <v>1727.2317844813</v>
      </c>
      <c r="CL146" s="260">
        <f>CM146*(1+$DD146+各项系数!$J$5+各项系数!$L$5)</f>
        <v>1715.3970260729</v>
      </c>
      <c r="CM146" s="260">
        <f t="shared" si="588"/>
        <v>1681.76179026755</v>
      </c>
      <c r="CN146" s="259">
        <f>CO146+各项系数!$M$9*$NO146</f>
        <v>1725.76853095843</v>
      </c>
      <c r="CO146" s="259">
        <f>CP146*(1+$DC146+(VLOOKUP($AM146,$A$12:$B$323,2,0))+各项系数!$J$6+各项系数!$M$5)*(1+$E$2)+各项系数!$M$9*$NK146</f>
        <v>1713.93377255003</v>
      </c>
      <c r="CP146" s="260">
        <f>CQ146+各项系数!$L$9*$NO146</f>
        <v>1739.52301875977</v>
      </c>
      <c r="CQ146" s="260">
        <f>CR146*(1+$DD146+各项系数!$J$5+各项系数!$L$5)</f>
        <v>1727.68826035138</v>
      </c>
      <c r="CR146" s="260">
        <f t="shared" si="589"/>
        <v>1693.81201995233</v>
      </c>
      <c r="CS146" s="259">
        <f>CT146+各项系数!$M$9*$NU146</f>
        <v>1713.7036723501</v>
      </c>
      <c r="CT146" s="259">
        <f t="shared" si="590"/>
        <v>1701.8285788292</v>
      </c>
      <c r="CU146" s="260">
        <f>CV146+各项系数!$L$9*$NU146</f>
        <v>1736.55977431551</v>
      </c>
      <c r="CV146" s="260">
        <f>CW146*(1+$DD146+各项系数!$J$5+各项系数!$L$5)</f>
        <v>1724.68468079461</v>
      </c>
      <c r="CW146" s="262">
        <f t="shared" si="591"/>
        <v>1690.86733411236</v>
      </c>
      <c r="CX146" s="259">
        <f>CY146+各项系数!$M$9*$NU146</f>
        <v>1726.50590206285</v>
      </c>
      <c r="CY146" s="259">
        <f t="shared" si="592"/>
        <v>1714.63080854195</v>
      </c>
      <c r="CZ146" s="260">
        <f>DA146+各项系数!$L$9*$NU146</f>
        <v>1749.6232740224</v>
      </c>
      <c r="DA146" s="260">
        <f>DB146*(1+$DD146+各项系数!$J$5+各项系数!$L$5)</f>
        <v>1737.7481805015</v>
      </c>
      <c r="DB146" s="262">
        <f t="shared" si="593"/>
        <v>1703.67468676618</v>
      </c>
      <c r="DC146" s="277">
        <f t="shared" si="571"/>
        <v>0</v>
      </c>
      <c r="DD146" s="277">
        <f t="shared" si="594"/>
        <v>0</v>
      </c>
      <c r="DE146" s="69" t="s">
        <v>498</v>
      </c>
      <c r="DF146" s="69" t="s">
        <v>513</v>
      </c>
      <c r="DG146" s="259">
        <f>DH146+各项系数!$M$9*$NQ146</f>
        <v>1732.1112719005</v>
      </c>
      <c r="DH146" s="259">
        <f>DI146*(1+$EA146+(VLOOKUP($AM146,$A$12:$B$323,2,0))+各项系数!$J$6+各项系数!$M$5)*(1+$E$2)+各项系数!$M$9*$NK146</f>
        <v>1720.2765134921</v>
      </c>
      <c r="DI146" s="260">
        <f>DJ146+各项系数!$L$9*$NQ146</f>
        <v>1745.99520339454</v>
      </c>
      <c r="DJ146" s="260">
        <f>DK146*(1+$EB146+各项系数!$J$5+各项系数!$L$5)</f>
        <v>1734.16044498614</v>
      </c>
      <c r="DK146" s="260">
        <f t="shared" si="595"/>
        <v>1683.65091746227</v>
      </c>
      <c r="DL146" s="259">
        <f>DM146+各项系数!$M$9*$NQ146</f>
        <v>1743.11153361357</v>
      </c>
      <c r="DM146" s="259">
        <f>DN146*(1+$EA146+(VLOOKUP($AM146,$A$12:$B$323,2,0))+各项系数!$J$6+各项系数!$M$5)*(1+$E$2)+各项系数!$M$9*$NK146</f>
        <v>1731.27677520518</v>
      </c>
      <c r="DN146" s="260">
        <f>DO146+各项系数!$L$9*$NQ146</f>
        <v>1757.21996024461</v>
      </c>
      <c r="DO146" s="260">
        <f>DP146*(1+$EB146+各项系数!$J$5+各项系数!$L$5)</f>
        <v>1745.38520183622</v>
      </c>
      <c r="DP146" s="260">
        <f t="shared" si="596"/>
        <v>1694.54873964681</v>
      </c>
      <c r="DQ146" s="259">
        <f>DR146+各项系数!$M$9*$NV146</f>
        <v>1732.1840999028</v>
      </c>
      <c r="DR146" s="259">
        <f t="shared" si="597"/>
        <v>1720.3090063819</v>
      </c>
      <c r="DS146" s="260">
        <f>DT146+各项系数!$L$9*$NV146</f>
        <v>1755.41735345092</v>
      </c>
      <c r="DT146" s="260">
        <f>DU146*(1+$EB146+各项系数!$J$5+各项系数!$L$5)</f>
        <v>1743.54225993002</v>
      </c>
      <c r="DU146" s="262">
        <f t="shared" si="598"/>
        <v>1692.75947566021</v>
      </c>
      <c r="DV146" s="259">
        <f>DW146+各项系数!$M$9*$NV146</f>
        <v>1728.26990278085</v>
      </c>
      <c r="DW146" s="259">
        <f t="shared" si="599"/>
        <v>1716.39480925995</v>
      </c>
      <c r="DX146" s="260">
        <f>DY146+各项系数!$L$9*$NV146</f>
        <v>1751.42327475505</v>
      </c>
      <c r="DY146" s="260">
        <f>DZ146*(1+$EB146+各项系数!$J$5+各项系数!$L$5)</f>
        <v>1739.54818123415</v>
      </c>
      <c r="DZ146" s="262">
        <f t="shared" si="600"/>
        <v>1688.88172935354</v>
      </c>
      <c r="EA146" s="277">
        <f t="shared" si="581"/>
        <v>0</v>
      </c>
      <c r="EB146" s="277">
        <f t="shared" si="601"/>
        <v>0.01</v>
      </c>
      <c r="EC146" s="302" t="str">
        <f t="shared" si="649"/>
        <v>4+1</v>
      </c>
      <c r="ED146" s="304" t="str">
        <f t="shared" si="680"/>
        <v>4*630</v>
      </c>
      <c r="EE146" s="251">
        <f t="shared" si="495"/>
        <v>630</v>
      </c>
      <c r="EF146" s="95" t="str">
        <f>LOOKUP(EH146,{1,7,10,14,19,24,30,37,48,61},{1,"1+6","2+8","4+10","1+6+12","2+8+14","4+10+16","1+6+12+18","3+9+15+21","1+6+12+18+24"})</f>
        <v>1+6+12+18+24</v>
      </c>
      <c r="EG146" s="250">
        <f t="shared" si="602"/>
        <v>4</v>
      </c>
      <c r="EH146" s="260">
        <f>VLOOKUP(EE146,各项系数!$B$87:$C$124,2,0)</f>
        <v>61</v>
      </c>
      <c r="EI146" s="250">
        <f>IF(EH146=0,0,VLOOKUP(EH146,各项系数!$D$142:$E$195,2,0))*1</f>
        <v>9</v>
      </c>
      <c r="EJ146" s="305">
        <f t="shared" si="650"/>
        <v>357.206594414564</v>
      </c>
      <c r="EK146" s="95" t="str">
        <f t="shared" si="681"/>
        <v>1*300</v>
      </c>
      <c r="EL146" s="251" t="str">
        <f t="shared" si="603"/>
        <v>300</v>
      </c>
      <c r="EM146" s="95">
        <f t="shared" si="682"/>
        <v>300</v>
      </c>
      <c r="EN146" s="95" t="str">
        <f>IF(EP146=0,0,LOOKUP(EP146,{1,7,10,14,19,24,30,37,48,61},{1,"1+6","2+8","4+10","1+6+12","2+8+14","4+10+16","1+6+12+18","3+9+15+21","1+6+12+18+24"}))</f>
        <v>1+6+12+18+24</v>
      </c>
      <c r="EO146" s="95" t="str">
        <f t="shared" si="683"/>
        <v>1</v>
      </c>
      <c r="EP146" s="95">
        <f>IF(EM146=0,0,IF(EM146&lt;10,1,IF(AND(EM146&gt;=10,EM146&lt;=35),7,LOOKUP(EM146,{50,70,95,120,150,185,240,300},{10,14,19,24,30,37,48,61})*1)))</f>
        <v>61</v>
      </c>
      <c r="EQ146" s="251">
        <f>IF(EP146=0,0,VLOOKUP(EP146,各项系数!$D$142:$E$195,2,0))*1</f>
        <v>9</v>
      </c>
      <c r="ER146" s="95">
        <f t="shared" si="577"/>
        <v>245.118138379664</v>
      </c>
      <c r="ES146" s="304">
        <f t="shared" si="684"/>
        <v>5</v>
      </c>
      <c r="ET146" s="251">
        <f>VLOOKUP(ES146,各项系数!$D$142:$E$195,2,0)*1</f>
        <v>2.7</v>
      </c>
      <c r="EU146" s="311">
        <f>((各项系数!$F$76/4*$EJ146^2*$EG146*$EH146*1*10^-7)*(1-$H146)*AA146)*(VLOOKUP($EY$9,各项系数!$D$4:$F$143,3,0))*各项系数!$J$4</f>
        <v>22.2782313596345</v>
      </c>
      <c r="EV146" s="312">
        <f>EU146*(VLOOKUP($EY$9,各项系数!$D$4:$F$143,2,0))</f>
        <v>1459.22415405606</v>
      </c>
      <c r="EW146" s="324">
        <f>(IF($EO146=0,0,(各项系数!$F$76/4*$ER146^2*$EO146*$EP146*1*10^-7))*(1-$K146)*$AF146)*(VLOOKUP($EY$9,各项系数!$D$4:$F$143,3,0))*各项系数!$J$4</f>
        <v>2.59714160229395</v>
      </c>
      <c r="EX146" s="325">
        <f>EW146*(VLOOKUP($EY$9,各项系数!$D$4:$F$143,2,0))</f>
        <v>170.112774950253</v>
      </c>
      <c r="EY146" s="251">
        <f>((各项系数!$F$76/4*$EJ146^2*$EG146*$EH146*1*10^-7)*(1-$H146)*AA146+IF($EO146=0,0,(各项系数!$F$76/4*$ER146^2*$EO146*$EP146*1*10^-7))*(1-$K146)*$AF146)*(VLOOKUP($EY$9,各项系数!$D$4:$F$143,3,0))*各项系数!$J$4</f>
        <v>24.8753729619284</v>
      </c>
      <c r="EZ146" s="123">
        <v>1</v>
      </c>
      <c r="FA146" s="251">
        <f t="shared" si="515"/>
        <v>24.8753729619284</v>
      </c>
      <c r="FB146" s="326">
        <f>FA146*(VLOOKUP($EY$9,各项系数!$D$4:$F$143,2,0))</f>
        <v>1629.33692900631</v>
      </c>
      <c r="FC146" s="329"/>
      <c r="FD146" s="302">
        <f>各项系数!$F$76/4*($MN146^2-MK146^2)*10^-2*(VLOOKUP(L146,各项系数!$D$1:$F$143,3,0))*10^-3*10^2*$EG146*各项系数!$J$4</f>
        <v>1.14042634853418</v>
      </c>
      <c r="FE146" s="339">
        <f>FD146*VLOOKUP(L146,各项系数!$D$1:$F$143,2,0)</f>
        <v>11.6323487550487</v>
      </c>
      <c r="FF146" s="250">
        <f>各项系数!$F$76/4*($MO146^2-ML146^2)*10^-2*(VLOOKUP(L146,各项系数!$D$1:$F$143,3,0))*10^-3*10^2*$EO146*各项系数!$J$4</f>
        <v>0.147679459668784</v>
      </c>
      <c r="FG146" s="339">
        <f>FF146*VLOOKUP(L146,各项系数!$D$1:$F$143,2,0)</f>
        <v>1.5063304886216</v>
      </c>
      <c r="FH146" s="302">
        <f t="shared" si="651"/>
        <v>1.28810580820297</v>
      </c>
      <c r="FI146" s="123">
        <v>1</v>
      </c>
      <c r="FJ146" s="251">
        <f t="shared" si="516"/>
        <v>1.28810580820297</v>
      </c>
      <c r="FK146" s="339">
        <f>FJ146*VLOOKUP(L146,各项系数!$D$1:$F$143,2,0)</f>
        <v>13.1386792436703</v>
      </c>
      <c r="FL146" s="304"/>
      <c r="FM146" s="127"/>
      <c r="FN146" s="251"/>
      <c r="FO146" s="339"/>
      <c r="FP146" s="364">
        <f t="shared" si="517"/>
        <v>1.28810580820297</v>
      </c>
      <c r="FQ146" s="364">
        <f t="shared" si="518"/>
        <v>13.1386792436703</v>
      </c>
      <c r="FR146" s="365">
        <f>各项系数!$F$76/4*($MQ146^2-$MN146^2*$EG146-$MO146^2*$EO146)*10^-2</f>
        <v>20.8444806144324</v>
      </c>
      <c r="FS146" s="366">
        <f t="shared" si="652"/>
        <v>1</v>
      </c>
      <c r="FT146" s="367">
        <f t="shared" si="604"/>
        <v>20.8444806144324</v>
      </c>
      <c r="FU146" s="388">
        <f>$FT146*(VLOOKUP($FT$9,各项系数!$D$1:$F$143,3,0))*10^-3*10^2*各项系数!$J$55</f>
        <v>2.48883098536323</v>
      </c>
      <c r="FV146" s="389">
        <v>1</v>
      </c>
      <c r="FW146" s="390">
        <f t="shared" si="519"/>
        <v>2.48883098536323</v>
      </c>
      <c r="FX146" s="367">
        <f>FW146*(VLOOKUP($FT$9,各项系数!$D$1:$F$143,2,0))</f>
        <v>7.46649295608969</v>
      </c>
      <c r="FY146" s="388">
        <f>IF($BK146&lt;&gt;$FY$9,0,各项系数!$F$76/4*($MS146^2-$MQ146^2)*10^-2*(VLOOKUP($FY$9,各项系数!$D$1:$F$143,3,0))*10^-3*10^2)*各项系数!$J$4</f>
        <v>0</v>
      </c>
      <c r="FZ146" s="389">
        <v>1</v>
      </c>
      <c r="GA146" s="390">
        <f t="shared" si="520"/>
        <v>0</v>
      </c>
      <c r="GB146" s="367">
        <f>GA146*(VLOOKUP($FY$9,各项系数!$D$1:$F$143,2,0))</f>
        <v>0</v>
      </c>
      <c r="GC146" s="388">
        <f>IF($BK146&lt;&gt;$GC$9,0,各项系数!$F$76/4*($MS146^2-$MQ146^2)*10^-2*(VLOOKUP($GC$9,各项系数!$D$1:$F$143,3,0))*10^-3*10^2)*各项系数!$J$4</f>
        <v>0.0255316717442906</v>
      </c>
      <c r="GD146" s="389">
        <v>1</v>
      </c>
      <c r="GE146" s="390">
        <f t="shared" si="521"/>
        <v>0.0255316717442906</v>
      </c>
      <c r="GF146" s="367">
        <f>GE146*(VLOOKUP($GC$9,各项系数!$D$1:$F$143,2,0))</f>
        <v>0.329358565501349</v>
      </c>
      <c r="GG146" s="388">
        <f>IF($BK146&lt;&gt;$GG$9,0,各项系数!$F$76/4*($MS146^2-$MQ146^2)*10^-2*(VLOOKUP($GG$9,各项系数!$D$1:$F$143,3,0))*10^-3*10^2)*各项系数!$J$4</f>
        <v>0</v>
      </c>
      <c r="GH146" s="389">
        <v>1</v>
      </c>
      <c r="GI146" s="390">
        <f t="shared" si="522"/>
        <v>0</v>
      </c>
      <c r="GJ146" s="367">
        <f>GI146*(VLOOKUP($GG$9,各项系数!$D$1:$F$143,2,0))</f>
        <v>0</v>
      </c>
      <c r="GK146" s="388">
        <f>IF($BK146&lt;&gt;$GK$9,0,各项系数!$F$76/4*($MS146^2-$MQ146^2)*10^-2*(VLOOKUP($GK$9,各项系数!$D$1:$F$143,3,0))*10^-3*10^2)*各项系数!$J$4</f>
        <v>0</v>
      </c>
      <c r="GL146" s="389">
        <v>1</v>
      </c>
      <c r="GM146" s="390">
        <f t="shared" si="523"/>
        <v>0</v>
      </c>
      <c r="GN146" s="367">
        <f>GM146*(VLOOKUP($GK$9,各项系数!$D$1:$F$143,2,0))</f>
        <v>0</v>
      </c>
      <c r="GO146" s="390">
        <f t="shared" si="524"/>
        <v>0.0255316717442906</v>
      </c>
      <c r="GP146" s="390">
        <f t="shared" si="525"/>
        <v>0.329358565501349</v>
      </c>
      <c r="GQ146" s="406">
        <f>各项系数!$F$76/4*($MU146^2-$MS146^2)*10^-2*(VLOOKUP($S146,各项系数!$D$1:$F$143,3,0))*10^-3*10^2*各项系数!$J$4</f>
        <v>1.73417937267606</v>
      </c>
      <c r="GR146" s="389">
        <v>1</v>
      </c>
      <c r="GS146" s="390">
        <f t="shared" si="526"/>
        <v>1.73417937267606</v>
      </c>
      <c r="GT146" s="390">
        <f t="shared" si="457"/>
        <v>0</v>
      </c>
      <c r="GU146" s="390">
        <f>ROUND($GS146*(VLOOKUP($S146,各项系数!$D$1:$F$143,2,0))+$E$3*GS146,GT146)</f>
        <v>10</v>
      </c>
      <c r="GV146" s="406">
        <f>各项系数!$F$76/4*($MT146^2-$MS146^2)*10^-2*(VLOOKUP($GV$9,各项系数!$D$1:$F$143,3,0))*10^-3*10^2*各项系数!$J$4*PI()/4*R146</f>
        <v>0.131192959836318</v>
      </c>
      <c r="GW146" s="389">
        <v>1</v>
      </c>
      <c r="GX146" s="390">
        <f t="shared" si="527"/>
        <v>0.131192959836318</v>
      </c>
      <c r="GY146" s="390">
        <f>$GX146*(VLOOKUP($GV$9,各项系数!$D$1:$F$143,2,0))</f>
        <v>8.85552478895148</v>
      </c>
      <c r="GZ146" s="406">
        <f>各项系数!$F$76/4*($MV146^2-$MS146^2)*10^-2*(VLOOKUP($GZ$9,各项系数!$D$1:$F$143,3,0))*10^-3*10^2*各项系数!$J$4</f>
        <v>1.8200883312965</v>
      </c>
      <c r="HA146" s="389">
        <v>1</v>
      </c>
      <c r="HB146" s="390">
        <f t="shared" si="653"/>
        <v>1.8200883312965</v>
      </c>
      <c r="HC146" s="390">
        <f>HB146*(VLOOKUP($GZ$9,各项系数!$D$1:$F$143,2,0))</f>
        <v>30.9415016320405</v>
      </c>
      <c r="HD146" s="406">
        <f>各项系数!$F$76/4*($MW146^2-$MT146^2)*10^-2*(VLOOKUP($HD$9,各项系数!$D$1:$F$143,3,0))*10^-3*10^2*各项系数!$J$4</f>
        <v>1.82306167281394</v>
      </c>
      <c r="HE146" s="389">
        <v>1</v>
      </c>
      <c r="HF146" s="390">
        <f t="shared" si="654"/>
        <v>1.82306167281394</v>
      </c>
      <c r="HG146" s="390">
        <f>HF146*(VLOOKUP($HD$9,各项系数!$D$1:$F$143,2,0))</f>
        <v>30.9920484378369</v>
      </c>
      <c r="HH146" s="406">
        <f>各项系数!$F$76/4*($MV146^2-$MS146^2)*10^-2*(VLOOKUP($HH$9,各项系数!$D$1:$F$143,3,0))*10^-3*10^2*各项系数!$J$4</f>
        <v>1.8200883312965</v>
      </c>
      <c r="HI146" s="420">
        <v>1</v>
      </c>
      <c r="HJ146" s="390">
        <f t="shared" si="655"/>
        <v>1.8200883312965</v>
      </c>
      <c r="HK146" s="390">
        <f>HJ146*(VLOOKUP($HH$9,各项系数!$D$1:$F$143,2,0))</f>
        <v>30.9415016320405</v>
      </c>
      <c r="HL146" s="406">
        <f>各项系数!$F$76/4*($MW146^2-$MT146^2)*10^-2*(VLOOKUP($HL$9,各项系数!$D$1:$F$143,3,0))*10^-3*10^2*各项系数!$J$4</f>
        <v>1.82306167281394</v>
      </c>
      <c r="HM146" s="420">
        <v>1</v>
      </c>
      <c r="HN146" s="390">
        <f t="shared" si="605"/>
        <v>1.82306167281394</v>
      </c>
      <c r="HO146" s="390">
        <f>HN146*(VLOOKUP($HL$9,各项系数!$D$1:$F$143,2,0))</f>
        <v>30.9920484378369</v>
      </c>
      <c r="HP146" s="406">
        <f>各项系数!$F$76/4*($MV146^2-$MS146^2)*10^-2*(VLOOKUP(AN146,各项系数!$D$1:$F$143,3,0))*10^-3*10^2*各项系数!$J$4</f>
        <v>1.84519299793507</v>
      </c>
      <c r="HQ146" s="389">
        <v>1</v>
      </c>
      <c r="HR146" s="390">
        <f t="shared" si="528"/>
        <v>1.84519299793507</v>
      </c>
      <c r="HS146" s="390">
        <f>HR146*(VLOOKUP(AN146,各项系数!$D$1:$F$143,2,0))</f>
        <v>18.4519299793507</v>
      </c>
      <c r="HT146" s="406">
        <f>各项系数!$F$76/4*($MW146^2-$MT146^2)*10^-2*(VLOOKUP(AN146,各项系数!$D$1:$F$143,3,0))*10^-3*10^2*各项系数!$J$4</f>
        <v>1.84820735105964</v>
      </c>
      <c r="HU146" s="389">
        <v>1</v>
      </c>
      <c r="HV146" s="390">
        <f t="shared" si="529"/>
        <v>1.84820735105964</v>
      </c>
      <c r="HW146" s="390">
        <f>HV146*(VLOOKUP(AN146,各项系数!$D$1:$F$143,2,0))</f>
        <v>18.4820735105965</v>
      </c>
      <c r="HX146" s="406">
        <f>各项系数!$F$76/4*($MV146^2-$MS146^2)*10^-2*(VLOOKUP($HX$9,各项系数!$D$1:$F$143,3,0))*10^-3*10^2*各项系数!$J$4</f>
        <v>1.84519299793507</v>
      </c>
      <c r="HY146" s="420">
        <v>1</v>
      </c>
      <c r="HZ146" s="390">
        <f t="shared" si="530"/>
        <v>1.84519299793507</v>
      </c>
      <c r="IA146" s="390">
        <f>HZ146*(VLOOKUP($HX$9,各项系数!$D$1:$F$143,2,0))</f>
        <v>20.2971229772858</v>
      </c>
      <c r="IB146" s="406">
        <f>各项系数!$F$76/4*($MW146^2-$MT146^2)*10^-2*(VLOOKUP($IB$9,各项系数!$D$1:$F$143,3,0))*10^-3*10^2*各项系数!$J$4</f>
        <v>1.84820735105964</v>
      </c>
      <c r="IC146" s="420">
        <v>1</v>
      </c>
      <c r="ID146" s="390">
        <f t="shared" si="531"/>
        <v>1.84820735105964</v>
      </c>
      <c r="IE146" s="390">
        <f>ID146*(VLOOKUP($IB$9,各项系数!$D$1:$F$143,2,0))</f>
        <v>20.3302808616561</v>
      </c>
      <c r="IF146" s="395"/>
      <c r="IG146" s="406">
        <f t="shared" si="656"/>
        <v>0.214028552128937</v>
      </c>
      <c r="IH146" s="389">
        <v>1</v>
      </c>
      <c r="II146" s="390">
        <f t="shared" si="532"/>
        <v>0.214028552128937</v>
      </c>
      <c r="IJ146" s="390">
        <f>II146*(VLOOKUP($IG$8,各项系数!$D$1:$F$143,2,0))</f>
        <v>5.35071380322341</v>
      </c>
      <c r="IK146" s="406">
        <f>(各项系数!$F$76/4*($MX146^2-$MK146^2)*$EG146)*10^-2*(VLOOKUP($IG$8,各项系数!$D$1:$F$143,3,0))*10^-3*10^2*各项系数!$J$4</f>
        <v>0.182575010734365</v>
      </c>
      <c r="IL146" s="389">
        <f>IK146*(VLOOKUP($IG$8,各项系数!$D$1:$F$143,2,0))</f>
        <v>4.56437526835914</v>
      </c>
      <c r="IM146" s="390">
        <f>(各项系数!$F$76/4*(($MM146+3*$X146)^2-MM146^2)*$EO146)*10^-2*(VLOOKUP($IG$8,各项系数!$D$1:$F$143,3,0))*10^-3*10^2*各项系数!$J$4</f>
        <v>0.031453541394571</v>
      </c>
      <c r="IN146" s="389">
        <f>IM146*(VLOOKUP($IG$8,各项系数!$D$1:$F$143,2,0))</f>
        <v>0.786338534864276</v>
      </c>
      <c r="IO146" s="406">
        <f>各项系数!$F$76/4*($MZ146^2-$MX146^2)*10^-2*(VLOOKUP(L146,各项系数!$D$1:$F$143,3,0))*10^-3*10^2*$ES146*各项系数!$J$4</f>
        <v>1.45028994241508</v>
      </c>
      <c r="IP146" s="389">
        <v>1</v>
      </c>
      <c r="IQ146" s="390">
        <f t="shared" si="533"/>
        <v>1.45028994241508</v>
      </c>
      <c r="IR146" s="367">
        <f>IQ146*(VLOOKUP(L146,各项系数!$D$1:$F$143,2,0))</f>
        <v>14.7929574126338</v>
      </c>
      <c r="IS146" s="406">
        <f>IF($L146&lt;&gt;$IS$9,0,各项系数!$F$76/4*($MZ146^2-$MX146^2)*10^-2*各项系数!$F$12*10^-3*10^2)*$ES146*各项系数!$J$4</f>
        <v>0</v>
      </c>
      <c r="IT146" s="396">
        <v>1</v>
      </c>
      <c r="IU146" s="390">
        <f t="shared" si="534"/>
        <v>0</v>
      </c>
      <c r="IV146" s="367">
        <f>IU146*各项系数!$E$12</f>
        <v>0</v>
      </c>
      <c r="IW146" s="388">
        <f t="shared" si="535"/>
        <v>1.45028994241508</v>
      </c>
      <c r="IX146" s="388">
        <f t="shared" si="536"/>
        <v>14.7929574126338</v>
      </c>
      <c r="IY146" s="447">
        <f>各项系数!$F$76/4*($NB146^2-$MZ146^2*$EG146-$NA146^2*$EO146)*10^-2</f>
        <v>22.0665596004533</v>
      </c>
      <c r="IZ146" s="366">
        <f t="shared" si="487"/>
        <v>1</v>
      </c>
      <c r="JA146" s="367">
        <f t="shared" si="606"/>
        <v>22.0665596004533</v>
      </c>
      <c r="JB146" s="364">
        <f>IF($DE146&lt;&gt;$JB$9,0,$JA146*各项系数!$F$32*10^-3*10^2)*各项系数!$J$4</f>
        <v>0</v>
      </c>
      <c r="JC146" s="123">
        <v>1</v>
      </c>
      <c r="JD146" s="251">
        <f t="shared" si="537"/>
        <v>0</v>
      </c>
      <c r="JE146" s="339">
        <f>JD146*各项系数!$E$32</f>
        <v>0</v>
      </c>
      <c r="JF146" s="364">
        <f>IF($DE146&lt;&gt;$JF$9,0,$JA146*VLOOKUP($JF$9,各项系数!$D$4:$F$540,2,0)*10^-3*10^2)*各项系数!$J$4</f>
        <v>10.9781134012255</v>
      </c>
      <c r="JG146" s="123">
        <v>1</v>
      </c>
      <c r="JH146" s="251">
        <f t="shared" si="607"/>
        <v>10.9781134012255</v>
      </c>
      <c r="JI146" s="339">
        <f>JH146*VLOOKUP($JF$9,各项系数!$D$4:$F$540,3,0)</f>
        <v>13.1737360814706</v>
      </c>
      <c r="JJ146" s="364">
        <f t="shared" si="538"/>
        <v>10.9781134012255</v>
      </c>
      <c r="JK146" s="251">
        <f t="shared" si="539"/>
        <v>13.1737360814706</v>
      </c>
      <c r="JL146" s="364">
        <f>IF($DF146&lt;&gt;$JL$9,0,各项系数!$F$76/4*($NE146^2-$NC146^2)*10^-2*各项系数!$F$39*10^-3*10^2)*各项系数!$J$4</f>
        <v>0.0108091008326438</v>
      </c>
      <c r="JM146" s="123">
        <v>1</v>
      </c>
      <c r="JN146" s="251">
        <f t="shared" si="540"/>
        <v>0.0108091008326438</v>
      </c>
      <c r="JO146" s="339">
        <f>JN146*各项系数!$E$39</f>
        <v>0.216182016652875</v>
      </c>
      <c r="JP146" s="364">
        <f>IF($DF146&lt;&gt;$JP$9,0,各项系数!$F$76/4*($NE146^2-$NC146^2)*10^-2*各项系数!$F$36*10^-3*10^2)*各项系数!$J$4</f>
        <v>0</v>
      </c>
      <c r="JQ146" s="123">
        <v>1</v>
      </c>
      <c r="JR146" s="251">
        <f t="shared" si="541"/>
        <v>0</v>
      </c>
      <c r="JS146" s="339">
        <f>JR146*各项系数!$E$36</f>
        <v>0</v>
      </c>
      <c r="JT146" s="364">
        <f>IF($DF146&lt;&gt;$JT$9,0,各项系数!$F$76/4*($NE146^2-$NC146^2)*10^-2*各项系数!$F$40*10^-3*10^2)*各项系数!$J$4</f>
        <v>0</v>
      </c>
      <c r="JU146" s="123">
        <v>1</v>
      </c>
      <c r="JV146" s="251">
        <f t="shared" si="542"/>
        <v>0</v>
      </c>
      <c r="JW146" s="339">
        <f>JV146*各项系数!$E$40</f>
        <v>0</v>
      </c>
      <c r="JX146" s="364">
        <f>IF($DF146&lt;&gt;$JX$9,0,各项系数!$F$76/4*($NE146^2-$NC146^2)*10^-2*各项系数!$F$38*10^-3*10^2)*各项系数!$J$4</f>
        <v>0</v>
      </c>
      <c r="JY146" s="123">
        <v>1</v>
      </c>
      <c r="JZ146" s="251">
        <f t="shared" si="543"/>
        <v>0</v>
      </c>
      <c r="KA146" s="339">
        <f>JZ146*各项系数!$E$38</f>
        <v>0</v>
      </c>
      <c r="KB146" s="364">
        <f>IF($DF146&lt;&gt;$KB$9,0,各项系数!$F$76/4*($NE146^2-$NC146^2)*10^-2*各项系数!$F$41*10^-3*10^2)*各项系数!$J$4</f>
        <v>0</v>
      </c>
      <c r="KC146" s="123">
        <v>1</v>
      </c>
      <c r="KD146" s="251">
        <f t="shared" si="544"/>
        <v>0</v>
      </c>
      <c r="KE146" s="339">
        <f>KD146*各项系数!$E$41</f>
        <v>0</v>
      </c>
      <c r="KF146" s="251">
        <f t="shared" si="545"/>
        <v>0.0108091008326438</v>
      </c>
      <c r="KG146" s="251">
        <f t="shared" si="546"/>
        <v>0.216182016652875</v>
      </c>
      <c r="KH146" s="302">
        <f>各项系数!$F$76/4*($NG146^2-$NE146^2)*10^-2*各项系数!$F$44*10^-3*10^2*各项系数!$J$4*0.75*$U146</f>
        <v>2.66539899036727</v>
      </c>
      <c r="KI146" s="123">
        <v>1</v>
      </c>
      <c r="KJ146" s="251">
        <f t="shared" si="547"/>
        <v>2.66539899036727</v>
      </c>
      <c r="KK146" s="251">
        <f>ROUND(KJ146*各项系数!$E$43,GT146)</f>
        <v>15</v>
      </c>
      <c r="KL146" s="302">
        <f>各项系数!$F$76/4*($NF146^2-$NE146^2)*10^-2*各项系数!$F$46*10^-3*10^2*各项系数!$J$4*PI()/4*R146</f>
        <v>0.134450375015805</v>
      </c>
      <c r="KM146" s="123">
        <v>1</v>
      </c>
      <c r="KN146" s="251">
        <f t="shared" si="548"/>
        <v>0.134450375015805</v>
      </c>
      <c r="KO146" s="251">
        <f>KN146*各项系数!$E$46</f>
        <v>9.07540031356687</v>
      </c>
      <c r="KP146" s="302">
        <f>各项系数!$F$76/4*($NH146^2-$NE146^2)*10^-2*(VLOOKUP($KP$9,各项系数!$D$1:$F$143,3,0))*10^-3*10^2*各项系数!$J$4</f>
        <v>1.8634247839131</v>
      </c>
      <c r="KQ146" s="123">
        <v>1</v>
      </c>
      <c r="KR146" s="251">
        <f t="shared" si="657"/>
        <v>1.8634247839131</v>
      </c>
      <c r="KS146" s="251">
        <f>KR146*(VLOOKUP($KP$9,各项系数!$D$1:$F$143,2,0))</f>
        <v>31.6782213265227</v>
      </c>
      <c r="KT146" s="302">
        <f>各项系数!$F$76/4*($NI146^2-$NF146^2)*10^-2*(VLOOKUP($KT$9,各项系数!$D$1:$F$143,3,0))*10^-3*10^2*各项系数!$J$4</f>
        <v>1.86639812543054</v>
      </c>
      <c r="KU146" s="123">
        <v>1</v>
      </c>
      <c r="KV146" s="251">
        <f t="shared" si="658"/>
        <v>1.86639812543054</v>
      </c>
      <c r="KW146" s="251">
        <f>KV146*(VLOOKUP($KT$9,各项系数!$D$1:$F$143,2,0))</f>
        <v>31.7287681323192</v>
      </c>
      <c r="KX146" s="251">
        <f>各项系数!$F$76/4*($NH146^2-$NE146^2)*10^-2*(VLOOKUP($KX$9,各项系数!$D$1:$F$143,3,0))*10^-3*10^2*各项系数!$J$4</f>
        <v>1.8634247839131</v>
      </c>
      <c r="KY146" s="479">
        <v>1</v>
      </c>
      <c r="KZ146" s="251">
        <f t="shared" si="659"/>
        <v>1.8634247839131</v>
      </c>
      <c r="LA146" s="251">
        <f>KZ146*(VLOOKUP($KX$9,各项系数!$D$1:$F$143,2,0))</f>
        <v>31.6782213265227</v>
      </c>
      <c r="LB146" s="251">
        <f>各项系数!$F$76/4*($NI146^2-$NF146^2)*10^-2*(VLOOKUP($LB$9,各项系数!$D$1:$F$143,3,0))*10^-3*10^2*各项系数!$J$4</f>
        <v>1.86639812543054</v>
      </c>
      <c r="LC146" s="479">
        <v>1</v>
      </c>
      <c r="LD146" s="251">
        <f t="shared" si="660"/>
        <v>1.86639812543054</v>
      </c>
      <c r="LE146" s="251">
        <f>LD146*(VLOOKUP($LB$9,各项系数!$D$1:$F$143,2,0))</f>
        <v>31.7287681323192</v>
      </c>
      <c r="LF146" s="302">
        <f>各项系数!$F$76/4*($NH146^2-$NE146^2)*10^-2*(VLOOKUP(AN146,各项系数!$D$1:$F$143,3,0))*10^-3*10^2*各项系数!$J$4</f>
        <v>1.8891271947257</v>
      </c>
      <c r="LG146" s="123">
        <v>1</v>
      </c>
      <c r="LH146" s="251">
        <f t="shared" si="549"/>
        <v>1.8891271947257</v>
      </c>
      <c r="LI146" s="251">
        <f>LH146*(VLOOKUP(AN146,各项系数!$D$1:$F$143,2,0))</f>
        <v>18.891271947257</v>
      </c>
      <c r="LJ146" s="302">
        <f>各项系数!$F$76/4*($NI146^2-$NF146^2)*10^-2*(VLOOKUP(AN146,各项系数!$D$1:$F$143,3,0))*10^-3*10^2*各项系数!$J$4</f>
        <v>1.89214154785027</v>
      </c>
      <c r="LK146" s="123">
        <v>1</v>
      </c>
      <c r="LL146" s="251">
        <f t="shared" si="550"/>
        <v>1.89214154785027</v>
      </c>
      <c r="LM146" s="251">
        <f>LL146*(VLOOKUP(AN146,各项系数!$D$1:$F$143,2,0))</f>
        <v>18.9214154785027</v>
      </c>
      <c r="LN146" s="251">
        <f>各项系数!$F$76/4*($NH146^2-$NE146^2)*10^-2*(VLOOKUP($LN$9,各项系数!$D$1:$F$143,3,0))*10^-3*10^2*各项系数!$J$4</f>
        <v>1.8891271947257</v>
      </c>
      <c r="LO146" s="479">
        <v>1</v>
      </c>
      <c r="LP146" s="251">
        <f t="shared" si="551"/>
        <v>1.8891271947257</v>
      </c>
      <c r="LQ146" s="251">
        <f>LP146*(VLOOKUP($LN$9,各项系数!$D$1:$F$143,2,0))</f>
        <v>20.7803991419827</v>
      </c>
      <c r="LR146" s="251">
        <f>各项系数!$F$76/4*($NI146^2-$NF146^2)*10^-2*(VLOOKUP($LR$9,各项系数!$D$1:$F$143,3,0))*10^-3*10^2*各项系数!$J$4</f>
        <v>1.89214154785027</v>
      </c>
      <c r="LS146" s="479">
        <v>1</v>
      </c>
      <c r="LT146" s="251">
        <f t="shared" si="552"/>
        <v>1.89214154785027</v>
      </c>
      <c r="LU146" s="251">
        <f>LT146*(VLOOKUP($LR$9,各项系数!$D$1:$F$143,2,0))</f>
        <v>20.813557026353</v>
      </c>
      <c r="LV146" s="499">
        <f t="shared" si="661"/>
        <v>3246.93673152</v>
      </c>
      <c r="LW146" s="499">
        <f t="shared" si="662"/>
        <v>2445.22395831</v>
      </c>
      <c r="LX146" s="499">
        <f t="shared" si="663"/>
        <v>55.7974537004525</v>
      </c>
      <c r="LY146" s="515">
        <f t="shared" si="664"/>
        <v>801.71277321</v>
      </c>
      <c r="LZ146" s="516">
        <f t="shared" si="608"/>
        <v>1</v>
      </c>
      <c r="MA146" s="517">
        <f t="shared" si="609"/>
        <v>3246.93673152</v>
      </c>
      <c r="MB146" s="517">
        <f t="shared" si="665"/>
        <v>32.14859346</v>
      </c>
      <c r="MC146" s="499">
        <f t="shared" si="666"/>
        <v>382.23090564</v>
      </c>
      <c r="MD146" s="499">
        <f t="shared" si="667"/>
        <v>287.85290335</v>
      </c>
      <c r="ME146" s="499">
        <f t="shared" si="668"/>
        <v>19.1443385785994</v>
      </c>
      <c r="MF146" s="499">
        <f t="shared" si="669"/>
        <v>94.37800229</v>
      </c>
      <c r="MG146" s="516">
        <f t="shared" si="670"/>
        <v>1</v>
      </c>
      <c r="MH146" s="517">
        <f t="shared" si="610"/>
        <v>382.23090564</v>
      </c>
      <c r="MI146" s="517">
        <f t="shared" si="671"/>
        <v>22.0606324542335</v>
      </c>
      <c r="MJ146" s="251">
        <f t="shared" si="611"/>
        <v>32.14859346</v>
      </c>
      <c r="MK146" s="251">
        <f t="shared" si="672"/>
        <v>32.14859346</v>
      </c>
      <c r="ML146" s="251">
        <f t="shared" si="553"/>
        <v>22.0606324541698</v>
      </c>
      <c r="MM146" s="251">
        <f t="shared" si="612"/>
        <v>22.0606324542335</v>
      </c>
      <c r="MN146" s="251">
        <f t="shared" si="613"/>
        <v>36.94859346</v>
      </c>
      <c r="MO146" s="251">
        <f t="shared" si="673"/>
        <v>25.6606324542335</v>
      </c>
      <c r="MP146" s="251">
        <f t="shared" si="674"/>
        <v>93.6657034</v>
      </c>
      <c r="MQ146" s="251">
        <f t="shared" si="554"/>
        <v>93.6657034</v>
      </c>
      <c r="MR146" s="314">
        <f t="shared" si="675"/>
        <v>93.6657034</v>
      </c>
      <c r="MS146" s="530">
        <f t="shared" si="614"/>
        <v>93.8417034</v>
      </c>
      <c r="MT146" s="530">
        <f t="shared" si="615"/>
        <v>94.0017034</v>
      </c>
      <c r="MU146" s="530">
        <f t="shared" si="616"/>
        <v>95.3417034</v>
      </c>
      <c r="MV146" s="530">
        <f t="shared" si="617"/>
        <v>102.0417034</v>
      </c>
      <c r="MW146" s="530">
        <f t="shared" si="618"/>
        <v>102.2017034</v>
      </c>
      <c r="MX146" s="326">
        <f t="shared" si="619"/>
        <v>32.74859346</v>
      </c>
      <c r="MY146" s="326">
        <f t="shared" si="620"/>
        <v>22.6606324542335</v>
      </c>
      <c r="MZ146" s="251">
        <f t="shared" si="621"/>
        <v>37.54859346</v>
      </c>
      <c r="NA146" s="251">
        <f t="shared" si="622"/>
        <v>27.4606324542335</v>
      </c>
      <c r="NB146" s="251">
        <f t="shared" si="676"/>
        <v>95.9337034</v>
      </c>
      <c r="NC146" s="326">
        <f t="shared" si="555"/>
        <v>95.9337034</v>
      </c>
      <c r="ND146" s="314">
        <f t="shared" si="677"/>
        <v>95.9337034</v>
      </c>
      <c r="NE146" s="537">
        <f t="shared" si="678"/>
        <v>96.1737034</v>
      </c>
      <c r="NF146" s="530">
        <f t="shared" si="623"/>
        <v>96.3337034</v>
      </c>
      <c r="NG146" s="538">
        <f t="shared" si="624"/>
        <v>97.6737034</v>
      </c>
      <c r="NH146" s="326">
        <f t="shared" si="625"/>
        <v>104.3737034</v>
      </c>
      <c r="NI146" s="530">
        <f t="shared" si="626"/>
        <v>104.5337034</v>
      </c>
      <c r="NK146" s="539">
        <f t="shared" si="627"/>
        <v>30.6707138848428</v>
      </c>
      <c r="NL146" s="539">
        <f t="shared" si="628"/>
        <v>1670.22972023955</v>
      </c>
      <c r="NM146" s="539">
        <f t="shared" si="629"/>
        <v>30.6707138848428</v>
      </c>
      <c r="NN146" s="539">
        <f t="shared" si="630"/>
        <v>1672.07491323748</v>
      </c>
      <c r="NO146" s="539">
        <f t="shared" si="631"/>
        <v>39.4491946946508</v>
      </c>
      <c r="NP146" s="539">
        <f t="shared" si="632"/>
        <v>1682.54812880241</v>
      </c>
      <c r="NQ146" s="539">
        <f t="shared" si="633"/>
        <v>39.4491946946508</v>
      </c>
      <c r="NR146" s="539">
        <f t="shared" si="634"/>
        <v>1684.43725599714</v>
      </c>
      <c r="NS146" s="539">
        <f t="shared" si="635"/>
        <v>30.8019068446791</v>
      </c>
      <c r="NT146" s="539">
        <f t="shared" si="636"/>
        <v>30.8019068446791</v>
      </c>
      <c r="NU146" s="539">
        <f t="shared" si="637"/>
        <v>39.5836450696667</v>
      </c>
      <c r="NV146" s="539">
        <f t="shared" si="638"/>
        <v>39.5836450696667</v>
      </c>
      <c r="NW146">
        <f t="shared" si="639"/>
        <v>32.4048932575188</v>
      </c>
      <c r="NX146">
        <f>各项系数!$M$9*NK146</f>
        <v>9.20121416545283</v>
      </c>
      <c r="NY146">
        <f t="shared" si="640"/>
        <v>30.8019068446791</v>
      </c>
    </row>
    <row r="147" customHeight="1" spans="1:389">
      <c r="A147" s="23"/>
      <c r="B147" s="182"/>
      <c r="C147" s="556"/>
      <c r="D147" s="261" t="s">
        <v>939</v>
      </c>
      <c r="E147" s="557">
        <f t="shared" si="679"/>
        <v>114.21914799</v>
      </c>
      <c r="F147" s="84">
        <f>$F$35</f>
        <v>404.218837505781</v>
      </c>
      <c r="G147" s="74"/>
      <c r="H147" s="23"/>
      <c r="I147" s="174">
        <f>$F$32</f>
        <v>277.181191063812</v>
      </c>
      <c r="J147" s="78"/>
      <c r="K147" s="23"/>
      <c r="L147" s="118" t="s">
        <v>467</v>
      </c>
      <c r="M147" s="124">
        <f t="shared" si="582"/>
        <v>2.6</v>
      </c>
      <c r="N147" s="124">
        <f t="shared" si="583"/>
        <v>2</v>
      </c>
      <c r="O147" s="69">
        <f t="shared" si="580"/>
        <v>0.08</v>
      </c>
      <c r="P147" s="120">
        <v>0.1</v>
      </c>
      <c r="Q147" s="162">
        <f t="shared" si="685"/>
        <v>0.1</v>
      </c>
      <c r="R147" s="86">
        <v>0.8</v>
      </c>
      <c r="S147" s="171" t="str">
        <f>各项系数!$D$43</f>
        <v>钢带</v>
      </c>
      <c r="T147" s="78">
        <v>0.5</v>
      </c>
      <c r="U147" s="78">
        <v>2</v>
      </c>
      <c r="V147" s="172"/>
      <c r="W147" s="174">
        <v>4.3</v>
      </c>
      <c r="X147" s="164">
        <f t="shared" si="686"/>
        <v>0.2</v>
      </c>
      <c r="Y147" s="219"/>
      <c r="Z147" s="220"/>
      <c r="AA147" s="217">
        <f>$AA$35</f>
        <v>1.03</v>
      </c>
      <c r="AB147" s="186">
        <f>PI()*EJ147*EJ147/4*EH147*(1-H147)*AA147*各项系数!$F$5*各项系数!$J$4*10^-7</f>
        <v>7.13205822938526</v>
      </c>
      <c r="AC147" s="186">
        <f t="shared" si="573"/>
        <v>404.218837505781</v>
      </c>
      <c r="AD147" s="186">
        <f t="shared" si="584"/>
        <v>806.287707308788</v>
      </c>
      <c r="AE147" s="186">
        <f>POWER(4*EU147/PI()/EG147/10^-7/EH147/(1-H147)/各项系数!$F$5/各项系数!$J$4,0.5)</f>
        <v>410.23731504138</v>
      </c>
      <c r="AF147" s="218">
        <f>$AA$31</f>
        <v>1.02</v>
      </c>
      <c r="AG147" s="85">
        <f>IF(EM147=0,0,PI()*ER147*ER147/4*EP147*(1-K147)*(1+AF147)*各项系数!$F$5*各项系数!$J$4*10^-7)</f>
        <v>6.57693335005614</v>
      </c>
      <c r="AH147" s="85">
        <f t="shared" si="574"/>
        <v>277.181191063812</v>
      </c>
      <c r="AI147" s="85">
        <f t="shared" si="641"/>
        <v>375.445930554736</v>
      </c>
      <c r="AJ147" s="85">
        <f>IF(OR(EP147="",EP147=0),0,POWER(4*EW147/PI()/EO147/10^-7/EP147/(1-K147)/各项系数!$F$5/各项系数!$J$4,0.5))</f>
        <v>279.939280797005</v>
      </c>
      <c r="AK147" s="85">
        <f t="shared" si="585"/>
        <v>31.8492586685594</v>
      </c>
      <c r="AL147" s="85">
        <f t="shared" si="575"/>
        <v>2199.20660337645</v>
      </c>
      <c r="AM147" s="127">
        <f t="shared" si="576"/>
        <v>800</v>
      </c>
      <c r="AN147" s="118" t="s">
        <v>486</v>
      </c>
      <c r="AO147" s="259">
        <f>AP147+各项系数!$M$9*$NK147</f>
        <v>2156.08490527103</v>
      </c>
      <c r="AP147" s="259">
        <f>AQ147*(1+$BI147+(VLOOKUP($AM147,$A$12:$B$323,2,0))+各项系数!$J$6+各项系数!$M$5)*(1+$E$2)</f>
        <v>2144.39394532035</v>
      </c>
      <c r="AQ147" s="260">
        <f>AR147+各项系数!$L$9*$NK147</f>
        <v>2188.15708706158</v>
      </c>
      <c r="AR147" s="260">
        <f>AS147*(1+$BJ147+各项系数!$J$5+各项系数!$L$5)</f>
        <v>2176.4661271109</v>
      </c>
      <c r="AS147" s="260">
        <f t="shared" si="642"/>
        <v>2133.79032069696</v>
      </c>
      <c r="AT147" s="259">
        <f>AU147+各项系数!$M$9*$NM147</f>
        <v>2170.77971917888</v>
      </c>
      <c r="AU147" s="259">
        <f>AV147*(1+$BI147+(VLOOKUP($AM147,$A$12:$B$323,2,0))+各项系数!$J$6+各项系数!$M$5)*(1+$E$2)</f>
        <v>2159.08875922821</v>
      </c>
      <c r="AV147" s="260">
        <f>AW147+各项系数!$L$9*$NM147</f>
        <v>2203.15179513082</v>
      </c>
      <c r="AW147" s="260">
        <f>AX147*(1+$BJ147+各项系数!$J$5+各项系数!$L$5)</f>
        <v>2191.46083518014</v>
      </c>
      <c r="AX147" s="260">
        <f t="shared" si="643"/>
        <v>2148.49101488249</v>
      </c>
      <c r="AY147" s="259">
        <f>AZ147+各项系数!$M$9*$NS147</f>
        <v>2166.16619659123</v>
      </c>
      <c r="AZ147" s="259">
        <f>BA147*(1+$BI147+(VLOOKUP($AM147,$A$12:$B$214,2,0))+各项系数!$J$6+各项系数!$M$5)*(1+$E$2)</f>
        <v>2154.43094341468</v>
      </c>
      <c r="BA147" s="260">
        <f>BB147+各项系数!$L$9*$NS147</f>
        <v>2198.39892185172</v>
      </c>
      <c r="BB147" s="260">
        <f>BC147*(1+$BJ147+各项系数!$J$5+各项系数!$L$5)</f>
        <v>2186.66366867516</v>
      </c>
      <c r="BC147" s="262">
        <f t="shared" si="644"/>
        <v>2143.78791046585</v>
      </c>
      <c r="BD147" s="259">
        <f>BE147+各项系数!$M$9*$NS147</f>
        <v>2180.8824004959</v>
      </c>
      <c r="BE147" s="259">
        <f>BF147*(1+$BI147+(VLOOKUP($AM147,$A$12:$B$214,2,0))+各项系数!$J$6+各项系数!$M$5)*(1+$E$2)</f>
        <v>2169.14714731935</v>
      </c>
      <c r="BF147" s="260">
        <f>BG147+各项系数!$L$9*$NS147</f>
        <v>2213.41545644832</v>
      </c>
      <c r="BG147" s="260">
        <f>BH147*(1+$BJ147+各项系数!$J$5+各项系数!$L$5)</f>
        <v>2201.68020327176</v>
      </c>
      <c r="BH147" s="262">
        <f t="shared" si="645"/>
        <v>2158.51000320761</v>
      </c>
      <c r="BI147" s="277"/>
      <c r="BJ147" s="272"/>
      <c r="BK147" s="123" t="s">
        <v>514</v>
      </c>
      <c r="BL147" s="259">
        <f>BM147+各项系数!$M$9*$NM147</f>
        <v>2179.1883272626</v>
      </c>
      <c r="BM147" s="259">
        <f>BN147*(1+$CF147+(VLOOKUP($AM147,$A$12:$B$323,2,0))+各项系数!$J$6+各项系数!$M$5)*(1+$E$2)</f>
        <v>2167.49736731192</v>
      </c>
      <c r="BN147" s="260">
        <f>BO147+各项系数!$L$9*$NM147</f>
        <v>2211.73200746115</v>
      </c>
      <c r="BO147" s="260">
        <f>BP147*(1+$CG147+各项系数!$J$5+各项系数!$L$5)</f>
        <v>2200.04104751047</v>
      </c>
      <c r="BP147" s="260">
        <f t="shared" si="646"/>
        <v>2135.962182049</v>
      </c>
      <c r="BQ147" s="259">
        <f>BR147+各项系数!$M$9*$NM147</f>
        <v>2191.83493112473</v>
      </c>
      <c r="BR147" s="259">
        <f>BS147*(1+$CF147+(VLOOKUP($AM147,$A$12:$B$323,2,0))+各项系数!$J$6+各项系数!$M$5)*(1+$E$2)</f>
        <v>2180.14397117405</v>
      </c>
      <c r="BS147" s="260">
        <f>BT147+各项系数!$L$9*$NM147</f>
        <v>2224.63670527965</v>
      </c>
      <c r="BT147" s="260">
        <f>BU147*(1+$CG147+各项系数!$J$5+各项系数!$L$5)</f>
        <v>2212.94574532897</v>
      </c>
      <c r="BU147" s="260">
        <f t="shared" si="647"/>
        <v>2148.49101488249</v>
      </c>
      <c r="BV147" s="259">
        <f>BW147+各项系数!$M$9*$NT147</f>
        <v>2177.87833609646</v>
      </c>
      <c r="BW147" s="259">
        <f>BX147*(1+$CF147+(VLOOKUP($AM147,$A$12:$B$214,2,0))+各项系数!$J$6+各项系数!$M$5)*(1+$E$2)</f>
        <v>2166.14308291991</v>
      </c>
      <c r="BX147" s="260">
        <f>BY147+各项系数!$L$9*$NT$12</f>
        <v>2210.35008461215</v>
      </c>
      <c r="BY147" s="260">
        <f>BZ147*(1+$CG147+各项系数!$J$5+各项系数!$L$5)</f>
        <v>2210.341821209</v>
      </c>
      <c r="BZ147" s="262">
        <f t="shared" si="586"/>
        <v>2145.96293321262</v>
      </c>
      <c r="CA147" s="259">
        <f>CB147+各项系数!$M$9*$NT147</f>
        <v>2190.54334854941</v>
      </c>
      <c r="CB147" s="259">
        <f>CC147*(1+$CF147+(VLOOKUP($AM147,$A$12:$B$214,2,0))+各项系数!$J$6+各项系数!$M$5)*(1+$E$2)</f>
        <v>2178.80809537286</v>
      </c>
      <c r="CC147" s="260">
        <f>CD147+各项系数!$L$9*$NT$12</f>
        <v>2223.273566707</v>
      </c>
      <c r="CD147" s="260">
        <f>CE147*(1+$CG147+各项系数!$J$5+各项系数!$L$5)</f>
        <v>2223.26530330384</v>
      </c>
      <c r="CE147" s="262">
        <f t="shared" si="648"/>
        <v>2158.51000320761</v>
      </c>
      <c r="CF147" s="277">
        <f t="shared" si="514"/>
        <v>0</v>
      </c>
      <c r="CG147" s="277">
        <f t="shared" si="587"/>
        <v>0.01</v>
      </c>
      <c r="CH147" s="127"/>
      <c r="CI147" s="259">
        <f>CJ147+各项系数!$M$9*$NO147</f>
        <v>2189.74560957806</v>
      </c>
      <c r="CJ147" s="259">
        <f>CK147*(1+$DC147+(VLOOKUP($AM147,$A$12:$B$323,2,0))+各项系数!$J$6+各项系数!$M$5)*(1+$E$2)+各项系数!$M$9*$NK147</f>
        <v>2174.75838729606</v>
      </c>
      <c r="CK147" s="260">
        <f>CL147+各项系数!$L$9*$NO147</f>
        <v>2207.21166055651</v>
      </c>
      <c r="CL147" s="260">
        <f>CM147*(1+$DD147+各项系数!$J$5+各项系数!$L$5)</f>
        <v>2192.2244382745</v>
      </c>
      <c r="CM147" s="260">
        <f t="shared" si="588"/>
        <v>2149.23964536716</v>
      </c>
      <c r="CN147" s="259">
        <f>CO147+各项系数!$M$9*$NO147</f>
        <v>2203.97983451182</v>
      </c>
      <c r="CO147" s="259">
        <f>CP147*(1+$DC147+(VLOOKUP($AM147,$A$12:$B$323,2,0))+各项系数!$J$6+各项系数!$M$5)*(1+$E$2)+各项系数!$M$9*$NK147</f>
        <v>2188.99261222981</v>
      </c>
      <c r="CP147" s="260">
        <f>CQ147+各项系数!$L$9*$NO147</f>
        <v>2221.73637987666</v>
      </c>
      <c r="CQ147" s="260">
        <f>CR147*(1+$DD147+各项系数!$J$5+各项系数!$L$5)</f>
        <v>2206.74915759466</v>
      </c>
      <c r="CR147" s="260">
        <f t="shared" si="589"/>
        <v>2163.47956626927</v>
      </c>
      <c r="CS147" s="259">
        <f>CT147+各项系数!$M$9*$NU147</f>
        <v>2188.35766342661</v>
      </c>
      <c r="CT147" s="259">
        <f t="shared" si="590"/>
        <v>2173.32517069418</v>
      </c>
      <c r="CU147" s="260">
        <f>CV147+各项系数!$L$9*$NU147</f>
        <v>2217.6787456063</v>
      </c>
      <c r="CV147" s="260">
        <f>CW147*(1+$DD147+各项系数!$J$5+各项系数!$L$5)</f>
        <v>2202.64625287387</v>
      </c>
      <c r="CW147" s="262">
        <f t="shared" si="591"/>
        <v>2159.45711066066</v>
      </c>
      <c r="CX147" s="259">
        <f>CY147+各项系数!$M$9*$NU147</f>
        <v>2203.38562653484</v>
      </c>
      <c r="CY147" s="259">
        <f t="shared" si="592"/>
        <v>2188.3531338024</v>
      </c>
      <c r="CZ147" s="260">
        <f>DA147+各项系数!$L$9*$NU147</f>
        <v>2233.01340183919</v>
      </c>
      <c r="DA147" s="260">
        <f>DB147*(1+$DD147+各项系数!$J$5+各项系数!$L$5)</f>
        <v>2217.98090910675</v>
      </c>
      <c r="DB147" s="262">
        <f t="shared" si="593"/>
        <v>2174.49108735956</v>
      </c>
      <c r="DC147" s="277">
        <f t="shared" si="571"/>
        <v>0</v>
      </c>
      <c r="DD147" s="277">
        <f t="shared" si="594"/>
        <v>0</v>
      </c>
      <c r="DE147" s="69" t="s">
        <v>498</v>
      </c>
      <c r="DF147" s="69" t="s">
        <v>513</v>
      </c>
      <c r="DG147" s="259">
        <f>DH147+各项系数!$M$9*$NQ147</f>
        <v>2213.04694540663</v>
      </c>
      <c r="DH147" s="259">
        <f>DI147*(1+$EA147+(VLOOKUP($AM147,$A$12:$B$323,2,0))+各项系数!$J$6+各项系数!$M$5)*(1+$E$2)+各项系数!$M$9*$NK147</f>
        <v>2198.05972312462</v>
      </c>
      <c r="DI147" s="260">
        <f>DJ147+各项系数!$L$9*$NQ147</f>
        <v>2230.98853385096</v>
      </c>
      <c r="DJ147" s="260">
        <f>DK147*(1+$EB147+各项系数!$J$5+各项系数!$L$5)</f>
        <v>2216.00131156896</v>
      </c>
      <c r="DK147" s="260">
        <f t="shared" si="595"/>
        <v>2151.45758404753</v>
      </c>
      <c r="DL147" s="259">
        <f>DM147+各项系数!$M$9*$NQ147</f>
        <v>2225.96185447987</v>
      </c>
      <c r="DM147" s="259">
        <f>DN147*(1+$EA147+(VLOOKUP($AM147,$A$12:$B$323,2,0))+各项系数!$J$6+各项系数!$M$5)*(1+$E$2)+各项系数!$M$9*$NK147</f>
        <v>2210.97463219786</v>
      </c>
      <c r="DN147" s="260">
        <f>DO147+各项系数!$L$9*$NQ147</f>
        <v>2244.16701249713</v>
      </c>
      <c r="DO147" s="260">
        <f>DP147*(1+$EB147+各项系数!$J$5+各项系数!$L$5)</f>
        <v>2229.17979021512</v>
      </c>
      <c r="DP147" s="260">
        <f t="shared" si="596"/>
        <v>2164.25222350983</v>
      </c>
      <c r="DQ147" s="259">
        <f>DR147+各项系数!$M$9*$NV147</f>
        <v>2211.7623215269</v>
      </c>
      <c r="DR147" s="259">
        <f t="shared" si="597"/>
        <v>2196.72982879447</v>
      </c>
      <c r="DS147" s="260">
        <f>DT147+各项系数!$L$9*$NV147</f>
        <v>2241.56104979028</v>
      </c>
      <c r="DT147" s="260">
        <f>DU147*(1+$EB147+各项系数!$J$5+各项系数!$L$5)</f>
        <v>2226.52855705784</v>
      </c>
      <c r="DU147" s="262">
        <f t="shared" si="598"/>
        <v>2161.67821073577</v>
      </c>
      <c r="DV147" s="259">
        <f>DW147+各项系数!$M$9*$NV147</f>
        <v>2206.47997921481</v>
      </c>
      <c r="DW147" s="259">
        <f t="shared" si="599"/>
        <v>2191.44748648238</v>
      </c>
      <c r="DX147" s="260">
        <f>DY147+各项系数!$L$9*$NV147</f>
        <v>2236.17090457385</v>
      </c>
      <c r="DY147" s="260">
        <f>DZ147*(1+$EB147+各项系数!$J$5+各项系数!$L$5)</f>
        <v>2221.13841184142</v>
      </c>
      <c r="DZ147" s="262">
        <f t="shared" si="600"/>
        <v>2156.44506004021</v>
      </c>
      <c r="EA147" s="277">
        <f t="shared" si="581"/>
        <v>0</v>
      </c>
      <c r="EB147" s="277">
        <f t="shared" si="601"/>
        <v>0.01</v>
      </c>
      <c r="EC147" s="302" t="str">
        <f t="shared" si="649"/>
        <v>4+1</v>
      </c>
      <c r="ED147" s="304" t="str">
        <f t="shared" si="680"/>
        <v>4*800</v>
      </c>
      <c r="EE147" s="251">
        <f t="shared" si="495"/>
        <v>800</v>
      </c>
      <c r="EF147" s="95" t="str">
        <f>LOOKUP(EH147,{1,7,10,14,19,24,30,37,48,61},{1,"1+6","2+8","4+10","1+6+12","2+8+14","4+10+16","1+6+12+18","3+9+15+21","1+6+12+18+24"})</f>
        <v>1+6+12+18+24</v>
      </c>
      <c r="EG147" s="250">
        <f t="shared" si="602"/>
        <v>4</v>
      </c>
      <c r="EH147" s="260">
        <f>VLOOKUP(EE147,各项系数!$B$87:$C$124,2,0)</f>
        <v>61</v>
      </c>
      <c r="EI147" s="250">
        <f>IF(EH147=0,0,VLOOKUP(EH147,各项系数!$D$142:$E$195,2,0))*1</f>
        <v>9</v>
      </c>
      <c r="EJ147" s="305">
        <f t="shared" si="650"/>
        <v>404.218837505781</v>
      </c>
      <c r="EK147" s="95" t="str">
        <f t="shared" si="681"/>
        <v>1*400</v>
      </c>
      <c r="EL147" s="251" t="str">
        <f t="shared" si="603"/>
        <v>400</v>
      </c>
      <c r="EM147" s="95">
        <f t="shared" si="682"/>
        <v>400</v>
      </c>
      <c r="EN147" s="95" t="str">
        <f>IF(EP147=0,0,LOOKUP(EP147,{1,7,10,14,19,24,30,37,48,61},{1,"1+6","2+8","4+10","1+6+12","2+8+14","4+10+16","1+6+12+18","3+9+15+21","1+6+12+18+24"}))</f>
        <v>1+6+12+18+24</v>
      </c>
      <c r="EO147" s="95" t="str">
        <f t="shared" si="683"/>
        <v>1</v>
      </c>
      <c r="EP147" s="95">
        <f>IF(EM147=0,0,IF(EM147&lt;10,1,IF(AND(EM147&gt;=10,EM147&lt;=35),7,LOOKUP(EM147,{50,70,95,120,150,185,240,300},{10,14,19,24,30,37,48,61})*1)))</f>
        <v>61</v>
      </c>
      <c r="EQ147" s="251">
        <f>IF(EP147=0,0,VLOOKUP(EP147,各项系数!$D$142:$E$195,2,0))*1</f>
        <v>9</v>
      </c>
      <c r="ER147" s="95">
        <f t="shared" si="577"/>
        <v>277.181191063812</v>
      </c>
      <c r="ES147" s="304">
        <f t="shared" si="684"/>
        <v>5</v>
      </c>
      <c r="ET147" s="251">
        <f>VLOOKUP(ES147,各项系数!$D$142:$E$195,2,0)*1</f>
        <v>2.7</v>
      </c>
      <c r="EU147" s="311">
        <f>((各项系数!$F$76/4*$EJ147^2*$EG147*$EH147*1*10^-7)*(1-$H147)*AA147)*(VLOOKUP($EY$9,各项系数!$D$4:$F$143,3,0))*各项系数!$J$4</f>
        <v>28.528232917541</v>
      </c>
      <c r="EV147" s="312">
        <f>EU147*(VLOOKUP($EY$9,各项系数!$D$4:$F$143,2,0))</f>
        <v>1868.59925609894</v>
      </c>
      <c r="EW147" s="324">
        <f>(IF($EO147=0,0,(各项系数!$F$76/4*$ER147^2*$EO147*$EP147*1*10^-7))*(1-$K147)*$AF147)*(VLOOKUP($EY$9,各项系数!$D$4:$F$143,3,0))*各项系数!$J$4</f>
        <v>3.32102575101844</v>
      </c>
      <c r="EX147" s="325">
        <f>EW147*(VLOOKUP($EY$9,各项系数!$D$4:$F$143,2,0))</f>
        <v>217.527186691708</v>
      </c>
      <c r="EY147" s="251">
        <f>((各项系数!$F$76/4*$EJ147^2*$EG147*$EH147*1*10^-7)*(1-$H147)*AA147+IF($EO147=0,0,(各项系数!$F$76/4*$ER147^2*$EO147*$EP147*1*10^-7))*(1-$K147)*$AF147)*(VLOOKUP($EY$9,各项系数!$D$4:$F$143,3,0))*各项系数!$J$4</f>
        <v>31.8492586685594</v>
      </c>
      <c r="EZ147" s="123">
        <v>1</v>
      </c>
      <c r="FA147" s="251">
        <f t="shared" si="515"/>
        <v>31.8492586685594</v>
      </c>
      <c r="FB147" s="326">
        <f>FA147*(VLOOKUP($EY$9,各项系数!$D$4:$F$143,2,0))</f>
        <v>2086.12644279064</v>
      </c>
      <c r="FC147" s="329"/>
      <c r="FD147" s="302">
        <f>各项系数!$F$76/4*($MN147^2-MK147^2)*10^-2*(VLOOKUP(L147,各项系数!$D$1:$F$143,3,0))*10^-3*10^2*$EG147*各项系数!$J$4</f>
        <v>1.39391861919924</v>
      </c>
      <c r="FE147" s="339">
        <f>FD147*VLOOKUP(L147,各项系数!$D$1:$F$143,2,0)</f>
        <v>14.2179699158322</v>
      </c>
      <c r="FF147" s="250">
        <f>各项系数!$F$76/4*($MO147^2-ML147^2)*10^-2*(VLOOKUP(L147,各项系数!$D$1:$F$143,3,0))*10^-3*10^2*$EO147*各项系数!$J$4</f>
        <v>0.185308308074129</v>
      </c>
      <c r="FG147" s="339">
        <f>FF147*VLOOKUP(L147,各项系数!$D$1:$F$143,2,0)</f>
        <v>1.89014474235612</v>
      </c>
      <c r="FH147" s="302">
        <f t="shared" si="651"/>
        <v>1.57922692727337</v>
      </c>
      <c r="FI147" s="123">
        <v>1</v>
      </c>
      <c r="FJ147" s="251">
        <f t="shared" si="516"/>
        <v>1.57922692727337</v>
      </c>
      <c r="FK147" s="339">
        <f>FJ147*VLOOKUP(L147,各项系数!$D$1:$F$143,2,0)</f>
        <v>16.1081146581883</v>
      </c>
      <c r="FL147" s="304"/>
      <c r="FM147" s="127"/>
      <c r="FN147" s="251"/>
      <c r="FO147" s="339"/>
      <c r="FP147" s="364">
        <f t="shared" si="517"/>
        <v>1.57922692727337</v>
      </c>
      <c r="FQ147" s="364">
        <f t="shared" si="518"/>
        <v>16.1081146581883</v>
      </c>
      <c r="FR147" s="365">
        <f>各项系数!$F$76/4*($MQ147^2-$MN147^2*$EG147-$MO147^2*$EO147)*10^-2</f>
        <v>26.427740850516</v>
      </c>
      <c r="FS147" s="366">
        <f t="shared" si="652"/>
        <v>1</v>
      </c>
      <c r="FT147" s="367">
        <f t="shared" si="604"/>
        <v>26.427740850516</v>
      </c>
      <c r="FU147" s="388">
        <f>$FT147*(VLOOKUP($FT$9,各项系数!$D$1:$F$143,3,0))*10^-3*10^2*各项系数!$J$55</f>
        <v>3.15547225755161</v>
      </c>
      <c r="FV147" s="389">
        <v>1</v>
      </c>
      <c r="FW147" s="390">
        <f t="shared" si="519"/>
        <v>3.15547225755161</v>
      </c>
      <c r="FX147" s="367">
        <f>FW147*(VLOOKUP($FT$9,各项系数!$D$1:$F$143,2,0))</f>
        <v>9.46641677265483</v>
      </c>
      <c r="FY147" s="388">
        <f>IF($BK147&lt;&gt;$FY$9,0,各项系数!$F$76/4*($MS147^2-$MQ147^2)*10^-2*(VLOOKUP($FY$9,各项系数!$D$1:$F$143,3,0))*10^-3*10^2)*各项系数!$J$4</f>
        <v>0</v>
      </c>
      <c r="FZ147" s="389">
        <v>1</v>
      </c>
      <c r="GA147" s="390">
        <f t="shared" si="520"/>
        <v>0</v>
      </c>
      <c r="GB147" s="367">
        <f>GA147*(VLOOKUP($FY$9,各项系数!$D$1:$F$143,2,0))</f>
        <v>0</v>
      </c>
      <c r="GC147" s="388">
        <f>IF($BK147&lt;&gt;$GC$9,0,各项系数!$F$76/4*($MS147^2-$MQ147^2)*10^-2*(VLOOKUP($GC$9,各项系数!$D$1:$F$143,3,0))*10^-3*10^2)*各项系数!$J$4</f>
        <v>0.0287389887712821</v>
      </c>
      <c r="GD147" s="389">
        <v>1</v>
      </c>
      <c r="GE147" s="390">
        <f t="shared" si="521"/>
        <v>0.0287389887712821</v>
      </c>
      <c r="GF147" s="367">
        <f>GE147*(VLOOKUP($GC$9,各项系数!$D$1:$F$143,2,0))</f>
        <v>0.370732955149539</v>
      </c>
      <c r="GG147" s="388">
        <f>IF($BK147&lt;&gt;$GG$9,0,各项系数!$F$76/4*($MS147^2-$MQ147^2)*10^-2*(VLOOKUP($GG$9,各项系数!$D$1:$F$143,3,0))*10^-3*10^2)*各项系数!$J$4</f>
        <v>0</v>
      </c>
      <c r="GH147" s="389">
        <v>1</v>
      </c>
      <c r="GI147" s="390">
        <f t="shared" si="522"/>
        <v>0</v>
      </c>
      <c r="GJ147" s="367">
        <f>GI147*(VLOOKUP($GG$9,各项系数!$D$1:$F$143,2,0))</f>
        <v>0</v>
      </c>
      <c r="GK147" s="388">
        <f>IF($BK147&lt;&gt;$GK$9,0,各项系数!$F$76/4*($MS147^2-$MQ147^2)*10^-2*(VLOOKUP($GK$9,各项系数!$D$1:$F$143,3,0))*10^-3*10^2)*各项系数!$J$4</f>
        <v>0</v>
      </c>
      <c r="GL147" s="389">
        <v>1</v>
      </c>
      <c r="GM147" s="390">
        <f t="shared" si="523"/>
        <v>0</v>
      </c>
      <c r="GN147" s="367">
        <f>GM147*(VLOOKUP($GK$9,各项系数!$D$1:$F$143,2,0))</f>
        <v>0</v>
      </c>
      <c r="GO147" s="390">
        <f t="shared" si="524"/>
        <v>0.0287389887712821</v>
      </c>
      <c r="GP147" s="390">
        <f t="shared" si="525"/>
        <v>0.370732955149539</v>
      </c>
      <c r="GQ147" s="406">
        <f>各项系数!$F$76/4*($MU147^2-$MS147^2)*10^-2*(VLOOKUP($S147,各项系数!$D$1:$F$143,3,0))*10^-3*10^2*各项系数!$J$4</f>
        <v>1.95009895903181</v>
      </c>
      <c r="GR147" s="389">
        <v>1</v>
      </c>
      <c r="GS147" s="390">
        <f t="shared" si="526"/>
        <v>1.95009895903181</v>
      </c>
      <c r="GT147" s="390">
        <f t="shared" si="457"/>
        <v>0</v>
      </c>
      <c r="GU147" s="390">
        <f>ROUND($GS147*(VLOOKUP($S147,各项系数!$D$1:$F$143,2,0))+$E$3*GS147,GT147)</f>
        <v>11</v>
      </c>
      <c r="GV147" s="406">
        <f>各项系数!$F$76/4*($MT147^2-$MS147^2)*10^-2*(VLOOKUP($GV$9,各项系数!$D$1:$F$143,3,0))*10^-3*10^2*各项系数!$J$4*PI()/4*R147</f>
        <v>0.147644086244131</v>
      </c>
      <c r="GW147" s="389">
        <v>1</v>
      </c>
      <c r="GX147" s="390">
        <f t="shared" si="527"/>
        <v>0.147644086244131</v>
      </c>
      <c r="GY147" s="390">
        <f>$GX147*(VLOOKUP($GV$9,各项系数!$D$1:$F$143,2,0))</f>
        <v>9.96597582147886</v>
      </c>
      <c r="GZ147" s="406">
        <f>各项系数!$F$76/4*($MV147^2-$MS147^2)*10^-2*(VLOOKUP($GZ$9,各项系数!$D$1:$F$143,3,0))*10^-3*10^2*各项系数!$J$4</f>
        <v>2.14231221799163</v>
      </c>
      <c r="HA147" s="389">
        <v>1</v>
      </c>
      <c r="HB147" s="390">
        <f t="shared" si="653"/>
        <v>2.14231221799163</v>
      </c>
      <c r="HC147" s="390">
        <f>HB147*(VLOOKUP($GZ$9,各项系数!$D$1:$F$143,2,0))</f>
        <v>36.4193077058578</v>
      </c>
      <c r="HD147" s="406">
        <f>各项系数!$F$76/4*($MW147^2-$MT147^2)*10^-2*(VLOOKUP($HD$9,各项系数!$D$1:$F$143,3,0))*10^-3*10^2*各项系数!$J$4</f>
        <v>2.1454306005587</v>
      </c>
      <c r="HE147" s="389">
        <v>1</v>
      </c>
      <c r="HF147" s="390">
        <f t="shared" si="654"/>
        <v>2.1454306005587</v>
      </c>
      <c r="HG147" s="390">
        <f>HF147*(VLOOKUP($HD$9,各项系数!$D$1:$F$143,2,0))</f>
        <v>36.4723202094979</v>
      </c>
      <c r="HH147" s="406">
        <f>各项系数!$F$76/4*($MV147^2-$MS147^2)*10^-2*(VLOOKUP($HH$9,各项系数!$D$1:$F$143,3,0))*10^-3*10^2*各项系数!$J$4</f>
        <v>2.14231221799163</v>
      </c>
      <c r="HI147" s="420">
        <v>1</v>
      </c>
      <c r="HJ147" s="390">
        <f t="shared" si="655"/>
        <v>2.14231221799163</v>
      </c>
      <c r="HK147" s="390">
        <f>HJ147*(VLOOKUP($HH$9,各项系数!$D$1:$F$143,2,0))</f>
        <v>36.4193077058578</v>
      </c>
      <c r="HL147" s="406">
        <f>各项系数!$F$76/4*($MW147^2-$MT147^2)*10^-2*(VLOOKUP($HL$9,各项系数!$D$1:$F$143,3,0))*10^-3*10^2*各项系数!$J$4</f>
        <v>2.1454306005587</v>
      </c>
      <c r="HM147" s="420">
        <v>1</v>
      </c>
      <c r="HN147" s="390">
        <f t="shared" si="605"/>
        <v>2.1454306005587</v>
      </c>
      <c r="HO147" s="390">
        <f>HN147*(VLOOKUP($HL$9,各项系数!$D$1:$F$143,2,0))</f>
        <v>36.4723202094979</v>
      </c>
      <c r="HP147" s="406">
        <f>各项系数!$F$76/4*($MV147^2-$MS147^2)*10^-2*(VLOOKUP(AN147,各项系数!$D$1:$F$143,3,0))*10^-3*10^2*各项系数!$J$4</f>
        <v>2.1718613520329</v>
      </c>
      <c r="HQ147" s="389">
        <v>1</v>
      </c>
      <c r="HR147" s="390">
        <f t="shared" si="528"/>
        <v>2.1718613520329</v>
      </c>
      <c r="HS147" s="390">
        <f>HR147*(VLOOKUP(AN147,各项系数!$D$1:$F$143,2,0))</f>
        <v>21.718613520329</v>
      </c>
      <c r="HT147" s="406">
        <f>各项系数!$F$76/4*($MW147^2-$MT147^2)*10^-2*(VLOOKUP(AN147,各项系数!$D$1:$F$143,3,0))*10^-3*10^2*各项系数!$J$4</f>
        <v>2.1750227467733</v>
      </c>
      <c r="HU147" s="389">
        <v>1</v>
      </c>
      <c r="HV147" s="390">
        <f t="shared" si="529"/>
        <v>2.1750227467733</v>
      </c>
      <c r="HW147" s="390">
        <f>HV147*(VLOOKUP(AN147,各项系数!$D$1:$F$143,2,0))</f>
        <v>21.750227467733</v>
      </c>
      <c r="HX147" s="406">
        <f>各项系数!$F$76/4*($MV147^2-$MS147^2)*10^-2*(VLOOKUP($HX$9,各项系数!$D$1:$F$143,3,0))*10^-3*10^2*各项系数!$J$4</f>
        <v>2.1718613520329</v>
      </c>
      <c r="HY147" s="420">
        <v>1</v>
      </c>
      <c r="HZ147" s="390">
        <f t="shared" si="530"/>
        <v>2.1718613520329</v>
      </c>
      <c r="IA147" s="390">
        <f>HZ147*(VLOOKUP($HX$9,各项系数!$D$1:$F$143,2,0))</f>
        <v>23.8904748723619</v>
      </c>
      <c r="IB147" s="406">
        <f>各项系数!$F$76/4*($MW147^2-$MT147^2)*10^-2*(VLOOKUP($IB$9,各项系数!$D$1:$F$143,3,0))*10^-3*10^2*各项系数!$J$4</f>
        <v>2.1750227467733</v>
      </c>
      <c r="IC147" s="420">
        <v>1</v>
      </c>
      <c r="ID147" s="390">
        <f t="shared" si="531"/>
        <v>2.1750227467733</v>
      </c>
      <c r="IE147" s="390">
        <f>ID147*(VLOOKUP($IB$9,各项系数!$D$1:$F$143,2,0))</f>
        <v>23.9252502145063</v>
      </c>
      <c r="IF147" s="395"/>
      <c r="IG147" s="406">
        <f t="shared" si="656"/>
        <v>0.24189436736398</v>
      </c>
      <c r="IH147" s="389">
        <v>1</v>
      </c>
      <c r="II147" s="390">
        <f t="shared" si="532"/>
        <v>0.24189436736398</v>
      </c>
      <c r="IJ147" s="390">
        <f>II147*(VLOOKUP($IG$8,各项系数!$D$1:$F$143,2,0))</f>
        <v>6.0473591840995</v>
      </c>
      <c r="IK147" s="406">
        <f>(各项系数!$F$76/4*($MX147^2-$MK147^2)*$EG147)*10^-2*(VLOOKUP($IG$8,各项系数!$D$1:$F$143,3,0))*10^-3*10^2*各项系数!$J$4</f>
        <v>0.206381697046284</v>
      </c>
      <c r="IL147" s="389">
        <f>IK147*(VLOOKUP($IG$8,各项系数!$D$1:$F$143,2,0))</f>
        <v>5.1595424261571</v>
      </c>
      <c r="IM147" s="390">
        <f>(各项系数!$F$76/4*(($MM147+3*$X147)^2-MM147^2)*$EO147)*10^-2*(VLOOKUP($IG$8,各项系数!$D$1:$F$143,3,0))*10^-3*10^2*各项系数!$J$4</f>
        <v>0.0355126703176959</v>
      </c>
      <c r="IN147" s="389">
        <f>IM147*(VLOOKUP($IG$8,各项系数!$D$1:$F$143,2,0))</f>
        <v>0.887816757942398</v>
      </c>
      <c r="IO147" s="406">
        <f>各项系数!$F$76/4*($MZ147^2-$MX147^2)*10^-2*(VLOOKUP(L147,各项系数!$D$1:$F$143,3,0))*10^-3*10^2*$ES147*各项系数!$J$4</f>
        <v>1.76921836464201</v>
      </c>
      <c r="IP147" s="389">
        <v>1</v>
      </c>
      <c r="IQ147" s="390">
        <f t="shared" si="533"/>
        <v>1.76921836464201</v>
      </c>
      <c r="IR147" s="367">
        <f>IQ147*(VLOOKUP(L147,各项系数!$D$1:$F$143,2,0))</f>
        <v>18.0460273193485</v>
      </c>
      <c r="IS147" s="406">
        <f>IF($L147&lt;&gt;$IS$9,0,各项系数!$F$76/4*($MZ147^2-$MX147^2)*10^-2*各项系数!$F$12*10^-3*10^2)*$ES147*各项系数!$J$4</f>
        <v>0</v>
      </c>
      <c r="IT147" s="396">
        <v>1</v>
      </c>
      <c r="IU147" s="390">
        <f t="shared" si="534"/>
        <v>0</v>
      </c>
      <c r="IV147" s="367">
        <f>IU147*各项系数!$E$12</f>
        <v>0</v>
      </c>
      <c r="IW147" s="388">
        <f t="shared" si="535"/>
        <v>1.76921836464201</v>
      </c>
      <c r="IX147" s="388">
        <f t="shared" si="536"/>
        <v>18.0460273193485</v>
      </c>
      <c r="IY147" s="447">
        <f>各项系数!$F$76/4*($NB147^2-$MZ147^2*$EG147-$NA147^2*$EO147)*10^-2</f>
        <v>27.8019103858978</v>
      </c>
      <c r="IZ147" s="366">
        <f t="shared" si="487"/>
        <v>1</v>
      </c>
      <c r="JA147" s="367">
        <f t="shared" si="606"/>
        <v>27.8019103858978</v>
      </c>
      <c r="JB147" s="364">
        <f>IF($DE147&lt;&gt;$JB$9,0,$JA147*各项系数!$F$32*10^-3*10^2)*各项系数!$J$4</f>
        <v>0</v>
      </c>
      <c r="JC147" s="123">
        <v>1</v>
      </c>
      <c r="JD147" s="251">
        <f t="shared" si="537"/>
        <v>0</v>
      </c>
      <c r="JE147" s="339">
        <f>JD147*各项系数!$E$32</f>
        <v>0</v>
      </c>
      <c r="JF147" s="364">
        <f>IF($DE147&lt;&gt;$JF$9,0,$JA147*VLOOKUP($JF$9,各项系数!$D$4:$F$540,2,0)*10^-3*10^2)*各项系数!$J$4</f>
        <v>13.8314504169842</v>
      </c>
      <c r="JG147" s="123">
        <v>1</v>
      </c>
      <c r="JH147" s="251">
        <f t="shared" si="607"/>
        <v>13.8314504169842</v>
      </c>
      <c r="JI147" s="339">
        <f>JH147*VLOOKUP($JF$9,各项系数!$D$4:$F$540,3,0)</f>
        <v>16.597740500381</v>
      </c>
      <c r="JJ147" s="364">
        <f t="shared" si="538"/>
        <v>13.8314504169842</v>
      </c>
      <c r="JK147" s="251">
        <f t="shared" si="539"/>
        <v>16.597740500381</v>
      </c>
      <c r="JL147" s="364">
        <f>IF($DF147&lt;&gt;$JL$9,0,各项系数!$F$76/4*($NE147^2-$NC147^2)*10^-2*各项系数!$F$39*10^-3*10^2)*各项系数!$J$4</f>
        <v>0.0121344384471031</v>
      </c>
      <c r="JM147" s="123">
        <v>1</v>
      </c>
      <c r="JN147" s="251">
        <f t="shared" si="540"/>
        <v>0.0121344384471031</v>
      </c>
      <c r="JO147" s="339">
        <f>JN147*各项系数!$E$39</f>
        <v>0.242688768942061</v>
      </c>
      <c r="JP147" s="364">
        <f>IF($DF147&lt;&gt;$JP$9,0,各项系数!$F$76/4*($NE147^2-$NC147^2)*10^-2*各项系数!$F$36*10^-3*10^2)*各项系数!$J$4</f>
        <v>0</v>
      </c>
      <c r="JQ147" s="123">
        <v>1</v>
      </c>
      <c r="JR147" s="251">
        <f t="shared" si="541"/>
        <v>0</v>
      </c>
      <c r="JS147" s="339">
        <f>JR147*各项系数!$E$36</f>
        <v>0</v>
      </c>
      <c r="JT147" s="364">
        <f>IF($DF147&lt;&gt;$JT$9,0,各项系数!$F$76/4*($NE147^2-$NC147^2)*10^-2*各项系数!$F$40*10^-3*10^2)*各项系数!$J$4</f>
        <v>0</v>
      </c>
      <c r="JU147" s="123">
        <v>1</v>
      </c>
      <c r="JV147" s="251">
        <f t="shared" si="542"/>
        <v>0</v>
      </c>
      <c r="JW147" s="339">
        <f>JV147*各项系数!$E$40</f>
        <v>0</v>
      </c>
      <c r="JX147" s="364">
        <f>IF($DF147&lt;&gt;$JX$9,0,各项系数!$F$76/4*($NE147^2-$NC147^2)*10^-2*各项系数!$F$38*10^-3*10^2)*各项系数!$J$4</f>
        <v>0</v>
      </c>
      <c r="JY147" s="123">
        <v>1</v>
      </c>
      <c r="JZ147" s="251">
        <f t="shared" si="543"/>
        <v>0</v>
      </c>
      <c r="KA147" s="339">
        <f>JZ147*各项系数!$E$38</f>
        <v>0</v>
      </c>
      <c r="KB147" s="364">
        <f>IF($DF147&lt;&gt;$KB$9,0,各项系数!$F$76/4*($NE147^2-$NC147^2)*10^-2*各项系数!$F$41*10^-3*10^2)*各项系数!$J$4</f>
        <v>0</v>
      </c>
      <c r="KC147" s="123">
        <v>1</v>
      </c>
      <c r="KD147" s="251">
        <f t="shared" si="544"/>
        <v>0</v>
      </c>
      <c r="KE147" s="339">
        <f>KD147*各项系数!$E$41</f>
        <v>0</v>
      </c>
      <c r="KF147" s="251">
        <f t="shared" si="545"/>
        <v>0.0121344384471031</v>
      </c>
      <c r="KG147" s="251">
        <f t="shared" si="546"/>
        <v>0.242688768942061</v>
      </c>
      <c r="KH147" s="302">
        <f>各项系数!$F$76/4*($NG147^2-$NE147^2)*10^-2*各项系数!$F$44*10^-3*10^2*各项系数!$J$4*0.75*$U147</f>
        <v>2.98927836990089</v>
      </c>
      <c r="KI147" s="123">
        <v>1</v>
      </c>
      <c r="KJ147" s="251">
        <f t="shared" si="547"/>
        <v>2.98927836990089</v>
      </c>
      <c r="KK147" s="251">
        <f>ROUND(KJ147*各项系数!$E$43,GT147)</f>
        <v>17</v>
      </c>
      <c r="KL147" s="302">
        <f>各项系数!$F$76/4*($NF147^2-$NE147^2)*10^-2*各项系数!$F$46*10^-3*10^2*各项系数!$J$4*PI()/4*R147</f>
        <v>0.150901501423619</v>
      </c>
      <c r="KM147" s="123">
        <v>1</v>
      </c>
      <c r="KN147" s="251">
        <f t="shared" si="548"/>
        <v>0.150901501423619</v>
      </c>
      <c r="KO147" s="251">
        <f>KN147*各项系数!$E$46</f>
        <v>10.1858513460943</v>
      </c>
      <c r="KP147" s="302">
        <f>各项系数!$F$76/4*($NH147^2-$NE147^2)*10^-2*(VLOOKUP($KP$9,各项系数!$D$1:$F$143,3,0))*10^-3*10^2*各项系数!$J$4</f>
        <v>2.18776264390661</v>
      </c>
      <c r="KQ147" s="123">
        <v>1</v>
      </c>
      <c r="KR147" s="251">
        <f t="shared" si="657"/>
        <v>2.18776264390661</v>
      </c>
      <c r="KS147" s="251">
        <f>KR147*(VLOOKUP($KP$9,各项系数!$D$1:$F$143,2,0))</f>
        <v>37.1919649464123</v>
      </c>
      <c r="KT147" s="302">
        <f>各项系数!$F$76/4*($NI147^2-$NF147^2)*10^-2*(VLOOKUP($KT$9,各项系数!$D$1:$F$143,3,0))*10^-3*10^2*各项系数!$J$4</f>
        <v>2.19088102647367</v>
      </c>
      <c r="KU147" s="123">
        <v>1</v>
      </c>
      <c r="KV147" s="251">
        <f t="shared" si="658"/>
        <v>2.19088102647367</v>
      </c>
      <c r="KW147" s="251">
        <f>KV147*(VLOOKUP($KT$9,各项系数!$D$1:$F$143,2,0))</f>
        <v>37.2449774500524</v>
      </c>
      <c r="KX147" s="251">
        <f>各项系数!$F$76/4*($NH147^2-$NE147^2)*10^-2*(VLOOKUP($KX$9,各项系数!$D$1:$F$143,3,0))*10^-3*10^2*各项系数!$J$4</f>
        <v>2.18776264390661</v>
      </c>
      <c r="KY147" s="479">
        <v>1</v>
      </c>
      <c r="KZ147" s="251">
        <f t="shared" si="659"/>
        <v>2.18776264390661</v>
      </c>
      <c r="LA147" s="251">
        <f>KZ147*(VLOOKUP($KX$9,各项系数!$D$1:$F$143,2,0))</f>
        <v>37.1919649464123</v>
      </c>
      <c r="LB147" s="251">
        <f>各项系数!$F$76/4*($NI147^2-$NF147^2)*10^-2*(VLOOKUP($LB$9,各项系数!$D$1:$F$143,3,0))*10^-3*10^2*各项系数!$J$4</f>
        <v>2.19088102647367</v>
      </c>
      <c r="LC147" s="479">
        <v>1</v>
      </c>
      <c r="LD147" s="251">
        <f t="shared" si="660"/>
        <v>2.19088102647367</v>
      </c>
      <c r="LE147" s="251">
        <f>LD147*(VLOOKUP($LB$9,各项系数!$D$1:$F$143,2,0))</f>
        <v>37.2449774500524</v>
      </c>
      <c r="LF147" s="302">
        <f>各项系数!$F$76/4*($NH147^2-$NE147^2)*10^-2*(VLOOKUP(AN147,各项系数!$D$1:$F$143,3,0))*10^-3*10^2*各项系数!$J$4</f>
        <v>2.21793868037428</v>
      </c>
      <c r="LG147" s="123">
        <v>1</v>
      </c>
      <c r="LH147" s="251">
        <f t="shared" si="549"/>
        <v>2.21793868037428</v>
      </c>
      <c r="LI147" s="251">
        <f>LH147*(VLOOKUP(AN147,各项系数!$D$1:$F$143,2,0))</f>
        <v>22.1793868037428</v>
      </c>
      <c r="LJ147" s="302">
        <f>各项系数!$F$76/4*($NI147^2-$NF147^2)*10^-2*(VLOOKUP(AN147,各项系数!$D$1:$F$143,3,0))*10^-3*10^2*各项系数!$J$4</f>
        <v>2.22110007511469</v>
      </c>
      <c r="LK147" s="123">
        <v>1</v>
      </c>
      <c r="LL147" s="251">
        <f t="shared" si="550"/>
        <v>2.22110007511469</v>
      </c>
      <c r="LM147" s="251">
        <f>LL147*(VLOOKUP(AN147,各项系数!$D$1:$F$143,2,0))</f>
        <v>22.2110007511469</v>
      </c>
      <c r="LN147" s="251">
        <f>各项系数!$F$76/4*($NH147^2-$NE147^2)*10^-2*(VLOOKUP($LN$9,各项系数!$D$1:$F$143,3,0))*10^-3*10^2*各项系数!$J$4</f>
        <v>2.21793868037428</v>
      </c>
      <c r="LO147" s="479">
        <v>1</v>
      </c>
      <c r="LP147" s="251">
        <f t="shared" si="551"/>
        <v>2.21793868037428</v>
      </c>
      <c r="LQ147" s="251">
        <f>LP147*(VLOOKUP($LN$9,各项系数!$D$1:$F$143,2,0))</f>
        <v>24.3973254841171</v>
      </c>
      <c r="LR147" s="251">
        <f>各项系数!$F$76/4*($NI147^2-$NF147^2)*10^-2*(VLOOKUP($LR$9,各项系数!$D$1:$F$143,3,0))*10^-3*10^2*各项系数!$J$4</f>
        <v>2.22110007511469</v>
      </c>
      <c r="LS147" s="479">
        <v>1</v>
      </c>
      <c r="LT147" s="251">
        <f t="shared" si="552"/>
        <v>2.22110007511469</v>
      </c>
      <c r="LU147" s="251">
        <f>LT147*(VLOOKUP($LR$9,各项系数!$D$1:$F$143,2,0))</f>
        <v>24.4321008262616</v>
      </c>
      <c r="LV147" s="499">
        <f t="shared" si="661"/>
        <v>4157.84207873</v>
      </c>
      <c r="LW147" s="499">
        <f t="shared" si="662"/>
        <v>3131.21440497</v>
      </c>
      <c r="LX147" s="499">
        <f t="shared" si="663"/>
        <v>63.1410009696725</v>
      </c>
      <c r="LY147" s="515">
        <f t="shared" si="664"/>
        <v>1026.62767376</v>
      </c>
      <c r="LZ147" s="516">
        <f t="shared" si="608"/>
        <v>1</v>
      </c>
      <c r="MA147" s="517">
        <f t="shared" si="609"/>
        <v>4157.84207873</v>
      </c>
      <c r="MB147" s="517">
        <f t="shared" si="665"/>
        <v>36.37969542</v>
      </c>
      <c r="MC147" s="499">
        <f t="shared" si="666"/>
        <v>488.76760487</v>
      </c>
      <c r="MD147" s="499">
        <f t="shared" si="667"/>
        <v>368.08424547</v>
      </c>
      <c r="ME147" s="499">
        <f t="shared" si="668"/>
        <v>21.6485430716806</v>
      </c>
      <c r="MF147" s="499">
        <f t="shared" si="669"/>
        <v>120.6833594</v>
      </c>
      <c r="MG147" s="516">
        <f t="shared" si="670"/>
        <v>1</v>
      </c>
      <c r="MH147" s="517">
        <f t="shared" si="610"/>
        <v>488.76760487</v>
      </c>
      <c r="MI147" s="517">
        <f t="shared" si="671"/>
        <v>24.946307195775</v>
      </c>
      <c r="MJ147" s="251">
        <f t="shared" si="611"/>
        <v>36.37969542</v>
      </c>
      <c r="MK147" s="251">
        <f t="shared" si="672"/>
        <v>36.37969542</v>
      </c>
      <c r="ML147" s="251">
        <f t="shared" si="553"/>
        <v>24.9463071957431</v>
      </c>
      <c r="MM147" s="251">
        <f t="shared" si="612"/>
        <v>24.946307195775</v>
      </c>
      <c r="MN147" s="251">
        <f t="shared" si="613"/>
        <v>41.57969542</v>
      </c>
      <c r="MO147" s="251">
        <f t="shared" si="673"/>
        <v>28.946307195775</v>
      </c>
      <c r="MP147" s="251">
        <f t="shared" si="674"/>
        <v>105.44314799</v>
      </c>
      <c r="MQ147" s="251">
        <f t="shared" si="554"/>
        <v>105.44314799</v>
      </c>
      <c r="MR147" s="314">
        <f t="shared" si="675"/>
        <v>105.44314799</v>
      </c>
      <c r="MS147" s="530">
        <f t="shared" si="614"/>
        <v>105.61914799</v>
      </c>
      <c r="MT147" s="530">
        <f t="shared" si="615"/>
        <v>105.77914799</v>
      </c>
      <c r="MU147" s="530">
        <f t="shared" si="616"/>
        <v>107.11914799</v>
      </c>
      <c r="MV147" s="530">
        <f t="shared" si="617"/>
        <v>114.21914799</v>
      </c>
      <c r="MW147" s="530">
        <f t="shared" si="618"/>
        <v>114.37914799</v>
      </c>
      <c r="MX147" s="326">
        <f t="shared" si="619"/>
        <v>36.97969542</v>
      </c>
      <c r="MY147" s="326">
        <f t="shared" si="620"/>
        <v>25.546307195775</v>
      </c>
      <c r="MZ147" s="251">
        <f t="shared" si="621"/>
        <v>42.17969542</v>
      </c>
      <c r="NA147" s="251">
        <f t="shared" si="622"/>
        <v>30.746307195775</v>
      </c>
      <c r="NB147" s="251">
        <f t="shared" si="676"/>
        <v>107.71114799</v>
      </c>
      <c r="NC147" s="326">
        <f t="shared" si="555"/>
        <v>107.71114799</v>
      </c>
      <c r="ND147" s="314">
        <f t="shared" si="677"/>
        <v>107.71114799</v>
      </c>
      <c r="NE147" s="537">
        <f t="shared" si="678"/>
        <v>107.95114799</v>
      </c>
      <c r="NF147" s="530">
        <f t="shared" si="623"/>
        <v>108.11114799</v>
      </c>
      <c r="NG147" s="538">
        <f t="shared" si="624"/>
        <v>109.45114799</v>
      </c>
      <c r="NH147" s="326">
        <f t="shared" si="625"/>
        <v>116.55114799</v>
      </c>
      <c r="NI147" s="530">
        <f t="shared" si="626"/>
        <v>116.71114799</v>
      </c>
      <c r="NK147" s="539">
        <f t="shared" si="627"/>
        <v>38.9698665022627</v>
      </c>
      <c r="NL147" s="539">
        <f t="shared" si="628"/>
        <v>2135.68046543932</v>
      </c>
      <c r="NM147" s="539">
        <f t="shared" si="629"/>
        <v>38.9698665022627</v>
      </c>
      <c r="NN147" s="539">
        <f t="shared" si="630"/>
        <v>2137.85232679135</v>
      </c>
      <c r="NO147" s="539">
        <f t="shared" si="631"/>
        <v>49.9574076066887</v>
      </c>
      <c r="NP147" s="539">
        <f t="shared" si="632"/>
        <v>2150.1274621251</v>
      </c>
      <c r="NQ147" s="539">
        <f t="shared" si="633"/>
        <v>49.9574076066887</v>
      </c>
      <c r="NR147" s="539">
        <f t="shared" si="634"/>
        <v>2152.34540080547</v>
      </c>
      <c r="NS147" s="539">
        <f t="shared" si="635"/>
        <v>39.1175105885069</v>
      </c>
      <c r="NT147" s="539">
        <f t="shared" si="636"/>
        <v>39.1175105885069</v>
      </c>
      <c r="NU147" s="539">
        <f t="shared" si="637"/>
        <v>50.1083091081123</v>
      </c>
      <c r="NV147" s="539">
        <f t="shared" si="638"/>
        <v>50.1083091081123</v>
      </c>
      <c r="NW147">
        <f t="shared" si="639"/>
        <v>40.9199654612945</v>
      </c>
      <c r="NX147">
        <f>各项系数!$M$9*NK147</f>
        <v>11.6909599506788</v>
      </c>
      <c r="NY147">
        <f t="shared" si="640"/>
        <v>39.1175105885069</v>
      </c>
    </row>
    <row r="148" s="13" customFormat="1" customHeight="1" spans="1:389">
      <c r="A148" s="23"/>
      <c r="B148" s="182"/>
      <c r="C148" s="225"/>
      <c r="D148" s="78" t="s">
        <v>134</v>
      </c>
      <c r="E148" s="557">
        <f t="shared" ref="E148:E173" si="687">MV148</f>
        <v>7.17136601</v>
      </c>
      <c r="F148" s="558">
        <f>$F$15</f>
        <v>110.31595161029</v>
      </c>
      <c r="G148" s="23"/>
      <c r="H148" s="23"/>
      <c r="I148" s="174">
        <v>0</v>
      </c>
      <c r="J148" s="23"/>
      <c r="K148" s="23"/>
      <c r="L148" s="121" t="s">
        <v>469</v>
      </c>
      <c r="M148" s="124">
        <f t="shared" si="582"/>
        <v>0.6</v>
      </c>
      <c r="N148" s="124">
        <f t="shared" si="583"/>
        <v>0</v>
      </c>
      <c r="O148" s="69">
        <f t="shared" ref="O148:O157" si="688">$O$36</f>
        <v>0.08</v>
      </c>
      <c r="P148" s="120">
        <v>0.1</v>
      </c>
      <c r="Q148" s="162">
        <f t="shared" si="685"/>
        <v>0.1</v>
      </c>
      <c r="R148" s="560">
        <v>0.8</v>
      </c>
      <c r="S148" s="173" t="str">
        <f>各项系数!$D$43</f>
        <v>钢带</v>
      </c>
      <c r="T148" s="78">
        <v>0.2</v>
      </c>
      <c r="U148" s="78">
        <v>4</v>
      </c>
      <c r="V148" s="172"/>
      <c r="W148" s="561">
        <v>1.2</v>
      </c>
      <c r="X148" s="168">
        <f t="shared" si="686"/>
        <v>0.2</v>
      </c>
      <c r="Y148" s="221"/>
      <c r="Z148" s="222"/>
      <c r="AA148" s="223">
        <v>1</v>
      </c>
      <c r="AB148" s="186">
        <f>PI()*EJ148*EJ148/4*EH148*(1-H148)*AA148*各项系数!$F$5*各项系数!$J$4*10^-7</f>
        <v>0.0084545666936337</v>
      </c>
      <c r="AC148" s="224">
        <f t="shared" si="573"/>
        <v>110.31595161029</v>
      </c>
      <c r="AD148" s="186">
        <f t="shared" si="584"/>
        <v>0.955798869898841</v>
      </c>
      <c r="AE148" s="186">
        <f>POWER(4*EU148/PI()/EG148/10^-7/EH148/(1-H148)/各项系数!$F$5/各项系数!$J$4,0.5)</f>
        <v>110.31595161029</v>
      </c>
      <c r="AF148" s="225">
        <v>1</v>
      </c>
      <c r="AG148" s="23">
        <f>IF(EM148=0,0,PI()*ER148*ER148/4*EP148*(1-K148)*(1+AF148)*各项系数!$F$5*各项系数!$J$4*10^-7)</f>
        <v>0</v>
      </c>
      <c r="AH148" s="23">
        <f t="shared" si="574"/>
        <v>0</v>
      </c>
      <c r="AI148" s="85">
        <f t="shared" si="641"/>
        <v>0</v>
      </c>
      <c r="AJ148" s="85">
        <f>IF(OR(EP148="",EP148=0),0,POWER(4*EW148/PI()/EO148/10^-7/EP148/(1-K148)/各项系数!$F$5/各项系数!$J$4,0.5))</f>
        <v>0</v>
      </c>
      <c r="AK148" s="23" t="str">
        <f t="shared" si="585"/>
        <v>√</v>
      </c>
      <c r="AL148" s="23">
        <f t="shared" si="575"/>
        <v>1.69530712357567</v>
      </c>
      <c r="AM148" s="78">
        <f t="shared" si="576"/>
        <v>1</v>
      </c>
      <c r="AN148" s="121" t="s">
        <v>486</v>
      </c>
      <c r="AO148" s="165">
        <f>AP148+各项系数!$M$9*$NK148</f>
        <v>1.66206580742713</v>
      </c>
      <c r="AP148" s="165">
        <f>AQ148*(1+$BI148+(VLOOKUP($AM148,$A$12:$B$323,2,0))+各项系数!$J$6+各项系数!$M$5)*(1+$E$2)</f>
        <v>1.64449840608329</v>
      </c>
      <c r="AQ148" s="261">
        <f>AR148+各项系数!$L$9*$NK148</f>
        <v>1.61351884427324</v>
      </c>
      <c r="AR148" s="261">
        <f>AS148*(1+$BJ148+各项系数!$J$5+各项系数!$L$5)</f>
        <v>1.5959514429294</v>
      </c>
      <c r="AS148" s="261">
        <f t="shared" si="642"/>
        <v>1.53456869512442</v>
      </c>
      <c r="AT148" s="165">
        <f>AU148+各项系数!$M$9*$NM148</f>
        <v>1.89830052685358</v>
      </c>
      <c r="AU148" s="165">
        <f>AV148*(1+$BI148+(VLOOKUP($AM148,$A$12:$B$323,2,0))+各项系数!$J$6+各项系数!$M$5)*(1+$E$2)</f>
        <v>1.88073312550973</v>
      </c>
      <c r="AV148" s="261">
        <f>AW148+各项系数!$L$9*$NM148</f>
        <v>1.84530330210924</v>
      </c>
      <c r="AW148" s="261">
        <f>AX148*(1+$BJ148+各项系数!$J$5+各项系数!$L$5)</f>
        <v>1.82773590076539</v>
      </c>
      <c r="AX148" s="261">
        <f t="shared" si="643"/>
        <v>1.75743836612057</v>
      </c>
      <c r="AY148" s="165">
        <f>AZ148+各项系数!$M$9*$NS148</f>
        <v>2.16036980918105</v>
      </c>
      <c r="AZ148" s="165">
        <f>BA148*(1+$BI148+(VLOOKUP($AM148,$A$12:$B$214,2,0))+各项系数!$J$6+各项系数!$M$5)*(1+$E$2)</f>
        <v>2.14076944300673</v>
      </c>
      <c r="BA148" s="261">
        <f>BB148+各项系数!$L$9*$NS148</f>
        <v>2.10044097626249</v>
      </c>
      <c r="BB148" s="261">
        <f>BC148*(1+$BJ148+各项系数!$J$5+各项系数!$L$5)</f>
        <v>2.08084061008818</v>
      </c>
      <c r="BC148" s="261">
        <f t="shared" si="644"/>
        <v>2.00080827893094</v>
      </c>
      <c r="BD148" s="165">
        <f>BE148+各项系数!$M$9*$NS148</f>
        <v>2.40293432903255</v>
      </c>
      <c r="BE148" s="165">
        <f>BF148*(1+$BI148+(VLOOKUP($AM148,$A$12:$B$214,2,0))+各项系数!$J$6+各项系数!$M$5)*(1+$E$2)</f>
        <v>2.38333396285823</v>
      </c>
      <c r="BF148" s="261">
        <f>BG148+各项系数!$L$9*$NS148</f>
        <v>2.33843599181537</v>
      </c>
      <c r="BG148" s="261">
        <f>BH148*(1+$BJ148+各项系数!$J$5+各项系数!$L$5)</f>
        <v>2.31883562564106</v>
      </c>
      <c r="BH148" s="261">
        <f t="shared" si="645"/>
        <v>2.22964964003948</v>
      </c>
      <c r="BI148" s="288"/>
      <c r="BJ148" s="273">
        <v>0.02</v>
      </c>
      <c r="BK148" s="78" t="s">
        <v>514</v>
      </c>
      <c r="BL148" s="165">
        <f>BM148+各项系数!$M$9*$NM148</f>
        <v>1.7129427269906</v>
      </c>
      <c r="BM148" s="165">
        <f>BN148*(1+$CF148+(VLOOKUP($AM148,$A$12:$B$323,2,0))+各项系数!$J$6+各项系数!$M$5)*(1+$E$2)</f>
        <v>1.69537532564676</v>
      </c>
      <c r="BN148" s="261">
        <f>BO148+各项系数!$L$9*$NM148</f>
        <v>1.66343732893128</v>
      </c>
      <c r="BO148" s="261">
        <f>BP148*(1+$CG148+各项系数!$J$5+各项系数!$L$5)</f>
        <v>1.64586992758743</v>
      </c>
      <c r="BP148" s="261">
        <f t="shared" si="646"/>
        <v>1.56749516913089</v>
      </c>
      <c r="BQ148" s="165">
        <f>BR148+各项系数!$M$9*$NM148</f>
        <v>1.91621233868108</v>
      </c>
      <c r="BR148" s="165">
        <f>BS148*(1+$CF148+(VLOOKUP($AM148,$A$12:$B$323,2,0))+各项系数!$J$6+各项系数!$M$5)*(1+$E$2)</f>
        <v>1.89864493733724</v>
      </c>
      <c r="BS148" s="261">
        <f>BT148+各项系数!$L$9*$NM148</f>
        <v>1.86287768577044</v>
      </c>
      <c r="BT148" s="261">
        <f>BU148*(1+$CG148+各项系数!$J$5+各项系数!$L$5)</f>
        <v>1.8453102844266</v>
      </c>
      <c r="BU148" s="261">
        <f t="shared" si="647"/>
        <v>1.75743836612057</v>
      </c>
      <c r="BV148" s="165">
        <f>BW148+各项系数!$M$9*$NT148</f>
        <v>2.20538815820696</v>
      </c>
      <c r="BW148" s="165">
        <f>BX148*(1+$CF148+(VLOOKUP($AM148,$A$12:$B$214,2,0))+各项系数!$J$6+各项系数!$M$5)*(1+$E$2)</f>
        <v>2.18578779203264</v>
      </c>
      <c r="BX148" s="261">
        <f>BY148+各项系数!$L$9*$NT$12</f>
        <v>2.144611255919</v>
      </c>
      <c r="BY148" s="261">
        <f>BZ148*(1+$CG148+各项系数!$J$5+各项系数!$L$5)</f>
        <v>2.13634785276402</v>
      </c>
      <c r="BZ148" s="261">
        <f t="shared" si="586"/>
        <v>2.0346170026324</v>
      </c>
      <c r="CA148" s="165">
        <f>CB148+各项系数!$M$9*$NT148</f>
        <v>2.41410428545451</v>
      </c>
      <c r="CB148" s="165">
        <f>CC148*(1+$CF148+(VLOOKUP($AM148,$A$12:$B$214,2,0))+各项系数!$J$6+各项系数!$M$5)*(1+$E$2)</f>
        <v>2.3945039192802</v>
      </c>
      <c r="CC148" s="261">
        <f>CD148+各项系数!$L$9*$NT$12</f>
        <v>2.34939552519643</v>
      </c>
      <c r="CD148" s="261">
        <f>CE148*(1+$CG148+各项系数!$J$5+各项系数!$L$5)</f>
        <v>2.34113212204145</v>
      </c>
      <c r="CE148" s="261">
        <f t="shared" si="648"/>
        <v>2.22964964003948</v>
      </c>
      <c r="CF148" s="288">
        <f t="shared" si="514"/>
        <v>0</v>
      </c>
      <c r="CG148" s="288">
        <f t="shared" si="587"/>
        <v>0.03</v>
      </c>
      <c r="CH148" s="78"/>
      <c r="CI148" s="165">
        <f>CJ148+各项系数!$M$9*$NO148</f>
        <v>1.89712216687651</v>
      </c>
      <c r="CJ148" s="165">
        <f>CK148*(1+$DC148+(VLOOKUP($AM148,$A$12:$B$323,2,0))+各项系数!$J$6+各项系数!$M$5)*(1+$E$2)+各项系数!$M$9*$NK148</f>
        <v>1.87487373918261</v>
      </c>
      <c r="CK148" s="261">
        <f>CL148+各项系数!$L$9*$NO148</f>
        <v>1.8223178353991</v>
      </c>
      <c r="CL148" s="261">
        <f>CM148*(1+$DD148+各项系数!$J$5+各项系数!$L$5)</f>
        <v>1.80006940770521</v>
      </c>
      <c r="CM148" s="261">
        <f t="shared" si="588"/>
        <v>1.73083596894731</v>
      </c>
      <c r="CN148" s="165">
        <f>CO148+各项系数!$M$9*$NO148</f>
        <v>2.05964630004917</v>
      </c>
      <c r="CO148" s="165">
        <f>CP148*(1+$DC148+(VLOOKUP($AM148,$A$12:$B$323,2,0))+各项系数!$J$6+各项系数!$M$5)*(1+$E$2)+各项系数!$M$9*$NK148</f>
        <v>2.03739787235527</v>
      </c>
      <c r="CP148" s="261">
        <f>CQ148+各项系数!$L$9*$NO148</f>
        <v>1.98178028945391</v>
      </c>
      <c r="CQ148" s="261">
        <f>CR148*(1+$DD148+各项系数!$J$5+各项系数!$L$5)</f>
        <v>1.95953186176001</v>
      </c>
      <c r="CR148" s="261">
        <f t="shared" si="589"/>
        <v>1.88416525169232</v>
      </c>
      <c r="CS148" s="165">
        <f>CT148+各项系数!$M$9*$NU148</f>
        <v>2.50496538168956</v>
      </c>
      <c r="CT148" s="165">
        <f t="shared" si="590"/>
        <v>2.48015550570323</v>
      </c>
      <c r="CU148" s="261">
        <f>CV148+各项系数!$L$9*$NU148</f>
        <v>2.43343358094901</v>
      </c>
      <c r="CV148" s="261">
        <f>CW148*(1+$DD148+各项系数!$J$5+各项系数!$L$5)</f>
        <v>2.40862370496268</v>
      </c>
      <c r="CW148" s="261">
        <f t="shared" si="591"/>
        <v>2.31598433169488</v>
      </c>
      <c r="CX148" s="165">
        <f>CY148+各项系数!$M$9*$NU148</f>
        <v>2.79742244121624</v>
      </c>
      <c r="CY148" s="165">
        <f t="shared" si="592"/>
        <v>2.77261256522991</v>
      </c>
      <c r="CZ148" s="261">
        <f>DA148+各项系数!$L$9*$NU148</f>
        <v>2.72038124531977</v>
      </c>
      <c r="DA148" s="261">
        <f>DB148*(1+$DD148+各项系数!$J$5+各项系数!$L$5)</f>
        <v>2.69557136933344</v>
      </c>
      <c r="DB148" s="261">
        <f t="shared" si="593"/>
        <v>2.591895547436</v>
      </c>
      <c r="DC148" s="288">
        <f t="shared" si="571"/>
        <v>0</v>
      </c>
      <c r="DD148" s="288">
        <f t="shared" si="594"/>
        <v>0.02</v>
      </c>
      <c r="DE148" s="74" t="s">
        <v>498</v>
      </c>
      <c r="DF148" s="74" t="s">
        <v>513</v>
      </c>
      <c r="DG148" s="165">
        <f>DH148+各项系数!$M$9*$NQ148</f>
        <v>1.95744137668386</v>
      </c>
      <c r="DH148" s="165">
        <f>DI148*(1+$EA148+(VLOOKUP($AM148,$A$12:$B$323,2,0))+各项系数!$J$6+各项系数!$M$5)*(1+$E$2)+各项系数!$M$9*$NK148</f>
        <v>1.93519294898997</v>
      </c>
      <c r="DI148" s="261">
        <f>DJ148+各项系数!$L$9*$NQ148</f>
        <v>1.88150073356174</v>
      </c>
      <c r="DJ148" s="261">
        <f>DK148*(1+$EB148+各项系数!$J$5+各项系数!$L$5)</f>
        <v>1.85925230586784</v>
      </c>
      <c r="DK148" s="261">
        <f t="shared" si="595"/>
        <v>1.77071648177889</v>
      </c>
      <c r="DL148" s="165">
        <f>DM148+各项系数!$M$9*$NQ148</f>
        <v>2.20364132981886</v>
      </c>
      <c r="DM148" s="165">
        <f>DN148*(1+$EA148+(VLOOKUP($AM148,$A$12:$B$323,2,0))+各项系数!$J$6+各项系数!$M$5)*(1+$E$2)+各项系数!$M$9*$NK148</f>
        <v>2.18139290212496</v>
      </c>
      <c r="DN148" s="261">
        <f>DO148+各项系数!$L$9*$NQ148</f>
        <v>2.12306269699874</v>
      </c>
      <c r="DO148" s="261">
        <f>DP148*(1+$EB148+各项系数!$J$5+各项系数!$L$5)</f>
        <v>2.10081426930484</v>
      </c>
      <c r="DP148" s="261">
        <f t="shared" si="596"/>
        <v>2.00077549457604</v>
      </c>
      <c r="DQ148" s="165">
        <f>DR148+各项系数!$M$9*$NV148</f>
        <v>2.57219257194364</v>
      </c>
      <c r="DR148" s="165">
        <f t="shared" si="597"/>
        <v>2.54738269595731</v>
      </c>
      <c r="DS148" s="261">
        <f>DT148+各项系数!$L$9*$NV148</f>
        <v>2.49939432491886</v>
      </c>
      <c r="DT148" s="261">
        <f>DU148*(1+$EB148+各项系数!$J$5+各项系数!$L$5)</f>
        <v>2.47458444893253</v>
      </c>
      <c r="DU148" s="261">
        <f t="shared" si="598"/>
        <v>2.35674709422146</v>
      </c>
      <c r="DV148" s="165">
        <f>DW148+各项系数!$M$9*$NV148</f>
        <v>2.70688440025036</v>
      </c>
      <c r="DW148" s="165">
        <f t="shared" si="599"/>
        <v>2.68207452426403</v>
      </c>
      <c r="DX148" s="261">
        <f>DY148+各项系数!$L$9*$NV148</f>
        <v>2.6315487875432</v>
      </c>
      <c r="DY148" s="261">
        <f>DZ148*(1+$EB148+各项系数!$J$5+各项系数!$L$5)</f>
        <v>2.60673891155686</v>
      </c>
      <c r="DZ148" s="261">
        <f t="shared" si="600"/>
        <v>2.48260848719701</v>
      </c>
      <c r="EA148" s="288">
        <f t="shared" si="581"/>
        <v>0</v>
      </c>
      <c r="EB148" s="288">
        <f t="shared" si="601"/>
        <v>0.03</v>
      </c>
      <c r="EC148" s="302">
        <f t="shared" si="649"/>
        <v>2</v>
      </c>
      <c r="ED148" s="303" t="str">
        <f t="shared" si="680"/>
        <v>2*1</v>
      </c>
      <c r="EE148" s="74">
        <f t="shared" si="495"/>
        <v>1</v>
      </c>
      <c r="EF148" s="74">
        <f>LOOKUP(EH148,{1,7,10,14,19,24,30,37,48,61},{1,"1+6","2+8","4+10","1+6+12","2+8+14","4+10+16","1+6+12+18","3+9+15+21","1+6+12+18+24"})</f>
        <v>1</v>
      </c>
      <c r="EG148" s="78">
        <f t="shared" si="602"/>
        <v>2</v>
      </c>
      <c r="EH148" s="261">
        <f>VLOOKUP(EE148,各项系数!$B$87:$C$124,2,0)</f>
        <v>1</v>
      </c>
      <c r="EI148" s="78">
        <f>IF(EH148=0,0,VLOOKUP(EH148,各项系数!$D$142:$E$195,2,0))*1</f>
        <v>1</v>
      </c>
      <c r="EJ148" s="305">
        <f t="shared" si="650"/>
        <v>110.31595161029</v>
      </c>
      <c r="EK148" s="74">
        <f t="shared" ref="EK148:EK173" si="689">IF(COUNTIF($D148,"*+*")&gt;0,MID($D148,FIND("+",$D148)+1,LEN($D148)),0)</f>
        <v>0</v>
      </c>
      <c r="EL148" s="74">
        <f t="shared" si="603"/>
        <v>0</v>
      </c>
      <c r="EM148" s="74">
        <f t="shared" ref="EM148:EM173" si="690">EL148/1</f>
        <v>0</v>
      </c>
      <c r="EN148" s="74">
        <f>IF(EP148=0,0,LOOKUP(EP148,{1,7,10,14,19,24,30,37,48,61},{1,"1+6","2+8","4+10","1+6+12","2+8+14","4+10+16","1+6+12+18","3+9+15+21","1+6+12+18+24"}))</f>
        <v>0</v>
      </c>
      <c r="EO148" s="74">
        <f t="shared" ref="EO148:EO173" si="691">IF(EK148=0,0,MID(EK148,1,1))</f>
        <v>0</v>
      </c>
      <c r="EP148" s="74">
        <f>IF(EM148=0,0,IF(EM148&lt;10,1,IF(AND(EM148&gt;=10,EM148&lt;=35),7,LOOKUP(EM148,{50,70,95,120,150,185,240,300},{10,14,19,24,30,37,48,61})*1)))</f>
        <v>0</v>
      </c>
      <c r="EQ148" s="74">
        <f>IF(EP148=0,0,VLOOKUP(EP148,各项系数!$D$142:$E$195,2,0))*1</f>
        <v>0</v>
      </c>
      <c r="ER148" s="74">
        <f t="shared" si="577"/>
        <v>0</v>
      </c>
      <c r="ES148" s="303">
        <f t="shared" ref="ES148:ES173" si="692">EO148+EG148</f>
        <v>2</v>
      </c>
      <c r="ET148" s="74">
        <f>VLOOKUP(ES148,各项系数!$D$142:$E$195,2,0)*1</f>
        <v>2</v>
      </c>
      <c r="EU148" s="311">
        <f>((各项系数!$F$76/4*$EJ148^2*$EG148*$EH148*1*10^-7)*(1-$H148)*AA148)*(VLOOKUP($EY$9,各项系数!$D$4:$F$143,3,0))*各项系数!$J$4</f>
        <v>0.0169091333872674</v>
      </c>
      <c r="EV148" s="312">
        <f>EU148*(VLOOKUP($EY$9,各项系数!$D$4:$F$143,2,0))</f>
        <v>1.10754823686601</v>
      </c>
      <c r="EW148" s="324">
        <f>(IF($EO148=0,0,(各项系数!$F$76/4*$ER148^2*$EO148*$EP148*1*10^-7))*(1-$K148)*$AF148)*(VLOOKUP($EY$9,各项系数!$D$4:$F$143,3,0))*各项系数!$J$4</f>
        <v>0</v>
      </c>
      <c r="EX148" s="325">
        <f>EW148*(VLOOKUP($EY$9,各项系数!$D$4:$F$143,2,0))</f>
        <v>0</v>
      </c>
      <c r="EY148" s="251">
        <f>((各项系数!$F$76/4*$EJ148^2*$EG148*$EH148*1*10^-7)*(1-$H148)*AA148+IF($EO148=0,0,(各项系数!$F$76/4*$ER148^2*$EO148*$EP148*1*10^-7))*(1-$K148)*$AF148)*(VLOOKUP($EY$9,各项系数!$D$4:$F$143,3,0))*各项系数!$J$4</f>
        <v>0.0169091333872674</v>
      </c>
      <c r="EZ148" s="78">
        <v>1</v>
      </c>
      <c r="FA148" s="74">
        <f t="shared" si="515"/>
        <v>0.0169091333872674</v>
      </c>
      <c r="FB148" s="313">
        <f>FA148*(VLOOKUP($EY$9,各项系数!$D$4:$F$143,2,0))</f>
        <v>1.10754823686601</v>
      </c>
      <c r="FC148" s="328"/>
      <c r="FD148" s="302">
        <f>各项系数!$F$76/4*($MN148^2-MK148^2)*10^-2*(VLOOKUP(L148,各项系数!$D$1:$F$143,3,0))*10^-3*10^2*$EG148*各项系数!$J$4</f>
        <v>0.00702752195474194</v>
      </c>
      <c r="FE148" s="339">
        <f>FD148*VLOOKUP(L148,各项系数!$D$1:$F$143,2,0)</f>
        <v>0.0808165024795323</v>
      </c>
      <c r="FF148" s="250">
        <f>各项系数!$F$76/4*($MO148^2-ML148^2)*10^-2*(VLOOKUP(L148,各项系数!$D$1:$F$143,3,0))*10^-3*10^2*$EO148*各项系数!$J$4</f>
        <v>0</v>
      </c>
      <c r="FG148" s="339">
        <f>FF148*VLOOKUP(L148,各项系数!$D$1:$F$143,2,0)</f>
        <v>0</v>
      </c>
      <c r="FH148" s="302">
        <f t="shared" si="651"/>
        <v>0.00702752195474194</v>
      </c>
      <c r="FI148" s="78">
        <v>1</v>
      </c>
      <c r="FJ148" s="74">
        <f t="shared" si="516"/>
        <v>0.00702752195474194</v>
      </c>
      <c r="FK148" s="340">
        <f>FJ148*VLOOKUP(L148,各项系数!$D$1:$F$143,2,0)</f>
        <v>0.0808165024795323</v>
      </c>
      <c r="FL148" s="303"/>
      <c r="FM148" s="78"/>
      <c r="FN148" s="74"/>
      <c r="FO148" s="340"/>
      <c r="FP148" s="368">
        <f t="shared" si="517"/>
        <v>0.00702752195474194</v>
      </c>
      <c r="FQ148" s="368">
        <f t="shared" si="518"/>
        <v>0.0808165024795323</v>
      </c>
      <c r="FR148" s="365">
        <f>各项系数!$F$76/4*($MQ148^2-$MN148^2*$EG148-$MO148^2*$EO148)*10^-2</f>
        <v>0.08332357876412</v>
      </c>
      <c r="FS148" s="366">
        <f t="shared" si="652"/>
        <v>0.05</v>
      </c>
      <c r="FT148" s="367">
        <f t="shared" si="604"/>
        <v>0.004166178938206</v>
      </c>
      <c r="FU148" s="391">
        <f>$FT148*(VLOOKUP($FT$9,各项系数!$D$1:$F$143,3,0))*10^-3*10^2*各项系数!$J$55</f>
        <v>0.000497441765221796</v>
      </c>
      <c r="FV148" s="392">
        <v>1</v>
      </c>
      <c r="FW148" s="393">
        <f t="shared" si="519"/>
        <v>0.000497441765221796</v>
      </c>
      <c r="FX148" s="394">
        <f>FW148*(VLOOKUP($FT$9,各项系数!$D$1:$F$143,2,0))</f>
        <v>0.00149232529566539</v>
      </c>
      <c r="FY148" s="391">
        <f>IF($BK148&lt;&gt;$FY$9,0,各项系数!$F$76/4*($MS148^2-$MQ148^2)*10^-2*(VLOOKUP($FY$9,各项系数!$D$1:$F$143,3,0))*10^-3*10^2)*各项系数!$J$4</f>
        <v>0</v>
      </c>
      <c r="FZ148" s="392">
        <v>1</v>
      </c>
      <c r="GA148" s="393">
        <f t="shared" si="520"/>
        <v>0</v>
      </c>
      <c r="GB148" s="394">
        <f>GA148*(VLOOKUP($FY$9,各项系数!$D$1:$F$143,2,0))</f>
        <v>0</v>
      </c>
      <c r="GC148" s="391">
        <f>IF($BK148&lt;&gt;$GC$9,0,各项系数!$F$76/4*($MS148^2-$MQ148^2)*10^-2*(VLOOKUP($GC$9,各项系数!$D$1:$F$143,3,0))*10^-3*10^2)*各项系数!$J$4</f>
        <v>0.00119743336577905</v>
      </c>
      <c r="GD148" s="392">
        <v>1</v>
      </c>
      <c r="GE148" s="393">
        <f t="shared" si="521"/>
        <v>0.00119743336577905</v>
      </c>
      <c r="GF148" s="394">
        <f>GE148*(VLOOKUP($GC$9,各项系数!$D$1:$F$143,2,0))</f>
        <v>0.0154468904185497</v>
      </c>
      <c r="GG148" s="391">
        <f>IF($BK148&lt;&gt;$GG$9,0,各项系数!$F$76/4*($MS148^2-$MQ148^2)*10^-2*(VLOOKUP($GG$9,各项系数!$D$1:$F$143,3,0))*10^-3*10^2)*各项系数!$J$4</f>
        <v>0</v>
      </c>
      <c r="GH148" s="392">
        <v>1</v>
      </c>
      <c r="GI148" s="393">
        <f t="shared" si="522"/>
        <v>0</v>
      </c>
      <c r="GJ148" s="394">
        <f>GI148*(VLOOKUP($GG$9,各项系数!$D$1:$F$143,2,0))</f>
        <v>0</v>
      </c>
      <c r="GK148" s="391">
        <f>IF($BK148&lt;&gt;$GK$9,0,各项系数!$F$76/4*($MS148^2-$MQ148^2)*10^-2*(VLOOKUP($GK$9,各项系数!$D$1:$F$143,3,0))*10^-3*10^2)*各项系数!$J$4</f>
        <v>0</v>
      </c>
      <c r="GL148" s="392">
        <v>1</v>
      </c>
      <c r="GM148" s="393">
        <f t="shared" si="523"/>
        <v>0</v>
      </c>
      <c r="GN148" s="394">
        <f>GM148*(VLOOKUP($GK$9,各项系数!$D$1:$F$143,2,0))</f>
        <v>0</v>
      </c>
      <c r="GO148" s="393">
        <f t="shared" si="524"/>
        <v>0.00119743336577905</v>
      </c>
      <c r="GP148" s="393">
        <f t="shared" si="525"/>
        <v>0.0154468904185497</v>
      </c>
      <c r="GQ148" s="407">
        <f>各项系数!$F$76/4*($MU148^2-$MS148^2)*10^-2*(VLOOKUP($S148,各项系数!$D$1:$F$143,3,0))*10^-3*10^2*各项系数!$J$4</f>
        <v>0.0787799504846241</v>
      </c>
      <c r="GR148" s="392">
        <v>1</v>
      </c>
      <c r="GS148" s="393">
        <f t="shared" si="526"/>
        <v>0.0787799504846241</v>
      </c>
      <c r="GT148" s="393">
        <f t="shared" si="457"/>
        <v>1</v>
      </c>
      <c r="GU148" s="393">
        <f>ROUND($GS148*(VLOOKUP($S148,各项系数!$D$1:$F$143,2,0))+$E$3*GS148,GT148)</f>
        <v>0.5</v>
      </c>
      <c r="GV148" s="406">
        <f>各项系数!$F$76/4*($MT148^2-$MS148^2)*10^-2*(VLOOKUP($GV$9,各项系数!$D$1:$F$143,3,0))*10^-3*10^2*各项系数!$J$4*PI()/4*R148</f>
        <v>0.00677654943491189</v>
      </c>
      <c r="GW148" s="392">
        <v>1</v>
      </c>
      <c r="GX148" s="393">
        <f t="shared" si="527"/>
        <v>0.00677654943491189</v>
      </c>
      <c r="GY148" s="393">
        <f>$GX148*(VLOOKUP($GV$9,各项系数!$D$1:$F$143,2,0))</f>
        <v>0.457417086856552</v>
      </c>
      <c r="GZ148" s="407">
        <f>各项系数!$F$76/4*($MV148^2-$MS148^2)*10^-2*(VLOOKUP($GZ$9,各项系数!$D$1:$F$143,3,0))*10^-3*10^2*各项系数!$J$4</f>
        <v>0.032478494768283</v>
      </c>
      <c r="HA148" s="392">
        <v>1</v>
      </c>
      <c r="HB148" s="393">
        <f t="shared" si="653"/>
        <v>0.032478494768283</v>
      </c>
      <c r="HC148" s="393">
        <f>HB148*(VLOOKUP($GZ$9,各项系数!$D$1:$F$143,2,0))</f>
        <v>0.55213441106081</v>
      </c>
      <c r="HD148" s="407">
        <f>各项系数!$F$76/4*($MW148^2-$MT148^2)*10^-2*(VLOOKUP($HD$9,各项系数!$D$1:$F$143,3,0))*10^-3*10^2*各项系数!$J$4</f>
        <v>0.0333487410660685</v>
      </c>
      <c r="HE148" s="392">
        <v>1</v>
      </c>
      <c r="HF148" s="393">
        <f t="shared" si="654"/>
        <v>0.0333487410660685</v>
      </c>
      <c r="HG148" s="393">
        <f>HF148*(VLOOKUP($HD$9,各项系数!$D$1:$F$143,2,0))</f>
        <v>0.566928598123165</v>
      </c>
      <c r="HH148" s="407">
        <f>各项系数!$F$76/4*($MV148^2-$MS148^2)*10^-2*(VLOOKUP($HH$9,各项系数!$D$1:$F$143,3,0))*10^-3*10^2*各项系数!$J$4</f>
        <v>0.032478494768283</v>
      </c>
      <c r="HI148" s="393">
        <v>1</v>
      </c>
      <c r="HJ148" s="393">
        <f t="shared" si="655"/>
        <v>0.032478494768283</v>
      </c>
      <c r="HK148" s="393">
        <f>HJ148*(VLOOKUP($HH$9,各项系数!$D$1:$F$143,2,0))</f>
        <v>0.55213441106081</v>
      </c>
      <c r="HL148" s="407">
        <f>各项系数!$F$76/4*($MW148^2-$MT148^2)*10^-2*(VLOOKUP($HL$9,各项系数!$D$1:$F$143,3,0))*10^-3*10^2*各项系数!$J$4</f>
        <v>0.0333487410660685</v>
      </c>
      <c r="HM148" s="393">
        <v>1</v>
      </c>
      <c r="HN148" s="393">
        <f t="shared" si="605"/>
        <v>0.0333487410660685</v>
      </c>
      <c r="HO148" s="393">
        <f>HN148*(VLOOKUP($HL$9,各项系数!$D$1:$F$143,2,0))</f>
        <v>0.566928598123165</v>
      </c>
      <c r="HP148" s="407">
        <f>各项系数!$F$76/4*($MV148^2-$MS148^2)*10^-2*(VLOOKUP(AN148,各项系数!$D$1:$F$143,3,0))*10^-3*10^2*各项系数!$J$4</f>
        <v>0.0329264740064662</v>
      </c>
      <c r="HQ148" s="392">
        <v>1</v>
      </c>
      <c r="HR148" s="393">
        <f t="shared" si="528"/>
        <v>0.0329264740064662</v>
      </c>
      <c r="HS148" s="393">
        <f>HR148*(VLOOKUP(AN148,各项系数!$D$1:$F$143,2,0))</f>
        <v>0.329264740064662</v>
      </c>
      <c r="HT148" s="407">
        <f>各项系数!$F$76/4*($MW148^2-$MT148^2)*10^-2*(VLOOKUP(AN148,各项系数!$D$1:$F$143,3,0))*10^-3*10^2*各项系数!$J$4</f>
        <v>0.0338087237014626</v>
      </c>
      <c r="HU148" s="392">
        <v>1</v>
      </c>
      <c r="HV148" s="393">
        <f t="shared" si="529"/>
        <v>0.0338087237014626</v>
      </c>
      <c r="HW148" s="393">
        <f>HV148*(VLOOKUP(AN148,各项系数!$D$1:$F$143,2,0))</f>
        <v>0.338087237014626</v>
      </c>
      <c r="HX148" s="407">
        <f>各项系数!$F$76/4*($MV148^2-$MS148^2)*10^-2*(VLOOKUP($HX$9,各项系数!$D$1:$F$143,3,0))*10^-3*10^2*各项系数!$J$4</f>
        <v>0.0329264740064662</v>
      </c>
      <c r="HY148" s="393">
        <v>1</v>
      </c>
      <c r="HZ148" s="393">
        <f t="shared" si="530"/>
        <v>0.0329264740064662</v>
      </c>
      <c r="IA148" s="393">
        <f>HZ148*(VLOOKUP($HX$9,各项系数!$D$1:$F$143,2,0))</f>
        <v>0.362191214071128</v>
      </c>
      <c r="IB148" s="407">
        <f>各项系数!$F$76/4*($MW148^2-$MT148^2)*10^-2*(VLOOKUP($IB$9,各项系数!$D$1:$F$143,3,0))*10^-3*10^2*各项系数!$J$4</f>
        <v>0.0338087237014626</v>
      </c>
      <c r="IC148" s="393">
        <v>1</v>
      </c>
      <c r="ID148" s="393">
        <f t="shared" si="531"/>
        <v>0.0338087237014626</v>
      </c>
      <c r="IE148" s="393">
        <f>ID148*(VLOOKUP($IB$9,各项系数!$D$1:$F$143,2,0))</f>
        <v>0.371895960716089</v>
      </c>
      <c r="IF148" s="391"/>
      <c r="IG148" s="406">
        <f t="shared" si="656"/>
        <v>0.00394750337548261</v>
      </c>
      <c r="IH148" s="392">
        <v>1</v>
      </c>
      <c r="II148" s="393">
        <f t="shared" si="532"/>
        <v>0.00394750337548261</v>
      </c>
      <c r="IJ148" s="393">
        <f>II148*(VLOOKUP($IG$8,各项系数!$D$1:$F$143,2,0))</f>
        <v>0.0986875843870652</v>
      </c>
      <c r="IK148" s="406">
        <f>(各项系数!$F$76/4*($MX148^2-$MK148^2)*$EG148)*10^-2*(VLOOKUP($IG$8,各项系数!$D$1:$F$143,3,0))*10^-3*10^2*各项系数!$J$4</f>
        <v>0.00394750337548261</v>
      </c>
      <c r="IL148" s="389">
        <f>IK148*(VLOOKUP($IG$8,各项系数!$D$1:$F$143,2,0))</f>
        <v>0.0986875843870652</v>
      </c>
      <c r="IM148" s="390">
        <f>(各项系数!$F$76/4*(($MM148+3*$X148)^2-MM148^2)*$EO148)*10^-2*(VLOOKUP($IG$8,各项系数!$D$1:$F$143,3,0))*10^-3*10^2*各项系数!$J$4</f>
        <v>0</v>
      </c>
      <c r="IN148" s="389">
        <f>IM148*(VLOOKUP($IG$8,各项系数!$D$1:$F$143,2,0))</f>
        <v>0</v>
      </c>
      <c r="IO148" s="407">
        <f>各项系数!$F$76/4*($MZ148^2-$MX148^2)*10^-2*(VLOOKUP(L148,各项系数!$D$1:$F$143,3,0))*10^-3*10^2*$ES148*各项系数!$J$4</f>
        <v>0.00950322262947684</v>
      </c>
      <c r="IP148" s="392">
        <v>1</v>
      </c>
      <c r="IQ148" s="393">
        <f t="shared" si="533"/>
        <v>0.00950322262947684</v>
      </c>
      <c r="IR148" s="394">
        <f>IQ148*(VLOOKUP(L148,各项系数!$D$1:$F$143,2,0))</f>
        <v>0.109287060238984</v>
      </c>
      <c r="IS148" s="407">
        <f>IF($L148&lt;&gt;$IS$9,0,各项系数!$F$76/4*($MZ148^2-$MX148^2)*10^-2*各项系数!$F$12*10^-3*10^2)*$ES148*各项系数!$J$4</f>
        <v>0</v>
      </c>
      <c r="IT148" s="392">
        <v>1</v>
      </c>
      <c r="IU148" s="393">
        <f t="shared" si="534"/>
        <v>0</v>
      </c>
      <c r="IV148" s="394">
        <f>IU148*各项系数!$E$12</f>
        <v>0</v>
      </c>
      <c r="IW148" s="391">
        <f t="shared" si="535"/>
        <v>0.00950322262947684</v>
      </c>
      <c r="IX148" s="391">
        <f t="shared" si="536"/>
        <v>0.109287060238984</v>
      </c>
      <c r="IY148" s="447">
        <f>各项系数!$F$76/4*($NB148^2-$MZ148^2*$EG148-$NA148^2*$EO148)*10^-2</f>
        <v>0.132391979709046</v>
      </c>
      <c r="IZ148" s="366">
        <f t="shared" si="487"/>
        <v>0.05</v>
      </c>
      <c r="JA148" s="367">
        <f t="shared" si="606"/>
        <v>0.00661959898545229</v>
      </c>
      <c r="JB148" s="368">
        <f>IF($DE148&lt;&gt;$JB$9,0,$JA148*各项系数!$F$32*10^-3*10^2)*各项系数!$J$4</f>
        <v>0</v>
      </c>
      <c r="JC148" s="78">
        <v>1</v>
      </c>
      <c r="JD148" s="74">
        <f t="shared" si="537"/>
        <v>0</v>
      </c>
      <c r="JE148" s="340">
        <f>JD148*各项系数!$E$32</f>
        <v>0</v>
      </c>
      <c r="JF148" s="364">
        <f>IF($DE148&lt;&gt;$JF$9,0,$JA148*VLOOKUP($JF$9,各项系数!$D$4:$F$540,2,0)*10^-3*10^2)*各项系数!$J$4</f>
        <v>0.00329325049526252</v>
      </c>
      <c r="JG148" s="123">
        <v>1</v>
      </c>
      <c r="JH148" s="251">
        <f t="shared" si="607"/>
        <v>0.00329325049526252</v>
      </c>
      <c r="JI148" s="339">
        <f>JH148*VLOOKUP($JF$9,各项系数!$D$4:$F$540,3,0)</f>
        <v>0.00395190059431502</v>
      </c>
      <c r="JJ148" s="368">
        <f t="shared" si="538"/>
        <v>0.00329325049526252</v>
      </c>
      <c r="JK148" s="74">
        <f t="shared" si="539"/>
        <v>0.00395190059431502</v>
      </c>
      <c r="JL148" s="368">
        <f>IF($DF148&lt;&gt;$JL$9,0,各项系数!$F$76/4*($NE148^2-$NC148^2)*10^-2*各项系数!$F$39*10^-3*10^2)*各项系数!$J$4</f>
        <v>0.000627802927256551</v>
      </c>
      <c r="JM148" s="78">
        <v>1</v>
      </c>
      <c r="JN148" s="74">
        <f t="shared" si="540"/>
        <v>0.000627802927256551</v>
      </c>
      <c r="JO148" s="340">
        <f>JN148*各项系数!$E$39</f>
        <v>0.012556058545131</v>
      </c>
      <c r="JP148" s="368">
        <f>IF($DF148&lt;&gt;$JP$9,0,各项系数!$F$76/4*($NE148^2-$NC148^2)*10^-2*各项系数!$F$36*10^-3*10^2)*各项系数!$J$4</f>
        <v>0</v>
      </c>
      <c r="JQ148" s="78">
        <v>1</v>
      </c>
      <c r="JR148" s="74">
        <f t="shared" si="541"/>
        <v>0</v>
      </c>
      <c r="JS148" s="340">
        <f>JR148*各项系数!$E$36</f>
        <v>0</v>
      </c>
      <c r="JT148" s="368">
        <f>IF($DF148&lt;&gt;$JT$9,0,各项系数!$F$76/4*($NE148^2-$NC148^2)*10^-2*各项系数!$F$40*10^-3*10^2)*各项系数!$J$4</f>
        <v>0</v>
      </c>
      <c r="JU148" s="78">
        <v>1</v>
      </c>
      <c r="JV148" s="74">
        <f t="shared" si="542"/>
        <v>0</v>
      </c>
      <c r="JW148" s="340">
        <f>JV148*各项系数!$E$40</f>
        <v>0</v>
      </c>
      <c r="JX148" s="368">
        <f>IF($DF148&lt;&gt;$JX$9,0,各项系数!$F$76/4*($NE148^2-$NC148^2)*10^-2*各项系数!$F$38*10^-3*10^2)*各项系数!$J$4</f>
        <v>0</v>
      </c>
      <c r="JY148" s="78">
        <v>1</v>
      </c>
      <c r="JZ148" s="74">
        <f t="shared" si="543"/>
        <v>0</v>
      </c>
      <c r="KA148" s="340">
        <f>JZ148*各项系数!$E$38</f>
        <v>0</v>
      </c>
      <c r="KB148" s="368">
        <f>IF($DF148&lt;&gt;$KB$9,0,各项系数!$F$76/4*($NE148^2-$NC148^2)*10^-2*各项系数!$F$41*10^-3*10^2)*各项系数!$J$4</f>
        <v>0</v>
      </c>
      <c r="KC148" s="78">
        <v>1</v>
      </c>
      <c r="KD148" s="74">
        <f t="shared" si="544"/>
        <v>0</v>
      </c>
      <c r="KE148" s="340">
        <f>KD148*各项系数!$E$41</f>
        <v>0</v>
      </c>
      <c r="KF148" s="74">
        <f t="shared" si="545"/>
        <v>0.000627802927256551</v>
      </c>
      <c r="KG148" s="74">
        <f t="shared" si="546"/>
        <v>0.012556058545131</v>
      </c>
      <c r="KH148" s="303">
        <f>各项系数!$F$76/4*($NG148^2-$NE148^2)*10^-2*各项系数!$F$44*10^-3*10^2*各项系数!$J$4*0.75*$U148</f>
        <v>0.291830242895091</v>
      </c>
      <c r="KI148" s="78">
        <v>1</v>
      </c>
      <c r="KJ148" s="74">
        <f t="shared" si="547"/>
        <v>0.291830242895091</v>
      </c>
      <c r="KK148" s="74">
        <f>ROUND(KJ148*各项系数!$E$43,GT148)</f>
        <v>1.7</v>
      </c>
      <c r="KL148" s="302">
        <f>各项系数!$F$76/4*($NF148^2-$NE148^2)*10^-2*各项系数!$F$46*10^-3*10^2*各项系数!$J$4*PI()/4*R148</f>
        <v>0.00853816097477932</v>
      </c>
      <c r="KM148" s="78">
        <v>1</v>
      </c>
      <c r="KN148" s="74">
        <f t="shared" si="548"/>
        <v>0.00853816097477932</v>
      </c>
      <c r="KO148" s="74">
        <f>KN148*各项系数!$E$46</f>
        <v>0.576325865797604</v>
      </c>
      <c r="KP148" s="303">
        <f>各项系数!$F$76/4*($NH148^2-$NE148^2)*10^-2*(VLOOKUP($KP$9,各项系数!$D$1:$F$143,3,0))*10^-3*10^2*各项系数!$J$4</f>
        <v>0.0393379208202665</v>
      </c>
      <c r="KQ148" s="78">
        <v>1</v>
      </c>
      <c r="KR148" s="74">
        <f t="shared" si="657"/>
        <v>0.0393379208202665</v>
      </c>
      <c r="KS148" s="74">
        <f>KR148*(VLOOKUP($KP$9,各项系数!$D$1:$F$143,2,0))</f>
        <v>0.66874465394453</v>
      </c>
      <c r="KT148" s="303">
        <f>各项系数!$F$76/4*($NI148^2-$NF148^2)*10^-2*(VLOOKUP($KT$9,各项系数!$D$1:$F$143,3,0))*10^-3*10^2*各项系数!$J$4</f>
        <v>0.0402081671180521</v>
      </c>
      <c r="KU148" s="78">
        <v>1</v>
      </c>
      <c r="KV148" s="74">
        <f t="shared" si="658"/>
        <v>0.0402081671180521</v>
      </c>
      <c r="KW148" s="74">
        <f>KV148*(VLOOKUP($KT$9,各项系数!$D$1:$F$143,2,0))</f>
        <v>0.683538841006885</v>
      </c>
      <c r="KX148" s="74">
        <f>各项系数!$F$76/4*($NH148^2-$NE148^2)*10^-2*(VLOOKUP($KX$9,各项系数!$D$1:$F$143,3,0))*10^-3*10^2*各项系数!$J$4</f>
        <v>0.0393379208202665</v>
      </c>
      <c r="KY148" s="480">
        <v>1</v>
      </c>
      <c r="KZ148" s="74">
        <f t="shared" si="659"/>
        <v>0.0393379208202665</v>
      </c>
      <c r="LA148" s="74">
        <f>KZ148*(VLOOKUP($KX$9,各项系数!$D$1:$F$143,2,0))</f>
        <v>0.66874465394453</v>
      </c>
      <c r="LB148" s="74">
        <f>各项系数!$F$76/4*($NI148^2-$NF148^2)*10^-2*(VLOOKUP($LB$9,各项系数!$D$1:$F$143,3,0))*10^-3*10^2*各项系数!$J$4</f>
        <v>0.0402081671180521</v>
      </c>
      <c r="LC148" s="480">
        <v>1</v>
      </c>
      <c r="LD148" s="74">
        <f t="shared" si="660"/>
        <v>0.0402081671180521</v>
      </c>
      <c r="LE148" s="74">
        <f>LD148*(VLOOKUP($LB$9,各项系数!$D$1:$F$143,2,0))</f>
        <v>0.683538841006885</v>
      </c>
      <c r="LF148" s="303">
        <f>各项系数!$F$76/4*($NH148^2-$NE148^2)*10^-2*(VLOOKUP(AN148,各项系数!$D$1:$F$143,3,0))*10^-3*10^2*各项系数!$J$4</f>
        <v>0.0398805128315805</v>
      </c>
      <c r="LG148" s="78">
        <v>1</v>
      </c>
      <c r="LH148" s="74">
        <f t="shared" si="549"/>
        <v>0.0398805128315805</v>
      </c>
      <c r="LI148" s="74">
        <f>LH148*(VLOOKUP(AN148,各项系数!$D$1:$F$143,2,0))</f>
        <v>0.398805128315805</v>
      </c>
      <c r="LJ148" s="303">
        <f>各项系数!$F$76/4*($NI148^2-$NF148^2)*10^-2*(VLOOKUP(AN148,各项系数!$D$1:$F$143,3,0))*10^-3*10^2*各项系数!$J$4</f>
        <v>0.0407627625265769</v>
      </c>
      <c r="LK148" s="78">
        <v>1</v>
      </c>
      <c r="LL148" s="74">
        <f t="shared" si="550"/>
        <v>0.0407627625265769</v>
      </c>
      <c r="LM148" s="74">
        <f>LL148*(VLOOKUP(AN148,各项系数!$D$1:$F$143,2,0))</f>
        <v>0.407627625265769</v>
      </c>
      <c r="LN148" s="74">
        <f>各项系数!$F$76/4*($NH148^2-$NE148^2)*10^-2*(VLOOKUP($LN$9,各项系数!$D$1:$F$143,3,0))*10^-3*10^2*各项系数!$J$4</f>
        <v>0.0398805128315805</v>
      </c>
      <c r="LO148" s="480">
        <v>1</v>
      </c>
      <c r="LP148" s="74">
        <f t="shared" si="551"/>
        <v>0.0398805128315805</v>
      </c>
      <c r="LQ148" s="74">
        <f>LP148*(VLOOKUP($LN$9,各项系数!$D$1:$F$143,2,0))</f>
        <v>0.438685641147386</v>
      </c>
      <c r="LR148" s="74">
        <f>各项系数!$F$76/4*($NI148^2-$NF148^2)*10^-2*(VLOOKUP($LR$9,各项系数!$D$1:$F$143,3,0))*10^-3*10^2*各项系数!$J$4</f>
        <v>0.0407627625265769</v>
      </c>
      <c r="LS148" s="480">
        <v>1</v>
      </c>
      <c r="LT148" s="74">
        <f t="shared" si="552"/>
        <v>0.0407627625265769</v>
      </c>
      <c r="LU148" s="74">
        <f>LT148*(VLOOKUP($LR$9,各项系数!$D$1:$F$143,2,0))</f>
        <v>0.448390387792346</v>
      </c>
      <c r="LV148" s="499">
        <f t="shared" si="661"/>
        <v>1.91159775</v>
      </c>
      <c r="LW148" s="499">
        <f t="shared" si="662"/>
        <v>1.91159775</v>
      </c>
      <c r="LX148" s="499">
        <f t="shared" si="663"/>
        <v>1.56010315329685</v>
      </c>
      <c r="LY148" s="515">
        <f t="shared" si="664"/>
        <v>0</v>
      </c>
      <c r="LZ148" s="516">
        <f t="shared" si="608"/>
        <v>1</v>
      </c>
      <c r="MA148" s="517">
        <f t="shared" si="609"/>
        <v>1.91159775</v>
      </c>
      <c r="MB148" s="517">
        <f t="shared" si="665"/>
        <v>1.10315952</v>
      </c>
      <c r="MC148" s="499">
        <f t="shared" si="666"/>
        <v>0</v>
      </c>
      <c r="MD148" s="499">
        <f t="shared" si="667"/>
        <v>0</v>
      </c>
      <c r="ME148" s="499">
        <f t="shared" si="668"/>
        <v>0</v>
      </c>
      <c r="MF148" s="499">
        <f t="shared" si="669"/>
        <v>0</v>
      </c>
      <c r="MG148" s="516">
        <f t="shared" si="670"/>
        <v>1</v>
      </c>
      <c r="MH148" s="517">
        <f t="shared" si="610"/>
        <v>0</v>
      </c>
      <c r="MI148" s="517">
        <f t="shared" si="671"/>
        <v>0</v>
      </c>
      <c r="MJ148" s="251">
        <f t="shared" si="611"/>
        <v>1.10315952</v>
      </c>
      <c r="MK148" s="251">
        <f t="shared" si="672"/>
        <v>1.10315952</v>
      </c>
      <c r="ML148" s="74">
        <f t="shared" si="553"/>
        <v>0</v>
      </c>
      <c r="MM148" s="251">
        <f t="shared" si="612"/>
        <v>0</v>
      </c>
      <c r="MN148" s="74">
        <f t="shared" si="613"/>
        <v>2.30315952</v>
      </c>
      <c r="MO148" s="251">
        <f t="shared" si="673"/>
        <v>0</v>
      </c>
      <c r="MP148" s="251">
        <f t="shared" si="674"/>
        <v>4.60631904</v>
      </c>
      <c r="MQ148" s="74">
        <f t="shared" si="554"/>
        <v>4.60631904</v>
      </c>
      <c r="MR148" s="314">
        <f t="shared" si="675"/>
        <v>4.59536601</v>
      </c>
      <c r="MS148" s="530">
        <f t="shared" si="614"/>
        <v>4.77136601</v>
      </c>
      <c r="MT148" s="531">
        <f t="shared" si="615"/>
        <v>4.93136601</v>
      </c>
      <c r="MU148" s="531">
        <f t="shared" si="616"/>
        <v>5.97136601</v>
      </c>
      <c r="MV148" s="531">
        <f t="shared" si="617"/>
        <v>7.17136601</v>
      </c>
      <c r="MW148" s="531">
        <f t="shared" si="618"/>
        <v>7.33136601</v>
      </c>
      <c r="MX148" s="313">
        <f t="shared" si="619"/>
        <v>1.70315952</v>
      </c>
      <c r="MY148" s="313">
        <f t="shared" si="620"/>
        <v>0</v>
      </c>
      <c r="MZ148" s="74">
        <f t="shared" si="621"/>
        <v>2.90315952</v>
      </c>
      <c r="NA148" s="74">
        <f t="shared" si="622"/>
        <v>0</v>
      </c>
      <c r="NB148" s="251">
        <f t="shared" si="676"/>
        <v>5.80631904</v>
      </c>
      <c r="NC148" s="313">
        <f t="shared" si="555"/>
        <v>5.80631904</v>
      </c>
      <c r="ND148" s="314">
        <f t="shared" si="677"/>
        <v>5.79251262</v>
      </c>
      <c r="NE148" s="537">
        <f t="shared" si="678"/>
        <v>6.03251262</v>
      </c>
      <c r="NF148" s="531">
        <f t="shared" si="623"/>
        <v>6.19251262</v>
      </c>
      <c r="NG148" s="168">
        <f t="shared" si="624"/>
        <v>7.23251262</v>
      </c>
      <c r="NH148" s="313">
        <f t="shared" si="625"/>
        <v>8.43251262</v>
      </c>
      <c r="NI148" s="531">
        <f t="shared" si="626"/>
        <v>8.59251262</v>
      </c>
      <c r="NK148" s="28">
        <f t="shared" si="627"/>
        <v>0.0585580044794763</v>
      </c>
      <c r="NL148" s="28">
        <f t="shared" si="628"/>
        <v>1.53456869512442</v>
      </c>
      <c r="NM148" s="28">
        <f t="shared" si="629"/>
        <v>0.0585580044794763</v>
      </c>
      <c r="NN148" s="28">
        <f t="shared" si="630"/>
        <v>1.56749516913089</v>
      </c>
      <c r="NO148" s="28">
        <f t="shared" si="631"/>
        <v>0.0741614256463264</v>
      </c>
      <c r="NP148" s="28">
        <f t="shared" si="632"/>
        <v>1.73083596894731</v>
      </c>
      <c r="NQ148" s="28">
        <f t="shared" si="633"/>
        <v>0.0741614256463264</v>
      </c>
      <c r="NR148" s="28">
        <f t="shared" si="634"/>
        <v>1.77071648177889</v>
      </c>
      <c r="NS148" s="28">
        <f t="shared" si="635"/>
        <v>0.0653345539143882</v>
      </c>
      <c r="NT148" s="28">
        <f t="shared" si="636"/>
        <v>0.0653345539143882</v>
      </c>
      <c r="NU148" s="28">
        <f t="shared" si="637"/>
        <v>0.0826995866211057</v>
      </c>
      <c r="NV148" s="28">
        <f t="shared" si="638"/>
        <v>0.0826995866211057</v>
      </c>
      <c r="NW148" s="13">
        <f t="shared" si="639"/>
        <v>0.1373379549641</v>
      </c>
      <c r="NX148" s="13">
        <f>各项系数!$M$9*NK148</f>
        <v>0.0175674013438429</v>
      </c>
      <c r="NY148" s="13">
        <f t="shared" si="640"/>
        <v>0.0653345539143882</v>
      </c>
    </row>
    <row r="149" customHeight="1" spans="1:389">
      <c r="A149" s="85"/>
      <c r="B149" s="86"/>
      <c r="C149" s="218"/>
      <c r="D149" s="123" t="s">
        <v>133</v>
      </c>
      <c r="E149" s="557">
        <f t="shared" si="687"/>
        <v>7.55082456</v>
      </c>
      <c r="F149" s="558">
        <f t="shared" ref="F149:F164" si="693">$F$15</f>
        <v>110.31595161029</v>
      </c>
      <c r="G149" s="23"/>
      <c r="H149" s="23"/>
      <c r="I149" s="174">
        <v>0</v>
      </c>
      <c r="J149" s="23"/>
      <c r="K149" s="23"/>
      <c r="L149" s="118" t="s">
        <v>469</v>
      </c>
      <c r="M149" s="124">
        <f t="shared" si="582"/>
        <v>0.6</v>
      </c>
      <c r="N149" s="124">
        <f t="shared" si="583"/>
        <v>0</v>
      </c>
      <c r="O149" s="69">
        <f t="shared" si="688"/>
        <v>0.08</v>
      </c>
      <c r="P149" s="120">
        <v>0.1</v>
      </c>
      <c r="Q149" s="162">
        <f t="shared" si="685"/>
        <v>0.1</v>
      </c>
      <c r="R149" s="560">
        <v>0.8</v>
      </c>
      <c r="S149" s="171" t="str">
        <f>各项系数!$D$43</f>
        <v>钢带</v>
      </c>
      <c r="T149" s="123">
        <v>0.2</v>
      </c>
      <c r="U149" s="78">
        <v>4</v>
      </c>
      <c r="V149" s="172"/>
      <c r="W149" s="170">
        <f t="shared" ref="W149:W154" si="694">$W$148</f>
        <v>1.2</v>
      </c>
      <c r="X149" s="164">
        <f t="shared" si="686"/>
        <v>0.2</v>
      </c>
      <c r="Y149" s="219"/>
      <c r="Z149" s="220"/>
      <c r="AA149" s="217">
        <v>1</v>
      </c>
      <c r="AB149" s="186">
        <f>PI()*EJ149*EJ149/4*EH149*(1-H149)*AA149*各项系数!$F$5*各项系数!$J$4*10^-7</f>
        <v>0.0084545666936337</v>
      </c>
      <c r="AC149" s="186">
        <f t="shared" si="573"/>
        <v>110.31595161029</v>
      </c>
      <c r="AD149" s="186">
        <f t="shared" si="584"/>
        <v>0.955798869898841</v>
      </c>
      <c r="AE149" s="186">
        <f>POWER(4*EU149/PI()/EG149/10^-7/EH149/(1-H149)/各项系数!$F$5/各项系数!$J$4,0.5)</f>
        <v>110.31595161029</v>
      </c>
      <c r="AF149" s="218">
        <v>1</v>
      </c>
      <c r="AG149" s="85">
        <f>IF(EM149=0,0,PI()*ER149*ER149/4*EP149*(1-K149)*(1+AF149)*各项系数!$F$5*各项系数!$J$4*10^-7)</f>
        <v>0</v>
      </c>
      <c r="AH149" s="85">
        <f t="shared" si="574"/>
        <v>0</v>
      </c>
      <c r="AI149" s="85">
        <f t="shared" si="641"/>
        <v>0</v>
      </c>
      <c r="AJ149" s="85">
        <f>IF(OR(EP149="",EP149=0),0,POWER(4*EW149/PI()/EO149/10^-7/EP149/(1-K149)/各项系数!$F$5/各项系数!$J$4,0.5))</f>
        <v>0</v>
      </c>
      <c r="AK149" s="85" t="str">
        <f t="shared" si="585"/>
        <v>√</v>
      </c>
      <c r="AL149" s="85">
        <f t="shared" si="575"/>
        <v>2.40174032861835</v>
      </c>
      <c r="AM149" s="250">
        <f t="shared" si="576"/>
        <v>1</v>
      </c>
      <c r="AN149" s="118" t="s">
        <v>486</v>
      </c>
      <c r="AO149" s="259">
        <f>AP149+各项系数!$M$9*$NK149</f>
        <v>2.35464738099839</v>
      </c>
      <c r="AP149" s="259">
        <f>AQ149*(1+$BI149+(VLOOKUP($AM149,$A$12:$B$323,2,0))+各项系数!$J$6+各项系数!$M$5)*(1+$E$2)</f>
        <v>2.33047099639787</v>
      </c>
      <c r="AQ149" s="260">
        <f>AR149+各项系数!$L$9*$NK149</f>
        <v>2.28656887401675</v>
      </c>
      <c r="AR149" s="260">
        <f>AS149*(1+$BJ149+各项系数!$J$5+各项系数!$L$5)</f>
        <v>2.26239248941623</v>
      </c>
      <c r="AS149" s="260">
        <f t="shared" si="642"/>
        <v>2.17537739366946</v>
      </c>
      <c r="AT149" s="259">
        <f>AU149+各项系数!$M$9*$NM149</f>
        <v>2.60589395599408</v>
      </c>
      <c r="AU149" s="259">
        <f>AV149*(1+$BI149+(VLOOKUP($AM149,$A$12:$B$323,2,0))+各项系数!$J$6+各项系数!$M$5)*(1+$E$2)</f>
        <v>2.58171757139356</v>
      </c>
      <c r="AV149" s="260">
        <f>AW149+各项系数!$L$9*$NM149</f>
        <v>2.53308238951488</v>
      </c>
      <c r="AW149" s="260">
        <f>AX149*(1+$BJ149+各项系数!$J$5+各项系数!$L$5)</f>
        <v>2.50890600491436</v>
      </c>
      <c r="AX149" s="260">
        <f t="shared" si="643"/>
        <v>2.41240962010996</v>
      </c>
      <c r="AY149" s="259">
        <f>AZ149+各项系数!$M$9*$NS149</f>
        <v>2.89119570043458</v>
      </c>
      <c r="AZ149" s="259">
        <f>BA149*(1+$BI149+(VLOOKUP($AM149,$A$12:$B$214,2,0))+各项系数!$J$6+各项系数!$M$5)*(1+$E$2)</f>
        <v>2.86482733890572</v>
      </c>
      <c r="BA149" s="260">
        <f>BB149+各项系数!$L$9*$NS149</f>
        <v>2.81085884900483</v>
      </c>
      <c r="BB149" s="260">
        <f>BC149*(1+$BJ149+各项系数!$J$5+各项系数!$L$5)</f>
        <v>2.78449048747597</v>
      </c>
      <c r="BC149" s="262">
        <f t="shared" si="644"/>
        <v>2.67739469949613</v>
      </c>
      <c r="BD149" s="259">
        <f>BE149+各项系数!$M$9*$NS149</f>
        <v>3.14877207585532</v>
      </c>
      <c r="BE149" s="259">
        <f>BF149*(1+$BI149+(VLOOKUP($AM149,$A$12:$B$214,2,0))+各项系数!$J$6+各项系数!$M$5)*(1+$E$2)</f>
        <v>3.12240371432646</v>
      </c>
      <c r="BF149" s="260">
        <f>BG149+各项系数!$L$9*$NS149</f>
        <v>3.06358292221984</v>
      </c>
      <c r="BG149" s="260">
        <f>BH149*(1+$BJ149+各项系数!$J$5+各项系数!$L$5)</f>
        <v>3.03721456069099</v>
      </c>
      <c r="BH149" s="262">
        <f t="shared" si="645"/>
        <v>2.92039861604903</v>
      </c>
      <c r="BI149" s="277"/>
      <c r="BJ149" s="272">
        <f t="shared" ref="BJ149:BJ164" si="695">$BJ$148</f>
        <v>0.02</v>
      </c>
      <c r="BK149" s="123" t="s">
        <v>514</v>
      </c>
      <c r="BL149" s="259">
        <f>BM149+各项系数!$M$9*$NM149</f>
        <v>2.41429458005275</v>
      </c>
      <c r="BM149" s="259">
        <f>BN149*(1+$CF149+(VLOOKUP($AM149,$A$12:$B$323,2,0))+各项系数!$J$6+各项系数!$M$5)*(1+$E$2)</f>
        <v>2.39011819545223</v>
      </c>
      <c r="BN149" s="260">
        <f>BO149+各项系数!$L$9*$NM149</f>
        <v>2.34509242096962</v>
      </c>
      <c r="BO149" s="260">
        <f>BP149*(1+$CG149+各项系数!$J$5+各项系数!$L$5)</f>
        <v>2.3209160363691</v>
      </c>
      <c r="BP149" s="260">
        <f t="shared" si="646"/>
        <v>2.21039622511343</v>
      </c>
      <c r="BQ149" s="259">
        <f>BR149+各项系数!$M$9*$NM149</f>
        <v>2.63048123484224</v>
      </c>
      <c r="BR149" s="259">
        <f>BS149*(1+$CF149+(VLOOKUP($AM149,$A$12:$B$323,2,0))+各项系数!$J$6+各项系数!$M$5)*(1+$E$2)</f>
        <v>2.60630485024172</v>
      </c>
      <c r="BS149" s="260">
        <f>BT149+各项系数!$L$9*$NM149</f>
        <v>2.55720648571598</v>
      </c>
      <c r="BT149" s="260">
        <f>BU149*(1+$CG149+各项系数!$J$5+各项系数!$L$5)</f>
        <v>2.53303010111546</v>
      </c>
      <c r="BU149" s="260">
        <f t="shared" si="647"/>
        <v>2.41240962010996</v>
      </c>
      <c r="BV149" s="259">
        <f>BW149+各项系数!$M$9*$NT149</f>
        <v>2.93845103462887</v>
      </c>
      <c r="BW149" s="259">
        <f>BX149*(1+$CF149+(VLOOKUP($AM149,$A$12:$B$214,2,0))+各项系数!$J$6+各项系数!$M$5)*(1+$E$2)</f>
        <v>2.91208267310001</v>
      </c>
      <c r="BX149" s="260">
        <f>BY149+各项系数!$L$9*$NT$12</f>
        <v>2.85722397282183</v>
      </c>
      <c r="BY149" s="260">
        <f>BZ149*(1+$CG149+各项系数!$J$5+各项系数!$L$5)</f>
        <v>2.84896056966686</v>
      </c>
      <c r="BZ149" s="262">
        <f t="shared" si="586"/>
        <v>2.7132957806351</v>
      </c>
      <c r="CA149" s="259">
        <f>CB149+各项系数!$M$9*$NT149</f>
        <v>3.16008420497543</v>
      </c>
      <c r="CB149" s="259">
        <f>CC149*(1+$CF149+(VLOOKUP($AM149,$A$12:$B$214,2,0))+各项系数!$J$6+各项系数!$M$5)*(1+$E$2)</f>
        <v>3.13371584344658</v>
      </c>
      <c r="CC149" s="260">
        <f>CD149+各项系数!$L$9*$NT$12</f>
        <v>3.07468195000645</v>
      </c>
      <c r="CD149" s="260">
        <f>CE149*(1+$CG149+各项系数!$J$5+各项系数!$L$5)</f>
        <v>3.06641854685148</v>
      </c>
      <c r="CE149" s="262">
        <f t="shared" si="648"/>
        <v>2.92039861604903</v>
      </c>
      <c r="CF149" s="277">
        <f t="shared" si="514"/>
        <v>0</v>
      </c>
      <c r="CG149" s="277">
        <f t="shared" si="587"/>
        <v>0.03</v>
      </c>
      <c r="CH149" s="123"/>
      <c r="CI149" s="259">
        <f>CJ149+各项系数!$M$9*$NO149</f>
        <v>2.73849230000023</v>
      </c>
      <c r="CJ149" s="259">
        <f>CK149*(1+$DC149+(VLOOKUP($AM149,$A$12:$B$323,2,0))+各项系数!$J$6+各项系数!$M$5)*(1+$E$2)+各项系数!$M$9*$NK149</f>
        <v>2.69540351169959</v>
      </c>
      <c r="CK149" s="260">
        <f>CL149+各项系数!$L$9*$NO149</f>
        <v>2.62090573694964</v>
      </c>
      <c r="CL149" s="260">
        <f>CM149*(1+$DD149+各项系数!$J$5+各项系数!$L$5)</f>
        <v>2.57781694864899</v>
      </c>
      <c r="CM149" s="260">
        <f t="shared" si="588"/>
        <v>2.47867014293172</v>
      </c>
      <c r="CN149" s="259">
        <f>CO149+各项系数!$M$9*$NO149</f>
        <v>2.91025057719591</v>
      </c>
      <c r="CO149" s="259">
        <f>CP149*(1+$DC149+(VLOOKUP($AM149,$A$12:$B$323,2,0))+各项系数!$J$6+各项系数!$M$5)*(1+$E$2)+各项系数!$M$9*$NK149</f>
        <v>2.86716178889527</v>
      </c>
      <c r="CP149" s="260">
        <f>CQ149+各项系数!$L$9*$NO149</f>
        <v>2.78942837941008</v>
      </c>
      <c r="CQ149" s="260">
        <f>CR149*(1+$DD149+各项系数!$J$5+各项系数!$L$5)</f>
        <v>2.74633959110943</v>
      </c>
      <c r="CR149" s="260">
        <f t="shared" si="589"/>
        <v>2.64071114529753</v>
      </c>
      <c r="CS149" s="259">
        <f>CT149+各项系数!$M$9*$NU149</f>
        <v>3.38793394125811</v>
      </c>
      <c r="CT149" s="259">
        <f t="shared" si="590"/>
        <v>3.34208326805604</v>
      </c>
      <c r="CU149" s="260">
        <f>CV149+各项系数!$L$9*$NU149</f>
        <v>3.27912408561228</v>
      </c>
      <c r="CV149" s="260">
        <f>CW149*(1+$DD149+各项系数!$J$5+各项系数!$L$5)</f>
        <v>3.23327341241021</v>
      </c>
      <c r="CW149" s="262">
        <f t="shared" si="591"/>
        <v>3.10891674270213</v>
      </c>
      <c r="CX149" s="259">
        <f>CY149+各项系数!$M$9*$NU149</f>
        <v>3.69931362029178</v>
      </c>
      <c r="CY149" s="259">
        <f t="shared" si="592"/>
        <v>3.65346294708971</v>
      </c>
      <c r="CZ149" s="260">
        <f>DA149+各项系数!$L$9*$NU149</f>
        <v>3.58463789942083</v>
      </c>
      <c r="DA149" s="260">
        <f>DB149*(1+$DD149+各项系数!$J$5+各项系数!$L$5)</f>
        <v>3.53878722621876</v>
      </c>
      <c r="DB149" s="262">
        <f t="shared" si="593"/>
        <v>3.40268002521035</v>
      </c>
      <c r="DC149" s="277">
        <f t="shared" si="571"/>
        <v>0</v>
      </c>
      <c r="DD149" s="277">
        <f t="shared" si="594"/>
        <v>0.02</v>
      </c>
      <c r="DE149" s="69" t="s">
        <v>498</v>
      </c>
      <c r="DF149" s="69" t="s">
        <v>513</v>
      </c>
      <c r="DG149" s="259">
        <f>DH149+各项系数!$M$9*$NQ149</f>
        <v>2.80925591959065</v>
      </c>
      <c r="DH149" s="259">
        <f>DI149*(1+$EA149+(VLOOKUP($AM149,$A$12:$B$323,2,0))+各项系数!$J$6+各项系数!$M$5)*(1+$E$2)+各项系数!$M$9*$NK149</f>
        <v>2.76616713129001</v>
      </c>
      <c r="DI149" s="260">
        <f>DJ149+各项系数!$L$9*$NQ149</f>
        <v>2.69033628992297</v>
      </c>
      <c r="DJ149" s="260">
        <f>DK149*(1+$EB149+各项系数!$J$5+各项系数!$L$5)</f>
        <v>2.64724750162233</v>
      </c>
      <c r="DK149" s="260">
        <f t="shared" si="595"/>
        <v>2.52118809678317</v>
      </c>
      <c r="DL149" s="259">
        <f>DM149+各项系数!$M$9*$NQ149</f>
        <v>3.07173795661531</v>
      </c>
      <c r="DM149" s="259">
        <f>DN149*(1+$EA149+(VLOOKUP($AM149,$A$12:$B$323,2,0))+各项系数!$J$6+各项系数!$M$5)*(1+$E$2)+各项系数!$M$9*$NK149</f>
        <v>3.02864916831467</v>
      </c>
      <c r="DN149" s="260">
        <f>DO149+各项系数!$L$9*$NQ149</f>
        <v>2.94787361039458</v>
      </c>
      <c r="DO149" s="260">
        <f>DP149*(1+$EB149+各项系数!$J$5+各项系数!$L$5)</f>
        <v>2.90478482209393</v>
      </c>
      <c r="DP149" s="260">
        <f t="shared" si="596"/>
        <v>2.76646173532755</v>
      </c>
      <c r="DQ149" s="259">
        <f>DR149+各项系数!$M$9*$NV149</f>
        <v>3.46606518252699</v>
      </c>
      <c r="DR149" s="259">
        <f t="shared" si="597"/>
        <v>3.42021450932492</v>
      </c>
      <c r="DS149" s="260">
        <f>DT149+各项系数!$L$9*$NV149</f>
        <v>3.35578346676307</v>
      </c>
      <c r="DT149" s="260">
        <f>DU149*(1+$EB149+各项系数!$J$5+各项系数!$L$5)</f>
        <v>3.309932793561</v>
      </c>
      <c r="DU149" s="262">
        <f t="shared" si="598"/>
        <v>3.15231694624857</v>
      </c>
      <c r="DV149" s="259">
        <f>DW149+各项系数!$M$9*$NV149</f>
        <v>3.5585617745307</v>
      </c>
      <c r="DW149" s="259">
        <f t="shared" si="599"/>
        <v>3.51271110132863</v>
      </c>
      <c r="DX149" s="260">
        <f>DY149+各项系数!$L$9*$NV149</f>
        <v>3.44653757979654</v>
      </c>
      <c r="DY149" s="260">
        <f>DZ149*(1+$EB149+各项系数!$J$5+各项系数!$L$5)</f>
        <v>3.40068690659447</v>
      </c>
      <c r="DZ149" s="262">
        <f t="shared" si="600"/>
        <v>3.23874943485187</v>
      </c>
      <c r="EA149" s="277">
        <f t="shared" si="581"/>
        <v>0</v>
      </c>
      <c r="EB149" s="277">
        <f t="shared" si="601"/>
        <v>0.03</v>
      </c>
      <c r="EC149" s="302">
        <f t="shared" si="649"/>
        <v>3</v>
      </c>
      <c r="ED149" s="302" t="str">
        <f t="shared" si="680"/>
        <v>3*1</v>
      </c>
      <c r="EE149" s="251">
        <f t="shared" si="495"/>
        <v>1</v>
      </c>
      <c r="EF149" s="251">
        <f>LOOKUP(EH149,{1,7,10,14,19,24,30,37,48,61},{1,"1+6","2+8","4+10","1+6+12","2+8+14","4+10+16","1+6+12+18","3+9+15+21","1+6+12+18+24"})</f>
        <v>1</v>
      </c>
      <c r="EG149" s="250">
        <f t="shared" si="602"/>
        <v>3</v>
      </c>
      <c r="EH149" s="260">
        <f>VLOOKUP(EE149,各项系数!$B$87:$C$124,2,0)</f>
        <v>1</v>
      </c>
      <c r="EI149" s="250">
        <f>IF(EH149=0,0,VLOOKUP(EH149,各项系数!$D$142:$E$195,2,0))*1</f>
        <v>1</v>
      </c>
      <c r="EJ149" s="305">
        <f t="shared" si="650"/>
        <v>110.31595161029</v>
      </c>
      <c r="EK149" s="251">
        <f t="shared" si="689"/>
        <v>0</v>
      </c>
      <c r="EL149" s="251">
        <f t="shared" si="603"/>
        <v>0</v>
      </c>
      <c r="EM149" s="251">
        <f t="shared" si="690"/>
        <v>0</v>
      </c>
      <c r="EN149" s="251">
        <f>IF(EP149=0,0,LOOKUP(EP149,{1,7,10,14,19,24,30,37,48,61},{1,"1+6","2+8","4+10","1+6+12","2+8+14","4+10+16","1+6+12+18","3+9+15+21","1+6+12+18+24"}))</f>
        <v>0</v>
      </c>
      <c r="EO149" s="251">
        <f t="shared" si="691"/>
        <v>0</v>
      </c>
      <c r="EP149" s="251">
        <f>IF(EM149=0,0,IF(EM149&lt;10,1,IF(AND(EM149&gt;=10,EM149&lt;=35),7,LOOKUP(EM149,{50,70,95,120,150,185,240,300},{10,14,19,24,30,37,48,61})*1)))</f>
        <v>0</v>
      </c>
      <c r="EQ149" s="251">
        <f>IF(EP149=0,0,VLOOKUP(EP149,各项系数!$D$142:$E$195,2,0))*1</f>
        <v>0</v>
      </c>
      <c r="ER149" s="95">
        <f t="shared" si="577"/>
        <v>0</v>
      </c>
      <c r="ES149" s="566">
        <f t="shared" si="692"/>
        <v>3</v>
      </c>
      <c r="ET149" s="251">
        <f>VLOOKUP(ES149,各项系数!$D$142:$E$195,2,0)*1</f>
        <v>2.16</v>
      </c>
      <c r="EU149" s="311">
        <f>((各项系数!$F$76/4*$EJ149^2*$EG149*$EH149*1*10^-7)*(1-$H149)*AA149)*(VLOOKUP($EY$9,各项系数!$D$4:$F$143,3,0))*各项系数!$J$4</f>
        <v>0.0253637000809011</v>
      </c>
      <c r="EV149" s="312">
        <f>EU149*(VLOOKUP($EY$9,各项系数!$D$4:$F$143,2,0))</f>
        <v>1.66132235529902</v>
      </c>
      <c r="EW149" s="324">
        <f>(IF($EO149=0,0,(各项系数!$F$76/4*$ER149^2*$EO149*$EP149*1*10^-7))*(1-$K149)*$AF149)*(VLOOKUP($EY$9,各项系数!$D$4:$F$143,3,0))*各项系数!$J$4</f>
        <v>0</v>
      </c>
      <c r="EX149" s="325">
        <f>EW149*(VLOOKUP($EY$9,各项系数!$D$4:$F$143,2,0))</f>
        <v>0</v>
      </c>
      <c r="EY149" s="251">
        <f>((各项系数!$F$76/4*$EJ149^2*$EG149*$EH149*1*10^-7)*(1-$H149)*AA149+IF($EO149=0,0,(各项系数!$F$76/4*$ER149^2*$EO149*$EP149*1*10^-7))*(1-$K149)*$AF149)*(VLOOKUP($EY$9,各项系数!$D$4:$F$143,3,0))*各项系数!$J$4</f>
        <v>0.0253637000809011</v>
      </c>
      <c r="EZ149" s="123">
        <v>1</v>
      </c>
      <c r="FA149" s="251">
        <f t="shared" si="515"/>
        <v>0.0253637000809011</v>
      </c>
      <c r="FB149" s="326">
        <f>FA149*(VLOOKUP($EY$9,各项系数!$D$4:$F$143,2,0))</f>
        <v>1.66132235529902</v>
      </c>
      <c r="FC149" s="327"/>
      <c r="FD149" s="302">
        <f>各项系数!$F$76/4*($MN149^2-MK149^2)*10^-2*(VLOOKUP(L149,各项系数!$D$1:$F$143,3,0))*10^-3*10^2*$EG149*各项系数!$J$4</f>
        <v>0.0105412829321129</v>
      </c>
      <c r="FE149" s="339">
        <f>FD149*VLOOKUP(L149,各项系数!$D$1:$F$143,2,0)</f>
        <v>0.121224753719298</v>
      </c>
      <c r="FF149" s="250">
        <f>各项系数!$F$76/4*($MO149^2-ML149^2)*10^-2*(VLOOKUP(L149,各项系数!$D$1:$F$143,3,0))*10^-3*10^2*$EO149*各项系数!$J$4</f>
        <v>0</v>
      </c>
      <c r="FG149" s="339">
        <f>FF149*VLOOKUP(L149,各项系数!$D$1:$F$143,2,0)</f>
        <v>0</v>
      </c>
      <c r="FH149" s="302">
        <f t="shared" si="651"/>
        <v>0.0105412829321129</v>
      </c>
      <c r="FI149" s="123">
        <v>1</v>
      </c>
      <c r="FJ149" s="251">
        <f t="shared" si="516"/>
        <v>0.0105412829321129</v>
      </c>
      <c r="FK149" s="339">
        <f>FJ149*VLOOKUP(L149,各项系数!$D$1:$F$143,2,0)</f>
        <v>0.121224753719298</v>
      </c>
      <c r="FL149" s="302"/>
      <c r="FM149" s="123"/>
      <c r="FN149" s="251"/>
      <c r="FO149" s="339"/>
      <c r="FP149" s="364">
        <f t="shared" si="517"/>
        <v>0.0105412829321129</v>
      </c>
      <c r="FQ149" s="364">
        <f t="shared" si="518"/>
        <v>0.121224753719298</v>
      </c>
      <c r="FR149" s="365">
        <f>各项系数!$F$76/4*($MQ149^2-$MN149^2*$EG149-$MO149^2*$EO149)*10^-2</f>
        <v>0.0693918761446972</v>
      </c>
      <c r="FS149" s="366">
        <f t="shared" si="652"/>
        <v>1</v>
      </c>
      <c r="FT149" s="367">
        <f t="shared" si="604"/>
        <v>0.0693918761446972</v>
      </c>
      <c r="FU149" s="388">
        <f>$FT149*(VLOOKUP($FT$9,各项系数!$D$1:$F$143,3,0))*10^-3*10^2*各项系数!$J$55</f>
        <v>0.00828539001167685</v>
      </c>
      <c r="FV149" s="389">
        <v>1</v>
      </c>
      <c r="FW149" s="390">
        <f t="shared" si="519"/>
        <v>0.00828539001167685</v>
      </c>
      <c r="FX149" s="367">
        <f>FW149*(VLOOKUP($FT$9,各项系数!$D$1:$F$143,2,0))</f>
        <v>0.0248561700350305</v>
      </c>
      <c r="FY149" s="388">
        <f>IF($BK149&lt;&gt;$FY$9,0,各项系数!$F$76/4*($MS149^2-$MQ149^2)*10^-2*(VLOOKUP($FY$9,各项系数!$D$1:$F$143,3,0))*10^-3*10^2)*各项系数!$J$4</f>
        <v>0</v>
      </c>
      <c r="FZ149" s="389">
        <v>1</v>
      </c>
      <c r="GA149" s="390">
        <f t="shared" si="520"/>
        <v>0</v>
      </c>
      <c r="GB149" s="367">
        <f>GA149*(VLOOKUP($FY$9,各项系数!$D$1:$F$143,2,0))</f>
        <v>0</v>
      </c>
      <c r="GC149" s="388">
        <f>IF($BK149&lt;&gt;$GC$9,0,各项系数!$F$76/4*($MS149^2-$MQ149^2)*10^-2*(VLOOKUP($GC$9,各项系数!$D$1:$F$143,3,0))*10^-3*10^2)*各项系数!$J$4</f>
        <v>0.0013787441997182</v>
      </c>
      <c r="GD149" s="389">
        <v>1</v>
      </c>
      <c r="GE149" s="390">
        <f t="shared" si="521"/>
        <v>0.0013787441997182</v>
      </c>
      <c r="GF149" s="367">
        <f>GE149*(VLOOKUP($GC$9,各项系数!$D$1:$F$143,2,0))</f>
        <v>0.0177858001763648</v>
      </c>
      <c r="GG149" s="388">
        <f>IF($BK149&lt;&gt;$GG$9,0,各项系数!$F$76/4*($MS149^2-$MQ149^2)*10^-2*(VLOOKUP($GG$9,各项系数!$D$1:$F$143,3,0))*10^-3*10^2)*各项系数!$J$4</f>
        <v>0</v>
      </c>
      <c r="GH149" s="389">
        <v>1</v>
      </c>
      <c r="GI149" s="390">
        <f t="shared" si="522"/>
        <v>0</v>
      </c>
      <c r="GJ149" s="367">
        <f>GI149*(VLOOKUP($GG$9,各项系数!$D$1:$F$143,2,0))</f>
        <v>0</v>
      </c>
      <c r="GK149" s="388">
        <f>IF($BK149&lt;&gt;$GK$9,0,各项系数!$F$76/4*($MS149^2-$MQ149^2)*10^-2*(VLOOKUP($GK$9,各项系数!$D$1:$F$143,3,0))*10^-3*10^2)*各项系数!$J$4</f>
        <v>0</v>
      </c>
      <c r="GL149" s="389">
        <v>1</v>
      </c>
      <c r="GM149" s="390">
        <f t="shared" si="523"/>
        <v>0</v>
      </c>
      <c r="GN149" s="367">
        <f>GM149*(VLOOKUP($GK$9,各项系数!$D$1:$F$143,2,0))</f>
        <v>0</v>
      </c>
      <c r="GO149" s="390">
        <f t="shared" si="524"/>
        <v>0.0013787441997182</v>
      </c>
      <c r="GP149" s="390">
        <f t="shared" si="525"/>
        <v>0.0177858001763648</v>
      </c>
      <c r="GQ149" s="406">
        <f>各项系数!$F$76/4*($MU149^2-$MS149^2)*10^-2*(VLOOKUP($S149,各项系数!$D$1:$F$143,3,0))*10^-3*10^2*各项系数!$J$4</f>
        <v>0.0843453365939143</v>
      </c>
      <c r="GR149" s="389">
        <v>1</v>
      </c>
      <c r="GS149" s="390">
        <f t="shared" si="526"/>
        <v>0.0843453365939143</v>
      </c>
      <c r="GT149" s="390">
        <f t="shared" ref="GT149:GT196" si="696">IF(OR(AND(EG149=$AC$3,EE149&lt;$AC$4),AND(EE149&lt;($AB$4+1),EG149&lt;$AB$3)),$AB$5,0)</f>
        <v>1</v>
      </c>
      <c r="GU149" s="390">
        <f>ROUND($GS149*(VLOOKUP($S149,各项系数!$D$1:$F$143,2,0))+$E$3*GS149,GT149)</f>
        <v>0.5</v>
      </c>
      <c r="GV149" s="406">
        <f>各项系数!$F$76/4*($MT149^2-$MS149^2)*10^-2*(VLOOKUP($GV$9,各项系数!$D$1:$F$143,3,0))*10^-3*10^2*各项系数!$J$4*PI()/4*R149</f>
        <v>0.00730658976113643</v>
      </c>
      <c r="GW149" s="389">
        <v>1</v>
      </c>
      <c r="GX149" s="390">
        <f t="shared" si="527"/>
        <v>0.00730658976113643</v>
      </c>
      <c r="GY149" s="390">
        <f>$GX149*(VLOOKUP($GV$9,各项系数!$D$1:$F$143,2,0))</f>
        <v>0.493194808876709</v>
      </c>
      <c r="GZ149" s="406">
        <f>各项系数!$F$76/4*($MV149^2-$MS149^2)*10^-2*(VLOOKUP($GZ$9,各项系数!$D$1:$F$143,3,0))*10^-3*10^2*各项系数!$J$4</f>
        <v>0.0345423847576617</v>
      </c>
      <c r="HA149" s="389">
        <v>1</v>
      </c>
      <c r="HB149" s="390">
        <f t="shared" si="653"/>
        <v>0.0345423847576617</v>
      </c>
      <c r="HC149" s="390">
        <f>HB149*(VLOOKUP($GZ$9,各项系数!$D$1:$F$143,2,0))</f>
        <v>0.587220540880248</v>
      </c>
      <c r="HD149" s="406">
        <f>各项系数!$F$76/4*($MW149^2-$MT149^2)*10^-2*(VLOOKUP($HD$9,各项系数!$D$1:$F$143,3,0))*10^-3*10^2*各项系数!$J$4</f>
        <v>0.0354126310554473</v>
      </c>
      <c r="HE149" s="389">
        <v>1</v>
      </c>
      <c r="HF149" s="390">
        <f t="shared" si="654"/>
        <v>0.0354126310554473</v>
      </c>
      <c r="HG149" s="390">
        <f>HF149*(VLOOKUP($HD$9,各项系数!$D$1:$F$143,2,0))</f>
        <v>0.602014727942603</v>
      </c>
      <c r="HH149" s="406">
        <f>各项系数!$F$76/4*($MV149^2-$MS149^2)*10^-2*(VLOOKUP($HH$9,各项系数!$D$1:$F$143,3,0))*10^-3*10^2*各项系数!$J$4</f>
        <v>0.0345423847576617</v>
      </c>
      <c r="HI149" s="420">
        <v>1</v>
      </c>
      <c r="HJ149" s="390">
        <f t="shared" si="655"/>
        <v>0.0345423847576617</v>
      </c>
      <c r="HK149" s="390">
        <f>HJ149*(VLOOKUP($HH$9,各项系数!$D$1:$F$143,2,0))</f>
        <v>0.587220540880248</v>
      </c>
      <c r="HL149" s="406">
        <f>各项系数!$F$76/4*($MW149^2-$MT149^2)*10^-2*(VLOOKUP($HL$9,各项系数!$D$1:$F$143,3,0))*10^-3*10^2*各项系数!$J$4</f>
        <v>0.0354126310554473</v>
      </c>
      <c r="HM149" s="420">
        <v>1</v>
      </c>
      <c r="HN149" s="390">
        <f t="shared" si="605"/>
        <v>0.0354126310554473</v>
      </c>
      <c r="HO149" s="390">
        <f>HN149*(VLOOKUP($HL$9,各项系数!$D$1:$F$143,2,0))</f>
        <v>0.602014727942603</v>
      </c>
      <c r="HP149" s="406">
        <f>各项系数!$F$76/4*($MV149^2-$MS149^2)*10^-2*(VLOOKUP(AN149,各项系数!$D$1:$F$143,3,0))*10^-3*10^2*各项系数!$J$4</f>
        <v>0.0350188314439742</v>
      </c>
      <c r="HQ149" s="389">
        <v>1</v>
      </c>
      <c r="HR149" s="390">
        <f t="shared" si="528"/>
        <v>0.0350188314439742</v>
      </c>
      <c r="HS149" s="390">
        <f>HR149*(VLOOKUP(AN149,各项系数!$D$1:$F$143,2,0))</f>
        <v>0.350188314439742</v>
      </c>
      <c r="HT149" s="406">
        <f>各项系数!$F$76/4*($MW149^2-$MT149^2)*10^-2*(VLOOKUP(AN149,各项系数!$D$1:$F$143,3,0))*10^-3*10^2*各项系数!$J$4</f>
        <v>0.0359010811389707</v>
      </c>
      <c r="HU149" s="389">
        <v>1</v>
      </c>
      <c r="HV149" s="390">
        <f t="shared" si="529"/>
        <v>0.0359010811389707</v>
      </c>
      <c r="HW149" s="390">
        <f>HV149*(VLOOKUP(AN149,各项系数!$D$1:$F$143,2,0))</f>
        <v>0.359010811389707</v>
      </c>
      <c r="HX149" s="406">
        <f>各项系数!$F$76/4*($MV149^2-$MS149^2)*10^-2*(VLOOKUP($HX$9,各项系数!$D$1:$F$143,3,0))*10^-3*10^2*各项系数!$J$4</f>
        <v>0.0350188314439742</v>
      </c>
      <c r="HY149" s="420">
        <v>1</v>
      </c>
      <c r="HZ149" s="390">
        <f t="shared" si="530"/>
        <v>0.0350188314439742</v>
      </c>
      <c r="IA149" s="390">
        <f>HZ149*(VLOOKUP($HX$9,各项系数!$D$1:$F$143,2,0))</f>
        <v>0.385207145883717</v>
      </c>
      <c r="IB149" s="406">
        <f>各项系数!$F$76/4*($MW149^2-$MT149^2)*10^-2*(VLOOKUP($IB$9,各项系数!$D$1:$F$143,3,0))*10^-3*10^2*各项系数!$J$4</f>
        <v>0.0359010811389707</v>
      </c>
      <c r="IC149" s="420">
        <v>1</v>
      </c>
      <c r="ID149" s="390">
        <f t="shared" si="531"/>
        <v>0.0359010811389707</v>
      </c>
      <c r="IE149" s="390">
        <f>ID149*(VLOOKUP($IB$9,各项系数!$D$1:$F$143,2,0))</f>
        <v>0.394911892528678</v>
      </c>
      <c r="IF149" s="429"/>
      <c r="IG149" s="406">
        <f t="shared" si="656"/>
        <v>0.00592125506322392</v>
      </c>
      <c r="IH149" s="389">
        <v>1</v>
      </c>
      <c r="II149" s="390">
        <f t="shared" si="532"/>
        <v>0.00592125506322392</v>
      </c>
      <c r="IJ149" s="390">
        <f>II149*(VLOOKUP($IG$8,各项系数!$D$1:$F$143,2,0))</f>
        <v>0.148031376580598</v>
      </c>
      <c r="IK149" s="406">
        <f>(各项系数!$F$76/4*($MX149^2-$MK149^2)*$EG149)*10^-2*(VLOOKUP($IG$8,各项系数!$D$1:$F$143,3,0))*10^-3*10^2*各项系数!$J$4</f>
        <v>0.00592125506322392</v>
      </c>
      <c r="IL149" s="389">
        <f>IK149*(VLOOKUP($IG$8,各项系数!$D$1:$F$143,2,0))</f>
        <v>0.148031376580598</v>
      </c>
      <c r="IM149" s="390">
        <f>(各项系数!$F$76/4*(($MM149+3*$X149)^2-MM149^2)*$EO149)*10^-2*(VLOOKUP($IG$8,各项系数!$D$1:$F$143,3,0))*10^-3*10^2*各项系数!$J$4</f>
        <v>0</v>
      </c>
      <c r="IN149" s="389">
        <f>IM149*(VLOOKUP($IG$8,各项系数!$D$1:$F$143,2,0))</f>
        <v>0</v>
      </c>
      <c r="IO149" s="406">
        <f>各项系数!$F$76/4*($MZ149^2-$MX149^2)*10^-2*(VLOOKUP(L149,各项系数!$D$1:$F$143,3,0))*10^-3*10^2*$ES149*各项系数!$J$4</f>
        <v>0.0142548339442153</v>
      </c>
      <c r="IP149" s="389">
        <v>1</v>
      </c>
      <c r="IQ149" s="390">
        <f t="shared" si="533"/>
        <v>0.0142548339442153</v>
      </c>
      <c r="IR149" s="367">
        <f>IQ149*(VLOOKUP(L149,各项系数!$D$1:$F$143,2,0))</f>
        <v>0.163930590358476</v>
      </c>
      <c r="IS149" s="406">
        <f>IF($L149&lt;&gt;$IS$9,0,各项系数!$F$76/4*($MZ149^2-$MX149^2)*10^-2*各项系数!$F$12*10^-3*10^2)*$ES149*各项系数!$J$4</f>
        <v>0</v>
      </c>
      <c r="IT149" s="389">
        <v>1</v>
      </c>
      <c r="IU149" s="390">
        <f t="shared" si="534"/>
        <v>0</v>
      </c>
      <c r="IV149" s="367">
        <f>IU149*各项系数!$E$12</f>
        <v>0</v>
      </c>
      <c r="IW149" s="388">
        <f t="shared" si="535"/>
        <v>0.0142548339442153</v>
      </c>
      <c r="IX149" s="388">
        <f t="shared" si="536"/>
        <v>0.163930590358476</v>
      </c>
      <c r="IY149" s="447">
        <f>各项系数!$F$76/4*($NB149^2-$MZ149^2*$EG149-$NA149^2*$EO149)*10^-2</f>
        <v>0.110256040386487</v>
      </c>
      <c r="IZ149" s="366">
        <f t="shared" si="487"/>
        <v>1</v>
      </c>
      <c r="JA149" s="367">
        <f t="shared" si="606"/>
        <v>0.110256040386487</v>
      </c>
      <c r="JB149" s="364">
        <f>IF($DE149&lt;&gt;$JB$9,0,$JA149*各项系数!$F$32*10^-3*10^2)*各项系数!$J$4</f>
        <v>0</v>
      </c>
      <c r="JC149" s="123">
        <v>1</v>
      </c>
      <c r="JD149" s="251">
        <f t="shared" si="537"/>
        <v>0</v>
      </c>
      <c r="JE149" s="339">
        <f>JD149*各项系数!$E$32</f>
        <v>0</v>
      </c>
      <c r="JF149" s="364">
        <f>IF($DE149&lt;&gt;$JF$9,0,$JA149*VLOOKUP($JF$9,各项系数!$D$4:$F$540,2,0)*10^-3*10^2)*各项系数!$J$4</f>
        <v>0.0548523800922775</v>
      </c>
      <c r="JG149" s="123">
        <v>1</v>
      </c>
      <c r="JH149" s="251">
        <f t="shared" si="607"/>
        <v>0.0548523800922775</v>
      </c>
      <c r="JI149" s="339">
        <f>JH149*VLOOKUP($JF$9,各项系数!$D$4:$F$540,3,0)</f>
        <v>0.065822856110733</v>
      </c>
      <c r="JJ149" s="364">
        <f t="shared" si="538"/>
        <v>0.0548523800922775</v>
      </c>
      <c r="JK149" s="251">
        <f t="shared" si="539"/>
        <v>0.065822856110733</v>
      </c>
      <c r="JL149" s="364">
        <f>IF($DF149&lt;&gt;$JL$9,0,各项系数!$F$76/4*($NE149^2-$NC149^2)*10^-2*各项系数!$F$39*10^-3*10^2)*各项系数!$J$4</f>
        <v>0.000719171303422925</v>
      </c>
      <c r="JM149" s="123">
        <v>1</v>
      </c>
      <c r="JN149" s="251">
        <f t="shared" si="540"/>
        <v>0.000719171303422925</v>
      </c>
      <c r="JO149" s="339">
        <f>JN149*各项系数!$E$39</f>
        <v>0.0143834260684585</v>
      </c>
      <c r="JP149" s="364">
        <f>IF($DF149&lt;&gt;$JP$9,0,各项系数!$F$76/4*($NE149^2-$NC149^2)*10^-2*各项系数!$F$36*10^-3*10^2)*各项系数!$J$4</f>
        <v>0</v>
      </c>
      <c r="JQ149" s="123">
        <v>1</v>
      </c>
      <c r="JR149" s="251">
        <f t="shared" si="541"/>
        <v>0</v>
      </c>
      <c r="JS149" s="339">
        <f>JR149*各项系数!$E$36</f>
        <v>0</v>
      </c>
      <c r="JT149" s="364">
        <f>IF($DF149&lt;&gt;$JT$9,0,各项系数!$F$76/4*($NE149^2-$NC149^2)*10^-2*各项系数!$F$40*10^-3*10^2)*各项系数!$J$4</f>
        <v>0</v>
      </c>
      <c r="JU149" s="123">
        <v>1</v>
      </c>
      <c r="JV149" s="251">
        <f t="shared" si="542"/>
        <v>0</v>
      </c>
      <c r="JW149" s="339">
        <f>JV149*各项系数!$E$40</f>
        <v>0</v>
      </c>
      <c r="JX149" s="364">
        <f>IF($DF149&lt;&gt;$JX$9,0,各项系数!$F$76/4*($NE149^2-$NC149^2)*10^-2*各项系数!$F$38*10^-3*10^2)*各项系数!$J$4</f>
        <v>0</v>
      </c>
      <c r="JY149" s="123">
        <v>1</v>
      </c>
      <c r="JZ149" s="251">
        <f t="shared" si="543"/>
        <v>0</v>
      </c>
      <c r="KA149" s="339">
        <f>JZ149*各项系数!$E$38</f>
        <v>0</v>
      </c>
      <c r="KB149" s="364">
        <f>IF($DF149&lt;&gt;$KB$9,0,各项系数!$F$76/4*($NE149^2-$NC149^2)*10^-2*各项系数!$F$41*10^-3*10^2)*各项系数!$J$4</f>
        <v>0</v>
      </c>
      <c r="KC149" s="123">
        <v>1</v>
      </c>
      <c r="KD149" s="251">
        <f t="shared" si="544"/>
        <v>0</v>
      </c>
      <c r="KE149" s="339">
        <f>KD149*各项系数!$E$41</f>
        <v>0</v>
      </c>
      <c r="KF149" s="251">
        <f t="shared" si="545"/>
        <v>0.000719171303422925</v>
      </c>
      <c r="KG149" s="251">
        <f t="shared" si="546"/>
        <v>0.0143834260684585</v>
      </c>
      <c r="KH149" s="302">
        <f>各项系数!$F$76/4*($NG149^2-$NE149^2)*10^-2*各项系数!$F$44*10^-3*10^2*各项系数!$J$4*0.75*$U149</f>
        <v>0.312875945727063</v>
      </c>
      <c r="KI149" s="123">
        <v>1</v>
      </c>
      <c r="KJ149" s="251">
        <f t="shared" si="547"/>
        <v>0.312875945727063</v>
      </c>
      <c r="KK149" s="251">
        <f>ROUND(KJ149*各项系数!$E$43,GT149)</f>
        <v>1.8</v>
      </c>
      <c r="KL149" s="302">
        <f>各项系数!$F$76/4*($NF149^2-$NE149^2)*10^-2*各项系数!$F$46*10^-3*10^2*各项系数!$J$4*PI()/4*R149</f>
        <v>0.00920628300474726</v>
      </c>
      <c r="KM149" s="123">
        <v>1</v>
      </c>
      <c r="KN149" s="251">
        <f t="shared" si="548"/>
        <v>0.00920628300474726</v>
      </c>
      <c r="KO149" s="251">
        <f>KN149*各项系数!$E$46</f>
        <v>0.62142410282044</v>
      </c>
      <c r="KP149" s="302">
        <f>各项系数!$F$76/4*($NH149^2-$NE149^2)*10^-2*(VLOOKUP($KP$9,各项系数!$D$1:$F$143,3,0))*10^-3*10^2*各项系数!$J$4</f>
        <v>0.0419394782888393</v>
      </c>
      <c r="KQ149" s="123">
        <v>1</v>
      </c>
      <c r="KR149" s="251">
        <f t="shared" si="657"/>
        <v>0.0419394782888393</v>
      </c>
      <c r="KS149" s="251">
        <f>KR149*(VLOOKUP($KP$9,各项系数!$D$1:$F$143,2,0))</f>
        <v>0.712971130910267</v>
      </c>
      <c r="KT149" s="302">
        <f>各项系数!$F$76/4*($NI149^2-$NF149^2)*10^-2*(VLOOKUP($KT$9,各项系数!$D$1:$F$143,3,0))*10^-3*10^2*各项系数!$J$4</f>
        <v>0.0428097245866249</v>
      </c>
      <c r="KU149" s="123">
        <v>1</v>
      </c>
      <c r="KV149" s="251">
        <f t="shared" si="658"/>
        <v>0.0428097245866249</v>
      </c>
      <c r="KW149" s="251">
        <f>KV149*(VLOOKUP($KT$9,各项系数!$D$1:$F$143,2,0))</f>
        <v>0.727765317972623</v>
      </c>
      <c r="KX149" s="251">
        <f>各项系数!$F$76/4*($NH149^2-$NE149^2)*10^-2*(VLOOKUP($KX$9,各项系数!$D$1:$F$143,3,0))*10^-3*10^2*各项系数!$J$4</f>
        <v>0.0419394782888393</v>
      </c>
      <c r="KY149" s="479">
        <v>1</v>
      </c>
      <c r="KZ149" s="251">
        <f t="shared" si="659"/>
        <v>0.0419394782888393</v>
      </c>
      <c r="LA149" s="251">
        <f>KZ149*(VLOOKUP($KX$9,各项系数!$D$1:$F$143,2,0))</f>
        <v>0.712971130910267</v>
      </c>
      <c r="LB149" s="251">
        <f>各项系数!$F$76/4*($NI149^2-$NF149^2)*10^-2*(VLOOKUP($LB$9,各项系数!$D$1:$F$143,3,0))*10^-3*10^2*各项系数!$J$4</f>
        <v>0.0428097245866249</v>
      </c>
      <c r="LC149" s="479">
        <v>1</v>
      </c>
      <c r="LD149" s="251">
        <f t="shared" si="660"/>
        <v>0.0428097245866249</v>
      </c>
      <c r="LE149" s="251">
        <f>LD149*(VLOOKUP($LB$9,各项系数!$D$1:$F$143,2,0))</f>
        <v>0.727765317972623</v>
      </c>
      <c r="LF149" s="302">
        <f>各项系数!$F$76/4*($NH149^2-$NE149^2)*10^-2*(VLOOKUP(AN149,各项系数!$D$1:$F$143,3,0))*10^-3*10^2*各项系数!$J$4</f>
        <v>0.0425179538514439</v>
      </c>
      <c r="LG149" s="123">
        <v>1</v>
      </c>
      <c r="LH149" s="251">
        <f t="shared" si="549"/>
        <v>0.0425179538514439</v>
      </c>
      <c r="LI149" s="251">
        <f>LH149*(VLOOKUP(AN149,各项系数!$D$1:$F$143,2,0))</f>
        <v>0.425179538514439</v>
      </c>
      <c r="LJ149" s="302">
        <f>各项系数!$F$76/4*($NI149^2-$NF149^2)*10^-2*(VLOOKUP(AN149,各项系数!$D$1:$F$143,3,0))*10^-3*10^2*各项系数!$J$4</f>
        <v>0.0434002035464404</v>
      </c>
      <c r="LK149" s="123">
        <v>1</v>
      </c>
      <c r="LL149" s="251">
        <f t="shared" si="550"/>
        <v>0.0434002035464404</v>
      </c>
      <c r="LM149" s="251">
        <f>LL149*(VLOOKUP(AN149,各项系数!$D$1:$F$143,2,0))</f>
        <v>0.434002035464404</v>
      </c>
      <c r="LN149" s="251">
        <f>各项系数!$F$76/4*($NH149^2-$NE149^2)*10^-2*(VLOOKUP($LN$9,各项系数!$D$1:$F$143,3,0))*10^-3*10^2*各项系数!$J$4</f>
        <v>0.0425179538514439</v>
      </c>
      <c r="LO149" s="479">
        <v>1</v>
      </c>
      <c r="LP149" s="251">
        <f t="shared" si="551"/>
        <v>0.0425179538514439</v>
      </c>
      <c r="LQ149" s="251">
        <f>LP149*(VLOOKUP($LN$9,各项系数!$D$1:$F$143,2,0))</f>
        <v>0.467697492365883</v>
      </c>
      <c r="LR149" s="251">
        <f>各项系数!$F$76/4*($NI149^2-$NF149^2)*10^-2*(VLOOKUP($LR$9,各项系数!$D$1:$F$143,3,0))*10^-3*10^2*各项系数!$J$4</f>
        <v>0.0434002035464404</v>
      </c>
      <c r="LS149" s="479">
        <v>1</v>
      </c>
      <c r="LT149" s="251">
        <f t="shared" si="552"/>
        <v>0.0434002035464404</v>
      </c>
      <c r="LU149" s="251">
        <f>LT149*(VLOOKUP($LR$9,各项系数!$D$1:$F$143,2,0))</f>
        <v>0.477402239010844</v>
      </c>
      <c r="LV149" s="499">
        <f t="shared" si="661"/>
        <v>2.86739663</v>
      </c>
      <c r="LW149" s="499">
        <f t="shared" si="662"/>
        <v>2.86739663</v>
      </c>
      <c r="LX149" s="499">
        <f t="shared" si="663"/>
        <v>1.91072833750807</v>
      </c>
      <c r="LY149" s="515">
        <f t="shared" si="664"/>
        <v>0</v>
      </c>
      <c r="LZ149" s="516">
        <f t="shared" si="608"/>
        <v>1</v>
      </c>
      <c r="MA149" s="517">
        <f t="shared" si="609"/>
        <v>2.86739663</v>
      </c>
      <c r="MB149" s="517">
        <f t="shared" si="665"/>
        <v>1.10315952</v>
      </c>
      <c r="MC149" s="499">
        <f t="shared" si="666"/>
        <v>0</v>
      </c>
      <c r="MD149" s="499">
        <f t="shared" si="667"/>
        <v>0</v>
      </c>
      <c r="ME149" s="499">
        <f t="shared" si="668"/>
        <v>0</v>
      </c>
      <c r="MF149" s="499">
        <f t="shared" si="669"/>
        <v>0</v>
      </c>
      <c r="MG149" s="516">
        <f t="shared" si="670"/>
        <v>1</v>
      </c>
      <c r="MH149" s="517">
        <f t="shared" si="610"/>
        <v>0</v>
      </c>
      <c r="MI149" s="517">
        <f t="shared" si="671"/>
        <v>0</v>
      </c>
      <c r="MJ149" s="251">
        <f t="shared" si="611"/>
        <v>1.10315952</v>
      </c>
      <c r="MK149" s="251">
        <f t="shared" si="672"/>
        <v>1.10315952</v>
      </c>
      <c r="ML149" s="251">
        <f t="shared" si="553"/>
        <v>0</v>
      </c>
      <c r="MM149" s="251">
        <f t="shared" si="612"/>
        <v>0</v>
      </c>
      <c r="MN149" s="251">
        <f t="shared" si="613"/>
        <v>2.30315952</v>
      </c>
      <c r="MO149" s="251">
        <f t="shared" si="673"/>
        <v>0</v>
      </c>
      <c r="MP149" s="251">
        <f t="shared" si="674"/>
        <v>4.97482456</v>
      </c>
      <c r="MQ149" s="251">
        <f t="shared" si="554"/>
        <v>4.97482456</v>
      </c>
      <c r="MR149" s="314">
        <f t="shared" si="675"/>
        <v>4.97482456</v>
      </c>
      <c r="MS149" s="530">
        <f t="shared" si="614"/>
        <v>5.15082456</v>
      </c>
      <c r="MT149" s="530">
        <f t="shared" si="615"/>
        <v>5.31082456</v>
      </c>
      <c r="MU149" s="530">
        <f t="shared" si="616"/>
        <v>6.35082456</v>
      </c>
      <c r="MV149" s="530">
        <f t="shared" si="617"/>
        <v>7.55082456</v>
      </c>
      <c r="MW149" s="530">
        <f t="shared" si="618"/>
        <v>7.71082456</v>
      </c>
      <c r="MX149" s="326">
        <f t="shared" si="619"/>
        <v>1.70315952</v>
      </c>
      <c r="MY149" s="326">
        <f t="shared" si="620"/>
        <v>0</v>
      </c>
      <c r="MZ149" s="251">
        <f t="shared" si="621"/>
        <v>2.90315952</v>
      </c>
      <c r="NA149" s="251">
        <f t="shared" si="622"/>
        <v>0</v>
      </c>
      <c r="NB149" s="251">
        <f t="shared" si="676"/>
        <v>6.27082456</v>
      </c>
      <c r="NC149" s="326">
        <f t="shared" si="555"/>
        <v>6.27082456</v>
      </c>
      <c r="ND149" s="314">
        <f t="shared" si="677"/>
        <v>6.27082456</v>
      </c>
      <c r="NE149" s="537">
        <f t="shared" si="678"/>
        <v>6.51082456</v>
      </c>
      <c r="NF149" s="530">
        <f t="shared" si="623"/>
        <v>6.67082456</v>
      </c>
      <c r="NG149" s="538">
        <f t="shared" si="624"/>
        <v>7.71082456</v>
      </c>
      <c r="NH149" s="326">
        <f t="shared" si="625"/>
        <v>8.91082456</v>
      </c>
      <c r="NI149" s="530">
        <f t="shared" si="626"/>
        <v>9.07082456</v>
      </c>
      <c r="NK149" s="539">
        <f t="shared" si="627"/>
        <v>0.0805879486683833</v>
      </c>
      <c r="NL149" s="539">
        <f t="shared" si="628"/>
        <v>2.17537739366946</v>
      </c>
      <c r="NM149" s="539">
        <f t="shared" si="629"/>
        <v>0.0805879486683833</v>
      </c>
      <c r="NN149" s="539">
        <f t="shared" si="630"/>
        <v>2.21039622511343</v>
      </c>
      <c r="NO149" s="539">
        <f t="shared" si="631"/>
        <v>0.143629294335485</v>
      </c>
      <c r="NP149" s="539">
        <f t="shared" si="632"/>
        <v>2.47867014293172</v>
      </c>
      <c r="NQ149" s="539">
        <f t="shared" si="633"/>
        <v>0.143629294335485</v>
      </c>
      <c r="NR149" s="539">
        <f t="shared" si="634"/>
        <v>2.52118809678317</v>
      </c>
      <c r="NS149" s="539">
        <f t="shared" si="635"/>
        <v>0.0878945384295197</v>
      </c>
      <c r="NT149" s="539">
        <f t="shared" si="636"/>
        <v>0.0878945384295197</v>
      </c>
      <c r="NU149" s="539">
        <f t="shared" si="637"/>
        <v>0.152835577340232</v>
      </c>
      <c r="NV149" s="539">
        <f t="shared" si="638"/>
        <v>0.152835577340232</v>
      </c>
      <c r="NW149">
        <f t="shared" si="639"/>
        <v>0.164933285262298</v>
      </c>
      <c r="NX149">
        <f>各项系数!$M$9*NK149</f>
        <v>0.024176384600515</v>
      </c>
      <c r="NY149">
        <f t="shared" si="640"/>
        <v>0.0878945384295197</v>
      </c>
    </row>
    <row r="150" customHeight="1" spans="1:389">
      <c r="A150" s="85"/>
      <c r="B150" s="86"/>
      <c r="C150" s="218"/>
      <c r="D150" s="123" t="s">
        <v>132</v>
      </c>
      <c r="E150" s="77">
        <f t="shared" si="687"/>
        <v>8.14964604</v>
      </c>
      <c r="F150" s="558">
        <f t="shared" si="693"/>
        <v>110.31595161029</v>
      </c>
      <c r="G150" s="23"/>
      <c r="H150" s="23"/>
      <c r="I150" s="174">
        <v>0</v>
      </c>
      <c r="J150" s="23"/>
      <c r="K150" s="23"/>
      <c r="L150" s="118" t="s">
        <v>469</v>
      </c>
      <c r="M150" s="124">
        <f t="shared" si="582"/>
        <v>0.6</v>
      </c>
      <c r="N150" s="124">
        <f t="shared" si="583"/>
        <v>0</v>
      </c>
      <c r="O150" s="69">
        <f t="shared" si="688"/>
        <v>0.08</v>
      </c>
      <c r="P150" s="120">
        <v>0.1</v>
      </c>
      <c r="Q150" s="162">
        <f t="shared" si="685"/>
        <v>0.1</v>
      </c>
      <c r="R150" s="560">
        <v>0.8</v>
      </c>
      <c r="S150" s="171" t="str">
        <f>各项系数!$D$43</f>
        <v>钢带</v>
      </c>
      <c r="T150" s="123">
        <v>0.2</v>
      </c>
      <c r="U150" s="78">
        <v>4</v>
      </c>
      <c r="V150" s="172"/>
      <c r="W150" s="170">
        <f t="shared" si="694"/>
        <v>1.2</v>
      </c>
      <c r="X150" s="164">
        <f t="shared" si="686"/>
        <v>0.2</v>
      </c>
      <c r="Y150" s="219"/>
      <c r="Z150" s="220"/>
      <c r="AA150" s="217">
        <v>1</v>
      </c>
      <c r="AB150" s="186">
        <f>PI()*EJ150*EJ150/4*EH150*(1-H150)*AA150*各项系数!$F$5*各项系数!$J$4*10^-7</f>
        <v>0.0084545666936337</v>
      </c>
      <c r="AC150" s="186">
        <f t="shared" si="573"/>
        <v>110.31595161029</v>
      </c>
      <c r="AD150" s="186">
        <f t="shared" si="584"/>
        <v>0.955798869898841</v>
      </c>
      <c r="AE150" s="186">
        <f>POWER(4*EU150/PI()/EG150/10^-7/EH150/(1-H150)/各项系数!$F$5/各项系数!$J$4,0.5)</f>
        <v>110.31595161029</v>
      </c>
      <c r="AF150" s="218">
        <v>1</v>
      </c>
      <c r="AG150" s="85">
        <f>IF(EM150=0,0,PI()*ER150*ER150/4*EP150*(1-K150)*(1+AF150)*各项系数!$F$5*各项系数!$J$4*10^-7)</f>
        <v>0</v>
      </c>
      <c r="AH150" s="85">
        <f t="shared" si="574"/>
        <v>0</v>
      </c>
      <c r="AI150" s="85">
        <f t="shared" si="641"/>
        <v>0</v>
      </c>
      <c r="AJ150" s="85">
        <f>IF(OR(EP150="",EP150=0),0,POWER(4*EW150/PI()/EO150/10^-7/EP150/(1-K150)/各项系数!$F$5/各项系数!$J$4,0.5))</f>
        <v>0</v>
      </c>
      <c r="AK150" s="85" t="str">
        <f t="shared" si="585"/>
        <v>√</v>
      </c>
      <c r="AL150" s="85">
        <f t="shared" si="575"/>
        <v>3.09532559342292</v>
      </c>
      <c r="AM150" s="250">
        <f t="shared" si="576"/>
        <v>1</v>
      </c>
      <c r="AN150" s="118" t="s">
        <v>486</v>
      </c>
      <c r="AO150" s="259">
        <f>AP150+各项系数!$M$9*$NK150</f>
        <v>3.03463293472835</v>
      </c>
      <c r="AP150" s="259">
        <f>AQ150*(1+$BI150+(VLOOKUP($AM150,$A$12:$B$323,2,0))+各项系数!$J$6+各项系数!$M$5)*(1+$E$2)</f>
        <v>3.00554181217799</v>
      </c>
      <c r="AQ150" s="260">
        <f>AR150+各项系数!$L$9*$NK150</f>
        <v>2.94892250017464</v>
      </c>
      <c r="AR150" s="260">
        <f>AS150*(1+$BJ150+各项系数!$J$5+各项系数!$L$5)</f>
        <v>2.91983137762428</v>
      </c>
      <c r="AS150" s="260">
        <f t="shared" si="642"/>
        <v>2.80753017079258</v>
      </c>
      <c r="AT150" s="259">
        <f>AU150+各项系数!$M$9*$NM150</f>
        <v>3.3095696375905</v>
      </c>
      <c r="AU150" s="259">
        <f>AV150*(1+$BI150+(VLOOKUP($AM150,$A$12:$B$323,2,0))+各项系数!$J$6+各项系数!$M$5)*(1+$E$2)</f>
        <v>3.28047851504014</v>
      </c>
      <c r="AV150" s="260">
        <f>AW150+各项系数!$L$9*$NM150</f>
        <v>3.21867986169559</v>
      </c>
      <c r="AW150" s="260">
        <f>AX150*(1+$BJ150+各项系数!$J$5+各项系数!$L$5)</f>
        <v>3.18958873914523</v>
      </c>
      <c r="AX150" s="260">
        <f t="shared" si="643"/>
        <v>3.06691224917811</v>
      </c>
      <c r="AY150" s="259">
        <f>AZ150+各项系数!$M$9*$NS150</f>
        <v>3.63153440450491</v>
      </c>
      <c r="AZ150" s="259">
        <f>BA150*(1+$BI150+(VLOOKUP($AM150,$A$12:$B$214,2,0))+各项系数!$J$6+各项系数!$M$5)*(1+$E$2)</f>
        <v>3.60000036889687</v>
      </c>
      <c r="BA150" s="260">
        <f>BB150+各项系数!$L$9*$NS150</f>
        <v>3.53218246555816</v>
      </c>
      <c r="BB150" s="260">
        <f>BC150*(1+$BJ150+各项系数!$J$5+各项系数!$L$5)</f>
        <v>3.50064842995012</v>
      </c>
      <c r="BC150" s="262">
        <f t="shared" si="644"/>
        <v>3.36600810572127</v>
      </c>
      <c r="BD150" s="259">
        <f>BE150+各项系数!$M$9*$NS150</f>
        <v>3.91280090779211</v>
      </c>
      <c r="BE150" s="259">
        <f>BF150*(1+$BI150+(VLOOKUP($AM150,$A$12:$B$214,2,0))+各项系数!$J$6+各项系数!$M$5)*(1+$E$2)</f>
        <v>3.88126687218407</v>
      </c>
      <c r="BF150" s="260">
        <f>BG150+各项系数!$L$9*$NS150</f>
        <v>3.80815038479599</v>
      </c>
      <c r="BG150" s="260">
        <f>BH150*(1+$BJ150+各项系数!$J$5+各项系数!$L$5)</f>
        <v>3.77661634918795</v>
      </c>
      <c r="BH150" s="262">
        <f t="shared" si="645"/>
        <v>3.63136187421918</v>
      </c>
      <c r="BI150" s="277"/>
      <c r="BJ150" s="272">
        <f t="shared" si="695"/>
        <v>0.02</v>
      </c>
      <c r="BK150" s="123" t="s">
        <v>514</v>
      </c>
      <c r="BL150" s="259">
        <f>BM150+各项系数!$M$9*$NM150</f>
        <v>3.10425663677755</v>
      </c>
      <c r="BM150" s="259">
        <f>BN150*(1+$CF150+(VLOOKUP($AM150,$A$12:$B$323,2,0))+各项系数!$J$6+各项系数!$M$5)*(1+$E$2)</f>
        <v>3.0751655142272</v>
      </c>
      <c r="BN150" s="260">
        <f>BO150+各项系数!$L$9*$NM150</f>
        <v>3.01723460972056</v>
      </c>
      <c r="BO150" s="260">
        <f>BP150*(1+$CG150+各项系数!$J$5+各项系数!$L$5)</f>
        <v>2.9881434871702</v>
      </c>
      <c r="BP150" s="260">
        <f t="shared" si="646"/>
        <v>2.8458509401621</v>
      </c>
      <c r="BQ150" s="259">
        <f>BR150+各项系数!$M$9*$NM150</f>
        <v>3.34082760723412</v>
      </c>
      <c r="BR150" s="259">
        <f>BS150*(1+$CF150+(VLOOKUP($AM150,$A$12:$B$323,2,0))+各项系数!$J$6+各项系数!$M$5)*(1+$E$2)</f>
        <v>3.31173648468377</v>
      </c>
      <c r="BS150" s="260">
        <f>BT150+各项系数!$L$9*$NM150</f>
        <v>3.24934898418737</v>
      </c>
      <c r="BT150" s="260">
        <f>BU150*(1+$CG150+各项系数!$J$5+各项系数!$L$5)</f>
        <v>3.22025786163701</v>
      </c>
      <c r="BU150" s="260">
        <f t="shared" si="647"/>
        <v>3.06691224917811</v>
      </c>
      <c r="BV150" s="259">
        <f>BW150+各项系数!$M$9*$NT150</f>
        <v>3.68407683340434</v>
      </c>
      <c r="BW150" s="259">
        <f>BX150*(1+$CF150+(VLOOKUP($AM150,$A$12:$B$214,2,0))+各项系数!$J$6+各项系数!$M$5)*(1+$E$2)</f>
        <v>3.6525427977963</v>
      </c>
      <c r="BX150" s="260">
        <f>BY150+各项系数!$L$9*$NT$12</f>
        <v>3.58373508418005</v>
      </c>
      <c r="BY150" s="260">
        <f>BZ150*(1+$CG150+各项系数!$J$5+各项系数!$L$5)</f>
        <v>3.57547168102507</v>
      </c>
      <c r="BZ150" s="262">
        <f t="shared" si="586"/>
        <v>3.40521112478578</v>
      </c>
      <c r="CA150" s="259">
        <f>CB150+各项系数!$M$9*$NT150</f>
        <v>3.92609431941799</v>
      </c>
      <c r="CB150" s="259">
        <f>CC150*(1+$CF150+(VLOOKUP($AM150,$A$12:$B$214,2,0))+各项系数!$J$6+各项系数!$M$5)*(1+$E$2)</f>
        <v>3.89456028380995</v>
      </c>
      <c r="CC150" s="260">
        <f>CD150+各项系数!$L$9*$NT$12</f>
        <v>3.82119337108512</v>
      </c>
      <c r="CD150" s="260">
        <f>CE150*(1+$CG150+各项系数!$J$5+各项系数!$L$5)</f>
        <v>3.81292996793014</v>
      </c>
      <c r="CE150" s="262">
        <f t="shared" si="648"/>
        <v>3.63136187421918</v>
      </c>
      <c r="CF150" s="277">
        <f t="shared" si="514"/>
        <v>0</v>
      </c>
      <c r="CG150" s="277">
        <f t="shared" si="587"/>
        <v>0.03</v>
      </c>
      <c r="CH150" s="123"/>
      <c r="CI150" s="259">
        <f>CJ150+各项系数!$M$9*$NO150</f>
        <v>3.51009788841344</v>
      </c>
      <c r="CJ150" s="259">
        <f>CK150*(1+$DC150+(VLOOKUP($AM150,$A$12:$B$323,2,0))+各项系数!$J$6+各项系数!$M$5)*(1+$E$2)+各项系数!$M$9*$NK150</f>
        <v>3.45929594269662</v>
      </c>
      <c r="CK150" s="260">
        <f>CL150+各项系数!$L$9*$NO150</f>
        <v>3.36558557706658</v>
      </c>
      <c r="CL150" s="260">
        <f>CM150*(1+$DD150+各项系数!$J$5+各项系数!$L$5)</f>
        <v>3.31478363134976</v>
      </c>
      <c r="CM150" s="260">
        <f t="shared" si="588"/>
        <v>3.18729195322092</v>
      </c>
      <c r="CN150" s="259">
        <f>CO150+各项系数!$M$9*$NO150</f>
        <v>3.6964285181397</v>
      </c>
      <c r="CO150" s="259">
        <f>CP150*(1+$DC150+(VLOOKUP($AM150,$A$12:$B$323,2,0))+各项系数!$J$6+各项系数!$M$5)*(1+$E$2)+各项系数!$M$9*$NK150</f>
        <v>3.64562657242287</v>
      </c>
      <c r="CP150" s="260">
        <f>CQ150+各项系数!$L$9*$NO150</f>
        <v>3.54840605364258</v>
      </c>
      <c r="CQ150" s="260">
        <f>CR150*(1+$DD150+各项系数!$J$5+各项系数!$L$5)</f>
        <v>3.49760410792576</v>
      </c>
      <c r="CR150" s="260">
        <f t="shared" si="589"/>
        <v>3.36308087300553</v>
      </c>
      <c r="CS150" s="259">
        <f>CT150+各项系数!$M$9*$NU150</f>
        <v>4.23070064368086</v>
      </c>
      <c r="CT150" s="259">
        <f t="shared" si="590"/>
        <v>4.17682050513636</v>
      </c>
      <c r="CU150" s="260">
        <f>CV150+各项系数!$L$9*$NU150</f>
        <v>4.0981362883991</v>
      </c>
      <c r="CV150" s="260">
        <f>CW150*(1+$DD150+各项系数!$J$5+各项系数!$L$5)</f>
        <v>4.04425614985459</v>
      </c>
      <c r="CW150" s="262">
        <f t="shared" si="591"/>
        <v>3.88870783639865</v>
      </c>
      <c r="CX150" s="259">
        <f>CY150+各项系数!$M$9*$NU150</f>
        <v>4.57194200599542</v>
      </c>
      <c r="CY150" s="259">
        <f t="shared" si="592"/>
        <v>4.51806186745092</v>
      </c>
      <c r="CZ150" s="260">
        <f>DA150+各项系数!$L$9*$NU150</f>
        <v>4.43294924200443</v>
      </c>
      <c r="DA150" s="260">
        <f>DB150*(1+$DD150+各项系数!$J$5+各项系数!$L$5)</f>
        <v>4.37906910345993</v>
      </c>
      <c r="DB150" s="262">
        <f t="shared" si="593"/>
        <v>4.21064336871147</v>
      </c>
      <c r="DC150" s="277">
        <f t="shared" si="571"/>
        <v>0</v>
      </c>
      <c r="DD150" s="277">
        <f t="shared" si="594"/>
        <v>0.02</v>
      </c>
      <c r="DE150" s="69" t="s">
        <v>498</v>
      </c>
      <c r="DF150" s="69" t="s">
        <v>513</v>
      </c>
      <c r="DG150" s="259">
        <f>DH150+各项系数!$M$9*$NQ150</f>
        <v>3.59253792800999</v>
      </c>
      <c r="DH150" s="259">
        <f>DI150*(1+$EA150+(VLOOKUP($AM150,$A$12:$B$323,2,0))+各项系数!$J$6+各项系数!$M$5)*(1+$E$2)+各项系数!$M$9*$NK150</f>
        <v>3.54173598229317</v>
      </c>
      <c r="DI150" s="260">
        <f>DJ150+各项系数!$L$9*$NQ150</f>
        <v>3.44647258608988</v>
      </c>
      <c r="DJ150" s="260">
        <f>DK150*(1+$EB150+各项系数!$J$5+各项系数!$L$5)</f>
        <v>3.39567064037306</v>
      </c>
      <c r="DK150" s="260">
        <f t="shared" si="595"/>
        <v>3.23397203845053</v>
      </c>
      <c r="DL150" s="259">
        <f>DM150+各项系数!$M$9*$NQ150</f>
        <v>3.88071463336988</v>
      </c>
      <c r="DM150" s="259">
        <f>DN150*(1+$EA150+(VLOOKUP($AM150,$A$12:$B$323,2,0))+各项系数!$J$6+各项系数!$M$5)*(1+$E$2)+各项系数!$M$9*$NK150</f>
        <v>3.82991268765306</v>
      </c>
      <c r="DN150" s="260">
        <f>DO150+各项系数!$L$9*$NQ150</f>
        <v>3.72922053090924</v>
      </c>
      <c r="DO150" s="260">
        <f>DP150*(1+$EB150+各项系数!$J$5+各项系数!$L$5)</f>
        <v>3.67841858519242</v>
      </c>
      <c r="DP150" s="260">
        <f t="shared" si="596"/>
        <v>3.50325579542135</v>
      </c>
      <c r="DQ150" s="259">
        <f>DR150+各项系数!$M$9*$NV150</f>
        <v>4.32123366229236</v>
      </c>
      <c r="DR150" s="259">
        <f t="shared" si="597"/>
        <v>4.26735352374785</v>
      </c>
      <c r="DS150" s="260">
        <f>DT150+各项系数!$L$9*$NV150</f>
        <v>4.18696381843392</v>
      </c>
      <c r="DT150" s="260">
        <f>DU150*(1+$EB150+各项系数!$J$5+各项系数!$L$5)</f>
        <v>4.13308367988942</v>
      </c>
      <c r="DU150" s="262">
        <f t="shared" si="598"/>
        <v>3.93627017132326</v>
      </c>
      <c r="DV150" s="259">
        <f>DW150+各项系数!$M$9*$NV150</f>
        <v>4.38094760243863</v>
      </c>
      <c r="DW150" s="259">
        <f t="shared" si="599"/>
        <v>4.32706746389412</v>
      </c>
      <c r="DX150" s="260">
        <f>DY150+各项系数!$L$9*$NV150</f>
        <v>4.24555284918968</v>
      </c>
      <c r="DY150" s="260">
        <f>DZ150*(1+$EB150+各项系数!$J$5+各项系数!$L$5)</f>
        <v>4.19167271064518</v>
      </c>
      <c r="DZ150" s="262">
        <f t="shared" si="600"/>
        <v>3.9920692482335</v>
      </c>
      <c r="EA150" s="277">
        <f t="shared" si="581"/>
        <v>0</v>
      </c>
      <c r="EB150" s="277">
        <f t="shared" si="601"/>
        <v>0.03</v>
      </c>
      <c r="EC150" s="302">
        <f t="shared" si="649"/>
        <v>4</v>
      </c>
      <c r="ED150" s="302" t="str">
        <f t="shared" si="680"/>
        <v>4*1</v>
      </c>
      <c r="EE150" s="251">
        <f t="shared" si="495"/>
        <v>1</v>
      </c>
      <c r="EF150" s="251">
        <f>LOOKUP(EH150,{1,7,10,14,19,24,30,37,48,61},{1,"1+6","2+8","4+10","1+6+12","2+8+14","4+10+16","1+6+12+18","3+9+15+21","1+6+12+18+24"})</f>
        <v>1</v>
      </c>
      <c r="EG150" s="250">
        <f t="shared" si="602"/>
        <v>4</v>
      </c>
      <c r="EH150" s="260">
        <f>VLOOKUP(EE150,各项系数!$B$87:$C$124,2,0)</f>
        <v>1</v>
      </c>
      <c r="EI150" s="250">
        <f>IF(EH150=0,0,VLOOKUP(EH150,各项系数!$D$142:$E$195,2,0))*1</f>
        <v>1</v>
      </c>
      <c r="EJ150" s="305">
        <f t="shared" si="650"/>
        <v>110.31595161029</v>
      </c>
      <c r="EK150" s="251">
        <f t="shared" si="689"/>
        <v>0</v>
      </c>
      <c r="EL150" s="251">
        <f t="shared" si="603"/>
        <v>0</v>
      </c>
      <c r="EM150" s="251">
        <f t="shared" si="690"/>
        <v>0</v>
      </c>
      <c r="EN150" s="251">
        <f>IF(EP150=0,0,LOOKUP(EP150,{1,7,10,14,19,24,30,37,48,61},{1,"1+6","2+8","4+10","1+6+12","2+8+14","4+10+16","1+6+12+18","3+9+15+21","1+6+12+18+24"}))</f>
        <v>0</v>
      </c>
      <c r="EO150" s="251">
        <f t="shared" si="691"/>
        <v>0</v>
      </c>
      <c r="EP150" s="251">
        <f>IF(EM150=0,0,IF(EM150&lt;10,1,IF(AND(EM150&gt;=10,EM150&lt;=35),7,LOOKUP(EM150,{50,70,95,120,150,185,240,300},{10,14,19,24,30,37,48,61})*1)))</f>
        <v>0</v>
      </c>
      <c r="EQ150" s="251">
        <f>IF(EP150=0,0,VLOOKUP(EP150,各项系数!$D$142:$E$195,2,0))*1</f>
        <v>0</v>
      </c>
      <c r="ER150" s="95">
        <f t="shared" si="577"/>
        <v>0</v>
      </c>
      <c r="ES150" s="566">
        <f t="shared" si="692"/>
        <v>4</v>
      </c>
      <c r="ET150" s="251">
        <f>VLOOKUP(ES150,各项系数!$D$142:$E$195,2,0)*1</f>
        <v>2.42</v>
      </c>
      <c r="EU150" s="311">
        <f>((各项系数!$F$76/4*$EJ150^2*$EG150*$EH150*1*10^-7)*(1-$H150)*AA150)*(VLOOKUP($EY$9,各项系数!$D$4:$F$143,3,0))*各项系数!$J$4</f>
        <v>0.0338182667745348</v>
      </c>
      <c r="EV150" s="312">
        <f>EU150*(VLOOKUP($EY$9,各项系数!$D$4:$F$143,2,0))</f>
        <v>2.21509647373203</v>
      </c>
      <c r="EW150" s="324">
        <f>(IF($EO150=0,0,(各项系数!$F$76/4*$ER150^2*$EO150*$EP150*1*10^-7))*(1-$K150)*$AF150)*(VLOOKUP($EY$9,各项系数!$D$4:$F$143,3,0))*各项系数!$J$4</f>
        <v>0</v>
      </c>
      <c r="EX150" s="325">
        <f>EW150*(VLOOKUP($EY$9,各项系数!$D$4:$F$143,2,0))</f>
        <v>0</v>
      </c>
      <c r="EY150" s="251">
        <f>((各项系数!$F$76/4*$EJ150^2*$EG150*$EH150*1*10^-7)*(1-$H150)*AA150+IF($EO150=0,0,(各项系数!$F$76/4*$ER150^2*$EO150*$EP150*1*10^-7))*(1-$K150)*$AF150)*(VLOOKUP($EY$9,各项系数!$D$4:$F$143,3,0))*各项系数!$J$4</f>
        <v>0.0338182667745348</v>
      </c>
      <c r="EZ150" s="123">
        <v>1</v>
      </c>
      <c r="FA150" s="251">
        <f t="shared" si="515"/>
        <v>0.0338182667745348</v>
      </c>
      <c r="FB150" s="326">
        <f>FA150*(VLOOKUP($EY$9,各项系数!$D$4:$F$143,2,0))</f>
        <v>2.21509647373203</v>
      </c>
      <c r="FC150" s="327"/>
      <c r="FD150" s="302">
        <f>各项系数!$F$76/4*($MN150^2-MK150^2)*10^-2*(VLOOKUP(L150,各项系数!$D$1:$F$143,3,0))*10^-3*10^2*$EG150*各项系数!$J$4</f>
        <v>0.0140550439094839</v>
      </c>
      <c r="FE150" s="339">
        <f>FD150*VLOOKUP(L150,各项系数!$D$1:$F$143,2,0)</f>
        <v>0.161633004959065</v>
      </c>
      <c r="FF150" s="250">
        <f>各项系数!$F$76/4*($MO150^2-ML150^2)*10^-2*(VLOOKUP(L150,各项系数!$D$1:$F$143,3,0))*10^-3*10^2*$EO150*各项系数!$J$4</f>
        <v>0</v>
      </c>
      <c r="FG150" s="339">
        <f>FF150*VLOOKUP(L150,各项系数!$D$1:$F$143,2,0)</f>
        <v>0</v>
      </c>
      <c r="FH150" s="302">
        <f t="shared" si="651"/>
        <v>0.0140550439094839</v>
      </c>
      <c r="FI150" s="123">
        <v>1</v>
      </c>
      <c r="FJ150" s="251">
        <f t="shared" si="516"/>
        <v>0.0140550439094839</v>
      </c>
      <c r="FK150" s="339">
        <f>FJ150*VLOOKUP(L150,各项系数!$D$1:$F$143,2,0)</f>
        <v>0.161633004959065</v>
      </c>
      <c r="FL150" s="302"/>
      <c r="FM150" s="123"/>
      <c r="FN150" s="251"/>
      <c r="FO150" s="339"/>
      <c r="FP150" s="364">
        <f t="shared" si="517"/>
        <v>0.0140550439094839</v>
      </c>
      <c r="FQ150" s="364">
        <f t="shared" si="518"/>
        <v>0.161633004959065</v>
      </c>
      <c r="FR150" s="365">
        <f>各项系数!$F$76/4*($MQ150^2-$MN150^2*$EG150-$MO150^2*$EO150)*10^-2</f>
        <v>0.0773409459489372</v>
      </c>
      <c r="FS150" s="366">
        <f t="shared" si="652"/>
        <v>1</v>
      </c>
      <c r="FT150" s="367">
        <f t="shared" si="604"/>
        <v>0.0773409459489372</v>
      </c>
      <c r="FU150" s="388">
        <f>$FT150*(VLOOKUP($FT$9,各项系数!$D$1:$F$143,3,0))*10^-3*10^2*各项系数!$J$55</f>
        <v>0.0092345089463031</v>
      </c>
      <c r="FV150" s="389">
        <v>1</v>
      </c>
      <c r="FW150" s="390">
        <f t="shared" si="519"/>
        <v>0.0092345089463031</v>
      </c>
      <c r="FX150" s="367">
        <f>FW150*(VLOOKUP($FT$9,各项系数!$D$1:$F$143,2,0))</f>
        <v>0.0277035268389093</v>
      </c>
      <c r="FY150" s="388">
        <f>IF($BK150&lt;&gt;$FY$9,0,各项系数!$F$76/4*($MS150^2-$MQ150^2)*10^-2*(VLOOKUP($FY$9,各项系数!$D$1:$F$143,3,0))*10^-3*10^2)*各项系数!$J$4</f>
        <v>0</v>
      </c>
      <c r="FZ150" s="389">
        <v>1</v>
      </c>
      <c r="GA150" s="390">
        <f t="shared" si="520"/>
        <v>0</v>
      </c>
      <c r="GB150" s="367">
        <f>GA150*(VLOOKUP($FY$9,各项系数!$D$1:$F$143,2,0))</f>
        <v>0</v>
      </c>
      <c r="GC150" s="388">
        <f>IF($BK150&lt;&gt;$GC$9,0,各项系数!$F$76/4*($MS150^2-$MQ150^2)*10^-2*(VLOOKUP($GC$9,各项系数!$D$1:$F$143,3,0))*10^-3*10^2)*各项系数!$J$4</f>
        <v>0.0015418195013472</v>
      </c>
      <c r="GD150" s="389">
        <v>1</v>
      </c>
      <c r="GE150" s="390">
        <f t="shared" si="521"/>
        <v>0.0015418195013472</v>
      </c>
      <c r="GF150" s="367">
        <f>GE150*(VLOOKUP($GC$9,各项系数!$D$1:$F$143,2,0))</f>
        <v>0.0198894715673789</v>
      </c>
      <c r="GG150" s="388">
        <f>IF($BK150&lt;&gt;$GG$9,0,各项系数!$F$76/4*($MS150^2-$MQ150^2)*10^-2*(VLOOKUP($GG$9,各项系数!$D$1:$F$143,3,0))*10^-3*10^2)*各项系数!$J$4</f>
        <v>0</v>
      </c>
      <c r="GH150" s="389">
        <v>1</v>
      </c>
      <c r="GI150" s="390">
        <f t="shared" si="522"/>
        <v>0</v>
      </c>
      <c r="GJ150" s="367">
        <f>GI150*(VLOOKUP($GG$9,各项系数!$D$1:$F$143,2,0))</f>
        <v>0</v>
      </c>
      <c r="GK150" s="388">
        <f>IF($BK150&lt;&gt;$GK$9,0,各项系数!$F$76/4*($MS150^2-$MQ150^2)*10^-2*(VLOOKUP($GK$9,各项系数!$D$1:$F$143,3,0))*10^-3*10^2)*各项系数!$J$4</f>
        <v>0</v>
      </c>
      <c r="GL150" s="389">
        <v>1</v>
      </c>
      <c r="GM150" s="390">
        <f t="shared" si="523"/>
        <v>0</v>
      </c>
      <c r="GN150" s="367">
        <f>GM150*(VLOOKUP($GK$9,各项系数!$D$1:$F$143,2,0))</f>
        <v>0</v>
      </c>
      <c r="GO150" s="390">
        <f t="shared" si="524"/>
        <v>0.0015418195013472</v>
      </c>
      <c r="GP150" s="390">
        <f t="shared" si="525"/>
        <v>0.0198894715673789</v>
      </c>
      <c r="GQ150" s="406">
        <f>各项系数!$F$76/4*($MU150^2-$MS150^2)*10^-2*(VLOOKUP($S150,各项系数!$D$1:$F$143,3,0))*10^-3*10^2*各项系数!$J$4</f>
        <v>0.0931280422326107</v>
      </c>
      <c r="GR150" s="389">
        <v>1</v>
      </c>
      <c r="GS150" s="390">
        <f t="shared" si="526"/>
        <v>0.0931280422326107</v>
      </c>
      <c r="GT150" s="390">
        <f t="shared" si="696"/>
        <v>1</v>
      </c>
      <c r="GU150" s="390">
        <f>ROUND($GS150*(VLOOKUP($S150,各项系数!$D$1:$F$143,2,0))+$E$3*GS150,GT150)</f>
        <v>0.5</v>
      </c>
      <c r="GV150" s="406">
        <f>各项系数!$F$76/4*($MT150^2-$MS150^2)*10^-2*(VLOOKUP($GV$9,各项系数!$D$1:$F$143,3,0))*10^-3*10^2*各项系数!$J$4*PI()/4*R150</f>
        <v>0.0081430435256107</v>
      </c>
      <c r="GW150" s="389">
        <v>1</v>
      </c>
      <c r="GX150" s="390">
        <f t="shared" si="527"/>
        <v>0.0081430435256107</v>
      </c>
      <c r="GY150" s="390">
        <f>$GX150*(VLOOKUP($GV$9,各项系数!$D$1:$F$143,2,0))</f>
        <v>0.549655437978722</v>
      </c>
      <c r="GZ150" s="406">
        <f>各项系数!$F$76/4*($MV150^2-$MS150^2)*10^-2*(VLOOKUP($GZ$9,各项系数!$D$1:$F$143,3,0))*10^-3*10^2*各项系数!$J$4</f>
        <v>0.0377993983576898</v>
      </c>
      <c r="HA150" s="389">
        <v>1</v>
      </c>
      <c r="HB150" s="390">
        <f t="shared" si="653"/>
        <v>0.0377993983576898</v>
      </c>
      <c r="HC150" s="390">
        <f>HB150*(VLOOKUP($GZ$9,各项系数!$D$1:$F$143,2,0))</f>
        <v>0.642589772080726</v>
      </c>
      <c r="HD150" s="406">
        <f>各项系数!$F$76/4*($MW150^2-$MT150^2)*10^-2*(VLOOKUP($HD$9,各项系数!$D$1:$F$143,3,0))*10^-3*10^2*各项系数!$J$4</f>
        <v>0.0386696446554754</v>
      </c>
      <c r="HE150" s="389">
        <v>1</v>
      </c>
      <c r="HF150" s="390">
        <f t="shared" si="654"/>
        <v>0.0386696446554754</v>
      </c>
      <c r="HG150" s="390">
        <f>HF150*(VLOOKUP($HD$9,各项系数!$D$1:$F$143,2,0))</f>
        <v>0.657383959143081</v>
      </c>
      <c r="HH150" s="406">
        <f>各项系数!$F$76/4*($MV150^2-$MS150^2)*10^-2*(VLOOKUP($HH$9,各项系数!$D$1:$F$143,3,0))*10^-3*10^2*各项系数!$J$4</f>
        <v>0.0377993983576898</v>
      </c>
      <c r="HI150" s="420">
        <v>1</v>
      </c>
      <c r="HJ150" s="390">
        <f t="shared" si="655"/>
        <v>0.0377993983576898</v>
      </c>
      <c r="HK150" s="390">
        <f>HJ150*(VLOOKUP($HH$9,各项系数!$D$1:$F$143,2,0))</f>
        <v>0.642589772080726</v>
      </c>
      <c r="HL150" s="406">
        <f>各项系数!$F$76/4*($MW150^2-$MT150^2)*10^-2*(VLOOKUP($HL$9,各项系数!$D$1:$F$143,3,0))*10^-3*10^2*各项系数!$J$4</f>
        <v>0.0386696446554754</v>
      </c>
      <c r="HM150" s="420">
        <v>1</v>
      </c>
      <c r="HN150" s="390">
        <f t="shared" si="605"/>
        <v>0.0386696446554754</v>
      </c>
      <c r="HO150" s="390">
        <f>HN150*(VLOOKUP($HL$9,各项系数!$D$1:$F$143,2,0))</f>
        <v>0.657383959143081</v>
      </c>
      <c r="HP150" s="406">
        <f>各项系数!$F$76/4*($MV150^2-$MS150^2)*10^-2*(VLOOKUP(AN150,各项系数!$D$1:$F$143,3,0))*10^-3*10^2*各项系数!$J$4</f>
        <v>0.03832076936952</v>
      </c>
      <c r="HQ150" s="389">
        <v>1</v>
      </c>
      <c r="HR150" s="390">
        <f t="shared" si="528"/>
        <v>0.03832076936952</v>
      </c>
      <c r="HS150" s="390">
        <f>HR150*(VLOOKUP(AN150,各项系数!$D$1:$F$143,2,0))</f>
        <v>0.3832076936952</v>
      </c>
      <c r="HT150" s="406">
        <f>各项系数!$F$76/4*($MW150^2-$MT150^2)*10^-2*(VLOOKUP(AN150,各项系数!$D$1:$F$143,3,0))*10^-3*10^2*各项系数!$J$4</f>
        <v>0.0392030190645164</v>
      </c>
      <c r="HU150" s="389">
        <v>1</v>
      </c>
      <c r="HV150" s="390">
        <f t="shared" si="529"/>
        <v>0.0392030190645164</v>
      </c>
      <c r="HW150" s="390">
        <f>HV150*(VLOOKUP(AN150,各项系数!$D$1:$F$143,2,0))</f>
        <v>0.392030190645164</v>
      </c>
      <c r="HX150" s="406">
        <f>各项系数!$F$76/4*($MV150^2-$MS150^2)*10^-2*(VLOOKUP($HX$9,各项系数!$D$1:$F$143,3,0))*10^-3*10^2*各项系数!$J$4</f>
        <v>0.03832076936952</v>
      </c>
      <c r="HY150" s="420">
        <v>1</v>
      </c>
      <c r="HZ150" s="390">
        <f t="shared" si="530"/>
        <v>0.03832076936952</v>
      </c>
      <c r="IA150" s="390">
        <f>HZ150*(VLOOKUP($HX$9,各项系数!$D$1:$F$143,2,0))</f>
        <v>0.42152846306472</v>
      </c>
      <c r="IB150" s="406">
        <f>各项系数!$F$76/4*($MW150^2-$MT150^2)*10^-2*(VLOOKUP($IB$9,各项系数!$D$1:$F$143,3,0))*10^-3*10^2*各项系数!$J$4</f>
        <v>0.0392030190645164</v>
      </c>
      <c r="IC150" s="420">
        <v>1</v>
      </c>
      <c r="ID150" s="390">
        <f t="shared" si="531"/>
        <v>0.0392030190645164</v>
      </c>
      <c r="IE150" s="390">
        <f>ID150*(VLOOKUP($IB$9,各项系数!$D$1:$F$143,2,0))</f>
        <v>0.43123320970968</v>
      </c>
      <c r="IF150" s="429"/>
      <c r="IG150" s="406">
        <f t="shared" si="656"/>
        <v>0.00789500675096522</v>
      </c>
      <c r="IH150" s="389">
        <v>1</v>
      </c>
      <c r="II150" s="390">
        <f t="shared" si="532"/>
        <v>0.00789500675096522</v>
      </c>
      <c r="IJ150" s="390">
        <f>II150*(VLOOKUP($IG$8,各项系数!$D$1:$F$143,2,0))</f>
        <v>0.19737516877413</v>
      </c>
      <c r="IK150" s="406">
        <f>(各项系数!$F$76/4*($MX150^2-$MK150^2)*$EG150)*10^-2*(VLOOKUP($IG$8,各项系数!$D$1:$F$143,3,0))*10^-3*10^2*各项系数!$J$4</f>
        <v>0.00789500675096522</v>
      </c>
      <c r="IL150" s="389">
        <f>IK150*(VLOOKUP($IG$8,各项系数!$D$1:$F$143,2,0))</f>
        <v>0.19737516877413</v>
      </c>
      <c r="IM150" s="390">
        <f>(各项系数!$F$76/4*(($MM150+3*$X150)^2-MM150^2)*$EO150)*10^-2*(VLOOKUP($IG$8,各项系数!$D$1:$F$143,3,0))*10^-3*10^2*各项系数!$J$4</f>
        <v>0</v>
      </c>
      <c r="IN150" s="389">
        <f>IM150*(VLOOKUP($IG$8,各项系数!$D$1:$F$143,2,0))</f>
        <v>0</v>
      </c>
      <c r="IO150" s="406">
        <f>各项系数!$F$76/4*($MZ150^2-$MX150^2)*10^-2*(VLOOKUP(L150,各项系数!$D$1:$F$143,3,0))*10^-3*10^2*$ES150*各项系数!$J$4</f>
        <v>0.0190064452589537</v>
      </c>
      <c r="IP150" s="389">
        <v>1</v>
      </c>
      <c r="IQ150" s="390">
        <f t="shared" si="533"/>
        <v>0.0190064452589537</v>
      </c>
      <c r="IR150" s="367">
        <f>IQ150*(VLOOKUP(L150,各项系数!$D$1:$F$143,2,0))</f>
        <v>0.218574120477967</v>
      </c>
      <c r="IS150" s="406">
        <f>IF($L150&lt;&gt;$IS$9,0,各项系数!$F$76/4*($MZ150^2-$MX150^2)*10^-2*各项系数!$F$12*10^-3*10^2)*$ES150*各项系数!$J$4</f>
        <v>0</v>
      </c>
      <c r="IT150" s="389">
        <v>1</v>
      </c>
      <c r="IU150" s="390">
        <f t="shared" si="534"/>
        <v>0</v>
      </c>
      <c r="IV150" s="367">
        <f>IU150*各项系数!$E$12</f>
        <v>0</v>
      </c>
      <c r="IW150" s="388">
        <f t="shared" si="535"/>
        <v>0.0190064452589537</v>
      </c>
      <c r="IX150" s="388">
        <f t="shared" si="536"/>
        <v>0.218574120477967</v>
      </c>
      <c r="IY150" s="447">
        <f>各项系数!$F$76/4*($NB150^2-$MZ150^2*$EG150-$NA150^2*$EO150)*10^-2</f>
        <v>0.12288623574251</v>
      </c>
      <c r="IZ150" s="366">
        <f t="shared" ref="IZ150:IZ213" si="697">VLOOKUP(EC150,$A$38:$B$65,2,0)</f>
        <v>1</v>
      </c>
      <c r="JA150" s="367">
        <f t="shared" si="606"/>
        <v>0.12288623574251</v>
      </c>
      <c r="JB150" s="364">
        <f>IF($DE150&lt;&gt;$JB$9,0,$JA150*各项系数!$F$32*10^-3*10^2)*各项系数!$J$4</f>
        <v>0</v>
      </c>
      <c r="JC150" s="123">
        <v>1</v>
      </c>
      <c r="JD150" s="251">
        <f t="shared" si="537"/>
        <v>0</v>
      </c>
      <c r="JE150" s="339">
        <f>JD150*各项系数!$E$32</f>
        <v>0</v>
      </c>
      <c r="JF150" s="364">
        <f>IF($DE150&lt;&gt;$JF$9,0,$JA150*VLOOKUP($JF$9,各项系数!$D$4:$F$540,2,0)*10^-3*10^2)*各项系数!$J$4</f>
        <v>0.0611359022818988</v>
      </c>
      <c r="JG150" s="123">
        <v>1</v>
      </c>
      <c r="JH150" s="251">
        <f t="shared" si="607"/>
        <v>0.0611359022818988</v>
      </c>
      <c r="JI150" s="339">
        <f>JH150*VLOOKUP($JF$9,各项系数!$D$4:$F$540,3,0)</f>
        <v>0.0733630827382785</v>
      </c>
      <c r="JJ150" s="364">
        <f t="shared" si="538"/>
        <v>0.0611359022818988</v>
      </c>
      <c r="JK150" s="251">
        <f t="shared" si="539"/>
        <v>0.0733630827382785</v>
      </c>
      <c r="JL150" s="364">
        <f>IF($DF150&lt;&gt;$JL$9,0,各项系数!$F$76/4*($NE150^2-$NC150^2)*10^-2*各项系数!$F$39*10^-3*10^2)*各项系数!$J$4</f>
        <v>0.000804112760120216</v>
      </c>
      <c r="JM150" s="123">
        <v>1</v>
      </c>
      <c r="JN150" s="251">
        <f t="shared" si="540"/>
        <v>0.000804112760120216</v>
      </c>
      <c r="JO150" s="339">
        <f>JN150*各项系数!$E$39</f>
        <v>0.0160822552024043</v>
      </c>
      <c r="JP150" s="364">
        <f>IF($DF150&lt;&gt;$JP$9,0,各项系数!$F$76/4*($NE150^2-$NC150^2)*10^-2*各项系数!$F$36*10^-3*10^2)*各项系数!$J$4</f>
        <v>0</v>
      </c>
      <c r="JQ150" s="123">
        <v>1</v>
      </c>
      <c r="JR150" s="251">
        <f t="shared" si="541"/>
        <v>0</v>
      </c>
      <c r="JS150" s="339">
        <f>JR150*各项系数!$E$36</f>
        <v>0</v>
      </c>
      <c r="JT150" s="364">
        <f>IF($DF150&lt;&gt;$JT$9,0,各项系数!$F$76/4*($NE150^2-$NC150^2)*10^-2*各项系数!$F$40*10^-3*10^2)*各项系数!$J$4</f>
        <v>0</v>
      </c>
      <c r="JU150" s="123">
        <v>1</v>
      </c>
      <c r="JV150" s="251">
        <f t="shared" si="542"/>
        <v>0</v>
      </c>
      <c r="JW150" s="339">
        <f>JV150*各项系数!$E$40</f>
        <v>0</v>
      </c>
      <c r="JX150" s="364">
        <f>IF($DF150&lt;&gt;$JX$9,0,各项系数!$F$76/4*($NE150^2-$NC150^2)*10^-2*各项系数!$F$38*10^-3*10^2)*各项系数!$J$4</f>
        <v>0</v>
      </c>
      <c r="JY150" s="123">
        <v>1</v>
      </c>
      <c r="JZ150" s="251">
        <f t="shared" si="543"/>
        <v>0</v>
      </c>
      <c r="KA150" s="339">
        <f>JZ150*各项系数!$E$38</f>
        <v>0</v>
      </c>
      <c r="KB150" s="364">
        <f>IF($DF150&lt;&gt;$KB$9,0,各项系数!$F$76/4*($NE150^2-$NC150^2)*10^-2*各项系数!$F$41*10^-3*10^2)*各项系数!$J$4</f>
        <v>0</v>
      </c>
      <c r="KC150" s="123">
        <v>1</v>
      </c>
      <c r="KD150" s="251">
        <f t="shared" si="544"/>
        <v>0</v>
      </c>
      <c r="KE150" s="339">
        <f>KD150*各项系数!$E$41</f>
        <v>0</v>
      </c>
      <c r="KF150" s="251">
        <f t="shared" si="545"/>
        <v>0.000804112760120216</v>
      </c>
      <c r="KG150" s="251">
        <f t="shared" si="546"/>
        <v>0.0160822552024043</v>
      </c>
      <c r="KH150" s="302">
        <f>各项系数!$F$76/4*($NG150^2-$NE150^2)*10^-2*各项系数!$F$44*10^-3*10^2*各项系数!$J$4*0.75*$U150</f>
        <v>0.346088055295703</v>
      </c>
      <c r="KI150" s="123">
        <v>1</v>
      </c>
      <c r="KJ150" s="251">
        <f t="shared" si="547"/>
        <v>0.346088055295703</v>
      </c>
      <c r="KK150" s="251">
        <f>ROUND(KJ150*各项系数!$E$43,GT150)</f>
        <v>2</v>
      </c>
      <c r="KL150" s="302">
        <f>各项系数!$F$76/4*($NF150^2-$NE150^2)*10^-2*各项系数!$F$46*10^-3*10^2*各项系数!$J$4*PI()/4*R150</f>
        <v>0.0102606427589298</v>
      </c>
      <c r="KM150" s="123">
        <v>1</v>
      </c>
      <c r="KN150" s="251">
        <f t="shared" si="548"/>
        <v>0.0102606427589298</v>
      </c>
      <c r="KO150" s="251">
        <f>KN150*各项系数!$E$46</f>
        <v>0.692593386227763</v>
      </c>
      <c r="KP150" s="302">
        <f>各项系数!$F$76/4*($NH150^2-$NE150^2)*10^-2*(VLOOKUP($KP$9,各项系数!$D$1:$F$143,3,0))*10^-3*10^2*各项系数!$J$4</f>
        <v>0.0460449820292083</v>
      </c>
      <c r="KQ150" s="123">
        <v>1</v>
      </c>
      <c r="KR150" s="251">
        <f t="shared" si="657"/>
        <v>0.0460449820292083</v>
      </c>
      <c r="KS150" s="251">
        <f>KR150*(VLOOKUP($KP$9,各项系数!$D$1:$F$143,2,0))</f>
        <v>0.782764694496541</v>
      </c>
      <c r="KT150" s="302">
        <f>各项系数!$F$76/4*($NI150^2-$NF150^2)*10^-2*(VLOOKUP($KT$9,各项系数!$D$1:$F$143,3,0))*10^-3*10^2*各项系数!$J$4</f>
        <v>0.0469152283269939</v>
      </c>
      <c r="KU150" s="123">
        <v>1</v>
      </c>
      <c r="KV150" s="251">
        <f t="shared" si="658"/>
        <v>0.0469152283269939</v>
      </c>
      <c r="KW150" s="251">
        <f>KV150*(VLOOKUP($KT$9,各项系数!$D$1:$F$143,2,0))</f>
        <v>0.797558881558897</v>
      </c>
      <c r="KX150" s="251">
        <f>各项系数!$F$76/4*($NH150^2-$NE150^2)*10^-2*(VLOOKUP($KX$9,各项系数!$D$1:$F$143,3,0))*10^-3*10^2*各项系数!$J$4</f>
        <v>0.0460449820292083</v>
      </c>
      <c r="KY150" s="479">
        <v>1</v>
      </c>
      <c r="KZ150" s="251">
        <f t="shared" si="659"/>
        <v>0.0460449820292083</v>
      </c>
      <c r="LA150" s="251">
        <f>KZ150*(VLOOKUP($KX$9,各项系数!$D$1:$F$143,2,0))</f>
        <v>0.782764694496541</v>
      </c>
      <c r="LB150" s="251">
        <f>各项系数!$F$76/4*($NI150^2-$NF150^2)*10^-2*(VLOOKUP($LB$9,各项系数!$D$1:$F$143,3,0))*10^-3*10^2*各项系数!$J$4</f>
        <v>0.0469152283269939</v>
      </c>
      <c r="LC150" s="479">
        <v>1</v>
      </c>
      <c r="LD150" s="251">
        <f t="shared" si="660"/>
        <v>0.0469152283269939</v>
      </c>
      <c r="LE150" s="251">
        <f>LD150*(VLOOKUP($LB$9,各项系数!$D$1:$F$143,2,0))</f>
        <v>0.797558881558897</v>
      </c>
      <c r="LF150" s="302">
        <f>各项系数!$F$76/4*($NH150^2-$NE150^2)*10^-2*(VLOOKUP(AN150,各项系数!$D$1:$F$143,3,0))*10^-3*10^2*各项系数!$J$4</f>
        <v>0.0466800852296112</v>
      </c>
      <c r="LG150" s="123">
        <v>1</v>
      </c>
      <c r="LH150" s="251">
        <f t="shared" si="549"/>
        <v>0.0466800852296112</v>
      </c>
      <c r="LI150" s="251">
        <f>LH150*(VLOOKUP(AN150,各项系数!$D$1:$F$143,2,0))</f>
        <v>0.466800852296112</v>
      </c>
      <c r="LJ150" s="302">
        <f>各项系数!$F$76/4*($NI150^2-$NF150^2)*10^-2*(VLOOKUP(AN150,各项系数!$D$1:$F$143,3,0))*10^-3*10^2*各项系数!$J$4</f>
        <v>0.0475623349246076</v>
      </c>
      <c r="LK150" s="123">
        <v>1</v>
      </c>
      <c r="LL150" s="251">
        <f t="shared" si="550"/>
        <v>0.0475623349246076</v>
      </c>
      <c r="LM150" s="251">
        <f>LL150*(VLOOKUP(AN150,各项系数!$D$1:$F$143,2,0))</f>
        <v>0.475623349246076</v>
      </c>
      <c r="LN150" s="251">
        <f>各项系数!$F$76/4*($NH150^2-$NE150^2)*10^-2*(VLOOKUP($LN$9,各项系数!$D$1:$F$143,3,0))*10^-3*10^2*各项系数!$J$4</f>
        <v>0.0466800852296112</v>
      </c>
      <c r="LO150" s="479">
        <v>1</v>
      </c>
      <c r="LP150" s="251">
        <f t="shared" si="551"/>
        <v>0.0466800852296112</v>
      </c>
      <c r="LQ150" s="251">
        <f>LP150*(VLOOKUP($LN$9,各项系数!$D$1:$F$143,2,0))</f>
        <v>0.513480937525723</v>
      </c>
      <c r="LR150" s="251">
        <f>各项系数!$F$76/4*($NI150^2-$NF150^2)*10^-2*(VLOOKUP($LR$9,各项系数!$D$1:$F$143,3,0))*10^-3*10^2*各项系数!$J$4</f>
        <v>0.0475623349246076</v>
      </c>
      <c r="LS150" s="479">
        <v>1</v>
      </c>
      <c r="LT150" s="251">
        <f t="shared" si="552"/>
        <v>0.0475623349246076</v>
      </c>
      <c r="LU150" s="251">
        <f>LT150*(VLOOKUP($LR$9,各项系数!$D$1:$F$143,2,0))</f>
        <v>0.523185684170684</v>
      </c>
      <c r="LV150" s="499">
        <f t="shared" si="661"/>
        <v>3.82319551</v>
      </c>
      <c r="LW150" s="499">
        <f t="shared" si="662"/>
        <v>3.82319551</v>
      </c>
      <c r="LX150" s="499">
        <f t="shared" si="663"/>
        <v>2.20631904097887</v>
      </c>
      <c r="LY150" s="515">
        <f t="shared" si="664"/>
        <v>0</v>
      </c>
      <c r="LZ150" s="516">
        <f t="shared" si="608"/>
        <v>1</v>
      </c>
      <c r="MA150" s="517">
        <f t="shared" si="609"/>
        <v>3.82319551</v>
      </c>
      <c r="MB150" s="517">
        <f t="shared" si="665"/>
        <v>1.10315952</v>
      </c>
      <c r="MC150" s="499">
        <f t="shared" si="666"/>
        <v>0</v>
      </c>
      <c r="MD150" s="499">
        <f t="shared" si="667"/>
        <v>0</v>
      </c>
      <c r="ME150" s="499">
        <f t="shared" si="668"/>
        <v>0</v>
      </c>
      <c r="MF150" s="499">
        <f t="shared" si="669"/>
        <v>0</v>
      </c>
      <c r="MG150" s="516">
        <f t="shared" si="670"/>
        <v>1</v>
      </c>
      <c r="MH150" s="517">
        <f t="shared" si="610"/>
        <v>0</v>
      </c>
      <c r="MI150" s="517">
        <f t="shared" si="671"/>
        <v>0</v>
      </c>
      <c r="MJ150" s="251">
        <f t="shared" si="611"/>
        <v>1.10315952</v>
      </c>
      <c r="MK150" s="251">
        <f t="shared" si="672"/>
        <v>1.10315952</v>
      </c>
      <c r="ML150" s="251">
        <f t="shared" si="553"/>
        <v>0</v>
      </c>
      <c r="MM150" s="251">
        <f t="shared" si="612"/>
        <v>0</v>
      </c>
      <c r="MN150" s="251">
        <f t="shared" si="613"/>
        <v>2.30315952</v>
      </c>
      <c r="MO150" s="251">
        <f t="shared" si="673"/>
        <v>0</v>
      </c>
      <c r="MP150" s="251">
        <f t="shared" si="674"/>
        <v>5.57364604</v>
      </c>
      <c r="MQ150" s="251">
        <f t="shared" si="554"/>
        <v>5.57364604</v>
      </c>
      <c r="MR150" s="314">
        <f t="shared" si="675"/>
        <v>5.57364604</v>
      </c>
      <c r="MS150" s="530">
        <f t="shared" si="614"/>
        <v>5.74964604</v>
      </c>
      <c r="MT150" s="530">
        <f t="shared" si="615"/>
        <v>5.90964604</v>
      </c>
      <c r="MU150" s="530">
        <f t="shared" si="616"/>
        <v>6.94964604</v>
      </c>
      <c r="MV150" s="530">
        <f t="shared" si="617"/>
        <v>8.14964604</v>
      </c>
      <c r="MW150" s="530">
        <f t="shared" si="618"/>
        <v>8.30964604</v>
      </c>
      <c r="MX150" s="326">
        <f t="shared" si="619"/>
        <v>1.70315952</v>
      </c>
      <c r="MY150" s="326">
        <f t="shared" si="620"/>
        <v>0</v>
      </c>
      <c r="MZ150" s="251">
        <f t="shared" si="621"/>
        <v>2.90315952</v>
      </c>
      <c r="NA150" s="251">
        <f t="shared" si="622"/>
        <v>0</v>
      </c>
      <c r="NB150" s="251">
        <f t="shared" si="676"/>
        <v>7.02564604</v>
      </c>
      <c r="NC150" s="326">
        <f t="shared" si="555"/>
        <v>7.02564604</v>
      </c>
      <c r="ND150" s="314">
        <f t="shared" si="677"/>
        <v>7.02564604</v>
      </c>
      <c r="NE150" s="537">
        <f t="shared" si="678"/>
        <v>7.26564604</v>
      </c>
      <c r="NF150" s="530">
        <f t="shared" si="623"/>
        <v>7.42564604</v>
      </c>
      <c r="NG150" s="538">
        <f t="shared" si="624"/>
        <v>8.46564604</v>
      </c>
      <c r="NH150" s="326">
        <f t="shared" si="625"/>
        <v>9.66564604</v>
      </c>
      <c r="NI150" s="530">
        <f t="shared" si="626"/>
        <v>9.82564604</v>
      </c>
      <c r="NK150" s="539">
        <f t="shared" si="627"/>
        <v>0.0969704085011889</v>
      </c>
      <c r="NL150" s="539">
        <f t="shared" si="628"/>
        <v>2.80753017079258</v>
      </c>
      <c r="NM150" s="539">
        <f t="shared" si="629"/>
        <v>0.0969704085011889</v>
      </c>
      <c r="NN150" s="539">
        <f t="shared" si="630"/>
        <v>2.8458509401621</v>
      </c>
      <c r="NO150" s="539">
        <f t="shared" si="631"/>
        <v>0.169339819056084</v>
      </c>
      <c r="NP150" s="539">
        <f t="shared" si="632"/>
        <v>3.18729195322092</v>
      </c>
      <c r="NQ150" s="539">
        <f t="shared" si="633"/>
        <v>0.169339819056084</v>
      </c>
      <c r="NR150" s="539">
        <f t="shared" si="634"/>
        <v>3.23397203845053</v>
      </c>
      <c r="NS150" s="539">
        <f t="shared" si="635"/>
        <v>0.1051134520268</v>
      </c>
      <c r="NT150" s="539">
        <f t="shared" si="636"/>
        <v>0.1051134520268</v>
      </c>
      <c r="NU150" s="539">
        <f t="shared" si="637"/>
        <v>0.179600461815014</v>
      </c>
      <c r="NV150" s="539">
        <f t="shared" si="638"/>
        <v>0.179600461815014</v>
      </c>
      <c r="NW150">
        <f t="shared" si="639"/>
        <v>0.1900984507338</v>
      </c>
      <c r="NX150">
        <f>各项系数!$M$9*NK150</f>
        <v>0.0290911225503567</v>
      </c>
      <c r="NY150">
        <f t="shared" si="640"/>
        <v>0.1051134520268</v>
      </c>
    </row>
    <row r="151" customHeight="1" spans="1:389">
      <c r="A151" s="85"/>
      <c r="B151" s="86"/>
      <c r="C151" s="218"/>
      <c r="D151" s="123" t="s">
        <v>131</v>
      </c>
      <c r="E151" s="77">
        <f t="shared" si="687"/>
        <v>8.7945307</v>
      </c>
      <c r="F151" s="558">
        <f t="shared" si="693"/>
        <v>110.31595161029</v>
      </c>
      <c r="G151" s="23"/>
      <c r="H151" s="23"/>
      <c r="I151" s="174">
        <v>0</v>
      </c>
      <c r="J151" s="23"/>
      <c r="K151" s="23"/>
      <c r="L151" s="118" t="s">
        <v>469</v>
      </c>
      <c r="M151" s="124">
        <f t="shared" si="582"/>
        <v>0.6</v>
      </c>
      <c r="N151" s="124">
        <f t="shared" si="583"/>
        <v>0</v>
      </c>
      <c r="O151" s="69">
        <f t="shared" si="688"/>
        <v>0.08</v>
      </c>
      <c r="P151" s="120">
        <v>0.1</v>
      </c>
      <c r="Q151" s="162">
        <f t="shared" si="685"/>
        <v>0.1</v>
      </c>
      <c r="R151" s="560">
        <v>0.8</v>
      </c>
      <c r="S151" s="171" t="str">
        <f>各项系数!$D$43</f>
        <v>钢带</v>
      </c>
      <c r="T151" s="123">
        <v>0.2</v>
      </c>
      <c r="U151" s="78">
        <v>4</v>
      </c>
      <c r="V151" s="172"/>
      <c r="W151" s="170">
        <f t="shared" si="694"/>
        <v>1.2</v>
      </c>
      <c r="X151" s="164">
        <f t="shared" si="686"/>
        <v>0.2</v>
      </c>
      <c r="Y151" s="219"/>
      <c r="Z151" s="220"/>
      <c r="AA151" s="217">
        <v>1</v>
      </c>
      <c r="AB151" s="186">
        <f>PI()*EJ151*EJ151/4*EH151*(1-H151)*AA151*各项系数!$F$5*各项系数!$J$4*10^-7</f>
        <v>0.0084545666936337</v>
      </c>
      <c r="AC151" s="186">
        <f t="shared" si="573"/>
        <v>110.31595161029</v>
      </c>
      <c r="AD151" s="186">
        <f t="shared" si="584"/>
        <v>0.955798869898841</v>
      </c>
      <c r="AE151" s="186">
        <f>POWER(4*EU151/PI()/EG151/10^-7/EH151/(1-H151)/各项系数!$F$5/各项系数!$J$4,0.5)</f>
        <v>110.31595161029</v>
      </c>
      <c r="AF151" s="218">
        <v>1</v>
      </c>
      <c r="AG151" s="85">
        <f>IF(EM151=0,0,PI()*ER151*ER151/4*EP151*(1-K151)*(1+AF151)*各项系数!$F$5*各项系数!$J$4*10^-7)</f>
        <v>0</v>
      </c>
      <c r="AH151" s="85">
        <f t="shared" si="574"/>
        <v>0</v>
      </c>
      <c r="AI151" s="85">
        <f t="shared" si="641"/>
        <v>0</v>
      </c>
      <c r="AJ151" s="85">
        <f>IF(OR(EP151="",EP151=0),0,POWER(4*EW151/PI()/EO151/10^-7/EP151/(1-K151)/各项系数!$F$5/各项系数!$J$4,0.5))</f>
        <v>0</v>
      </c>
      <c r="AK151" s="85" t="str">
        <f t="shared" si="585"/>
        <v>√</v>
      </c>
      <c r="AL151" s="85">
        <f t="shared" si="575"/>
        <v>3.79666034161611</v>
      </c>
      <c r="AM151" s="250">
        <f t="shared" si="576"/>
        <v>1</v>
      </c>
      <c r="AN151" s="118" t="s">
        <v>486</v>
      </c>
      <c r="AO151" s="259">
        <f>AP151+各项系数!$M$9*$NK151</f>
        <v>3.72221602119226</v>
      </c>
      <c r="AP151" s="259">
        <f>AQ151*(1+$BI151+(VLOOKUP($AM151,$A$12:$B$323,2,0))+各项系数!$J$6+各项系数!$M$5)*(1+$E$2)</f>
        <v>3.68776786231825</v>
      </c>
      <c r="AQ151" s="260">
        <f>AR151+各项系数!$L$9*$NK151</f>
        <v>3.61829656820865</v>
      </c>
      <c r="AR151" s="260">
        <f>AS151*(1+$BJ151+各项系数!$J$5+各项系数!$L$5)</f>
        <v>3.58384840933464</v>
      </c>
      <c r="AS151" s="260">
        <f t="shared" si="642"/>
        <v>3.44600808589869</v>
      </c>
      <c r="AT151" s="259">
        <f>AU151+各项系数!$M$9*$NM151</f>
        <v>4.02266516902301</v>
      </c>
      <c r="AU151" s="259">
        <f>AV151*(1+$BI151+(VLOOKUP($AM151,$A$12:$B$323,2,0))+各项系数!$J$6+各项系数!$M$5)*(1+$E$2)</f>
        <v>3.98821701014901</v>
      </c>
      <c r="AV151" s="260">
        <f>AW151+各项系数!$L$9*$NM151</f>
        <v>3.91308576349</v>
      </c>
      <c r="AW151" s="260">
        <f>AX151*(1+$BJ151+各项系数!$J$5+各项系数!$L$5)</f>
        <v>3.87863760461599</v>
      </c>
      <c r="AX151" s="260">
        <f t="shared" si="643"/>
        <v>3.72945923520768</v>
      </c>
      <c r="AY151" s="259">
        <f>AZ151+各项系数!$M$9*$NS151</f>
        <v>4.38411319024999</v>
      </c>
      <c r="AZ151" s="259">
        <f>BA151*(1+$BI151+(VLOOKUP($AM151,$A$12:$B$214,2,0))+各项系数!$J$6+各项系数!$M$5)*(1+$E$2)</f>
        <v>4.34695187941429</v>
      </c>
      <c r="BA151" s="260">
        <f>BB151+各项系数!$L$9*$NS151</f>
        <v>4.26506267603443</v>
      </c>
      <c r="BB151" s="260">
        <f>BC151*(1+$BJ151+各项系数!$J$5+各项系数!$L$5)</f>
        <v>4.22790136519873</v>
      </c>
      <c r="BC151" s="262">
        <f t="shared" si="644"/>
        <v>4.06528977422954</v>
      </c>
      <c r="BD151" s="259">
        <f>BE151+各项系数!$M$9*$NS151</f>
        <v>4.69089213850579</v>
      </c>
      <c r="BE151" s="259">
        <f>BF151*(1+$BI151+(VLOOKUP($AM151,$A$12:$B$214,2,0))+各项系数!$J$6+各项系数!$M$5)*(1+$E$2)</f>
        <v>4.65373082767009</v>
      </c>
      <c r="BF151" s="260">
        <f>BG151+各项系数!$L$9*$NS151</f>
        <v>4.56606242903266</v>
      </c>
      <c r="BG151" s="260">
        <f>BH151*(1+$BJ151+各项系数!$J$5+各项系数!$L$5)</f>
        <v>4.52890111819696</v>
      </c>
      <c r="BH151" s="262">
        <f t="shared" si="645"/>
        <v>4.35471261365093</v>
      </c>
      <c r="BI151" s="277"/>
      <c r="BJ151" s="272">
        <f t="shared" si="695"/>
        <v>0.02</v>
      </c>
      <c r="BK151" s="123" t="s">
        <v>514</v>
      </c>
      <c r="BL151" s="259">
        <f>BM151+各项系数!$M$9*$NM151</f>
        <v>3.80215250750911</v>
      </c>
      <c r="BM151" s="259">
        <f>BN151*(1+$CF151+(VLOOKUP($AM151,$A$12:$B$323,2,0))+各项系数!$J$6+各项系数!$M$5)*(1+$E$2)</f>
        <v>3.7677043486351</v>
      </c>
      <c r="BN151" s="260">
        <f>BO151+各项系数!$L$9*$NM151</f>
        <v>3.6967271866514</v>
      </c>
      <c r="BO151" s="260">
        <f>BP151*(1+$CG151+各项系数!$J$5+各项系数!$L$5)</f>
        <v>3.66227902777739</v>
      </c>
      <c r="BP151" s="260">
        <f t="shared" si="646"/>
        <v>3.48788478835942</v>
      </c>
      <c r="BQ151" s="259">
        <f>BR151+各项系数!$M$9*$NM151</f>
        <v>4.06067581754825</v>
      </c>
      <c r="BR151" s="259">
        <f>BS151*(1+$CF151+(VLOOKUP($AM151,$A$12:$B$323,2,0))+各项系数!$J$6+各项系数!$M$5)*(1+$E$2)</f>
        <v>4.02622765867424</v>
      </c>
      <c r="BS151" s="260">
        <f>BT151+各项系数!$L$9*$NM151</f>
        <v>3.95038035584208</v>
      </c>
      <c r="BT151" s="260">
        <f>BU151*(1+$CG151+各项系数!$J$5+各项系数!$L$5)</f>
        <v>3.91593219696807</v>
      </c>
      <c r="BU151" s="260">
        <f t="shared" si="647"/>
        <v>3.72945923520768</v>
      </c>
      <c r="BV151" s="259">
        <f>BW151+各项系数!$M$9*$NT151</f>
        <v>4.4418527963597</v>
      </c>
      <c r="BW151" s="259">
        <f>BX151*(1+$CF151+(VLOOKUP($AM151,$A$12:$B$214,2,0))+各项系数!$J$6+各项系数!$M$5)*(1+$E$2)</f>
        <v>4.404691485524</v>
      </c>
      <c r="BX151" s="260">
        <f>BY151+各项系数!$L$9*$NT$12</f>
        <v>4.3217145658595</v>
      </c>
      <c r="BY151" s="260">
        <f>BZ151*(1+$CG151+各项系数!$J$5+各项系数!$L$5)</f>
        <v>4.31345116270453</v>
      </c>
      <c r="BZ151" s="262">
        <f t="shared" si="586"/>
        <v>4.10804872638526</v>
      </c>
      <c r="CA151" s="259">
        <f>CB151+各项系数!$M$9*$NT151</f>
        <v>4.70582262195592</v>
      </c>
      <c r="CB151" s="259">
        <f>CC151*(1+$CF151+(VLOOKUP($AM151,$A$12:$B$214,2,0))+各项系数!$J$6+各项系数!$M$5)*(1+$E$2)</f>
        <v>4.66866131112022</v>
      </c>
      <c r="CC151" s="260">
        <f>CD151+各项系数!$L$9*$NT$12</f>
        <v>4.58071164748845</v>
      </c>
      <c r="CD151" s="260">
        <f>CE151*(1+$CG151+各项系数!$J$5+各项系数!$L$5)</f>
        <v>4.57244824433347</v>
      </c>
      <c r="CE151" s="262">
        <f t="shared" si="648"/>
        <v>4.35471261365093</v>
      </c>
      <c r="CF151" s="277">
        <f t="shared" si="514"/>
        <v>0</v>
      </c>
      <c r="CG151" s="277">
        <f t="shared" si="587"/>
        <v>0.03</v>
      </c>
      <c r="CH151" s="123"/>
      <c r="CI151" s="259">
        <f>CJ151+各项系数!$M$9*$NO151</f>
        <v>4.30089010994964</v>
      </c>
      <c r="CJ151" s="259">
        <f>CK151*(1+$DC151+(VLOOKUP($AM151,$A$12:$B$323,2,0))+各项系数!$J$6+各项系数!$M$5)*(1+$E$2)+各项系数!$M$9*$NK151</f>
        <v>4.23987819397421</v>
      </c>
      <c r="CK151" s="260">
        <f>CL151+各项系数!$L$9*$NO151</f>
        <v>4.12620686332438</v>
      </c>
      <c r="CL151" s="260">
        <f>CM151*(1+$DD151+各项系数!$J$5+各项系数!$L$5)</f>
        <v>4.06519494734895</v>
      </c>
      <c r="CM151" s="260">
        <f t="shared" si="588"/>
        <v>3.90884129552783</v>
      </c>
      <c r="CN151" s="259">
        <f>CO151+各项系数!$M$9*$NO151</f>
        <v>4.50291404197509</v>
      </c>
      <c r="CO151" s="259">
        <f>CP151*(1+$DC151+(VLOOKUP($AM151,$A$12:$B$323,2,0))+各项系数!$J$6+各项系数!$M$5)*(1+$E$2)+各项系数!$M$9*$NK151</f>
        <v>4.44190212599966</v>
      </c>
      <c r="CP151" s="260">
        <f>CQ151+各项系数!$L$9*$NO151</f>
        <v>4.32442500699142</v>
      </c>
      <c r="CQ151" s="260">
        <f>CR151*(1+$DD151+各项系数!$J$5+各项系数!$L$5)</f>
        <v>4.26341309101599</v>
      </c>
      <c r="CR151" s="260">
        <f t="shared" si="589"/>
        <v>4.09943566443845</v>
      </c>
      <c r="CS151" s="259">
        <f>CT151+各项系数!$M$9*$NU151</f>
        <v>5.09806366837967</v>
      </c>
      <c r="CT151" s="259">
        <f t="shared" si="590"/>
        <v>5.03363292027588</v>
      </c>
      <c r="CU151" s="260">
        <f>CV151+各项系数!$L$9*$NU151</f>
        <v>4.93880781031778</v>
      </c>
      <c r="CV151" s="260">
        <f>CW151*(1+$DD151+各项系数!$J$5+各项系数!$L$5)</f>
        <v>4.87437706221398</v>
      </c>
      <c r="CW151" s="262">
        <f t="shared" si="591"/>
        <v>4.6869010213596</v>
      </c>
      <c r="CX151" s="259">
        <f>CY151+各项系数!$M$9*$NU151</f>
        <v>5.47146376610913</v>
      </c>
      <c r="CY151" s="259">
        <f t="shared" si="592"/>
        <v>5.40703301800534</v>
      </c>
      <c r="CZ151" s="260">
        <f>DA151+各项系数!$L$9*$NU151</f>
        <v>5.30517368328624</v>
      </c>
      <c r="DA151" s="260">
        <f>DB151*(1+$DD151+各项系数!$J$5+各项系数!$L$5)</f>
        <v>5.24074293518245</v>
      </c>
      <c r="DB151" s="262">
        <f t="shared" si="593"/>
        <v>5.03917589921389</v>
      </c>
      <c r="DC151" s="277">
        <f t="shared" si="571"/>
        <v>0</v>
      </c>
      <c r="DD151" s="277">
        <f t="shared" si="594"/>
        <v>0.02</v>
      </c>
      <c r="DE151" s="69" t="s">
        <v>498</v>
      </c>
      <c r="DF151" s="69" t="s">
        <v>513</v>
      </c>
      <c r="DG151" s="259">
        <f>DH151+各项系数!$M$9*$NQ151</f>
        <v>4.39548095355014</v>
      </c>
      <c r="DH151" s="259">
        <f>DI151*(1+$EA151+(VLOOKUP($AM151,$A$12:$B$323,2,0))+各项系数!$J$6+各项系数!$M$5)*(1+$E$2)+各项系数!$M$9*$NK151</f>
        <v>4.33446903757472</v>
      </c>
      <c r="DI151" s="260">
        <f>DJ151+各项系数!$L$9*$NQ151</f>
        <v>4.21901577580525</v>
      </c>
      <c r="DJ151" s="260">
        <f>DK151*(1+$EB151+各项系数!$J$5+各项系数!$L$5)</f>
        <v>4.15800385982982</v>
      </c>
      <c r="DK151" s="260">
        <f t="shared" si="595"/>
        <v>3.9600036760284</v>
      </c>
      <c r="DL151" s="259">
        <f>DM151+各项系数!$M$9*$NQ151</f>
        <v>4.71132883982754</v>
      </c>
      <c r="DM151" s="259">
        <f>DN151*(1+$EA151+(VLOOKUP($AM151,$A$12:$B$323,2,0))+各项系数!$J$6+各项系数!$M$5)*(1+$E$2)+各项系数!$M$9*$NK151</f>
        <v>4.65031692385211</v>
      </c>
      <c r="DN151" s="260">
        <f>DO151+各项系数!$L$9*$NQ151</f>
        <v>4.52891362340866</v>
      </c>
      <c r="DO151" s="260">
        <f>DP151*(1+$EB151+各项系数!$J$5+各项系数!$L$5)</f>
        <v>4.46790170743323</v>
      </c>
      <c r="DP151" s="260">
        <f t="shared" si="596"/>
        <v>4.25514448326974</v>
      </c>
      <c r="DQ151" s="259">
        <f>DR151+各项系数!$M$9*$NV151</f>
        <v>5.20152864503945</v>
      </c>
      <c r="DR151" s="259">
        <f t="shared" si="597"/>
        <v>5.13709789693565</v>
      </c>
      <c r="DS151" s="260">
        <f>DT151+各项系数!$L$9*$NV151</f>
        <v>5.04032368223671</v>
      </c>
      <c r="DT151" s="260">
        <f>DU151*(1+$EB151+各项系数!$J$5+各项系数!$L$5)</f>
        <v>4.97589293413292</v>
      </c>
      <c r="DU151" s="262">
        <f t="shared" si="598"/>
        <v>4.73894565155516</v>
      </c>
      <c r="DV151" s="259">
        <f>DW151+各项系数!$M$9*$NV151</f>
        <v>5.23043644591054</v>
      </c>
      <c r="DW151" s="259">
        <f t="shared" si="599"/>
        <v>5.16600569780675</v>
      </c>
      <c r="DX151" s="260">
        <f>DY151+各项系数!$L$9*$NV151</f>
        <v>5.06868690915105</v>
      </c>
      <c r="DY151" s="260">
        <f>DZ151*(1+$EB151+各项系数!$J$5+各项系数!$L$5)</f>
        <v>5.00425616104726</v>
      </c>
      <c r="DZ151" s="262">
        <f t="shared" si="600"/>
        <v>4.76595824861644</v>
      </c>
      <c r="EA151" s="277">
        <f t="shared" si="581"/>
        <v>0</v>
      </c>
      <c r="EB151" s="277">
        <f t="shared" si="601"/>
        <v>0.03</v>
      </c>
      <c r="EC151" s="302">
        <f t="shared" si="649"/>
        <v>5</v>
      </c>
      <c r="ED151" s="302" t="str">
        <f t="shared" si="680"/>
        <v>5*1</v>
      </c>
      <c r="EE151" s="251">
        <f t="shared" si="495"/>
        <v>1</v>
      </c>
      <c r="EF151" s="251">
        <f>LOOKUP(EH151,{1,7,10,14,19,24,30,37,48,61},{1,"1+6","2+8","4+10","1+6+12","2+8+14","4+10+16","1+6+12+18","3+9+15+21","1+6+12+18+24"})</f>
        <v>1</v>
      </c>
      <c r="EG151" s="250">
        <f t="shared" si="602"/>
        <v>5</v>
      </c>
      <c r="EH151" s="260">
        <f>VLOOKUP(EE151,各项系数!$B$87:$C$124,2,0)</f>
        <v>1</v>
      </c>
      <c r="EI151" s="250">
        <f>IF(EH151=0,0,VLOOKUP(EH151,各项系数!$D$142:$E$195,2,0))*1</f>
        <v>1</v>
      </c>
      <c r="EJ151" s="305">
        <f t="shared" si="650"/>
        <v>110.31595161029</v>
      </c>
      <c r="EK151" s="251">
        <f t="shared" si="689"/>
        <v>0</v>
      </c>
      <c r="EL151" s="251">
        <f t="shared" si="603"/>
        <v>0</v>
      </c>
      <c r="EM151" s="251">
        <f t="shared" si="690"/>
        <v>0</v>
      </c>
      <c r="EN151" s="251">
        <f>IF(EP151=0,0,LOOKUP(EP151,{1,7,10,14,19,24,30,37,48,61},{1,"1+6","2+8","4+10","1+6+12","2+8+14","4+10+16","1+6+12+18","3+9+15+21","1+6+12+18+24"}))</f>
        <v>0</v>
      </c>
      <c r="EO151" s="251">
        <f t="shared" si="691"/>
        <v>0</v>
      </c>
      <c r="EP151" s="251">
        <f>IF(EM151=0,0,IF(EM151&lt;10,1,IF(AND(EM151&gt;=10,EM151&lt;=35),7,LOOKUP(EM151,{50,70,95,120,150,185,240,300},{10,14,19,24,30,37,48,61})*1)))</f>
        <v>0</v>
      </c>
      <c r="EQ151" s="251">
        <f>IF(EP151=0,0,VLOOKUP(EP151,各项系数!$D$142:$E$195,2,0))*1</f>
        <v>0</v>
      </c>
      <c r="ER151" s="69">
        <f t="shared" si="577"/>
        <v>0</v>
      </c>
      <c r="ES151" s="566">
        <f t="shared" si="692"/>
        <v>5</v>
      </c>
      <c r="ET151" s="251">
        <f>VLOOKUP(ES151,各项系数!$D$142:$E$195,2,0)*1</f>
        <v>2.7</v>
      </c>
      <c r="EU151" s="311">
        <f>((各项系数!$F$76/4*$EJ151^2*$EG151*$EH151*1*10^-7)*(1-$H151)*AA151)*(VLOOKUP($EY$9,各项系数!$D$4:$F$143,3,0))*各项系数!$J$4</f>
        <v>0.0422728334681685</v>
      </c>
      <c r="EV151" s="312">
        <f>EU151*(VLOOKUP($EY$9,各项系数!$D$4:$F$143,2,0))</f>
        <v>2.76887059216503</v>
      </c>
      <c r="EW151" s="324">
        <f>(IF($EO151=0,0,(各项系数!$F$76/4*$ER151^2*$EO151*$EP151*1*10^-7))*(1-$K151)*$AF151)*(VLOOKUP($EY$9,各项系数!$D$4:$F$143,3,0))*各项系数!$J$4</f>
        <v>0</v>
      </c>
      <c r="EX151" s="325">
        <f>EW151*(VLOOKUP($EY$9,各项系数!$D$4:$F$143,2,0))</f>
        <v>0</v>
      </c>
      <c r="EY151" s="251">
        <f>((各项系数!$F$76/4*$EJ151^2*$EG151*$EH151*1*10^-7)*(1-$H151)*AA151+IF($EO151=0,0,(各项系数!$F$76/4*$ER151^2*$EO151*$EP151*1*10^-7))*(1-$K151)*$AF151)*(VLOOKUP($EY$9,各项系数!$D$4:$F$143,3,0))*各项系数!$J$4</f>
        <v>0.0422728334681685</v>
      </c>
      <c r="EZ151" s="123">
        <v>1</v>
      </c>
      <c r="FA151" s="251">
        <f t="shared" si="515"/>
        <v>0.0422728334681685</v>
      </c>
      <c r="FB151" s="326">
        <f>FA151*(VLOOKUP($EY$9,各项系数!$D$4:$F$143,2,0))</f>
        <v>2.76887059216503</v>
      </c>
      <c r="FC151" s="327"/>
      <c r="FD151" s="302">
        <f>各项系数!$F$76/4*($MN151^2-MK151^2)*10^-2*(VLOOKUP(L151,各项系数!$D$1:$F$143,3,0))*10^-3*10^2*$EG151*各项系数!$J$4</f>
        <v>0.0175688048868549</v>
      </c>
      <c r="FE151" s="339">
        <f>FD151*VLOOKUP(L151,各项系数!$D$1:$F$143,2,0)</f>
        <v>0.202041256198831</v>
      </c>
      <c r="FF151" s="250">
        <f>各项系数!$F$76/4*($MO151^2-ML151^2)*10^-2*(VLOOKUP(L151,各项系数!$D$1:$F$143,3,0))*10^-3*10^2*$EO151*各项系数!$J$4</f>
        <v>0</v>
      </c>
      <c r="FG151" s="339">
        <f>FF151*VLOOKUP(L151,各项系数!$D$1:$F$143,2,0)</f>
        <v>0</v>
      </c>
      <c r="FH151" s="302">
        <f t="shared" si="651"/>
        <v>0.0175688048868549</v>
      </c>
      <c r="FI151" s="123">
        <v>1</v>
      </c>
      <c r="FJ151" s="251">
        <f t="shared" si="516"/>
        <v>0.0175688048868549</v>
      </c>
      <c r="FK151" s="339">
        <f>FJ151*VLOOKUP(L151,各项系数!$D$1:$F$143,2,0)</f>
        <v>0.202041256198831</v>
      </c>
      <c r="FL151" s="302"/>
      <c r="FM151" s="123"/>
      <c r="FN151" s="251"/>
      <c r="FO151" s="339"/>
      <c r="FP151" s="364">
        <f t="shared" si="517"/>
        <v>0.0175688048868549</v>
      </c>
      <c r="FQ151" s="364">
        <f t="shared" si="518"/>
        <v>0.202041256198831</v>
      </c>
      <c r="FR151" s="365">
        <f>各项系数!$F$76/4*($MQ151^2-$MN151^2*$EG151-$MO151^2*$EO151)*10^-2</f>
        <v>0.0954054972941955</v>
      </c>
      <c r="FS151" s="366">
        <f t="shared" si="652"/>
        <v>1</v>
      </c>
      <c r="FT151" s="367">
        <f t="shared" si="604"/>
        <v>0.0954054972941955</v>
      </c>
      <c r="FU151" s="388">
        <f>$FT151*(VLOOKUP($FT$9,各项系数!$D$1:$F$143,3,0))*10^-3*10^2*各项系数!$J$55</f>
        <v>0.0113914163769269</v>
      </c>
      <c r="FV151" s="389">
        <v>1</v>
      </c>
      <c r="FW151" s="390">
        <f t="shared" si="519"/>
        <v>0.0113914163769269</v>
      </c>
      <c r="FX151" s="367">
        <f>FW151*(VLOOKUP($FT$9,各项系数!$D$1:$F$143,2,0))</f>
        <v>0.0341742491307808</v>
      </c>
      <c r="FY151" s="388">
        <f>IF($BK151&lt;&gt;$FY$9,0,各项系数!$F$76/4*($MS151^2-$MQ151^2)*10^-2*(VLOOKUP($FY$9,各项系数!$D$1:$F$143,3,0))*10^-3*10^2)*各项系数!$J$4</f>
        <v>0</v>
      </c>
      <c r="FZ151" s="389">
        <v>1</v>
      </c>
      <c r="GA151" s="390">
        <f t="shared" si="520"/>
        <v>0</v>
      </c>
      <c r="GB151" s="367">
        <f>GA151*(VLOOKUP($FY$9,各项系数!$D$1:$F$143,2,0))</f>
        <v>0</v>
      </c>
      <c r="GC151" s="388">
        <f>IF($BK151&lt;&gt;$GC$9,0,各项系数!$F$76/4*($MS151^2-$MQ151^2)*10^-2*(VLOOKUP($GC$9,各项系数!$D$1:$F$143,3,0))*10^-3*10^2)*各项系数!$J$4</f>
        <v>0.0017174390540149</v>
      </c>
      <c r="GD151" s="389">
        <v>1</v>
      </c>
      <c r="GE151" s="390">
        <f t="shared" si="521"/>
        <v>0.0017174390540149</v>
      </c>
      <c r="GF151" s="367">
        <f>GE151*(VLOOKUP($GC$9,各项系数!$D$1:$F$143,2,0))</f>
        <v>0.0221549637967922</v>
      </c>
      <c r="GG151" s="388">
        <f>IF($BK151&lt;&gt;$GG$9,0,各项系数!$F$76/4*($MS151^2-$MQ151^2)*10^-2*(VLOOKUP($GG$9,各项系数!$D$1:$F$143,3,0))*10^-3*10^2)*各项系数!$J$4</f>
        <v>0</v>
      </c>
      <c r="GH151" s="389">
        <v>1</v>
      </c>
      <c r="GI151" s="390">
        <f t="shared" si="522"/>
        <v>0</v>
      </c>
      <c r="GJ151" s="367">
        <f>GI151*(VLOOKUP($GG$9,各项系数!$D$1:$F$143,2,0))</f>
        <v>0</v>
      </c>
      <c r="GK151" s="388">
        <f>IF($BK151&lt;&gt;$GK$9,0,各项系数!$F$76/4*($MS151^2-$MQ151^2)*10^-2*(VLOOKUP($GK$9,各项系数!$D$1:$F$143,3,0))*10^-3*10^2)*各项系数!$J$4</f>
        <v>0</v>
      </c>
      <c r="GL151" s="389">
        <v>1</v>
      </c>
      <c r="GM151" s="390">
        <f t="shared" si="523"/>
        <v>0</v>
      </c>
      <c r="GN151" s="367">
        <f>GM151*(VLOOKUP($GK$9,各项系数!$D$1:$F$143,2,0))</f>
        <v>0</v>
      </c>
      <c r="GO151" s="390">
        <f t="shared" si="524"/>
        <v>0.0017174390540149</v>
      </c>
      <c r="GP151" s="390">
        <f t="shared" si="525"/>
        <v>0.0221549637967922</v>
      </c>
      <c r="GQ151" s="406">
        <f>各项系数!$F$76/4*($MU151^2-$MS151^2)*10^-2*(VLOOKUP($S151,各项系数!$D$1:$F$143,3,0))*10^-3*10^2*各项系数!$J$4</f>
        <v>0.102586340454797</v>
      </c>
      <c r="GR151" s="389">
        <v>1</v>
      </c>
      <c r="GS151" s="390">
        <f t="shared" si="526"/>
        <v>0.102586340454797</v>
      </c>
      <c r="GT151" s="390">
        <f t="shared" si="696"/>
        <v>1</v>
      </c>
      <c r="GU151" s="390">
        <f>ROUND($GS151*(VLOOKUP($S151,各项系数!$D$1:$F$143,2,0))+$E$3*GS151,GT151)</f>
        <v>0.6</v>
      </c>
      <c r="GV151" s="406">
        <f>各项系数!$F$76/4*($MT151^2-$MS151^2)*10^-2*(VLOOKUP($GV$9,各项系数!$D$1:$F$143,3,0))*10^-3*10^2*各项系数!$J$4*PI()/4*R151</f>
        <v>0.00904383987230944</v>
      </c>
      <c r="GW151" s="389">
        <v>1</v>
      </c>
      <c r="GX151" s="390">
        <f t="shared" si="527"/>
        <v>0.00904383987230944</v>
      </c>
      <c r="GY151" s="390">
        <f>$GX151*(VLOOKUP($GV$9,各项系数!$D$1:$F$143,2,0))</f>
        <v>0.610459191380887</v>
      </c>
      <c r="GZ151" s="406">
        <f>各项系数!$F$76/4*($MV151^2-$MS151^2)*10^-2*(VLOOKUP($GZ$9,各项系数!$D$1:$F$143,3,0))*10^-3*10^2*各项系数!$J$4</f>
        <v>0.041306951406838</v>
      </c>
      <c r="HA151" s="389">
        <v>1</v>
      </c>
      <c r="HB151" s="390">
        <f t="shared" si="653"/>
        <v>0.041306951406838</v>
      </c>
      <c r="HC151" s="390">
        <f>HB151*(VLOOKUP($GZ$9,各项系数!$D$1:$F$143,2,0))</f>
        <v>0.702218173916247</v>
      </c>
      <c r="HD151" s="406">
        <f>各项系数!$F$76/4*($MW151^2-$MT151^2)*10^-2*(VLOOKUP($HD$9,各项系数!$D$1:$F$143,3,0))*10^-3*10^2*各项系数!$J$4</f>
        <v>0.0421771977046236</v>
      </c>
      <c r="HE151" s="389">
        <v>1</v>
      </c>
      <c r="HF151" s="390">
        <f t="shared" si="654"/>
        <v>0.0421771977046236</v>
      </c>
      <c r="HG151" s="390">
        <f>HF151*(VLOOKUP($HD$9,各项系数!$D$1:$F$143,2,0))</f>
        <v>0.717012360978602</v>
      </c>
      <c r="HH151" s="406">
        <f>各项系数!$F$76/4*($MV151^2-$MS151^2)*10^-2*(VLOOKUP($HH$9,各项系数!$D$1:$F$143,3,0))*10^-3*10^2*各项系数!$J$4</f>
        <v>0.041306951406838</v>
      </c>
      <c r="HI151" s="420">
        <v>1</v>
      </c>
      <c r="HJ151" s="390">
        <f t="shared" si="655"/>
        <v>0.041306951406838</v>
      </c>
      <c r="HK151" s="390">
        <f>HJ151*(VLOOKUP($HH$9,各项系数!$D$1:$F$143,2,0))</f>
        <v>0.702218173916247</v>
      </c>
      <c r="HL151" s="406">
        <f>各项系数!$F$76/4*($MW151^2-$MT151^2)*10^-2*(VLOOKUP($HL$9,各项系数!$D$1:$F$143,3,0))*10^-3*10^2*各项系数!$J$4</f>
        <v>0.0421771977046236</v>
      </c>
      <c r="HM151" s="420">
        <v>1</v>
      </c>
      <c r="HN151" s="390">
        <f t="shared" si="605"/>
        <v>0.0421771977046236</v>
      </c>
      <c r="HO151" s="390">
        <f>HN151*(VLOOKUP($HL$9,各项系数!$D$1:$F$143,2,0))</f>
        <v>0.717012360978602</v>
      </c>
      <c r="HP151" s="406">
        <f>各项系数!$F$76/4*($MV151^2-$MS151^2)*10^-2*(VLOOKUP(AN151,各项系数!$D$1:$F$143,3,0))*10^-3*10^2*各项系数!$J$4</f>
        <v>0.0418767024607255</v>
      </c>
      <c r="HQ151" s="389">
        <v>1</v>
      </c>
      <c r="HR151" s="390">
        <f t="shared" si="528"/>
        <v>0.0418767024607255</v>
      </c>
      <c r="HS151" s="390">
        <f>HR151*(VLOOKUP(AN151,各项系数!$D$1:$F$143,2,0))</f>
        <v>0.418767024607255</v>
      </c>
      <c r="HT151" s="406">
        <f>各项系数!$F$76/4*($MW151^2-$MT151^2)*10^-2*(VLOOKUP(AN151,各项系数!$D$1:$F$143,3,0))*10^-3*10^2*各项系数!$J$4</f>
        <v>0.0427589521557219</v>
      </c>
      <c r="HU151" s="389">
        <v>1</v>
      </c>
      <c r="HV151" s="390">
        <f t="shared" si="529"/>
        <v>0.0427589521557219</v>
      </c>
      <c r="HW151" s="390">
        <f>HV151*(VLOOKUP(AN151,各项系数!$D$1:$F$143,2,0))</f>
        <v>0.427589521557219</v>
      </c>
      <c r="HX151" s="406">
        <f>各项系数!$F$76/4*($MV151^2-$MS151^2)*10^-2*(VLOOKUP($HX$9,各项系数!$D$1:$F$143,3,0))*10^-3*10^2*各项系数!$J$4</f>
        <v>0.0418767024607255</v>
      </c>
      <c r="HY151" s="420">
        <v>1</v>
      </c>
      <c r="HZ151" s="390">
        <f t="shared" si="530"/>
        <v>0.0418767024607255</v>
      </c>
      <c r="IA151" s="390">
        <f>HZ151*(VLOOKUP($HX$9,各项系数!$D$1:$F$143,2,0))</f>
        <v>0.46064372706798</v>
      </c>
      <c r="IB151" s="406">
        <f>各项系数!$F$76/4*($MW151^2-$MT151^2)*10^-2*(VLOOKUP($IB$9,各项系数!$D$1:$F$143,3,0))*10^-3*10^2*各项系数!$J$4</f>
        <v>0.0427589521557219</v>
      </c>
      <c r="IC151" s="420">
        <v>1</v>
      </c>
      <c r="ID151" s="390">
        <f t="shared" si="531"/>
        <v>0.0427589521557219</v>
      </c>
      <c r="IE151" s="390">
        <f>ID151*(VLOOKUP($IB$9,各项系数!$D$1:$F$143,2,0))</f>
        <v>0.470348473712941</v>
      </c>
      <c r="IF151" s="429"/>
      <c r="IG151" s="406">
        <f t="shared" si="656"/>
        <v>0.00986875843870652</v>
      </c>
      <c r="IH151" s="389">
        <v>1</v>
      </c>
      <c r="II151" s="390">
        <f t="shared" si="532"/>
        <v>0.00986875843870652</v>
      </c>
      <c r="IJ151" s="390">
        <f>II151*(VLOOKUP($IG$8,各项系数!$D$1:$F$143,2,0))</f>
        <v>0.246718960967663</v>
      </c>
      <c r="IK151" s="406">
        <f>(各项系数!$F$76/4*($MX151^2-$MK151^2)*$EG151)*10^-2*(VLOOKUP($IG$8,各项系数!$D$1:$F$143,3,0))*10^-3*10^2*各项系数!$J$4</f>
        <v>0.00986875843870652</v>
      </c>
      <c r="IL151" s="389">
        <f>IK151*(VLOOKUP($IG$8,各项系数!$D$1:$F$143,2,0))</f>
        <v>0.246718960967663</v>
      </c>
      <c r="IM151" s="390">
        <f>(各项系数!$F$76/4*(($MM151+3*$X151)^2-MM151^2)*$EO151)*10^-2*(VLOOKUP($IG$8,各项系数!$D$1:$F$143,3,0))*10^-3*10^2*各项系数!$J$4</f>
        <v>0</v>
      </c>
      <c r="IN151" s="389">
        <f>IM151*(VLOOKUP($IG$8,各项系数!$D$1:$F$143,2,0))</f>
        <v>0</v>
      </c>
      <c r="IO151" s="406">
        <f>各项系数!$F$76/4*($MZ151^2-$MX151^2)*10^-2*(VLOOKUP(L151,各项系数!$D$1:$F$143,3,0))*10^-3*10^2*$ES151*各项系数!$J$4</f>
        <v>0.0237580565736921</v>
      </c>
      <c r="IP151" s="389">
        <v>1</v>
      </c>
      <c r="IQ151" s="390">
        <f t="shared" si="533"/>
        <v>0.0237580565736921</v>
      </c>
      <c r="IR151" s="367">
        <f>IQ151*(VLOOKUP(L151,各项系数!$D$1:$F$143,2,0))</f>
        <v>0.273217650597459</v>
      </c>
      <c r="IS151" s="406">
        <f>IF($L151&lt;&gt;$IS$9,0,各项系数!$F$76/4*($MZ151^2-$MX151^2)*10^-2*各项系数!$F$12*10^-3*10^2)*$ES151*各项系数!$J$4</f>
        <v>0</v>
      </c>
      <c r="IT151" s="389">
        <v>1</v>
      </c>
      <c r="IU151" s="390">
        <f t="shared" si="534"/>
        <v>0</v>
      </c>
      <c r="IV151" s="367">
        <f>IU151*各项系数!$E$12</f>
        <v>0</v>
      </c>
      <c r="IW151" s="388">
        <f t="shared" si="535"/>
        <v>0.0237580565736921</v>
      </c>
      <c r="IX151" s="388">
        <f t="shared" si="536"/>
        <v>0.273217650597459</v>
      </c>
      <c r="IY151" s="447">
        <f>各项系数!$F$76/4*($NB151^2-$MZ151^2*$EG151-$NA151^2*$EO151)*10^-2</f>
        <v>0.151588816274348</v>
      </c>
      <c r="IZ151" s="366">
        <f t="shared" si="697"/>
        <v>1</v>
      </c>
      <c r="JA151" s="367">
        <f t="shared" si="606"/>
        <v>0.151588816274348</v>
      </c>
      <c r="JB151" s="364">
        <f>IF($DE151&lt;&gt;$JB$9,0,$JA151*各项系数!$F$32*10^-3*10^2)*各项系数!$J$4</f>
        <v>0</v>
      </c>
      <c r="JC151" s="123">
        <v>1</v>
      </c>
      <c r="JD151" s="251">
        <f t="shared" si="537"/>
        <v>0</v>
      </c>
      <c r="JE151" s="339">
        <f>JD151*各项系数!$E$32</f>
        <v>0</v>
      </c>
      <c r="JF151" s="364">
        <f>IF($DE151&lt;&gt;$JF$9,0,$JA151*VLOOKUP($JF$9,各项系数!$D$4:$F$540,2,0)*10^-3*10^2)*各项系数!$J$4</f>
        <v>0.0754154360964882</v>
      </c>
      <c r="JG151" s="123">
        <v>1</v>
      </c>
      <c r="JH151" s="251">
        <f t="shared" si="607"/>
        <v>0.0754154360964882</v>
      </c>
      <c r="JI151" s="339">
        <f>JH151*VLOOKUP($JF$9,各项系数!$D$4:$F$540,3,0)</f>
        <v>0.0904985233157858</v>
      </c>
      <c r="JJ151" s="364">
        <f t="shared" si="538"/>
        <v>0.0754154360964882</v>
      </c>
      <c r="JK151" s="251">
        <f t="shared" si="539"/>
        <v>0.0904985233157858</v>
      </c>
      <c r="JL151" s="364">
        <f>IF($DF151&lt;&gt;$JL$9,0,各项系数!$F$76/4*($NE151^2-$NC151^2)*10^-2*各项系数!$F$39*10^-3*10^2)*各项系数!$J$4</f>
        <v>0.000895588173813111</v>
      </c>
      <c r="JM151" s="123">
        <v>1</v>
      </c>
      <c r="JN151" s="251">
        <f t="shared" si="540"/>
        <v>0.000895588173813111</v>
      </c>
      <c r="JO151" s="339">
        <f>JN151*各项系数!$E$39</f>
        <v>0.0179117634762622</v>
      </c>
      <c r="JP151" s="364">
        <f>IF($DF151&lt;&gt;$JP$9,0,各项系数!$F$76/4*($NE151^2-$NC151^2)*10^-2*各项系数!$F$36*10^-3*10^2)*各项系数!$J$4</f>
        <v>0</v>
      </c>
      <c r="JQ151" s="123">
        <v>1</v>
      </c>
      <c r="JR151" s="251">
        <f t="shared" si="541"/>
        <v>0</v>
      </c>
      <c r="JS151" s="339">
        <f>JR151*各项系数!$E$36</f>
        <v>0</v>
      </c>
      <c r="JT151" s="364">
        <f>IF($DF151&lt;&gt;$JT$9,0,各项系数!$F$76/4*($NE151^2-$NC151^2)*10^-2*各项系数!$F$40*10^-3*10^2)*各项系数!$J$4</f>
        <v>0</v>
      </c>
      <c r="JU151" s="123">
        <v>1</v>
      </c>
      <c r="JV151" s="251">
        <f t="shared" si="542"/>
        <v>0</v>
      </c>
      <c r="JW151" s="339">
        <f>JV151*各项系数!$E$40</f>
        <v>0</v>
      </c>
      <c r="JX151" s="364">
        <f>IF($DF151&lt;&gt;$JX$9,0,各项系数!$F$76/4*($NE151^2-$NC151^2)*10^-2*各项系数!$F$38*10^-3*10^2)*各项系数!$J$4</f>
        <v>0</v>
      </c>
      <c r="JY151" s="123">
        <v>1</v>
      </c>
      <c r="JZ151" s="251">
        <f t="shared" si="543"/>
        <v>0</v>
      </c>
      <c r="KA151" s="339">
        <f>JZ151*各项系数!$E$38</f>
        <v>0</v>
      </c>
      <c r="KB151" s="364">
        <f>IF($DF151&lt;&gt;$KB$9,0,各项系数!$F$76/4*($NE151^2-$NC151^2)*10^-2*各项系数!$F$41*10^-3*10^2)*各项系数!$J$4</f>
        <v>0</v>
      </c>
      <c r="KC151" s="123">
        <v>1</v>
      </c>
      <c r="KD151" s="251">
        <f t="shared" si="544"/>
        <v>0</v>
      </c>
      <c r="KE151" s="339">
        <f>KD151*各项系数!$E$41</f>
        <v>0</v>
      </c>
      <c r="KF151" s="251">
        <f t="shared" si="545"/>
        <v>0.000895588173813111</v>
      </c>
      <c r="KG151" s="251">
        <f t="shared" si="546"/>
        <v>0.0179117634762622</v>
      </c>
      <c r="KH151" s="302">
        <f>各项系数!$F$76/4*($NG151^2-$NE151^2)*10^-2*各项系数!$F$44*10^-3*10^2*各项系数!$J$4*0.75*$U151</f>
        <v>0.381854942049625</v>
      </c>
      <c r="KI151" s="123">
        <v>1</v>
      </c>
      <c r="KJ151" s="251">
        <f t="shared" si="547"/>
        <v>0.381854942049625</v>
      </c>
      <c r="KK151" s="251">
        <f>ROUND(KJ151*各项系数!$E$43,GT151)</f>
        <v>2.2</v>
      </c>
      <c r="KL151" s="302">
        <f>各项系数!$F$76/4*($NF151^2-$NE151^2)*10^-2*各项系数!$F$46*10^-3*10^2*各项系数!$J$4*PI()/4*R151</f>
        <v>0.0113961070945452</v>
      </c>
      <c r="KM151" s="123">
        <v>1</v>
      </c>
      <c r="KN151" s="251">
        <f t="shared" si="548"/>
        <v>0.0113961070945452</v>
      </c>
      <c r="KO151" s="251">
        <f>KN151*各项系数!$E$46</f>
        <v>0.7692372288818</v>
      </c>
      <c r="KP151" s="302">
        <f>各项系数!$F$76/4*($NH151^2-$NE151^2)*10^-2*(VLOOKUP($KP$9,各项系数!$D$1:$F$143,3,0))*10^-3*10^2*各项系数!$J$4</f>
        <v>0.0504662936910315</v>
      </c>
      <c r="KQ151" s="123">
        <v>1</v>
      </c>
      <c r="KR151" s="251">
        <f t="shared" si="657"/>
        <v>0.0504662936910315</v>
      </c>
      <c r="KS151" s="251">
        <f>KR151*(VLOOKUP($KP$9,各项系数!$D$1:$F$143,2,0))</f>
        <v>0.857926992747535</v>
      </c>
      <c r="KT151" s="302">
        <f>各项系数!$F$76/4*($NI151^2-$NF151^2)*10^-2*(VLOOKUP($KT$9,各项系数!$D$1:$F$143,3,0))*10^-3*10^2*各项系数!$J$4</f>
        <v>0.0513365399888171</v>
      </c>
      <c r="KU151" s="123">
        <v>1</v>
      </c>
      <c r="KV151" s="251">
        <f t="shared" si="658"/>
        <v>0.0513365399888171</v>
      </c>
      <c r="KW151" s="251">
        <f>KV151*(VLOOKUP($KT$9,各项系数!$D$1:$F$143,2,0))</f>
        <v>0.87272117980989</v>
      </c>
      <c r="KX151" s="251">
        <f>各项系数!$F$76/4*($NH151^2-$NE151^2)*10^-2*(VLOOKUP($KX$9,各项系数!$D$1:$F$143,3,0))*10^-3*10^2*各项系数!$J$4</f>
        <v>0.0504662936910315</v>
      </c>
      <c r="KY151" s="479">
        <v>1</v>
      </c>
      <c r="KZ151" s="251">
        <f t="shared" si="659"/>
        <v>0.0504662936910315</v>
      </c>
      <c r="LA151" s="251">
        <f>KZ151*(VLOOKUP($KX$9,各项系数!$D$1:$F$143,2,0))</f>
        <v>0.857926992747535</v>
      </c>
      <c r="LB151" s="251">
        <f>各项系数!$F$76/4*($NI151^2-$NF151^2)*10^-2*(VLOOKUP($LB$9,各项系数!$D$1:$F$143,3,0))*10^-3*10^2*各项系数!$J$4</f>
        <v>0.0513365399888171</v>
      </c>
      <c r="LC151" s="479">
        <v>1</v>
      </c>
      <c r="LD151" s="251">
        <f t="shared" si="660"/>
        <v>0.0513365399888171</v>
      </c>
      <c r="LE151" s="251">
        <f>LD151*(VLOOKUP($LB$9,各项系数!$D$1:$F$143,2,0))</f>
        <v>0.87272117980989</v>
      </c>
      <c r="LF151" s="302">
        <f>各项系数!$F$76/4*($NH151^2-$NE151^2)*10^-2*(VLOOKUP(AN151,各项系数!$D$1:$F$143,3,0))*10^-3*10^2*各项系数!$J$4</f>
        <v>0.0511623805005629</v>
      </c>
      <c r="LG151" s="123">
        <v>1</v>
      </c>
      <c r="LH151" s="251">
        <f t="shared" si="549"/>
        <v>0.0511623805005629</v>
      </c>
      <c r="LI151" s="251">
        <f>LH151*(VLOOKUP(AN151,各项系数!$D$1:$F$143,2,0))</f>
        <v>0.511623805005629</v>
      </c>
      <c r="LJ151" s="302">
        <f>各项系数!$F$76/4*($NI151^2-$NF151^2)*10^-2*(VLOOKUP(AN151,各项系数!$D$1:$F$143,3,0))*10^-3*10^2*各项系数!$J$4</f>
        <v>0.0520446301955594</v>
      </c>
      <c r="LK151" s="123">
        <v>1</v>
      </c>
      <c r="LL151" s="251">
        <f t="shared" si="550"/>
        <v>0.0520446301955594</v>
      </c>
      <c r="LM151" s="251">
        <f>LL151*(VLOOKUP(AN151,各项系数!$D$1:$F$143,2,0))</f>
        <v>0.520446301955594</v>
      </c>
      <c r="LN151" s="251">
        <f>各项系数!$F$76/4*($NH151^2-$NE151^2)*10^-2*(VLOOKUP($LN$9,各项系数!$D$1:$F$143,3,0))*10^-3*10^2*各项系数!$J$4</f>
        <v>0.0511623805005629</v>
      </c>
      <c r="LO151" s="479">
        <v>1</v>
      </c>
      <c r="LP151" s="251">
        <f t="shared" si="551"/>
        <v>0.0511623805005629</v>
      </c>
      <c r="LQ151" s="251">
        <f>LP151*(VLOOKUP($LN$9,各项系数!$D$1:$F$143,2,0))</f>
        <v>0.562786185506192</v>
      </c>
      <c r="LR151" s="251">
        <f>各项系数!$F$76/4*($NI151^2-$NF151^2)*10^-2*(VLOOKUP($LR$9,各项系数!$D$1:$F$143,3,0))*10^-3*10^2*各项系数!$J$4</f>
        <v>0.0520446301955594</v>
      </c>
      <c r="LS151" s="479">
        <v>1</v>
      </c>
      <c r="LT151" s="251">
        <f t="shared" si="552"/>
        <v>0.0520446301955594</v>
      </c>
      <c r="LU151" s="251">
        <f>LT151*(VLOOKUP($LR$9,各项系数!$D$1:$F$143,2,0))</f>
        <v>0.572490932151153</v>
      </c>
      <c r="LV151" s="499">
        <f t="shared" si="661"/>
        <v>4.77899438</v>
      </c>
      <c r="LW151" s="499">
        <f t="shared" si="662"/>
        <v>4.77899438</v>
      </c>
      <c r="LX151" s="499">
        <f t="shared" si="663"/>
        <v>2.46673967590484</v>
      </c>
      <c r="LY151" s="515">
        <f t="shared" si="664"/>
        <v>0</v>
      </c>
      <c r="LZ151" s="516">
        <f t="shared" si="608"/>
        <v>1</v>
      </c>
      <c r="MA151" s="517">
        <f t="shared" si="609"/>
        <v>4.77899438</v>
      </c>
      <c r="MB151" s="517">
        <f t="shared" si="665"/>
        <v>1.10315952</v>
      </c>
      <c r="MC151" s="499">
        <f t="shared" si="666"/>
        <v>0</v>
      </c>
      <c r="MD151" s="499">
        <f t="shared" si="667"/>
        <v>0</v>
      </c>
      <c r="ME151" s="499">
        <f t="shared" si="668"/>
        <v>0</v>
      </c>
      <c r="MF151" s="499">
        <f t="shared" si="669"/>
        <v>0</v>
      </c>
      <c r="MG151" s="516">
        <f t="shared" si="670"/>
        <v>1</v>
      </c>
      <c r="MH151" s="517">
        <f t="shared" si="610"/>
        <v>0</v>
      </c>
      <c r="MI151" s="517">
        <f t="shared" si="671"/>
        <v>0</v>
      </c>
      <c r="MJ151" s="251">
        <f t="shared" si="611"/>
        <v>1.10315952</v>
      </c>
      <c r="MK151" s="251">
        <f t="shared" si="672"/>
        <v>1.10315952</v>
      </c>
      <c r="ML151" s="251">
        <f t="shared" si="553"/>
        <v>0</v>
      </c>
      <c r="MM151" s="251">
        <f t="shared" si="612"/>
        <v>0</v>
      </c>
      <c r="MN151" s="251">
        <f t="shared" si="613"/>
        <v>2.30315952</v>
      </c>
      <c r="MO151" s="251">
        <f t="shared" si="673"/>
        <v>0</v>
      </c>
      <c r="MP151" s="251">
        <f t="shared" si="674"/>
        <v>6.2185307</v>
      </c>
      <c r="MQ151" s="251">
        <f t="shared" si="554"/>
        <v>6.2185307</v>
      </c>
      <c r="MR151" s="314">
        <f t="shared" si="675"/>
        <v>6.2185307</v>
      </c>
      <c r="MS151" s="530">
        <f t="shared" si="614"/>
        <v>6.3945307</v>
      </c>
      <c r="MT151" s="530">
        <f t="shared" si="615"/>
        <v>6.5545307</v>
      </c>
      <c r="MU151" s="530">
        <f t="shared" si="616"/>
        <v>7.5945307</v>
      </c>
      <c r="MV151" s="530">
        <f t="shared" si="617"/>
        <v>8.7945307</v>
      </c>
      <c r="MW151" s="530">
        <f t="shared" si="618"/>
        <v>8.9545307</v>
      </c>
      <c r="MX151" s="326">
        <f t="shared" si="619"/>
        <v>1.70315952</v>
      </c>
      <c r="MY151" s="326">
        <f t="shared" si="620"/>
        <v>0</v>
      </c>
      <c r="MZ151" s="251">
        <f t="shared" si="621"/>
        <v>2.90315952</v>
      </c>
      <c r="NA151" s="251">
        <f t="shared" si="622"/>
        <v>0</v>
      </c>
      <c r="NB151" s="251">
        <f t="shared" si="676"/>
        <v>7.8385307</v>
      </c>
      <c r="NC151" s="326">
        <f t="shared" si="555"/>
        <v>7.8385307</v>
      </c>
      <c r="ND151" s="314">
        <f t="shared" si="677"/>
        <v>7.8385307</v>
      </c>
      <c r="NE151" s="537">
        <f t="shared" si="678"/>
        <v>8.0785307</v>
      </c>
      <c r="NF151" s="530">
        <f t="shared" si="623"/>
        <v>8.2385307</v>
      </c>
      <c r="NG151" s="538">
        <f t="shared" si="624"/>
        <v>9.2785307</v>
      </c>
      <c r="NH151" s="326">
        <f t="shared" si="625"/>
        <v>10.4785307</v>
      </c>
      <c r="NI151" s="530">
        <f t="shared" si="626"/>
        <v>10.6385307</v>
      </c>
      <c r="NK151" s="539">
        <f t="shared" si="627"/>
        <v>0.114827196246691</v>
      </c>
      <c r="NL151" s="539">
        <f t="shared" si="628"/>
        <v>3.44600808589869</v>
      </c>
      <c r="NM151" s="539">
        <f t="shared" si="629"/>
        <v>0.114827196246691</v>
      </c>
      <c r="NN151" s="539">
        <f t="shared" si="630"/>
        <v>3.48788478835942</v>
      </c>
      <c r="NO151" s="539">
        <f t="shared" si="631"/>
        <v>0.203373053251431</v>
      </c>
      <c r="NP151" s="539">
        <f t="shared" si="632"/>
        <v>3.90884129552783</v>
      </c>
      <c r="NQ151" s="539">
        <f t="shared" si="633"/>
        <v>0.203373053251431</v>
      </c>
      <c r="NR151" s="539">
        <f t="shared" si="634"/>
        <v>3.9600036760284</v>
      </c>
      <c r="NS151" s="539">
        <f t="shared" si="635"/>
        <v>0.123871036119</v>
      </c>
      <c r="NT151" s="539">
        <f t="shared" si="636"/>
        <v>0.123871036119</v>
      </c>
      <c r="NU151" s="539">
        <f t="shared" si="637"/>
        <v>0.214769160345976</v>
      </c>
      <c r="NV151" s="539">
        <f t="shared" si="638"/>
        <v>0.214769160345976</v>
      </c>
      <c r="NW151">
        <f t="shared" si="639"/>
        <v>0.217413536701487</v>
      </c>
      <c r="NX151">
        <f>各项系数!$M$9*NK151</f>
        <v>0.0344481588740072</v>
      </c>
      <c r="NY151">
        <f t="shared" si="640"/>
        <v>0.123871036119</v>
      </c>
    </row>
    <row r="152" customHeight="1" spans="1:389">
      <c r="A152" s="85"/>
      <c r="B152" s="86"/>
      <c r="C152" s="218"/>
      <c r="D152" s="123" t="s">
        <v>211</v>
      </c>
      <c r="E152" s="77">
        <f t="shared" si="687"/>
        <v>9.48547856</v>
      </c>
      <c r="F152" s="558">
        <f t="shared" si="693"/>
        <v>110.31595161029</v>
      </c>
      <c r="G152" s="78"/>
      <c r="H152" s="23"/>
      <c r="I152" s="174">
        <v>0</v>
      </c>
      <c r="J152" s="23"/>
      <c r="K152" s="23"/>
      <c r="L152" s="118" t="s">
        <v>469</v>
      </c>
      <c r="M152" s="124">
        <f t="shared" si="582"/>
        <v>0.6</v>
      </c>
      <c r="N152" s="124">
        <f t="shared" si="583"/>
        <v>0</v>
      </c>
      <c r="O152" s="69">
        <f t="shared" si="688"/>
        <v>0.08</v>
      </c>
      <c r="P152" s="120">
        <v>0.1</v>
      </c>
      <c r="Q152" s="162">
        <f t="shared" si="685"/>
        <v>0.1</v>
      </c>
      <c r="R152" s="560">
        <v>0.8</v>
      </c>
      <c r="S152" s="171" t="str">
        <f>各项系数!$D$43</f>
        <v>钢带</v>
      </c>
      <c r="T152" s="123">
        <v>0.2</v>
      </c>
      <c r="U152" s="78">
        <v>4</v>
      </c>
      <c r="V152" s="172"/>
      <c r="W152" s="170">
        <f t="shared" si="694"/>
        <v>1.2</v>
      </c>
      <c r="X152" s="164">
        <f t="shared" si="686"/>
        <v>0.2</v>
      </c>
      <c r="Y152" s="219"/>
      <c r="Z152" s="220"/>
      <c r="AA152" s="217">
        <v>1</v>
      </c>
      <c r="AB152" s="186">
        <f>PI()*EJ152*EJ152/4*EH152*(1-H152)*AA152*各项系数!$F$5*各项系数!$J$4*10^-7</f>
        <v>0.0084545666936337</v>
      </c>
      <c r="AC152" s="186">
        <f t="shared" si="573"/>
        <v>110.31595161029</v>
      </c>
      <c r="AD152" s="186">
        <f t="shared" si="584"/>
        <v>0.955798869898841</v>
      </c>
      <c r="AE152" s="186">
        <f>POWER(4*EU152/PI()/EG152/10^-7/EH152/(1-H152)/各项系数!$F$5/各项系数!$J$4,0.5)</f>
        <v>110.31595161029</v>
      </c>
      <c r="AF152" s="218">
        <v>1</v>
      </c>
      <c r="AG152" s="85">
        <f>IF(EM152=0,0,PI()*ER152*ER152/4*EP152*(1-K152)*(1+AF152)*各项系数!$F$5*各项系数!$J$4*10^-7)</f>
        <v>0</v>
      </c>
      <c r="AH152" s="85">
        <f t="shared" si="574"/>
        <v>0</v>
      </c>
      <c r="AI152" s="85">
        <f t="shared" si="641"/>
        <v>0</v>
      </c>
      <c r="AJ152" s="85">
        <f>IF(OR(EP152="",EP152=0),0,POWER(4*EW152/PI()/EO152/10^-7/EP152/(1-K152)/各项系数!$F$5/各项系数!$J$4,0.5))</f>
        <v>0</v>
      </c>
      <c r="AK152" s="85" t="str">
        <f t="shared" si="585"/>
        <v>√</v>
      </c>
      <c r="AL152" s="85">
        <f t="shared" si="575"/>
        <v>4.50638996765818</v>
      </c>
      <c r="AM152" s="250">
        <f t="shared" si="576"/>
        <v>1</v>
      </c>
      <c r="AN152" s="118" t="s">
        <v>486</v>
      </c>
      <c r="AO152" s="259">
        <f>AP152+各项系数!$M$9*$NK152</f>
        <v>4.41802938005704</v>
      </c>
      <c r="AP152" s="259">
        <f>AQ152*(1+$BI152+(VLOOKUP($AM152,$A$12:$B$323,2,0))+各项系数!$J$6+各项系数!$M$5)*(1+$E$2)</f>
        <v>4.37773174425493</v>
      </c>
      <c r="AQ152" s="260">
        <f>AR152+各项系数!$L$9*$NK152</f>
        <v>4.29526270040711</v>
      </c>
      <c r="AR152" s="260">
        <f>AS152*(1+$BJ152+各项系数!$J$5+各项系数!$L$5)</f>
        <v>4.25496506460499</v>
      </c>
      <c r="AS152" s="260">
        <f t="shared" si="642"/>
        <v>4.09131256212018</v>
      </c>
      <c r="AT152" s="259">
        <f>AU152+各项系数!$M$9*$NM152</f>
        <v>4.74581329074977</v>
      </c>
      <c r="AU152" s="259">
        <f>AV152*(1+$BI152+(VLOOKUP($AM152,$A$12:$B$323,2,0))+各项系数!$J$6+各项系数!$M$5)*(1+$E$2)</f>
        <v>4.70551565494765</v>
      </c>
      <c r="AV152" s="260">
        <f>AW152+各项系数!$L$9*$NM152</f>
        <v>4.61687171796277</v>
      </c>
      <c r="AW152" s="260">
        <f>AX152*(1+$BJ152+各项系数!$J$5+各项系数!$L$5)</f>
        <v>4.57657408216065</v>
      </c>
      <c r="AX152" s="260">
        <f t="shared" si="643"/>
        <v>4.40055200207755</v>
      </c>
      <c r="AY152" s="259">
        <f>AZ152+各项系数!$M$9*$NS152</f>
        <v>5.14956479935245</v>
      </c>
      <c r="AZ152" s="259">
        <f>BA152*(1+$BI152+(VLOOKUP($AM152,$A$12:$B$214,2,0))+各项系数!$J$6+各项系数!$M$5)*(1+$E$2)</f>
        <v>5.10626446990158</v>
      </c>
      <c r="BA152" s="260">
        <f>BB152+各项系数!$L$9*$NS152</f>
        <v>5.0100711046915</v>
      </c>
      <c r="BB152" s="260">
        <f>BC152*(1+$BJ152+各项系数!$J$5+各项系数!$L$5)</f>
        <v>4.96677077524064</v>
      </c>
      <c r="BC152" s="262">
        <f t="shared" si="644"/>
        <v>4.77574113003907</v>
      </c>
      <c r="BD152" s="259">
        <f>BE152+各项系数!$M$9*$NS152</f>
        <v>5.48367851047023</v>
      </c>
      <c r="BE152" s="259">
        <f>BF152*(1+$BI152+(VLOOKUP($AM152,$A$12:$B$214,2,0))+各项系数!$J$6+各项系数!$M$5)*(1+$E$2)</f>
        <v>5.44037818101936</v>
      </c>
      <c r="BF152" s="260">
        <f>BG152+各项系数!$L$9*$NS152</f>
        <v>5.33789067996405</v>
      </c>
      <c r="BG152" s="260">
        <f>BH152*(1+$BJ152+各项系数!$J$5+各项系数!$L$5)</f>
        <v>5.29459035051318</v>
      </c>
      <c r="BH152" s="262">
        <f t="shared" si="645"/>
        <v>5.09095226010883</v>
      </c>
      <c r="BI152" s="277"/>
      <c r="BJ152" s="272">
        <f t="shared" si="695"/>
        <v>0.02</v>
      </c>
      <c r="BK152" s="123" t="s">
        <v>514</v>
      </c>
      <c r="BL152" s="259">
        <f>BM152+各项系数!$M$9*$NM152</f>
        <v>4.50862004253693</v>
      </c>
      <c r="BM152" s="259">
        <f>BN152*(1+$CF152+(VLOOKUP($AM152,$A$12:$B$323,2,0))+各项系数!$J$6+各项系数!$M$5)*(1+$E$2)</f>
        <v>4.46832240673481</v>
      </c>
      <c r="BN152" s="260">
        <f>BO152+各项系数!$L$9*$NM152</f>
        <v>4.38414678839758</v>
      </c>
      <c r="BO152" s="260">
        <f>BP152*(1+$CG152+各项系数!$J$5+各项系数!$L$5)</f>
        <v>4.34384915259546</v>
      </c>
      <c r="BP152" s="260">
        <f t="shared" si="646"/>
        <v>4.13699919294806</v>
      </c>
      <c r="BQ152" s="259">
        <f>BR152+各项系数!$M$9*$NM152</f>
        <v>4.79066371675494</v>
      </c>
      <c r="BR152" s="259">
        <f>BS152*(1+$CF152+(VLOOKUP($AM152,$A$12:$B$323,2,0))+各项系数!$J$6+各项系数!$M$5)*(1+$E$2)</f>
        <v>4.75036608095283</v>
      </c>
      <c r="BS152" s="260">
        <f>BT152+各项系数!$L$9*$NM152</f>
        <v>4.66087723798354</v>
      </c>
      <c r="BT152" s="260">
        <f>BU152*(1+$CG152+各项系数!$J$5+各项系数!$L$5)</f>
        <v>4.62057960218143</v>
      </c>
      <c r="BU152" s="260">
        <f t="shared" si="647"/>
        <v>4.40055200207755</v>
      </c>
      <c r="BV152" s="259">
        <f>BW152+各项系数!$M$9*$NT152</f>
        <v>5.21236567084938</v>
      </c>
      <c r="BW152" s="259">
        <f>BX152*(1+$CF152+(VLOOKUP($AM152,$A$12:$B$214,2,0))+各项系数!$J$6+各项系数!$M$5)*(1+$E$2)</f>
        <v>5.16906534139852</v>
      </c>
      <c r="BX152" s="260">
        <f>BY152+各项系数!$L$9*$NT$12</f>
        <v>5.07168891424501</v>
      </c>
      <c r="BY152" s="260">
        <f>BZ152*(1+$CG152+各项系数!$J$5+各项系数!$L$5)</f>
        <v>5.06342551109004</v>
      </c>
      <c r="BZ152" s="262">
        <f t="shared" si="586"/>
        <v>4.82231001056194</v>
      </c>
      <c r="CA152" s="259">
        <f>CB152+各项系数!$M$9*$NT152</f>
        <v>5.49985586062448</v>
      </c>
      <c r="CB152" s="259">
        <f>CC152*(1+$CF152+(VLOOKUP($AM152,$A$12:$B$214,2,0))+各项系数!$J$6+各项系数!$M$5)*(1+$E$2)</f>
        <v>5.45655553117361</v>
      </c>
      <c r="CC152" s="260">
        <f>CD152+各项系数!$L$9*$NT$12</f>
        <v>5.35376327626924</v>
      </c>
      <c r="CD152" s="260">
        <f>CE152*(1+$CG152+各项系数!$J$5+各项系数!$L$5)</f>
        <v>5.34549987311427</v>
      </c>
      <c r="CE152" s="262">
        <f t="shared" si="648"/>
        <v>5.09095226010883</v>
      </c>
      <c r="CF152" s="277">
        <f t="shared" si="514"/>
        <v>0</v>
      </c>
      <c r="CG152" s="277">
        <f t="shared" si="587"/>
        <v>0.03</v>
      </c>
      <c r="CH152" s="123"/>
      <c r="CI152" s="259">
        <f>CJ152+各项系数!$M$9*$NO152</f>
        <v>5.11299686964382</v>
      </c>
      <c r="CJ152" s="259">
        <f>CK152*(1+$DC152+(VLOOKUP($AM152,$A$12:$B$323,2,0))+各项系数!$J$6+各项系数!$M$5)*(1+$E$2)+各项系数!$M$9*$NK152</f>
        <v>5.03894621053706</v>
      </c>
      <c r="CK152" s="260">
        <f>CL152+各项系数!$L$9*$NO152</f>
        <v>4.90448251053271</v>
      </c>
      <c r="CL152" s="260">
        <f>CM152*(1+$DD152+各项系数!$J$5+各项系数!$L$5)</f>
        <v>4.83043185142595</v>
      </c>
      <c r="CM152" s="260">
        <f t="shared" si="588"/>
        <v>4.64464601098649</v>
      </c>
      <c r="CN152" s="259">
        <f>CO152+各项系数!$M$9*$NO152</f>
        <v>5.3318350545283</v>
      </c>
      <c r="CO152" s="259">
        <f>CP152*(1+$DC152+(VLOOKUP($AM152,$A$12:$B$323,2,0))+各项系数!$J$6+各项系数!$M$5)*(1+$E$2)+各项系数!$M$9*$NK152</f>
        <v>5.25778439542154</v>
      </c>
      <c r="CP152" s="260">
        <f>CQ152+各项系数!$L$9*$NO152</f>
        <v>5.1191981550426</v>
      </c>
      <c r="CQ152" s="260">
        <f>CR152*(1+$DD152+各项系数!$J$5+各项系数!$L$5)</f>
        <v>5.04514749593584</v>
      </c>
      <c r="CR152" s="260">
        <f t="shared" si="589"/>
        <v>4.85110336147677</v>
      </c>
      <c r="CS152" s="259">
        <f>CT152+各项系数!$M$9*$NU152</f>
        <v>5.99210078017459</v>
      </c>
      <c r="CT152" s="259">
        <f t="shared" si="590"/>
        <v>5.91426631825597</v>
      </c>
      <c r="CU152" s="260">
        <f>CV152+各项系数!$L$9*$NU152</f>
        <v>5.80285156814754</v>
      </c>
      <c r="CV152" s="260">
        <f>CW152*(1+$DD152+各项系数!$J$5+各项系数!$L$5)</f>
        <v>5.72501710622891</v>
      </c>
      <c r="CW152" s="262">
        <f t="shared" si="591"/>
        <v>5.50482414060472</v>
      </c>
      <c r="CX152" s="259">
        <f>CY152+各项系数!$M$9*$NU152</f>
        <v>6.39995666624421</v>
      </c>
      <c r="CY152" s="259">
        <f t="shared" si="592"/>
        <v>6.32212220432559</v>
      </c>
      <c r="CZ152" s="260">
        <f>DA152+各项系数!$L$9*$NU152</f>
        <v>6.20302414082181</v>
      </c>
      <c r="DA152" s="260">
        <f>DB152*(1+$DD152+各项系数!$J$5+各项系数!$L$5)</f>
        <v>6.12518967890318</v>
      </c>
      <c r="DB152" s="262">
        <f t="shared" si="593"/>
        <v>5.88960546048383</v>
      </c>
      <c r="DC152" s="277">
        <f t="shared" ref="DC152:DC170" si="698">BI152+$DC$2</f>
        <v>0</v>
      </c>
      <c r="DD152" s="277">
        <f t="shared" si="594"/>
        <v>0.02</v>
      </c>
      <c r="DE152" s="69" t="s">
        <v>498</v>
      </c>
      <c r="DF152" s="69" t="s">
        <v>513</v>
      </c>
      <c r="DG152" s="259">
        <f>DH152+各项系数!$M$9*$NQ152</f>
        <v>5.22022643472096</v>
      </c>
      <c r="DH152" s="259">
        <f>DI152*(1+$EA152+(VLOOKUP($AM152,$A$12:$B$323,2,0))+各项系数!$J$6+各项系数!$M$5)*(1+$E$2)+各项系数!$M$9*$NK152</f>
        <v>5.1461757756142</v>
      </c>
      <c r="DI152" s="260">
        <f>DJ152+各项系数!$L$9*$NQ152</f>
        <v>5.00969205240589</v>
      </c>
      <c r="DJ152" s="260">
        <f>DK152*(1+$EB152+各项系数!$J$5+各项系数!$L$5)</f>
        <v>4.93564139329912</v>
      </c>
      <c r="DK152" s="260">
        <f t="shared" si="595"/>
        <v>4.70061085076107</v>
      </c>
      <c r="DL152" s="259">
        <f>DM152+各项系数!$M$9*$NQ152</f>
        <v>5.56572201517895</v>
      </c>
      <c r="DM152" s="259">
        <f>DN152*(1+$EA152+(VLOOKUP($AM152,$A$12:$B$323,2,0))+各项系数!$J$6+各项系数!$M$5)*(1+$E$2)+各项系数!$M$9*$NK152</f>
        <v>5.49167135607218</v>
      </c>
      <c r="DN152" s="260">
        <f>DO152+各项系数!$L$9*$NQ152</f>
        <v>5.34867908189763</v>
      </c>
      <c r="DO152" s="260">
        <f>DP152*(1+$EB152+各项系数!$J$5+各项系数!$L$5)</f>
        <v>5.27462842279087</v>
      </c>
      <c r="DP152" s="260">
        <f t="shared" si="596"/>
        <v>5.02345564075321</v>
      </c>
      <c r="DQ152" s="259">
        <f>DR152+各项系数!$M$9*$NV152</f>
        <v>6.1090414290824</v>
      </c>
      <c r="DR152" s="259">
        <f t="shared" si="597"/>
        <v>6.03120696716377</v>
      </c>
      <c r="DS152" s="260">
        <f>DT152+各项系数!$L$9*$NV152</f>
        <v>5.91758925349664</v>
      </c>
      <c r="DT152" s="260">
        <f>DU152*(1+$EB152+各项系数!$J$5+各项系数!$L$5)</f>
        <v>5.83975479157801</v>
      </c>
      <c r="DU152" s="262">
        <f t="shared" si="598"/>
        <v>5.5616712300743</v>
      </c>
      <c r="DV152" s="259">
        <f>DW152+各项系数!$M$9*$NV152</f>
        <v>6.10911960394141</v>
      </c>
      <c r="DW152" s="259">
        <f t="shared" si="599"/>
        <v>6.03128514202279</v>
      </c>
      <c r="DX152" s="260">
        <f>DY152+各项系数!$L$9*$NV152</f>
        <v>5.91766595567385</v>
      </c>
      <c r="DY152" s="260">
        <f>DZ152*(1+$EB152+各项系数!$J$5+各项系数!$L$5)</f>
        <v>5.83983149375522</v>
      </c>
      <c r="DZ152" s="262">
        <f t="shared" si="600"/>
        <v>5.56174427976688</v>
      </c>
      <c r="EA152" s="277">
        <f t="shared" ref="EA152:EA168" si="699">BI152+$EA$2</f>
        <v>0</v>
      </c>
      <c r="EB152" s="277">
        <f t="shared" si="601"/>
        <v>0.03</v>
      </c>
      <c r="EC152" s="302">
        <f t="shared" si="649"/>
        <v>6</v>
      </c>
      <c r="ED152" s="302" t="str">
        <f t="shared" si="680"/>
        <v>6*1</v>
      </c>
      <c r="EE152" s="251">
        <f t="shared" si="495"/>
        <v>1</v>
      </c>
      <c r="EF152" s="251">
        <f>LOOKUP(EH152,{1,7,10,14,19,24,30,37,48,61},{1,"1+6","2+8","4+10","1+6+12","2+8+14","4+10+16","1+6+12+18","3+9+15+21","1+6+12+18+24"})</f>
        <v>1</v>
      </c>
      <c r="EG152" s="250">
        <f t="shared" si="602"/>
        <v>6</v>
      </c>
      <c r="EH152" s="260">
        <f>VLOOKUP(EE152,各项系数!$B$87:$C$124,2,0)</f>
        <v>1</v>
      </c>
      <c r="EI152" s="250">
        <f>IF(EH152=0,0,VLOOKUP(EH152,各项系数!$D$142:$E$195,2,0))*1</f>
        <v>1</v>
      </c>
      <c r="EJ152" s="305">
        <f t="shared" si="650"/>
        <v>110.31595161029</v>
      </c>
      <c r="EK152" s="251">
        <f t="shared" si="689"/>
        <v>0</v>
      </c>
      <c r="EL152" s="251">
        <f t="shared" si="603"/>
        <v>0</v>
      </c>
      <c r="EM152" s="251">
        <f t="shared" si="690"/>
        <v>0</v>
      </c>
      <c r="EN152" s="251">
        <f>IF(EP152=0,0,LOOKUP(EP152,{1,7,10,14,19,24,30,37,48,61},{1,"1+6","2+8","4+10","1+6+12","2+8+14","4+10+16","1+6+12+18","3+9+15+21","1+6+12+18+24"}))</f>
        <v>0</v>
      </c>
      <c r="EO152" s="251">
        <f t="shared" si="691"/>
        <v>0</v>
      </c>
      <c r="EP152" s="251">
        <f>IF(EM152=0,0,IF(EM152&lt;10,1,IF(AND(EM152&gt;=10,EM152&lt;=35),7,LOOKUP(EM152,{50,70,95,120,150,185,240,300},{10,14,19,24,30,37,48,61})*1)))</f>
        <v>0</v>
      </c>
      <c r="EQ152" s="251">
        <f>IF(EP152=0,0,VLOOKUP(EP152,各项系数!$D$142:$E$195,2,0))*1</f>
        <v>0</v>
      </c>
      <c r="ER152" s="69">
        <f t="shared" si="577"/>
        <v>0</v>
      </c>
      <c r="ES152" s="566">
        <f t="shared" si="692"/>
        <v>6</v>
      </c>
      <c r="ET152" s="251">
        <f>VLOOKUP(ES152,各项系数!$D$142:$E$195,2,0)*1</f>
        <v>3</v>
      </c>
      <c r="EU152" s="311">
        <f>((各项系数!$F$76/4*$EJ152^2*$EG152*$EH152*1*10^-7)*(1-$H152)*AA152)*(VLOOKUP($EY$9,各项系数!$D$4:$F$143,3,0))*各项系数!$J$4</f>
        <v>0.0507274001618021</v>
      </c>
      <c r="EV152" s="312">
        <f>EU152*(VLOOKUP($EY$9,各项系数!$D$4:$F$143,2,0))</f>
        <v>3.32264471059804</v>
      </c>
      <c r="EW152" s="324">
        <f>(IF($EO152=0,0,(各项系数!$F$76/4*$ER152^2*$EO152*$EP152*1*10^-7))*(1-$K152)*$AF152)*(VLOOKUP($EY$9,各项系数!$D$4:$F$143,3,0))*各项系数!$J$4</f>
        <v>0</v>
      </c>
      <c r="EX152" s="325">
        <f>EW152*(VLOOKUP($EY$9,各项系数!$D$4:$F$143,2,0))</f>
        <v>0</v>
      </c>
      <c r="EY152" s="251">
        <f>((各项系数!$F$76/4*$EJ152^2*$EG152*$EH152*1*10^-7)*(1-$H152)*AA152+IF($EO152=0,0,(各项系数!$F$76/4*$ER152^2*$EO152*$EP152*1*10^-7))*(1-$K152)*$AF152)*(VLOOKUP($EY$9,各项系数!$D$4:$F$143,3,0))*各项系数!$J$4</f>
        <v>0.0507274001618021</v>
      </c>
      <c r="EZ152" s="123">
        <v>1</v>
      </c>
      <c r="FA152" s="251">
        <f t="shared" si="515"/>
        <v>0.0507274001618021</v>
      </c>
      <c r="FB152" s="326">
        <f>FA152*(VLOOKUP($EY$9,各项系数!$D$4:$F$143,2,0))</f>
        <v>3.32264471059804</v>
      </c>
      <c r="FC152" s="327"/>
      <c r="FD152" s="302">
        <f>各项系数!$F$76/4*($MN152^2-MK152^2)*10^-2*(VLOOKUP(L152,各项系数!$D$1:$F$143,3,0))*10^-3*10^2*$EG152*各项系数!$J$4</f>
        <v>0.0210825658642258</v>
      </c>
      <c r="FE152" s="339">
        <f>FD152*VLOOKUP(L152,各项系数!$D$1:$F$143,2,0)</f>
        <v>0.242449507438597</v>
      </c>
      <c r="FF152" s="250">
        <f>各项系数!$F$76/4*($MO152^2-ML152^2)*10^-2*(VLOOKUP(L152,各项系数!$D$1:$F$143,3,0))*10^-3*10^2*$EO152*各项系数!$J$4</f>
        <v>0</v>
      </c>
      <c r="FG152" s="339">
        <f>FF152*VLOOKUP(L152,各项系数!$D$1:$F$143,2,0)</f>
        <v>0</v>
      </c>
      <c r="FH152" s="302">
        <f t="shared" si="651"/>
        <v>0.0210825658642258</v>
      </c>
      <c r="FI152" s="123">
        <v>1</v>
      </c>
      <c r="FJ152" s="251">
        <f t="shared" si="516"/>
        <v>0.0210825658642258</v>
      </c>
      <c r="FK152" s="339">
        <f>FJ152*VLOOKUP(L152,各项系数!$D$1:$F$143,2,0)</f>
        <v>0.242449507438597</v>
      </c>
      <c r="FL152" s="302"/>
      <c r="FM152" s="123"/>
      <c r="FN152" s="251"/>
      <c r="FO152" s="339"/>
      <c r="FP152" s="364">
        <f t="shared" si="517"/>
        <v>0.0210825658642258</v>
      </c>
      <c r="FQ152" s="364">
        <f t="shared" si="518"/>
        <v>0.242449507438597</v>
      </c>
      <c r="FR152" s="365">
        <f>各项系数!$F$76/4*($MQ152^2-$MN152^2*$EG152-$MO152^2*$EO152)*10^-2</f>
        <v>0.12498536814618</v>
      </c>
      <c r="FS152" s="366">
        <f t="shared" si="652"/>
        <v>1</v>
      </c>
      <c r="FT152" s="367">
        <f t="shared" si="604"/>
        <v>0.12498536814618</v>
      </c>
      <c r="FU152" s="388">
        <f>$FT152*(VLOOKUP($FT$9,各项系数!$D$1:$F$143,3,0))*10^-3*10^2*各项系数!$J$55</f>
        <v>0.0149232529566539</v>
      </c>
      <c r="FV152" s="389">
        <v>1</v>
      </c>
      <c r="FW152" s="390">
        <f t="shared" si="519"/>
        <v>0.0149232529566539</v>
      </c>
      <c r="FX152" s="367">
        <f>FW152*(VLOOKUP($FT$9,各项系数!$D$1:$F$143,2,0))</f>
        <v>0.0447697588699617</v>
      </c>
      <c r="FY152" s="388">
        <f>IF($BK152&lt;&gt;$FY$9,0,各项系数!$F$76/4*($MS152^2-$MQ152^2)*10^-2*(VLOOKUP($FY$9,各项系数!$D$1:$F$143,3,0))*10^-3*10^2)*各项系数!$J$4</f>
        <v>0</v>
      </c>
      <c r="FZ152" s="389">
        <v>1</v>
      </c>
      <c r="GA152" s="390">
        <f t="shared" si="520"/>
        <v>0</v>
      </c>
      <c r="GB152" s="367">
        <f>GA152*(VLOOKUP($FY$9,各项系数!$D$1:$F$143,2,0))</f>
        <v>0</v>
      </c>
      <c r="GC152" s="388">
        <f>IF($BK152&lt;&gt;$GC$9,0,各项系数!$F$76/4*($MS152^2-$MQ152^2)*10^-2*(VLOOKUP($GC$9,各项系数!$D$1:$F$143,3,0))*10^-3*10^2)*各项系数!$J$4</f>
        <v>0.00190560286316785</v>
      </c>
      <c r="GD152" s="389">
        <v>1</v>
      </c>
      <c r="GE152" s="390">
        <f t="shared" si="521"/>
        <v>0.00190560286316785</v>
      </c>
      <c r="GF152" s="367">
        <f>GE152*(VLOOKUP($GC$9,各项系数!$D$1:$F$143,2,0))</f>
        <v>0.0245822769348653</v>
      </c>
      <c r="GG152" s="388">
        <f>IF($BK152&lt;&gt;$GG$9,0,各项系数!$F$76/4*($MS152^2-$MQ152^2)*10^-2*(VLOOKUP($GG$9,各项系数!$D$1:$F$143,3,0))*10^-3*10^2)*各项系数!$J$4</f>
        <v>0</v>
      </c>
      <c r="GH152" s="389">
        <v>1</v>
      </c>
      <c r="GI152" s="390">
        <f t="shared" si="522"/>
        <v>0</v>
      </c>
      <c r="GJ152" s="367">
        <f>GI152*(VLOOKUP($GG$9,各项系数!$D$1:$F$143,2,0))</f>
        <v>0</v>
      </c>
      <c r="GK152" s="388">
        <f>IF($BK152&lt;&gt;$GK$9,0,各项系数!$F$76/4*($MS152^2-$MQ152^2)*10^-2*(VLOOKUP($GK$9,各项系数!$D$1:$F$143,3,0))*10^-3*10^2)*各项系数!$J$4</f>
        <v>0</v>
      </c>
      <c r="GL152" s="389">
        <v>1</v>
      </c>
      <c r="GM152" s="390">
        <f t="shared" si="523"/>
        <v>0</v>
      </c>
      <c r="GN152" s="367">
        <f>GM152*(VLOOKUP($GK$9,各项系数!$D$1:$F$143,2,0))</f>
        <v>0</v>
      </c>
      <c r="GO152" s="390">
        <f t="shared" si="524"/>
        <v>0.00190560286316785</v>
      </c>
      <c r="GP152" s="390">
        <f t="shared" si="525"/>
        <v>0.0245822769348653</v>
      </c>
      <c r="GQ152" s="406">
        <f>各项系数!$F$76/4*($MU152^2-$MS152^2)*10^-2*(VLOOKUP($S152,各项系数!$D$1:$F$143,3,0))*10^-3*10^2*各项系数!$J$4</f>
        <v>0.112720231553806</v>
      </c>
      <c r="GR152" s="389">
        <v>1</v>
      </c>
      <c r="GS152" s="390">
        <f t="shared" si="526"/>
        <v>0.112720231553806</v>
      </c>
      <c r="GT152" s="390">
        <f t="shared" si="696"/>
        <v>1</v>
      </c>
      <c r="GU152" s="390">
        <f>ROUND($GS152*(VLOOKUP($S152,各项系数!$D$1:$F$143,2,0))+$E$3*GS152,GT152)</f>
        <v>0.7</v>
      </c>
      <c r="GV152" s="406">
        <f>各项系数!$F$76/4*($MT152^2-$MS152^2)*10^-2*(VLOOKUP($GV$9,各项系数!$D$1:$F$143,3,0))*10^-3*10^2*各项系数!$J$4*PI()/4*R152</f>
        <v>0.0100089788291692</v>
      </c>
      <c r="GW152" s="389">
        <v>1</v>
      </c>
      <c r="GX152" s="390">
        <f t="shared" si="527"/>
        <v>0.0100089788291692</v>
      </c>
      <c r="GY152" s="390">
        <f>$GX152*(VLOOKUP($GV$9,各项系数!$D$1:$F$143,2,0))</f>
        <v>0.675606070968924</v>
      </c>
      <c r="GZ152" s="406">
        <f>各项系数!$F$76/4*($MV152^2-$MS152^2)*10^-2*(VLOOKUP($GZ$9,各项系数!$D$1:$F$143,3,0))*10^-3*10^2*各项系数!$J$4</f>
        <v>0.0450650440138873</v>
      </c>
      <c r="HA152" s="389">
        <v>1</v>
      </c>
      <c r="HB152" s="390">
        <f t="shared" si="653"/>
        <v>0.0450650440138873</v>
      </c>
      <c r="HC152" s="390">
        <f>HB152*(VLOOKUP($GZ$9,各项系数!$D$1:$F$143,2,0))</f>
        <v>0.766105748236084</v>
      </c>
      <c r="HD152" s="406">
        <f>各项系数!$F$76/4*($MW152^2-$MT152^2)*10^-2*(VLOOKUP($HD$9,各项系数!$D$1:$F$143,3,0))*10^-3*10^2*各项系数!$J$4</f>
        <v>0.0459352903116729</v>
      </c>
      <c r="HE152" s="389">
        <v>1</v>
      </c>
      <c r="HF152" s="390">
        <f t="shared" si="654"/>
        <v>0.0459352903116729</v>
      </c>
      <c r="HG152" s="390">
        <f>HF152*(VLOOKUP($HD$9,各项系数!$D$1:$F$143,2,0))</f>
        <v>0.780899935298439</v>
      </c>
      <c r="HH152" s="406">
        <f>各项系数!$F$76/4*($MV152^2-$MS152^2)*10^-2*(VLOOKUP($HH$9,各项系数!$D$1:$F$143,3,0))*10^-3*10^2*各项系数!$J$4</f>
        <v>0.0450650440138873</v>
      </c>
      <c r="HI152" s="420">
        <v>1</v>
      </c>
      <c r="HJ152" s="390">
        <f t="shared" si="655"/>
        <v>0.0450650440138873</v>
      </c>
      <c r="HK152" s="390">
        <f>HJ152*(VLOOKUP($HH$9,各项系数!$D$1:$F$143,2,0))</f>
        <v>0.766105748236084</v>
      </c>
      <c r="HL152" s="406">
        <f>各项系数!$F$76/4*($MW152^2-$MT152^2)*10^-2*(VLOOKUP($HL$9,各项系数!$D$1:$F$143,3,0))*10^-3*10^2*各项系数!$J$4</f>
        <v>0.0459352903116729</v>
      </c>
      <c r="HM152" s="420">
        <v>1</v>
      </c>
      <c r="HN152" s="390">
        <f t="shared" si="605"/>
        <v>0.0459352903116729</v>
      </c>
      <c r="HO152" s="390">
        <f>HN152*(VLOOKUP($HL$9,各项系数!$D$1:$F$143,2,0))</f>
        <v>0.780899935298439</v>
      </c>
      <c r="HP152" s="406">
        <f>各项系数!$F$76/4*($MV152^2-$MS152^2)*10^-2*(VLOOKUP(AN152,各项系数!$D$1:$F$143,3,0))*10^-3*10^2*各项系数!$J$4</f>
        <v>0.045686630827872</v>
      </c>
      <c r="HQ152" s="389">
        <v>1</v>
      </c>
      <c r="HR152" s="390">
        <f t="shared" si="528"/>
        <v>0.045686630827872</v>
      </c>
      <c r="HS152" s="390">
        <f>HR152*(VLOOKUP(AN152,各项系数!$D$1:$F$143,2,0))</f>
        <v>0.45686630827872</v>
      </c>
      <c r="HT152" s="406">
        <f>各项系数!$F$76/4*($MW152^2-$MT152^2)*10^-2*(VLOOKUP(AN152,各项系数!$D$1:$F$143,3,0))*10^-3*10^2*各项系数!$J$4</f>
        <v>0.0465688805228684</v>
      </c>
      <c r="HU152" s="389">
        <v>1</v>
      </c>
      <c r="HV152" s="390">
        <f t="shared" si="529"/>
        <v>0.0465688805228684</v>
      </c>
      <c r="HW152" s="390">
        <f>HV152*(VLOOKUP(AN152,各项系数!$D$1:$F$143,2,0))</f>
        <v>0.465688805228684</v>
      </c>
      <c r="HX152" s="406">
        <f>各项系数!$F$76/4*($MV152^2-$MS152^2)*10^-2*(VLOOKUP($HX$9,各项系数!$D$1:$F$143,3,0))*10^-3*10^2*各项系数!$J$4</f>
        <v>0.045686630827872</v>
      </c>
      <c r="HY152" s="420">
        <v>1</v>
      </c>
      <c r="HZ152" s="390">
        <f t="shared" si="530"/>
        <v>0.045686630827872</v>
      </c>
      <c r="IA152" s="390">
        <f>HZ152*(VLOOKUP($HX$9,各项系数!$D$1:$F$143,2,0))</f>
        <v>0.502552939106592</v>
      </c>
      <c r="IB152" s="406">
        <f>各项系数!$F$76/4*($MW152^2-$MT152^2)*10^-2*(VLOOKUP($IB$9,各项系数!$D$1:$F$143,3,0))*10^-3*10^2*各项系数!$J$4</f>
        <v>0.0465688805228684</v>
      </c>
      <c r="IC152" s="420">
        <v>1</v>
      </c>
      <c r="ID152" s="390">
        <f t="shared" si="531"/>
        <v>0.0465688805228684</v>
      </c>
      <c r="IE152" s="390">
        <f>ID152*(VLOOKUP($IB$9,各项系数!$D$1:$F$143,2,0))</f>
        <v>0.512257685751552</v>
      </c>
      <c r="IF152" s="429"/>
      <c r="IG152" s="406">
        <f t="shared" si="656"/>
        <v>0.0118425101264478</v>
      </c>
      <c r="IH152" s="389">
        <v>1</v>
      </c>
      <c r="II152" s="390">
        <f t="shared" si="532"/>
        <v>0.0118425101264478</v>
      </c>
      <c r="IJ152" s="390">
        <f>II152*(VLOOKUP($IG$8,各项系数!$D$1:$F$143,2,0))</f>
        <v>0.296062753161196</v>
      </c>
      <c r="IK152" s="406">
        <f>(各项系数!$F$76/4*($MX152^2-$MK152^2)*$EG152)*10^-2*(VLOOKUP($IG$8,各项系数!$D$1:$F$143,3,0))*10^-3*10^2*各项系数!$J$4</f>
        <v>0.0118425101264478</v>
      </c>
      <c r="IL152" s="389">
        <f>IK152*(VLOOKUP($IG$8,各项系数!$D$1:$F$143,2,0))</f>
        <v>0.296062753161196</v>
      </c>
      <c r="IM152" s="390">
        <f>(各项系数!$F$76/4*(($MM152+3*$X152)^2-MM152^2)*$EO152)*10^-2*(VLOOKUP($IG$8,各项系数!$D$1:$F$143,3,0))*10^-3*10^2*各项系数!$J$4</f>
        <v>0</v>
      </c>
      <c r="IN152" s="389">
        <f>IM152*(VLOOKUP($IG$8,各项系数!$D$1:$F$143,2,0))</f>
        <v>0</v>
      </c>
      <c r="IO152" s="406">
        <f>各项系数!$F$76/4*($MZ152^2-$MX152^2)*10^-2*(VLOOKUP(L152,各项系数!$D$1:$F$143,3,0))*10^-3*10^2*$ES152*各项系数!$J$4</f>
        <v>0.0285096678884305</v>
      </c>
      <c r="IP152" s="389">
        <v>1</v>
      </c>
      <c r="IQ152" s="390">
        <f t="shared" si="533"/>
        <v>0.0285096678884305</v>
      </c>
      <c r="IR152" s="367">
        <f>IQ152*(VLOOKUP(L152,各项系数!$D$1:$F$143,2,0))</f>
        <v>0.327861180716951</v>
      </c>
      <c r="IS152" s="406">
        <f>IF($L152&lt;&gt;$IS$9,0,各项系数!$F$76/4*($MZ152^2-$MX152^2)*10^-2*各项系数!$F$12*10^-3*10^2)*$ES152*各项系数!$J$4</f>
        <v>0</v>
      </c>
      <c r="IT152" s="389">
        <v>1</v>
      </c>
      <c r="IU152" s="390">
        <f t="shared" si="534"/>
        <v>0</v>
      </c>
      <c r="IV152" s="367">
        <f>IU152*各项系数!$E$12</f>
        <v>0</v>
      </c>
      <c r="IW152" s="388">
        <f t="shared" si="535"/>
        <v>0.0285096678884305</v>
      </c>
      <c r="IX152" s="388">
        <f t="shared" si="536"/>
        <v>0.327861180716951</v>
      </c>
      <c r="IY152" s="447">
        <f>各项系数!$F$76/4*($NB152^2-$MZ152^2*$EG152-$NA152^2*$EO152)*10^-2</f>
        <v>0.198587969563569</v>
      </c>
      <c r="IZ152" s="366">
        <f t="shared" si="697"/>
        <v>1</v>
      </c>
      <c r="JA152" s="367">
        <f t="shared" si="606"/>
        <v>0.198587969563569</v>
      </c>
      <c r="JB152" s="364">
        <f>IF($DE152&lt;&gt;$JB$9,0,$JA152*各项系数!$F$32*10^-3*10^2)*各项系数!$J$4</f>
        <v>0</v>
      </c>
      <c r="JC152" s="123">
        <v>1</v>
      </c>
      <c r="JD152" s="251">
        <f t="shared" si="537"/>
        <v>0</v>
      </c>
      <c r="JE152" s="339">
        <f>JD152*各项系数!$E$32</f>
        <v>0</v>
      </c>
      <c r="JF152" s="364">
        <f>IF($DE152&lt;&gt;$JF$9,0,$JA152*VLOOKUP($JF$9,各项系数!$D$4:$F$540,2,0)*10^-3*10^2)*各项系数!$J$4</f>
        <v>0.0987975148578755</v>
      </c>
      <c r="JG152" s="123">
        <v>1</v>
      </c>
      <c r="JH152" s="251">
        <f t="shared" si="607"/>
        <v>0.0987975148578755</v>
      </c>
      <c r="JI152" s="339">
        <f>JH152*VLOOKUP($JF$9,各项系数!$D$4:$F$540,3,0)</f>
        <v>0.118557017829451</v>
      </c>
      <c r="JJ152" s="364">
        <f t="shared" si="538"/>
        <v>0.0987975148578755</v>
      </c>
      <c r="JK152" s="251">
        <f t="shared" si="539"/>
        <v>0.118557017829451</v>
      </c>
      <c r="JL152" s="364">
        <f>IF($DF152&lt;&gt;$JL$9,0,各项系数!$F$76/4*($NE152^2-$NC152^2)*10^-2*各项系数!$F$39*10^-3*10^2)*各项系数!$J$4</f>
        <v>0.000993597546752244</v>
      </c>
      <c r="JM152" s="123">
        <v>1</v>
      </c>
      <c r="JN152" s="251">
        <f t="shared" si="540"/>
        <v>0.000993597546752244</v>
      </c>
      <c r="JO152" s="339">
        <f>JN152*各项系数!$E$39</f>
        <v>0.0198719509350449</v>
      </c>
      <c r="JP152" s="364">
        <f>IF($DF152&lt;&gt;$JP$9,0,各项系数!$F$76/4*($NE152^2-$NC152^2)*10^-2*各项系数!$F$36*10^-3*10^2)*各项系数!$J$4</f>
        <v>0</v>
      </c>
      <c r="JQ152" s="123">
        <v>1</v>
      </c>
      <c r="JR152" s="251">
        <f t="shared" si="541"/>
        <v>0</v>
      </c>
      <c r="JS152" s="339">
        <f>JR152*各项系数!$E$36</f>
        <v>0</v>
      </c>
      <c r="JT152" s="364">
        <f>IF($DF152&lt;&gt;$JT$9,0,各项系数!$F$76/4*($NE152^2-$NC152^2)*10^-2*各项系数!$F$40*10^-3*10^2)*各项系数!$J$4</f>
        <v>0</v>
      </c>
      <c r="JU152" s="123">
        <v>1</v>
      </c>
      <c r="JV152" s="251">
        <f t="shared" si="542"/>
        <v>0</v>
      </c>
      <c r="JW152" s="339">
        <f>JV152*各项系数!$E$40</f>
        <v>0</v>
      </c>
      <c r="JX152" s="364">
        <f>IF($DF152&lt;&gt;$JX$9,0,各项系数!$F$76/4*($NE152^2-$NC152^2)*10^-2*各项系数!$F$38*10^-3*10^2)*各项系数!$J$4</f>
        <v>0</v>
      </c>
      <c r="JY152" s="123">
        <v>1</v>
      </c>
      <c r="JZ152" s="251">
        <f t="shared" si="543"/>
        <v>0</v>
      </c>
      <c r="KA152" s="339">
        <f>JZ152*各项系数!$E$38</f>
        <v>0</v>
      </c>
      <c r="KB152" s="364">
        <f>IF($DF152&lt;&gt;$KB$9,0,各项系数!$F$76/4*($NE152^2-$NC152^2)*10^-2*各项系数!$F$41*10^-3*10^2)*各项系数!$J$4</f>
        <v>0</v>
      </c>
      <c r="KC152" s="123">
        <v>1</v>
      </c>
      <c r="KD152" s="251">
        <f t="shared" si="544"/>
        <v>0</v>
      </c>
      <c r="KE152" s="339">
        <f>KD152*各项系数!$E$41</f>
        <v>0</v>
      </c>
      <c r="KF152" s="251">
        <f t="shared" si="545"/>
        <v>0.000993597546752244</v>
      </c>
      <c r="KG152" s="251">
        <f t="shared" si="546"/>
        <v>0.0198719509350449</v>
      </c>
      <c r="KH152" s="302">
        <f>各项系数!$F$76/4*($NG152^2-$NE152^2)*10^-2*各项系数!$F$44*10^-3*10^2*各项系数!$J$4*0.75*$U152</f>
        <v>0.420176606868826</v>
      </c>
      <c r="KI152" s="123">
        <v>1</v>
      </c>
      <c r="KJ152" s="251">
        <f t="shared" si="547"/>
        <v>0.420176606868826</v>
      </c>
      <c r="KK152" s="251">
        <f>ROUND(KJ152*各项系数!$E$43,GT152)</f>
        <v>2.4</v>
      </c>
      <c r="KL152" s="302">
        <f>各项系数!$F$76/4*($NF152^2-$NE152^2)*10^-2*各项系数!$F$46*10^-3*10^2*各项系数!$J$4*PI()/4*R152</f>
        <v>0.0126126760395299</v>
      </c>
      <c r="KM152" s="123">
        <v>1</v>
      </c>
      <c r="KN152" s="251">
        <f t="shared" si="548"/>
        <v>0.0126126760395299</v>
      </c>
      <c r="KO152" s="251">
        <f>KN152*各项系数!$E$46</f>
        <v>0.851355632668269</v>
      </c>
      <c r="KP152" s="302">
        <f>各项系数!$F$76/4*($NH152^2-$NE152^2)*10^-2*(VLOOKUP($KP$9,各项系数!$D$1:$F$143,3,0))*10^-3*10^2*各项系数!$J$4</f>
        <v>0.0552034133830895</v>
      </c>
      <c r="KQ152" s="123">
        <v>1</v>
      </c>
      <c r="KR152" s="251">
        <f t="shared" si="657"/>
        <v>0.0552034133830895</v>
      </c>
      <c r="KS152" s="251">
        <f>KR152*(VLOOKUP($KP$9,各项系数!$D$1:$F$143,2,0))</f>
        <v>0.938458027512522</v>
      </c>
      <c r="KT152" s="302">
        <f>各项系数!$F$76/4*($NI152^2-$NF152^2)*10^-2*(VLOOKUP($KT$9,各项系数!$D$1:$F$143,3,0))*10^-3*10^2*各项系数!$J$4</f>
        <v>0.0560736596808752</v>
      </c>
      <c r="KU152" s="123">
        <v>1</v>
      </c>
      <c r="KV152" s="251">
        <f t="shared" si="658"/>
        <v>0.0560736596808752</v>
      </c>
      <c r="KW152" s="251">
        <f>KV152*(VLOOKUP($KT$9,各项系数!$D$1:$F$143,2,0))</f>
        <v>0.953252214574878</v>
      </c>
      <c r="KX152" s="251">
        <f>各项系数!$F$76/4*($NH152^2-$NE152^2)*10^-2*(VLOOKUP($KX$9,各项系数!$D$1:$F$143,3,0))*10^-3*10^2*各项系数!$J$4</f>
        <v>0.0552034133830895</v>
      </c>
      <c r="KY152" s="479">
        <v>1</v>
      </c>
      <c r="KZ152" s="251">
        <f t="shared" si="659"/>
        <v>0.0552034133830895</v>
      </c>
      <c r="LA152" s="251">
        <f>KZ152*(VLOOKUP($KX$9,各项系数!$D$1:$F$143,2,0))</f>
        <v>0.938458027512522</v>
      </c>
      <c r="LB152" s="251">
        <f>各项系数!$F$76/4*($NI152^2-$NF152^2)*10^-2*(VLOOKUP($LB$9,各项系数!$D$1:$F$143,3,0))*10^-3*10^2*各项系数!$J$4</f>
        <v>0.0560736596808752</v>
      </c>
      <c r="LC152" s="479">
        <v>1</v>
      </c>
      <c r="LD152" s="251">
        <f t="shared" si="660"/>
        <v>0.0560736596808752</v>
      </c>
      <c r="LE152" s="251">
        <f>LD152*(VLOOKUP($LB$9,各项系数!$D$1:$F$143,2,0))</f>
        <v>0.953252214574878</v>
      </c>
      <c r="LF152" s="302">
        <f>各项系数!$F$76/4*($NH152^2-$NE152^2)*10^-2*(VLOOKUP(AN152,各项系数!$D$1:$F$143,3,0))*10^-3*10^2*各项系数!$J$4</f>
        <v>0.0559648397745804</v>
      </c>
      <c r="LG152" s="123">
        <v>1</v>
      </c>
      <c r="LH152" s="251">
        <f t="shared" si="549"/>
        <v>0.0559648397745804</v>
      </c>
      <c r="LI152" s="251">
        <f>LH152*(VLOOKUP(AN152,各项系数!$D$1:$F$143,2,0))</f>
        <v>0.559648397745804</v>
      </c>
      <c r="LJ152" s="302">
        <f>各项系数!$F$76/4*($NI152^2-$NF152^2)*10^-2*(VLOOKUP(AN152,各项系数!$D$1:$F$143,3,0))*10^-3*10^2*各项系数!$J$4</f>
        <v>0.0568470894695769</v>
      </c>
      <c r="LK152" s="123">
        <v>1</v>
      </c>
      <c r="LL152" s="251">
        <f t="shared" si="550"/>
        <v>0.0568470894695769</v>
      </c>
      <c r="LM152" s="251">
        <f>LL152*(VLOOKUP(AN152,各项系数!$D$1:$F$143,2,0))</f>
        <v>0.568470894695769</v>
      </c>
      <c r="LN152" s="251">
        <f>各项系数!$F$76/4*($NH152^2-$NE152^2)*10^-2*(VLOOKUP($LN$9,各项系数!$D$1:$F$143,3,0))*10^-3*10^2*各项系数!$J$4</f>
        <v>0.0559648397745804</v>
      </c>
      <c r="LO152" s="479">
        <v>1</v>
      </c>
      <c r="LP152" s="251">
        <f t="shared" si="551"/>
        <v>0.0559648397745804</v>
      </c>
      <c r="LQ152" s="251">
        <f>LP152*(VLOOKUP($LN$9,各项系数!$D$1:$F$143,2,0))</f>
        <v>0.615613237520385</v>
      </c>
      <c r="LR152" s="251">
        <f>各项系数!$F$76/4*($NI152^2-$NF152^2)*10^-2*(VLOOKUP($LR$9,各项系数!$D$1:$F$143,3,0))*10^-3*10^2*各项系数!$J$4</f>
        <v>0.0568470894695769</v>
      </c>
      <c r="LS152" s="479">
        <v>1</v>
      </c>
      <c r="LT152" s="251">
        <f t="shared" si="552"/>
        <v>0.0568470894695769</v>
      </c>
      <c r="LU152" s="251">
        <f>LT152*(VLOOKUP($LR$9,各项系数!$D$1:$F$143,2,0))</f>
        <v>0.625317984165346</v>
      </c>
      <c r="LV152" s="499">
        <f t="shared" si="661"/>
        <v>5.73479326</v>
      </c>
      <c r="LW152" s="499">
        <f t="shared" si="662"/>
        <v>5.73479326</v>
      </c>
      <c r="LX152" s="499">
        <f t="shared" si="663"/>
        <v>2.7021779289145</v>
      </c>
      <c r="LY152" s="515">
        <f t="shared" si="664"/>
        <v>0</v>
      </c>
      <c r="LZ152" s="516">
        <f t="shared" si="608"/>
        <v>1</v>
      </c>
      <c r="MA152" s="517">
        <f t="shared" si="609"/>
        <v>5.73479326</v>
      </c>
      <c r="MB152" s="517">
        <f t="shared" si="665"/>
        <v>1.10315952</v>
      </c>
      <c r="MC152" s="499">
        <f t="shared" si="666"/>
        <v>0</v>
      </c>
      <c r="MD152" s="499">
        <f t="shared" si="667"/>
        <v>0</v>
      </c>
      <c r="ME152" s="499">
        <f t="shared" si="668"/>
        <v>0</v>
      </c>
      <c r="MF152" s="499">
        <f t="shared" si="669"/>
        <v>0</v>
      </c>
      <c r="MG152" s="516">
        <f t="shared" si="670"/>
        <v>1</v>
      </c>
      <c r="MH152" s="517">
        <f t="shared" si="610"/>
        <v>0</v>
      </c>
      <c r="MI152" s="517">
        <f t="shared" si="671"/>
        <v>0</v>
      </c>
      <c r="MJ152" s="251">
        <f t="shared" si="611"/>
        <v>1.10315952</v>
      </c>
      <c r="MK152" s="251">
        <f t="shared" si="672"/>
        <v>1.10315952</v>
      </c>
      <c r="ML152" s="251">
        <f t="shared" si="553"/>
        <v>0</v>
      </c>
      <c r="MM152" s="251">
        <f t="shared" si="612"/>
        <v>0</v>
      </c>
      <c r="MN152" s="251">
        <f t="shared" si="613"/>
        <v>2.30315952</v>
      </c>
      <c r="MO152" s="251">
        <f t="shared" si="673"/>
        <v>0</v>
      </c>
      <c r="MP152" s="251">
        <f t="shared" si="674"/>
        <v>6.90947856</v>
      </c>
      <c r="MQ152" s="251">
        <f t="shared" si="554"/>
        <v>6.90947856</v>
      </c>
      <c r="MR152" s="314">
        <f t="shared" si="675"/>
        <v>6.90947856</v>
      </c>
      <c r="MS152" s="530">
        <f t="shared" si="614"/>
        <v>7.08547856</v>
      </c>
      <c r="MT152" s="530">
        <f t="shared" si="615"/>
        <v>7.24547856</v>
      </c>
      <c r="MU152" s="530">
        <f t="shared" si="616"/>
        <v>8.28547856</v>
      </c>
      <c r="MV152" s="530">
        <f t="shared" si="617"/>
        <v>9.48547856</v>
      </c>
      <c r="MW152" s="530">
        <f t="shared" si="618"/>
        <v>9.64547856</v>
      </c>
      <c r="MX152" s="326">
        <f t="shared" si="619"/>
        <v>1.70315952</v>
      </c>
      <c r="MY152" s="326">
        <f t="shared" si="620"/>
        <v>0</v>
      </c>
      <c r="MZ152" s="251">
        <f t="shared" si="621"/>
        <v>2.90315952</v>
      </c>
      <c r="NA152" s="251">
        <f t="shared" si="622"/>
        <v>0</v>
      </c>
      <c r="NB152" s="251">
        <f t="shared" si="676"/>
        <v>8.70947856</v>
      </c>
      <c r="NC152" s="326">
        <f t="shared" si="555"/>
        <v>8.70947856</v>
      </c>
      <c r="ND152" s="314">
        <f t="shared" si="677"/>
        <v>8.70947856</v>
      </c>
      <c r="NE152" s="537">
        <f t="shared" si="678"/>
        <v>8.94947856</v>
      </c>
      <c r="NF152" s="530">
        <f t="shared" si="623"/>
        <v>9.10947856</v>
      </c>
      <c r="NG152" s="538">
        <f t="shared" si="624"/>
        <v>10.14947856</v>
      </c>
      <c r="NH152" s="326">
        <f t="shared" si="625"/>
        <v>11.34947856</v>
      </c>
      <c r="NI152" s="530">
        <f t="shared" si="626"/>
        <v>11.50947856</v>
      </c>
      <c r="NK152" s="539">
        <f t="shared" si="627"/>
        <v>0.134325452673722</v>
      </c>
      <c r="NL152" s="539">
        <f t="shared" si="628"/>
        <v>4.09131256212018</v>
      </c>
      <c r="NM152" s="539">
        <f t="shared" si="629"/>
        <v>0.134325452673722</v>
      </c>
      <c r="NN152" s="539">
        <f t="shared" si="630"/>
        <v>4.13699919294806</v>
      </c>
      <c r="NO152" s="539">
        <f t="shared" si="631"/>
        <v>0.246835530355889</v>
      </c>
      <c r="NP152" s="539">
        <f t="shared" si="632"/>
        <v>4.64464601098649</v>
      </c>
      <c r="NQ152" s="539">
        <f t="shared" si="633"/>
        <v>0.246835530355889</v>
      </c>
      <c r="NR152" s="539">
        <f t="shared" si="634"/>
        <v>4.70061085076107</v>
      </c>
      <c r="NS152" s="539">
        <f t="shared" si="635"/>
        <v>0.144334431502891</v>
      </c>
      <c r="NT152" s="539">
        <f t="shared" si="636"/>
        <v>0.144334431502891</v>
      </c>
      <c r="NU152" s="539">
        <f t="shared" si="637"/>
        <v>0.259448206395419</v>
      </c>
      <c r="NV152" s="539">
        <f t="shared" si="638"/>
        <v>0.259448206395419</v>
      </c>
      <c r="NW152">
        <f t="shared" si="639"/>
        <v>0.247045684227527</v>
      </c>
      <c r="NX152">
        <f>各项系数!$M$9*NK152</f>
        <v>0.0402976358021165</v>
      </c>
      <c r="NY152">
        <f t="shared" si="640"/>
        <v>0.144334431502891</v>
      </c>
    </row>
    <row r="153" customHeight="1" spans="1:389">
      <c r="A153" s="85"/>
      <c r="B153" s="86"/>
      <c r="C153" s="218"/>
      <c r="D153" s="123" t="s">
        <v>223</v>
      </c>
      <c r="E153" s="77">
        <f t="shared" si="687"/>
        <v>9.48547856</v>
      </c>
      <c r="F153" s="558">
        <f t="shared" si="693"/>
        <v>110.31595161029</v>
      </c>
      <c r="G153" s="78"/>
      <c r="H153" s="23"/>
      <c r="I153" s="174">
        <v>0</v>
      </c>
      <c r="J153" s="23"/>
      <c r="K153" s="23"/>
      <c r="L153" s="118" t="s">
        <v>469</v>
      </c>
      <c r="M153" s="124">
        <f t="shared" si="582"/>
        <v>0.6</v>
      </c>
      <c r="N153" s="124">
        <f t="shared" si="583"/>
        <v>0</v>
      </c>
      <c r="O153" s="69">
        <f t="shared" si="688"/>
        <v>0.08</v>
      </c>
      <c r="P153" s="120">
        <v>0.1</v>
      </c>
      <c r="Q153" s="162">
        <f t="shared" si="685"/>
        <v>0.1</v>
      </c>
      <c r="R153" s="560">
        <v>0.8</v>
      </c>
      <c r="S153" s="171" t="str">
        <f>各项系数!$D$43</f>
        <v>钢带</v>
      </c>
      <c r="T153" s="123">
        <v>0.2</v>
      </c>
      <c r="U153" s="78">
        <v>4</v>
      </c>
      <c r="V153" s="172"/>
      <c r="W153" s="170">
        <f t="shared" si="694"/>
        <v>1.2</v>
      </c>
      <c r="X153" s="164">
        <f t="shared" si="686"/>
        <v>0.2</v>
      </c>
      <c r="Y153" s="219"/>
      <c r="Z153" s="220"/>
      <c r="AA153" s="217">
        <v>1</v>
      </c>
      <c r="AB153" s="186">
        <f>PI()*EJ153*EJ153/4*EH153*(1-H153)*AA153*各项系数!$F$5*各项系数!$J$4*10^-7</f>
        <v>0.0084545666936337</v>
      </c>
      <c r="AC153" s="186">
        <f t="shared" si="573"/>
        <v>110.31595161029</v>
      </c>
      <c r="AD153" s="186">
        <f t="shared" si="584"/>
        <v>0.955798869898841</v>
      </c>
      <c r="AE153" s="186">
        <f>POWER(4*EU153/PI()/EG153/10^-7/EH153/(1-H153)/各项系数!$F$5/各项系数!$J$4,0.5)</f>
        <v>110.31595161029</v>
      </c>
      <c r="AF153" s="218">
        <v>1</v>
      </c>
      <c r="AG153" s="85">
        <f>IF(EM153=0,0,PI()*ER153*ER153/4*EP153*(1-K153)*(1+AF153)*各项系数!$F$5*各项系数!$J$4*10^-7)</f>
        <v>0</v>
      </c>
      <c r="AH153" s="85">
        <f t="shared" si="574"/>
        <v>0</v>
      </c>
      <c r="AI153" s="85">
        <f t="shared" si="641"/>
        <v>0</v>
      </c>
      <c r="AJ153" s="85">
        <f>IF(OR(EP153="",EP153=0),0,POWER(4*EW153/PI()/EO153/10^-7/EP153/(1-K153)/各项系数!$F$5/各项系数!$J$4,0.5))</f>
        <v>0</v>
      </c>
      <c r="AK153" s="85" t="str">
        <f t="shared" si="585"/>
        <v>√</v>
      </c>
      <c r="AL153" s="85">
        <f t="shared" si="575"/>
        <v>5.13698738118572</v>
      </c>
      <c r="AM153" s="250">
        <f t="shared" si="576"/>
        <v>1</v>
      </c>
      <c r="AN153" s="118" t="s">
        <v>486</v>
      </c>
      <c r="AO153" s="259">
        <f>AP153+各项系数!$M$9*$NK153</f>
        <v>5.03626213841737</v>
      </c>
      <c r="AP153" s="259">
        <f>AQ153*(1+$BI153+(VLOOKUP($AM153,$A$12:$B$323,2,0))+各项系数!$J$6+各项系数!$M$5)*(1+$E$2)</f>
        <v>4.99386632960962</v>
      </c>
      <c r="AQ153" s="260">
        <f>AR153+各项系数!$L$9*$NK153</f>
        <v>4.89979035479751</v>
      </c>
      <c r="AR153" s="260">
        <f>AS153*(1+$BJ153+各项系数!$J$5+各项系数!$L$5)</f>
        <v>4.85739454598975</v>
      </c>
      <c r="AS153" s="260">
        <f t="shared" si="642"/>
        <v>4.6705716788363</v>
      </c>
      <c r="AT153" s="259">
        <f>AU153+各项系数!$M$9*$NM153</f>
        <v>5.3640460491101</v>
      </c>
      <c r="AU153" s="259">
        <f>AV153*(1+$BI153+(VLOOKUP($AM153,$A$12:$B$323,2,0))+各项系数!$J$6+各项系数!$M$5)*(1+$E$2)</f>
        <v>5.32165024030235</v>
      </c>
      <c r="AV153" s="260">
        <f>AW153+各项系数!$L$9*$NM153</f>
        <v>5.22139937235317</v>
      </c>
      <c r="AW153" s="260">
        <f>AX153*(1+$BJ153+各项系数!$J$5+各项系数!$L$5)</f>
        <v>5.17900356354541</v>
      </c>
      <c r="AX153" s="260">
        <f t="shared" si="643"/>
        <v>4.97981111879367</v>
      </c>
      <c r="AY153" s="259">
        <f>AZ153+各项系数!$M$9*$NS153</f>
        <v>5.76779755771278</v>
      </c>
      <c r="AZ153" s="259">
        <f>BA153*(1+$BI153+(VLOOKUP($AM153,$A$12:$B$214,2,0))+各项系数!$J$6+各项系数!$M$5)*(1+$E$2)</f>
        <v>5.72239905525627</v>
      </c>
      <c r="BA153" s="260">
        <f>BB153+各项系数!$L$9*$NS153</f>
        <v>5.6145987590819</v>
      </c>
      <c r="BB153" s="260">
        <f>BC153*(1+$BJ153+各项系数!$J$5+各项系数!$L$5)</f>
        <v>5.5692002566254</v>
      </c>
      <c r="BC153" s="262">
        <f t="shared" si="644"/>
        <v>5.35500024675519</v>
      </c>
      <c r="BD153" s="259">
        <f>BE153+各项系数!$M$9*$NS153</f>
        <v>6.10191126883056</v>
      </c>
      <c r="BE153" s="259">
        <f>BF153*(1+$BI153+(VLOOKUP($AM153,$A$12:$B$214,2,0))+各项系数!$J$6+各项系数!$M$5)*(1+$E$2)</f>
        <v>6.05651276637405</v>
      </c>
      <c r="BF153" s="260">
        <f>BG153+各项系数!$L$9*$NS153</f>
        <v>5.94241833435445</v>
      </c>
      <c r="BG153" s="260">
        <f>BH153*(1+$BJ153+各项系数!$J$5+各项系数!$L$5)</f>
        <v>5.89701983189794</v>
      </c>
      <c r="BH153" s="262">
        <f t="shared" si="645"/>
        <v>5.67021137682495</v>
      </c>
      <c r="BI153" s="277"/>
      <c r="BJ153" s="272">
        <f t="shared" si="695"/>
        <v>0.02</v>
      </c>
      <c r="BK153" s="123" t="s">
        <v>514</v>
      </c>
      <c r="BL153" s="259">
        <f>BM153+各项系数!$M$9*$NM153</f>
        <v>5.13275660981483</v>
      </c>
      <c r="BM153" s="259">
        <f>BN153*(1+$CF153+(VLOOKUP($AM153,$A$12:$B$323,2,0))+各项系数!$J$6+各项系数!$M$5)*(1+$E$2)</f>
        <v>5.09036080100708</v>
      </c>
      <c r="BN153" s="260">
        <f>BO153+各项系数!$L$9*$NM153</f>
        <v>4.99446703395514</v>
      </c>
      <c r="BO153" s="260">
        <f>BP153*(1+$CG153+各项系数!$J$5+各项系数!$L$5)</f>
        <v>4.95207122514738</v>
      </c>
      <c r="BP153" s="260">
        <f t="shared" si="646"/>
        <v>4.71625830966418</v>
      </c>
      <c r="BQ153" s="259">
        <f>BR153+各项系数!$M$9*$NM153</f>
        <v>5.41480028403284</v>
      </c>
      <c r="BR153" s="259">
        <f>BS153*(1+$CF153+(VLOOKUP($AM153,$A$12:$B$323,2,0))+各项系数!$J$6+各项系数!$M$5)*(1+$E$2)</f>
        <v>5.37240447522509</v>
      </c>
      <c r="BS153" s="260">
        <f>BT153+各项系数!$L$9*$NM153</f>
        <v>5.2711974835411</v>
      </c>
      <c r="BT153" s="260">
        <f>BU153*(1+$CG153+各项系数!$J$5+各项系数!$L$5)</f>
        <v>5.22880167473335</v>
      </c>
      <c r="BU153" s="260">
        <f t="shared" si="647"/>
        <v>4.97981111879367</v>
      </c>
      <c r="BV153" s="259">
        <f>BW153+各项系数!$M$9*$NT153</f>
        <v>5.83436378019994</v>
      </c>
      <c r="BW153" s="259">
        <f>BX153*(1+$CF153+(VLOOKUP($AM153,$A$12:$B$214,2,0))+各项系数!$J$6+各项系数!$M$5)*(1+$E$2)</f>
        <v>5.78896527774344</v>
      </c>
      <c r="BX153" s="260">
        <f>BY153+各项系数!$L$9*$NT$12</f>
        <v>5.67991098679694</v>
      </c>
      <c r="BY153" s="260">
        <f>BZ153*(1+$CG153+各项系数!$J$5+各项系数!$L$5)</f>
        <v>5.67164758364196</v>
      </c>
      <c r="BZ153" s="262">
        <f t="shared" si="586"/>
        <v>5.40156912727806</v>
      </c>
      <c r="CA153" s="259">
        <f>CB153+各项系数!$M$9*$NT153</f>
        <v>6.12185396997504</v>
      </c>
      <c r="CB153" s="259">
        <f>CC153*(1+$CF153+(VLOOKUP($AM153,$A$12:$B$214,2,0))+各项系数!$J$6+各项系数!$M$5)*(1+$E$2)</f>
        <v>6.07645546751853</v>
      </c>
      <c r="CC153" s="260">
        <f>CD153+各项系数!$L$9*$NT$12</f>
        <v>5.96198534882117</v>
      </c>
      <c r="CD153" s="260">
        <f>CE153*(1+$CG153+各项系数!$J$5+各项系数!$L$5)</f>
        <v>5.95372194566619</v>
      </c>
      <c r="CE153" s="262">
        <f t="shared" si="648"/>
        <v>5.67021137682495</v>
      </c>
      <c r="CF153" s="277">
        <f t="shared" si="514"/>
        <v>0</v>
      </c>
      <c r="CG153" s="277">
        <f t="shared" si="587"/>
        <v>0.03</v>
      </c>
      <c r="CH153" s="123"/>
      <c r="CI153" s="259">
        <f>CJ153+各项系数!$M$9*$NO153</f>
        <v>5.75965843979522</v>
      </c>
      <c r="CJ153" s="259">
        <f>CK153*(1+$DC153+(VLOOKUP($AM153,$A$12:$B$323,2,0))+各项系数!$J$6+各项系数!$M$5)*(1+$E$2)+各项系数!$M$9*$NK153</f>
        <v>5.6909335532654</v>
      </c>
      <c r="CK153" s="260">
        <f>CL153+各项系数!$L$9*$NO153</f>
        <v>5.54212887015076</v>
      </c>
      <c r="CL153" s="260">
        <f>CM153*(1+$DD153+各项系数!$J$5+各项系数!$L$5)</f>
        <v>5.47340398362094</v>
      </c>
      <c r="CM153" s="260">
        <f t="shared" si="588"/>
        <v>5.26288844578937</v>
      </c>
      <c r="CN153" s="259">
        <f>CO153+各项系数!$M$9*$NO153</f>
        <v>5.9784966246797</v>
      </c>
      <c r="CO153" s="259">
        <f>CP153*(1+$DC153+(VLOOKUP($AM153,$A$12:$B$323,2,0))+各项系数!$J$6+各项系数!$M$5)*(1+$E$2)+各项系数!$M$9*$NK153</f>
        <v>5.90977173814988</v>
      </c>
      <c r="CP153" s="260">
        <f>CQ153+各项系数!$L$9*$NO153</f>
        <v>5.75684451466065</v>
      </c>
      <c r="CQ153" s="260">
        <f>CR153*(1+$DD153+各项系数!$J$5+各项系数!$L$5)</f>
        <v>5.68811962813083</v>
      </c>
      <c r="CR153" s="260">
        <f t="shared" si="589"/>
        <v>5.46934579627965</v>
      </c>
      <c r="CS153" s="259">
        <f>CT153+各项系数!$M$9*$NU153</f>
        <v>6.63666417732035</v>
      </c>
      <c r="CT153" s="259">
        <f t="shared" si="590"/>
        <v>6.56415548797868</v>
      </c>
      <c r="CU153" s="260">
        <f>CV153+各项系数!$L$9*$NU153</f>
        <v>6.44049792776558</v>
      </c>
      <c r="CV153" s="260">
        <f>CW153*(1+$DD153+各项系数!$J$5+各项系数!$L$5)</f>
        <v>6.36798923842391</v>
      </c>
      <c r="CW153" s="262">
        <f t="shared" si="591"/>
        <v>6.1230665754076</v>
      </c>
      <c r="CX153" s="259">
        <f>CY153+各项系数!$M$9*$NU153</f>
        <v>7.04452006338997</v>
      </c>
      <c r="CY153" s="259">
        <f t="shared" si="592"/>
        <v>6.9720113740483</v>
      </c>
      <c r="CZ153" s="260">
        <f>DA153+各项系数!$L$9*$NU153</f>
        <v>6.84067050043985</v>
      </c>
      <c r="DA153" s="260">
        <f>DB153*(1+$DD153+各项系数!$J$5+各项系数!$L$5)</f>
        <v>6.76816181109818</v>
      </c>
      <c r="DB153" s="262">
        <f t="shared" si="593"/>
        <v>6.50784789528671</v>
      </c>
      <c r="DC153" s="277">
        <f t="shared" si="698"/>
        <v>0</v>
      </c>
      <c r="DD153" s="277">
        <f t="shared" si="594"/>
        <v>0.02</v>
      </c>
      <c r="DE153" s="69" t="s">
        <v>498</v>
      </c>
      <c r="DF153" s="69" t="s">
        <v>513</v>
      </c>
      <c r="DG153" s="259">
        <f>DH153+各项系数!$M$9*$NQ153</f>
        <v>5.87318913176787</v>
      </c>
      <c r="DH153" s="259">
        <f>DI153*(1+$EA153+(VLOOKUP($AM153,$A$12:$B$323,2,0))+各项系数!$J$6+各项系数!$M$5)*(1+$E$2)+各项系数!$M$9*$NK153</f>
        <v>5.80446424523805</v>
      </c>
      <c r="DI153" s="260">
        <f>DJ153+各项系数!$L$9*$NQ153</f>
        <v>5.65352083637196</v>
      </c>
      <c r="DJ153" s="260">
        <f>DK153*(1+$EB153+各项系数!$J$5+各项系数!$L$5)</f>
        <v>5.58479594984215</v>
      </c>
      <c r="DK153" s="260">
        <f t="shared" si="595"/>
        <v>5.31885328556395</v>
      </c>
      <c r="DL153" s="259">
        <f>DM153+各项系数!$M$9*$NQ153</f>
        <v>6.21868471222585</v>
      </c>
      <c r="DM153" s="259">
        <f>DN153*(1+$EA153+(VLOOKUP($AM153,$A$12:$B$323,2,0))+各项系数!$J$6+各项系数!$M$5)*(1+$E$2)+各项系数!$M$9*$NK153</f>
        <v>6.14995982569604</v>
      </c>
      <c r="DN153" s="260">
        <f>DO153+各项系数!$L$9*$NQ153</f>
        <v>5.9925078658637</v>
      </c>
      <c r="DO153" s="260">
        <f>DP153*(1+$EB153+各项系数!$J$5+各项系数!$L$5)</f>
        <v>5.92378297933389</v>
      </c>
      <c r="DP153" s="260">
        <f t="shared" si="596"/>
        <v>5.64169807555609</v>
      </c>
      <c r="DQ153" s="259">
        <f>DR153+各项系数!$M$9*$NV153</f>
        <v>6.75990595312367</v>
      </c>
      <c r="DR153" s="259">
        <f t="shared" si="597"/>
        <v>6.68739726378199</v>
      </c>
      <c r="DS153" s="260">
        <f>DT153+各项系数!$L$9*$NV153</f>
        <v>6.56141803746271</v>
      </c>
      <c r="DT153" s="260">
        <f>DU153*(1+$EB153+各项系数!$J$5+各项系数!$L$5)</f>
        <v>6.48890934812104</v>
      </c>
      <c r="DU153" s="262">
        <f t="shared" si="598"/>
        <v>6.17991366487718</v>
      </c>
      <c r="DV153" s="259">
        <f>DW153+各项系数!$M$9*$NV153</f>
        <v>6.70150680779</v>
      </c>
      <c r="DW153" s="259">
        <f t="shared" si="599"/>
        <v>6.62899811844833</v>
      </c>
      <c r="DX153" s="260">
        <f>DY153+各项系数!$L$9*$NV153</f>
        <v>6.50411903301445</v>
      </c>
      <c r="DY153" s="260">
        <f>DZ153*(1+$EB153+各项系数!$J$5+各项系数!$L$5)</f>
        <v>6.43161034367278</v>
      </c>
      <c r="DZ153" s="262">
        <f t="shared" si="600"/>
        <v>6.12534318445027</v>
      </c>
      <c r="EA153" s="277">
        <f t="shared" si="699"/>
        <v>0</v>
      </c>
      <c r="EB153" s="277">
        <f t="shared" si="601"/>
        <v>0.03</v>
      </c>
      <c r="EC153" s="302">
        <f t="shared" si="649"/>
        <v>7</v>
      </c>
      <c r="ED153" s="302" t="str">
        <f t="shared" si="680"/>
        <v>7*1</v>
      </c>
      <c r="EE153" s="251">
        <f t="shared" si="495"/>
        <v>1</v>
      </c>
      <c r="EF153" s="251">
        <f>LOOKUP(EH153,{1,7,10,14,19,24,30,37,48,61},{1,"1+6","2+8","4+10","1+6+12","2+8+14","4+10+16","1+6+12+18","3+9+15+21","1+6+12+18+24"})</f>
        <v>1</v>
      </c>
      <c r="EG153" s="250">
        <f t="shared" si="602"/>
        <v>7</v>
      </c>
      <c r="EH153" s="260">
        <f>VLOOKUP(EE153,各项系数!$B$87:$C$124,2,0)</f>
        <v>1</v>
      </c>
      <c r="EI153" s="250">
        <f>IF(EH153=0,0,VLOOKUP(EH153,各项系数!$D$142:$E$195,2,0))*1</f>
        <v>1</v>
      </c>
      <c r="EJ153" s="305">
        <f t="shared" si="650"/>
        <v>110.31595161029</v>
      </c>
      <c r="EK153" s="251">
        <f t="shared" si="689"/>
        <v>0</v>
      </c>
      <c r="EL153" s="251">
        <f t="shared" si="603"/>
        <v>0</v>
      </c>
      <c r="EM153" s="251">
        <f t="shared" si="690"/>
        <v>0</v>
      </c>
      <c r="EN153" s="251">
        <f>IF(EP153=0,0,LOOKUP(EP153,{1,7,10,14,19,24,30,37,48,61},{1,"1+6","2+8","4+10","1+6+12","2+8+14","4+10+16","1+6+12+18","3+9+15+21","1+6+12+18+24"}))</f>
        <v>0</v>
      </c>
      <c r="EO153" s="251">
        <f t="shared" si="691"/>
        <v>0</v>
      </c>
      <c r="EP153" s="251">
        <f>IF(EM153=0,0,IF(EM153&lt;10,1,IF(AND(EM153&gt;=10,EM153&lt;=35),7,LOOKUP(EM153,{50,70,95,120,150,185,240,300},{10,14,19,24,30,37,48,61})*1)))</f>
        <v>0</v>
      </c>
      <c r="EQ153" s="251">
        <f>IF(EP153=0,0,VLOOKUP(EP153,各项系数!$D$142:$E$195,2,0))*1</f>
        <v>0</v>
      </c>
      <c r="ER153" s="69">
        <f t="shared" si="577"/>
        <v>0</v>
      </c>
      <c r="ES153" s="566">
        <f t="shared" si="692"/>
        <v>7</v>
      </c>
      <c r="ET153" s="251">
        <f>VLOOKUP(ES153,各项系数!$D$142:$E$195,2,0)*1</f>
        <v>3</v>
      </c>
      <c r="EU153" s="311">
        <f>((各项系数!$F$76/4*$EJ153^2*$EG153*$EH153*1*10^-7)*(1-$H153)*AA153)*(VLOOKUP($EY$9,各项系数!$D$4:$F$143,3,0))*各项系数!$J$4</f>
        <v>0.0591819668554358</v>
      </c>
      <c r="EV153" s="312">
        <f>EU153*(VLOOKUP($EY$9,各项系数!$D$4:$F$143,2,0))</f>
        <v>3.87641882903105</v>
      </c>
      <c r="EW153" s="324">
        <f>(IF($EO153=0,0,(各项系数!$F$76/4*$ER153^2*$EO153*$EP153*1*10^-7))*(1-$K153)*$AF153)*(VLOOKUP($EY$9,各项系数!$D$4:$F$143,3,0))*各项系数!$J$4</f>
        <v>0</v>
      </c>
      <c r="EX153" s="325">
        <f>EW153*(VLOOKUP($EY$9,各项系数!$D$4:$F$143,2,0))</f>
        <v>0</v>
      </c>
      <c r="EY153" s="251">
        <f>((各项系数!$F$76/4*$EJ153^2*$EG153*$EH153*1*10^-7)*(1-$H153)*AA153+IF($EO153=0,0,(各项系数!$F$76/4*$ER153^2*$EO153*$EP153*1*10^-7))*(1-$K153)*$AF153)*(VLOOKUP($EY$9,各项系数!$D$4:$F$143,3,0))*各项系数!$J$4</f>
        <v>0.0591819668554358</v>
      </c>
      <c r="EZ153" s="123">
        <v>1</v>
      </c>
      <c r="FA153" s="251">
        <f t="shared" si="515"/>
        <v>0.0591819668554358</v>
      </c>
      <c r="FB153" s="326">
        <f>FA153*(VLOOKUP($EY$9,各项系数!$D$4:$F$143,2,0))</f>
        <v>3.87641882903105</v>
      </c>
      <c r="FC153" s="327"/>
      <c r="FD153" s="302">
        <f>各项系数!$F$76/4*($MN153^2-MK153^2)*10^-2*(VLOOKUP(L153,各项系数!$D$1:$F$143,3,0))*10^-3*10^2*$EG153*各项系数!$J$4</f>
        <v>0.0245963268415968</v>
      </c>
      <c r="FE153" s="339">
        <f>FD153*VLOOKUP(L153,各项系数!$D$1:$F$143,2,0)</f>
        <v>0.282857758678363</v>
      </c>
      <c r="FF153" s="250">
        <f>各项系数!$F$76/4*($MO153^2-ML153^2)*10^-2*(VLOOKUP(L153,各项系数!$D$1:$F$143,3,0))*10^-3*10^2*$EO153*各项系数!$J$4</f>
        <v>0</v>
      </c>
      <c r="FG153" s="339">
        <f>FF153*VLOOKUP(L153,各项系数!$D$1:$F$143,2,0)</f>
        <v>0</v>
      </c>
      <c r="FH153" s="302">
        <f t="shared" si="651"/>
        <v>0.0245963268415968</v>
      </c>
      <c r="FI153" s="123">
        <v>1</v>
      </c>
      <c r="FJ153" s="251">
        <f t="shared" si="516"/>
        <v>0.0245963268415968</v>
      </c>
      <c r="FK153" s="339">
        <f>FJ153*VLOOKUP(L153,各项系数!$D$1:$F$143,2,0)</f>
        <v>0.282857758678363</v>
      </c>
      <c r="FL153" s="302"/>
      <c r="FM153" s="123"/>
      <c r="FN153" s="251"/>
      <c r="FO153" s="339"/>
      <c r="FP153" s="364">
        <f t="shared" si="517"/>
        <v>0.0245963268415968</v>
      </c>
      <c r="FQ153" s="364">
        <f t="shared" si="518"/>
        <v>0.282857758678363</v>
      </c>
      <c r="FR153" s="365">
        <f>各项系数!$F$76/4*($MQ153^2-$MN153^2*$EG153-$MO153^2*$EO153)*10^-2</f>
        <v>0.08332357876412</v>
      </c>
      <c r="FS153" s="366">
        <f t="shared" si="652"/>
        <v>1</v>
      </c>
      <c r="FT153" s="367">
        <f t="shared" si="604"/>
        <v>0.08332357876412</v>
      </c>
      <c r="FU153" s="388">
        <f>$FT153*(VLOOKUP($FT$9,各项系数!$D$1:$F$143,3,0))*10^-3*10^2*各项系数!$J$55</f>
        <v>0.00994883530443593</v>
      </c>
      <c r="FV153" s="389">
        <v>1</v>
      </c>
      <c r="FW153" s="390">
        <f t="shared" si="519"/>
        <v>0.00994883530443593</v>
      </c>
      <c r="FX153" s="367">
        <f>FW153*(VLOOKUP($FT$9,各项系数!$D$1:$F$143,2,0))</f>
        <v>0.0298465059133078</v>
      </c>
      <c r="FY153" s="388">
        <f>IF($BK153&lt;&gt;$FY$9,0,各项系数!$F$76/4*($MS153^2-$MQ153^2)*10^-2*(VLOOKUP($FY$9,各项系数!$D$1:$F$143,3,0))*10^-3*10^2)*各项系数!$J$4</f>
        <v>0</v>
      </c>
      <c r="FZ153" s="389">
        <v>1</v>
      </c>
      <c r="GA153" s="390">
        <f t="shared" si="520"/>
        <v>0</v>
      </c>
      <c r="GB153" s="367">
        <f>GA153*(VLOOKUP($FY$9,各项系数!$D$1:$F$143,2,0))</f>
        <v>0</v>
      </c>
      <c r="GC153" s="388">
        <f>IF($BK153&lt;&gt;$GC$9,0,各项系数!$F$76/4*($MS153^2-$MQ153^2)*10^-2*(VLOOKUP($GC$9,各项系数!$D$1:$F$143,3,0))*10^-3*10^2)*各项系数!$J$4</f>
        <v>0.00190560286316785</v>
      </c>
      <c r="GD153" s="389">
        <v>1</v>
      </c>
      <c r="GE153" s="390">
        <f t="shared" si="521"/>
        <v>0.00190560286316785</v>
      </c>
      <c r="GF153" s="367">
        <f>GE153*(VLOOKUP($GC$9,各项系数!$D$1:$F$143,2,0))</f>
        <v>0.0245822769348653</v>
      </c>
      <c r="GG153" s="388">
        <f>IF($BK153&lt;&gt;$GG$9,0,各项系数!$F$76/4*($MS153^2-$MQ153^2)*10^-2*(VLOOKUP($GG$9,各项系数!$D$1:$F$143,3,0))*10^-3*10^2)*各项系数!$J$4</f>
        <v>0</v>
      </c>
      <c r="GH153" s="389">
        <v>1</v>
      </c>
      <c r="GI153" s="390">
        <f t="shared" si="522"/>
        <v>0</v>
      </c>
      <c r="GJ153" s="367">
        <f>GI153*(VLOOKUP($GG$9,各项系数!$D$1:$F$143,2,0))</f>
        <v>0</v>
      </c>
      <c r="GK153" s="388">
        <f>IF($BK153&lt;&gt;$GK$9,0,各项系数!$F$76/4*($MS153^2-$MQ153^2)*10^-2*(VLOOKUP($GK$9,各项系数!$D$1:$F$143,3,0))*10^-3*10^2)*各项系数!$J$4</f>
        <v>0</v>
      </c>
      <c r="GL153" s="389">
        <v>1</v>
      </c>
      <c r="GM153" s="390">
        <f t="shared" si="523"/>
        <v>0</v>
      </c>
      <c r="GN153" s="367">
        <f>GM153*(VLOOKUP($GK$9,各项系数!$D$1:$F$143,2,0))</f>
        <v>0</v>
      </c>
      <c r="GO153" s="390">
        <f t="shared" si="524"/>
        <v>0.00190560286316785</v>
      </c>
      <c r="GP153" s="390">
        <f t="shared" si="525"/>
        <v>0.0245822769348653</v>
      </c>
      <c r="GQ153" s="406">
        <f>各项系数!$F$76/4*($MU153^2-$MS153^2)*10^-2*(VLOOKUP($S153,各项系数!$D$1:$F$143,3,0))*10^-3*10^2*各项系数!$J$4</f>
        <v>0.112720231553806</v>
      </c>
      <c r="GR153" s="389">
        <v>1</v>
      </c>
      <c r="GS153" s="390">
        <f t="shared" si="526"/>
        <v>0.112720231553806</v>
      </c>
      <c r="GT153" s="390">
        <f t="shared" si="696"/>
        <v>1</v>
      </c>
      <c r="GU153" s="390">
        <f>ROUND($GS153*(VLOOKUP($S153,各项系数!$D$1:$F$143,2,0))+$E$3*GS153,GT153)</f>
        <v>0.7</v>
      </c>
      <c r="GV153" s="406">
        <f>各项系数!$F$76/4*($MT153^2-$MS153^2)*10^-2*(VLOOKUP($GV$9,各项系数!$D$1:$F$143,3,0))*10^-3*10^2*各项系数!$J$4*PI()/4*R153</f>
        <v>0.0100089788291692</v>
      </c>
      <c r="GW153" s="389">
        <v>1</v>
      </c>
      <c r="GX153" s="390">
        <f t="shared" si="527"/>
        <v>0.0100089788291692</v>
      </c>
      <c r="GY153" s="390">
        <f>$GX153*(VLOOKUP($GV$9,各项系数!$D$1:$F$143,2,0))</f>
        <v>0.675606070968924</v>
      </c>
      <c r="GZ153" s="406">
        <f>各项系数!$F$76/4*($MV153^2-$MS153^2)*10^-2*(VLOOKUP($GZ$9,各项系数!$D$1:$F$143,3,0))*10^-3*10^2*各项系数!$J$4</f>
        <v>0.0450650440138873</v>
      </c>
      <c r="HA153" s="389">
        <v>1</v>
      </c>
      <c r="HB153" s="390">
        <f t="shared" si="653"/>
        <v>0.0450650440138873</v>
      </c>
      <c r="HC153" s="390">
        <f>HB153*(VLOOKUP($GZ$9,各项系数!$D$1:$F$143,2,0))</f>
        <v>0.766105748236084</v>
      </c>
      <c r="HD153" s="406">
        <f>各项系数!$F$76/4*($MW153^2-$MT153^2)*10^-2*(VLOOKUP($HD$9,各项系数!$D$1:$F$143,3,0))*10^-3*10^2*各项系数!$J$4</f>
        <v>0.0459352903116729</v>
      </c>
      <c r="HE153" s="389">
        <v>1</v>
      </c>
      <c r="HF153" s="390">
        <f t="shared" si="654"/>
        <v>0.0459352903116729</v>
      </c>
      <c r="HG153" s="390">
        <f>HF153*(VLOOKUP($HD$9,各项系数!$D$1:$F$143,2,0))</f>
        <v>0.780899935298439</v>
      </c>
      <c r="HH153" s="406">
        <f>各项系数!$F$76/4*($MV153^2-$MS153^2)*10^-2*(VLOOKUP($HH$9,各项系数!$D$1:$F$143,3,0))*10^-3*10^2*各项系数!$J$4</f>
        <v>0.0450650440138873</v>
      </c>
      <c r="HI153" s="420">
        <v>1</v>
      </c>
      <c r="HJ153" s="390">
        <f t="shared" si="655"/>
        <v>0.0450650440138873</v>
      </c>
      <c r="HK153" s="390">
        <f>HJ153*(VLOOKUP($HH$9,各项系数!$D$1:$F$143,2,0))</f>
        <v>0.766105748236084</v>
      </c>
      <c r="HL153" s="406">
        <f>各项系数!$F$76/4*($MW153^2-$MT153^2)*10^-2*(VLOOKUP($HL$9,各项系数!$D$1:$F$143,3,0))*10^-3*10^2*各项系数!$J$4</f>
        <v>0.0459352903116729</v>
      </c>
      <c r="HM153" s="420">
        <v>1</v>
      </c>
      <c r="HN153" s="390">
        <f t="shared" si="605"/>
        <v>0.0459352903116729</v>
      </c>
      <c r="HO153" s="390">
        <f>HN153*(VLOOKUP($HL$9,各项系数!$D$1:$F$143,2,0))</f>
        <v>0.780899935298439</v>
      </c>
      <c r="HP153" s="406">
        <f>各项系数!$F$76/4*($MV153^2-$MS153^2)*10^-2*(VLOOKUP(AN153,各项系数!$D$1:$F$143,3,0))*10^-3*10^2*各项系数!$J$4</f>
        <v>0.045686630827872</v>
      </c>
      <c r="HQ153" s="389">
        <v>1</v>
      </c>
      <c r="HR153" s="390">
        <f t="shared" si="528"/>
        <v>0.045686630827872</v>
      </c>
      <c r="HS153" s="390">
        <f>HR153*(VLOOKUP(AN153,各项系数!$D$1:$F$143,2,0))</f>
        <v>0.45686630827872</v>
      </c>
      <c r="HT153" s="406">
        <f>各项系数!$F$76/4*($MW153^2-$MT153^2)*10^-2*(VLOOKUP(AN153,各项系数!$D$1:$F$143,3,0))*10^-3*10^2*各项系数!$J$4</f>
        <v>0.0465688805228684</v>
      </c>
      <c r="HU153" s="389">
        <v>1</v>
      </c>
      <c r="HV153" s="390">
        <f t="shared" si="529"/>
        <v>0.0465688805228684</v>
      </c>
      <c r="HW153" s="390">
        <f>HV153*(VLOOKUP(AN153,各项系数!$D$1:$F$143,2,0))</f>
        <v>0.465688805228684</v>
      </c>
      <c r="HX153" s="406">
        <f>各项系数!$F$76/4*($MV153^2-$MS153^2)*10^-2*(VLOOKUP($HX$9,各项系数!$D$1:$F$143,3,0))*10^-3*10^2*各项系数!$J$4</f>
        <v>0.045686630827872</v>
      </c>
      <c r="HY153" s="420">
        <v>1</v>
      </c>
      <c r="HZ153" s="390">
        <f t="shared" si="530"/>
        <v>0.045686630827872</v>
      </c>
      <c r="IA153" s="390">
        <f>HZ153*(VLOOKUP($HX$9,各项系数!$D$1:$F$143,2,0))</f>
        <v>0.502552939106592</v>
      </c>
      <c r="IB153" s="406">
        <f>各项系数!$F$76/4*($MW153^2-$MT153^2)*10^-2*(VLOOKUP($IB$9,各项系数!$D$1:$F$143,3,0))*10^-3*10^2*各项系数!$J$4</f>
        <v>0.0465688805228684</v>
      </c>
      <c r="IC153" s="420">
        <v>1</v>
      </c>
      <c r="ID153" s="390">
        <f t="shared" si="531"/>
        <v>0.0465688805228684</v>
      </c>
      <c r="IE153" s="390">
        <f>ID153*(VLOOKUP($IB$9,各项系数!$D$1:$F$143,2,0))</f>
        <v>0.512257685751552</v>
      </c>
      <c r="IF153" s="429"/>
      <c r="IG153" s="406">
        <f t="shared" si="656"/>
        <v>0.0138162618141891</v>
      </c>
      <c r="IH153" s="389">
        <v>1</v>
      </c>
      <c r="II153" s="390">
        <f t="shared" si="532"/>
        <v>0.0138162618141891</v>
      </c>
      <c r="IJ153" s="390">
        <f>II153*(VLOOKUP($IG$8,各项系数!$D$1:$F$143,2,0))</f>
        <v>0.345406545354728</v>
      </c>
      <c r="IK153" s="406">
        <f>(各项系数!$F$76/4*($MX153^2-$MK153^2)*$EG153)*10^-2*(VLOOKUP($IG$8,各项系数!$D$1:$F$143,3,0))*10^-3*10^2*各项系数!$J$4</f>
        <v>0.0138162618141891</v>
      </c>
      <c r="IL153" s="389">
        <f>IK153*(VLOOKUP($IG$8,各项系数!$D$1:$F$143,2,0))</f>
        <v>0.345406545354728</v>
      </c>
      <c r="IM153" s="390">
        <f>(各项系数!$F$76/4*(($MM153+3*$X153)^2-MM153^2)*$EO153)*10^-2*(VLOOKUP($IG$8,各项系数!$D$1:$F$143,3,0))*10^-3*10^2*各项系数!$J$4</f>
        <v>0</v>
      </c>
      <c r="IN153" s="389">
        <f>IM153*(VLOOKUP($IG$8,各项系数!$D$1:$F$143,2,0))</f>
        <v>0</v>
      </c>
      <c r="IO153" s="406">
        <f>各项系数!$F$76/4*($MZ153^2-$MX153^2)*10^-2*(VLOOKUP(L153,各项系数!$D$1:$F$143,3,0))*10^-3*10^2*$ES153*各项系数!$J$4</f>
        <v>0.0332612792031689</v>
      </c>
      <c r="IP153" s="389">
        <v>1</v>
      </c>
      <c r="IQ153" s="390">
        <f t="shared" si="533"/>
        <v>0.0332612792031689</v>
      </c>
      <c r="IR153" s="367">
        <f>IQ153*(VLOOKUP(L153,各项系数!$D$1:$F$143,2,0))</f>
        <v>0.382504710836443</v>
      </c>
      <c r="IS153" s="406">
        <f>IF($L153&lt;&gt;$IS$9,0,各项系数!$F$76/4*($MZ153^2-$MX153^2)*10^-2*各项系数!$F$12*10^-3*10^2)*$ES153*各项系数!$J$4</f>
        <v>0</v>
      </c>
      <c r="IT153" s="389">
        <v>1</v>
      </c>
      <c r="IU153" s="390">
        <f t="shared" si="534"/>
        <v>0</v>
      </c>
      <c r="IV153" s="367">
        <f>IU153*各项系数!$E$12</f>
        <v>0</v>
      </c>
      <c r="IW153" s="388">
        <f t="shared" si="535"/>
        <v>0.0332612792031689</v>
      </c>
      <c r="IX153" s="388">
        <f t="shared" si="536"/>
        <v>0.382504710836443</v>
      </c>
      <c r="IY153" s="447">
        <f>各项系数!$F$76/4*($NB153^2-$MZ153^2*$EG153-$NA153^2*$EO153)*10^-2</f>
        <v>0.132391979709046</v>
      </c>
      <c r="IZ153" s="366">
        <f t="shared" si="697"/>
        <v>1</v>
      </c>
      <c r="JA153" s="367">
        <f t="shared" si="606"/>
        <v>0.132391979709046</v>
      </c>
      <c r="JB153" s="364">
        <f>IF($DE153&lt;&gt;$JB$9,0,$JA153*各项系数!$F$32*10^-3*10^2)*各项系数!$J$4</f>
        <v>0</v>
      </c>
      <c r="JC153" s="123">
        <v>1</v>
      </c>
      <c r="JD153" s="251">
        <f t="shared" si="537"/>
        <v>0</v>
      </c>
      <c r="JE153" s="339">
        <f>JD153*各项系数!$E$32</f>
        <v>0</v>
      </c>
      <c r="JF153" s="364">
        <f>IF($DE153&lt;&gt;$JF$9,0,$JA153*VLOOKUP($JF$9,各项系数!$D$4:$F$540,2,0)*10^-3*10^2)*各项系数!$J$4</f>
        <v>0.0658650099052503</v>
      </c>
      <c r="JG153" s="123">
        <v>1</v>
      </c>
      <c r="JH153" s="251">
        <f t="shared" si="607"/>
        <v>0.0658650099052503</v>
      </c>
      <c r="JI153" s="339">
        <f>JH153*VLOOKUP($JF$9,各项系数!$D$4:$F$540,3,0)</f>
        <v>0.0790380118863004</v>
      </c>
      <c r="JJ153" s="364">
        <f t="shared" si="538"/>
        <v>0.0658650099052503</v>
      </c>
      <c r="JK153" s="251">
        <f t="shared" si="539"/>
        <v>0.0790380118863004</v>
      </c>
      <c r="JL153" s="364">
        <f>IF($DF153&lt;&gt;$JL$9,0,各项系数!$F$76/4*($NE153^2-$NC153^2)*10^-2*各项系数!$F$39*10^-3*10^2)*各项系数!$J$4</f>
        <v>0.000993597546752244</v>
      </c>
      <c r="JM153" s="123">
        <v>1</v>
      </c>
      <c r="JN153" s="251">
        <f t="shared" si="540"/>
        <v>0.000993597546752244</v>
      </c>
      <c r="JO153" s="339">
        <f>JN153*各项系数!$E$39</f>
        <v>0.0198719509350449</v>
      </c>
      <c r="JP153" s="364">
        <f>IF($DF153&lt;&gt;$JP$9,0,各项系数!$F$76/4*($NE153^2-$NC153^2)*10^-2*各项系数!$F$36*10^-3*10^2)*各项系数!$J$4</f>
        <v>0</v>
      </c>
      <c r="JQ153" s="123">
        <v>1</v>
      </c>
      <c r="JR153" s="251">
        <f t="shared" si="541"/>
        <v>0</v>
      </c>
      <c r="JS153" s="339">
        <f>JR153*各项系数!$E$36</f>
        <v>0</v>
      </c>
      <c r="JT153" s="364">
        <f>IF($DF153&lt;&gt;$JT$9,0,各项系数!$F$76/4*($NE153^2-$NC153^2)*10^-2*各项系数!$F$40*10^-3*10^2)*各项系数!$J$4</f>
        <v>0</v>
      </c>
      <c r="JU153" s="123">
        <v>1</v>
      </c>
      <c r="JV153" s="251">
        <f t="shared" si="542"/>
        <v>0</v>
      </c>
      <c r="JW153" s="339">
        <f>JV153*各项系数!$E$40</f>
        <v>0</v>
      </c>
      <c r="JX153" s="364">
        <f>IF($DF153&lt;&gt;$JX$9,0,各项系数!$F$76/4*($NE153^2-$NC153^2)*10^-2*各项系数!$F$38*10^-3*10^2)*各项系数!$J$4</f>
        <v>0</v>
      </c>
      <c r="JY153" s="123">
        <v>1</v>
      </c>
      <c r="JZ153" s="251">
        <f t="shared" si="543"/>
        <v>0</v>
      </c>
      <c r="KA153" s="339">
        <f>JZ153*各项系数!$E$38</f>
        <v>0</v>
      </c>
      <c r="KB153" s="364">
        <f>IF($DF153&lt;&gt;$KB$9,0,各项系数!$F$76/4*($NE153^2-$NC153^2)*10^-2*各项系数!$F$41*10^-3*10^2)*各项系数!$J$4</f>
        <v>0</v>
      </c>
      <c r="KC153" s="123">
        <v>1</v>
      </c>
      <c r="KD153" s="251">
        <f t="shared" si="544"/>
        <v>0</v>
      </c>
      <c r="KE153" s="339">
        <f>KD153*各项系数!$E$41</f>
        <v>0</v>
      </c>
      <c r="KF153" s="251">
        <f t="shared" si="545"/>
        <v>0.000993597546752244</v>
      </c>
      <c r="KG153" s="251">
        <f t="shared" si="546"/>
        <v>0.0198719509350449</v>
      </c>
      <c r="KH153" s="302">
        <f>各项系数!$F$76/4*($NG153^2-$NE153^2)*10^-2*各项系数!$F$44*10^-3*10^2*各项系数!$J$4*0.75*$U153</f>
        <v>0.420176606868826</v>
      </c>
      <c r="KI153" s="123">
        <v>1</v>
      </c>
      <c r="KJ153" s="251">
        <f t="shared" si="547"/>
        <v>0.420176606868826</v>
      </c>
      <c r="KK153" s="251">
        <f>ROUND(KJ153*各项系数!$E$43,GT153)</f>
        <v>2.4</v>
      </c>
      <c r="KL153" s="302">
        <f>各项系数!$F$76/4*($NF153^2-$NE153^2)*10^-2*各项系数!$F$46*10^-3*10^2*各项系数!$J$4*PI()/4*R153</f>
        <v>0.0126126760395299</v>
      </c>
      <c r="KM153" s="123">
        <v>1</v>
      </c>
      <c r="KN153" s="251">
        <f t="shared" si="548"/>
        <v>0.0126126760395299</v>
      </c>
      <c r="KO153" s="251">
        <f>KN153*各项系数!$E$46</f>
        <v>0.851355632668269</v>
      </c>
      <c r="KP153" s="302">
        <f>各项系数!$F$76/4*($NH153^2-$NE153^2)*10^-2*(VLOOKUP($KP$9,各项系数!$D$1:$F$143,3,0))*10^-3*10^2*各项系数!$J$4</f>
        <v>0.0552034133830895</v>
      </c>
      <c r="KQ153" s="123">
        <v>1</v>
      </c>
      <c r="KR153" s="251">
        <f t="shared" si="657"/>
        <v>0.0552034133830895</v>
      </c>
      <c r="KS153" s="251">
        <f>KR153*(VLOOKUP($KP$9,各项系数!$D$1:$F$143,2,0))</f>
        <v>0.938458027512522</v>
      </c>
      <c r="KT153" s="302">
        <f>各项系数!$F$76/4*($NI153^2-$NF153^2)*10^-2*(VLOOKUP($KT$9,各项系数!$D$1:$F$143,3,0))*10^-3*10^2*各项系数!$J$4</f>
        <v>0.0560736596808752</v>
      </c>
      <c r="KU153" s="123">
        <v>1</v>
      </c>
      <c r="KV153" s="251">
        <f t="shared" si="658"/>
        <v>0.0560736596808752</v>
      </c>
      <c r="KW153" s="251">
        <f>KV153*(VLOOKUP($KT$9,各项系数!$D$1:$F$143,2,0))</f>
        <v>0.953252214574878</v>
      </c>
      <c r="KX153" s="251">
        <f>各项系数!$F$76/4*($NH153^2-$NE153^2)*10^-2*(VLOOKUP($KX$9,各项系数!$D$1:$F$143,3,0))*10^-3*10^2*各项系数!$J$4</f>
        <v>0.0552034133830895</v>
      </c>
      <c r="KY153" s="479">
        <v>1</v>
      </c>
      <c r="KZ153" s="251">
        <f t="shared" si="659"/>
        <v>0.0552034133830895</v>
      </c>
      <c r="LA153" s="251">
        <f>KZ153*(VLOOKUP($KX$9,各项系数!$D$1:$F$143,2,0))</f>
        <v>0.938458027512522</v>
      </c>
      <c r="LB153" s="251">
        <f>各项系数!$F$76/4*($NI153^2-$NF153^2)*10^-2*(VLOOKUP($LB$9,各项系数!$D$1:$F$143,3,0))*10^-3*10^2*各项系数!$J$4</f>
        <v>0.0560736596808752</v>
      </c>
      <c r="LC153" s="479">
        <v>1</v>
      </c>
      <c r="LD153" s="251">
        <f t="shared" si="660"/>
        <v>0.0560736596808752</v>
      </c>
      <c r="LE153" s="251">
        <f>LD153*(VLOOKUP($LB$9,各项系数!$D$1:$F$143,2,0))</f>
        <v>0.953252214574878</v>
      </c>
      <c r="LF153" s="302">
        <f>各项系数!$F$76/4*($NH153^2-$NE153^2)*10^-2*(VLOOKUP(AN153,各项系数!$D$1:$F$143,3,0))*10^-3*10^2*各项系数!$J$4</f>
        <v>0.0559648397745804</v>
      </c>
      <c r="LG153" s="123">
        <v>1</v>
      </c>
      <c r="LH153" s="251">
        <f t="shared" si="549"/>
        <v>0.0559648397745804</v>
      </c>
      <c r="LI153" s="251">
        <f>LH153*(VLOOKUP(AN153,各项系数!$D$1:$F$143,2,0))</f>
        <v>0.559648397745804</v>
      </c>
      <c r="LJ153" s="302">
        <f>各项系数!$F$76/4*($NI153^2-$NF153^2)*10^-2*(VLOOKUP(AN153,各项系数!$D$1:$F$143,3,0))*10^-3*10^2*各项系数!$J$4</f>
        <v>0.0568470894695769</v>
      </c>
      <c r="LK153" s="123">
        <v>1</v>
      </c>
      <c r="LL153" s="251">
        <f t="shared" si="550"/>
        <v>0.0568470894695769</v>
      </c>
      <c r="LM153" s="251">
        <f>LL153*(VLOOKUP(AN153,各项系数!$D$1:$F$143,2,0))</f>
        <v>0.568470894695769</v>
      </c>
      <c r="LN153" s="251">
        <f>各项系数!$F$76/4*($NH153^2-$NE153^2)*10^-2*(VLOOKUP($LN$9,各项系数!$D$1:$F$143,3,0))*10^-3*10^2*各项系数!$J$4</f>
        <v>0.0559648397745804</v>
      </c>
      <c r="LO153" s="479">
        <v>1</v>
      </c>
      <c r="LP153" s="251">
        <f t="shared" si="551"/>
        <v>0.0559648397745804</v>
      </c>
      <c r="LQ153" s="251">
        <f>LP153*(VLOOKUP($LN$9,各项系数!$D$1:$F$143,2,0))</f>
        <v>0.615613237520385</v>
      </c>
      <c r="LR153" s="251">
        <f>各项系数!$F$76/4*($NI153^2-$NF153^2)*10^-2*(VLOOKUP($LR$9,各项系数!$D$1:$F$143,3,0))*10^-3*10^2*各项系数!$J$4</f>
        <v>0.0568470894695769</v>
      </c>
      <c r="LS153" s="479">
        <v>1</v>
      </c>
      <c r="LT153" s="251">
        <f t="shared" si="552"/>
        <v>0.0568470894695769</v>
      </c>
      <c r="LU153" s="251">
        <f>LT153*(VLOOKUP($LR$9,各项系数!$D$1:$F$143,2,0))</f>
        <v>0.625317984165346</v>
      </c>
      <c r="LV153" s="499">
        <f t="shared" si="661"/>
        <v>6.69059214</v>
      </c>
      <c r="LW153" s="499">
        <f t="shared" si="662"/>
        <v>6.69059214</v>
      </c>
      <c r="LX153" s="499">
        <f t="shared" si="663"/>
        <v>2.91868574710301</v>
      </c>
      <c r="LY153" s="515">
        <f t="shared" si="664"/>
        <v>0</v>
      </c>
      <c r="LZ153" s="516">
        <f t="shared" si="608"/>
        <v>1</v>
      </c>
      <c r="MA153" s="517">
        <f t="shared" si="609"/>
        <v>6.69059214</v>
      </c>
      <c r="MB153" s="517">
        <f t="shared" si="665"/>
        <v>1.10315952</v>
      </c>
      <c r="MC153" s="499">
        <f t="shared" si="666"/>
        <v>0</v>
      </c>
      <c r="MD153" s="499">
        <f t="shared" si="667"/>
        <v>0</v>
      </c>
      <c r="ME153" s="499">
        <f t="shared" si="668"/>
        <v>0</v>
      </c>
      <c r="MF153" s="499">
        <f t="shared" si="669"/>
        <v>0</v>
      </c>
      <c r="MG153" s="516">
        <f t="shared" si="670"/>
        <v>1</v>
      </c>
      <c r="MH153" s="517">
        <f t="shared" si="610"/>
        <v>0</v>
      </c>
      <c r="MI153" s="517">
        <f t="shared" si="671"/>
        <v>0</v>
      </c>
      <c r="MJ153" s="251">
        <f t="shared" si="611"/>
        <v>1.10315952</v>
      </c>
      <c r="MK153" s="251">
        <f t="shared" si="672"/>
        <v>1.10315952</v>
      </c>
      <c r="ML153" s="251">
        <f t="shared" si="553"/>
        <v>0</v>
      </c>
      <c r="MM153" s="251">
        <f t="shared" si="612"/>
        <v>0</v>
      </c>
      <c r="MN153" s="251">
        <f t="shared" si="613"/>
        <v>2.30315952</v>
      </c>
      <c r="MO153" s="251">
        <f t="shared" si="673"/>
        <v>0</v>
      </c>
      <c r="MP153" s="251">
        <f t="shared" si="674"/>
        <v>6.90947856</v>
      </c>
      <c r="MQ153" s="251">
        <f t="shared" si="554"/>
        <v>6.90947856</v>
      </c>
      <c r="MR153" s="314">
        <f t="shared" si="675"/>
        <v>6.90947856</v>
      </c>
      <c r="MS153" s="530">
        <f t="shared" si="614"/>
        <v>7.08547856</v>
      </c>
      <c r="MT153" s="530">
        <f t="shared" si="615"/>
        <v>7.24547856</v>
      </c>
      <c r="MU153" s="530">
        <f t="shared" si="616"/>
        <v>8.28547856</v>
      </c>
      <c r="MV153" s="530">
        <f t="shared" si="617"/>
        <v>9.48547856</v>
      </c>
      <c r="MW153" s="530">
        <f t="shared" si="618"/>
        <v>9.64547856</v>
      </c>
      <c r="MX153" s="326">
        <f t="shared" si="619"/>
        <v>1.70315952</v>
      </c>
      <c r="MY153" s="326">
        <f t="shared" si="620"/>
        <v>0</v>
      </c>
      <c r="MZ153" s="251">
        <f t="shared" si="621"/>
        <v>2.90315952</v>
      </c>
      <c r="NA153" s="251">
        <f t="shared" si="622"/>
        <v>0</v>
      </c>
      <c r="NB153" s="251">
        <f t="shared" si="676"/>
        <v>8.70947856</v>
      </c>
      <c r="NC153" s="326">
        <f t="shared" si="555"/>
        <v>8.70947856</v>
      </c>
      <c r="ND153" s="314">
        <f t="shared" si="677"/>
        <v>8.70947856</v>
      </c>
      <c r="NE153" s="537">
        <f t="shared" si="678"/>
        <v>8.94947856</v>
      </c>
      <c r="NF153" s="530">
        <f t="shared" si="623"/>
        <v>9.10947856</v>
      </c>
      <c r="NG153" s="538">
        <f t="shared" si="624"/>
        <v>10.14947856</v>
      </c>
      <c r="NH153" s="326">
        <f t="shared" si="625"/>
        <v>11.34947856</v>
      </c>
      <c r="NI153" s="530">
        <f t="shared" si="626"/>
        <v>11.50947856</v>
      </c>
      <c r="NK153" s="539">
        <f t="shared" si="627"/>
        <v>0.141319362692508</v>
      </c>
      <c r="NL153" s="539">
        <f t="shared" si="628"/>
        <v>4.6705716788363</v>
      </c>
      <c r="NM153" s="539">
        <f t="shared" si="629"/>
        <v>0.141319362692508</v>
      </c>
      <c r="NN153" s="539">
        <f t="shared" si="630"/>
        <v>4.71625830966418</v>
      </c>
      <c r="NO153" s="539">
        <f t="shared" si="631"/>
        <v>0.229082955099377</v>
      </c>
      <c r="NP153" s="539">
        <f t="shared" si="632"/>
        <v>5.26288844578937</v>
      </c>
      <c r="NQ153" s="539">
        <f t="shared" si="633"/>
        <v>0.229082955099377</v>
      </c>
      <c r="NR153" s="539">
        <f t="shared" si="634"/>
        <v>5.31885328556395</v>
      </c>
      <c r="NS153" s="539">
        <f t="shared" si="635"/>
        <v>0.151328341521678</v>
      </c>
      <c r="NT153" s="539">
        <f t="shared" si="636"/>
        <v>0.151328341521678</v>
      </c>
      <c r="NU153" s="539">
        <f t="shared" si="637"/>
        <v>0.241695631138907</v>
      </c>
      <c r="NV153" s="539">
        <f t="shared" si="638"/>
        <v>0.241695631138907</v>
      </c>
      <c r="NW153">
        <f t="shared" si="639"/>
        <v>0.254039594246314</v>
      </c>
      <c r="NX153">
        <f>各项系数!$M$9*NK153</f>
        <v>0.0423958088077525</v>
      </c>
      <c r="NY153">
        <f t="shared" si="640"/>
        <v>0.151328341521678</v>
      </c>
    </row>
    <row r="154" customHeight="1" spans="1:389">
      <c r="A154" s="85"/>
      <c r="B154" s="86"/>
      <c r="C154" s="218"/>
      <c r="D154" s="123" t="s">
        <v>233</v>
      </c>
      <c r="E154" s="77">
        <f t="shared" si="687"/>
        <v>10.52190034</v>
      </c>
      <c r="F154" s="558">
        <f t="shared" si="693"/>
        <v>110.31595161029</v>
      </c>
      <c r="G154" s="23"/>
      <c r="H154" s="23"/>
      <c r="I154" s="174">
        <v>0</v>
      </c>
      <c r="J154" s="23"/>
      <c r="K154" s="23"/>
      <c r="L154" s="118" t="s">
        <v>469</v>
      </c>
      <c r="M154" s="124">
        <f t="shared" si="582"/>
        <v>0.6</v>
      </c>
      <c r="N154" s="124">
        <f t="shared" si="583"/>
        <v>0</v>
      </c>
      <c r="O154" s="69">
        <f t="shared" si="688"/>
        <v>0.08</v>
      </c>
      <c r="P154" s="120">
        <v>0.1</v>
      </c>
      <c r="Q154" s="162">
        <f t="shared" ref="Q154:Q163" si="700">$Q$12</f>
        <v>0.1</v>
      </c>
      <c r="R154" s="560">
        <v>0.8</v>
      </c>
      <c r="S154" s="171" t="str">
        <f>各项系数!$D$43</f>
        <v>钢带</v>
      </c>
      <c r="T154" s="123">
        <v>0.2</v>
      </c>
      <c r="U154" s="78">
        <v>4</v>
      </c>
      <c r="V154" s="172"/>
      <c r="W154" s="170">
        <f t="shared" si="694"/>
        <v>1.2</v>
      </c>
      <c r="X154" s="164">
        <f t="shared" ref="X154:X163" si="701">$X$12</f>
        <v>0.2</v>
      </c>
      <c r="Y154" s="219"/>
      <c r="Z154" s="220"/>
      <c r="AA154" s="217">
        <v>1</v>
      </c>
      <c r="AB154" s="186">
        <f>PI()*EJ154*EJ154/4*EH154*(1-H154)*AA154*各项系数!$F$5*各项系数!$J$4*10^-7</f>
        <v>0.0084545666936337</v>
      </c>
      <c r="AC154" s="186">
        <f t="shared" si="573"/>
        <v>110.31595161029</v>
      </c>
      <c r="AD154" s="186">
        <f t="shared" si="584"/>
        <v>0.955798869898841</v>
      </c>
      <c r="AE154" s="186">
        <f>POWER(4*EU154/PI()/EG154/10^-7/EH154/(1-H154)/各项系数!$F$5/各项系数!$J$4,0.5)</f>
        <v>110.31595161029</v>
      </c>
      <c r="AF154" s="218">
        <v>1</v>
      </c>
      <c r="AG154" s="85">
        <f>IF(EM154=0,0,PI()*ER154*ER154/4*EP154*(1-K154)*(1+AF154)*各项系数!$F$5*各项系数!$J$4*10^-7)</f>
        <v>0</v>
      </c>
      <c r="AH154" s="85">
        <f t="shared" si="574"/>
        <v>0</v>
      </c>
      <c r="AI154" s="85">
        <f t="shared" si="641"/>
        <v>0</v>
      </c>
      <c r="AJ154" s="85">
        <f>IF(OR(EP154="",EP154=0),0,POWER(4*EW154/PI()/EO154/10^-7/EP154/(1-K154)/各项系数!$F$5/各项系数!$J$4,0.5))</f>
        <v>0</v>
      </c>
      <c r="AK154" s="85" t="str">
        <f t="shared" si="585"/>
        <v>√</v>
      </c>
      <c r="AL154" s="85">
        <f t="shared" si="575"/>
        <v>5.89276584717971</v>
      </c>
      <c r="AM154" s="250">
        <f t="shared" si="576"/>
        <v>1</v>
      </c>
      <c r="AN154" s="118" t="s">
        <v>486</v>
      </c>
      <c r="AO154" s="259">
        <f>AP154+各项系数!$M$9*$NK154</f>
        <v>5.77722141880364</v>
      </c>
      <c r="AP154" s="259">
        <f>AQ154*(1+$BI154+(VLOOKUP($AM154,$A$12:$B$323,2,0))+各项系数!$J$6+各项系数!$M$5)*(1+$E$2)</f>
        <v>5.72659682137549</v>
      </c>
      <c r="AQ154" s="260">
        <f>AR154+各项系数!$L$9*$NK154</f>
        <v>5.61871744640452</v>
      </c>
      <c r="AR154" s="260">
        <f>AS154*(1+$BJ154+各项系数!$J$5+各项系数!$L$5)</f>
        <v>5.56809284897637</v>
      </c>
      <c r="AS154" s="260">
        <f t="shared" si="642"/>
        <v>5.35393543170805</v>
      </c>
      <c r="AT154" s="259">
        <f>AU154+各项系数!$M$9*$NM154</f>
        <v>6.14600747339371</v>
      </c>
      <c r="AU154" s="259">
        <f>AV154*(1+$BI154+(VLOOKUP($AM154,$A$12:$B$323,2,0))+各项系数!$J$6+各项系数!$M$5)*(1+$E$2)</f>
        <v>6.09538287596556</v>
      </c>
      <c r="AV154" s="260">
        <f>AW154+各项系数!$L$9*$NM154</f>
        <v>5.98055619698348</v>
      </c>
      <c r="AW154" s="260">
        <f>AX154*(1+$BJ154+各项系数!$J$5+各项系数!$L$5)</f>
        <v>5.92993159955533</v>
      </c>
      <c r="AX154" s="260">
        <f t="shared" si="643"/>
        <v>5.70185730726474</v>
      </c>
      <c r="AY154" s="259">
        <f>AZ154+各项系数!$M$9*$NS154</f>
        <v>6.6132142124477</v>
      </c>
      <c r="AZ154" s="259">
        <f>BA154*(1+$BI154+(VLOOKUP($AM154,$A$12:$B$214,2,0))+各项系数!$J$6+各项系数!$M$5)*(1+$E$2)</f>
        <v>6.5591526088444</v>
      </c>
      <c r="BA154" s="260">
        <f>BB154+各项系数!$L$9*$NS154</f>
        <v>6.43558929439207</v>
      </c>
      <c r="BB154" s="260">
        <f>BC154*(1+$BJ154+各项系数!$J$5+各项系数!$L$5)</f>
        <v>6.38152769078878</v>
      </c>
      <c r="BC154" s="262">
        <f t="shared" si="644"/>
        <v>6.13608431806613</v>
      </c>
      <c r="BD154" s="259">
        <f>BE154+各项系数!$M$9*$NS154</f>
        <v>6.98833006746283</v>
      </c>
      <c r="BE154" s="259">
        <f>BF154*(1+$BI154+(VLOOKUP($AM154,$A$12:$B$214,2,0))+各项系数!$J$6+各项系数!$M$5)*(1+$E$2)</f>
        <v>6.93426846385953</v>
      </c>
      <c r="BF154" s="260">
        <f>BG154+各项系数!$L$9*$NS154</f>
        <v>6.80363860268792</v>
      </c>
      <c r="BG154" s="260">
        <f>BH154*(1+$BJ154+各项系数!$J$5+各项系数!$L$5)</f>
        <v>6.74957699908462</v>
      </c>
      <c r="BH154" s="262">
        <f t="shared" si="645"/>
        <v>6.48997788373522</v>
      </c>
      <c r="BI154" s="277"/>
      <c r="BJ154" s="272">
        <f t="shared" si="695"/>
        <v>0.02</v>
      </c>
      <c r="BK154" s="123" t="s">
        <v>514</v>
      </c>
      <c r="BL154" s="259">
        <f>BM154+各项系数!$M$9*$NM154</f>
        <v>5.88679658292343</v>
      </c>
      <c r="BM154" s="259">
        <f>BN154*(1+$CF154+(VLOOKUP($AM154,$A$12:$B$323,2,0))+各项系数!$J$6+各项系数!$M$5)*(1+$E$2)</f>
        <v>5.83617198549528</v>
      </c>
      <c r="BN154" s="260">
        <f>BO154+各项系数!$L$9*$NM154</f>
        <v>5.72622840021122</v>
      </c>
      <c r="BO154" s="260">
        <f>BP154*(1+$CG154+各项系数!$J$5+各项系数!$L$5)</f>
        <v>5.67560380278307</v>
      </c>
      <c r="BP154" s="260">
        <f t="shared" si="646"/>
        <v>5.4053369550315</v>
      </c>
      <c r="BQ154" s="259">
        <f>BR154+各项系数!$M$9*$NM154</f>
        <v>6.20412080306936</v>
      </c>
      <c r="BR154" s="259">
        <f>BS154*(1+$CF154+(VLOOKUP($AM154,$A$12:$B$323,2,0))+各项系数!$J$6+各项系数!$M$5)*(1+$E$2)</f>
        <v>6.15349620564121</v>
      </c>
      <c r="BS154" s="260">
        <f>BT154+各项系数!$L$9*$NM154</f>
        <v>6.03757477005613</v>
      </c>
      <c r="BT154" s="260">
        <f>BU154*(1+$CG154+各项系数!$J$5+各项系数!$L$5)</f>
        <v>5.98695017262798</v>
      </c>
      <c r="BU154" s="260">
        <f t="shared" si="647"/>
        <v>5.70185730726474</v>
      </c>
      <c r="BV154" s="259">
        <f>BW154+各项系数!$M$9*$NT154</f>
        <v>6.68502766045392</v>
      </c>
      <c r="BW154" s="259">
        <f>BX154*(1+$CF154+(VLOOKUP($AM154,$A$12:$B$214,2,0))+各项系数!$J$6+各项系数!$M$5)*(1+$E$2)</f>
        <v>6.63096605685062</v>
      </c>
      <c r="BX154" s="260">
        <f>BY154+各项系数!$L$9*$NT$12</f>
        <v>6.50604989879378</v>
      </c>
      <c r="BY154" s="260">
        <f>BZ154*(1+$CG154+各项系数!$J$5+各项系数!$L$5)</f>
        <v>6.49778649563881</v>
      </c>
      <c r="BZ154" s="262">
        <f t="shared" si="586"/>
        <v>6.18836809108458</v>
      </c>
      <c r="CA154" s="259">
        <f>CB154+各项系数!$M$9*$NT154</f>
        <v>7.00779839615693</v>
      </c>
      <c r="CB154" s="259">
        <f>CC154*(1+$CF154+(VLOOKUP($AM154,$A$12:$B$214,2,0))+各项系数!$J$6+各项系数!$M$5)*(1+$E$2)</f>
        <v>6.95373679255363</v>
      </c>
      <c r="CC154" s="260">
        <f>CD154+各项系数!$L$9*$NT$12</f>
        <v>6.82274018107695</v>
      </c>
      <c r="CD154" s="260">
        <f>CE154*(1+$CG154+各项系数!$J$5+各项系数!$L$5)</f>
        <v>6.81447677792198</v>
      </c>
      <c r="CE154" s="262">
        <f t="shared" si="648"/>
        <v>6.48997788373522</v>
      </c>
      <c r="CF154" s="277">
        <f t="shared" si="514"/>
        <v>0</v>
      </c>
      <c r="CG154" s="277">
        <f t="shared" si="587"/>
        <v>0.03</v>
      </c>
      <c r="CH154" s="123"/>
      <c r="CI154" s="259">
        <f>CJ154+各项系数!$M$9*$NO154</f>
        <v>6.67586180268485</v>
      </c>
      <c r="CJ154" s="259">
        <f>CK154*(1+$DC154+(VLOOKUP($AM154,$A$12:$B$323,2,0))+各项系数!$J$6+各项系数!$M$5)*(1+$E$2)+各项系数!$M$9*$NK154</f>
        <v>6.58158149926417</v>
      </c>
      <c r="CK154" s="260">
        <f>CL154+各项系数!$L$9*$NO154</f>
        <v>6.40792474669939</v>
      </c>
      <c r="CL154" s="260">
        <f>CM154*(1+$DD154+各项系数!$J$5+各项系数!$L$5)</f>
        <v>6.31364444327871</v>
      </c>
      <c r="CM154" s="260">
        <f t="shared" si="588"/>
        <v>6.07081196469106</v>
      </c>
      <c r="CN154" s="259">
        <f>CO154+各项系数!$M$9*$NO154</f>
        <v>6.91992136646227</v>
      </c>
      <c r="CO154" s="259">
        <f>CP154*(1+$DC154+(VLOOKUP($AM154,$A$12:$B$323,2,0))+各项系数!$J$6+各项系数!$M$5)*(1+$E$2)+各项系数!$M$9*$NK154</f>
        <v>6.82564106304158</v>
      </c>
      <c r="CP154" s="260">
        <f>CQ154+各项系数!$L$9*$NO154</f>
        <v>6.64738664208539</v>
      </c>
      <c r="CQ154" s="260">
        <f>CR154*(1+$DD154+各项系数!$J$5+各项系数!$L$5)</f>
        <v>6.55310633866471</v>
      </c>
      <c r="CR154" s="260">
        <f t="shared" si="589"/>
        <v>6.30106378717761</v>
      </c>
      <c r="CS154" s="259">
        <f>CT154+各项系数!$M$9*$NU154</f>
        <v>7.676308494125</v>
      </c>
      <c r="CT154" s="259">
        <f t="shared" si="590"/>
        <v>7.57769693187141</v>
      </c>
      <c r="CU154" s="260">
        <f>CV154+各项系数!$L$9*$NU154</f>
        <v>7.43494596926159</v>
      </c>
      <c r="CV154" s="260">
        <f>CW154*(1+$DD154+各项系数!$J$5+各项系数!$L$5)</f>
        <v>7.33633440700799</v>
      </c>
      <c r="CW154" s="262">
        <f t="shared" si="591"/>
        <v>7.05416769904615</v>
      </c>
      <c r="CX154" s="259">
        <f>CY154+各项系数!$M$9*$NU154</f>
        <v>8.13584806230925</v>
      </c>
      <c r="CY154" s="259">
        <f t="shared" si="592"/>
        <v>8.03723650005565</v>
      </c>
      <c r="CZ154" s="260">
        <f>DA154+各项系数!$L$9*$NU154</f>
        <v>7.88582859110641</v>
      </c>
      <c r="DA154" s="260">
        <f>DB154*(1+$DD154+各项系数!$J$5+各项系数!$L$5)</f>
        <v>7.78721702885281</v>
      </c>
      <c r="DB154" s="262">
        <f t="shared" si="593"/>
        <v>7.48770868158924</v>
      </c>
      <c r="DC154" s="277">
        <f t="shared" si="698"/>
        <v>0</v>
      </c>
      <c r="DD154" s="277">
        <f t="shared" si="594"/>
        <v>0.02</v>
      </c>
      <c r="DE154" s="69" t="s">
        <v>498</v>
      </c>
      <c r="DF154" s="69" t="s">
        <v>513</v>
      </c>
      <c r="DG154" s="259">
        <f>DH154+各项系数!$M$9*$NQ154</f>
        <v>6.80533595082816</v>
      </c>
      <c r="DH154" s="259">
        <f>DI154*(1+$EA154+(VLOOKUP($AM154,$A$12:$B$323,2,0))+各项系数!$J$6+各项系数!$M$5)*(1+$E$2)+各项系数!$M$9*$NK154</f>
        <v>6.71105564740748</v>
      </c>
      <c r="DI154" s="260">
        <f>DJ154+各项系数!$L$9*$NQ154</f>
        <v>6.53495982140829</v>
      </c>
      <c r="DJ154" s="260">
        <f>DK154*(1+$EB154+各项系数!$J$5+各项系数!$L$5)</f>
        <v>6.44067951798761</v>
      </c>
      <c r="DK154" s="260">
        <f t="shared" si="595"/>
        <v>6.13398049332153</v>
      </c>
      <c r="DL154" s="259">
        <f>DM154+各项系数!$M$9*$NQ154</f>
        <v>7.19530307221663</v>
      </c>
      <c r="DM154" s="259">
        <f>DN154*(1+$EA154+(VLOOKUP($AM154,$A$12:$B$323,2,0))+各项系数!$J$6+各项系数!$M$5)*(1+$E$2)+各项系数!$M$9*$NK154</f>
        <v>7.10102276879594</v>
      </c>
      <c r="DN154" s="260">
        <f>DO154+各项系数!$L$9*$NQ154</f>
        <v>6.91758062339854</v>
      </c>
      <c r="DO154" s="260">
        <f>DP154*(1+$EB154+各项系数!$J$5+各项系数!$L$5)</f>
        <v>6.82330031997786</v>
      </c>
      <c r="DP154" s="260">
        <f t="shared" si="596"/>
        <v>6.49838125712177</v>
      </c>
      <c r="DQ154" s="259">
        <f>DR154+各项系数!$M$9*$NV154</f>
        <v>7.81674915224646</v>
      </c>
      <c r="DR154" s="259">
        <f t="shared" si="597"/>
        <v>7.71813758999286</v>
      </c>
      <c r="DS154" s="260">
        <f>DT154+各项系数!$L$9*$NV154</f>
        <v>7.57274096349378</v>
      </c>
      <c r="DT154" s="260">
        <f>DU154*(1+$EB154+各项系数!$J$5+各项系数!$L$5)</f>
        <v>7.47412940124019</v>
      </c>
      <c r="DU154" s="262">
        <f t="shared" si="598"/>
        <v>7.11821847737161</v>
      </c>
      <c r="DV154" s="259">
        <f>DW154+各项系数!$M$9*$NV154</f>
        <v>7.7443442276506</v>
      </c>
      <c r="DW154" s="259">
        <f t="shared" si="599"/>
        <v>7.64573266539701</v>
      </c>
      <c r="DX154" s="260">
        <f>DY154+各项系数!$L$9*$NV154</f>
        <v>7.50170002491857</v>
      </c>
      <c r="DY154" s="260">
        <f>DZ154*(1+$EB154+各项系数!$J$5+各项系数!$L$5)</f>
        <v>7.40308846266497</v>
      </c>
      <c r="DZ154" s="262">
        <f t="shared" si="600"/>
        <v>7.05056044063331</v>
      </c>
      <c r="EA154" s="277">
        <f t="shared" si="699"/>
        <v>0</v>
      </c>
      <c r="EB154" s="277">
        <f t="shared" si="601"/>
        <v>0.03</v>
      </c>
      <c r="EC154" s="302">
        <f t="shared" si="649"/>
        <v>8</v>
      </c>
      <c r="ED154" s="302" t="str">
        <f t="shared" si="680"/>
        <v>8*1</v>
      </c>
      <c r="EE154" s="251">
        <f t="shared" si="495"/>
        <v>1</v>
      </c>
      <c r="EF154" s="251">
        <f>LOOKUP(EH154,{1,7,10,14,19,24,30,37,48,61},{1,"1+6","2+8","4+10","1+6+12","2+8+14","4+10+16","1+6+12+18","3+9+15+21","1+6+12+18+24"})</f>
        <v>1</v>
      </c>
      <c r="EG154" s="250">
        <f t="shared" si="602"/>
        <v>8</v>
      </c>
      <c r="EH154" s="260">
        <f>VLOOKUP(EE154,各项系数!$B$87:$C$124,2,0)</f>
        <v>1</v>
      </c>
      <c r="EI154" s="250">
        <f>IF(EH154=0,0,VLOOKUP(EH154,各项系数!$D$142:$E$195,2,0))*1</f>
        <v>1</v>
      </c>
      <c r="EJ154" s="305">
        <f t="shared" si="650"/>
        <v>110.31595161029</v>
      </c>
      <c r="EK154" s="251">
        <f t="shared" si="689"/>
        <v>0</v>
      </c>
      <c r="EL154" s="251">
        <f t="shared" si="603"/>
        <v>0</v>
      </c>
      <c r="EM154" s="251">
        <f t="shared" si="690"/>
        <v>0</v>
      </c>
      <c r="EN154" s="251">
        <f>IF(EP154=0,0,LOOKUP(EP154,{1,7,10,14,19,24,30,37,48,61},{1,"1+6","2+8","4+10","1+6+12","2+8+14","4+10+16","1+6+12+18","3+9+15+21","1+6+12+18+24"}))</f>
        <v>0</v>
      </c>
      <c r="EO154" s="251">
        <f t="shared" si="691"/>
        <v>0</v>
      </c>
      <c r="EP154" s="251">
        <f>IF(EM154=0,0,IF(EM154&lt;10,1,IF(AND(EM154&gt;=10,EM154&lt;=35),7,LOOKUP(EM154,{50,70,95,120,150,185,240,300},{10,14,19,24,30,37,48,61})*1)))</f>
        <v>0</v>
      </c>
      <c r="EQ154" s="251">
        <f>IF(EP154=0,0,VLOOKUP(EP154,各项系数!$D$142:$E$195,2,0))*1</f>
        <v>0</v>
      </c>
      <c r="ER154" s="69">
        <f t="shared" si="577"/>
        <v>0</v>
      </c>
      <c r="ES154" s="566">
        <f t="shared" si="692"/>
        <v>8</v>
      </c>
      <c r="ET154" s="251">
        <f>VLOOKUP(ES154,各项系数!$D$142:$E$195,2,0)*1</f>
        <v>3.45</v>
      </c>
      <c r="EU154" s="311">
        <f>((各项系数!$F$76/4*$EJ154^2*$EG154*$EH154*1*10^-7)*(1-$H154)*AA154)*(VLOOKUP($EY$9,各项系数!$D$4:$F$143,3,0))*各项系数!$J$4</f>
        <v>0.0676365335490695</v>
      </c>
      <c r="EV154" s="312">
        <f>EU154*(VLOOKUP($EY$9,各项系数!$D$4:$F$143,2,0))</f>
        <v>4.43019294746405</v>
      </c>
      <c r="EW154" s="324">
        <f>(IF($EO154=0,0,(各项系数!$F$76/4*$ER154^2*$EO154*$EP154*1*10^-7))*(1-$K154)*$AF154)*(VLOOKUP($EY$9,各项系数!$D$4:$F$143,3,0))*各项系数!$J$4</f>
        <v>0</v>
      </c>
      <c r="EX154" s="325">
        <f>EW154*(VLOOKUP($EY$9,各项系数!$D$4:$F$143,2,0))</f>
        <v>0</v>
      </c>
      <c r="EY154" s="251">
        <f>((各项系数!$F$76/4*$EJ154^2*$EG154*$EH154*1*10^-7)*(1-$H154)*AA154+IF($EO154=0,0,(各项系数!$F$76/4*$ER154^2*$EO154*$EP154*1*10^-7))*(1-$K154)*$AF154)*(VLOOKUP($EY$9,各项系数!$D$4:$F$143,3,0))*各项系数!$J$4</f>
        <v>0.0676365335490695</v>
      </c>
      <c r="EZ154" s="123">
        <v>1</v>
      </c>
      <c r="FA154" s="251">
        <f t="shared" si="515"/>
        <v>0.0676365335490695</v>
      </c>
      <c r="FB154" s="326">
        <f>FA154*(VLOOKUP($EY$9,各项系数!$D$4:$F$143,2,0))</f>
        <v>4.43019294746405</v>
      </c>
      <c r="FC154" s="327"/>
      <c r="FD154" s="302">
        <f>各项系数!$F$76/4*($MN154^2-MK154^2)*10^-2*(VLOOKUP(L154,各项系数!$D$1:$F$143,3,0))*10^-3*10^2*$EG154*各项系数!$J$4</f>
        <v>0.0281100878189678</v>
      </c>
      <c r="FE154" s="339">
        <f>FD154*VLOOKUP(L154,各项系数!$D$1:$F$143,2,0)</f>
        <v>0.323266009918129</v>
      </c>
      <c r="FF154" s="250">
        <f>各项系数!$F$76/4*($MO154^2-ML154^2)*10^-2*(VLOOKUP(L154,各项系数!$D$1:$F$143,3,0))*10^-3*10^2*$EO154*各项系数!$J$4</f>
        <v>0</v>
      </c>
      <c r="FG154" s="339">
        <f>FF154*VLOOKUP(L154,各项系数!$D$1:$F$143,2,0)</f>
        <v>0</v>
      </c>
      <c r="FH154" s="302">
        <f t="shared" si="651"/>
        <v>0.0281100878189678</v>
      </c>
      <c r="FI154" s="123">
        <v>1</v>
      </c>
      <c r="FJ154" s="251">
        <f t="shared" si="516"/>
        <v>0.0281100878189678</v>
      </c>
      <c r="FK154" s="339">
        <f>FJ154*VLOOKUP(L154,各项系数!$D$1:$F$143,2,0)</f>
        <v>0.323266009918129</v>
      </c>
      <c r="FL154" s="302"/>
      <c r="FM154" s="123"/>
      <c r="FN154" s="251"/>
      <c r="FO154" s="339"/>
      <c r="FP154" s="364">
        <f t="shared" si="517"/>
        <v>0.0281100878189678</v>
      </c>
      <c r="FQ154" s="364">
        <f t="shared" si="518"/>
        <v>0.323266009918129</v>
      </c>
      <c r="FR154" s="365">
        <f>各项系数!$F$76/4*($MQ154^2-$MN154^2*$EG154-$MO154^2*$EO154)*10^-2</f>
        <v>0.162585132564233</v>
      </c>
      <c r="FS154" s="366">
        <f t="shared" si="652"/>
        <v>1</v>
      </c>
      <c r="FT154" s="367">
        <f t="shared" si="604"/>
        <v>0.162585132564233</v>
      </c>
      <c r="FU154" s="388">
        <f>$FT154*(VLOOKUP($FT$9,各项系数!$D$1:$F$143,3,0))*10^-3*10^2*各项系数!$J$55</f>
        <v>0.0194126648281694</v>
      </c>
      <c r="FV154" s="389">
        <v>1</v>
      </c>
      <c r="FW154" s="390">
        <f t="shared" si="519"/>
        <v>0.0194126648281694</v>
      </c>
      <c r="FX154" s="367">
        <f>FW154*(VLOOKUP($FT$9,各项系数!$D$1:$F$143,2,0))</f>
        <v>0.0582379944845083</v>
      </c>
      <c r="FY154" s="388">
        <f>IF($BK154&lt;&gt;$FY$9,0,各项系数!$F$76/4*($MS154^2-$MQ154^2)*10^-2*(VLOOKUP($FY$9,各项系数!$D$1:$F$143,3,0))*10^-3*10^2)*各项系数!$J$4</f>
        <v>0</v>
      </c>
      <c r="FZ154" s="389">
        <v>1</v>
      </c>
      <c r="GA154" s="390">
        <f t="shared" si="520"/>
        <v>0</v>
      </c>
      <c r="GB154" s="367">
        <f>GA154*(VLOOKUP($FY$9,各项系数!$D$1:$F$143,2,0))</f>
        <v>0</v>
      </c>
      <c r="GC154" s="388">
        <f>IF($BK154&lt;&gt;$GC$9,0,各项系数!$F$76/4*($MS154^2-$MQ154^2)*10^-2*(VLOOKUP($GC$9,各项系数!$D$1:$F$143,3,0))*10^-3*10^2)*各项系数!$J$4</f>
        <v>0.002187848574174</v>
      </c>
      <c r="GD154" s="389">
        <v>1</v>
      </c>
      <c r="GE154" s="390">
        <f t="shared" si="521"/>
        <v>0.002187848574174</v>
      </c>
      <c r="GF154" s="367">
        <f>GE154*(VLOOKUP($GC$9,各项系数!$D$1:$F$143,2,0))</f>
        <v>0.0282232466068446</v>
      </c>
      <c r="GG154" s="388">
        <f>IF($BK154&lt;&gt;$GG$9,0,各项系数!$F$76/4*($MS154^2-$MQ154^2)*10^-2*(VLOOKUP($GG$9,各项系数!$D$1:$F$143,3,0))*10^-3*10^2)*各项系数!$J$4</f>
        <v>0</v>
      </c>
      <c r="GH154" s="389">
        <v>1</v>
      </c>
      <c r="GI154" s="390">
        <f t="shared" si="522"/>
        <v>0</v>
      </c>
      <c r="GJ154" s="367">
        <f>GI154*(VLOOKUP($GG$9,各项系数!$D$1:$F$143,2,0))</f>
        <v>0</v>
      </c>
      <c r="GK154" s="388">
        <f>IF($BK154&lt;&gt;$GK$9,0,各项系数!$F$76/4*($MS154^2-$MQ154^2)*10^-2*(VLOOKUP($GK$9,各项系数!$D$1:$F$143,3,0))*10^-3*10^2)*各项系数!$J$4</f>
        <v>0</v>
      </c>
      <c r="GL154" s="389">
        <v>1</v>
      </c>
      <c r="GM154" s="390">
        <f t="shared" si="523"/>
        <v>0</v>
      </c>
      <c r="GN154" s="367">
        <f>GM154*(VLOOKUP($GK$9,各项系数!$D$1:$F$143,2,0))</f>
        <v>0</v>
      </c>
      <c r="GO154" s="390">
        <f t="shared" si="524"/>
        <v>0.002187848574174</v>
      </c>
      <c r="GP154" s="390">
        <f t="shared" si="525"/>
        <v>0.0282232466068446</v>
      </c>
      <c r="GQ154" s="406">
        <f>各项系数!$F$76/4*($MU154^2-$MS154^2)*10^-2*(VLOOKUP($S154,各项系数!$D$1:$F$143,3,0))*10^-3*10^2*各项系数!$J$4</f>
        <v>0.127921068055652</v>
      </c>
      <c r="GR154" s="389">
        <v>1</v>
      </c>
      <c r="GS154" s="390">
        <f t="shared" si="526"/>
        <v>0.127921068055652</v>
      </c>
      <c r="GT154" s="390">
        <f t="shared" si="696"/>
        <v>1</v>
      </c>
      <c r="GU154" s="390">
        <f>ROUND($GS154*(VLOOKUP($S154,各项系数!$D$1:$F$143,2,0))+$E$3*GS154,GT154)</f>
        <v>0.7</v>
      </c>
      <c r="GV154" s="406">
        <f>各项系数!$F$76/4*($MT154^2-$MS154^2)*10^-2*(VLOOKUP($GV$9,各项系数!$D$1:$F$143,3,0))*10^-3*10^2*各项系数!$J$4*PI()/4*R154</f>
        <v>0.0114566872504906</v>
      </c>
      <c r="GW154" s="389">
        <v>1</v>
      </c>
      <c r="GX154" s="390">
        <f t="shared" si="527"/>
        <v>0.0114566872504906</v>
      </c>
      <c r="GY154" s="390">
        <f>$GX154*(VLOOKUP($GV$9,各项系数!$D$1:$F$143,2,0))</f>
        <v>0.773326389408119</v>
      </c>
      <c r="GZ154" s="406">
        <f>各项系数!$F$76/4*($MV154^2-$MS154^2)*10^-2*(VLOOKUP($GZ$9,各项系数!$D$1:$F$143,3,0))*10^-3*10^2*各项系数!$J$4</f>
        <v>0.0507021828700708</v>
      </c>
      <c r="HA154" s="389">
        <v>1</v>
      </c>
      <c r="HB154" s="390">
        <f t="shared" si="653"/>
        <v>0.0507021828700708</v>
      </c>
      <c r="HC154" s="390">
        <f>HB154*(VLOOKUP($GZ$9,各项系数!$D$1:$F$143,2,0))</f>
        <v>0.861937108791204</v>
      </c>
      <c r="HD154" s="406">
        <f>各项系数!$F$76/4*($MW154^2-$MT154^2)*10^-2*(VLOOKUP($HD$9,各项系数!$D$1:$F$143,3,0))*10^-3*10^2*各项系数!$J$4</f>
        <v>0.0515724291678564</v>
      </c>
      <c r="HE154" s="389">
        <v>1</v>
      </c>
      <c r="HF154" s="390">
        <f t="shared" si="654"/>
        <v>0.0515724291678564</v>
      </c>
      <c r="HG154" s="390">
        <f>HF154*(VLOOKUP($HD$9,各项系数!$D$1:$F$143,2,0))</f>
        <v>0.876731295853559</v>
      </c>
      <c r="HH154" s="406">
        <f>各项系数!$F$76/4*($MV154^2-$MS154^2)*10^-2*(VLOOKUP($HH$9,各项系数!$D$1:$F$143,3,0))*10^-3*10^2*各项系数!$J$4</f>
        <v>0.0507021828700708</v>
      </c>
      <c r="HI154" s="420">
        <v>1</v>
      </c>
      <c r="HJ154" s="390">
        <f t="shared" si="655"/>
        <v>0.0507021828700708</v>
      </c>
      <c r="HK154" s="390">
        <f>HJ154*(VLOOKUP($HH$9,各项系数!$D$1:$F$143,2,0))</f>
        <v>0.861937108791204</v>
      </c>
      <c r="HL154" s="406">
        <f>各项系数!$F$76/4*($MW154^2-$MT154^2)*10^-2*(VLOOKUP($HL$9,各项系数!$D$1:$F$143,3,0))*10^-3*10^2*各项系数!$J$4</f>
        <v>0.0515724291678564</v>
      </c>
      <c r="HM154" s="420">
        <v>1</v>
      </c>
      <c r="HN154" s="390">
        <f t="shared" si="605"/>
        <v>0.0515724291678564</v>
      </c>
      <c r="HO154" s="390">
        <f>HN154*(VLOOKUP($HL$9,各项系数!$D$1:$F$143,2,0))</f>
        <v>0.876731295853559</v>
      </c>
      <c r="HP154" s="406">
        <f>各项系数!$F$76/4*($MV154^2-$MS154^2)*10^-2*(VLOOKUP(AN154,各项系数!$D$1:$F$143,3,0))*10^-3*10^2*各项系数!$J$4</f>
        <v>0.0514015233234511</v>
      </c>
      <c r="HQ154" s="389">
        <v>1</v>
      </c>
      <c r="HR154" s="390">
        <f t="shared" si="528"/>
        <v>0.0514015233234511</v>
      </c>
      <c r="HS154" s="390">
        <f>HR154*(VLOOKUP(AN154,各项系数!$D$1:$F$143,2,0))</f>
        <v>0.514015233234511</v>
      </c>
      <c r="HT154" s="406">
        <f>各项系数!$F$76/4*($MW154^2-$MT154^2)*10^-2*(VLOOKUP(AN154,各项系数!$D$1:$F$143,3,0))*10^-3*10^2*各项系数!$J$4</f>
        <v>0.0522837730184475</v>
      </c>
      <c r="HU154" s="389">
        <v>1</v>
      </c>
      <c r="HV154" s="390">
        <f t="shared" si="529"/>
        <v>0.0522837730184475</v>
      </c>
      <c r="HW154" s="390">
        <f>HV154*(VLOOKUP(AN154,各项系数!$D$1:$F$143,2,0))</f>
        <v>0.522837730184475</v>
      </c>
      <c r="HX154" s="406">
        <f>各项系数!$F$76/4*($MV154^2-$MS154^2)*10^-2*(VLOOKUP($HX$9,各项系数!$D$1:$F$143,3,0))*10^-3*10^2*各项系数!$J$4</f>
        <v>0.0514015233234511</v>
      </c>
      <c r="HY154" s="420">
        <v>1</v>
      </c>
      <c r="HZ154" s="390">
        <f t="shared" si="530"/>
        <v>0.0514015233234511</v>
      </c>
      <c r="IA154" s="390">
        <f>HZ154*(VLOOKUP($HX$9,各项系数!$D$1:$F$143,2,0))</f>
        <v>0.565416756557962</v>
      </c>
      <c r="IB154" s="406">
        <f>各项系数!$F$76/4*($MW154^2-$MT154^2)*10^-2*(VLOOKUP($IB$9,各项系数!$D$1:$F$143,3,0))*10^-3*10^2*各项系数!$J$4</f>
        <v>0.0522837730184475</v>
      </c>
      <c r="IC154" s="420">
        <v>1</v>
      </c>
      <c r="ID154" s="390">
        <f t="shared" si="531"/>
        <v>0.0522837730184475</v>
      </c>
      <c r="IE154" s="390">
        <f>ID154*(VLOOKUP($IB$9,各项系数!$D$1:$F$143,2,0))</f>
        <v>0.575121503202923</v>
      </c>
      <c r="IF154" s="429"/>
      <c r="IG154" s="406">
        <f t="shared" si="656"/>
        <v>0.0157900135019304</v>
      </c>
      <c r="IH154" s="389">
        <v>1</v>
      </c>
      <c r="II154" s="390">
        <f t="shared" si="532"/>
        <v>0.0157900135019304</v>
      </c>
      <c r="IJ154" s="390">
        <f>II154*(VLOOKUP($IG$8,各项系数!$D$1:$F$143,2,0))</f>
        <v>0.394750337548261</v>
      </c>
      <c r="IK154" s="406">
        <f>(各项系数!$F$76/4*($MX154^2-$MK154^2)*$EG154)*10^-2*(VLOOKUP($IG$8,各项系数!$D$1:$F$143,3,0))*10^-3*10^2*各项系数!$J$4</f>
        <v>0.0157900135019304</v>
      </c>
      <c r="IL154" s="389">
        <f>IK154*(VLOOKUP($IG$8,各项系数!$D$1:$F$143,2,0))</f>
        <v>0.394750337548261</v>
      </c>
      <c r="IM154" s="390">
        <f>(各项系数!$F$76/4*(($MM154+3*$X154)^2-MM154^2)*$EO154)*10^-2*(VLOOKUP($IG$8,各项系数!$D$1:$F$143,3,0))*10^-3*10^2*各项系数!$J$4</f>
        <v>0</v>
      </c>
      <c r="IN154" s="389">
        <f>IM154*(VLOOKUP($IG$8,各项系数!$D$1:$F$143,2,0))</f>
        <v>0</v>
      </c>
      <c r="IO154" s="406">
        <f>各项系数!$F$76/4*($MZ154^2-$MX154^2)*10^-2*(VLOOKUP(L154,各项系数!$D$1:$F$143,3,0))*10^-3*10^2*$ES154*各项系数!$J$4</f>
        <v>0.0380128905179074</v>
      </c>
      <c r="IP154" s="389">
        <v>1</v>
      </c>
      <c r="IQ154" s="390">
        <f t="shared" si="533"/>
        <v>0.0380128905179074</v>
      </c>
      <c r="IR154" s="367">
        <f>IQ154*(VLOOKUP(L154,各项系数!$D$1:$F$143,2,0))</f>
        <v>0.437148240955935</v>
      </c>
      <c r="IS154" s="406">
        <f>IF($L154&lt;&gt;$IS$9,0,各项系数!$F$76/4*($MZ154^2-$MX154^2)*10^-2*各项系数!$F$12*10^-3*10^2)*$ES154*各项系数!$J$4</f>
        <v>0</v>
      </c>
      <c r="IT154" s="389">
        <v>1</v>
      </c>
      <c r="IU154" s="390">
        <f t="shared" si="534"/>
        <v>0</v>
      </c>
      <c r="IV154" s="367">
        <f>IU154*各项系数!$E$12</f>
        <v>0</v>
      </c>
      <c r="IW154" s="388">
        <f t="shared" si="535"/>
        <v>0.0380128905179074</v>
      </c>
      <c r="IX154" s="388">
        <f t="shared" si="536"/>
        <v>0.437148240955935</v>
      </c>
      <c r="IY154" s="447">
        <f>各项系数!$F$76/4*($NB154^2-$MZ154^2*$EG154-$NA154^2*$EO154)*10^-2</f>
        <v>0.258329849777958</v>
      </c>
      <c r="IZ154" s="366">
        <f t="shared" si="697"/>
        <v>1</v>
      </c>
      <c r="JA154" s="367">
        <f t="shared" si="606"/>
        <v>0.258329849777958</v>
      </c>
      <c r="JB154" s="364">
        <f>IF($DE154&lt;&gt;$JB$9,0,$JA154*各项系数!$F$32*10^-3*10^2)*各项系数!$J$4</f>
        <v>0</v>
      </c>
      <c r="JC154" s="123">
        <v>1</v>
      </c>
      <c r="JD154" s="251">
        <f t="shared" si="537"/>
        <v>0</v>
      </c>
      <c r="JE154" s="339">
        <f>JD154*各项系数!$E$32</f>
        <v>0</v>
      </c>
      <c r="JF154" s="364">
        <f>IF($DE154&lt;&gt;$JF$9,0,$JA154*VLOOKUP($JF$9,各项系数!$D$4:$F$540,2,0)*10^-3*10^2)*各项系数!$J$4</f>
        <v>0.128519100264534</v>
      </c>
      <c r="JG154" s="123">
        <v>1</v>
      </c>
      <c r="JH154" s="251">
        <f t="shared" si="607"/>
        <v>0.128519100264534</v>
      </c>
      <c r="JI154" s="339">
        <f>JH154*VLOOKUP($JF$9,各项系数!$D$4:$F$540,3,0)</f>
        <v>0.154222920317441</v>
      </c>
      <c r="JJ154" s="364">
        <f t="shared" si="538"/>
        <v>0.128519100264534</v>
      </c>
      <c r="JK154" s="251">
        <f t="shared" si="539"/>
        <v>0.154222920317441</v>
      </c>
      <c r="JL154" s="364">
        <f>IF($DF154&lt;&gt;$JL$9,0,各项系数!$F$76/4*($NE154^2-$NC154^2)*10^-2*各项系数!$F$39*10^-3*10^2)*各项系数!$J$4</f>
        <v>0.00114061160503562</v>
      </c>
      <c r="JM154" s="123">
        <v>1</v>
      </c>
      <c r="JN154" s="251">
        <f t="shared" si="540"/>
        <v>0.00114061160503562</v>
      </c>
      <c r="JO154" s="339">
        <f>JN154*各项系数!$E$39</f>
        <v>0.0228122321007125</v>
      </c>
      <c r="JP154" s="364">
        <f>IF($DF154&lt;&gt;$JP$9,0,各项系数!$F$76/4*($NE154^2-$NC154^2)*10^-2*各项系数!$F$36*10^-3*10^2)*各项系数!$J$4</f>
        <v>0</v>
      </c>
      <c r="JQ154" s="123">
        <v>1</v>
      </c>
      <c r="JR154" s="251">
        <f t="shared" si="541"/>
        <v>0</v>
      </c>
      <c r="JS154" s="339">
        <f>JR154*各项系数!$E$36</f>
        <v>0</v>
      </c>
      <c r="JT154" s="364">
        <f>IF($DF154&lt;&gt;$JT$9,0,各项系数!$F$76/4*($NE154^2-$NC154^2)*10^-2*各项系数!$F$40*10^-3*10^2)*各项系数!$J$4</f>
        <v>0</v>
      </c>
      <c r="JU154" s="123">
        <v>1</v>
      </c>
      <c r="JV154" s="251">
        <f t="shared" si="542"/>
        <v>0</v>
      </c>
      <c r="JW154" s="339">
        <f>JV154*各项系数!$E$40</f>
        <v>0</v>
      </c>
      <c r="JX154" s="364">
        <f>IF($DF154&lt;&gt;$JX$9,0,各项系数!$F$76/4*($NE154^2-$NC154^2)*10^-2*各项系数!$F$38*10^-3*10^2)*各项系数!$J$4</f>
        <v>0</v>
      </c>
      <c r="JY154" s="123">
        <v>1</v>
      </c>
      <c r="JZ154" s="251">
        <f t="shared" si="543"/>
        <v>0</v>
      </c>
      <c r="KA154" s="339">
        <f>JZ154*各项系数!$E$38</f>
        <v>0</v>
      </c>
      <c r="KB154" s="364">
        <f>IF($DF154&lt;&gt;$KB$9,0,各项系数!$F$76/4*($NE154^2-$NC154^2)*10^-2*各项系数!$F$41*10^-3*10^2)*各项系数!$J$4</f>
        <v>0</v>
      </c>
      <c r="KC154" s="123">
        <v>1</v>
      </c>
      <c r="KD154" s="251">
        <f t="shared" si="544"/>
        <v>0</v>
      </c>
      <c r="KE154" s="339">
        <f>KD154*各项系数!$E$41</f>
        <v>0</v>
      </c>
      <c r="KF154" s="251">
        <f t="shared" si="545"/>
        <v>0.00114061160503562</v>
      </c>
      <c r="KG154" s="251">
        <f t="shared" si="546"/>
        <v>0.0228122321007125</v>
      </c>
      <c r="KH154" s="302">
        <f>各项系数!$F$76/4*($NG154^2-$NE154^2)*10^-2*各项系数!$F$44*10^-3*10^2*各项系数!$J$4*0.75*$U154</f>
        <v>0.477659103657626</v>
      </c>
      <c r="KI154" s="123">
        <v>1</v>
      </c>
      <c r="KJ154" s="251">
        <f t="shared" si="547"/>
        <v>0.477659103657626</v>
      </c>
      <c r="KK154" s="251">
        <f>ROUND(KJ154*各项系数!$E$43,GT154)</f>
        <v>2.8</v>
      </c>
      <c r="KL154" s="302">
        <f>各项系数!$F$76/4*($NF154^2-$NE154^2)*10^-2*各项系数!$F$46*10^-3*10^2*各项系数!$J$4*PI()/4*R154</f>
        <v>0.0144375294430388</v>
      </c>
      <c r="KM154" s="123">
        <v>1</v>
      </c>
      <c r="KN154" s="251">
        <f t="shared" si="548"/>
        <v>0.0144375294430388</v>
      </c>
      <c r="KO154" s="251">
        <f>KN154*各项系数!$E$46</f>
        <v>0.974533237405118</v>
      </c>
      <c r="KP154" s="302">
        <f>各项系数!$F$76/4*($NH154^2-$NE154^2)*10^-2*(VLOOKUP($KP$9,各项系数!$D$1:$F$143,3,0))*10^-3*10^2*各项系数!$J$4</f>
        <v>0.0623090928667863</v>
      </c>
      <c r="KQ154" s="123">
        <v>1</v>
      </c>
      <c r="KR154" s="251">
        <f t="shared" si="657"/>
        <v>0.0623090928667863</v>
      </c>
      <c r="KS154" s="251">
        <f>KR154*(VLOOKUP($KP$9,各项系数!$D$1:$F$143,2,0))</f>
        <v>1.05925457873537</v>
      </c>
      <c r="KT154" s="302">
        <f>各项系数!$F$76/4*($NI154^2-$NF154^2)*10^-2*(VLOOKUP($KT$9,各项系数!$D$1:$F$143,3,0))*10^-3*10^2*各项系数!$J$4</f>
        <v>0.0631793391645719</v>
      </c>
      <c r="KU154" s="123">
        <v>1</v>
      </c>
      <c r="KV154" s="251">
        <f t="shared" si="658"/>
        <v>0.0631793391645719</v>
      </c>
      <c r="KW154" s="251">
        <f>KV154*(VLOOKUP($KT$9,各项系数!$D$1:$F$143,2,0))</f>
        <v>1.07404876579772</v>
      </c>
      <c r="KX154" s="251">
        <f>各项系数!$F$76/4*($NH154^2-$NE154^2)*10^-2*(VLOOKUP($KX$9,各项系数!$D$1:$F$143,3,0))*10^-3*10^2*各项系数!$J$4</f>
        <v>0.0623090928667863</v>
      </c>
      <c r="KY154" s="479">
        <v>1</v>
      </c>
      <c r="KZ154" s="251">
        <f t="shared" si="659"/>
        <v>0.0623090928667863</v>
      </c>
      <c r="LA154" s="251">
        <f>KZ154*(VLOOKUP($KX$9,各项系数!$D$1:$F$143,2,0))</f>
        <v>1.05925457873537</v>
      </c>
      <c r="LB154" s="251">
        <f>各项系数!$F$76/4*($NI154^2-$NF154^2)*10^-2*(VLOOKUP($LB$9,各项系数!$D$1:$F$143,3,0))*10^-3*10^2*各项系数!$J$4</f>
        <v>0.0631793391645719</v>
      </c>
      <c r="LC154" s="479">
        <v>1</v>
      </c>
      <c r="LD154" s="251">
        <f t="shared" si="660"/>
        <v>0.0631793391645719</v>
      </c>
      <c r="LE154" s="251">
        <f>LD154*(VLOOKUP($LB$9,各项系数!$D$1:$F$143,2,0))</f>
        <v>1.07404876579772</v>
      </c>
      <c r="LF154" s="302">
        <f>各项系数!$F$76/4*($NH154^2-$NE154^2)*10^-2*(VLOOKUP(AN154,各项系数!$D$1:$F$143,3,0))*10^-3*10^2*各项系数!$J$4</f>
        <v>0.0631685286304661</v>
      </c>
      <c r="LG154" s="123">
        <v>1</v>
      </c>
      <c r="LH154" s="251">
        <f t="shared" si="549"/>
        <v>0.0631685286304661</v>
      </c>
      <c r="LI154" s="251">
        <f>LH154*(VLOOKUP(AN154,各项系数!$D$1:$F$143,2,0))</f>
        <v>0.631685286304661</v>
      </c>
      <c r="LJ154" s="302">
        <f>各项系数!$F$76/4*($NI154^2-$NF154^2)*10^-2*(VLOOKUP(AN154,各项系数!$D$1:$F$143,3,0))*10^-3*10^2*各项系数!$J$4</f>
        <v>0.0640507783254625</v>
      </c>
      <c r="LK154" s="123">
        <v>1</v>
      </c>
      <c r="LL154" s="251">
        <f t="shared" si="550"/>
        <v>0.0640507783254625</v>
      </c>
      <c r="LM154" s="251">
        <f>LL154*(VLOOKUP(AN154,各项系数!$D$1:$F$143,2,0))</f>
        <v>0.640507783254625</v>
      </c>
      <c r="LN154" s="251">
        <f>各项系数!$F$76/4*($NH154^2-$NE154^2)*10^-2*(VLOOKUP($LN$9,各项系数!$D$1:$F$143,3,0))*10^-3*10^2*各项系数!$J$4</f>
        <v>0.0631685286304661</v>
      </c>
      <c r="LO154" s="479">
        <v>1</v>
      </c>
      <c r="LP154" s="251">
        <f t="shared" si="551"/>
        <v>0.0631685286304661</v>
      </c>
      <c r="LQ154" s="251">
        <f>LP154*(VLOOKUP($LN$9,各项系数!$D$1:$F$143,2,0))</f>
        <v>0.694853814935127</v>
      </c>
      <c r="LR154" s="251">
        <f>各项系数!$F$76/4*($NI154^2-$NF154^2)*10^-2*(VLOOKUP($LR$9,各项系数!$D$1:$F$143,3,0))*10^-3*10^2*各项系数!$J$4</f>
        <v>0.0640507783254625</v>
      </c>
      <c r="LS154" s="479">
        <v>1</v>
      </c>
      <c r="LT154" s="251">
        <f t="shared" si="552"/>
        <v>0.0640507783254625</v>
      </c>
      <c r="LU154" s="251">
        <f>LT154*(VLOOKUP($LR$9,各项系数!$D$1:$F$143,2,0))</f>
        <v>0.704558561580088</v>
      </c>
      <c r="LV154" s="499">
        <f t="shared" si="661"/>
        <v>7.64639101</v>
      </c>
      <c r="LW154" s="499">
        <f t="shared" si="662"/>
        <v>7.64639101</v>
      </c>
      <c r="LX154" s="499">
        <f t="shared" si="663"/>
        <v>3.120206308634</v>
      </c>
      <c r="LY154" s="515">
        <f t="shared" si="664"/>
        <v>0</v>
      </c>
      <c r="LZ154" s="516">
        <f t="shared" si="608"/>
        <v>1</v>
      </c>
      <c r="MA154" s="517">
        <f t="shared" si="609"/>
        <v>7.64639101</v>
      </c>
      <c r="MB154" s="517">
        <f t="shared" si="665"/>
        <v>1.10315952</v>
      </c>
      <c r="MC154" s="499">
        <f t="shared" si="666"/>
        <v>0</v>
      </c>
      <c r="MD154" s="499">
        <f t="shared" si="667"/>
        <v>0</v>
      </c>
      <c r="ME154" s="499">
        <f t="shared" si="668"/>
        <v>0</v>
      </c>
      <c r="MF154" s="499">
        <f t="shared" si="669"/>
        <v>0</v>
      </c>
      <c r="MG154" s="516">
        <f t="shared" si="670"/>
        <v>1</v>
      </c>
      <c r="MH154" s="517">
        <f t="shared" si="610"/>
        <v>0</v>
      </c>
      <c r="MI154" s="517">
        <f t="shared" si="671"/>
        <v>0</v>
      </c>
      <c r="MJ154" s="251">
        <f t="shared" si="611"/>
        <v>1.10315952</v>
      </c>
      <c r="MK154" s="251">
        <f t="shared" si="672"/>
        <v>1.10315952</v>
      </c>
      <c r="ML154" s="251">
        <f t="shared" si="553"/>
        <v>0</v>
      </c>
      <c r="MM154" s="251">
        <f t="shared" si="612"/>
        <v>0</v>
      </c>
      <c r="MN154" s="251">
        <f t="shared" si="613"/>
        <v>2.30315952</v>
      </c>
      <c r="MO154" s="251">
        <f t="shared" si="673"/>
        <v>0</v>
      </c>
      <c r="MP154" s="251">
        <f t="shared" si="674"/>
        <v>7.94590034</v>
      </c>
      <c r="MQ154" s="251">
        <f t="shared" si="554"/>
        <v>7.94590034</v>
      </c>
      <c r="MR154" s="314">
        <f t="shared" si="675"/>
        <v>7.94590034</v>
      </c>
      <c r="MS154" s="530">
        <f t="shared" si="614"/>
        <v>8.12190034</v>
      </c>
      <c r="MT154" s="530">
        <f t="shared" si="615"/>
        <v>8.28190034</v>
      </c>
      <c r="MU154" s="530">
        <f t="shared" si="616"/>
        <v>9.32190034</v>
      </c>
      <c r="MV154" s="530">
        <f t="shared" si="617"/>
        <v>10.52190034</v>
      </c>
      <c r="MW154" s="530">
        <f t="shared" si="618"/>
        <v>10.68190034</v>
      </c>
      <c r="MX154" s="326">
        <f t="shared" si="619"/>
        <v>1.70315952</v>
      </c>
      <c r="MY154" s="326">
        <f t="shared" si="620"/>
        <v>0</v>
      </c>
      <c r="MZ154" s="251">
        <f t="shared" si="621"/>
        <v>2.90315952</v>
      </c>
      <c r="NA154" s="251">
        <f t="shared" si="622"/>
        <v>0</v>
      </c>
      <c r="NB154" s="251">
        <f t="shared" si="676"/>
        <v>10.01590034</v>
      </c>
      <c r="NC154" s="326">
        <f t="shared" si="555"/>
        <v>10.01590034</v>
      </c>
      <c r="ND154" s="314">
        <f t="shared" si="677"/>
        <v>10.01590034</v>
      </c>
      <c r="NE154" s="537">
        <f t="shared" si="678"/>
        <v>10.25590034</v>
      </c>
      <c r="NF154" s="530">
        <f t="shared" si="623"/>
        <v>10.41590034</v>
      </c>
      <c r="NG154" s="538">
        <f t="shared" si="624"/>
        <v>11.45590034</v>
      </c>
      <c r="NH154" s="326">
        <f t="shared" si="625"/>
        <v>12.65590034</v>
      </c>
      <c r="NI154" s="530">
        <f t="shared" si="626"/>
        <v>12.81590034</v>
      </c>
      <c r="NK154" s="539">
        <f t="shared" si="627"/>
        <v>0.168748658093832</v>
      </c>
      <c r="NL154" s="539">
        <f t="shared" si="628"/>
        <v>5.35393543170805</v>
      </c>
      <c r="NM154" s="539">
        <f t="shared" si="629"/>
        <v>0.168748658093832</v>
      </c>
      <c r="NN154" s="539">
        <f t="shared" si="630"/>
        <v>5.4053369550315</v>
      </c>
      <c r="NO154" s="539">
        <f t="shared" si="631"/>
        <v>0.314267678068943</v>
      </c>
      <c r="NP154" s="539">
        <f t="shared" si="632"/>
        <v>6.07081196469106</v>
      </c>
      <c r="NQ154" s="539">
        <f t="shared" si="633"/>
        <v>0.314267678068943</v>
      </c>
      <c r="NR154" s="539">
        <f t="shared" si="634"/>
        <v>6.13398049332153</v>
      </c>
      <c r="NS154" s="539">
        <f t="shared" si="635"/>
        <v>0.180205345344323</v>
      </c>
      <c r="NT154" s="539">
        <f t="shared" si="636"/>
        <v>0.180205345344323</v>
      </c>
      <c r="NU154" s="539">
        <f t="shared" si="637"/>
        <v>0.328705207511982</v>
      </c>
      <c r="NV154" s="539">
        <f t="shared" si="638"/>
        <v>0.328705207511982</v>
      </c>
      <c r="NW154">
        <f t="shared" si="639"/>
        <v>0.296669726149484</v>
      </c>
      <c r="NX154">
        <f>各项系数!$M$9*NK154</f>
        <v>0.0506245974281496</v>
      </c>
      <c r="NY154">
        <f t="shared" si="640"/>
        <v>0.180205345344323</v>
      </c>
    </row>
    <row r="155" customHeight="1" spans="1:389">
      <c r="A155" s="85"/>
      <c r="B155" s="86"/>
      <c r="C155" s="218"/>
      <c r="D155" s="123" t="s">
        <v>241</v>
      </c>
      <c r="E155" s="77">
        <f t="shared" si="687"/>
        <v>12.38863808</v>
      </c>
      <c r="F155" s="558">
        <f t="shared" si="693"/>
        <v>110.31595161029</v>
      </c>
      <c r="G155" s="23"/>
      <c r="H155" s="23"/>
      <c r="I155" s="174">
        <v>0</v>
      </c>
      <c r="J155" s="23"/>
      <c r="K155" s="23"/>
      <c r="L155" s="118" t="s">
        <v>469</v>
      </c>
      <c r="M155" s="124">
        <f t="shared" si="582"/>
        <v>0.6</v>
      </c>
      <c r="N155" s="124">
        <f t="shared" si="583"/>
        <v>0</v>
      </c>
      <c r="O155" s="69">
        <f t="shared" si="688"/>
        <v>0.08</v>
      </c>
      <c r="P155" s="120">
        <v>0.1</v>
      </c>
      <c r="Q155" s="162">
        <f t="shared" si="700"/>
        <v>0.1</v>
      </c>
      <c r="R155" s="560">
        <v>0.8</v>
      </c>
      <c r="S155" s="171" t="str">
        <f>各项系数!$D$43</f>
        <v>钢带</v>
      </c>
      <c r="T155" s="123">
        <v>0.2</v>
      </c>
      <c r="U155" s="78">
        <v>4</v>
      </c>
      <c r="V155" s="172"/>
      <c r="W155" s="561">
        <v>1.5</v>
      </c>
      <c r="X155" s="164">
        <f t="shared" si="701"/>
        <v>0.2</v>
      </c>
      <c r="Y155" s="219"/>
      <c r="Z155" s="220"/>
      <c r="AA155" s="217">
        <v>1</v>
      </c>
      <c r="AB155" s="186">
        <f>PI()*EJ155*EJ155/4*EH155*(1-H155)*AA155*各项系数!$F$5*各项系数!$J$4*10^-7</f>
        <v>0.0084545666936337</v>
      </c>
      <c r="AC155" s="186">
        <f t="shared" si="573"/>
        <v>110.31595161029</v>
      </c>
      <c r="AD155" s="186">
        <f t="shared" si="584"/>
        <v>0.955798869898841</v>
      </c>
      <c r="AE155" s="186">
        <f>POWER(4*EU155/PI()/EG155/10^-7/EH155/(1-H155)/各项系数!$F$5/各项系数!$J$4,0.5)</f>
        <v>110.31595161029</v>
      </c>
      <c r="AF155" s="218">
        <v>1</v>
      </c>
      <c r="AG155" s="85">
        <f>IF(EM155=0,0,PI()*ER155*ER155/4*EP155*(1-K155)*(1+AF155)*各项系数!$F$5*各项系数!$J$4*10^-7)</f>
        <v>0</v>
      </c>
      <c r="AH155" s="85">
        <f t="shared" si="574"/>
        <v>0</v>
      </c>
      <c r="AI155" s="85">
        <f t="shared" si="641"/>
        <v>0</v>
      </c>
      <c r="AJ155" s="85">
        <f>IF(OR(EP155="",EP155=0),0,POWER(4*EW155/PI()/EO155/10^-7/EP155/(1-K155)/各项系数!$F$5/各项系数!$J$4,0.5))</f>
        <v>0</v>
      </c>
      <c r="AK155" s="85" t="str">
        <f t="shared" si="585"/>
        <v>√</v>
      </c>
      <c r="AL155" s="85">
        <f t="shared" si="575"/>
        <v>7.50799043461778</v>
      </c>
      <c r="AM155" s="250">
        <f t="shared" si="576"/>
        <v>1</v>
      </c>
      <c r="AN155" s="118" t="s">
        <v>486</v>
      </c>
      <c r="AO155" s="259">
        <f>AP155+各项系数!$M$9*$NK155</f>
        <v>7.36077493589978</v>
      </c>
      <c r="AP155" s="259">
        <f>AQ155*(1+$BI155+(VLOOKUP($AM155,$A$12:$B$323,2,0))+各项系数!$J$6+各项系数!$M$5)*(1+$E$2)</f>
        <v>7.29264092763715</v>
      </c>
      <c r="AQ155" s="260">
        <f>AR155+各项系数!$L$9*$NK155</f>
        <v>7.15525993684964</v>
      </c>
      <c r="AR155" s="260">
        <f>AS155*(1+$BJ155+各项系数!$J$5+各项系数!$L$5)</f>
        <v>7.08712592858701</v>
      </c>
      <c r="AS155" s="260">
        <f t="shared" si="642"/>
        <v>6.81454416210289</v>
      </c>
      <c r="AT155" s="259">
        <f>AU155+各项系数!$M$9*$NM155</f>
        <v>7.89923513861078</v>
      </c>
      <c r="AU155" s="259">
        <f>AV155*(1+$BI155+(VLOOKUP($AM155,$A$12:$B$323,2,0))+各项系数!$J$6+各项系数!$M$5)*(1+$E$2)</f>
        <v>7.83110113034815</v>
      </c>
      <c r="AV155" s="260">
        <f>AW155+各项系数!$L$9*$NM155</f>
        <v>7.68357646227251</v>
      </c>
      <c r="AW155" s="260">
        <f>AX155*(1+$BJ155+各项系数!$J$5+各项系数!$L$5)</f>
        <v>7.61544245400988</v>
      </c>
      <c r="AX155" s="260">
        <f t="shared" si="643"/>
        <v>7.32254082116335</v>
      </c>
      <c r="AY155" s="259">
        <f>AZ155+各项系数!$M$9*$NS155</f>
        <v>8.3267757457554</v>
      </c>
      <c r="AZ155" s="259">
        <f>BA155*(1+$BI155+(VLOOKUP($AM155,$A$12:$B$214,2,0))+各项系数!$J$6+各项系数!$M$5)*(1+$E$2)</f>
        <v>8.25467390489275</v>
      </c>
      <c r="BA155" s="260">
        <f>BB155+各项系数!$L$9*$NS155</f>
        <v>8.09916984389006</v>
      </c>
      <c r="BB155" s="260">
        <f>BC155*(1+$BJ155+各项系数!$J$5+各项系数!$L$5)</f>
        <v>8.02706800302741</v>
      </c>
      <c r="BC155" s="262">
        <f t="shared" si="644"/>
        <v>7.71833461829558</v>
      </c>
      <c r="BD155" s="259">
        <f>BE155+各项系数!$M$9*$NS155</f>
        <v>8.87314819899771</v>
      </c>
      <c r="BE155" s="259">
        <f>BF155*(1+$BI155+(VLOOKUP($AM155,$A$12:$B$214,2,0))+各项系数!$J$6+各项系数!$M$5)*(1+$E$2)</f>
        <v>8.80104635813506</v>
      </c>
      <c r="BF155" s="260">
        <f>BG155+各项系数!$L$9*$NS155</f>
        <v>8.63524956645904</v>
      </c>
      <c r="BG155" s="260">
        <f>BH155*(1+$BJ155+各项系数!$J$5+各项系数!$L$5)</f>
        <v>8.56314772559639</v>
      </c>
      <c r="BH155" s="262">
        <f t="shared" si="645"/>
        <v>8.23379588999653</v>
      </c>
      <c r="BI155" s="277"/>
      <c r="BJ155" s="272">
        <f t="shared" si="695"/>
        <v>0.02</v>
      </c>
      <c r="BK155" s="123" t="s">
        <v>514</v>
      </c>
      <c r="BL155" s="259">
        <f>BM155+各项系数!$M$9*$NM155</f>
        <v>7.51054509420601</v>
      </c>
      <c r="BM155" s="259">
        <f>BN155*(1+$CF155+(VLOOKUP($AM155,$A$12:$B$323,2,0))+各项系数!$J$6+各项系数!$M$5)*(1+$E$2)</f>
        <v>7.44241108594338</v>
      </c>
      <c r="BN155" s="260">
        <f>BO155+各项系数!$L$9*$NM155</f>
        <v>7.3022086793008</v>
      </c>
      <c r="BO155" s="260">
        <f>BP155*(1+$CG155+各项系数!$J$5+各项系数!$L$5)</f>
        <v>7.23407467103817</v>
      </c>
      <c r="BP155" s="260">
        <f t="shared" si="646"/>
        <v>6.88959492479826</v>
      </c>
      <c r="BQ155" s="259">
        <f>BR155+各项系数!$M$9*$NM155</f>
        <v>7.97386647466007</v>
      </c>
      <c r="BR155" s="259">
        <f>BS155*(1+$CF155+(VLOOKUP($AM155,$A$12:$B$323,2,0))+各项系数!$J$6+各项系数!$M$5)*(1+$E$2)</f>
        <v>7.90573246639744</v>
      </c>
      <c r="BS155" s="260">
        <f>BT155+各项系数!$L$9*$NM155</f>
        <v>7.75680187048415</v>
      </c>
      <c r="BT155" s="260">
        <f>BU155*(1+$CG155+各项系数!$J$5+各项系数!$L$5)</f>
        <v>7.68866786222152</v>
      </c>
      <c r="BU155" s="260">
        <f t="shared" si="647"/>
        <v>7.32254082116335</v>
      </c>
      <c r="BV155" s="259">
        <f>BW155+各项系数!$M$9*$NT155</f>
        <v>8.42187338609647</v>
      </c>
      <c r="BW155" s="259">
        <f>BX155*(1+$CF155+(VLOOKUP($AM155,$A$12:$B$214,2,0))+各项系数!$J$6+各项系数!$M$5)*(1+$E$2)</f>
        <v>8.34977154523382</v>
      </c>
      <c r="BX155" s="260">
        <f>BY155+各项系数!$L$9*$NT$12</f>
        <v>8.19247600592015</v>
      </c>
      <c r="BY155" s="260">
        <f>BZ155*(1+$CG155+各项系数!$J$5+各项系数!$L$5)</f>
        <v>8.18421260276518</v>
      </c>
      <c r="BZ155" s="262">
        <f t="shared" si="586"/>
        <v>7.79448819310969</v>
      </c>
      <c r="CA155" s="259">
        <f>CB155+各项系数!$M$9*$NT155</f>
        <v>8.89200291099689</v>
      </c>
      <c r="CB155" s="259">
        <f>CC155*(1+$CF155+(VLOOKUP($AM155,$A$12:$B$214,2,0))+各项系数!$J$6+各项系数!$M$5)*(1+$E$2)</f>
        <v>8.81990107013424</v>
      </c>
      <c r="CC155" s="260">
        <f>CD155+各项系数!$L$9*$NT$12</f>
        <v>8.65374908765133</v>
      </c>
      <c r="CD155" s="260">
        <f>CE155*(1+$CG155+各项系数!$J$5+各项系数!$L$5)</f>
        <v>8.64548568449636</v>
      </c>
      <c r="CE155" s="262">
        <f t="shared" si="648"/>
        <v>8.23379588999653</v>
      </c>
      <c r="CF155" s="277">
        <f t="shared" si="514"/>
        <v>0</v>
      </c>
      <c r="CG155" s="277">
        <f t="shared" si="587"/>
        <v>0.03</v>
      </c>
      <c r="CH155" s="123"/>
      <c r="CI155" s="259">
        <f>CJ155+各项系数!$M$9*$NO155</f>
        <v>8.56324863658583</v>
      </c>
      <c r="CJ155" s="259">
        <f>CK155*(1+$DC155+(VLOOKUP($AM155,$A$12:$B$323,2,0))+各项系数!$J$6+各项系数!$M$5)*(1+$E$2)+各项系数!$M$9*$NK155</f>
        <v>8.43042402914904</v>
      </c>
      <c r="CK155" s="260">
        <f>CL155+各项系数!$L$9*$NO155</f>
        <v>8.20475865471587</v>
      </c>
      <c r="CL155" s="260">
        <f>CM155*(1+$DD155+各项系数!$J$5+各项系数!$L$5)</f>
        <v>8.07193404727907</v>
      </c>
      <c r="CM155" s="260">
        <f t="shared" si="588"/>
        <v>7.76147504546065</v>
      </c>
      <c r="CN155" s="259">
        <f>CO155+各项系数!$M$9*$NO155</f>
        <v>8.92169122369093</v>
      </c>
      <c r="CO155" s="259">
        <f>CP155*(1+$DC155+(VLOOKUP($AM155,$A$12:$B$323,2,0))+各项系数!$J$6+各项系数!$M$5)*(1+$E$2)+各项系数!$M$9*$NK155</f>
        <v>8.78886661625413</v>
      </c>
      <c r="CP155" s="260">
        <f>CQ155+各项系数!$L$9*$NO155</f>
        <v>8.55644879120045</v>
      </c>
      <c r="CQ155" s="260">
        <f>CR155*(1+$DD155+各项系数!$J$5+各项系数!$L$5)</f>
        <v>8.42362418376366</v>
      </c>
      <c r="CR155" s="260">
        <f t="shared" si="589"/>
        <v>8.09963863823429</v>
      </c>
      <c r="CS155" s="259">
        <f>CT155+各项系数!$M$9*$NU155</f>
        <v>9.70945349452021</v>
      </c>
      <c r="CT155" s="259">
        <f t="shared" si="590"/>
        <v>9.57162851533216</v>
      </c>
      <c r="CU155" s="260">
        <f>CV155+各项系数!$L$9*$NU155</f>
        <v>9.39131526229608</v>
      </c>
      <c r="CV155" s="260">
        <f>CW155*(1+$DD155+各项系数!$J$5+各项系数!$L$5)</f>
        <v>9.25349028310803</v>
      </c>
      <c r="CW155" s="262">
        <f t="shared" si="591"/>
        <v>8.89758681068079</v>
      </c>
      <c r="CX155" s="259">
        <f>CY155+各项系数!$M$9*$NU155</f>
        <v>10.3776746059447</v>
      </c>
      <c r="CY155" s="259">
        <f t="shared" si="592"/>
        <v>10.2398496267567</v>
      </c>
      <c r="CZ155" s="260">
        <f>DA155+各项系数!$L$9*$NU155</f>
        <v>10.0469482209151</v>
      </c>
      <c r="DA155" s="260">
        <f>DB155*(1+$DD155+各项系数!$J$5+各项系数!$L$5)</f>
        <v>9.90912324172707</v>
      </c>
      <c r="DB155" s="262">
        <f t="shared" si="593"/>
        <v>9.52800311704526</v>
      </c>
      <c r="DC155" s="277">
        <f t="shared" si="698"/>
        <v>0</v>
      </c>
      <c r="DD155" s="277">
        <f t="shared" si="594"/>
        <v>0.02</v>
      </c>
      <c r="DE155" s="69" t="s">
        <v>498</v>
      </c>
      <c r="DF155" s="69" t="s">
        <v>513</v>
      </c>
      <c r="DG155" s="259">
        <f>DH155+各项系数!$M$9*$NQ155</f>
        <v>8.74084476987699</v>
      </c>
      <c r="DH155" s="259">
        <f>DI155*(1+$EA155+(VLOOKUP($AM155,$A$12:$B$323,2,0))+各项系数!$J$6+各项系数!$M$5)*(1+$E$2)+各项系数!$M$9*$NK155</f>
        <v>8.60802016244019</v>
      </c>
      <c r="DI155" s="260">
        <f>DJ155+各项系数!$L$9*$NQ155</f>
        <v>8.37900917796072</v>
      </c>
      <c r="DJ155" s="260">
        <f>DK155*(1+$EB155+各项系数!$J$5+各项系数!$L$5)</f>
        <v>8.24618457052393</v>
      </c>
      <c r="DK155" s="260">
        <f t="shared" si="595"/>
        <v>7.85350911478469</v>
      </c>
      <c r="DL155" s="259">
        <f>DM155+各项系数!$M$9*$NQ155</f>
        <v>9.30901157480482</v>
      </c>
      <c r="DM155" s="259">
        <f>DN155*(1+$EA155+(VLOOKUP($AM155,$A$12:$B$323,2,0))+各项系数!$J$6+各项系数!$M$5)*(1+$E$2)+各项系数!$M$9*$NK155</f>
        <v>9.17618696736803</v>
      </c>
      <c r="DN155" s="260">
        <f>DO155+各项系数!$L$9*$NQ155</f>
        <v>8.93647268358065</v>
      </c>
      <c r="DO155" s="260">
        <f>DP155*(1+$EB155+各项系数!$J$5+各项系数!$L$5)</f>
        <v>8.80364807614386</v>
      </c>
      <c r="DP155" s="260">
        <f t="shared" si="596"/>
        <v>8.38442673918463</v>
      </c>
      <c r="DQ155" s="259">
        <f>DR155+各项系数!$M$9*$NV155</f>
        <v>9.89980906433948</v>
      </c>
      <c r="DR155" s="259">
        <f t="shared" si="597"/>
        <v>9.76198408515143</v>
      </c>
      <c r="DS155" s="260">
        <f>DT155+各项系数!$L$9*$NV155</f>
        <v>9.57808485591781</v>
      </c>
      <c r="DT155" s="260">
        <f>DU155*(1+$EB155+各项系数!$J$5+各项系数!$L$5)</f>
        <v>9.44025987672976</v>
      </c>
      <c r="DU155" s="262">
        <f t="shared" si="598"/>
        <v>8.99072369212358</v>
      </c>
      <c r="DV155" s="259">
        <f>DW155+各项系数!$M$9*$NV155</f>
        <v>9.89001081178692</v>
      </c>
      <c r="DW155" s="259">
        <f t="shared" si="599"/>
        <v>9.75218583259887</v>
      </c>
      <c r="DX155" s="260">
        <f>DY155+各项系数!$L$9*$NV155</f>
        <v>9.56847118583091</v>
      </c>
      <c r="DY155" s="260">
        <f>DZ155*(1+$EB155+各项系数!$J$5+各项系数!$L$5)</f>
        <v>9.43064620664286</v>
      </c>
      <c r="DZ155" s="262">
        <f t="shared" si="600"/>
        <v>8.98156781585034</v>
      </c>
      <c r="EA155" s="277">
        <f t="shared" si="699"/>
        <v>0</v>
      </c>
      <c r="EB155" s="277">
        <f t="shared" si="601"/>
        <v>0.03</v>
      </c>
      <c r="EC155" s="302">
        <f t="shared" si="649"/>
        <v>10</v>
      </c>
      <c r="ED155" s="302" t="str">
        <f t="shared" si="680"/>
        <v>10*1</v>
      </c>
      <c r="EE155" s="251">
        <f t="shared" si="495"/>
        <v>1</v>
      </c>
      <c r="EF155" s="251">
        <f>LOOKUP(EH155,{1,7,10,14,19,24,30,37,48,61},{1,"1+6","2+8","4+10","1+6+12","2+8+14","4+10+16","1+6+12+18","3+9+15+21","1+6+12+18+24"})</f>
        <v>1</v>
      </c>
      <c r="EG155" s="250">
        <f t="shared" si="602"/>
        <v>10</v>
      </c>
      <c r="EH155" s="260">
        <f>VLOOKUP(EE155,各项系数!$B$87:$C$124,2,0)</f>
        <v>1</v>
      </c>
      <c r="EI155" s="250">
        <f>IF(EH155=0,0,VLOOKUP(EH155,各项系数!$D$142:$E$195,2,0))*1</f>
        <v>1</v>
      </c>
      <c r="EJ155" s="305">
        <f t="shared" si="650"/>
        <v>110.31595161029</v>
      </c>
      <c r="EK155" s="251">
        <f t="shared" si="689"/>
        <v>0</v>
      </c>
      <c r="EL155" s="251">
        <f t="shared" si="603"/>
        <v>0</v>
      </c>
      <c r="EM155" s="251">
        <f t="shared" si="690"/>
        <v>0</v>
      </c>
      <c r="EN155" s="251">
        <f>IF(EP155=0,0,LOOKUP(EP155,{1,7,10,14,19,24,30,37,48,61},{1,"1+6","2+8","4+10","1+6+12","2+8+14","4+10+16","1+6+12+18","3+9+15+21","1+6+12+18+24"}))</f>
        <v>0</v>
      </c>
      <c r="EO155" s="251">
        <f t="shared" si="691"/>
        <v>0</v>
      </c>
      <c r="EP155" s="251">
        <f>IF(EM155=0,0,IF(EM155&lt;10,1,IF(AND(EM155&gt;=10,EM155&lt;=35),7,LOOKUP(EM155,{50,70,95,120,150,185,240,300},{10,14,19,24,30,37,48,61})*1)))</f>
        <v>0</v>
      </c>
      <c r="EQ155" s="251">
        <f>IF(EP155=0,0,VLOOKUP(EP155,各项系数!$D$142:$E$195,2,0))*1</f>
        <v>0</v>
      </c>
      <c r="ER155" s="69">
        <f t="shared" si="577"/>
        <v>0</v>
      </c>
      <c r="ES155" s="566">
        <f t="shared" si="692"/>
        <v>10</v>
      </c>
      <c r="ET155" s="251">
        <f>VLOOKUP(ES155,各项系数!$D$142:$E$195,2,0)*1</f>
        <v>4</v>
      </c>
      <c r="EU155" s="311">
        <f>((各项系数!$F$76/4*$EJ155^2*$EG155*$EH155*1*10^-7)*(1-$H155)*AA155)*(VLOOKUP($EY$9,各项系数!$D$4:$F$143,3,0))*各项系数!$J$4</f>
        <v>0.0845456669363369</v>
      </c>
      <c r="EV155" s="312">
        <f>EU155*(VLOOKUP($EY$9,各项系数!$D$4:$F$143,2,0))</f>
        <v>5.53774118433007</v>
      </c>
      <c r="EW155" s="324">
        <f>(IF($EO155=0,0,(各项系数!$F$76/4*$ER155^2*$EO155*$EP155*1*10^-7))*(1-$K155)*$AF155)*(VLOOKUP($EY$9,各项系数!$D$4:$F$143,3,0))*各项系数!$J$4</f>
        <v>0</v>
      </c>
      <c r="EX155" s="325">
        <f>EW155*(VLOOKUP($EY$9,各项系数!$D$4:$F$143,2,0))</f>
        <v>0</v>
      </c>
      <c r="EY155" s="251">
        <f>((各项系数!$F$76/4*$EJ155^2*$EG155*$EH155*1*10^-7)*(1-$H155)*AA155+IF($EO155=0,0,(各项系数!$F$76/4*$ER155^2*$EO155*$EP155*1*10^-7))*(1-$K155)*$AF155)*(VLOOKUP($EY$9,各项系数!$D$4:$F$143,3,0))*各项系数!$J$4</f>
        <v>0.0845456669363369</v>
      </c>
      <c r="EZ155" s="123">
        <v>1</v>
      </c>
      <c r="FA155" s="251">
        <f t="shared" si="515"/>
        <v>0.0845456669363369</v>
      </c>
      <c r="FB155" s="326">
        <f>FA155*(VLOOKUP($EY$9,各项系数!$D$4:$F$143,2,0))</f>
        <v>5.53774118433007</v>
      </c>
      <c r="FC155" s="327"/>
      <c r="FD155" s="302">
        <f>各项系数!$F$76/4*($MN155^2-MK155^2)*10^-2*(VLOOKUP(L155,各项系数!$D$1:$F$143,3,0))*10^-3*10^2*$EG155*各项系数!$J$4</f>
        <v>0.0351376097737097</v>
      </c>
      <c r="FE155" s="339">
        <f>FD155*VLOOKUP(L155,各项系数!$D$1:$F$143,2,0)</f>
        <v>0.404082512397662</v>
      </c>
      <c r="FF155" s="250">
        <f>各项系数!$F$76/4*($MO155^2-ML155^2)*10^-2*(VLOOKUP(L155,各项系数!$D$1:$F$143,3,0))*10^-3*10^2*$EO155*各项系数!$J$4</f>
        <v>0</v>
      </c>
      <c r="FG155" s="339">
        <f>FF155*VLOOKUP(L155,各项系数!$D$1:$F$143,2,0)</f>
        <v>0</v>
      </c>
      <c r="FH155" s="302">
        <f t="shared" si="651"/>
        <v>0.0351376097737097</v>
      </c>
      <c r="FI155" s="123">
        <v>1</v>
      </c>
      <c r="FJ155" s="251">
        <f t="shared" si="516"/>
        <v>0.0351376097737097</v>
      </c>
      <c r="FK155" s="339">
        <f>FJ155*VLOOKUP(L155,各项系数!$D$1:$F$143,2,0)</f>
        <v>0.404082512397662</v>
      </c>
      <c r="FL155" s="302"/>
      <c r="FM155" s="123"/>
      <c r="FN155" s="251"/>
      <c r="FO155" s="339"/>
      <c r="FP155" s="364">
        <f t="shared" si="517"/>
        <v>0.0351376097737097</v>
      </c>
      <c r="FQ155" s="364">
        <f t="shared" si="518"/>
        <v>0.404082512397662</v>
      </c>
      <c r="FR155" s="365">
        <f>各项系数!$F$76/4*($MQ155^2-$MN155^2*$EG155-$MO155^2*$EO155)*10^-2</f>
        <v>0.24997073629236</v>
      </c>
      <c r="FS155" s="366">
        <f t="shared" si="652"/>
        <v>1</v>
      </c>
      <c r="FT155" s="367">
        <f t="shared" si="604"/>
        <v>0.24997073629236</v>
      </c>
      <c r="FU155" s="388">
        <f>$FT155*(VLOOKUP($FT$9,各项系数!$D$1:$F$143,3,0))*10^-3*10^2*各项系数!$J$55</f>
        <v>0.0298465059133078</v>
      </c>
      <c r="FV155" s="389">
        <v>1</v>
      </c>
      <c r="FW155" s="390">
        <f t="shared" si="519"/>
        <v>0.0298465059133078</v>
      </c>
      <c r="FX155" s="367">
        <f>FW155*(VLOOKUP($FT$9,各项系数!$D$1:$F$143,2,0))</f>
        <v>0.0895395177399234</v>
      </c>
      <c r="FY155" s="388">
        <f>IF($BK155&lt;&gt;$FY$9,0,各项系数!$F$76/4*($MS155^2-$MQ155^2)*10^-2*(VLOOKUP($FY$9,各项系数!$D$1:$F$143,3,0))*10^-3*10^2)*各项系数!$J$4</f>
        <v>0</v>
      </c>
      <c r="FZ155" s="389">
        <v>1</v>
      </c>
      <c r="GA155" s="390">
        <f t="shared" si="520"/>
        <v>0</v>
      </c>
      <c r="GB155" s="367">
        <f>GA155*(VLOOKUP($FY$9,各项系数!$D$1:$F$143,2,0))</f>
        <v>0</v>
      </c>
      <c r="GC155" s="388">
        <f>IF($BK155&lt;&gt;$GC$9,0,各项系数!$F$76/4*($MS155^2-$MQ155^2)*10^-2*(VLOOKUP($GC$9,各项系数!$D$1:$F$143,3,0))*10^-3*10^2)*各项系数!$J$4</f>
        <v>0.00253281555671332</v>
      </c>
      <c r="GD155" s="389">
        <v>1</v>
      </c>
      <c r="GE155" s="390">
        <f t="shared" si="521"/>
        <v>0.00253281555671332</v>
      </c>
      <c r="GF155" s="367">
        <f>GE155*(VLOOKUP($GC$9,各项系数!$D$1:$F$143,2,0))</f>
        <v>0.0326733206816018</v>
      </c>
      <c r="GG155" s="388">
        <f>IF($BK155&lt;&gt;$GG$9,0,各项系数!$F$76/4*($MS155^2-$MQ155^2)*10^-2*(VLOOKUP($GG$9,各项系数!$D$1:$F$143,3,0))*10^-3*10^2)*各项系数!$J$4</f>
        <v>0</v>
      </c>
      <c r="GH155" s="389">
        <v>1</v>
      </c>
      <c r="GI155" s="390">
        <f t="shared" si="522"/>
        <v>0</v>
      </c>
      <c r="GJ155" s="367">
        <f>GI155*(VLOOKUP($GG$9,各项系数!$D$1:$F$143,2,0))</f>
        <v>0</v>
      </c>
      <c r="GK155" s="388">
        <f>IF($BK155&lt;&gt;$GK$9,0,各项系数!$F$76/4*($MS155^2-$MQ155^2)*10^-2*(VLOOKUP($GK$9,各项系数!$D$1:$F$143,3,0))*10^-3*10^2)*各项系数!$J$4</f>
        <v>0</v>
      </c>
      <c r="GL155" s="389">
        <v>1</v>
      </c>
      <c r="GM155" s="390">
        <f t="shared" si="523"/>
        <v>0</v>
      </c>
      <c r="GN155" s="367">
        <f>GM155*(VLOOKUP($GK$9,各项系数!$D$1:$F$143,2,0))</f>
        <v>0</v>
      </c>
      <c r="GO155" s="390">
        <f t="shared" si="524"/>
        <v>0.00253281555671332</v>
      </c>
      <c r="GP155" s="390">
        <f t="shared" si="525"/>
        <v>0.0326733206816018</v>
      </c>
      <c r="GQ155" s="406">
        <f>各项系数!$F$76/4*($MU155^2-$MS155^2)*10^-2*(VLOOKUP($S155,各项系数!$D$1:$F$143,3,0))*10^-3*10^2*各项系数!$J$4</f>
        <v>0.146499868354946</v>
      </c>
      <c r="GR155" s="389">
        <v>1</v>
      </c>
      <c r="GS155" s="390">
        <f t="shared" si="526"/>
        <v>0.146499868354946</v>
      </c>
      <c r="GT155" s="390">
        <f t="shared" si="696"/>
        <v>1</v>
      </c>
      <c r="GU155" s="390">
        <f>ROUND($GS155*(VLOOKUP($S155,各项系数!$D$1:$F$143,2,0))+$E$3*GS155,GT155)</f>
        <v>0.8</v>
      </c>
      <c r="GV155" s="406">
        <f>各项系数!$F$76/4*($MT155^2-$MS155^2)*10^-2*(VLOOKUP($GV$9,各项系数!$D$1:$F$143,3,0))*10^-3*10^2*各项系数!$J$4*PI()/4*R155</f>
        <v>0.0132261086667442</v>
      </c>
      <c r="GW155" s="389">
        <v>1</v>
      </c>
      <c r="GX155" s="390">
        <f t="shared" si="527"/>
        <v>0.0132261086667442</v>
      </c>
      <c r="GY155" s="390">
        <f>$GX155*(VLOOKUP($GV$9,各项系数!$D$1:$F$143,2,0))</f>
        <v>0.892762335005235</v>
      </c>
      <c r="GZ155" s="406">
        <f>各项系数!$F$76/4*($MV155^2-$MS155^2)*10^-2*(VLOOKUP($GZ$9,各项系数!$D$1:$F$143,3,0))*10^-3*10^2*各项系数!$J$4</f>
        <v>0.0740296638831821</v>
      </c>
      <c r="HA155" s="389">
        <v>1</v>
      </c>
      <c r="HB155" s="390">
        <f t="shared" si="653"/>
        <v>0.0740296638831821</v>
      </c>
      <c r="HC155" s="390">
        <f>HB155*(VLOOKUP($GZ$9,各项系数!$D$1:$F$143,2,0))</f>
        <v>1.2585042860141</v>
      </c>
      <c r="HD155" s="406">
        <f>各项系数!$F$76/4*($MW155^2-$MT155^2)*10^-2*(VLOOKUP($HD$9,各项系数!$D$1:$F$143,3,0))*10^-3*10^2*各项系数!$J$4</f>
        <v>0.0751174717554141</v>
      </c>
      <c r="HE155" s="389">
        <v>1</v>
      </c>
      <c r="HF155" s="390">
        <f t="shared" si="654"/>
        <v>0.0751174717554141</v>
      </c>
      <c r="HG155" s="390">
        <f>HF155*(VLOOKUP($HD$9,各项系数!$D$1:$F$143,2,0))</f>
        <v>1.27699701984204</v>
      </c>
      <c r="HH155" s="406">
        <f>各项系数!$F$76/4*($MV155^2-$MS155^2)*10^-2*(VLOOKUP($HH$9,各项系数!$D$1:$F$143,3,0))*10^-3*10^2*各项系数!$J$4</f>
        <v>0.0740296638831821</v>
      </c>
      <c r="HI155" s="420">
        <v>1</v>
      </c>
      <c r="HJ155" s="390">
        <f t="shared" si="655"/>
        <v>0.0740296638831821</v>
      </c>
      <c r="HK155" s="390">
        <f>HJ155*(VLOOKUP($HH$9,各项系数!$D$1:$F$143,2,0))</f>
        <v>1.2585042860141</v>
      </c>
      <c r="HL155" s="406">
        <f>各项系数!$F$76/4*($MW155^2-$MT155^2)*10^-2*(VLOOKUP($HL$9,各项系数!$D$1:$F$143,3,0))*10^-3*10^2*各项系数!$J$4</f>
        <v>0.0751174717554141</v>
      </c>
      <c r="HM155" s="420">
        <v>1</v>
      </c>
      <c r="HN155" s="390">
        <f t="shared" si="605"/>
        <v>0.0751174717554141</v>
      </c>
      <c r="HO155" s="390">
        <f>HN155*(VLOOKUP($HL$9,各项系数!$D$1:$F$143,2,0))</f>
        <v>1.27699701984204</v>
      </c>
      <c r="HP155" s="406">
        <f>各项系数!$F$76/4*($MV155^2-$MS155^2)*10^-2*(VLOOKUP(AN155,各项系数!$D$1:$F$143,3,0))*10^-3*10^2*各项系数!$J$4</f>
        <v>0.0750507626953639</v>
      </c>
      <c r="HQ155" s="389">
        <v>1</v>
      </c>
      <c r="HR155" s="390">
        <f t="shared" si="528"/>
        <v>0.0750507626953639</v>
      </c>
      <c r="HS155" s="390">
        <f>HR155*(VLOOKUP(AN155,各项系数!$D$1:$F$143,2,0))</f>
        <v>0.750507626953639</v>
      </c>
      <c r="HT155" s="406">
        <f>各项系数!$F$76/4*($MW155^2-$MT155^2)*10^-2*(VLOOKUP(AN155,各项系数!$D$1:$F$143,3,0))*10^-3*10^2*各项系数!$J$4</f>
        <v>0.0761535748141095</v>
      </c>
      <c r="HU155" s="389">
        <v>1</v>
      </c>
      <c r="HV155" s="390">
        <f t="shared" si="529"/>
        <v>0.0761535748141095</v>
      </c>
      <c r="HW155" s="390">
        <f>HV155*(VLOOKUP(AN155,各项系数!$D$1:$F$143,2,0))</f>
        <v>0.761535748141095</v>
      </c>
      <c r="HX155" s="406">
        <f>各项系数!$F$76/4*($MV155^2-$MS155^2)*10^-2*(VLOOKUP($HX$9,各项系数!$D$1:$F$143,3,0))*10^-3*10^2*各项系数!$J$4</f>
        <v>0.0750507626953639</v>
      </c>
      <c r="HY155" s="420">
        <v>1</v>
      </c>
      <c r="HZ155" s="390">
        <f t="shared" si="530"/>
        <v>0.0750507626953639</v>
      </c>
      <c r="IA155" s="390">
        <f>HZ155*(VLOOKUP($HX$9,各项系数!$D$1:$F$143,2,0))</f>
        <v>0.825558389649003</v>
      </c>
      <c r="IB155" s="406">
        <f>各项系数!$F$76/4*($MW155^2-$MT155^2)*10^-2*(VLOOKUP($IB$9,各项系数!$D$1:$F$143,3,0))*10^-3*10^2*各项系数!$J$4</f>
        <v>0.0761535748141095</v>
      </c>
      <c r="IC155" s="420">
        <v>1</v>
      </c>
      <c r="ID155" s="390">
        <f t="shared" si="531"/>
        <v>0.0761535748141095</v>
      </c>
      <c r="IE155" s="390">
        <f>ID155*(VLOOKUP($IB$9,各项系数!$D$1:$F$143,2,0))</f>
        <v>0.837689322955204</v>
      </c>
      <c r="IF155" s="429"/>
      <c r="IG155" s="406">
        <f t="shared" si="656"/>
        <v>0.019737516877413</v>
      </c>
      <c r="IH155" s="389">
        <v>1</v>
      </c>
      <c r="II155" s="390">
        <f t="shared" si="532"/>
        <v>0.019737516877413</v>
      </c>
      <c r="IJ155" s="390">
        <f>II155*(VLOOKUP($IG$8,各项系数!$D$1:$F$143,2,0))</f>
        <v>0.493437921935326</v>
      </c>
      <c r="IK155" s="406">
        <f>(各项系数!$F$76/4*($MX155^2-$MK155^2)*$EG155)*10^-2*(VLOOKUP($IG$8,各项系数!$D$1:$F$143,3,0))*10^-3*10^2*各项系数!$J$4</f>
        <v>0.019737516877413</v>
      </c>
      <c r="IL155" s="389">
        <f>IK155*(VLOOKUP($IG$8,各项系数!$D$1:$F$143,2,0))</f>
        <v>0.493437921935326</v>
      </c>
      <c r="IM155" s="390">
        <f>(各项系数!$F$76/4*(($MM155+3*$X155)^2-MM155^2)*$EO155)*10^-2*(VLOOKUP($IG$8,各项系数!$D$1:$F$143,3,0))*10^-3*10^2*各项系数!$J$4</f>
        <v>0</v>
      </c>
      <c r="IN155" s="389">
        <f>IM155*(VLOOKUP($IG$8,各项系数!$D$1:$F$143,2,0))</f>
        <v>0</v>
      </c>
      <c r="IO155" s="406">
        <f>各项系数!$F$76/4*($MZ155^2-$MX155^2)*10^-2*(VLOOKUP(L155,各项系数!$D$1:$F$143,3,0))*10^-3*10^2*$ES155*各项系数!$J$4</f>
        <v>0.0475161131473842</v>
      </c>
      <c r="IP155" s="389">
        <v>1</v>
      </c>
      <c r="IQ155" s="390">
        <f t="shared" si="533"/>
        <v>0.0475161131473842</v>
      </c>
      <c r="IR155" s="367">
        <f>IQ155*(VLOOKUP(L155,各项系数!$D$1:$F$143,2,0))</f>
        <v>0.546435301194918</v>
      </c>
      <c r="IS155" s="406">
        <f>IF($L155&lt;&gt;$IS$9,0,各项系数!$F$76/4*($MZ155^2-$MX155^2)*10^-2*各项系数!$F$12*10^-3*10^2)*$ES155*各项系数!$J$4</f>
        <v>0</v>
      </c>
      <c r="IT155" s="389">
        <v>1</v>
      </c>
      <c r="IU155" s="390">
        <f t="shared" si="534"/>
        <v>0</v>
      </c>
      <c r="IV155" s="367">
        <f>IU155*各项系数!$E$12</f>
        <v>0</v>
      </c>
      <c r="IW155" s="388">
        <f t="shared" si="535"/>
        <v>0.0475161131473842</v>
      </c>
      <c r="IX155" s="388">
        <f t="shared" si="536"/>
        <v>0.546435301194918</v>
      </c>
      <c r="IY155" s="447">
        <f>各项系数!$F$76/4*($NB155^2-$MZ155^2*$EG155-$NA155^2*$EO155)*10^-2</f>
        <v>0.397175939127138</v>
      </c>
      <c r="IZ155" s="366">
        <f t="shared" si="697"/>
        <v>1</v>
      </c>
      <c r="JA155" s="367">
        <f t="shared" si="606"/>
        <v>0.397175939127138</v>
      </c>
      <c r="JB155" s="364">
        <f>IF($DE155&lt;&gt;$JB$9,0,$JA155*各项系数!$F$32*10^-3*10^2)*各项系数!$J$4</f>
        <v>0</v>
      </c>
      <c r="JC155" s="123">
        <v>1</v>
      </c>
      <c r="JD155" s="251">
        <f t="shared" si="537"/>
        <v>0</v>
      </c>
      <c r="JE155" s="339">
        <f>JD155*各项系数!$E$32</f>
        <v>0</v>
      </c>
      <c r="JF155" s="364">
        <f>IF($DE155&lt;&gt;$JF$9,0,$JA155*VLOOKUP($JF$9,各项系数!$D$4:$F$540,2,0)*10^-3*10^2)*各项系数!$J$4</f>
        <v>0.197595029715751</v>
      </c>
      <c r="JG155" s="123">
        <v>1</v>
      </c>
      <c r="JH155" s="251">
        <f t="shared" si="607"/>
        <v>0.197595029715751</v>
      </c>
      <c r="JI155" s="339">
        <f>JH155*VLOOKUP($JF$9,各项系数!$D$4:$F$540,3,0)</f>
        <v>0.237114035658901</v>
      </c>
      <c r="JJ155" s="364">
        <f t="shared" si="538"/>
        <v>0.197595029715751</v>
      </c>
      <c r="JK155" s="251">
        <f t="shared" si="539"/>
        <v>0.237114035658901</v>
      </c>
      <c r="JL155" s="364">
        <f>IF($DF155&lt;&gt;$JL$9,0,各项系数!$F$76/4*($NE155^2-$NC155^2)*10^-2*各项系数!$F$39*10^-3*10^2)*各项系数!$J$4</f>
        <v>0.00132029545504893</v>
      </c>
      <c r="JM155" s="123">
        <v>1</v>
      </c>
      <c r="JN155" s="251">
        <f t="shared" si="540"/>
        <v>0.00132029545504893</v>
      </c>
      <c r="JO155" s="339">
        <f>JN155*各项系数!$E$39</f>
        <v>0.0264059091009786</v>
      </c>
      <c r="JP155" s="364">
        <f>IF($DF155&lt;&gt;$JP$9,0,各项系数!$F$76/4*($NE155^2-$NC155^2)*10^-2*各项系数!$F$36*10^-3*10^2)*各项系数!$J$4</f>
        <v>0</v>
      </c>
      <c r="JQ155" s="123">
        <v>1</v>
      </c>
      <c r="JR155" s="251">
        <f t="shared" si="541"/>
        <v>0</v>
      </c>
      <c r="JS155" s="339">
        <f>JR155*各项系数!$E$36</f>
        <v>0</v>
      </c>
      <c r="JT155" s="364">
        <f>IF($DF155&lt;&gt;$JT$9,0,各项系数!$F$76/4*($NE155^2-$NC155^2)*10^-2*各项系数!$F$40*10^-3*10^2)*各项系数!$J$4</f>
        <v>0</v>
      </c>
      <c r="JU155" s="123">
        <v>1</v>
      </c>
      <c r="JV155" s="251">
        <f t="shared" si="542"/>
        <v>0</v>
      </c>
      <c r="JW155" s="339">
        <f>JV155*各项系数!$E$40</f>
        <v>0</v>
      </c>
      <c r="JX155" s="364">
        <f>IF($DF155&lt;&gt;$JX$9,0,各项系数!$F$76/4*($NE155^2-$NC155^2)*10^-2*各项系数!$F$38*10^-3*10^2)*各项系数!$J$4</f>
        <v>0</v>
      </c>
      <c r="JY155" s="123">
        <v>1</v>
      </c>
      <c r="JZ155" s="251">
        <f t="shared" si="543"/>
        <v>0</v>
      </c>
      <c r="KA155" s="339">
        <f>JZ155*各项系数!$E$38</f>
        <v>0</v>
      </c>
      <c r="KB155" s="364">
        <f>IF($DF155&lt;&gt;$KB$9,0,各项系数!$F$76/4*($NE155^2-$NC155^2)*10^-2*各项系数!$F$41*10^-3*10^2)*各项系数!$J$4</f>
        <v>0</v>
      </c>
      <c r="KC155" s="123">
        <v>1</v>
      </c>
      <c r="KD155" s="251">
        <f t="shared" si="544"/>
        <v>0</v>
      </c>
      <c r="KE155" s="339">
        <f>KD155*各项系数!$E$41</f>
        <v>0</v>
      </c>
      <c r="KF155" s="251">
        <f t="shared" si="545"/>
        <v>0.00132029545504893</v>
      </c>
      <c r="KG155" s="251">
        <f t="shared" si="546"/>
        <v>0.0264059091009786</v>
      </c>
      <c r="KH155" s="302">
        <f>各项系数!$F$76/4*($NG155^2-$NE155^2)*10^-2*各项系数!$F$44*10^-3*10^2*各项系数!$J$4*0.75*$U155</f>
        <v>0.547915489012829</v>
      </c>
      <c r="KI155" s="123">
        <v>1</v>
      </c>
      <c r="KJ155" s="251">
        <f t="shared" si="547"/>
        <v>0.547915489012829</v>
      </c>
      <c r="KK155" s="251">
        <f>ROUND(KJ155*各项系数!$E$43,GT155)</f>
        <v>3.2</v>
      </c>
      <c r="KL155" s="302">
        <f>各项系数!$F$76/4*($NF155^2-$NE155^2)*10^-2*各项系数!$F$46*10^-3*10^2*各项系数!$J$4*PI()/4*R155</f>
        <v>0.0166679058375214</v>
      </c>
      <c r="KM155" s="123">
        <v>1</v>
      </c>
      <c r="KN155" s="251">
        <f t="shared" si="548"/>
        <v>0.0166679058375214</v>
      </c>
      <c r="KO155" s="251">
        <f>KN155*各项系数!$E$46</f>
        <v>1.12508364403269</v>
      </c>
      <c r="KP155" s="302">
        <f>各项系数!$F$76/4*($NH155^2-$NE155^2)*10^-2*(VLOOKUP($KP$9,各项系数!$D$1:$F$143,3,0))*10^-3*10^2*各项系数!$J$4</f>
        <v>0.0907819051155549</v>
      </c>
      <c r="KQ155" s="123">
        <v>1</v>
      </c>
      <c r="KR155" s="251">
        <f t="shared" si="657"/>
        <v>0.0907819051155549</v>
      </c>
      <c r="KS155" s="251">
        <f>KR155*(VLOOKUP($KP$9,各项系数!$D$1:$F$143,2,0))</f>
        <v>1.54329238696443</v>
      </c>
      <c r="KT155" s="302">
        <f>各项系数!$F$76/4*($NI155^2-$NF155^2)*10^-2*(VLOOKUP($KT$9,各项系数!$D$1:$F$143,3,0))*10^-3*10^2*各项系数!$J$4</f>
        <v>0.0918697129877869</v>
      </c>
      <c r="KU155" s="123">
        <v>1</v>
      </c>
      <c r="KV155" s="251">
        <f t="shared" si="658"/>
        <v>0.0918697129877869</v>
      </c>
      <c r="KW155" s="251">
        <f>KV155*(VLOOKUP($KT$9,各项系数!$D$1:$F$143,2,0))</f>
        <v>1.56178512079238</v>
      </c>
      <c r="KX155" s="251">
        <f>各项系数!$F$76/4*($NH155^2-$NE155^2)*10^-2*(VLOOKUP($KX$9,各项系数!$D$1:$F$143,3,0))*10^-3*10^2*各项系数!$J$4</f>
        <v>0.0907819051155549</v>
      </c>
      <c r="KY155" s="479">
        <v>1</v>
      </c>
      <c r="KZ155" s="251">
        <f t="shared" si="659"/>
        <v>0.0907819051155549</v>
      </c>
      <c r="LA155" s="251">
        <f>KZ155*(VLOOKUP($KX$9,各项系数!$D$1:$F$143,2,0))</f>
        <v>1.54329238696443</v>
      </c>
      <c r="LB155" s="251">
        <f>各项系数!$F$76/4*($NI155^2-$NF155^2)*10^-2*(VLOOKUP($LB$9,各项系数!$D$1:$F$143,3,0))*10^-3*10^2*各项系数!$J$4</f>
        <v>0.0918697129877869</v>
      </c>
      <c r="LC155" s="479">
        <v>1</v>
      </c>
      <c r="LD155" s="251">
        <f t="shared" si="660"/>
        <v>0.0918697129877869</v>
      </c>
      <c r="LE155" s="251">
        <f>LD155*(VLOOKUP($LB$9,各项系数!$D$1:$F$143,2,0))</f>
        <v>1.56178512079238</v>
      </c>
      <c r="LF155" s="302">
        <f>各项系数!$F$76/4*($NH155^2-$NE155^2)*10^-2*(VLOOKUP(AN155,各项系数!$D$1:$F$143,3,0))*10^-3*10^2*各项系数!$J$4</f>
        <v>0.0920340693240453</v>
      </c>
      <c r="LG155" s="123">
        <v>1</v>
      </c>
      <c r="LH155" s="251">
        <f t="shared" si="549"/>
        <v>0.0920340693240453</v>
      </c>
      <c r="LI155" s="251">
        <f>LH155*(VLOOKUP(AN155,各项系数!$D$1:$F$143,2,0))</f>
        <v>0.920340693240453</v>
      </c>
      <c r="LJ155" s="302">
        <f>各项系数!$F$76/4*($NI155^2-$NF155^2)*10^-2*(VLOOKUP(AN155,各项系数!$D$1:$F$143,3,0))*10^-3*10^2*各项系数!$J$4</f>
        <v>0.0931368814427909</v>
      </c>
      <c r="LK155" s="123">
        <v>1</v>
      </c>
      <c r="LL155" s="251">
        <f t="shared" si="550"/>
        <v>0.0931368814427909</v>
      </c>
      <c r="LM155" s="251">
        <f>LL155*(VLOOKUP(AN155,各项系数!$D$1:$F$143,2,0))</f>
        <v>0.931368814427909</v>
      </c>
      <c r="LN155" s="251">
        <f>各项系数!$F$76/4*($NH155^2-$NE155^2)*10^-2*(VLOOKUP($LN$9,各项系数!$D$1:$F$143,3,0))*10^-3*10^2*各项系数!$J$4</f>
        <v>0.0920340693240453</v>
      </c>
      <c r="LO155" s="479">
        <v>1</v>
      </c>
      <c r="LP155" s="251">
        <f t="shared" si="551"/>
        <v>0.0920340693240453</v>
      </c>
      <c r="LQ155" s="251">
        <f>LP155*(VLOOKUP($LN$9,各项系数!$D$1:$F$143,2,0))</f>
        <v>1.0123747625645</v>
      </c>
      <c r="LR155" s="251">
        <f>各项系数!$F$76/4*($NI155^2-$NF155^2)*10^-2*(VLOOKUP($LR$9,各项系数!$D$1:$F$143,3,0))*10^-3*10^2*各项系数!$J$4</f>
        <v>0.0931368814427909</v>
      </c>
      <c r="LS155" s="479">
        <v>1</v>
      </c>
      <c r="LT155" s="251">
        <f t="shared" si="552"/>
        <v>0.0931368814427909</v>
      </c>
      <c r="LU155" s="251">
        <f>LT155*(VLOOKUP($LR$9,各项系数!$D$1:$F$143,2,0))</f>
        <v>1.0245056958707</v>
      </c>
      <c r="LV155" s="499">
        <f t="shared" si="661"/>
        <v>9.55798877</v>
      </c>
      <c r="LW155" s="499">
        <f t="shared" si="662"/>
        <v>9.55798877</v>
      </c>
      <c r="LX155" s="499">
        <f t="shared" si="663"/>
        <v>3.48849670633334</v>
      </c>
      <c r="LY155" s="515">
        <f t="shared" si="664"/>
        <v>0</v>
      </c>
      <c r="LZ155" s="516">
        <f t="shared" si="608"/>
        <v>1</v>
      </c>
      <c r="MA155" s="517">
        <f t="shared" si="609"/>
        <v>9.55798877</v>
      </c>
      <c r="MB155" s="517">
        <f t="shared" si="665"/>
        <v>1.10315952</v>
      </c>
      <c r="MC155" s="499">
        <f t="shared" si="666"/>
        <v>0</v>
      </c>
      <c r="MD155" s="499">
        <f t="shared" si="667"/>
        <v>0</v>
      </c>
      <c r="ME155" s="499">
        <f t="shared" si="668"/>
        <v>0</v>
      </c>
      <c r="MF155" s="499">
        <f t="shared" si="669"/>
        <v>0</v>
      </c>
      <c r="MG155" s="516">
        <f t="shared" si="670"/>
        <v>1</v>
      </c>
      <c r="MH155" s="517">
        <f t="shared" si="610"/>
        <v>0</v>
      </c>
      <c r="MI155" s="517">
        <f t="shared" si="671"/>
        <v>0</v>
      </c>
      <c r="MJ155" s="251">
        <f t="shared" si="611"/>
        <v>1.10315952</v>
      </c>
      <c r="MK155" s="251">
        <f t="shared" si="672"/>
        <v>1.10315952</v>
      </c>
      <c r="ML155" s="251">
        <f t="shared" si="553"/>
        <v>0</v>
      </c>
      <c r="MM155" s="251">
        <f t="shared" si="612"/>
        <v>0</v>
      </c>
      <c r="MN155" s="251">
        <f t="shared" si="613"/>
        <v>2.30315952</v>
      </c>
      <c r="MO155" s="251">
        <f t="shared" si="673"/>
        <v>0</v>
      </c>
      <c r="MP155" s="251">
        <f t="shared" si="674"/>
        <v>9.21263808</v>
      </c>
      <c r="MQ155" s="251">
        <f t="shared" si="554"/>
        <v>9.21263808</v>
      </c>
      <c r="MR155" s="314">
        <f t="shared" si="675"/>
        <v>9.21263808</v>
      </c>
      <c r="MS155" s="530">
        <f t="shared" si="614"/>
        <v>9.38863808</v>
      </c>
      <c r="MT155" s="530">
        <f t="shared" si="615"/>
        <v>9.54863808</v>
      </c>
      <c r="MU155" s="530">
        <f t="shared" si="616"/>
        <v>10.58863808</v>
      </c>
      <c r="MV155" s="530">
        <f t="shared" si="617"/>
        <v>12.38863808</v>
      </c>
      <c r="MW155" s="530">
        <f t="shared" si="618"/>
        <v>12.54863808</v>
      </c>
      <c r="MX155" s="326">
        <f t="shared" si="619"/>
        <v>1.70315952</v>
      </c>
      <c r="MY155" s="326">
        <f t="shared" si="620"/>
        <v>0</v>
      </c>
      <c r="MZ155" s="251">
        <f t="shared" si="621"/>
        <v>2.90315952</v>
      </c>
      <c r="NA155" s="251">
        <f t="shared" si="622"/>
        <v>0</v>
      </c>
      <c r="NB155" s="251">
        <f t="shared" si="676"/>
        <v>11.61263808</v>
      </c>
      <c r="NC155" s="326">
        <f t="shared" si="555"/>
        <v>11.61263808</v>
      </c>
      <c r="ND155" s="314">
        <f t="shared" si="677"/>
        <v>11.61263808</v>
      </c>
      <c r="NE155" s="537">
        <f t="shared" si="678"/>
        <v>11.85263808</v>
      </c>
      <c r="NF155" s="530">
        <f t="shared" si="623"/>
        <v>12.01263808</v>
      </c>
      <c r="NG155" s="538">
        <f t="shared" si="624"/>
        <v>13.05263808</v>
      </c>
      <c r="NH155" s="326">
        <f t="shared" si="625"/>
        <v>14.85263808</v>
      </c>
      <c r="NI155" s="530">
        <f t="shared" si="626"/>
        <v>15.01263808</v>
      </c>
      <c r="NK155" s="539">
        <f t="shared" si="627"/>
        <v>0.227113360875432</v>
      </c>
      <c r="NL155" s="539">
        <f t="shared" si="628"/>
        <v>6.81454416210289</v>
      </c>
      <c r="NM155" s="539">
        <f t="shared" si="629"/>
        <v>0.227113360875432</v>
      </c>
      <c r="NN155" s="539">
        <f t="shared" si="630"/>
        <v>6.88959492479826</v>
      </c>
      <c r="NO155" s="539">
        <f t="shared" si="631"/>
        <v>0.442748691455979</v>
      </c>
      <c r="NP155" s="539">
        <f t="shared" si="632"/>
        <v>7.76147504546065</v>
      </c>
      <c r="NQ155" s="539">
        <f t="shared" si="633"/>
        <v>0.442748691455979</v>
      </c>
      <c r="NR155" s="539">
        <f t="shared" si="634"/>
        <v>7.85350911478469</v>
      </c>
      <c r="NS155" s="539">
        <f t="shared" si="635"/>
        <v>0.240339469542176</v>
      </c>
      <c r="NT155" s="539">
        <f t="shared" si="636"/>
        <v>0.240339469542176</v>
      </c>
      <c r="NU155" s="539">
        <f t="shared" si="637"/>
        <v>0.459416597293501</v>
      </c>
      <c r="NV155" s="539">
        <f t="shared" si="638"/>
        <v>0.459416597293501</v>
      </c>
      <c r="NW155">
        <f t="shared" si="639"/>
        <v>0.373613229230377</v>
      </c>
      <c r="NX155">
        <f>各项系数!$M$9*NK155</f>
        <v>0.0681340082626295</v>
      </c>
      <c r="NY155">
        <f t="shared" si="640"/>
        <v>0.240339469542176</v>
      </c>
    </row>
    <row r="156" customHeight="1" spans="1:389">
      <c r="A156" s="85"/>
      <c r="B156" s="86"/>
      <c r="C156" s="218"/>
      <c r="D156" s="123" t="s">
        <v>250</v>
      </c>
      <c r="E156" s="77">
        <f t="shared" si="687"/>
        <v>12.7571436</v>
      </c>
      <c r="F156" s="558">
        <f t="shared" si="693"/>
        <v>110.31595161029</v>
      </c>
      <c r="G156" s="23"/>
      <c r="H156" s="23"/>
      <c r="I156" s="174">
        <v>0</v>
      </c>
      <c r="J156" s="23"/>
      <c r="K156" s="23"/>
      <c r="L156" s="118" t="s">
        <v>469</v>
      </c>
      <c r="M156" s="124">
        <f t="shared" si="582"/>
        <v>0.6</v>
      </c>
      <c r="N156" s="124">
        <f t="shared" si="583"/>
        <v>0</v>
      </c>
      <c r="O156" s="69">
        <f t="shared" si="688"/>
        <v>0.08</v>
      </c>
      <c r="P156" s="120">
        <v>0.1</v>
      </c>
      <c r="Q156" s="162">
        <f t="shared" si="700"/>
        <v>0.1</v>
      </c>
      <c r="R156" s="560">
        <v>0.8</v>
      </c>
      <c r="S156" s="171" t="str">
        <f>各项系数!$D$43</f>
        <v>钢带</v>
      </c>
      <c r="T156" s="123">
        <v>0.2</v>
      </c>
      <c r="U156" s="78">
        <v>4</v>
      </c>
      <c r="V156" s="172"/>
      <c r="W156" s="170">
        <f t="shared" ref="W156:W159" si="702">$W$155</f>
        <v>1.5</v>
      </c>
      <c r="X156" s="164">
        <f t="shared" si="701"/>
        <v>0.2</v>
      </c>
      <c r="Y156" s="219"/>
      <c r="Z156" s="220"/>
      <c r="AA156" s="217">
        <v>1</v>
      </c>
      <c r="AB156" s="186">
        <f>PI()*EJ156*EJ156/4*EH156*(1-H156)*AA156*各项系数!$F$5*各项系数!$J$4*10^-7</f>
        <v>0.0084545666936337</v>
      </c>
      <c r="AC156" s="186">
        <f t="shared" si="573"/>
        <v>110.31595161029</v>
      </c>
      <c r="AD156" s="186">
        <f t="shared" si="584"/>
        <v>0.955798869898841</v>
      </c>
      <c r="AE156" s="186">
        <f>POWER(4*EU156/PI()/EG156/10^-7/EH156/(1-H156)/各项系数!$F$5/各项系数!$J$4,0.5)</f>
        <v>110.31595161029</v>
      </c>
      <c r="AF156" s="218">
        <v>1</v>
      </c>
      <c r="AG156" s="85">
        <f>IF(EM156=0,0,PI()*ER156*ER156/4*EP156*(1-K156)*(1+AF156)*各项系数!$F$5*各项系数!$J$4*10^-7)</f>
        <v>0</v>
      </c>
      <c r="AH156" s="85">
        <f t="shared" si="574"/>
        <v>0</v>
      </c>
      <c r="AI156" s="85">
        <f t="shared" si="641"/>
        <v>0</v>
      </c>
      <c r="AJ156" s="85">
        <f>IF(OR(EP156="",EP156=0),0,POWER(4*EW156/PI()/EO156/10^-7/EP156/(1-K156)/各项系数!$F$5/各项系数!$J$4,0.5))</f>
        <v>0</v>
      </c>
      <c r="AK156" s="85" t="str">
        <f t="shared" si="585"/>
        <v>√</v>
      </c>
      <c r="AL156" s="85">
        <f t="shared" si="575"/>
        <v>8.82475551867435</v>
      </c>
      <c r="AM156" s="250">
        <f t="shared" si="576"/>
        <v>1</v>
      </c>
      <c r="AN156" s="118" t="s">
        <v>486</v>
      </c>
      <c r="AO156" s="259">
        <f>AP156+各项系数!$M$9*$NK156</f>
        <v>8.65172109673956</v>
      </c>
      <c r="AP156" s="259">
        <f>AQ156*(1+$BI156+(VLOOKUP($AM156,$A$12:$B$323,2,0))+各项系数!$J$6+各项系数!$M$5)*(1+$E$2)</f>
        <v>8.57665027070546</v>
      </c>
      <c r="AQ156" s="260">
        <f>AR156+各项系数!$L$9*$NK156</f>
        <v>8.41508072086485</v>
      </c>
      <c r="AR156" s="260">
        <f>AS156*(1+$BJ156+各项系数!$J$5+各项系数!$L$5)</f>
        <v>8.34000989483075</v>
      </c>
      <c r="AS156" s="260">
        <f t="shared" si="642"/>
        <v>8.01924028349111</v>
      </c>
      <c r="AT156" s="259">
        <f>AU156+各项系数!$M$9*$NM156</f>
        <v>9.20840447442813</v>
      </c>
      <c r="AU156" s="259">
        <f>AV156*(1+$BI156+(VLOOKUP($AM156,$A$12:$B$323,2,0))+各项系数!$J$6+各项系数!$M$5)*(1+$E$2)</f>
        <v>9.13333364839403</v>
      </c>
      <c r="AV156" s="260">
        <f>AW156+各项系数!$L$9*$NM156</f>
        <v>8.96127712754516</v>
      </c>
      <c r="AW156" s="260">
        <f>AX156*(1+$BJ156+各项系数!$J$5+各项系数!$L$5)</f>
        <v>8.88620630151106</v>
      </c>
      <c r="AX156" s="260">
        <f t="shared" si="643"/>
        <v>8.54442913606832</v>
      </c>
      <c r="AY156" s="259">
        <f>AZ156+各项系数!$M$9*$NS156</f>
        <v>9.65486230618441</v>
      </c>
      <c r="AZ156" s="259">
        <f>BA156*(1+$BI156+(VLOOKUP($AM156,$A$12:$B$214,2,0))+各项系数!$J$6+各项系数!$M$5)*(1+$E$2)</f>
        <v>9.57566922531942</v>
      </c>
      <c r="BA156" s="260">
        <f>BB156+各项系数!$L$9*$NS156</f>
        <v>9.39527985215799</v>
      </c>
      <c r="BB156" s="260">
        <f>BC156*(1+$BJ156+各项系数!$J$5+各项系数!$L$5)</f>
        <v>9.316086771293</v>
      </c>
      <c r="BC156" s="262">
        <f t="shared" si="644"/>
        <v>8.95777574162789</v>
      </c>
      <c r="BD156" s="259">
        <f>BE156+各项系数!$M$9*$NS156</f>
        <v>10.2194579344043</v>
      </c>
      <c r="BE156" s="259">
        <f>BF156*(1+$BI156+(VLOOKUP($AM156,$A$12:$B$214,2,0))+各项系数!$J$6+各项系数!$M$5)*(1+$E$2)</f>
        <v>10.1402648535393</v>
      </c>
      <c r="BF156" s="260">
        <f>BG156+各项系数!$L$9*$NS156</f>
        <v>9.9492394559844</v>
      </c>
      <c r="BG156" s="260">
        <f>BH156*(1+$BJ156+各项系数!$J$5+各项系数!$L$5)</f>
        <v>9.87004637511942</v>
      </c>
      <c r="BH156" s="262">
        <f t="shared" si="645"/>
        <v>9.49042920684559</v>
      </c>
      <c r="BI156" s="277"/>
      <c r="BJ156" s="272">
        <f t="shared" si="695"/>
        <v>0.02</v>
      </c>
      <c r="BK156" s="123" t="s">
        <v>514</v>
      </c>
      <c r="BL156" s="259">
        <f>BM156+各项系数!$M$9*$NM156</f>
        <v>8.81648767316989</v>
      </c>
      <c r="BM156" s="259">
        <f>BN156*(1+$CF156+(VLOOKUP($AM156,$A$12:$B$323,2,0))+各项系数!$J$6+各项系数!$M$5)*(1+$E$2)</f>
        <v>8.74141684713579</v>
      </c>
      <c r="BN156" s="260">
        <f>BO156+各项系数!$L$9*$NM156</f>
        <v>8.5767433743483</v>
      </c>
      <c r="BO156" s="260">
        <f>BP156*(1+$CG156+各项系数!$J$5+各项系数!$L$5)</f>
        <v>8.5016725483142</v>
      </c>
      <c r="BP156" s="260">
        <f t="shared" si="646"/>
        <v>8.09683099839447</v>
      </c>
      <c r="BQ156" s="259">
        <f>BR156+各项系数!$M$9*$NM156</f>
        <v>9.29548929618293</v>
      </c>
      <c r="BR156" s="259">
        <f>BS156*(1+$CF156+(VLOOKUP($AM156,$A$12:$B$323,2,0))+各项系数!$J$6+各项系数!$M$5)*(1+$E$2)</f>
        <v>9.22041847014883</v>
      </c>
      <c r="BS156" s="260">
        <f>BT156+各项系数!$L$9*$NM156</f>
        <v>9.04672141890584</v>
      </c>
      <c r="BT156" s="260">
        <f>BU156*(1+$CG156+各项系数!$J$5+各项系数!$L$5)</f>
        <v>8.97165059287174</v>
      </c>
      <c r="BU156" s="260">
        <f t="shared" si="647"/>
        <v>8.54442913606832</v>
      </c>
      <c r="BV156" s="259">
        <f>BW156+各项系数!$M$9*$NT156</f>
        <v>9.75808309389902</v>
      </c>
      <c r="BW156" s="259">
        <f>BX156*(1+$CF156+(VLOOKUP($AM156,$A$12:$B$214,2,0))+各项系数!$J$6+各项系数!$M$5)*(1+$E$2)</f>
        <v>9.67889001303404</v>
      </c>
      <c r="BX156" s="260">
        <f>BY156+各项系数!$L$9*$NT$12</f>
        <v>9.49655613523747</v>
      </c>
      <c r="BY156" s="260">
        <f>BZ156*(1+$CG156+各项系数!$J$5+各项系数!$L$5)</f>
        <v>9.4882927320825</v>
      </c>
      <c r="BZ156" s="262">
        <f t="shared" si="586"/>
        <v>9.03646926865</v>
      </c>
      <c r="CA156" s="259">
        <f>CB156+各项系数!$M$9*$NT156</f>
        <v>10.2438928613584</v>
      </c>
      <c r="CB156" s="259">
        <f>CC156*(1+$CF156+(VLOOKUP($AM156,$A$12:$B$214,2,0))+各项系数!$J$6+各项系数!$M$5)*(1+$E$2)</f>
        <v>10.1646997804934</v>
      </c>
      <c r="CC156" s="260">
        <f>CD156+各项系数!$L$9*$NT$12</f>
        <v>9.97321407034284</v>
      </c>
      <c r="CD156" s="260">
        <f>CE156*(1+$CG156+各项系数!$J$5+各项系数!$L$5)</f>
        <v>9.96495066718787</v>
      </c>
      <c r="CE156" s="262">
        <f t="shared" si="648"/>
        <v>9.49042920684559</v>
      </c>
      <c r="CF156" s="277">
        <f t="shared" si="514"/>
        <v>0</v>
      </c>
      <c r="CG156" s="277">
        <f t="shared" si="587"/>
        <v>0.03</v>
      </c>
      <c r="CH156" s="123"/>
      <c r="CI156" s="259">
        <f>CJ156+各项系数!$M$9*$NO156</f>
        <v>9.97706360897945</v>
      </c>
      <c r="CJ156" s="259">
        <f>CK156*(1+$DC156+(VLOOKUP($AM156,$A$12:$B$323,2,0))+各项系数!$J$6+各项系数!$M$5)*(1+$E$2)+各项系数!$M$9*$NK156</f>
        <v>9.84101536990406</v>
      </c>
      <c r="CK156" s="260">
        <f>CL156+各项系数!$L$9*$NO156</f>
        <v>9.58197070630883</v>
      </c>
      <c r="CL156" s="260">
        <f>CM156*(1+$DD156+各项系数!$J$5+各项系数!$L$5)</f>
        <v>9.44592246723344</v>
      </c>
      <c r="CM156" s="260">
        <f t="shared" si="588"/>
        <v>9.08261775695523</v>
      </c>
      <c r="CN156" s="259">
        <f>CO156+各项系数!$M$9*$NO156</f>
        <v>10.3467156977268</v>
      </c>
      <c r="CO156" s="259">
        <f>CP156*(1+$DC156+(VLOOKUP($AM156,$A$12:$B$323,2,0))+各项系数!$J$6+各项系数!$M$5)*(1+$E$2)+各项系数!$M$9*$NK156</f>
        <v>10.2106674586514</v>
      </c>
      <c r="CP156" s="260">
        <f>CQ156+各项系数!$L$9*$NO156</f>
        <v>9.94465917642988</v>
      </c>
      <c r="CQ156" s="260">
        <f>CR156*(1+$DD156+各项系数!$J$5+各项系数!$L$5)</f>
        <v>9.80861093735449</v>
      </c>
      <c r="CR156" s="260">
        <f t="shared" si="589"/>
        <v>9.43135667053316</v>
      </c>
      <c r="CS156" s="259">
        <f>CT156+各项系数!$M$9*$NU156</f>
        <v>11.1631475574202</v>
      </c>
      <c r="CT156" s="259">
        <f t="shared" si="590"/>
        <v>11.0219042955646</v>
      </c>
      <c r="CU156" s="260">
        <f>CV156+各项系数!$L$9*$NU156</f>
        <v>10.8142703056953</v>
      </c>
      <c r="CV156" s="260">
        <f>CW156*(1+$DD156+各项系数!$J$5+各项系数!$L$5)</f>
        <v>10.6730270438397</v>
      </c>
      <c r="CW156" s="262">
        <f t="shared" si="591"/>
        <v>10.262526003692</v>
      </c>
      <c r="CX156" s="259">
        <f>CY156+各项系数!$M$9*$NU156</f>
        <v>11.8543391941411</v>
      </c>
      <c r="CY156" s="259">
        <f t="shared" si="592"/>
        <v>11.7130959322855</v>
      </c>
      <c r="CZ156" s="260">
        <f>DA156+各项系数!$L$9*$NU156</f>
        <v>11.4924410638594</v>
      </c>
      <c r="DA156" s="260">
        <f>DB156*(1+$DD156+各项系数!$J$5+各项系数!$L$5)</f>
        <v>11.3511978020038</v>
      </c>
      <c r="DB156" s="262">
        <f t="shared" si="593"/>
        <v>10.9146132711575</v>
      </c>
      <c r="DC156" s="277">
        <f t="shared" si="698"/>
        <v>0</v>
      </c>
      <c r="DD156" s="277">
        <f t="shared" si="594"/>
        <v>0.02</v>
      </c>
      <c r="DE156" s="69" t="s">
        <v>498</v>
      </c>
      <c r="DF156" s="69" t="s">
        <v>513</v>
      </c>
      <c r="DG156" s="259">
        <f>DH156+各项系数!$M$9*$NQ156</f>
        <v>10.1715510952913</v>
      </c>
      <c r="DH156" s="259">
        <f>DI156*(1+$EA156+(VLOOKUP($AM156,$A$12:$B$323,2,0))+各项系数!$J$6+各项系数!$M$5)*(1+$E$2)+各项系数!$M$9*$NK156</f>
        <v>10.0355028562159</v>
      </c>
      <c r="DI156" s="260">
        <f>DJ156+各项系数!$L$9*$NQ156</f>
        <v>9.77279437812184</v>
      </c>
      <c r="DJ156" s="260">
        <f>DK156*(1+$EB156+各项系数!$J$5+各项系数!$L$5)</f>
        <v>9.63674613904645</v>
      </c>
      <c r="DK156" s="260">
        <f t="shared" si="595"/>
        <v>9.17785346575852</v>
      </c>
      <c r="DL156" s="259">
        <f>DM156+各项系数!$M$9*$NQ156</f>
        <v>10.7594830294459</v>
      </c>
      <c r="DM156" s="259">
        <f>DN156*(1+$EA156+(VLOOKUP($AM156,$A$12:$B$323,2,0))+各项系数!$J$6+各项系数!$M$5)*(1+$E$2)+各项系数!$M$9*$NK156</f>
        <v>10.6234347903705</v>
      </c>
      <c r="DN156" s="260">
        <f>DO156+各项系数!$L$9*$NQ156</f>
        <v>10.3496506714447</v>
      </c>
      <c r="DO156" s="260">
        <f>DP156*(1+$EB156+各项系数!$J$5+各项系数!$L$5)</f>
        <v>10.2136024323693</v>
      </c>
      <c r="DP156" s="260">
        <f t="shared" si="596"/>
        <v>9.72724041178026</v>
      </c>
      <c r="DQ156" s="259">
        <f>DR156+各项系数!$M$9*$NV156</f>
        <v>11.3708408539998</v>
      </c>
      <c r="DR156" s="259">
        <f t="shared" si="597"/>
        <v>11.2295975921442</v>
      </c>
      <c r="DS156" s="260">
        <f>DT156+各项系数!$L$9*$NV156</f>
        <v>11.0180510127003</v>
      </c>
      <c r="DT156" s="260">
        <f>DU156*(1+$EB156+各项系数!$J$5+各项系数!$L$5)</f>
        <v>10.8768077508447</v>
      </c>
      <c r="DU156" s="262">
        <f t="shared" si="598"/>
        <v>10.358864524614</v>
      </c>
      <c r="DV156" s="259">
        <f>DW156+各项系数!$M$9*$NV156</f>
        <v>11.2638530902887</v>
      </c>
      <c r="DW156" s="259">
        <f t="shared" si="599"/>
        <v>11.122609828433</v>
      </c>
      <c r="DX156" s="260">
        <f>DY156+各项系数!$L$9*$NV156</f>
        <v>10.9130787170654</v>
      </c>
      <c r="DY156" s="260">
        <f>DZ156*(1+$EB156+各项系数!$J$5+各项系数!$L$5)</f>
        <v>10.7718354552098</v>
      </c>
      <c r="DZ156" s="262">
        <f t="shared" si="600"/>
        <v>10.2588909097236</v>
      </c>
      <c r="EA156" s="277">
        <f t="shared" si="699"/>
        <v>0</v>
      </c>
      <c r="EB156" s="277">
        <f t="shared" si="601"/>
        <v>0.03</v>
      </c>
      <c r="EC156" s="302">
        <f t="shared" si="649"/>
        <v>12</v>
      </c>
      <c r="ED156" s="302" t="str">
        <f t="shared" si="680"/>
        <v>12*1</v>
      </c>
      <c r="EE156" s="251">
        <f t="shared" si="495"/>
        <v>1</v>
      </c>
      <c r="EF156" s="251">
        <f>LOOKUP(EH156,{1,7,10,14,19,24,30,37,48,61},{1,"1+6","2+8","4+10","1+6+12","2+8+14","4+10+16","1+6+12+18","3+9+15+21","1+6+12+18+24"})</f>
        <v>1</v>
      </c>
      <c r="EG156" s="250">
        <f t="shared" si="602"/>
        <v>12</v>
      </c>
      <c r="EH156" s="260">
        <f>VLOOKUP(EE156,各项系数!$B$87:$C$124,2,0)</f>
        <v>1</v>
      </c>
      <c r="EI156" s="250">
        <f>IF(EH156=0,0,VLOOKUP(EH156,各项系数!$D$142:$E$195,2,0))*1</f>
        <v>1</v>
      </c>
      <c r="EJ156" s="305">
        <f t="shared" si="650"/>
        <v>110.31595161029</v>
      </c>
      <c r="EK156" s="251">
        <f t="shared" si="689"/>
        <v>0</v>
      </c>
      <c r="EL156" s="251">
        <f t="shared" si="603"/>
        <v>0</v>
      </c>
      <c r="EM156" s="251">
        <f t="shared" si="690"/>
        <v>0</v>
      </c>
      <c r="EN156" s="251">
        <f>IF(EP156=0,0,LOOKUP(EP156,{1,7,10,14,19,24,30,37,48,61},{1,"1+6","2+8","4+10","1+6+12","2+8+14","4+10+16","1+6+12+18","3+9+15+21","1+6+12+18+24"}))</f>
        <v>0</v>
      </c>
      <c r="EO156" s="251">
        <f t="shared" si="691"/>
        <v>0</v>
      </c>
      <c r="EP156" s="251">
        <f>IF(EM156=0,0,IF(EM156&lt;10,1,IF(AND(EM156&gt;=10,EM156&lt;=35),7,LOOKUP(EM156,{50,70,95,120,150,185,240,300},{10,14,19,24,30,37,48,61})*1)))</f>
        <v>0</v>
      </c>
      <c r="EQ156" s="251">
        <f>IF(EP156=0,0,VLOOKUP(EP156,各项系数!$D$142:$E$195,2,0))*1</f>
        <v>0</v>
      </c>
      <c r="ER156" s="69">
        <f t="shared" si="577"/>
        <v>0</v>
      </c>
      <c r="ES156" s="566">
        <f t="shared" si="692"/>
        <v>12</v>
      </c>
      <c r="ET156" s="251">
        <f>VLOOKUP(ES156,各项系数!$D$142:$E$195,2,0)*1</f>
        <v>4.16</v>
      </c>
      <c r="EU156" s="311">
        <f>((各项系数!$F$76/4*$EJ156^2*$EG156*$EH156*1*10^-7)*(1-$H156)*AA156)*(VLOOKUP($EY$9,各项系数!$D$4:$F$143,3,0))*各项系数!$J$4</f>
        <v>0.101454800323604</v>
      </c>
      <c r="EV156" s="312">
        <f>EU156*(VLOOKUP($EY$9,各项系数!$D$4:$F$143,2,0))</f>
        <v>6.64528942119608</v>
      </c>
      <c r="EW156" s="324">
        <f>(IF($EO156=0,0,(各项系数!$F$76/4*$ER156^2*$EO156*$EP156*1*10^-7))*(1-$K156)*$AF156)*(VLOOKUP($EY$9,各项系数!$D$4:$F$143,3,0))*各项系数!$J$4</f>
        <v>0</v>
      </c>
      <c r="EX156" s="325">
        <f>EW156*(VLOOKUP($EY$9,各项系数!$D$4:$F$143,2,0))</f>
        <v>0</v>
      </c>
      <c r="EY156" s="251">
        <f>((各项系数!$F$76/4*$EJ156^2*$EG156*$EH156*1*10^-7)*(1-$H156)*AA156+IF($EO156=0,0,(各项系数!$F$76/4*$ER156^2*$EO156*$EP156*1*10^-7))*(1-$K156)*$AF156)*(VLOOKUP($EY$9,各项系数!$D$4:$F$143,3,0))*各项系数!$J$4</f>
        <v>0.101454800323604</v>
      </c>
      <c r="EZ156" s="123">
        <v>1</v>
      </c>
      <c r="FA156" s="251">
        <f t="shared" si="515"/>
        <v>0.101454800323604</v>
      </c>
      <c r="FB156" s="326">
        <f>FA156*(VLOOKUP($EY$9,各项系数!$D$4:$F$143,2,0))</f>
        <v>6.64528942119608</v>
      </c>
      <c r="FC156" s="327"/>
      <c r="FD156" s="302">
        <f>各项系数!$F$76/4*($MN156^2-MK156^2)*10^-2*(VLOOKUP(L156,各项系数!$D$1:$F$143,3,0))*10^-3*10^2*$EG156*各项系数!$J$4</f>
        <v>0.0421651317284517</v>
      </c>
      <c r="FE156" s="339">
        <f>FD156*VLOOKUP(L156,各项系数!$D$1:$F$143,2,0)</f>
        <v>0.484899014877194</v>
      </c>
      <c r="FF156" s="250">
        <f>各项系数!$F$76/4*($MO156^2-ML156^2)*10^-2*(VLOOKUP(L156,各项系数!$D$1:$F$143,3,0))*10^-3*10^2*$EO156*各项系数!$J$4</f>
        <v>0</v>
      </c>
      <c r="FG156" s="339">
        <f>FF156*VLOOKUP(L156,各项系数!$D$1:$F$143,2,0)</f>
        <v>0</v>
      </c>
      <c r="FH156" s="302">
        <f t="shared" si="651"/>
        <v>0.0421651317284517</v>
      </c>
      <c r="FI156" s="123">
        <v>1</v>
      </c>
      <c r="FJ156" s="251">
        <f t="shared" si="516"/>
        <v>0.0421651317284517</v>
      </c>
      <c r="FK156" s="339">
        <f>FJ156*VLOOKUP(L156,各项系数!$D$1:$F$143,2,0)</f>
        <v>0.484899014877194</v>
      </c>
      <c r="FL156" s="302"/>
      <c r="FM156" s="123"/>
      <c r="FN156" s="251"/>
      <c r="FO156" s="339"/>
      <c r="FP156" s="364">
        <f t="shared" si="517"/>
        <v>0.0421651317284517</v>
      </c>
      <c r="FQ156" s="364">
        <f t="shared" si="518"/>
        <v>0.484899014877194</v>
      </c>
      <c r="FR156" s="365">
        <f>各项系数!$F$76/4*($MQ156^2-$MN156^2*$EG156-$MO156^2*$EO156)*10^-2</f>
        <v>0.221040789263857</v>
      </c>
      <c r="FS156" s="366">
        <f t="shared" si="652"/>
        <v>1</v>
      </c>
      <c r="FT156" s="367">
        <f t="shared" si="604"/>
        <v>0.221040789263857</v>
      </c>
      <c r="FU156" s="388">
        <f>$FT156*(VLOOKUP($FT$9,各项系数!$D$1:$F$143,3,0))*10^-3*10^2*各项系数!$J$55</f>
        <v>0.0263922702381045</v>
      </c>
      <c r="FV156" s="389">
        <v>1</v>
      </c>
      <c r="FW156" s="390">
        <f t="shared" si="519"/>
        <v>0.0263922702381045</v>
      </c>
      <c r="FX156" s="367">
        <f>FW156*(VLOOKUP($FT$9,各项系数!$D$1:$F$143,2,0))</f>
        <v>0.0791768107143136</v>
      </c>
      <c r="FY156" s="388">
        <f>IF($BK156&lt;&gt;$FY$9,0,各项系数!$F$76/4*($MS156^2-$MQ156^2)*10^-2*(VLOOKUP($FY$9,各项系数!$D$1:$F$143,3,0))*10^-3*10^2)*各项系数!$J$4</f>
        <v>0</v>
      </c>
      <c r="FZ156" s="389">
        <v>1</v>
      </c>
      <c r="GA156" s="390">
        <f t="shared" si="520"/>
        <v>0</v>
      </c>
      <c r="GB156" s="367">
        <f>GA156*(VLOOKUP($FY$9,各项系数!$D$1:$F$143,2,0))</f>
        <v>0</v>
      </c>
      <c r="GC156" s="388">
        <f>IF($BK156&lt;&gt;$GC$9,0,各项系数!$F$76/4*($MS156^2-$MQ156^2)*10^-2*(VLOOKUP($GC$9,各项系数!$D$1:$F$143,3,0))*10^-3*10^2)*各项系数!$J$4</f>
        <v>0.00263316958680915</v>
      </c>
      <c r="GD156" s="389">
        <v>1</v>
      </c>
      <c r="GE156" s="390">
        <f t="shared" si="521"/>
        <v>0.00263316958680915</v>
      </c>
      <c r="GF156" s="367">
        <f>GE156*(VLOOKUP($GC$9,各项系数!$D$1:$F$143,2,0))</f>
        <v>0.033967887669838</v>
      </c>
      <c r="GG156" s="388">
        <f>IF($BK156&lt;&gt;$GG$9,0,各项系数!$F$76/4*($MS156^2-$MQ156^2)*10^-2*(VLOOKUP($GG$9,各项系数!$D$1:$F$143,3,0))*10^-3*10^2)*各项系数!$J$4</f>
        <v>0</v>
      </c>
      <c r="GH156" s="389">
        <v>1</v>
      </c>
      <c r="GI156" s="390">
        <f t="shared" si="522"/>
        <v>0</v>
      </c>
      <c r="GJ156" s="367">
        <f>GI156*(VLOOKUP($GG$9,各项系数!$D$1:$F$143,2,0))</f>
        <v>0</v>
      </c>
      <c r="GK156" s="388">
        <f>IF($BK156&lt;&gt;$GK$9,0,各项系数!$F$76/4*($MS156^2-$MQ156^2)*10^-2*(VLOOKUP($GK$9,各项系数!$D$1:$F$143,3,0))*10^-3*10^2)*各项系数!$J$4</f>
        <v>0</v>
      </c>
      <c r="GL156" s="389">
        <v>1</v>
      </c>
      <c r="GM156" s="390">
        <f t="shared" si="523"/>
        <v>0</v>
      </c>
      <c r="GN156" s="367">
        <f>GM156*(VLOOKUP($GK$9,各项系数!$D$1:$F$143,2,0))</f>
        <v>0</v>
      </c>
      <c r="GO156" s="390">
        <f t="shared" si="524"/>
        <v>0.00263316958680915</v>
      </c>
      <c r="GP156" s="390">
        <f t="shared" si="525"/>
        <v>0.033967887669838</v>
      </c>
      <c r="GQ156" s="406">
        <f>各项系数!$F$76/4*($MU156^2-$MS156^2)*10^-2*(VLOOKUP($S156,各项系数!$D$1:$F$143,3,0))*10^-3*10^2*各项系数!$J$4</f>
        <v>0.151904610196195</v>
      </c>
      <c r="GR156" s="389">
        <v>1</v>
      </c>
      <c r="GS156" s="390">
        <f t="shared" si="526"/>
        <v>0.151904610196195</v>
      </c>
      <c r="GT156" s="390">
        <f t="shared" si="696"/>
        <v>1</v>
      </c>
      <c r="GU156" s="390">
        <f>ROUND($GS156*(VLOOKUP($S156,各项系数!$D$1:$F$143,2,0))+$E$3*GS156,GT156)</f>
        <v>0.9</v>
      </c>
      <c r="GV156" s="406">
        <f>各项系数!$F$76/4*($MT156^2-$MS156^2)*10^-2*(VLOOKUP($GV$9,各项系数!$D$1:$F$143,3,0))*10^-3*10^2*各项系数!$J$4*PI()/4*R156</f>
        <v>0.0137408494362863</v>
      </c>
      <c r="GW156" s="389">
        <v>1</v>
      </c>
      <c r="GX156" s="390">
        <f t="shared" si="527"/>
        <v>0.0137408494362863</v>
      </c>
      <c r="GY156" s="390">
        <f>$GX156*(VLOOKUP($GV$9,各项系数!$D$1:$F$143,2,0))</f>
        <v>0.927507336949325</v>
      </c>
      <c r="GZ156" s="406">
        <f>各项系数!$F$76/4*($MV156^2-$MS156^2)*10^-2*(VLOOKUP($GZ$9,各项系数!$D$1:$F$143,3,0))*10^-3*10^2*各项系数!$J$4</f>
        <v>0.076535058918288</v>
      </c>
      <c r="HA156" s="389">
        <v>1</v>
      </c>
      <c r="HB156" s="390">
        <f t="shared" si="653"/>
        <v>0.076535058918288</v>
      </c>
      <c r="HC156" s="390">
        <f>HB156*(VLOOKUP($GZ$9,各项系数!$D$1:$F$143,2,0))</f>
        <v>1.3010960016109</v>
      </c>
      <c r="HD156" s="406">
        <f>各项系数!$F$76/4*($MW156^2-$MT156^2)*10^-2*(VLOOKUP($HD$9,各项系数!$D$1:$F$143,3,0))*10^-3*10^2*各项系数!$J$4</f>
        <v>0.07762286679052</v>
      </c>
      <c r="HE156" s="389">
        <v>1</v>
      </c>
      <c r="HF156" s="390">
        <f t="shared" si="654"/>
        <v>0.07762286679052</v>
      </c>
      <c r="HG156" s="390">
        <f>HF156*(VLOOKUP($HD$9,各项系数!$D$1:$F$143,2,0))</f>
        <v>1.31958873543884</v>
      </c>
      <c r="HH156" s="406">
        <f>各项系数!$F$76/4*($MV156^2-$MS156^2)*10^-2*(VLOOKUP($HH$9,各项系数!$D$1:$F$143,3,0))*10^-3*10^2*各项系数!$J$4</f>
        <v>0.076535058918288</v>
      </c>
      <c r="HI156" s="420">
        <v>1</v>
      </c>
      <c r="HJ156" s="390">
        <f t="shared" si="655"/>
        <v>0.076535058918288</v>
      </c>
      <c r="HK156" s="390">
        <f>HJ156*(VLOOKUP($HH$9,各项系数!$D$1:$F$143,2,0))</f>
        <v>1.3010960016109</v>
      </c>
      <c r="HL156" s="406">
        <f>各项系数!$F$76/4*($MW156^2-$MT156^2)*10^-2*(VLOOKUP($HL$9,各项系数!$D$1:$F$143,3,0))*10^-3*10^2*各项系数!$J$4</f>
        <v>0.07762286679052</v>
      </c>
      <c r="HM156" s="420">
        <v>1</v>
      </c>
      <c r="HN156" s="390">
        <f t="shared" si="605"/>
        <v>0.07762286679052</v>
      </c>
      <c r="HO156" s="390">
        <f>HN156*(VLOOKUP($HL$9,各项系数!$D$1:$F$143,2,0))</f>
        <v>1.31958873543884</v>
      </c>
      <c r="HP156" s="406">
        <f>各项系数!$F$76/4*($MV156^2-$MS156^2)*10^-2*(VLOOKUP(AN156,各项系数!$D$1:$F$143,3,0))*10^-3*10^2*各项系数!$J$4</f>
        <v>0.0775907149033679</v>
      </c>
      <c r="HQ156" s="389">
        <v>1</v>
      </c>
      <c r="HR156" s="390">
        <f t="shared" si="528"/>
        <v>0.0775907149033679</v>
      </c>
      <c r="HS156" s="390">
        <f>HR156*(VLOOKUP(AN156,各项系数!$D$1:$F$143,2,0))</f>
        <v>0.775907149033679</v>
      </c>
      <c r="HT156" s="406">
        <f>各项系数!$F$76/4*($MW156^2-$MT156^2)*10^-2*(VLOOKUP(AN156,各项系数!$D$1:$F$143,3,0))*10^-3*10^2*各项系数!$J$4</f>
        <v>0.0786935270221134</v>
      </c>
      <c r="HU156" s="389">
        <v>1</v>
      </c>
      <c r="HV156" s="390">
        <f t="shared" si="529"/>
        <v>0.0786935270221134</v>
      </c>
      <c r="HW156" s="390">
        <f>HV156*(VLOOKUP(AN156,各项系数!$D$1:$F$143,2,0))</f>
        <v>0.786935270221134</v>
      </c>
      <c r="HX156" s="406">
        <f>各项系数!$F$76/4*($MV156^2-$MS156^2)*10^-2*(VLOOKUP($HX$9,各项系数!$D$1:$F$143,3,0))*10^-3*10^2*各项系数!$J$4</f>
        <v>0.0775907149033679</v>
      </c>
      <c r="HY156" s="420">
        <v>1</v>
      </c>
      <c r="HZ156" s="390">
        <f t="shared" si="530"/>
        <v>0.0775907149033679</v>
      </c>
      <c r="IA156" s="390">
        <f>HZ156*(VLOOKUP($HX$9,各项系数!$D$1:$F$143,2,0))</f>
        <v>0.853497863937046</v>
      </c>
      <c r="IB156" s="406">
        <f>各项系数!$F$76/4*($MW156^2-$MT156^2)*10^-2*(VLOOKUP($IB$9,各项系数!$D$1:$F$143,3,0))*10^-3*10^2*各项系数!$J$4</f>
        <v>0.0786935270221134</v>
      </c>
      <c r="IC156" s="420">
        <v>1</v>
      </c>
      <c r="ID156" s="390">
        <f t="shared" si="531"/>
        <v>0.0786935270221134</v>
      </c>
      <c r="IE156" s="390">
        <f>ID156*(VLOOKUP($IB$9,各项系数!$D$1:$F$143,2,0))</f>
        <v>0.865628797243248</v>
      </c>
      <c r="IF156" s="429"/>
      <c r="IG156" s="406">
        <f t="shared" si="656"/>
        <v>0.0236850202528957</v>
      </c>
      <c r="IH156" s="389">
        <v>1</v>
      </c>
      <c r="II156" s="390">
        <f t="shared" si="532"/>
        <v>0.0236850202528957</v>
      </c>
      <c r="IJ156" s="390">
        <f>II156*(VLOOKUP($IG$8,各项系数!$D$1:$F$143,2,0))</f>
        <v>0.592125506322391</v>
      </c>
      <c r="IK156" s="406">
        <f>(各项系数!$F$76/4*($MX156^2-$MK156^2)*$EG156)*10^-2*(VLOOKUP($IG$8,各项系数!$D$1:$F$143,3,0))*10^-3*10^2*各项系数!$J$4</f>
        <v>0.0236850202528957</v>
      </c>
      <c r="IL156" s="389">
        <f>IK156*(VLOOKUP($IG$8,各项系数!$D$1:$F$143,2,0))</f>
        <v>0.592125506322391</v>
      </c>
      <c r="IM156" s="390">
        <f>(各项系数!$F$76/4*(($MM156+3*$X156)^2-MM156^2)*$EO156)*10^-2*(VLOOKUP($IG$8,各项系数!$D$1:$F$143,3,0))*10^-3*10^2*各项系数!$J$4</f>
        <v>0</v>
      </c>
      <c r="IN156" s="389">
        <f>IM156*(VLOOKUP($IG$8,各项系数!$D$1:$F$143,2,0))</f>
        <v>0</v>
      </c>
      <c r="IO156" s="406">
        <f>各项系数!$F$76/4*($MZ156^2-$MX156^2)*10^-2*(VLOOKUP(L156,各项系数!$D$1:$F$143,3,0))*10^-3*10^2*$ES156*各项系数!$J$4</f>
        <v>0.057019335776861</v>
      </c>
      <c r="IP156" s="389">
        <v>1</v>
      </c>
      <c r="IQ156" s="390">
        <f t="shared" si="533"/>
        <v>0.057019335776861</v>
      </c>
      <c r="IR156" s="367">
        <f>IQ156*(VLOOKUP(L156,各项系数!$D$1:$F$143,2,0))</f>
        <v>0.655722361433902</v>
      </c>
      <c r="IS156" s="406">
        <f>IF($L156&lt;&gt;$IS$9,0,各项系数!$F$76/4*($MZ156^2-$MX156^2)*10^-2*各项系数!$F$12*10^-3*10^2)*$ES156*各项系数!$J$4</f>
        <v>0</v>
      </c>
      <c r="IT156" s="389">
        <v>1</v>
      </c>
      <c r="IU156" s="390">
        <f t="shared" si="534"/>
        <v>0</v>
      </c>
      <c r="IV156" s="367">
        <f>IU156*各项系数!$E$12</f>
        <v>0</v>
      </c>
      <c r="IW156" s="388">
        <f t="shared" si="535"/>
        <v>0.057019335776861</v>
      </c>
      <c r="IX156" s="388">
        <f t="shared" si="536"/>
        <v>0.655722361433902</v>
      </c>
      <c r="IY156" s="447">
        <f>各项系数!$F$76/4*($NB156^2-$MZ156^2*$EG156-$NA156^2*$EO156)*10^-2</f>
        <v>0.351209443165093</v>
      </c>
      <c r="IZ156" s="366">
        <f t="shared" si="697"/>
        <v>1</v>
      </c>
      <c r="JA156" s="367">
        <f t="shared" si="606"/>
        <v>0.351209443165093</v>
      </c>
      <c r="JB156" s="364">
        <f>IF($DE156&lt;&gt;$JB$9,0,$JA156*各项系数!$F$32*10^-3*10^2)*各项系数!$J$4</f>
        <v>0</v>
      </c>
      <c r="JC156" s="123">
        <v>1</v>
      </c>
      <c r="JD156" s="251">
        <f t="shared" si="537"/>
        <v>0</v>
      </c>
      <c r="JE156" s="339">
        <f>JD156*各项系数!$E$32</f>
        <v>0</v>
      </c>
      <c r="JF156" s="364">
        <f>IF($DE156&lt;&gt;$JF$9,0,$JA156*VLOOKUP($JF$9,各项系数!$D$4:$F$540,2,0)*10^-3*10^2)*各项系数!$J$4</f>
        <v>0.174726697974634</v>
      </c>
      <c r="JG156" s="123">
        <v>1</v>
      </c>
      <c r="JH156" s="251">
        <f t="shared" si="607"/>
        <v>0.174726697974634</v>
      </c>
      <c r="JI156" s="339">
        <f>JH156*VLOOKUP($JF$9,各项系数!$D$4:$F$540,3,0)</f>
        <v>0.209672037569561</v>
      </c>
      <c r="JJ156" s="364">
        <f t="shared" si="538"/>
        <v>0.174726697974634</v>
      </c>
      <c r="JK156" s="251">
        <f t="shared" si="539"/>
        <v>0.209672037569561</v>
      </c>
      <c r="JL156" s="364">
        <f>IF($DF156&lt;&gt;$JL$9,0,各项系数!$F$76/4*($NE156^2-$NC156^2)*10^-2*各项系数!$F$39*10^-3*10^2)*各项系数!$J$4</f>
        <v>0.0013725671200163</v>
      </c>
      <c r="JM156" s="123">
        <v>1</v>
      </c>
      <c r="JN156" s="251">
        <f t="shared" si="540"/>
        <v>0.0013725671200163</v>
      </c>
      <c r="JO156" s="339">
        <f>JN156*各项系数!$E$39</f>
        <v>0.0274513424003259</v>
      </c>
      <c r="JP156" s="364">
        <f>IF($DF156&lt;&gt;$JP$9,0,各项系数!$F$76/4*($NE156^2-$NC156^2)*10^-2*各项系数!$F$36*10^-3*10^2)*各项系数!$J$4</f>
        <v>0</v>
      </c>
      <c r="JQ156" s="123">
        <v>1</v>
      </c>
      <c r="JR156" s="251">
        <f t="shared" si="541"/>
        <v>0</v>
      </c>
      <c r="JS156" s="339">
        <f>JR156*各项系数!$E$36</f>
        <v>0</v>
      </c>
      <c r="JT156" s="364">
        <f>IF($DF156&lt;&gt;$JT$9,0,各项系数!$F$76/4*($NE156^2-$NC156^2)*10^-2*各项系数!$F$40*10^-3*10^2)*各项系数!$J$4</f>
        <v>0</v>
      </c>
      <c r="JU156" s="123">
        <v>1</v>
      </c>
      <c r="JV156" s="251">
        <f t="shared" si="542"/>
        <v>0</v>
      </c>
      <c r="JW156" s="339">
        <f>JV156*各项系数!$E$40</f>
        <v>0</v>
      </c>
      <c r="JX156" s="364">
        <f>IF($DF156&lt;&gt;$JX$9,0,各项系数!$F$76/4*($NE156^2-$NC156^2)*10^-2*各项系数!$F$38*10^-3*10^2)*各项系数!$J$4</f>
        <v>0</v>
      </c>
      <c r="JY156" s="123">
        <v>1</v>
      </c>
      <c r="JZ156" s="251">
        <f t="shared" si="543"/>
        <v>0</v>
      </c>
      <c r="KA156" s="339">
        <f>JZ156*各项系数!$E$38</f>
        <v>0</v>
      </c>
      <c r="KB156" s="364">
        <f>IF($DF156&lt;&gt;$KB$9,0,各项系数!$F$76/4*($NE156^2-$NC156^2)*10^-2*各项系数!$F$41*10^-3*10^2)*各项系数!$J$4</f>
        <v>0</v>
      </c>
      <c r="KC156" s="123">
        <v>1</v>
      </c>
      <c r="KD156" s="251">
        <f t="shared" si="544"/>
        <v>0</v>
      </c>
      <c r="KE156" s="339">
        <f>KD156*各项系数!$E$41</f>
        <v>0</v>
      </c>
      <c r="KF156" s="251">
        <f t="shared" si="545"/>
        <v>0.0013725671200163</v>
      </c>
      <c r="KG156" s="251">
        <f t="shared" si="546"/>
        <v>0.0274513424003259</v>
      </c>
      <c r="KH156" s="302">
        <f>各项系数!$F$76/4*($NG156^2-$NE156^2)*10^-2*各项系数!$F$44*10^-3*10^2*各项系数!$J$4*0.75*$U156</f>
        <v>0.56835371001507</v>
      </c>
      <c r="KI156" s="123">
        <v>1</v>
      </c>
      <c r="KJ156" s="251">
        <f t="shared" si="547"/>
        <v>0.56835371001507</v>
      </c>
      <c r="KK156" s="251">
        <f>ROUND(KJ156*各项系数!$E$43,GT156)</f>
        <v>3.3</v>
      </c>
      <c r="KL156" s="302">
        <f>各项系数!$F$76/4*($NF156^2-$NE156^2)*10^-2*各项系数!$F$46*10^-3*10^2*各项系数!$J$4*PI()/4*R156</f>
        <v>0.0173167426007303</v>
      </c>
      <c r="KM156" s="123">
        <v>1</v>
      </c>
      <c r="KN156" s="251">
        <f t="shared" si="548"/>
        <v>0.0173167426007303</v>
      </c>
      <c r="KO156" s="251">
        <f>KN156*各项系数!$E$46</f>
        <v>1.16888012554929</v>
      </c>
      <c r="KP156" s="302">
        <f>各项系数!$F$76/4*($NH156^2-$NE156^2)*10^-2*(VLOOKUP($KP$9,各项系数!$D$1:$F$143,3,0))*10^-3*10^2*各项系数!$J$4</f>
        <v>0.093939984874</v>
      </c>
      <c r="KQ156" s="123">
        <v>1</v>
      </c>
      <c r="KR156" s="251">
        <f t="shared" si="657"/>
        <v>0.093939984874</v>
      </c>
      <c r="KS156" s="251">
        <f>KR156*(VLOOKUP($KP$9,各项系数!$D$1:$F$143,2,0))</f>
        <v>1.596979742858</v>
      </c>
      <c r="KT156" s="302">
        <f>各项系数!$F$76/4*($NI156^2-$NF156^2)*10^-2*(VLOOKUP($KT$9,各项系数!$D$1:$F$143,3,0))*10^-3*10^2*各项系数!$J$4</f>
        <v>0.095027792746232</v>
      </c>
      <c r="KU156" s="123">
        <v>1</v>
      </c>
      <c r="KV156" s="251">
        <f t="shared" si="658"/>
        <v>0.095027792746232</v>
      </c>
      <c r="KW156" s="251">
        <f>KV156*(VLOOKUP($KT$9,各项系数!$D$1:$F$143,2,0))</f>
        <v>1.61547247668594</v>
      </c>
      <c r="KX156" s="251">
        <f>各项系数!$F$76/4*($NH156^2-$NE156^2)*10^-2*(VLOOKUP($KX$9,各项系数!$D$1:$F$143,3,0))*10^-3*10^2*各项系数!$J$4</f>
        <v>0.093939984874</v>
      </c>
      <c r="KY156" s="479">
        <v>1</v>
      </c>
      <c r="KZ156" s="251">
        <f t="shared" si="659"/>
        <v>0.093939984874</v>
      </c>
      <c r="LA156" s="251">
        <f>KZ156*(VLOOKUP($KX$9,各项系数!$D$1:$F$143,2,0))</f>
        <v>1.596979742858</v>
      </c>
      <c r="LB156" s="251">
        <f>各项系数!$F$76/4*($NI156^2-$NF156^2)*10^-2*(VLOOKUP($LB$9,各项系数!$D$1:$F$143,3,0))*10^-3*10^2*各项系数!$J$4</f>
        <v>0.095027792746232</v>
      </c>
      <c r="LC156" s="479">
        <v>1</v>
      </c>
      <c r="LD156" s="251">
        <f t="shared" si="660"/>
        <v>0.095027792746232</v>
      </c>
      <c r="LE156" s="251">
        <f>LD156*(VLOOKUP($LB$9,各项系数!$D$1:$F$143,2,0))</f>
        <v>1.61547247668594</v>
      </c>
      <c r="LF156" s="302">
        <f>各项系数!$F$76/4*($NH156^2-$NE156^2)*10^-2*(VLOOKUP(AN156,各项系数!$D$1:$F$143,3,0))*10^-3*10^2*各项系数!$J$4</f>
        <v>0.0952357088032966</v>
      </c>
      <c r="LG156" s="123">
        <v>1</v>
      </c>
      <c r="LH156" s="251">
        <f t="shared" si="549"/>
        <v>0.0952357088032966</v>
      </c>
      <c r="LI156" s="251">
        <f>LH156*(VLOOKUP(AN156,各项系数!$D$1:$F$143,2,0))</f>
        <v>0.952357088032966</v>
      </c>
      <c r="LJ156" s="302">
        <f>各项系数!$F$76/4*($NI156^2-$NF156^2)*10^-2*(VLOOKUP(AN156,各项系数!$D$1:$F$143,3,0))*10^-3*10^2*各项系数!$J$4</f>
        <v>0.0963385209220421</v>
      </c>
      <c r="LK156" s="123">
        <v>1</v>
      </c>
      <c r="LL156" s="251">
        <f t="shared" si="550"/>
        <v>0.0963385209220421</v>
      </c>
      <c r="LM156" s="251">
        <f>LL156*(VLOOKUP(AN156,各项系数!$D$1:$F$143,2,0))</f>
        <v>0.963385209220421</v>
      </c>
      <c r="LN156" s="251">
        <f>各项系数!$F$76/4*($NH156^2-$NE156^2)*10^-2*(VLOOKUP($LN$9,各项系数!$D$1:$F$143,3,0))*10^-3*10^2*各项系数!$J$4</f>
        <v>0.0952357088032966</v>
      </c>
      <c r="LO156" s="479">
        <v>1</v>
      </c>
      <c r="LP156" s="251">
        <f t="shared" si="551"/>
        <v>0.0952357088032966</v>
      </c>
      <c r="LQ156" s="251">
        <f>LP156*(VLOOKUP($LN$9,各项系数!$D$1:$F$143,2,0))</f>
        <v>1.04759279683626</v>
      </c>
      <c r="LR156" s="251">
        <f>各项系数!$F$76/4*($NI156^2-$NF156^2)*10^-2*(VLOOKUP($LR$9,各项系数!$D$1:$F$143,3,0))*10^-3*10^2*各项系数!$J$4</f>
        <v>0.0963385209220421</v>
      </c>
      <c r="LS156" s="479">
        <v>1</v>
      </c>
      <c r="LT156" s="251">
        <f t="shared" si="552"/>
        <v>0.0963385209220421</v>
      </c>
      <c r="LU156" s="251">
        <f>LT156*(VLOOKUP($LR$9,各项系数!$D$1:$F$143,2,0))</f>
        <v>1.05972373014246</v>
      </c>
      <c r="LV156" s="499">
        <f t="shared" si="661"/>
        <v>11.46958652</v>
      </c>
      <c r="LW156" s="499">
        <f t="shared" si="662"/>
        <v>11.46958652</v>
      </c>
      <c r="LX156" s="499">
        <f t="shared" si="663"/>
        <v>3.82145667501613</v>
      </c>
      <c r="LY156" s="515">
        <f t="shared" si="664"/>
        <v>0</v>
      </c>
      <c r="LZ156" s="516">
        <f t="shared" si="608"/>
        <v>1</v>
      </c>
      <c r="MA156" s="517">
        <f t="shared" si="609"/>
        <v>11.46958652</v>
      </c>
      <c r="MB156" s="517">
        <f t="shared" si="665"/>
        <v>1.10315952</v>
      </c>
      <c r="MC156" s="499">
        <f t="shared" si="666"/>
        <v>0</v>
      </c>
      <c r="MD156" s="499">
        <f t="shared" si="667"/>
        <v>0</v>
      </c>
      <c r="ME156" s="499">
        <f t="shared" si="668"/>
        <v>0</v>
      </c>
      <c r="MF156" s="499">
        <f t="shared" si="669"/>
        <v>0</v>
      </c>
      <c r="MG156" s="516">
        <f t="shared" si="670"/>
        <v>1</v>
      </c>
      <c r="MH156" s="517">
        <f t="shared" si="610"/>
        <v>0</v>
      </c>
      <c r="MI156" s="517">
        <f t="shared" si="671"/>
        <v>0</v>
      </c>
      <c r="MJ156" s="251">
        <f t="shared" si="611"/>
        <v>1.10315952</v>
      </c>
      <c r="MK156" s="251">
        <f t="shared" si="672"/>
        <v>1.10315952</v>
      </c>
      <c r="ML156" s="251">
        <f t="shared" si="553"/>
        <v>0</v>
      </c>
      <c r="MM156" s="251">
        <f t="shared" si="612"/>
        <v>0</v>
      </c>
      <c r="MN156" s="251">
        <f t="shared" si="613"/>
        <v>2.30315952</v>
      </c>
      <c r="MO156" s="251">
        <f t="shared" si="673"/>
        <v>0</v>
      </c>
      <c r="MP156" s="251">
        <f t="shared" si="674"/>
        <v>9.5811436</v>
      </c>
      <c r="MQ156" s="251">
        <f t="shared" si="554"/>
        <v>9.5811436</v>
      </c>
      <c r="MR156" s="314">
        <f t="shared" si="675"/>
        <v>9.5811436</v>
      </c>
      <c r="MS156" s="530">
        <f t="shared" si="614"/>
        <v>9.7571436</v>
      </c>
      <c r="MT156" s="530">
        <f t="shared" si="615"/>
        <v>9.9171436</v>
      </c>
      <c r="MU156" s="530">
        <f t="shared" si="616"/>
        <v>10.9571436</v>
      </c>
      <c r="MV156" s="530">
        <f t="shared" si="617"/>
        <v>12.7571436</v>
      </c>
      <c r="MW156" s="530">
        <f t="shared" si="618"/>
        <v>12.9171436</v>
      </c>
      <c r="MX156" s="326">
        <f t="shared" si="619"/>
        <v>1.70315952</v>
      </c>
      <c r="MY156" s="326">
        <f t="shared" si="620"/>
        <v>0</v>
      </c>
      <c r="MZ156" s="251">
        <f t="shared" si="621"/>
        <v>2.90315952</v>
      </c>
      <c r="NA156" s="251">
        <f t="shared" si="622"/>
        <v>0</v>
      </c>
      <c r="NB156" s="251">
        <f t="shared" si="676"/>
        <v>12.0771436</v>
      </c>
      <c r="NC156" s="326">
        <f t="shared" si="555"/>
        <v>12.0771436</v>
      </c>
      <c r="ND156" s="314">
        <f t="shared" si="677"/>
        <v>12.0771436</v>
      </c>
      <c r="NE156" s="537">
        <f t="shared" si="678"/>
        <v>12.3171436</v>
      </c>
      <c r="NF156" s="530">
        <f t="shared" si="623"/>
        <v>12.4771436</v>
      </c>
      <c r="NG156" s="538">
        <f t="shared" si="624"/>
        <v>13.5171436</v>
      </c>
      <c r="NH156" s="326">
        <f t="shared" si="625"/>
        <v>15.3171436</v>
      </c>
      <c r="NI156" s="530">
        <f t="shared" si="626"/>
        <v>15.4771436</v>
      </c>
      <c r="NK156" s="539">
        <f t="shared" si="627"/>
        <v>0.250236086780337</v>
      </c>
      <c r="NL156" s="539">
        <f t="shared" si="628"/>
        <v>8.01924028349111</v>
      </c>
      <c r="NM156" s="539">
        <f t="shared" si="629"/>
        <v>0.250236086780337</v>
      </c>
      <c r="NN156" s="539">
        <f t="shared" si="630"/>
        <v>8.09683099839447</v>
      </c>
      <c r="NO156" s="539">
        <f t="shared" si="631"/>
        <v>0.453494130251308</v>
      </c>
      <c r="NP156" s="539">
        <f t="shared" si="632"/>
        <v>9.08261775695523</v>
      </c>
      <c r="NQ156" s="539">
        <f t="shared" si="633"/>
        <v>0.453494130251308</v>
      </c>
      <c r="NR156" s="539">
        <f t="shared" si="634"/>
        <v>9.17785346575852</v>
      </c>
      <c r="NS156" s="539">
        <f t="shared" si="635"/>
        <v>0.263976936216624</v>
      </c>
      <c r="NT156" s="539">
        <f t="shared" si="636"/>
        <v>0.263976936216624</v>
      </c>
      <c r="NU156" s="539">
        <f t="shared" si="637"/>
        <v>0.470810872852038</v>
      </c>
      <c r="NV156" s="539">
        <f t="shared" si="638"/>
        <v>0.470810872852038</v>
      </c>
      <c r="NW156">
        <f t="shared" si="639"/>
        <v>0.402140696976533</v>
      </c>
      <c r="NX156">
        <f>各项系数!$M$9*NK156</f>
        <v>0.0750708260341012</v>
      </c>
      <c r="NY156">
        <f t="shared" si="640"/>
        <v>0.263976936216624</v>
      </c>
    </row>
    <row r="157" customHeight="1" spans="1:389">
      <c r="A157" s="85"/>
      <c r="B157" s="86"/>
      <c r="C157" s="218"/>
      <c r="D157" s="123" t="s">
        <v>259</v>
      </c>
      <c r="E157" s="77">
        <f t="shared" si="687"/>
        <v>13.33293348</v>
      </c>
      <c r="F157" s="558">
        <f t="shared" si="693"/>
        <v>110.31595161029</v>
      </c>
      <c r="G157" s="23"/>
      <c r="H157" s="23"/>
      <c r="I157" s="174">
        <v>0</v>
      </c>
      <c r="J157" s="23"/>
      <c r="K157" s="23"/>
      <c r="L157" s="118" t="s">
        <v>469</v>
      </c>
      <c r="M157" s="124">
        <f t="shared" si="582"/>
        <v>0.6</v>
      </c>
      <c r="N157" s="124">
        <f t="shared" si="583"/>
        <v>0</v>
      </c>
      <c r="O157" s="69">
        <f t="shared" si="688"/>
        <v>0.08</v>
      </c>
      <c r="P157" s="120">
        <v>0.1</v>
      </c>
      <c r="Q157" s="162">
        <f t="shared" si="700"/>
        <v>0.1</v>
      </c>
      <c r="R157" s="560">
        <v>0.8</v>
      </c>
      <c r="S157" s="171" t="str">
        <f>各项系数!$D$43</f>
        <v>钢带</v>
      </c>
      <c r="T157" s="123">
        <v>0.2</v>
      </c>
      <c r="U157" s="78">
        <v>4</v>
      </c>
      <c r="V157" s="172"/>
      <c r="W157" s="170">
        <f t="shared" si="702"/>
        <v>1.5</v>
      </c>
      <c r="X157" s="164">
        <f t="shared" si="701"/>
        <v>0.2</v>
      </c>
      <c r="Y157" s="219"/>
      <c r="Z157" s="220"/>
      <c r="AA157" s="217">
        <v>1</v>
      </c>
      <c r="AB157" s="186">
        <f>PI()*EJ157*EJ157/4*EH157*(1-H157)*AA157*各项系数!$F$5*各项系数!$J$4*10^-7</f>
        <v>0.0084545666936337</v>
      </c>
      <c r="AC157" s="186">
        <f t="shared" si="573"/>
        <v>110.31595161029</v>
      </c>
      <c r="AD157" s="186">
        <f t="shared" si="584"/>
        <v>0.955798869898841</v>
      </c>
      <c r="AE157" s="186">
        <f>POWER(4*EU157/PI()/EG157/10^-7/EH157/(1-H157)/各项系数!$F$5/各项系数!$J$4,0.5)</f>
        <v>110.31595161029</v>
      </c>
      <c r="AF157" s="218">
        <v>1</v>
      </c>
      <c r="AG157" s="85">
        <f>IF(EM157=0,0,PI()*ER157*ER157/4*EP157*(1-K157)*(1+AF157)*各项系数!$F$5*各项系数!$J$4*10^-7)</f>
        <v>0</v>
      </c>
      <c r="AH157" s="85">
        <f t="shared" si="574"/>
        <v>0</v>
      </c>
      <c r="AI157" s="85">
        <f t="shared" si="641"/>
        <v>0</v>
      </c>
      <c r="AJ157" s="85">
        <f>IF(OR(EP157="",EP157=0),0,POWER(4*EW157/PI()/EO157/10^-7/EP157/(1-K157)/各项系数!$F$5/各项系数!$J$4,0.5))</f>
        <v>0</v>
      </c>
      <c r="AK157" s="85" t="str">
        <f t="shared" si="585"/>
        <v>√</v>
      </c>
      <c r="AL157" s="85">
        <f t="shared" si="575"/>
        <v>10.1747477036302</v>
      </c>
      <c r="AM157" s="250">
        <f t="shared" si="576"/>
        <v>1</v>
      </c>
      <c r="AN157" s="118" t="s">
        <v>486</v>
      </c>
      <c r="AO157" s="259">
        <f>AP157+各项系数!$M$9*$NK157</f>
        <v>9.97524284669626</v>
      </c>
      <c r="AP157" s="259">
        <f>AQ157*(1+$BI157+(VLOOKUP($AM157,$A$12:$B$323,2,0))+各项系数!$J$6+各项系数!$M$5)*(1+$E$2)</f>
        <v>9.89154072414611</v>
      </c>
      <c r="AQ157" s="260">
        <f>AR157+各项系数!$L$9*$NK157</f>
        <v>9.70520086749029</v>
      </c>
      <c r="AR157" s="260">
        <f>AS157*(1+$BJ157+各项系数!$J$5+各项系数!$L$5)</f>
        <v>9.62149874494014</v>
      </c>
      <c r="AS157" s="260">
        <f t="shared" si="642"/>
        <v>9.25144110090398</v>
      </c>
      <c r="AT157" s="259">
        <f>AU157+各项系数!$M$9*$NM157</f>
        <v>10.5603999355346</v>
      </c>
      <c r="AU157" s="259">
        <f>AV157*(1+$BI157+(VLOOKUP($AM157,$A$12:$B$323,2,0))+各项系数!$J$6+各项系数!$M$5)*(1+$E$2)</f>
        <v>10.4766978129844</v>
      </c>
      <c r="AV157" s="260">
        <f>AW157+各项系数!$L$9*$NM157</f>
        <v>10.2793345888779</v>
      </c>
      <c r="AW157" s="260">
        <f>AX157*(1+$BJ157+各项系数!$J$5+各项系数!$L$5)</f>
        <v>10.1956324663278</v>
      </c>
      <c r="AX157" s="260">
        <f t="shared" si="643"/>
        <v>9.80349275608441</v>
      </c>
      <c r="AY157" s="259">
        <f>AZ157+各项系数!$M$9*$NS157</f>
        <v>11.0364159310032</v>
      </c>
      <c r="AZ157" s="259">
        <f>BA157*(1+$BI157+(VLOOKUP($AM157,$A$12:$B$214,2,0))+各项系数!$J$6+各项系数!$M$5)*(1+$E$2)</f>
        <v>10.9483502688844</v>
      </c>
      <c r="BA157" s="260">
        <f>BB157+各项系数!$L$9*$NS157</f>
        <v>10.7421019121707</v>
      </c>
      <c r="BB157" s="260">
        <f>BC157*(1+$BJ157+各项系数!$J$5+各项系数!$L$5)</f>
        <v>10.6540362500518</v>
      </c>
      <c r="BC157" s="262">
        <f t="shared" si="644"/>
        <v>10.2442656250498</v>
      </c>
      <c r="BD157" s="259">
        <f>BE157+各项系数!$M$9*$NS157</f>
        <v>11.6294852703728</v>
      </c>
      <c r="BE157" s="259">
        <f>BF157*(1+$BI157+(VLOOKUP($AM157,$A$12:$B$214,2,0))+各项系数!$J$6+各项系数!$M$5)*(1+$E$2)</f>
        <v>11.541419608254</v>
      </c>
      <c r="BF157" s="260">
        <f>BG157+各项系数!$L$9*$NS157</f>
        <v>11.3239988307044</v>
      </c>
      <c r="BG157" s="260">
        <f>BH157*(1+$BJ157+各项系数!$J$5+各项系数!$L$5)</f>
        <v>11.2359331685856</v>
      </c>
      <c r="BH157" s="262">
        <f t="shared" si="645"/>
        <v>10.8037818928708</v>
      </c>
      <c r="BI157" s="277"/>
      <c r="BJ157" s="272">
        <f t="shared" si="695"/>
        <v>0.02</v>
      </c>
      <c r="BK157" s="123" t="s">
        <v>514</v>
      </c>
      <c r="BL157" s="259">
        <f>BM157+各项系数!$M$9*$NM157</f>
        <v>10.1568151314804</v>
      </c>
      <c r="BM157" s="259">
        <f>BN157*(1+$CF157+(VLOOKUP($AM157,$A$12:$B$323,2,0))+各项系数!$J$6+各项系数!$M$5)*(1+$E$2)</f>
        <v>10.0731130089302</v>
      </c>
      <c r="BN157" s="260">
        <f>BO157+各项系数!$L$9*$NM157</f>
        <v>9.88335263827531</v>
      </c>
      <c r="BO157" s="260">
        <f>BP157*(1+$CG157+各项系数!$J$5+各项系数!$L$5)</f>
        <v>9.79965051572516</v>
      </c>
      <c r="BP157" s="260">
        <f t="shared" si="646"/>
        <v>9.33300049116682</v>
      </c>
      <c r="BQ157" s="259">
        <f>BR157+各项系数!$M$9*$NM157</f>
        <v>10.6603171337046</v>
      </c>
      <c r="BR157" s="259">
        <f>BS157*(1+$CF157+(VLOOKUP($AM157,$A$12:$B$323,2,0))+各项系数!$J$6+各项系数!$M$5)*(1+$E$2)</f>
        <v>10.5766150111544</v>
      </c>
      <c r="BS157" s="260">
        <f>BT157+各项系数!$L$9*$NM157</f>
        <v>10.3773695164388</v>
      </c>
      <c r="BT157" s="260">
        <f>BU157*(1+$CG157+各项系数!$J$5+各项系数!$L$5)</f>
        <v>10.2936673938886</v>
      </c>
      <c r="BU157" s="260">
        <f t="shared" si="647"/>
        <v>9.80349275608441</v>
      </c>
      <c r="BV157" s="259">
        <f>BW157+各项系数!$M$9*$NT157</f>
        <v>11.1479528064184</v>
      </c>
      <c r="BW157" s="259">
        <f>BX157*(1+$CF157+(VLOOKUP($AM157,$A$12:$B$214,2,0))+各项系数!$J$6+各项系数!$M$5)*(1+$E$2)</f>
        <v>11.0598871442996</v>
      </c>
      <c r="BX157" s="260">
        <f>BY157+各项系数!$L$9*$NT$12</f>
        <v>10.851537621958</v>
      </c>
      <c r="BY157" s="260">
        <f>BZ157*(1+$CG157+各项系数!$J$5+各项系数!$L$5)</f>
        <v>10.843274218803</v>
      </c>
      <c r="BZ157" s="262">
        <f t="shared" si="586"/>
        <v>10.3269278274314</v>
      </c>
      <c r="CA157" s="259">
        <f>CB157+各项系数!$M$9*$NT157</f>
        <v>11.658262953089</v>
      </c>
      <c r="CB157" s="259">
        <f>CC157*(1+$CF157+(VLOOKUP($AM157,$A$12:$B$214,2,0))+各项系数!$J$6+各项系数!$M$5)*(1+$E$2)</f>
        <v>11.5701972909701</v>
      </c>
      <c r="CC157" s="260">
        <f>CD157+各项系数!$L$9*$NT$12</f>
        <v>11.3522343906693</v>
      </c>
      <c r="CD157" s="260">
        <f>CE157*(1+$CG157+各项系数!$J$5+各项系数!$L$5)</f>
        <v>11.3439709875143</v>
      </c>
      <c r="CE157" s="262">
        <f t="shared" si="648"/>
        <v>10.8037818928708</v>
      </c>
      <c r="CF157" s="277">
        <f t="shared" si="514"/>
        <v>0</v>
      </c>
      <c r="CG157" s="277">
        <f t="shared" si="587"/>
        <v>0.03</v>
      </c>
      <c r="CH157" s="123"/>
      <c r="CI157" s="259">
        <f>CJ157+各项系数!$M$9*$NO157</f>
        <v>11.465146604333</v>
      </c>
      <c r="CJ157" s="259">
        <f>CK157*(1+$DC157+(VLOOKUP($AM157,$A$12:$B$323,2,0))+各项系数!$J$6+各项系数!$M$5)*(1+$E$2)+各项系数!$M$9*$NK157</f>
        <v>11.3170572719993</v>
      </c>
      <c r="CK157" s="260">
        <f>CL157+各项系数!$L$9*$NO157</f>
        <v>11.0217377839964</v>
      </c>
      <c r="CL157" s="260">
        <f>CM157*(1+$DD157+各项系数!$J$5+各项系数!$L$5)</f>
        <v>10.8736484516627</v>
      </c>
      <c r="CM157" s="260">
        <f t="shared" si="588"/>
        <v>10.4554312035218</v>
      </c>
      <c r="CN157" s="259">
        <f>CO157+各项系数!$M$9*$NO157</f>
        <v>11.8523135396437</v>
      </c>
      <c r="CO157" s="259">
        <f>CP157*(1+$DC157+(VLOOKUP($AM157,$A$12:$B$323,2,0))+各项系数!$J$6+各项系数!$M$5)*(1+$E$2)+各项系数!$M$9*$NK157</f>
        <v>11.70422420731</v>
      </c>
      <c r="CP157" s="260">
        <f>CQ157+各项系数!$L$9*$NO157</f>
        <v>11.401611150667</v>
      </c>
      <c r="CQ157" s="260">
        <f>CR157*(1+$DD157+各项系数!$J$5+各项系数!$L$5)</f>
        <v>11.2535218183333</v>
      </c>
      <c r="CR157" s="260">
        <f t="shared" si="589"/>
        <v>10.8206940560897</v>
      </c>
      <c r="CS157" s="259">
        <f>CT157+各项系数!$M$9*$NU157</f>
        <v>12.7157491134458</v>
      </c>
      <c r="CT157" s="259">
        <f t="shared" si="590"/>
        <v>12.562160616097</v>
      </c>
      <c r="CU157" s="260">
        <f>CV157+各项系数!$L$9*$NU157</f>
        <v>12.3255108085724</v>
      </c>
      <c r="CV157" s="260">
        <f>CW157*(1+$DD157+各项系数!$J$5+各项系数!$L$5)</f>
        <v>12.1719223112237</v>
      </c>
      <c r="CW157" s="262">
        <f t="shared" si="591"/>
        <v>11.7037714530997</v>
      </c>
      <c r="CX157" s="259">
        <f>CY157+各项系数!$M$9*$NU157</f>
        <v>13.4428321961895</v>
      </c>
      <c r="CY157" s="259">
        <f t="shared" si="592"/>
        <v>13.2892436988407</v>
      </c>
      <c r="CZ157" s="260">
        <f>DA157+各项系数!$L$9*$NU157</f>
        <v>13.0388968787684</v>
      </c>
      <c r="DA157" s="260">
        <f>DB157*(1+$DD157+各项系数!$J$5+各项系数!$L$5)</f>
        <v>12.8853083814196</v>
      </c>
      <c r="DB157" s="262">
        <f t="shared" si="593"/>
        <v>12.3897195975189</v>
      </c>
      <c r="DC157" s="277">
        <f t="shared" si="698"/>
        <v>0</v>
      </c>
      <c r="DD157" s="277">
        <f t="shared" si="594"/>
        <v>0.02</v>
      </c>
      <c r="DE157" s="69" t="s">
        <v>498</v>
      </c>
      <c r="DF157" s="69" t="s">
        <v>513</v>
      </c>
      <c r="DG157" s="259">
        <f>DH157+各项系数!$M$9*$NQ157</f>
        <v>11.6789793467433</v>
      </c>
      <c r="DH157" s="259">
        <f>DI157*(1+$EA157+(VLOOKUP($AM157,$A$12:$B$323,2,0))+各项系数!$J$6+各项系数!$M$5)*(1+$E$2)+各项系数!$M$9*$NK157</f>
        <v>11.5308900144096</v>
      </c>
      <c r="DI157" s="260">
        <f>DJ157+各项系数!$L$9*$NQ157</f>
        <v>11.2315422800819</v>
      </c>
      <c r="DJ157" s="260">
        <f>DK157*(1+$EB157+各项系数!$J$5+各项系数!$L$5)</f>
        <v>11.0834529477482</v>
      </c>
      <c r="DK157" s="260">
        <f t="shared" si="595"/>
        <v>10.5556694740459</v>
      </c>
      <c r="DL157" s="259">
        <f>DM157+各项系数!$M$9*$NQ157</f>
        <v>12.2977942955276</v>
      </c>
      <c r="DM157" s="259">
        <f>DN157*(1+$EA157+(VLOOKUP($AM157,$A$12:$B$323,2,0))+各项系数!$J$6+各项系数!$M$5)*(1+$E$2)+各项系数!$M$9*$NK157</f>
        <v>12.1497049631939</v>
      </c>
      <c r="DN157" s="260">
        <f>DO157+各项系数!$L$9*$NQ157</f>
        <v>11.8386998043993</v>
      </c>
      <c r="DO157" s="260">
        <f>DP157*(1+$EB157+各项系数!$J$5+各项系数!$L$5)</f>
        <v>11.6906104720656</v>
      </c>
      <c r="DP157" s="260">
        <f t="shared" si="596"/>
        <v>11.1339147353005</v>
      </c>
      <c r="DQ157" s="259">
        <f>DR157+各项系数!$M$9*$NV157</f>
        <v>12.9434851250968</v>
      </c>
      <c r="DR157" s="259">
        <f t="shared" si="597"/>
        <v>12.7898966277481</v>
      </c>
      <c r="DS157" s="260">
        <f>DT157+各项系数!$L$9*$NV157</f>
        <v>12.5489566598784</v>
      </c>
      <c r="DT157" s="260">
        <f>DU157*(1+$EB157+各项系数!$J$5+各项系数!$L$5)</f>
        <v>12.3953681625296</v>
      </c>
      <c r="DU157" s="262">
        <f t="shared" si="598"/>
        <v>11.8051125357425</v>
      </c>
      <c r="DV157" s="259">
        <f>DW157+各项系数!$M$9*$NV157</f>
        <v>12.75042573563</v>
      </c>
      <c r="DW157" s="259">
        <f t="shared" si="599"/>
        <v>12.5968372382812</v>
      </c>
      <c r="DX157" s="260">
        <f>DY157+各项系数!$L$9*$NV157</f>
        <v>12.359534181987</v>
      </c>
      <c r="DY157" s="260">
        <f>DZ157*(1+$EB157+各项系数!$J$5+各项系数!$L$5)</f>
        <v>12.2059456846383</v>
      </c>
      <c r="DZ157" s="262">
        <f t="shared" si="600"/>
        <v>11.624710175846</v>
      </c>
      <c r="EA157" s="277">
        <f t="shared" si="699"/>
        <v>0</v>
      </c>
      <c r="EB157" s="277">
        <f t="shared" si="601"/>
        <v>0.03</v>
      </c>
      <c r="EC157" s="302">
        <f t="shared" si="649"/>
        <v>14</v>
      </c>
      <c r="ED157" s="302" t="str">
        <f t="shared" si="680"/>
        <v>14*1</v>
      </c>
      <c r="EE157" s="251">
        <f t="shared" si="495"/>
        <v>1</v>
      </c>
      <c r="EF157" s="251">
        <f>LOOKUP(EH157,{1,7,10,14,19,24,30,37,48,61},{1,"1+6","2+8","4+10","1+6+12","2+8+14","4+10+16","1+6+12+18","3+9+15+21","1+6+12+18+24"})</f>
        <v>1</v>
      </c>
      <c r="EG157" s="250">
        <f t="shared" si="602"/>
        <v>14</v>
      </c>
      <c r="EH157" s="260">
        <f>VLOOKUP(EE157,各项系数!$B$87:$C$124,2,0)</f>
        <v>1</v>
      </c>
      <c r="EI157" s="250">
        <f>IF(EH157=0,0,VLOOKUP(EH157,各项系数!$D$142:$E$195,2,0))*1</f>
        <v>1</v>
      </c>
      <c r="EJ157" s="305">
        <f t="shared" si="650"/>
        <v>110.31595161029</v>
      </c>
      <c r="EK157" s="251">
        <f t="shared" si="689"/>
        <v>0</v>
      </c>
      <c r="EL157" s="251">
        <f t="shared" si="603"/>
        <v>0</v>
      </c>
      <c r="EM157" s="251">
        <f t="shared" si="690"/>
        <v>0</v>
      </c>
      <c r="EN157" s="251">
        <f>IF(EP157=0,0,LOOKUP(EP157,{1,7,10,14,19,24,30,37,48,61},{1,"1+6","2+8","4+10","1+6+12","2+8+14","4+10+16","1+6+12+18","3+9+15+21","1+6+12+18+24"}))</f>
        <v>0</v>
      </c>
      <c r="EO157" s="251">
        <f t="shared" si="691"/>
        <v>0</v>
      </c>
      <c r="EP157" s="251">
        <f>IF(EM157=0,0,IF(EM157&lt;10,1,IF(AND(EM157&gt;=10,EM157&lt;=35),7,LOOKUP(EM157,{50,70,95,120,150,185,240,300},{10,14,19,24,30,37,48,61})*1)))</f>
        <v>0</v>
      </c>
      <c r="EQ157" s="251">
        <f>IF(EP157=0,0,VLOOKUP(EP157,各项系数!$D$142:$E$195,2,0))*1</f>
        <v>0</v>
      </c>
      <c r="ER157" s="69">
        <f t="shared" si="577"/>
        <v>0</v>
      </c>
      <c r="ES157" s="566">
        <f t="shared" si="692"/>
        <v>14</v>
      </c>
      <c r="ET157" s="251">
        <f>VLOOKUP(ES157,各项系数!$D$142:$E$195,2,0)*1</f>
        <v>4.41</v>
      </c>
      <c r="EU157" s="311">
        <f>((各项系数!$F$76/4*$EJ157^2*$EG157*$EH157*1*10^-7)*(1-$H157)*AA157)*(VLOOKUP($EY$9,各项系数!$D$4:$F$143,3,0))*各项系数!$J$4</f>
        <v>0.118363933710872</v>
      </c>
      <c r="EV157" s="312">
        <f>EU157*(VLOOKUP($EY$9,各项系数!$D$4:$F$143,2,0))</f>
        <v>7.7528376580621</v>
      </c>
      <c r="EW157" s="324">
        <f>(IF($EO157=0,0,(各项系数!$F$76/4*$ER157^2*$EO157*$EP157*1*10^-7))*(1-$K157)*$AF157)*(VLOOKUP($EY$9,各项系数!$D$4:$F$143,3,0))*各项系数!$J$4</f>
        <v>0</v>
      </c>
      <c r="EX157" s="325">
        <f>EW157*(VLOOKUP($EY$9,各项系数!$D$4:$F$143,2,0))</f>
        <v>0</v>
      </c>
      <c r="EY157" s="251">
        <f>((各项系数!$F$76/4*$EJ157^2*$EG157*$EH157*1*10^-7)*(1-$H157)*AA157+IF($EO157=0,0,(各项系数!$F$76/4*$ER157^2*$EO157*$EP157*1*10^-7))*(1-$K157)*$AF157)*(VLOOKUP($EY$9,各项系数!$D$4:$F$143,3,0))*各项系数!$J$4</f>
        <v>0.118363933710872</v>
      </c>
      <c r="EZ157" s="123">
        <v>1</v>
      </c>
      <c r="FA157" s="251">
        <f t="shared" si="515"/>
        <v>0.118363933710872</v>
      </c>
      <c r="FB157" s="326">
        <f>FA157*(VLOOKUP($EY$9,各项系数!$D$4:$F$143,2,0))</f>
        <v>7.7528376580621</v>
      </c>
      <c r="FC157" s="327"/>
      <c r="FD157" s="302">
        <f>各项系数!$F$76/4*($MN157^2-MK157^2)*10^-2*(VLOOKUP(L157,各项系数!$D$1:$F$143,3,0))*10^-3*10^2*$EG157*各项系数!$J$4</f>
        <v>0.0491926536831936</v>
      </c>
      <c r="FE157" s="339">
        <f>FD157*VLOOKUP(L157,各项系数!$D$1:$F$143,2,0)</f>
        <v>0.565715517356726</v>
      </c>
      <c r="FF157" s="250">
        <f>各项系数!$F$76/4*($MO157^2-ML157^2)*10^-2*(VLOOKUP(L157,各项系数!$D$1:$F$143,3,0))*10^-3*10^2*$EO157*各项系数!$J$4</f>
        <v>0</v>
      </c>
      <c r="FG157" s="339">
        <f>FF157*VLOOKUP(L157,各项系数!$D$1:$F$143,2,0)</f>
        <v>0</v>
      </c>
      <c r="FH157" s="302">
        <f t="shared" si="651"/>
        <v>0.0491926536831936</v>
      </c>
      <c r="FI157" s="123">
        <v>1</v>
      </c>
      <c r="FJ157" s="251">
        <f t="shared" si="516"/>
        <v>0.0491926536831936</v>
      </c>
      <c r="FK157" s="339">
        <f>FJ157*VLOOKUP(L157,各项系数!$D$1:$F$143,2,0)</f>
        <v>0.565715517356726</v>
      </c>
      <c r="FL157" s="302"/>
      <c r="FM157" s="123"/>
      <c r="FN157" s="251"/>
      <c r="FO157" s="339"/>
      <c r="FP157" s="364">
        <f t="shared" si="517"/>
        <v>0.0491926536831936</v>
      </c>
      <c r="FQ157" s="364">
        <f t="shared" si="518"/>
        <v>0.565715517356726</v>
      </c>
      <c r="FR157" s="365">
        <f>各项系数!$F$76/4*($MQ157^2-$MN157^2*$EG157-$MO157^2*$EO157)*10^-2</f>
        <v>0.226977594221858</v>
      </c>
      <c r="FS157" s="366">
        <f t="shared" si="652"/>
        <v>1</v>
      </c>
      <c r="FT157" s="367">
        <f t="shared" si="604"/>
        <v>0.226977594221858</v>
      </c>
      <c r="FU157" s="388">
        <f>$FT157*(VLOOKUP($FT$9,各项系数!$D$1:$F$143,3,0))*10^-3*10^2*各项系数!$J$55</f>
        <v>0.0271011247500898</v>
      </c>
      <c r="FV157" s="389">
        <v>1</v>
      </c>
      <c r="FW157" s="390">
        <f t="shared" si="519"/>
        <v>0.0271011247500898</v>
      </c>
      <c r="FX157" s="367">
        <f>FW157*(VLOOKUP($FT$9,各项系数!$D$1:$F$143,2,0))</f>
        <v>0.0813033742502695</v>
      </c>
      <c r="FY157" s="388">
        <f>IF($BK157&lt;&gt;$FY$9,0,各项系数!$F$76/4*($MS157^2-$MQ157^2)*10^-2*(VLOOKUP($FY$9,各项系数!$D$1:$F$143,3,0))*10^-3*10^2)*各项系数!$J$4</f>
        <v>0</v>
      </c>
      <c r="FZ157" s="389">
        <v>1</v>
      </c>
      <c r="GA157" s="390">
        <f t="shared" si="520"/>
        <v>0</v>
      </c>
      <c r="GB157" s="367">
        <f>GA157*(VLOOKUP($FY$9,各项系数!$D$1:$F$143,2,0))</f>
        <v>0</v>
      </c>
      <c r="GC157" s="388">
        <f>IF($BK157&lt;&gt;$GC$9,0,各项系数!$F$76/4*($MS157^2-$MQ157^2)*10^-2*(VLOOKUP($GC$9,各项系数!$D$1:$F$143,3,0))*10^-3*10^2)*各项系数!$J$4</f>
        <v>0.00278997276019551</v>
      </c>
      <c r="GD157" s="389">
        <v>1</v>
      </c>
      <c r="GE157" s="390">
        <f t="shared" si="521"/>
        <v>0.00278997276019551</v>
      </c>
      <c r="GF157" s="367">
        <f>GE157*(VLOOKUP($GC$9,各项系数!$D$1:$F$143,2,0))</f>
        <v>0.0359906486065221</v>
      </c>
      <c r="GG157" s="388">
        <f>IF($BK157&lt;&gt;$GG$9,0,各项系数!$F$76/4*($MS157^2-$MQ157^2)*10^-2*(VLOOKUP($GG$9,各项系数!$D$1:$F$143,3,0))*10^-3*10^2)*各项系数!$J$4</f>
        <v>0</v>
      </c>
      <c r="GH157" s="389">
        <v>1</v>
      </c>
      <c r="GI157" s="390">
        <f t="shared" si="522"/>
        <v>0</v>
      </c>
      <c r="GJ157" s="367">
        <f>GI157*(VLOOKUP($GG$9,各项系数!$D$1:$F$143,2,0))</f>
        <v>0</v>
      </c>
      <c r="GK157" s="388">
        <f>IF($BK157&lt;&gt;$GK$9,0,各项系数!$F$76/4*($MS157^2-$MQ157^2)*10^-2*(VLOOKUP($GK$9,各项系数!$D$1:$F$143,3,0))*10^-3*10^2)*各项系数!$J$4</f>
        <v>0</v>
      </c>
      <c r="GL157" s="389">
        <v>1</v>
      </c>
      <c r="GM157" s="390">
        <f t="shared" si="523"/>
        <v>0</v>
      </c>
      <c r="GN157" s="367">
        <f>GM157*(VLOOKUP($GK$9,各项系数!$D$1:$F$143,2,0))</f>
        <v>0</v>
      </c>
      <c r="GO157" s="390">
        <f t="shared" si="524"/>
        <v>0.00278997276019551</v>
      </c>
      <c r="GP157" s="390">
        <f t="shared" si="525"/>
        <v>0.0359906486065221</v>
      </c>
      <c r="GQ157" s="406">
        <f>各项系数!$F$76/4*($MU157^2-$MS157^2)*10^-2*(VLOOKUP($S157,各项系数!$D$1:$F$143,3,0))*10^-3*10^2*各项系数!$J$4</f>
        <v>0.16034951939648</v>
      </c>
      <c r="GR157" s="389">
        <v>1</v>
      </c>
      <c r="GS157" s="390">
        <f t="shared" si="526"/>
        <v>0.16034951939648</v>
      </c>
      <c r="GT157" s="390">
        <f t="shared" si="696"/>
        <v>1</v>
      </c>
      <c r="GU157" s="390">
        <f>ROUND($GS157*(VLOOKUP($S157,各项系数!$D$1:$F$143,2,0))+$E$3*GS157,GT157)</f>
        <v>0.9</v>
      </c>
      <c r="GV157" s="406">
        <f>各项系数!$F$76/4*($MT157^2-$MS157^2)*10^-2*(VLOOKUP($GV$9,各项系数!$D$1:$F$143,3,0))*10^-3*10^2*各项系数!$J$4*PI()/4*R157</f>
        <v>0.0145451318956801</v>
      </c>
      <c r="GW157" s="389">
        <v>1</v>
      </c>
      <c r="GX157" s="390">
        <f t="shared" si="527"/>
        <v>0.0145451318956801</v>
      </c>
      <c r="GY157" s="390">
        <f>$GX157*(VLOOKUP($GV$9,各项系数!$D$1:$F$143,2,0))</f>
        <v>0.981796402958404</v>
      </c>
      <c r="GZ157" s="406">
        <f>各项系数!$F$76/4*($MV157^2-$MS157^2)*10^-2*(VLOOKUP($GZ$9,各项系数!$D$1:$F$143,3,0))*10^-3*10^2*各项系数!$J$4</f>
        <v>0.080449738694635</v>
      </c>
      <c r="HA157" s="389">
        <v>1</v>
      </c>
      <c r="HB157" s="390">
        <f t="shared" si="653"/>
        <v>0.080449738694635</v>
      </c>
      <c r="HC157" s="390">
        <f>HB157*(VLOOKUP($GZ$9,各项系数!$D$1:$F$143,2,0))</f>
        <v>1.3676455578088</v>
      </c>
      <c r="HD157" s="406">
        <f>各项系数!$F$76/4*($MW157^2-$MT157^2)*10^-2*(VLOOKUP($HD$9,各项系数!$D$1:$F$143,3,0))*10^-3*10^2*各项系数!$J$4</f>
        <v>0.081537546566867</v>
      </c>
      <c r="HE157" s="389">
        <v>1</v>
      </c>
      <c r="HF157" s="390">
        <f t="shared" si="654"/>
        <v>0.081537546566867</v>
      </c>
      <c r="HG157" s="390">
        <f>HF157*(VLOOKUP($HD$9,各项系数!$D$1:$F$143,2,0))</f>
        <v>1.38613829163674</v>
      </c>
      <c r="HH157" s="406">
        <f>各项系数!$F$76/4*($MV157^2-$MS157^2)*10^-2*(VLOOKUP($HH$9,各项系数!$D$1:$F$143,3,0))*10^-3*10^2*各项系数!$J$4</f>
        <v>0.080449738694635</v>
      </c>
      <c r="HI157" s="420">
        <v>1</v>
      </c>
      <c r="HJ157" s="390">
        <f t="shared" si="655"/>
        <v>0.080449738694635</v>
      </c>
      <c r="HK157" s="390">
        <f>HJ157*(VLOOKUP($HH$9,各项系数!$D$1:$F$143,2,0))</f>
        <v>1.3676455578088</v>
      </c>
      <c r="HL157" s="406">
        <f>各项系数!$F$76/4*($MW157^2-$MT157^2)*10^-2*(VLOOKUP($HL$9,各项系数!$D$1:$F$143,3,0))*10^-3*10^2*各项系数!$J$4</f>
        <v>0.081537546566867</v>
      </c>
      <c r="HM157" s="420">
        <v>1</v>
      </c>
      <c r="HN157" s="390">
        <f t="shared" si="605"/>
        <v>0.081537546566867</v>
      </c>
      <c r="HO157" s="390">
        <f>HN157*(VLOOKUP($HL$9,各项系数!$D$1:$F$143,2,0))</f>
        <v>1.38613829163674</v>
      </c>
      <c r="HP157" s="406">
        <f>各项系数!$F$76/4*($MV157^2-$MS157^2)*10^-2*(VLOOKUP(AN157,各项系数!$D$1:$F$143,3,0))*10^-3*10^2*各项系数!$J$4</f>
        <v>0.0815593902628369</v>
      </c>
      <c r="HQ157" s="389">
        <v>1</v>
      </c>
      <c r="HR157" s="390">
        <f t="shared" si="528"/>
        <v>0.0815593902628369</v>
      </c>
      <c r="HS157" s="390">
        <f>HR157*(VLOOKUP(AN157,各项系数!$D$1:$F$143,2,0))</f>
        <v>0.815593902628369</v>
      </c>
      <c r="HT157" s="406">
        <f>各项系数!$F$76/4*($MW157^2-$MT157^2)*10^-2*(VLOOKUP(AN157,各项系数!$D$1:$F$143,3,0))*10^-3*10^2*各项系数!$J$4</f>
        <v>0.0826622023815824</v>
      </c>
      <c r="HU157" s="389">
        <v>1</v>
      </c>
      <c r="HV157" s="390">
        <f t="shared" si="529"/>
        <v>0.0826622023815824</v>
      </c>
      <c r="HW157" s="390">
        <f>HV157*(VLOOKUP(AN157,各项系数!$D$1:$F$143,2,0))</f>
        <v>0.826622023815824</v>
      </c>
      <c r="HX157" s="406">
        <f>各项系数!$F$76/4*($MV157^2-$MS157^2)*10^-2*(VLOOKUP($HX$9,各项系数!$D$1:$F$143,3,0))*10^-3*10^2*各项系数!$J$4</f>
        <v>0.0815593902628369</v>
      </c>
      <c r="HY157" s="420">
        <v>1</v>
      </c>
      <c r="HZ157" s="390">
        <f t="shared" si="530"/>
        <v>0.0815593902628369</v>
      </c>
      <c r="IA157" s="390">
        <f>HZ157*(VLOOKUP($HX$9,各项系数!$D$1:$F$143,2,0))</f>
        <v>0.897153292891206</v>
      </c>
      <c r="IB157" s="406">
        <f>各项系数!$F$76/4*($MW157^2-$MT157^2)*10^-2*(VLOOKUP($IB$9,各项系数!$D$1:$F$143,3,0))*10^-3*10^2*各项系数!$J$4</f>
        <v>0.0826622023815824</v>
      </c>
      <c r="IC157" s="420">
        <v>1</v>
      </c>
      <c r="ID157" s="390">
        <f t="shared" si="531"/>
        <v>0.0826622023815824</v>
      </c>
      <c r="IE157" s="390">
        <f>ID157*(VLOOKUP($IB$9,各项系数!$D$1:$F$143,2,0))</f>
        <v>0.909284226197407</v>
      </c>
      <c r="IF157" s="429"/>
      <c r="IG157" s="406">
        <f t="shared" si="656"/>
        <v>0.0276325236283783</v>
      </c>
      <c r="IH157" s="389">
        <v>1</v>
      </c>
      <c r="II157" s="390">
        <f t="shared" si="532"/>
        <v>0.0276325236283783</v>
      </c>
      <c r="IJ157" s="390">
        <f>II157*(VLOOKUP($IG$8,各项系数!$D$1:$F$143,2,0))</f>
        <v>0.690813090709457</v>
      </c>
      <c r="IK157" s="406">
        <f>(各项系数!$F$76/4*($MX157^2-$MK157^2)*$EG157)*10^-2*(VLOOKUP($IG$8,各项系数!$D$1:$F$143,3,0))*10^-3*10^2*各项系数!$J$4</f>
        <v>0.0276325236283783</v>
      </c>
      <c r="IL157" s="389">
        <f>IK157*(VLOOKUP($IG$8,各项系数!$D$1:$F$143,2,0))</f>
        <v>0.690813090709457</v>
      </c>
      <c r="IM157" s="390">
        <f>(各项系数!$F$76/4*(($MM157+3*$X157)^2-MM157^2)*$EO157)*10^-2*(VLOOKUP($IG$8,各项系数!$D$1:$F$143,3,0))*10^-3*10^2*各项系数!$J$4</f>
        <v>0</v>
      </c>
      <c r="IN157" s="389">
        <f>IM157*(VLOOKUP($IG$8,各项系数!$D$1:$F$143,2,0))</f>
        <v>0</v>
      </c>
      <c r="IO157" s="406">
        <f>各项系数!$F$76/4*($MZ157^2-$MX157^2)*10^-2*(VLOOKUP(L157,各项系数!$D$1:$F$143,3,0))*10^-3*10^2*$ES157*各项系数!$J$4</f>
        <v>0.0665225584063379</v>
      </c>
      <c r="IP157" s="389">
        <v>1</v>
      </c>
      <c r="IQ157" s="390">
        <f t="shared" si="533"/>
        <v>0.0665225584063379</v>
      </c>
      <c r="IR157" s="367">
        <f>IQ157*(VLOOKUP(L157,各项系数!$D$1:$F$143,2,0))</f>
        <v>0.765009421672886</v>
      </c>
      <c r="IS157" s="406">
        <f>IF($L157&lt;&gt;$IS$9,0,各项系数!$F$76/4*($MZ157^2-$MX157^2)*10^-2*各项系数!$F$12*10^-3*10^2)*$ES157*各项系数!$J$4</f>
        <v>0</v>
      </c>
      <c r="IT157" s="389">
        <v>1</v>
      </c>
      <c r="IU157" s="390">
        <f t="shared" si="534"/>
        <v>0</v>
      </c>
      <c r="IV157" s="367">
        <f>IU157*各项系数!$E$12</f>
        <v>0</v>
      </c>
      <c r="IW157" s="388">
        <f t="shared" si="535"/>
        <v>0.0665225584063379</v>
      </c>
      <c r="IX157" s="388">
        <f t="shared" si="536"/>
        <v>0.765009421672886</v>
      </c>
      <c r="IY157" s="447">
        <f>各项系数!$F$76/4*($NB157^2-$MZ157^2*$EG157-$NA157^2*$EO157)*10^-2</f>
        <v>0.360642371682881</v>
      </c>
      <c r="IZ157" s="366">
        <f t="shared" si="697"/>
        <v>1</v>
      </c>
      <c r="JA157" s="367">
        <f t="shared" si="606"/>
        <v>0.360642371682881</v>
      </c>
      <c r="JB157" s="364">
        <f>IF($DE157&lt;&gt;$JB$9,0,$JA157*各项系数!$F$32*10^-3*10^2)*各项系数!$J$4</f>
        <v>0</v>
      </c>
      <c r="JC157" s="123">
        <v>1</v>
      </c>
      <c r="JD157" s="251">
        <f t="shared" si="537"/>
        <v>0</v>
      </c>
      <c r="JE157" s="339">
        <f>JD157*各项系数!$E$32</f>
        <v>0</v>
      </c>
      <c r="JF157" s="364">
        <f>IF($DE157&lt;&gt;$JF$9,0,$JA157*VLOOKUP($JF$9,各项系数!$D$4:$F$540,2,0)*10^-3*10^2)*各项系数!$J$4</f>
        <v>0.179419579912233</v>
      </c>
      <c r="JG157" s="123">
        <v>1</v>
      </c>
      <c r="JH157" s="251">
        <f t="shared" si="607"/>
        <v>0.179419579912233</v>
      </c>
      <c r="JI157" s="339">
        <f>JH157*VLOOKUP($JF$9,各项系数!$D$4:$F$540,3,0)</f>
        <v>0.21530349589468</v>
      </c>
      <c r="JJ157" s="364">
        <f t="shared" si="538"/>
        <v>0.179419579912233</v>
      </c>
      <c r="JK157" s="251">
        <f t="shared" si="539"/>
        <v>0.21530349589468</v>
      </c>
      <c r="JL157" s="364">
        <f>IF($DF157&lt;&gt;$JL$9,0,各项系数!$F$76/4*($NE157^2-$NC157^2)*10^-2*各项系数!$F$39*10^-3*10^2)*各项系数!$J$4</f>
        <v>0.00145424159709046</v>
      </c>
      <c r="JM157" s="123">
        <v>1</v>
      </c>
      <c r="JN157" s="251">
        <f t="shared" si="540"/>
        <v>0.00145424159709046</v>
      </c>
      <c r="JO157" s="339">
        <f>JN157*各项系数!$E$39</f>
        <v>0.0290848319418092</v>
      </c>
      <c r="JP157" s="364">
        <f>IF($DF157&lt;&gt;$JP$9,0,各项系数!$F$76/4*($NE157^2-$NC157^2)*10^-2*各项系数!$F$36*10^-3*10^2)*各项系数!$J$4</f>
        <v>0</v>
      </c>
      <c r="JQ157" s="123">
        <v>1</v>
      </c>
      <c r="JR157" s="251">
        <f t="shared" si="541"/>
        <v>0</v>
      </c>
      <c r="JS157" s="339">
        <f>JR157*各项系数!$E$36</f>
        <v>0</v>
      </c>
      <c r="JT157" s="364">
        <f>IF($DF157&lt;&gt;$JT$9,0,各项系数!$F$76/4*($NE157^2-$NC157^2)*10^-2*各项系数!$F$40*10^-3*10^2)*各项系数!$J$4</f>
        <v>0</v>
      </c>
      <c r="JU157" s="123">
        <v>1</v>
      </c>
      <c r="JV157" s="251">
        <f t="shared" si="542"/>
        <v>0</v>
      </c>
      <c r="JW157" s="339">
        <f>JV157*各项系数!$E$40</f>
        <v>0</v>
      </c>
      <c r="JX157" s="364">
        <f>IF($DF157&lt;&gt;$JX$9,0,各项系数!$F$76/4*($NE157^2-$NC157^2)*10^-2*各项系数!$F$38*10^-3*10^2)*各项系数!$J$4</f>
        <v>0</v>
      </c>
      <c r="JY157" s="123">
        <v>1</v>
      </c>
      <c r="JZ157" s="251">
        <f t="shared" si="543"/>
        <v>0</v>
      </c>
      <c r="KA157" s="339">
        <f>JZ157*各项系数!$E$38</f>
        <v>0</v>
      </c>
      <c r="KB157" s="364">
        <f>IF($DF157&lt;&gt;$KB$9,0,各项系数!$F$76/4*($NE157^2-$NC157^2)*10^-2*各项系数!$F$41*10^-3*10^2)*各项系数!$J$4</f>
        <v>0</v>
      </c>
      <c r="KC157" s="123">
        <v>1</v>
      </c>
      <c r="KD157" s="251">
        <f t="shared" si="544"/>
        <v>0</v>
      </c>
      <c r="KE157" s="339">
        <f>KD157*各项系数!$E$41</f>
        <v>0</v>
      </c>
      <c r="KF157" s="251">
        <f t="shared" si="545"/>
        <v>0.00145424159709046</v>
      </c>
      <c r="KG157" s="251">
        <f t="shared" si="546"/>
        <v>0.0290848319418092</v>
      </c>
      <c r="KH157" s="302">
        <f>各项系数!$F$76/4*($NG157^2-$NE157^2)*10^-2*各项系数!$F$44*10^-3*10^2*各项系数!$J$4*0.75*$U157</f>
        <v>0.600288430551071</v>
      </c>
      <c r="KI157" s="123">
        <v>1</v>
      </c>
      <c r="KJ157" s="251">
        <f t="shared" si="547"/>
        <v>0.600288430551071</v>
      </c>
      <c r="KK157" s="251">
        <f>ROUND(KJ157*各项系数!$E$43,GT157)</f>
        <v>3.5</v>
      </c>
      <c r="KL157" s="302">
        <f>各项系数!$F$76/4*($NF157^2-$NE157^2)*10^-2*各项系数!$F$46*10^-3*10^2*各项系数!$J$4*PI()/4*R157</f>
        <v>0.0183305500502281</v>
      </c>
      <c r="KM157" s="123">
        <v>1</v>
      </c>
      <c r="KN157" s="251">
        <f t="shared" si="548"/>
        <v>0.0183305500502281</v>
      </c>
      <c r="KO157" s="251">
        <f>KN157*各项系数!$E$46</f>
        <v>1.2373121283904</v>
      </c>
      <c r="KP157" s="302">
        <f>各项系数!$F$76/4*($NH157^2-$NE157^2)*10^-2*(VLOOKUP($KP$9,各项系数!$D$1:$F$143,3,0))*10^-3*10^2*各项系数!$J$4</f>
        <v>0.0988744845305646</v>
      </c>
      <c r="KQ157" s="123">
        <v>1</v>
      </c>
      <c r="KR157" s="251">
        <f t="shared" si="657"/>
        <v>0.0988744845305646</v>
      </c>
      <c r="KS157" s="251">
        <f>KR157*(VLOOKUP($KP$9,各项系数!$D$1:$F$143,2,0))</f>
        <v>1.6808662370196</v>
      </c>
      <c r="KT157" s="302">
        <f>各项系数!$F$76/4*($NI157^2-$NF157^2)*10^-2*(VLOOKUP($KT$9,各项系数!$D$1:$F$143,3,0))*10^-3*10^2*各项系数!$J$4</f>
        <v>0.0999622924027965</v>
      </c>
      <c r="KU157" s="123">
        <v>1</v>
      </c>
      <c r="KV157" s="251">
        <f t="shared" si="658"/>
        <v>0.0999622924027965</v>
      </c>
      <c r="KW157" s="251">
        <f>KV157*(VLOOKUP($KT$9,各项系数!$D$1:$F$143,2,0))</f>
        <v>1.69935897084754</v>
      </c>
      <c r="KX157" s="251">
        <f>各项系数!$F$76/4*($NH157^2-$NE157^2)*10^-2*(VLOOKUP($KX$9,各项系数!$D$1:$F$143,3,0))*10^-3*10^2*各项系数!$J$4</f>
        <v>0.0988744845305646</v>
      </c>
      <c r="KY157" s="479">
        <v>1</v>
      </c>
      <c r="KZ157" s="251">
        <f t="shared" si="659"/>
        <v>0.0988744845305646</v>
      </c>
      <c r="LA157" s="251">
        <f>KZ157*(VLOOKUP($KX$9,各项系数!$D$1:$F$143,2,0))</f>
        <v>1.6808662370196</v>
      </c>
      <c r="LB157" s="251">
        <f>各项系数!$F$76/4*($NI157^2-$NF157^2)*10^-2*(VLOOKUP($LB$9,各项系数!$D$1:$F$143,3,0))*10^-3*10^2*各项系数!$J$4</f>
        <v>0.0999622924027965</v>
      </c>
      <c r="LC157" s="479">
        <v>1</v>
      </c>
      <c r="LD157" s="251">
        <f t="shared" si="660"/>
        <v>0.0999622924027965</v>
      </c>
      <c r="LE157" s="251">
        <f>LD157*(VLOOKUP($LB$9,各项系数!$D$1:$F$143,2,0))</f>
        <v>1.69935897084754</v>
      </c>
      <c r="LF157" s="302">
        <f>各项系数!$F$76/4*($NH157^2-$NE157^2)*10^-2*(VLOOKUP(AN157,各项系数!$D$1:$F$143,3,0))*10^-3*10^2*各项系数!$J$4</f>
        <v>0.10023827052409</v>
      </c>
      <c r="LG157" s="123">
        <v>1</v>
      </c>
      <c r="LH157" s="251">
        <f t="shared" si="549"/>
        <v>0.10023827052409</v>
      </c>
      <c r="LI157" s="251">
        <f>LH157*(VLOOKUP(AN157,各项系数!$D$1:$F$143,2,0))</f>
        <v>1.0023827052409</v>
      </c>
      <c r="LJ157" s="302">
        <f>各项系数!$F$76/4*($NI157^2-$NF157^2)*10^-2*(VLOOKUP(AN157,各项系数!$D$1:$F$143,3,0))*10^-3*10^2*各项系数!$J$4</f>
        <v>0.101341082642835</v>
      </c>
      <c r="LK157" s="123">
        <v>1</v>
      </c>
      <c r="LL157" s="251">
        <f t="shared" si="550"/>
        <v>0.101341082642835</v>
      </c>
      <c r="LM157" s="251">
        <f>LL157*(VLOOKUP(AN157,各项系数!$D$1:$F$143,2,0))</f>
        <v>1.01341082642835</v>
      </c>
      <c r="LN157" s="251">
        <f>各项系数!$F$76/4*($NH157^2-$NE157^2)*10^-2*(VLOOKUP($LN$9,各项系数!$D$1:$F$143,3,0))*10^-3*10^2*各项系数!$J$4</f>
        <v>0.10023827052409</v>
      </c>
      <c r="LO157" s="479">
        <v>1</v>
      </c>
      <c r="LP157" s="251">
        <f t="shared" si="551"/>
        <v>0.10023827052409</v>
      </c>
      <c r="LQ157" s="251">
        <f>LP157*(VLOOKUP($LN$9,各项系数!$D$1:$F$143,2,0))</f>
        <v>1.10262097576499</v>
      </c>
      <c r="LR157" s="251">
        <f>各项系数!$F$76/4*($NI157^2-$NF157^2)*10^-2*(VLOOKUP($LR$9,各项系数!$D$1:$F$143,3,0))*10^-3*10^2*各项系数!$J$4</f>
        <v>0.101341082642835</v>
      </c>
      <c r="LS157" s="479">
        <v>1</v>
      </c>
      <c r="LT157" s="251">
        <f t="shared" si="552"/>
        <v>0.101341082642835</v>
      </c>
      <c r="LU157" s="251">
        <f>LT157*(VLOOKUP($LR$9,各项系数!$D$1:$F$143,2,0))</f>
        <v>1.11475190907119</v>
      </c>
      <c r="LV157" s="499">
        <f t="shared" si="661"/>
        <v>13.38118427</v>
      </c>
      <c r="LW157" s="499">
        <f t="shared" si="662"/>
        <v>13.38118427</v>
      </c>
      <c r="LX157" s="499">
        <f t="shared" si="663"/>
        <v>4.12764496631579</v>
      </c>
      <c r="LY157" s="515">
        <f t="shared" si="664"/>
        <v>0</v>
      </c>
      <c r="LZ157" s="516">
        <f t="shared" si="608"/>
        <v>1</v>
      </c>
      <c r="MA157" s="517">
        <f t="shared" si="609"/>
        <v>13.38118427</v>
      </c>
      <c r="MB157" s="517">
        <f t="shared" si="665"/>
        <v>1.10315952</v>
      </c>
      <c r="MC157" s="499">
        <f t="shared" si="666"/>
        <v>0</v>
      </c>
      <c r="MD157" s="499">
        <f t="shared" si="667"/>
        <v>0</v>
      </c>
      <c r="ME157" s="499">
        <f t="shared" si="668"/>
        <v>0</v>
      </c>
      <c r="MF157" s="499">
        <f t="shared" si="669"/>
        <v>0</v>
      </c>
      <c r="MG157" s="516">
        <f t="shared" si="670"/>
        <v>1</v>
      </c>
      <c r="MH157" s="517">
        <f t="shared" si="610"/>
        <v>0</v>
      </c>
      <c r="MI157" s="517">
        <f t="shared" si="671"/>
        <v>0</v>
      </c>
      <c r="MJ157" s="251">
        <f t="shared" si="611"/>
        <v>1.10315952</v>
      </c>
      <c r="MK157" s="251">
        <f t="shared" si="672"/>
        <v>1.10315952</v>
      </c>
      <c r="ML157" s="251">
        <f t="shared" si="553"/>
        <v>0</v>
      </c>
      <c r="MM157" s="251">
        <f t="shared" si="612"/>
        <v>0</v>
      </c>
      <c r="MN157" s="251">
        <f t="shared" si="613"/>
        <v>2.30315952</v>
      </c>
      <c r="MO157" s="251">
        <f t="shared" si="673"/>
        <v>0</v>
      </c>
      <c r="MP157" s="251">
        <f t="shared" si="674"/>
        <v>10.15693348</v>
      </c>
      <c r="MQ157" s="251">
        <f t="shared" si="554"/>
        <v>10.15693348</v>
      </c>
      <c r="MR157" s="314">
        <f t="shared" si="675"/>
        <v>10.15693348</v>
      </c>
      <c r="MS157" s="530">
        <f t="shared" si="614"/>
        <v>10.33293348</v>
      </c>
      <c r="MT157" s="530">
        <f t="shared" si="615"/>
        <v>10.49293348</v>
      </c>
      <c r="MU157" s="530">
        <f t="shared" si="616"/>
        <v>11.53293348</v>
      </c>
      <c r="MV157" s="530">
        <f t="shared" si="617"/>
        <v>13.33293348</v>
      </c>
      <c r="MW157" s="530">
        <f t="shared" si="618"/>
        <v>13.49293348</v>
      </c>
      <c r="MX157" s="326">
        <f t="shared" si="619"/>
        <v>1.70315952</v>
      </c>
      <c r="MY157" s="326">
        <f t="shared" si="620"/>
        <v>0</v>
      </c>
      <c r="MZ157" s="251">
        <f t="shared" si="621"/>
        <v>2.90315952</v>
      </c>
      <c r="NA157" s="251">
        <f t="shared" si="622"/>
        <v>0</v>
      </c>
      <c r="NB157" s="251">
        <f t="shared" si="676"/>
        <v>12.80293348</v>
      </c>
      <c r="NC157" s="326">
        <f t="shared" si="555"/>
        <v>12.80293348</v>
      </c>
      <c r="ND157" s="314">
        <f t="shared" si="677"/>
        <v>12.80293348</v>
      </c>
      <c r="NE157" s="537">
        <f t="shared" si="678"/>
        <v>13.04293348</v>
      </c>
      <c r="NF157" s="530">
        <f t="shared" si="623"/>
        <v>13.20293348</v>
      </c>
      <c r="NG157" s="538">
        <f t="shared" si="624"/>
        <v>14.24293348</v>
      </c>
      <c r="NH157" s="326">
        <f t="shared" si="625"/>
        <v>16.04293348</v>
      </c>
      <c r="NI157" s="530">
        <f t="shared" si="626"/>
        <v>16.20293348</v>
      </c>
      <c r="NK157" s="539">
        <f t="shared" si="627"/>
        <v>0.279007075167188</v>
      </c>
      <c r="NL157" s="539">
        <f t="shared" si="628"/>
        <v>9.25144110090398</v>
      </c>
      <c r="NM157" s="539">
        <f t="shared" si="629"/>
        <v>0.279007075167188</v>
      </c>
      <c r="NN157" s="539">
        <f t="shared" si="630"/>
        <v>9.33300049116682</v>
      </c>
      <c r="NO157" s="539">
        <f t="shared" si="631"/>
        <v>0.493631107779001</v>
      </c>
      <c r="NP157" s="539">
        <f t="shared" si="632"/>
        <v>10.4554312035218</v>
      </c>
      <c r="NQ157" s="539">
        <f t="shared" si="633"/>
        <v>0.493631107779001</v>
      </c>
      <c r="NR157" s="539">
        <f t="shared" si="634"/>
        <v>10.5556694740459</v>
      </c>
      <c r="NS157" s="539">
        <f t="shared" si="635"/>
        <v>0.293552207062868</v>
      </c>
      <c r="NT157" s="539">
        <f t="shared" si="636"/>
        <v>0.293552207062868</v>
      </c>
      <c r="NU157" s="539">
        <f t="shared" si="637"/>
        <v>0.511961657829229</v>
      </c>
      <c r="NV157" s="539">
        <f t="shared" si="638"/>
        <v>0.511961657829229</v>
      </c>
      <c r="NW157">
        <f t="shared" si="639"/>
        <v>0.439356594563668</v>
      </c>
      <c r="NX157">
        <f>各项系数!$M$9*NK157</f>
        <v>0.0837021225501563</v>
      </c>
      <c r="NY157">
        <f t="shared" si="640"/>
        <v>0.293552207062868</v>
      </c>
    </row>
    <row r="158" customHeight="1" spans="1:389">
      <c r="A158" s="85"/>
      <c r="B158" s="86"/>
      <c r="C158" s="218"/>
      <c r="D158" s="123" t="s">
        <v>268</v>
      </c>
      <c r="E158" s="77">
        <f t="shared" si="687"/>
        <v>14.00084974</v>
      </c>
      <c r="F158" s="558">
        <f t="shared" si="693"/>
        <v>110.31595161029</v>
      </c>
      <c r="G158" s="78"/>
      <c r="H158" s="23"/>
      <c r="I158" s="174">
        <v>0</v>
      </c>
      <c r="J158" s="23"/>
      <c r="K158" s="23"/>
      <c r="L158" s="118" t="s">
        <v>469</v>
      </c>
      <c r="M158" s="124">
        <f t="shared" si="582"/>
        <v>0.6</v>
      </c>
      <c r="N158" s="124">
        <f t="shared" si="583"/>
        <v>0</v>
      </c>
      <c r="O158" s="69">
        <f t="shared" ref="O158:O167" si="703">$O$36</f>
        <v>0.08</v>
      </c>
      <c r="P158" s="120">
        <v>0.1</v>
      </c>
      <c r="Q158" s="162">
        <f t="shared" si="700"/>
        <v>0.1</v>
      </c>
      <c r="R158" s="560">
        <v>0.8</v>
      </c>
      <c r="S158" s="171" t="str">
        <f>各项系数!$D$43</f>
        <v>钢带</v>
      </c>
      <c r="T158" s="123">
        <v>0.2</v>
      </c>
      <c r="U158" s="78">
        <v>4</v>
      </c>
      <c r="V158" s="172"/>
      <c r="W158" s="170">
        <f t="shared" si="702"/>
        <v>1.5</v>
      </c>
      <c r="X158" s="164">
        <f t="shared" si="701"/>
        <v>0.2</v>
      </c>
      <c r="Y158" s="219"/>
      <c r="Z158" s="220"/>
      <c r="AA158" s="217">
        <v>1</v>
      </c>
      <c r="AB158" s="186">
        <f>PI()*EJ158*EJ158/4*EH158*(1-H158)*AA158*各项系数!$F$5*各项系数!$J$4*10^-7</f>
        <v>0.0084545666936337</v>
      </c>
      <c r="AC158" s="186">
        <f t="shared" ref="AC158:AC173" si="704">EJ158</f>
        <v>110.31595161029</v>
      </c>
      <c r="AD158" s="186">
        <f t="shared" si="584"/>
        <v>0.955798869898841</v>
      </c>
      <c r="AE158" s="186">
        <f>POWER(4*EU158/PI()/EG158/10^-7/EH158/(1-H158)/各项系数!$F$5/各项系数!$J$4,0.5)</f>
        <v>110.31595161029</v>
      </c>
      <c r="AF158" s="218">
        <v>1</v>
      </c>
      <c r="AG158" s="85">
        <f>IF(EM158=0,0,PI()*ER158*ER158/4*EP158*(1-K158)*(1+AF158)*各项系数!$F$5*各项系数!$J$4*10^-7)</f>
        <v>0</v>
      </c>
      <c r="AH158" s="85">
        <f t="shared" ref="AH158:AH173" si="705">ER158</f>
        <v>0</v>
      </c>
      <c r="AI158" s="85">
        <f t="shared" si="641"/>
        <v>0</v>
      </c>
      <c r="AJ158" s="85">
        <f>IF(OR(EP158="",EP158=0),0,POWER(4*EW158/PI()/EO158/10^-7/EP158/(1-K158)/各项系数!$F$5/各项系数!$J$4,0.5))</f>
        <v>0</v>
      </c>
      <c r="AK158" s="85" t="str">
        <f t="shared" si="585"/>
        <v>√</v>
      </c>
      <c r="AL158" s="85">
        <f t="shared" ref="AL158:AL173" si="706">AO158*(1+0.02)</f>
        <v>11.5419554546986</v>
      </c>
      <c r="AM158" s="250">
        <f t="shared" ref="AM158:AM173" si="707">EE158*1</f>
        <v>1</v>
      </c>
      <c r="AN158" s="118" t="s">
        <v>486</v>
      </c>
      <c r="AO158" s="259">
        <f>AP158+各项系数!$M$9*$NK158</f>
        <v>11.3156426026457</v>
      </c>
      <c r="AP158" s="259">
        <f>AQ158*(1+$BI158+(VLOOKUP($AM158,$A$12:$B$323,2,0))+各项系数!$J$6+各项系数!$M$5)*(1+$E$2)</f>
        <v>11.222365893364</v>
      </c>
      <c r="AQ158" s="260">
        <f>AR158+各项系数!$L$9*$NK158</f>
        <v>11.0109555468642</v>
      </c>
      <c r="AR158" s="260">
        <f>AS158*(1+$BJ158+各项系数!$J$5+各项系数!$L$5)</f>
        <v>10.9176788375825</v>
      </c>
      <c r="AS158" s="260">
        <f t="shared" si="642"/>
        <v>10.4977681130601</v>
      </c>
      <c r="AT158" s="259">
        <f>AU158+各项系数!$M$9*$NM158</f>
        <v>11.9338291963781</v>
      </c>
      <c r="AU158" s="259">
        <f>AV158*(1+$BI158+(VLOOKUP($AM158,$A$12:$B$323,2,0))+各项系数!$J$6+各项系数!$M$5)*(1+$E$2)</f>
        <v>11.8405524870964</v>
      </c>
      <c r="AV158" s="260">
        <f>AW158+各项系数!$L$9*$NM158</f>
        <v>11.6174965532735</v>
      </c>
      <c r="AW158" s="260">
        <f>AX158*(1+$BJ158+各项系数!$J$5+各项系数!$L$5)</f>
        <v>11.5242198439918</v>
      </c>
      <c r="AX158" s="260">
        <f t="shared" si="643"/>
        <v>11.0809806192229</v>
      </c>
      <c r="AY158" s="259">
        <f>AZ158+各项系数!$M$9*$NS158</f>
        <v>12.4441326617121</v>
      </c>
      <c r="AZ158" s="259">
        <f>BA158*(1+$BI158+(VLOOKUP($AM158,$A$12:$B$214,2,0))+各项系数!$J$6+各项系数!$M$5)*(1+$E$2)</f>
        <v>12.3462125225661</v>
      </c>
      <c r="BA158" s="260">
        <f>BB158+各项系数!$L$9*$NS158</f>
        <v>12.113630810995</v>
      </c>
      <c r="BB158" s="260">
        <f>BC158*(1+$BJ158+各项系数!$J$5+各项系数!$L$5)</f>
        <v>12.0157106718491</v>
      </c>
      <c r="BC158" s="262">
        <f t="shared" si="644"/>
        <v>11.5535679537011</v>
      </c>
      <c r="BD158" s="259">
        <f>BE158+各项系数!$M$9*$NS158</f>
        <v>13.0702315059758</v>
      </c>
      <c r="BE158" s="259">
        <f>BF158*(1+$BI158+(VLOOKUP($AM158,$A$12:$B$214,2,0))+各项系数!$J$6+各项系数!$M$5)*(1+$E$2)</f>
        <v>12.9723113668298</v>
      </c>
      <c r="BF158" s="260">
        <f>BG158+各项系数!$L$9*$NS158</f>
        <v>12.7279350145505</v>
      </c>
      <c r="BG158" s="260">
        <f>BH158*(1+$BJ158+各项系数!$J$5+各项系数!$L$5)</f>
        <v>12.6300148754045</v>
      </c>
      <c r="BH158" s="262">
        <f t="shared" si="645"/>
        <v>12.1442450725044</v>
      </c>
      <c r="BI158" s="277"/>
      <c r="BJ158" s="272">
        <f t="shared" si="695"/>
        <v>0.02</v>
      </c>
      <c r="BK158" s="123" t="s">
        <v>514</v>
      </c>
      <c r="BL158" s="259">
        <f>BM158+各项系数!$M$9*$NM158</f>
        <v>11.5148441087741</v>
      </c>
      <c r="BM158" s="259">
        <f>BN158*(1+$CF158+(VLOOKUP($AM158,$A$12:$B$323,2,0))+各项系数!$J$6+各项系数!$M$5)*(1+$E$2)</f>
        <v>11.4215673994924</v>
      </c>
      <c r="BN158" s="260">
        <f>BO158+各项系数!$L$9*$NM158</f>
        <v>11.2064044343528</v>
      </c>
      <c r="BO158" s="260">
        <f>BP158*(1+$CG158+各项系数!$J$5+各项系数!$L$5)</f>
        <v>11.1131277250711</v>
      </c>
      <c r="BP158" s="260">
        <f t="shared" si="646"/>
        <v>10.5839311667344</v>
      </c>
      <c r="BQ158" s="259">
        <f>BR158+各项系数!$M$9*$NM158</f>
        <v>12.0467665508492</v>
      </c>
      <c r="BR158" s="259">
        <f>BS158*(1+$CF158+(VLOOKUP($AM158,$A$12:$B$323,2,0))+各项系数!$J$6+各项系数!$M$5)*(1+$E$2)</f>
        <v>11.9534898415675</v>
      </c>
      <c r="BS158" s="260">
        <f>BT158+各项系数!$L$9*$NM158</f>
        <v>11.7283063594658</v>
      </c>
      <c r="BT158" s="260">
        <f>BU158*(1+$CG158+各项系数!$J$5+各项系数!$L$5)</f>
        <v>11.6350296501841</v>
      </c>
      <c r="BU158" s="260">
        <f t="shared" si="647"/>
        <v>11.0809806192229</v>
      </c>
      <c r="BV158" s="259">
        <f>BW158+各项系数!$M$9*$NT158</f>
        <v>12.5638969199113</v>
      </c>
      <c r="BW158" s="259">
        <f>BX158*(1+$CF158+(VLOOKUP($AM158,$A$12:$B$214,2,0))+各项系数!$J$6+各项系数!$M$5)*(1+$E$2)</f>
        <v>12.4659767807654</v>
      </c>
      <c r="BX158" s="260">
        <f>BY158+各项系数!$L$9*$NT$12</f>
        <v>12.2311389136238</v>
      </c>
      <c r="BY158" s="260">
        <f>BZ158*(1+$CG158+各项系数!$J$5+各项系数!$L$5)</f>
        <v>12.2228755104688</v>
      </c>
      <c r="BZ158" s="262">
        <f t="shared" si="586"/>
        <v>11.6408338194941</v>
      </c>
      <c r="CA158" s="259">
        <f>CB158+各项系数!$M$9*$NT158</f>
        <v>13.1026275064328</v>
      </c>
      <c r="CB158" s="259">
        <f>CC158*(1+$CF158+(VLOOKUP($AM158,$A$12:$B$214,2,0))+各项系数!$J$6+各项系数!$M$5)*(1+$E$2)</f>
        <v>13.0047073672868</v>
      </c>
      <c r="CC158" s="260">
        <f>CD158+各项系数!$L$9*$NT$12</f>
        <v>12.7597207292846</v>
      </c>
      <c r="CD158" s="260">
        <f>CE158*(1+$CG158+各项系数!$J$5+各项系数!$L$5)</f>
        <v>12.7514573261296</v>
      </c>
      <c r="CE158" s="262">
        <f t="shared" si="648"/>
        <v>12.1442450725044</v>
      </c>
      <c r="CF158" s="277">
        <f t="shared" si="514"/>
        <v>0</v>
      </c>
      <c r="CG158" s="277">
        <f t="shared" si="587"/>
        <v>0.03</v>
      </c>
      <c r="CH158" s="123"/>
      <c r="CI158" s="259">
        <f>CJ158+各项系数!$M$9*$NO158</f>
        <v>12.99430871709</v>
      </c>
      <c r="CJ158" s="259">
        <f>CK158*(1+$DC158+(VLOOKUP($AM158,$A$12:$B$323,2,0))+各项系数!$J$6+各项系数!$M$5)*(1+$E$2)+各项系数!$M$9*$NK158</f>
        <v>12.8290003002967</v>
      </c>
      <c r="CK158" s="260">
        <f>CL158+各项系数!$L$9*$NO158</f>
        <v>12.4958041513098</v>
      </c>
      <c r="CL158" s="260">
        <f>CM158*(1+$DD158+各项系数!$J$5+各项系数!$L$5)</f>
        <v>12.3304957345165</v>
      </c>
      <c r="CM158" s="260">
        <f t="shared" si="588"/>
        <v>11.8562458985735</v>
      </c>
      <c r="CN158" s="259">
        <f>CO158+各项系数!$M$9*$NO158</f>
        <v>13.4017928743746</v>
      </c>
      <c r="CO158" s="259">
        <f>CP158*(1+$DC158+(VLOOKUP($AM158,$A$12:$B$323,2,0))+各项系数!$J$6+各项系数!$M$5)*(1+$E$2)+各项系数!$M$9*$NK158</f>
        <v>13.2364844575813</v>
      </c>
      <c r="CP158" s="260">
        <f>CQ158+各项系数!$L$9*$NO158</f>
        <v>12.8956119979391</v>
      </c>
      <c r="CQ158" s="260">
        <f>CR158*(1+$DD158+各项系数!$J$5+各项系数!$L$5)</f>
        <v>12.7303035811458</v>
      </c>
      <c r="CR158" s="260">
        <f t="shared" si="589"/>
        <v>12.2406765203325</v>
      </c>
      <c r="CS158" s="259">
        <f>CT158+各项系数!$M$9*$NU158</f>
        <v>14.3201904737289</v>
      </c>
      <c r="CT158" s="259">
        <f t="shared" si="590"/>
        <v>14.1490300869284</v>
      </c>
      <c r="CU158" s="260">
        <f>CV158+各项系数!$L$9*$NU158</f>
        <v>13.882486349027</v>
      </c>
      <c r="CV158" s="260">
        <f>CW158*(1+$DD158+各项系数!$J$5+各项系数!$L$5)</f>
        <v>13.7113259622265</v>
      </c>
      <c r="CW158" s="262">
        <f t="shared" si="591"/>
        <v>13.1839672713717</v>
      </c>
      <c r="CX158" s="259">
        <f>CY158+各项系数!$M$9*$NU158</f>
        <v>15.0889076338195</v>
      </c>
      <c r="CY158" s="259">
        <f t="shared" si="592"/>
        <v>14.917747247019</v>
      </c>
      <c r="CZ158" s="260">
        <f>DA158+各项系数!$L$9*$NU158</f>
        <v>14.6367221811411</v>
      </c>
      <c r="DA158" s="260">
        <f>DB158*(1+$DD158+各项系数!$J$5+各项系数!$L$5)</f>
        <v>14.4655617943406</v>
      </c>
      <c r="DB158" s="262">
        <f t="shared" si="593"/>
        <v>13.9091940330198</v>
      </c>
      <c r="DC158" s="277">
        <f t="shared" si="698"/>
        <v>0</v>
      </c>
      <c r="DD158" s="277">
        <f t="shared" si="594"/>
        <v>0.02</v>
      </c>
      <c r="DE158" s="69" t="s">
        <v>498</v>
      </c>
      <c r="DF158" s="69" t="s">
        <v>513</v>
      </c>
      <c r="DG158" s="259">
        <f>DH158+各项系数!$M$9*$NQ158</f>
        <v>13.2286286709498</v>
      </c>
      <c r="DH158" s="259">
        <f>DI158*(1+$EA158+(VLOOKUP($AM158,$A$12:$B$323,2,0))+各项系数!$J$6+各项系数!$M$5)*(1+$E$2)+各项系数!$M$9*$NK158</f>
        <v>13.0633202541564</v>
      </c>
      <c r="DI158" s="260">
        <f>DJ158+各项系数!$L$9*$NQ158</f>
        <v>12.725709914516</v>
      </c>
      <c r="DJ158" s="260">
        <f>DK158*(1+$EB158+各项系数!$J$5+各项系数!$L$5)</f>
        <v>12.5604014977226</v>
      </c>
      <c r="DK158" s="260">
        <f t="shared" si="595"/>
        <v>11.9622871406882</v>
      </c>
      <c r="DL158" s="259">
        <f>DM158+各项系数!$M$9*$NQ158</f>
        <v>13.8832679166703</v>
      </c>
      <c r="DM158" s="259">
        <f>DN158*(1+$EA158+(VLOOKUP($AM158,$A$12:$B$323,2,0))+各项系数!$J$6+各项系数!$M$5)*(1+$E$2)+各项系数!$M$9*$NK158</f>
        <v>13.717959499877</v>
      </c>
      <c r="DN158" s="260">
        <f>DO158+各项系数!$L$9*$NQ158</f>
        <v>13.3680168667536</v>
      </c>
      <c r="DO158" s="260">
        <f>DP158*(1+$EB158+各项系数!$J$5+各项系数!$L$5)</f>
        <v>13.2027084499602</v>
      </c>
      <c r="DP158" s="260">
        <f t="shared" si="596"/>
        <v>12.5740080475812</v>
      </c>
      <c r="DQ158" s="259">
        <f>DR158+各项系数!$M$9*$NV158</f>
        <v>14.5692227492372</v>
      </c>
      <c r="DR158" s="259">
        <f t="shared" si="597"/>
        <v>14.3980623624366</v>
      </c>
      <c r="DS158" s="260">
        <f>DT158+各项系数!$L$9*$NV158</f>
        <v>14.1268272786859</v>
      </c>
      <c r="DT158" s="260">
        <f>DU158*(1+$EB158+各项系数!$J$5+各项系数!$L$5)</f>
        <v>13.9556668918853</v>
      </c>
      <c r="DU158" s="262">
        <f t="shared" si="598"/>
        <v>13.2911113256051</v>
      </c>
      <c r="DV158" s="259">
        <f>DW158+各项系数!$M$9*$NV158</f>
        <v>14.2950330163213</v>
      </c>
      <c r="DW158" s="259">
        <f t="shared" si="599"/>
        <v>14.1238726295207</v>
      </c>
      <c r="DX158" s="260">
        <f>DY158+各项系数!$L$9*$NV158</f>
        <v>13.8578028154638</v>
      </c>
      <c r="DY158" s="260">
        <f>DZ158*(1+$EB158+各项系数!$J$5+各项系数!$L$5)</f>
        <v>13.6866424286633</v>
      </c>
      <c r="DZ158" s="262">
        <f t="shared" si="600"/>
        <v>13.0348975511079</v>
      </c>
      <c r="EA158" s="277">
        <f t="shared" si="699"/>
        <v>0</v>
      </c>
      <c r="EB158" s="277">
        <f t="shared" si="601"/>
        <v>0.03</v>
      </c>
      <c r="EC158" s="302">
        <f t="shared" si="649"/>
        <v>16</v>
      </c>
      <c r="ED158" s="302" t="str">
        <f t="shared" ref="ED158:ED163" si="708">IF(COUNTIF($D158,"*+*")&gt;0,MID($D158,1,FIND("+",$D158)-1),MID($D158,1,LEN($D158)))</f>
        <v>16*1</v>
      </c>
      <c r="EE158" s="251">
        <f t="shared" ref="EE158:EE173" si="709">IF($D158="",0,IF(COUNTIF($D158,"*+*")&gt;0,MID($D158,FIND("*",$D158)+1,FIND("+",$D158)-FIND("*",$D158)-1),RIGHT($D158,(LEN($D158)-FIND("*",$D158)))))*1</f>
        <v>1</v>
      </c>
      <c r="EF158" s="251">
        <f>LOOKUP(EH158,{1,7,10,14,19,24,30,37,48,61},{1,"1+6","2+8","4+10","1+6+12","2+8+14","4+10+16","1+6+12+18","3+9+15+21","1+6+12+18+24"})</f>
        <v>1</v>
      </c>
      <c r="EG158" s="250">
        <f t="shared" si="602"/>
        <v>16</v>
      </c>
      <c r="EH158" s="260">
        <f>VLOOKUP(EE158,各项系数!$B$87:$C$124,2,0)</f>
        <v>1</v>
      </c>
      <c r="EI158" s="250">
        <f>IF(EH158=0,0,VLOOKUP(EH158,各项系数!$D$142:$E$195,2,0))*1</f>
        <v>1</v>
      </c>
      <c r="EJ158" s="305">
        <f t="shared" si="650"/>
        <v>110.31595161029</v>
      </c>
      <c r="EK158" s="251">
        <f t="shared" si="689"/>
        <v>0</v>
      </c>
      <c r="EL158" s="251">
        <f t="shared" si="603"/>
        <v>0</v>
      </c>
      <c r="EM158" s="251">
        <f t="shared" si="690"/>
        <v>0</v>
      </c>
      <c r="EN158" s="251">
        <f>IF(EP158=0,0,LOOKUP(EP158,{1,7,10,14,19,24,30,37,48,61},{1,"1+6","2+8","4+10","1+6+12","2+8+14","4+10+16","1+6+12+18","3+9+15+21","1+6+12+18+24"}))</f>
        <v>0</v>
      </c>
      <c r="EO158" s="251">
        <f t="shared" si="691"/>
        <v>0</v>
      </c>
      <c r="EP158" s="251">
        <f>IF(EM158=0,0,IF(EM158&lt;10,1,IF(AND(EM158&gt;=10,EM158&lt;=35),7,LOOKUP(EM158,{50,70,95,120,150,185,240,300},{10,14,19,24,30,37,48,61})*1)))</f>
        <v>0</v>
      </c>
      <c r="EQ158" s="251">
        <f>IF(EP158=0,0,VLOOKUP(EP158,各项系数!$D$142:$E$195,2,0))*1</f>
        <v>0</v>
      </c>
      <c r="ER158" s="69">
        <f t="shared" ref="ER158:ER173" si="710">$I158-$J158</f>
        <v>0</v>
      </c>
      <c r="ES158" s="566">
        <f t="shared" si="692"/>
        <v>16</v>
      </c>
      <c r="ET158" s="251">
        <f>VLOOKUP(ES158,各项系数!$D$142:$E$195,2,0)*1</f>
        <v>4.7</v>
      </c>
      <c r="EU158" s="311">
        <f>((各项系数!$F$76/4*$EJ158^2*$EG158*$EH158*1*10^-7)*(1-$H158)*AA158)*(VLOOKUP($EY$9,各项系数!$D$4:$F$143,3,0))*各项系数!$J$4</f>
        <v>0.135273067098139</v>
      </c>
      <c r="EV158" s="312">
        <f>EU158*(VLOOKUP($EY$9,各项系数!$D$4:$F$143,2,0))</f>
        <v>8.86038589492811</v>
      </c>
      <c r="EW158" s="324">
        <f>(IF($EO158=0,0,(各项系数!$F$76/4*$ER158^2*$EO158*$EP158*1*10^-7))*(1-$K158)*$AF158)*(VLOOKUP($EY$9,各项系数!$D$4:$F$143,3,0))*各项系数!$J$4</f>
        <v>0</v>
      </c>
      <c r="EX158" s="325">
        <f>EW158*(VLOOKUP($EY$9,各项系数!$D$4:$F$143,2,0))</f>
        <v>0</v>
      </c>
      <c r="EY158" s="251">
        <f>((各项系数!$F$76/4*$EJ158^2*$EG158*$EH158*1*10^-7)*(1-$H158)*AA158+IF($EO158=0,0,(各项系数!$F$76/4*$ER158^2*$EO158*$EP158*1*10^-7))*(1-$K158)*$AF158)*(VLOOKUP($EY$9,各项系数!$D$4:$F$143,3,0))*各项系数!$J$4</f>
        <v>0.135273067098139</v>
      </c>
      <c r="EZ158" s="123">
        <v>1</v>
      </c>
      <c r="FA158" s="251">
        <f t="shared" ref="FA158:FA163" si="711">EZ158*EY158</f>
        <v>0.135273067098139</v>
      </c>
      <c r="FB158" s="326">
        <f>FA158*(VLOOKUP($EY$9,各项系数!$D$4:$F$143,2,0))</f>
        <v>8.86038589492811</v>
      </c>
      <c r="FC158" s="327"/>
      <c r="FD158" s="302">
        <f>各项系数!$F$76/4*($MN158^2-MK158^2)*10^-2*(VLOOKUP(L158,各项系数!$D$1:$F$143,3,0))*10^-3*10^2*$EG158*各项系数!$J$4</f>
        <v>0.0562201756379355</v>
      </c>
      <c r="FE158" s="339">
        <f>FD158*VLOOKUP(L158,各项系数!$D$1:$F$143,2,0)</f>
        <v>0.646532019836259</v>
      </c>
      <c r="FF158" s="250">
        <f>各项系数!$F$76/4*($MO158^2-ML158^2)*10^-2*(VLOOKUP(L158,各项系数!$D$1:$F$143,3,0))*10^-3*10^2*$EO158*各项系数!$J$4</f>
        <v>0</v>
      </c>
      <c r="FG158" s="339">
        <f>FF158*VLOOKUP(L158,各项系数!$D$1:$F$143,2,0)</f>
        <v>0</v>
      </c>
      <c r="FH158" s="302">
        <f t="shared" si="651"/>
        <v>0.0562201756379355</v>
      </c>
      <c r="FI158" s="123">
        <v>1</v>
      </c>
      <c r="FJ158" s="251">
        <f t="shared" ref="FJ158:FJ163" si="712">FI158*FH158</f>
        <v>0.0562201756379355</v>
      </c>
      <c r="FK158" s="339">
        <f>FJ158*VLOOKUP(L158,各项系数!$D$1:$F$143,2,0)</f>
        <v>0.646532019836259</v>
      </c>
      <c r="FL158" s="302"/>
      <c r="FM158" s="123"/>
      <c r="FN158" s="251"/>
      <c r="FO158" s="339"/>
      <c r="FP158" s="364">
        <f t="shared" ref="FP158:FP163" si="713">FJ158</f>
        <v>0.0562201756379355</v>
      </c>
      <c r="FQ158" s="364">
        <f t="shared" ref="FQ158:FQ163" si="714">FK158</f>
        <v>0.646532019836259</v>
      </c>
      <c r="FR158" s="365">
        <f>各项系数!$F$76/4*($MQ158^2-$MN158^2*$EG158-$MO158^2*$EO158)*10^-2</f>
        <v>0.2537202966566</v>
      </c>
      <c r="FS158" s="366">
        <f t="shared" si="652"/>
        <v>1</v>
      </c>
      <c r="FT158" s="367">
        <f t="shared" si="604"/>
        <v>0.2537202966566</v>
      </c>
      <c r="FU158" s="388">
        <f>$FT158*(VLOOKUP($FT$9,各项系数!$D$1:$F$143,3,0))*10^-3*10^2*各项系数!$J$55</f>
        <v>0.030294203420798</v>
      </c>
      <c r="FV158" s="389">
        <v>1</v>
      </c>
      <c r="FW158" s="390">
        <f t="shared" ref="FW158:FW163" si="715">FV158*FU158</f>
        <v>0.030294203420798</v>
      </c>
      <c r="FX158" s="367">
        <f>FW158*(VLOOKUP($FT$9,各项系数!$D$1:$F$143,2,0))</f>
        <v>0.0908826102623941</v>
      </c>
      <c r="FY158" s="388">
        <f>IF($BK158&lt;&gt;$FY$9,0,各项系数!$F$76/4*($MS158^2-$MQ158^2)*10^-2*(VLOOKUP($FY$9,各项系数!$D$1:$F$143,3,0))*10^-3*10^2)*各项系数!$J$4</f>
        <v>0</v>
      </c>
      <c r="FZ158" s="389">
        <v>1</v>
      </c>
      <c r="GA158" s="390">
        <f t="shared" ref="GA158:GA163" si="716">FZ158*FY158</f>
        <v>0</v>
      </c>
      <c r="GB158" s="367">
        <f>GA158*(VLOOKUP($FY$9,各项系数!$D$1:$F$143,2,0))</f>
        <v>0</v>
      </c>
      <c r="GC158" s="388">
        <f>IF($BK158&lt;&gt;$GC$9,0,各项系数!$F$76/4*($MS158^2-$MQ158^2)*10^-2*(VLOOKUP($GC$9,各项系数!$D$1:$F$143,3,0))*10^-3*10^2)*各项系数!$J$4</f>
        <v>0.00297186444110584</v>
      </c>
      <c r="GD158" s="389">
        <v>1</v>
      </c>
      <c r="GE158" s="390">
        <f t="shared" ref="GE158:GE163" si="717">GD158*GC158</f>
        <v>0.00297186444110584</v>
      </c>
      <c r="GF158" s="367">
        <f>GE158*(VLOOKUP($GC$9,各项系数!$D$1:$F$143,2,0))</f>
        <v>0.0383370512902653</v>
      </c>
      <c r="GG158" s="388">
        <f>IF($BK158&lt;&gt;$GG$9,0,各项系数!$F$76/4*($MS158^2-$MQ158^2)*10^-2*(VLOOKUP($GG$9,各项系数!$D$1:$F$143,3,0))*10^-3*10^2)*各项系数!$J$4</f>
        <v>0</v>
      </c>
      <c r="GH158" s="389">
        <v>1</v>
      </c>
      <c r="GI158" s="390">
        <f t="shared" ref="GI158:GI163" si="718">GH158*GG158</f>
        <v>0</v>
      </c>
      <c r="GJ158" s="367">
        <f>GI158*(VLOOKUP($GG$9,各项系数!$D$1:$F$143,2,0))</f>
        <v>0</v>
      </c>
      <c r="GK158" s="388">
        <f>IF($BK158&lt;&gt;$GK$9,0,各项系数!$F$76/4*($MS158^2-$MQ158^2)*10^-2*(VLOOKUP($GK$9,各项系数!$D$1:$F$143,3,0))*10^-3*10^2)*各项系数!$J$4</f>
        <v>0</v>
      </c>
      <c r="GL158" s="389">
        <v>1</v>
      </c>
      <c r="GM158" s="390">
        <f t="shared" ref="GM158:GM163" si="719">GL158*GK158</f>
        <v>0</v>
      </c>
      <c r="GN158" s="367">
        <f>GM158*(VLOOKUP($GK$9,各项系数!$D$1:$F$143,2,0))</f>
        <v>0</v>
      </c>
      <c r="GO158" s="390">
        <f t="shared" ref="GO158:GO163" si="720">GM158+GI158+GE158+GA158</f>
        <v>0.00297186444110584</v>
      </c>
      <c r="GP158" s="390">
        <f t="shared" ref="GP158:GP163" si="721">GN158+GJ158+GF158+GB158</f>
        <v>0.0383370512902653</v>
      </c>
      <c r="GQ158" s="406">
        <f>各项系数!$F$76/4*($MU158^2-$MS158^2)*10^-2*(VLOOKUP($S158,各项系数!$D$1:$F$143,3,0))*10^-3*10^2*各项系数!$J$4</f>
        <v>0.170145614057077</v>
      </c>
      <c r="GR158" s="389">
        <v>1</v>
      </c>
      <c r="GS158" s="390">
        <f t="shared" ref="GS158:GS163" si="722">$GR158*$GQ158</f>
        <v>0.170145614057077</v>
      </c>
      <c r="GT158" s="390">
        <f t="shared" si="696"/>
        <v>1</v>
      </c>
      <c r="GU158" s="390">
        <f>ROUND($GS158*(VLOOKUP($S158,各项系数!$D$1:$F$143,2,0))+$E$3*GS158,GT158)</f>
        <v>1</v>
      </c>
      <c r="GV158" s="406">
        <f>各项系数!$F$76/4*($MT158^2-$MS158^2)*10^-2*(VLOOKUP($GV$9,各项系数!$D$1:$F$143,3,0))*10^-3*10^2*各项系数!$J$4*PI()/4*R158</f>
        <v>0.0154780995474594</v>
      </c>
      <c r="GW158" s="389">
        <v>1</v>
      </c>
      <c r="GX158" s="390">
        <f t="shared" ref="GX158:GX163" si="723">$GW158*$GV158</f>
        <v>0.0154780995474594</v>
      </c>
      <c r="GY158" s="390">
        <f>$GX158*(VLOOKUP($GV$9,各项系数!$D$1:$F$143,2,0))</f>
        <v>1.04477171945351</v>
      </c>
      <c r="GZ158" s="406">
        <f>各项系数!$F$76/4*($MV158^2-$MS158^2)*10^-2*(VLOOKUP($GZ$9,各项系数!$D$1:$F$143,3,0))*10^-3*10^2*各项系数!$J$4</f>
        <v>0.0849907672297585</v>
      </c>
      <c r="HA158" s="389">
        <v>1</v>
      </c>
      <c r="HB158" s="390">
        <f t="shared" si="653"/>
        <v>0.0849907672297585</v>
      </c>
      <c r="HC158" s="390">
        <f>HB158*(VLOOKUP($GZ$9,各项系数!$D$1:$F$143,2,0))</f>
        <v>1.44484304290589</v>
      </c>
      <c r="HD158" s="406">
        <f>各项系数!$F$76/4*($MW158^2-$MT158^2)*10^-2*(VLOOKUP($HD$9,各项系数!$D$1:$F$143,3,0))*10^-3*10^2*各项系数!$J$4</f>
        <v>0.0860785751019905</v>
      </c>
      <c r="HE158" s="389">
        <v>1</v>
      </c>
      <c r="HF158" s="390">
        <f t="shared" si="654"/>
        <v>0.0860785751019905</v>
      </c>
      <c r="HG158" s="390">
        <f>HF158*(VLOOKUP($HD$9,各项系数!$D$1:$F$143,2,0))</f>
        <v>1.46333577673384</v>
      </c>
      <c r="HH158" s="406">
        <f>各项系数!$F$76/4*($MV158^2-$MS158^2)*10^-2*(VLOOKUP($HH$9,各项系数!$D$1:$F$143,3,0))*10^-3*10^2*各项系数!$J$4</f>
        <v>0.0849907672297585</v>
      </c>
      <c r="HI158" s="420">
        <v>1</v>
      </c>
      <c r="HJ158" s="390">
        <f t="shared" si="655"/>
        <v>0.0849907672297585</v>
      </c>
      <c r="HK158" s="390">
        <f>HJ158*(VLOOKUP($HH$9,各项系数!$D$1:$F$143,2,0))</f>
        <v>1.44484304290589</v>
      </c>
      <c r="HL158" s="406">
        <f>各项系数!$F$76/4*($MW158^2-$MT158^2)*10^-2*(VLOOKUP($HL$9,各项系数!$D$1:$F$143,3,0))*10^-3*10^2*各项系数!$J$4</f>
        <v>0.0860785751019905</v>
      </c>
      <c r="HM158" s="420">
        <v>1</v>
      </c>
      <c r="HN158" s="390">
        <f t="shared" si="605"/>
        <v>0.0860785751019905</v>
      </c>
      <c r="HO158" s="390">
        <f>HN158*(VLOOKUP($HL$9,各项系数!$D$1:$F$143,2,0))</f>
        <v>1.46333577673384</v>
      </c>
      <c r="HP158" s="406">
        <f>各项系数!$F$76/4*($MV158^2-$MS158^2)*10^-2*(VLOOKUP(AN158,各项系数!$D$1:$F$143,3,0))*10^-3*10^2*各项系数!$J$4</f>
        <v>0.0861630536743069</v>
      </c>
      <c r="HQ158" s="389">
        <v>1</v>
      </c>
      <c r="HR158" s="390">
        <f t="shared" ref="HR158:HR163" si="724">HQ158*HP158</f>
        <v>0.0861630536743069</v>
      </c>
      <c r="HS158" s="390">
        <f>HR158*(VLOOKUP(AN158,各项系数!$D$1:$F$143,2,0))</f>
        <v>0.861630536743069</v>
      </c>
      <c r="HT158" s="406">
        <f>各项系数!$F$76/4*($MW158^2-$MT158^2)*10^-2*(VLOOKUP(AN158,各项系数!$D$1:$F$143,3,0))*10^-3*10^2*各项系数!$J$4</f>
        <v>0.0872658657930525</v>
      </c>
      <c r="HU158" s="389">
        <v>1</v>
      </c>
      <c r="HV158" s="390">
        <f t="shared" ref="HV158:HV163" si="725">HU158*HT158</f>
        <v>0.0872658657930525</v>
      </c>
      <c r="HW158" s="390">
        <f>HV158*(VLOOKUP(AN158,各项系数!$D$1:$F$143,2,0))</f>
        <v>0.872658657930525</v>
      </c>
      <c r="HX158" s="406">
        <f>各项系数!$F$76/4*($MV158^2-$MS158^2)*10^-2*(VLOOKUP($HX$9,各项系数!$D$1:$F$143,3,0))*10^-3*10^2*各项系数!$J$4</f>
        <v>0.0861630536743069</v>
      </c>
      <c r="HY158" s="420">
        <v>1</v>
      </c>
      <c r="HZ158" s="390">
        <f t="shared" ref="HZ158:HZ163" si="726">HY158*HX158</f>
        <v>0.0861630536743069</v>
      </c>
      <c r="IA158" s="390">
        <f>HZ158*(VLOOKUP($HX$9,各项系数!$D$1:$F$143,2,0))</f>
        <v>0.947793590417376</v>
      </c>
      <c r="IB158" s="406">
        <f>各项系数!$F$76/4*($MW158^2-$MT158^2)*10^-2*(VLOOKUP($IB$9,各项系数!$D$1:$F$143,3,0))*10^-3*10^2*各项系数!$J$4</f>
        <v>0.0872658657930525</v>
      </c>
      <c r="IC158" s="420">
        <v>1</v>
      </c>
      <c r="ID158" s="390">
        <f t="shared" ref="ID158:ID163" si="727">IC158*IB158</f>
        <v>0.0872658657930525</v>
      </c>
      <c r="IE158" s="390">
        <f>ID158*(VLOOKUP($IB$9,各项系数!$D$1:$F$143,2,0))</f>
        <v>0.959924523723577</v>
      </c>
      <c r="IF158" s="429"/>
      <c r="IG158" s="406">
        <f t="shared" si="656"/>
        <v>0.0315800270038609</v>
      </c>
      <c r="IH158" s="389">
        <v>1</v>
      </c>
      <c r="II158" s="390">
        <f t="shared" ref="II158:II163" si="728">IH158*IG158</f>
        <v>0.0315800270038609</v>
      </c>
      <c r="IJ158" s="390">
        <f>II158*(VLOOKUP($IG$8,各项系数!$D$1:$F$143,2,0))</f>
        <v>0.789500675096522</v>
      </c>
      <c r="IK158" s="406">
        <f>(各项系数!$F$76/4*($MX158^2-$MK158^2)*$EG158)*10^-2*(VLOOKUP($IG$8,各项系数!$D$1:$F$143,3,0))*10^-3*10^2*各项系数!$J$4</f>
        <v>0.0315800270038609</v>
      </c>
      <c r="IL158" s="389">
        <f>IK158*(VLOOKUP($IG$8,各项系数!$D$1:$F$143,2,0))</f>
        <v>0.789500675096522</v>
      </c>
      <c r="IM158" s="390">
        <f>(各项系数!$F$76/4*(($MM158+3*$X158)^2-MM158^2)*$EO158)*10^-2*(VLOOKUP($IG$8,各项系数!$D$1:$F$143,3,0))*10^-3*10^2*各项系数!$J$4</f>
        <v>0</v>
      </c>
      <c r="IN158" s="389">
        <f>IM158*(VLOOKUP($IG$8,各项系数!$D$1:$F$143,2,0))</f>
        <v>0</v>
      </c>
      <c r="IO158" s="406">
        <f>各项系数!$F$76/4*($MZ158^2-$MX158^2)*10^-2*(VLOOKUP(L158,各项系数!$D$1:$F$143,3,0))*10^-3*10^2*$ES158*各项系数!$J$4</f>
        <v>0.0760257810358147</v>
      </c>
      <c r="IP158" s="389">
        <v>1</v>
      </c>
      <c r="IQ158" s="390">
        <f t="shared" ref="IQ158:IQ163" si="729">IP158*IO158</f>
        <v>0.0760257810358147</v>
      </c>
      <c r="IR158" s="367">
        <f>IQ158*(VLOOKUP(L158,各项系数!$D$1:$F$143,2,0))</f>
        <v>0.874296481911869</v>
      </c>
      <c r="IS158" s="406">
        <f>IF($L158&lt;&gt;$IS$9,0,各项系数!$F$76/4*($MZ158^2-$MX158^2)*10^-2*各项系数!$F$12*10^-3*10^2)*$ES158*各项系数!$J$4</f>
        <v>0</v>
      </c>
      <c r="IT158" s="389">
        <v>1</v>
      </c>
      <c r="IU158" s="390">
        <f t="shared" ref="IU158:IU163" si="730">IT158*IS158</f>
        <v>0</v>
      </c>
      <c r="IV158" s="367">
        <f>IU158*各项系数!$E$12</f>
        <v>0</v>
      </c>
      <c r="IW158" s="388">
        <f t="shared" ref="IW158:IW163" si="731">IQ158</f>
        <v>0.0760257810358147</v>
      </c>
      <c r="IX158" s="388">
        <f t="shared" ref="IX158:IX163" si="732">IR158</f>
        <v>0.874296481911869</v>
      </c>
      <c r="IY158" s="447">
        <f>各项系数!$F$76/4*($NB158^2-$MZ158^2*$EG158-$NA158^2*$EO158)*10^-2</f>
        <v>0.403133577356713</v>
      </c>
      <c r="IZ158" s="366">
        <f t="shared" si="697"/>
        <v>1</v>
      </c>
      <c r="JA158" s="367">
        <f t="shared" si="606"/>
        <v>0.403133577356713</v>
      </c>
      <c r="JB158" s="364">
        <f>IF($DE158&lt;&gt;$JB$9,0,$JA158*各项系数!$F$32*10^-3*10^2)*各项系数!$J$4</f>
        <v>0</v>
      </c>
      <c r="JC158" s="123">
        <v>1</v>
      </c>
      <c r="JD158" s="251">
        <f t="shared" ref="JD158:JD163" si="733">JC158*JB158</f>
        <v>0</v>
      </c>
      <c r="JE158" s="339">
        <f>JD158*各项系数!$E$32</f>
        <v>0</v>
      </c>
      <c r="JF158" s="364">
        <f>IF($DE158&lt;&gt;$JF$9,0,$JA158*VLOOKUP($JF$9,各项系数!$D$4:$F$540,2,0)*10^-3*10^2)*各项系数!$J$4</f>
        <v>0.200558954734965</v>
      </c>
      <c r="JG158" s="123">
        <v>1</v>
      </c>
      <c r="JH158" s="251">
        <f t="shared" si="607"/>
        <v>0.200558954734965</v>
      </c>
      <c r="JI158" s="339">
        <f>JH158*VLOOKUP($JF$9,各项系数!$D$4:$F$540,3,0)</f>
        <v>0.240670745681958</v>
      </c>
      <c r="JJ158" s="364">
        <f t="shared" ref="JJ158:JJ163" si="734">JH158+JD158</f>
        <v>0.200558954734965</v>
      </c>
      <c r="JK158" s="251">
        <f t="shared" ref="JK158:JK163" si="735">JI158+JE158</f>
        <v>0.240670745681958</v>
      </c>
      <c r="JL158" s="364">
        <f>IF($DF158&lt;&gt;$JL$9,0,各项系数!$F$76/4*($NE158^2-$NC158^2)*10^-2*各项系数!$F$39*10^-3*10^2)*各项系数!$J$4</f>
        <v>0.00154898399040648</v>
      </c>
      <c r="JM158" s="123">
        <v>1</v>
      </c>
      <c r="JN158" s="251">
        <f t="shared" ref="JN158:JN163" si="736">JM158*JL158</f>
        <v>0.00154898399040648</v>
      </c>
      <c r="JO158" s="339">
        <f>JN158*各项系数!$E$39</f>
        <v>0.0309796798081296</v>
      </c>
      <c r="JP158" s="364">
        <f>IF($DF158&lt;&gt;$JP$9,0,各项系数!$F$76/4*($NE158^2-$NC158^2)*10^-2*各项系数!$F$36*10^-3*10^2)*各项系数!$J$4</f>
        <v>0</v>
      </c>
      <c r="JQ158" s="123">
        <v>1</v>
      </c>
      <c r="JR158" s="251">
        <f t="shared" ref="JR158:JR163" si="737">JQ158*JP158</f>
        <v>0</v>
      </c>
      <c r="JS158" s="339">
        <f>JR158*各项系数!$E$36</f>
        <v>0</v>
      </c>
      <c r="JT158" s="364">
        <f>IF($DF158&lt;&gt;$JT$9,0,各项系数!$F$76/4*($NE158^2-$NC158^2)*10^-2*各项系数!$F$40*10^-3*10^2)*各项系数!$J$4</f>
        <v>0</v>
      </c>
      <c r="JU158" s="123">
        <v>1</v>
      </c>
      <c r="JV158" s="251">
        <f t="shared" ref="JV158:JV163" si="738">JU158*JT158</f>
        <v>0</v>
      </c>
      <c r="JW158" s="339">
        <f>JV158*各项系数!$E$40</f>
        <v>0</v>
      </c>
      <c r="JX158" s="364">
        <f>IF($DF158&lt;&gt;$JX$9,0,各项系数!$F$76/4*($NE158^2-$NC158^2)*10^-2*各项系数!$F$38*10^-3*10^2)*各项系数!$J$4</f>
        <v>0</v>
      </c>
      <c r="JY158" s="123">
        <v>1</v>
      </c>
      <c r="JZ158" s="251">
        <f t="shared" ref="JZ158:JZ163" si="739">JY158*JX158</f>
        <v>0</v>
      </c>
      <c r="KA158" s="339">
        <f>JZ158*各项系数!$E$38</f>
        <v>0</v>
      </c>
      <c r="KB158" s="364">
        <f>IF($DF158&lt;&gt;$KB$9,0,各项系数!$F$76/4*($NE158^2-$NC158^2)*10^-2*各项系数!$F$41*10^-3*10^2)*各项系数!$J$4</f>
        <v>0</v>
      </c>
      <c r="KC158" s="123">
        <v>1</v>
      </c>
      <c r="KD158" s="251">
        <f t="shared" ref="KD158:KD163" si="740">KC158*KB158</f>
        <v>0</v>
      </c>
      <c r="KE158" s="339">
        <f>KD158*各项系数!$E$41</f>
        <v>0</v>
      </c>
      <c r="KF158" s="251">
        <f t="shared" ref="KF158:KF163" si="741">KD158+JZ158+JV158+JR158+JN158</f>
        <v>0.00154898399040648</v>
      </c>
      <c r="KG158" s="251">
        <f t="shared" ref="KG158:KG163" si="742">KE158+KA158+JW158+JS158+JO158</f>
        <v>0.0309796798081296</v>
      </c>
      <c r="KH158" s="302">
        <f>各项系数!$F$76/4*($NG158^2-$NE158^2)*10^-2*各项系数!$F$44*10^-3*10^2*各项系数!$J$4*0.75*$U158</f>
        <v>0.637332706337631</v>
      </c>
      <c r="KI158" s="123">
        <v>1</v>
      </c>
      <c r="KJ158" s="251">
        <f t="shared" ref="KJ158:KJ163" si="743">KI158*KH158</f>
        <v>0.637332706337631</v>
      </c>
      <c r="KK158" s="251">
        <f>ROUND(KJ158*各项系数!$E$43,GT158)</f>
        <v>3.7</v>
      </c>
      <c r="KL158" s="302">
        <f>各项系数!$F$76/4*($NF158^2-$NE158^2)*10^-2*各项系数!$F$46*10^-3*10^2*各项系数!$J$4*PI()/4*R158</f>
        <v>0.0195065666905282</v>
      </c>
      <c r="KM158" s="123">
        <v>1</v>
      </c>
      <c r="KN158" s="251">
        <f t="shared" ref="KN158:KN163" si="744">$KL158*$KM158</f>
        <v>0.0195065666905282</v>
      </c>
      <c r="KO158" s="251">
        <f>KN158*各项系数!$E$46</f>
        <v>1.31669325161065</v>
      </c>
      <c r="KP158" s="302">
        <f>各项系数!$F$76/4*($NH158^2-$NE158^2)*10^-2*(VLOOKUP($KP$9,各项系数!$D$1:$F$143,3,0))*10^-3*10^2*各项系数!$J$4</f>
        <v>0.10459850412674</v>
      </c>
      <c r="KQ158" s="123">
        <v>1</v>
      </c>
      <c r="KR158" s="251">
        <f t="shared" si="657"/>
        <v>0.10459850412674</v>
      </c>
      <c r="KS158" s="251">
        <f>KR158*(VLOOKUP($KP$9,各项系数!$D$1:$F$143,2,0))</f>
        <v>1.77817457015459</v>
      </c>
      <c r="KT158" s="302">
        <f>各项系数!$F$76/4*($NI158^2-$NF158^2)*10^-2*(VLOOKUP($KT$9,各项系数!$D$1:$F$143,3,0))*10^-3*10^2*各项系数!$J$4</f>
        <v>0.105686311998972</v>
      </c>
      <c r="KU158" s="123">
        <v>1</v>
      </c>
      <c r="KV158" s="251">
        <f t="shared" si="658"/>
        <v>0.105686311998972</v>
      </c>
      <c r="KW158" s="251">
        <f>KV158*(VLOOKUP($KT$9,各项系数!$D$1:$F$143,2,0))</f>
        <v>1.79666730398253</v>
      </c>
      <c r="KX158" s="251">
        <f>各项系数!$F$76/4*($NH158^2-$NE158^2)*10^-2*(VLOOKUP($KX$9,各项系数!$D$1:$F$143,3,0))*10^-3*10^2*各项系数!$J$4</f>
        <v>0.10459850412674</v>
      </c>
      <c r="KY158" s="479">
        <v>1</v>
      </c>
      <c r="KZ158" s="251">
        <f t="shared" si="659"/>
        <v>0.10459850412674</v>
      </c>
      <c r="LA158" s="251">
        <f>KZ158*(VLOOKUP($KX$9,各项系数!$D$1:$F$143,2,0))</f>
        <v>1.77817457015459</v>
      </c>
      <c r="LB158" s="251">
        <f>各项系数!$F$76/4*($NI158^2-$NF158^2)*10^-2*(VLOOKUP($LB$9,各项系数!$D$1:$F$143,3,0))*10^-3*10^2*各项系数!$J$4</f>
        <v>0.105686311998972</v>
      </c>
      <c r="LC158" s="479">
        <v>1</v>
      </c>
      <c r="LD158" s="251">
        <f t="shared" si="660"/>
        <v>0.105686311998972</v>
      </c>
      <c r="LE158" s="251">
        <f>LD158*(VLOOKUP($LB$9,各项系数!$D$1:$F$143,2,0))</f>
        <v>1.79666730398253</v>
      </c>
      <c r="LF158" s="302">
        <f>各项系数!$F$76/4*($NH158^2-$NE158^2)*10^-2*(VLOOKUP(AN158,各项系数!$D$1:$F$143,3,0))*10^-3*10^2*各项系数!$J$4</f>
        <v>0.106041242114695</v>
      </c>
      <c r="LG158" s="123">
        <v>1</v>
      </c>
      <c r="LH158" s="251">
        <f t="shared" ref="LH158:LH163" si="745">LG158*LF158</f>
        <v>0.106041242114695</v>
      </c>
      <c r="LI158" s="251">
        <f>LH158*(VLOOKUP(AN158,各项系数!$D$1:$F$143,2,0))</f>
        <v>1.06041242114695</v>
      </c>
      <c r="LJ158" s="302">
        <f>各项系数!$F$76/4*($NI158^2-$NF158^2)*10^-2*(VLOOKUP(AN158,各项系数!$D$1:$F$143,3,0))*10^-3*10^2*各项系数!$J$4</f>
        <v>0.107144054233441</v>
      </c>
      <c r="LK158" s="123">
        <v>1</v>
      </c>
      <c r="LL158" s="251">
        <f t="shared" ref="LL158:LL163" si="746">LK158*LJ158</f>
        <v>0.107144054233441</v>
      </c>
      <c r="LM158" s="251">
        <f>LL158*(VLOOKUP(AN158,各项系数!$D$1:$F$143,2,0))</f>
        <v>1.07144054233441</v>
      </c>
      <c r="LN158" s="251">
        <f>各项系数!$F$76/4*($NH158^2-$NE158^2)*10^-2*(VLOOKUP($LN$9,各项系数!$D$1:$F$143,3,0))*10^-3*10^2*各项系数!$J$4</f>
        <v>0.106041242114695</v>
      </c>
      <c r="LO158" s="479">
        <v>1</v>
      </c>
      <c r="LP158" s="251">
        <f t="shared" ref="LP158:LP163" si="747">LO158*LN158</f>
        <v>0.106041242114695</v>
      </c>
      <c r="LQ158" s="251">
        <f>LP158*(VLOOKUP($LN$9,各项系数!$D$1:$F$143,2,0))</f>
        <v>1.16645366326165</v>
      </c>
      <c r="LR158" s="251">
        <f>各项系数!$F$76/4*($NI158^2-$NF158^2)*10^-2*(VLOOKUP($LR$9,各项系数!$D$1:$F$143,3,0))*10^-3*10^2*各项系数!$J$4</f>
        <v>0.107144054233441</v>
      </c>
      <c r="LS158" s="479">
        <v>1</v>
      </c>
      <c r="LT158" s="251">
        <f t="shared" ref="LT158:LT163" si="748">LS158*LR158</f>
        <v>0.107144054233441</v>
      </c>
      <c r="LU158" s="251">
        <f>LT158*(VLOOKUP($LR$9,各项系数!$D$1:$F$143,2,0))</f>
        <v>1.17858459656785</v>
      </c>
      <c r="LV158" s="499">
        <f t="shared" si="661"/>
        <v>15.29278203</v>
      </c>
      <c r="LW158" s="499">
        <f t="shared" si="662"/>
        <v>15.29278203</v>
      </c>
      <c r="LX158" s="499">
        <f t="shared" si="663"/>
        <v>4.41263808051502</v>
      </c>
      <c r="LY158" s="515">
        <f t="shared" si="664"/>
        <v>0</v>
      </c>
      <c r="LZ158" s="516">
        <f t="shared" si="608"/>
        <v>1</v>
      </c>
      <c r="MA158" s="517">
        <f t="shared" si="609"/>
        <v>15.29278203</v>
      </c>
      <c r="MB158" s="517">
        <f t="shared" si="665"/>
        <v>1.10315952</v>
      </c>
      <c r="MC158" s="499">
        <f t="shared" si="666"/>
        <v>0</v>
      </c>
      <c r="MD158" s="499">
        <f t="shared" si="667"/>
        <v>0</v>
      </c>
      <c r="ME158" s="499">
        <f t="shared" si="668"/>
        <v>0</v>
      </c>
      <c r="MF158" s="499">
        <f t="shared" si="669"/>
        <v>0</v>
      </c>
      <c r="MG158" s="516">
        <f t="shared" si="670"/>
        <v>1</v>
      </c>
      <c r="MH158" s="517">
        <f t="shared" si="610"/>
        <v>0</v>
      </c>
      <c r="MI158" s="517">
        <f t="shared" si="671"/>
        <v>0</v>
      </c>
      <c r="MJ158" s="251">
        <f t="shared" si="611"/>
        <v>1.10315952</v>
      </c>
      <c r="MK158" s="251">
        <f t="shared" si="672"/>
        <v>1.10315952</v>
      </c>
      <c r="ML158" s="251">
        <f t="shared" ref="ML158:ML163" si="749">$ER158*$EQ158*10^-2</f>
        <v>0</v>
      </c>
      <c r="MM158" s="251">
        <f t="shared" si="612"/>
        <v>0</v>
      </c>
      <c r="MN158" s="251">
        <f t="shared" si="613"/>
        <v>2.30315952</v>
      </c>
      <c r="MO158" s="251">
        <f t="shared" si="673"/>
        <v>0</v>
      </c>
      <c r="MP158" s="251">
        <f t="shared" si="674"/>
        <v>10.82484974</v>
      </c>
      <c r="MQ158" s="251">
        <f t="shared" ref="MQ158:MQ163" si="750">MP158</f>
        <v>10.82484974</v>
      </c>
      <c r="MR158" s="314">
        <f t="shared" si="675"/>
        <v>10.82484974</v>
      </c>
      <c r="MS158" s="530">
        <f t="shared" si="614"/>
        <v>11.00084974</v>
      </c>
      <c r="MT158" s="530">
        <f t="shared" si="615"/>
        <v>11.16084974</v>
      </c>
      <c r="MU158" s="530">
        <f t="shared" si="616"/>
        <v>12.20084974</v>
      </c>
      <c r="MV158" s="530">
        <f t="shared" si="617"/>
        <v>14.00084974</v>
      </c>
      <c r="MW158" s="530">
        <f t="shared" si="618"/>
        <v>14.16084974</v>
      </c>
      <c r="MX158" s="326">
        <f t="shared" si="619"/>
        <v>1.70315952</v>
      </c>
      <c r="MY158" s="326">
        <f t="shared" si="620"/>
        <v>0</v>
      </c>
      <c r="MZ158" s="251">
        <f t="shared" si="621"/>
        <v>2.90315952</v>
      </c>
      <c r="NA158" s="251">
        <f t="shared" si="622"/>
        <v>0</v>
      </c>
      <c r="NB158" s="251">
        <f t="shared" si="676"/>
        <v>13.64484974</v>
      </c>
      <c r="NC158" s="326">
        <f t="shared" ref="NC158:NC163" si="751">NB158</f>
        <v>13.64484974</v>
      </c>
      <c r="ND158" s="314">
        <f t="shared" si="677"/>
        <v>13.64484974</v>
      </c>
      <c r="NE158" s="537">
        <f t="shared" si="678"/>
        <v>13.88484974</v>
      </c>
      <c r="NF158" s="530">
        <f t="shared" si="623"/>
        <v>14.04484974</v>
      </c>
      <c r="NG158" s="538">
        <f t="shared" si="624"/>
        <v>15.08484974</v>
      </c>
      <c r="NH158" s="326">
        <f t="shared" si="625"/>
        <v>16.88484974</v>
      </c>
      <c r="NI158" s="530">
        <f t="shared" si="626"/>
        <v>17.04484974</v>
      </c>
      <c r="NK158" s="539">
        <f t="shared" si="627"/>
        <v>0.310922364272285</v>
      </c>
      <c r="NL158" s="539">
        <f t="shared" si="628"/>
        <v>10.4977681130601</v>
      </c>
      <c r="NM158" s="539">
        <f t="shared" si="629"/>
        <v>0.310922364272285</v>
      </c>
      <c r="NN158" s="539">
        <f t="shared" si="630"/>
        <v>10.5839311667344</v>
      </c>
      <c r="NO158" s="539">
        <f t="shared" si="631"/>
        <v>0.551028055977881</v>
      </c>
      <c r="NP158" s="539">
        <f t="shared" si="632"/>
        <v>11.8562458985735</v>
      </c>
      <c r="NQ158" s="539">
        <f t="shared" si="633"/>
        <v>0.551028055977881</v>
      </c>
      <c r="NR158" s="539">
        <f t="shared" si="634"/>
        <v>11.9622871406882</v>
      </c>
      <c r="NS158" s="539">
        <f t="shared" si="635"/>
        <v>0.326400463819745</v>
      </c>
      <c r="NT158" s="539">
        <f t="shared" si="636"/>
        <v>0.326400463819745</v>
      </c>
      <c r="NU158" s="539">
        <f t="shared" si="637"/>
        <v>0.570534622668409</v>
      </c>
      <c r="NV158" s="539">
        <f t="shared" si="638"/>
        <v>0.570534622668409</v>
      </c>
      <c r="NW158">
        <f t="shared" si="639"/>
        <v>0.481067978329363</v>
      </c>
      <c r="NX158">
        <f>各项系数!$M$9*NK158</f>
        <v>0.0932767092816856</v>
      </c>
      <c r="NY158">
        <f t="shared" si="640"/>
        <v>0.326400463819745</v>
      </c>
    </row>
    <row r="159" customHeight="1" spans="1:389">
      <c r="A159" s="85"/>
      <c r="B159" s="86"/>
      <c r="C159" s="218"/>
      <c r="D159" s="123" t="s">
        <v>276</v>
      </c>
      <c r="E159" s="77">
        <f t="shared" si="687"/>
        <v>14.6917976</v>
      </c>
      <c r="F159" s="558">
        <f t="shared" si="693"/>
        <v>110.31595161029</v>
      </c>
      <c r="G159" s="23"/>
      <c r="H159" s="23"/>
      <c r="I159" s="174">
        <v>0</v>
      </c>
      <c r="J159" s="23"/>
      <c r="K159" s="23"/>
      <c r="L159" s="118" t="s">
        <v>469</v>
      </c>
      <c r="M159" s="124">
        <f t="shared" si="582"/>
        <v>0.6</v>
      </c>
      <c r="N159" s="124">
        <f t="shared" si="583"/>
        <v>0</v>
      </c>
      <c r="O159" s="69">
        <f t="shared" si="703"/>
        <v>0.08</v>
      </c>
      <c r="P159" s="120">
        <v>0.1</v>
      </c>
      <c r="Q159" s="162">
        <f t="shared" si="700"/>
        <v>0.1</v>
      </c>
      <c r="R159" s="560">
        <v>0.8</v>
      </c>
      <c r="S159" s="171" t="str">
        <f>各项系数!$D$43</f>
        <v>钢带</v>
      </c>
      <c r="T159" s="123">
        <v>0.2</v>
      </c>
      <c r="U159" s="78">
        <v>4</v>
      </c>
      <c r="V159" s="172"/>
      <c r="W159" s="170">
        <f t="shared" si="702"/>
        <v>1.5</v>
      </c>
      <c r="X159" s="164">
        <f t="shared" si="701"/>
        <v>0.2</v>
      </c>
      <c r="Y159" s="219"/>
      <c r="Z159" s="220"/>
      <c r="AA159" s="217">
        <v>1</v>
      </c>
      <c r="AB159" s="186">
        <f>PI()*EJ159*EJ159/4*EH159*(1-H159)*AA159*各项系数!$F$5*各项系数!$J$4*10^-7</f>
        <v>0.0084545666936337</v>
      </c>
      <c r="AC159" s="186">
        <f t="shared" si="704"/>
        <v>110.31595161029</v>
      </c>
      <c r="AD159" s="186">
        <f t="shared" si="584"/>
        <v>0.955798869898841</v>
      </c>
      <c r="AE159" s="186">
        <f>POWER(4*EU159/PI()/EG159/10^-7/EH159/(1-H159)/各项系数!$F$5/各项系数!$J$4,0.5)</f>
        <v>110.31595161029</v>
      </c>
      <c r="AF159" s="218">
        <v>1</v>
      </c>
      <c r="AG159" s="85">
        <f>IF(EM159=0,0,PI()*ER159*ER159/4*EP159*(1-K159)*(1+AF159)*各项系数!$F$5*各项系数!$J$4*10^-7)</f>
        <v>0</v>
      </c>
      <c r="AH159" s="85">
        <f t="shared" si="705"/>
        <v>0</v>
      </c>
      <c r="AI159" s="85">
        <f t="shared" si="641"/>
        <v>0</v>
      </c>
      <c r="AJ159" s="85">
        <f>IF(OR(EP159="",EP159=0),0,POWER(4*EW159/PI()/EO159/10^-7/EP159/(1-K159)/各项系数!$F$5/各项系数!$J$4,0.5))</f>
        <v>0</v>
      </c>
      <c r="AK159" s="85" t="str">
        <f t="shared" si="585"/>
        <v>√</v>
      </c>
      <c r="AL159" s="85">
        <f t="shared" si="706"/>
        <v>13.5468160724426</v>
      </c>
      <c r="AM159" s="250">
        <f t="shared" si="707"/>
        <v>1</v>
      </c>
      <c r="AN159" s="118" t="s">
        <v>486</v>
      </c>
      <c r="AO159" s="259">
        <f>AP159+各项系数!$M$9*$NK159</f>
        <v>13.2811922278849</v>
      </c>
      <c r="AP159" s="259">
        <f>AQ159*(1+$BI159+(VLOOKUP($AM159,$A$12:$B$323,2,0))+各项系数!$J$6+各项系数!$M$5)*(1+$E$2)</f>
        <v>13.1757931606711</v>
      </c>
      <c r="AQ159" s="260">
        <f>AR159+各项系数!$L$9*$NK159</f>
        <v>12.9275835563885</v>
      </c>
      <c r="AR159" s="260">
        <f>AS159*(1+$BJ159+各项系数!$J$5+各项系数!$L$5)</f>
        <v>12.8221844891747</v>
      </c>
      <c r="AS159" s="260">
        <f t="shared" si="642"/>
        <v>12.3290235472834</v>
      </c>
      <c r="AT159" s="259">
        <f>AU159+各项系数!$M$9*$NM159</f>
        <v>13.9335472751947</v>
      </c>
      <c r="AU159" s="259">
        <f>AV159*(1+$BI159+(VLOOKUP($AM159,$A$12:$B$323,2,0))+各项系数!$J$6+各项系数!$M$5)*(1+$E$2)</f>
        <v>13.828148207981</v>
      </c>
      <c r="AV159" s="260">
        <f>AW159+各项系数!$L$9*$NM159</f>
        <v>13.5676493406407</v>
      </c>
      <c r="AW159" s="260">
        <f>AX159*(1+$BJ159+各项系数!$J$5+各项系数!$L$5)</f>
        <v>13.4622502734269</v>
      </c>
      <c r="AX159" s="260">
        <f t="shared" si="643"/>
        <v>12.9444714167566</v>
      </c>
      <c r="AY159" s="259">
        <f>AZ159+各项系数!$M$9*$NS159</f>
        <v>14.4793205371889</v>
      </c>
      <c r="AZ159" s="259">
        <f>BA159*(1+$BI159+(VLOOKUP($AM159,$A$12:$B$214,2,0))+各项系数!$J$6+各项系数!$M$5)*(1+$E$2)</f>
        <v>14.3689884984239</v>
      </c>
      <c r="BA159" s="260">
        <f>BB159+各项系数!$L$9*$NS159</f>
        <v>14.0983011169779</v>
      </c>
      <c r="BB159" s="260">
        <f>BC159*(1+$BJ159+各项系数!$J$5+各项系数!$L$5)</f>
        <v>13.9879690782128</v>
      </c>
      <c r="BC159" s="262">
        <f t="shared" si="644"/>
        <v>13.4499702675123</v>
      </c>
      <c r="BD159" s="259">
        <f>BE159+各项系数!$M$9*$NS159</f>
        <v>15.1395878350301</v>
      </c>
      <c r="BE159" s="259">
        <f>BF159*(1+$BI159+(VLOOKUP($AM159,$A$12:$B$214,2,0))+各项系数!$J$6+各项系数!$M$5)*(1+$E$2)</f>
        <v>15.0292557962651</v>
      </c>
      <c r="BF159" s="260">
        <f>BG159+各项系数!$L$9*$NS159</f>
        <v>14.7461300983762</v>
      </c>
      <c r="BG159" s="260">
        <f>BH159*(1+$BJ159+各项系数!$J$5+各项系数!$L$5)</f>
        <v>14.6357980596112</v>
      </c>
      <c r="BH159" s="262">
        <f t="shared" si="645"/>
        <v>14.0728827496261</v>
      </c>
      <c r="BI159" s="277"/>
      <c r="BJ159" s="272">
        <f t="shared" si="695"/>
        <v>0.02</v>
      </c>
      <c r="BK159" s="123" t="s">
        <v>514</v>
      </c>
      <c r="BL159" s="259">
        <f>BM159+各项系数!$M$9*$NM159</f>
        <v>13.5041544305756</v>
      </c>
      <c r="BM159" s="259">
        <f>BN159*(1+$CF159+(VLOOKUP($AM159,$A$12:$B$323,2,0))+各项系数!$J$6+各项系数!$M$5)*(1+$E$2)</f>
        <v>13.3987553633619</v>
      </c>
      <c r="BN159" s="260">
        <f>BO159+各项系数!$L$9*$NM159</f>
        <v>13.1463455292012</v>
      </c>
      <c r="BO159" s="260">
        <f>BP159*(1+$CG159+各项系数!$J$5+各项系数!$L$5)</f>
        <v>13.0409464619874</v>
      </c>
      <c r="BP159" s="260">
        <f t="shared" si="646"/>
        <v>12.4199490114166</v>
      </c>
      <c r="BQ159" s="259">
        <f>BR159+各项系数!$M$9*$NM159</f>
        <v>14.0654773278743</v>
      </c>
      <c r="BR159" s="259">
        <f>BS159*(1+$CF159+(VLOOKUP($AM159,$A$12:$B$323,2,0))+各项系数!$J$6+各项系数!$M$5)*(1+$E$2)</f>
        <v>13.9600782606606</v>
      </c>
      <c r="BS159" s="260">
        <f>BT159+各项系数!$L$9*$NM159</f>
        <v>13.6970940548082</v>
      </c>
      <c r="BT159" s="260">
        <f>BU159*(1+$CG159+各项系数!$J$5+各项系数!$L$5)</f>
        <v>13.5916949875945</v>
      </c>
      <c r="BU159" s="260">
        <f t="shared" si="647"/>
        <v>12.9444714167566</v>
      </c>
      <c r="BV159" s="259">
        <f>BW159+各项系数!$M$9*$NT159</f>
        <v>14.6108592608555</v>
      </c>
      <c r="BW159" s="259">
        <f>BX159*(1+$CF159+(VLOOKUP($AM159,$A$12:$B$214,2,0))+各项系数!$J$6+各项系数!$M$5)*(1+$E$2)</f>
        <v>14.5005272220904</v>
      </c>
      <c r="BX159" s="260">
        <f>BY159+各项系数!$L$9*$NT$12</f>
        <v>14.2273618741075</v>
      </c>
      <c r="BY159" s="260">
        <f>BZ159*(1+$CG159+各项系数!$J$5+各项系数!$L$5)</f>
        <v>14.2190984709526</v>
      </c>
      <c r="BZ159" s="262">
        <f t="shared" si="586"/>
        <v>13.5419985437643</v>
      </c>
      <c r="CA159" s="259">
        <f>CB159+各项系数!$M$9*$NT159</f>
        <v>15.1789903026005</v>
      </c>
      <c r="CB159" s="259">
        <f>CC159*(1+$CF159+(VLOOKUP($AM159,$A$12:$B$214,2,0))+各项系数!$J$6+各项系数!$M$5)*(1+$E$2)</f>
        <v>15.0686582638354</v>
      </c>
      <c r="CC159" s="260">
        <f>CD159+各项系数!$L$9*$NT$12</f>
        <v>14.7847902902624</v>
      </c>
      <c r="CD159" s="260">
        <f>CE159*(1+$CG159+各项系数!$J$5+各项系数!$L$5)</f>
        <v>14.7765268871074</v>
      </c>
      <c r="CE159" s="262">
        <f t="shared" si="648"/>
        <v>14.0728827496261</v>
      </c>
      <c r="CF159" s="277">
        <f t="shared" si="514"/>
        <v>0</v>
      </c>
      <c r="CG159" s="277">
        <f t="shared" si="587"/>
        <v>0.03</v>
      </c>
      <c r="CH159" s="123"/>
      <c r="CI159" s="259">
        <f>CJ159+各项系数!$M$9*$NO159</f>
        <v>15.1894742608024</v>
      </c>
      <c r="CJ159" s="259">
        <f>CK159*(1+$DC159+(VLOOKUP($AM159,$A$12:$B$323,2,0))+各项系数!$J$6+各项系数!$M$5)*(1+$E$2)+各项系数!$M$9*$NK159</f>
        <v>15.0095627597486</v>
      </c>
      <c r="CK159" s="260">
        <f>CL159+各项系数!$L$9*$NO159</f>
        <v>14.6233945177932</v>
      </c>
      <c r="CL159" s="260">
        <f>CM159*(1+$DD159+各项系数!$J$5+各项系数!$L$5)</f>
        <v>14.4434830167395</v>
      </c>
      <c r="CM159" s="260">
        <f t="shared" si="588"/>
        <v>13.8879644391726</v>
      </c>
      <c r="CN159" s="259">
        <f>CO159+各项系数!$M$9*$NO159</f>
        <v>15.6179762341607</v>
      </c>
      <c r="CO159" s="259">
        <f>CP159*(1+$DC159+(VLOOKUP($AM159,$A$12:$B$323,2,0))+各项系数!$J$6+各项系数!$M$5)*(1+$E$2)+各项系数!$M$9*$NK159</f>
        <v>15.438064733107</v>
      </c>
      <c r="CP159" s="260">
        <f>CQ159+各项系数!$L$9*$NO159</f>
        <v>15.0438242404761</v>
      </c>
      <c r="CQ159" s="260">
        <f>CR159*(1+$DD159+各项系数!$J$5+各项系数!$L$5)</f>
        <v>14.8639127394223</v>
      </c>
      <c r="CR159" s="260">
        <f t="shared" si="589"/>
        <v>14.2922237879061</v>
      </c>
      <c r="CS159" s="259">
        <f>CT159+各项系数!$M$9*$NU159</f>
        <v>16.591013488538</v>
      </c>
      <c r="CT159" s="259">
        <f t="shared" si="590"/>
        <v>16.4048850467936</v>
      </c>
      <c r="CU159" s="260">
        <f>CV159+各项系数!$L$9*$NU159</f>
        <v>16.0958448261318</v>
      </c>
      <c r="CV159" s="260">
        <f>CW159*(1+$DD159+各项系数!$J$5+各项系数!$L$5)</f>
        <v>15.9097163843875</v>
      </c>
      <c r="CW159" s="262">
        <f t="shared" si="591"/>
        <v>15.2978042157572</v>
      </c>
      <c r="CX159" s="259">
        <f>CY159+各项系数!$M$9*$NU159</f>
        <v>17.4028003840538</v>
      </c>
      <c r="CY159" s="259">
        <f t="shared" si="592"/>
        <v>17.2166719423094</v>
      </c>
      <c r="CZ159" s="260">
        <f>DA159+各项系数!$L$9*$NU159</f>
        <v>16.8923390328781</v>
      </c>
      <c r="DA159" s="260">
        <f>DB159*(1+$DD159+各项系数!$J$5+各项系数!$L$5)</f>
        <v>16.7062105911338</v>
      </c>
      <c r="DB159" s="262">
        <f t="shared" si="593"/>
        <v>16.0636640299363</v>
      </c>
      <c r="DC159" s="277">
        <f t="shared" si="698"/>
        <v>0</v>
      </c>
      <c r="DD159" s="277">
        <f t="shared" si="594"/>
        <v>0.02</v>
      </c>
      <c r="DE159" s="69" t="s">
        <v>498</v>
      </c>
      <c r="DF159" s="69" t="s">
        <v>513</v>
      </c>
      <c r="DG159" s="259">
        <f>DH159+各项系数!$M$9*$NQ159</f>
        <v>15.4509257397987</v>
      </c>
      <c r="DH159" s="259">
        <f>DI159*(1+$EA159+(VLOOKUP($AM159,$A$12:$B$323,2,0))+各项系数!$J$6+各项系数!$M$5)*(1+$E$2)+各项系数!$M$9*$NK159</f>
        <v>15.271014238745</v>
      </c>
      <c r="DI159" s="260">
        <f>DJ159+各项系数!$L$9*$NQ159</f>
        <v>14.8799206942025</v>
      </c>
      <c r="DJ159" s="260">
        <f>DK159*(1+$EB159+各项系数!$J$5+各项系数!$L$5)</f>
        <v>14.7000091931488</v>
      </c>
      <c r="DK159" s="260">
        <f t="shared" si="595"/>
        <v>14.0000087553798</v>
      </c>
      <c r="DL159" s="259">
        <f>DM159+各项系数!$M$9*$NQ159</f>
        <v>16.142624603245</v>
      </c>
      <c r="DM159" s="259">
        <f>DN159*(1+$EA159+(VLOOKUP($AM159,$A$12:$B$323,2,0))+各项系数!$J$6+各项系数!$M$5)*(1+$E$2)+各项系数!$M$9*$NK159</f>
        <v>15.9627131021913</v>
      </c>
      <c r="DN159" s="260">
        <f>DO159+各项系数!$L$9*$NQ159</f>
        <v>15.5585891238005</v>
      </c>
      <c r="DO159" s="260">
        <f>DP159*(1+$EB159+各项系数!$J$5+各项系数!$L$5)</f>
        <v>15.3786776227468</v>
      </c>
      <c r="DP159" s="260">
        <f t="shared" si="596"/>
        <v>14.6463596407112</v>
      </c>
      <c r="DQ159" s="259">
        <f>DR159+各项系数!$M$9*$NV159</f>
        <v>16.8680142399543</v>
      </c>
      <c r="DR159" s="259">
        <f t="shared" si="597"/>
        <v>16.6818857982099</v>
      </c>
      <c r="DS159" s="260">
        <f>DT159+各项系数!$L$9*$NV159</f>
        <v>16.3676273530317</v>
      </c>
      <c r="DT159" s="260">
        <f>DU159*(1+$EB159+各项系数!$J$5+各项系数!$L$5)</f>
        <v>16.1814989112873</v>
      </c>
      <c r="DU159" s="262">
        <f t="shared" si="598"/>
        <v>15.4109513440831</v>
      </c>
      <c r="DV159" s="259">
        <f>DW159+各项系数!$M$9*$NV159</f>
        <v>16.4554521641861</v>
      </c>
      <c r="DW159" s="259">
        <f t="shared" si="599"/>
        <v>16.2693237224417</v>
      </c>
      <c r="DX159" s="260">
        <f>DY159+各项系数!$L$9*$NV159</f>
        <v>15.9628372472936</v>
      </c>
      <c r="DY159" s="260">
        <f>DZ159*(1+$EB159+各项系数!$J$5+各项系数!$L$5)</f>
        <v>15.7767088055493</v>
      </c>
      <c r="DZ159" s="262">
        <f t="shared" si="600"/>
        <v>15.025436957666</v>
      </c>
      <c r="EA159" s="277">
        <f t="shared" si="699"/>
        <v>0</v>
      </c>
      <c r="EB159" s="277">
        <f t="shared" si="601"/>
        <v>0.03</v>
      </c>
      <c r="EC159" s="302">
        <f t="shared" si="649"/>
        <v>19</v>
      </c>
      <c r="ED159" s="302" t="str">
        <f t="shared" si="708"/>
        <v>19*1</v>
      </c>
      <c r="EE159" s="251">
        <f t="shared" si="709"/>
        <v>1</v>
      </c>
      <c r="EF159" s="251">
        <f>LOOKUP(EH159,{1,7,10,14,19,24,30,37,48,61},{1,"1+6","2+8","4+10","1+6+12","2+8+14","4+10+16","1+6+12+18","3+9+15+21","1+6+12+18+24"})</f>
        <v>1</v>
      </c>
      <c r="EG159" s="250">
        <f t="shared" si="602"/>
        <v>19</v>
      </c>
      <c r="EH159" s="260">
        <f>VLOOKUP(EE159,各项系数!$B$87:$C$124,2,0)</f>
        <v>1</v>
      </c>
      <c r="EI159" s="250">
        <f>IF(EH159=0,0,VLOOKUP(EH159,各项系数!$D$142:$E$195,2,0))*1</f>
        <v>1</v>
      </c>
      <c r="EJ159" s="305">
        <f t="shared" si="650"/>
        <v>110.31595161029</v>
      </c>
      <c r="EK159" s="251">
        <f t="shared" si="689"/>
        <v>0</v>
      </c>
      <c r="EL159" s="251">
        <f t="shared" si="603"/>
        <v>0</v>
      </c>
      <c r="EM159" s="251">
        <f t="shared" si="690"/>
        <v>0</v>
      </c>
      <c r="EN159" s="251">
        <f>IF(EP159=0,0,LOOKUP(EP159,{1,7,10,14,19,24,30,37,48,61},{1,"1+6","2+8","4+10","1+6+12","2+8+14","4+10+16","1+6+12+18","3+9+15+21","1+6+12+18+24"}))</f>
        <v>0</v>
      </c>
      <c r="EO159" s="251">
        <f t="shared" si="691"/>
        <v>0</v>
      </c>
      <c r="EP159" s="251">
        <f>IF(EM159=0,0,IF(EM159&lt;10,1,IF(AND(EM159&gt;=10,EM159&lt;=35),7,LOOKUP(EM159,{50,70,95,120,150,185,240,300},{10,14,19,24,30,37,48,61})*1)))</f>
        <v>0</v>
      </c>
      <c r="EQ159" s="251">
        <f>IF(EP159=0,0,VLOOKUP(EP159,各项系数!$D$142:$E$195,2,0))*1</f>
        <v>0</v>
      </c>
      <c r="ER159" s="69">
        <f t="shared" si="710"/>
        <v>0</v>
      </c>
      <c r="ES159" s="566">
        <f t="shared" si="692"/>
        <v>19</v>
      </c>
      <c r="ET159" s="251">
        <f>VLOOKUP(ES159,各项系数!$D$142:$E$195,2,0)*1</f>
        <v>5</v>
      </c>
      <c r="EU159" s="311">
        <f>((各项系数!$F$76/4*$EJ159^2*$EG159*$EH159*1*10^-7)*(1-$H159)*AA159)*(VLOOKUP($EY$9,各项系数!$D$4:$F$143,3,0))*各项系数!$J$4</f>
        <v>0.16063676717904</v>
      </c>
      <c r="EV159" s="312">
        <f>EU159*(VLOOKUP($EY$9,各项系数!$D$4:$F$143,2,0))</f>
        <v>10.5217082502271</v>
      </c>
      <c r="EW159" s="324">
        <f>(IF($EO159=0,0,(各项系数!$F$76/4*$ER159^2*$EO159*$EP159*1*10^-7))*(1-$K159)*$AF159)*(VLOOKUP($EY$9,各项系数!$D$4:$F$143,3,0))*各项系数!$J$4</f>
        <v>0</v>
      </c>
      <c r="EX159" s="325">
        <f>EW159*(VLOOKUP($EY$9,各项系数!$D$4:$F$143,2,0))</f>
        <v>0</v>
      </c>
      <c r="EY159" s="251">
        <f>((各项系数!$F$76/4*$EJ159^2*$EG159*$EH159*1*10^-7)*(1-$H159)*AA159+IF($EO159=0,0,(各项系数!$F$76/4*$ER159^2*$EO159*$EP159*1*10^-7))*(1-$K159)*$AF159)*(VLOOKUP($EY$9,各项系数!$D$4:$F$143,3,0))*各项系数!$J$4</f>
        <v>0.16063676717904</v>
      </c>
      <c r="EZ159" s="123">
        <v>1</v>
      </c>
      <c r="FA159" s="251">
        <f t="shared" si="711"/>
        <v>0.16063676717904</v>
      </c>
      <c r="FB159" s="326">
        <f>FA159*(VLOOKUP($EY$9,各项系数!$D$4:$F$143,2,0))</f>
        <v>10.5217082502271</v>
      </c>
      <c r="FC159" s="327"/>
      <c r="FD159" s="302">
        <f>各项系数!$F$76/4*($MN159^2-MK159^2)*10^-2*(VLOOKUP(L159,各项系数!$D$1:$F$143,3,0))*10^-3*10^2*$EG159*各项系数!$J$4</f>
        <v>0.0667614585700484</v>
      </c>
      <c r="FE159" s="339">
        <f>FD159*VLOOKUP(L159,各项系数!$D$1:$F$143,2,0)</f>
        <v>0.767756773555557</v>
      </c>
      <c r="FF159" s="250">
        <f>各项系数!$F$76/4*($MO159^2-ML159^2)*10^-2*(VLOOKUP(L159,各项系数!$D$1:$F$143,3,0))*10^-3*10^2*$EO159*各项系数!$J$4</f>
        <v>0</v>
      </c>
      <c r="FG159" s="339">
        <f>FF159*VLOOKUP(L159,各项系数!$D$1:$F$143,2,0)</f>
        <v>0</v>
      </c>
      <c r="FH159" s="302">
        <f t="shared" si="651"/>
        <v>0.0667614585700484</v>
      </c>
      <c r="FI159" s="123">
        <v>1</v>
      </c>
      <c r="FJ159" s="251">
        <f t="shared" si="712"/>
        <v>0.0667614585700484</v>
      </c>
      <c r="FK159" s="339">
        <f>FJ159*VLOOKUP(L159,各项系数!$D$1:$F$143,2,0)</f>
        <v>0.767756773555557</v>
      </c>
      <c r="FL159" s="302"/>
      <c r="FM159" s="123"/>
      <c r="FN159" s="251"/>
      <c r="FO159" s="339"/>
      <c r="FP159" s="364">
        <f t="shared" si="713"/>
        <v>0.0667614585700484</v>
      </c>
      <c r="FQ159" s="364">
        <f t="shared" si="714"/>
        <v>0.767756773555557</v>
      </c>
      <c r="FR159" s="365">
        <f>各项系数!$F$76/4*($MQ159^2-$MN159^2*$EG159-$MO159^2*$EO159)*10^-2</f>
        <v>0.24997073629236</v>
      </c>
      <c r="FS159" s="366">
        <f t="shared" si="652"/>
        <v>1</v>
      </c>
      <c r="FT159" s="367">
        <f t="shared" si="604"/>
        <v>0.24997073629236</v>
      </c>
      <c r="FU159" s="388">
        <f>$FT159*(VLOOKUP($FT$9,各项系数!$D$1:$F$143,3,0))*10^-3*10^2*各项系数!$J$55</f>
        <v>0.0298465059133078</v>
      </c>
      <c r="FV159" s="389">
        <v>1</v>
      </c>
      <c r="FW159" s="390">
        <f t="shared" si="715"/>
        <v>0.0298465059133078</v>
      </c>
      <c r="FX159" s="367">
        <f>FW159*(VLOOKUP($FT$9,各项系数!$D$1:$F$143,2,0))</f>
        <v>0.0895395177399234</v>
      </c>
      <c r="FY159" s="388">
        <f>IF($BK159&lt;&gt;$FY$9,0,各项系数!$F$76/4*($MS159^2-$MQ159^2)*10^-2*(VLOOKUP($FY$9,各项系数!$D$1:$F$143,3,0))*10^-3*10^2)*各项系数!$J$4</f>
        <v>0</v>
      </c>
      <c r="FZ159" s="389">
        <v>1</v>
      </c>
      <c r="GA159" s="390">
        <f t="shared" si="716"/>
        <v>0</v>
      </c>
      <c r="GB159" s="367">
        <f>GA159*(VLOOKUP($FY$9,各项系数!$D$1:$F$143,2,0))</f>
        <v>0</v>
      </c>
      <c r="GC159" s="388">
        <f>IF($BK159&lt;&gt;$GC$9,0,各项系数!$F$76/4*($MS159^2-$MQ159^2)*10^-2*(VLOOKUP($GC$9,各项系数!$D$1:$F$143,3,0))*10^-3*10^2)*各项系数!$J$4</f>
        <v>0.00316002825025881</v>
      </c>
      <c r="GD159" s="389">
        <v>1</v>
      </c>
      <c r="GE159" s="390">
        <f t="shared" si="717"/>
        <v>0.00316002825025881</v>
      </c>
      <c r="GF159" s="367">
        <f>GE159*(VLOOKUP($GC$9,各项系数!$D$1:$F$143,2,0))</f>
        <v>0.0407643644283386</v>
      </c>
      <c r="GG159" s="388">
        <f>IF($BK159&lt;&gt;$GG$9,0,各项系数!$F$76/4*($MS159^2-$MQ159^2)*10^-2*(VLOOKUP($GG$9,各项系数!$D$1:$F$143,3,0))*10^-3*10^2)*各项系数!$J$4</f>
        <v>0</v>
      </c>
      <c r="GH159" s="389">
        <v>1</v>
      </c>
      <c r="GI159" s="390">
        <f t="shared" si="718"/>
        <v>0</v>
      </c>
      <c r="GJ159" s="367">
        <f>GI159*(VLOOKUP($GG$9,各项系数!$D$1:$F$143,2,0))</f>
        <v>0</v>
      </c>
      <c r="GK159" s="388">
        <f>IF($BK159&lt;&gt;$GK$9,0,各项系数!$F$76/4*($MS159^2-$MQ159^2)*10^-2*(VLOOKUP($GK$9,各项系数!$D$1:$F$143,3,0))*10^-3*10^2)*各项系数!$J$4</f>
        <v>0</v>
      </c>
      <c r="GL159" s="389">
        <v>1</v>
      </c>
      <c r="GM159" s="390">
        <f t="shared" si="719"/>
        <v>0</v>
      </c>
      <c r="GN159" s="367">
        <f>GM159*(VLOOKUP($GK$9,各项系数!$D$1:$F$143,2,0))</f>
        <v>0</v>
      </c>
      <c r="GO159" s="390">
        <f t="shared" si="720"/>
        <v>0.00316002825025881</v>
      </c>
      <c r="GP159" s="390">
        <f t="shared" si="721"/>
        <v>0.0407643644283386</v>
      </c>
      <c r="GQ159" s="406">
        <f>各项系数!$F$76/4*($MU159^2-$MS159^2)*10^-2*(VLOOKUP($S159,各项系数!$D$1:$F$143,3,0))*10^-3*10^2*各项系数!$J$4</f>
        <v>0.180279505156086</v>
      </c>
      <c r="GR159" s="389">
        <v>1</v>
      </c>
      <c r="GS159" s="390">
        <f t="shared" si="722"/>
        <v>0.180279505156086</v>
      </c>
      <c r="GT159" s="390">
        <f t="shared" si="696"/>
        <v>0</v>
      </c>
      <c r="GU159" s="390">
        <f>ROUND($GS159*(VLOOKUP($S159,各项系数!$D$1:$F$143,2,0))+$E$3*GS159,GT159)</f>
        <v>1</v>
      </c>
      <c r="GV159" s="406">
        <f>各项系数!$F$76/4*($MT159^2-$MS159^2)*10^-2*(VLOOKUP($GV$9,各项系数!$D$1:$F$143,3,0))*10^-3*10^2*各项系数!$J$4*PI()/4*R159</f>
        <v>0.0164432385043191</v>
      </c>
      <c r="GW159" s="389">
        <v>1</v>
      </c>
      <c r="GX159" s="390">
        <f t="shared" si="723"/>
        <v>0.0164432385043191</v>
      </c>
      <c r="GY159" s="390">
        <f>$GX159*(VLOOKUP($GV$9,各项系数!$D$1:$F$143,2,0))</f>
        <v>1.10991859904154</v>
      </c>
      <c r="GZ159" s="406">
        <f>各项系数!$F$76/4*($MV159^2-$MS159^2)*10^-2*(VLOOKUP($GZ$9,各项系数!$D$1:$F$143,3,0))*10^-3*10^2*各项系数!$J$4</f>
        <v>0.0896883829885701</v>
      </c>
      <c r="HA159" s="389">
        <v>1</v>
      </c>
      <c r="HB159" s="390">
        <f t="shared" si="653"/>
        <v>0.0896883829885701</v>
      </c>
      <c r="HC159" s="390">
        <f>HB159*(VLOOKUP($GZ$9,各项系数!$D$1:$F$143,2,0))</f>
        <v>1.52470251080569</v>
      </c>
      <c r="HD159" s="406">
        <f>各项系数!$F$76/4*($MW159^2-$MT159^2)*10^-2*(VLOOKUP($HD$9,各项系数!$D$1:$F$143,3,0))*10^-3*10^2*各项系数!$J$4</f>
        <v>0.0907761908608021</v>
      </c>
      <c r="HE159" s="389">
        <v>1</v>
      </c>
      <c r="HF159" s="390">
        <f t="shared" si="654"/>
        <v>0.0907761908608021</v>
      </c>
      <c r="HG159" s="390">
        <f>HF159*(VLOOKUP($HD$9,各项系数!$D$1:$F$143,2,0))</f>
        <v>1.54319524463364</v>
      </c>
      <c r="HH159" s="406">
        <f>各项系数!$F$76/4*($MV159^2-$MS159^2)*10^-2*(VLOOKUP($HH$9,各项系数!$D$1:$F$143,3,0))*10^-3*10^2*各项系数!$J$4</f>
        <v>0.0896883829885701</v>
      </c>
      <c r="HI159" s="420">
        <v>1</v>
      </c>
      <c r="HJ159" s="390">
        <f t="shared" si="655"/>
        <v>0.0896883829885701</v>
      </c>
      <c r="HK159" s="390">
        <f>HJ159*(VLOOKUP($HH$9,各项系数!$D$1:$F$143,2,0))</f>
        <v>1.52470251080569</v>
      </c>
      <c r="HL159" s="406">
        <f>各项系数!$F$76/4*($MW159^2-$MT159^2)*10^-2*(VLOOKUP($HL$9,各项系数!$D$1:$F$143,3,0))*10^-3*10^2*各项系数!$J$4</f>
        <v>0.0907761908608021</v>
      </c>
      <c r="HM159" s="420">
        <v>1</v>
      </c>
      <c r="HN159" s="390">
        <f t="shared" si="605"/>
        <v>0.0907761908608021</v>
      </c>
      <c r="HO159" s="390">
        <f>HN159*(VLOOKUP($HL$9,各项系数!$D$1:$F$143,2,0))</f>
        <v>1.54319524463364</v>
      </c>
      <c r="HP159" s="406">
        <f>各项系数!$F$76/4*($MV159^2-$MS159^2)*10^-2*(VLOOKUP(AN159,各项系数!$D$1:$F$143,3,0))*10^-3*10^2*各项系数!$J$4</f>
        <v>0.09092546413324</v>
      </c>
      <c r="HQ159" s="389">
        <v>1</v>
      </c>
      <c r="HR159" s="390">
        <f t="shared" si="724"/>
        <v>0.09092546413324</v>
      </c>
      <c r="HS159" s="390">
        <f>HR159*(VLOOKUP(AN159,各项系数!$D$1:$F$143,2,0))</f>
        <v>0.9092546413324</v>
      </c>
      <c r="HT159" s="406">
        <f>各项系数!$F$76/4*($MW159^2-$MT159^2)*10^-2*(VLOOKUP(AN159,各项系数!$D$1:$F$143,3,0))*10^-3*10^2*各项系数!$J$4</f>
        <v>0.0920282762519856</v>
      </c>
      <c r="HU159" s="389">
        <v>1</v>
      </c>
      <c r="HV159" s="390">
        <f t="shared" si="725"/>
        <v>0.0920282762519856</v>
      </c>
      <c r="HW159" s="390">
        <f>HV159*(VLOOKUP(AN159,各项系数!$D$1:$F$143,2,0))</f>
        <v>0.920282762519856</v>
      </c>
      <c r="HX159" s="406">
        <f>各项系数!$F$76/4*($MV159^2-$MS159^2)*10^-2*(VLOOKUP($HX$9,各项系数!$D$1:$F$143,3,0))*10^-3*10^2*各项系数!$J$4</f>
        <v>0.09092546413324</v>
      </c>
      <c r="HY159" s="420">
        <v>1</v>
      </c>
      <c r="HZ159" s="390">
        <f t="shared" si="726"/>
        <v>0.09092546413324</v>
      </c>
      <c r="IA159" s="390">
        <f>HZ159*(VLOOKUP($HX$9,各项系数!$D$1:$F$143,2,0))</f>
        <v>1.00018010546564</v>
      </c>
      <c r="IB159" s="406">
        <f>各项系数!$F$76/4*($MW159^2-$MT159^2)*10^-2*(VLOOKUP($IB$9,各项系数!$D$1:$F$143,3,0))*10^-3*10^2*各项系数!$J$4</f>
        <v>0.0920282762519856</v>
      </c>
      <c r="IC159" s="420">
        <v>1</v>
      </c>
      <c r="ID159" s="390">
        <f t="shared" si="727"/>
        <v>0.0920282762519856</v>
      </c>
      <c r="IE159" s="390">
        <f>ID159*(VLOOKUP($IB$9,各项系数!$D$1:$F$143,2,0))</f>
        <v>1.01231103877184</v>
      </c>
      <c r="IF159" s="429"/>
      <c r="IG159" s="406">
        <f t="shared" si="656"/>
        <v>0.0375012820670848</v>
      </c>
      <c r="IH159" s="389">
        <v>1</v>
      </c>
      <c r="II159" s="390">
        <f t="shared" si="728"/>
        <v>0.0375012820670848</v>
      </c>
      <c r="IJ159" s="390">
        <f>II159*(VLOOKUP($IG$8,各项系数!$D$1:$F$143,2,0))</f>
        <v>0.93753205167712</v>
      </c>
      <c r="IK159" s="406">
        <f>(各项系数!$F$76/4*($MX159^2-$MK159^2)*$EG159)*10^-2*(VLOOKUP($IG$8,各项系数!$D$1:$F$143,3,0))*10^-3*10^2*各项系数!$J$4</f>
        <v>0.0375012820670848</v>
      </c>
      <c r="IL159" s="389">
        <f>IK159*(VLOOKUP($IG$8,各项系数!$D$1:$F$143,2,0))</f>
        <v>0.93753205167712</v>
      </c>
      <c r="IM159" s="390">
        <f>(各项系数!$F$76/4*(($MM159+3*$X159)^2-MM159^2)*$EO159)*10^-2*(VLOOKUP($IG$8,各项系数!$D$1:$F$143,3,0))*10^-3*10^2*各项系数!$J$4</f>
        <v>0</v>
      </c>
      <c r="IN159" s="389">
        <f>IM159*(VLOOKUP($IG$8,各项系数!$D$1:$F$143,2,0))</f>
        <v>0</v>
      </c>
      <c r="IO159" s="406">
        <f>各项系数!$F$76/4*($MZ159^2-$MX159^2)*10^-2*(VLOOKUP(L159,各项系数!$D$1:$F$143,3,0))*10^-3*10^2*$ES159*各项系数!$J$4</f>
        <v>0.09028061498003</v>
      </c>
      <c r="IP159" s="389">
        <v>1</v>
      </c>
      <c r="IQ159" s="390">
        <f t="shared" si="729"/>
        <v>0.09028061498003</v>
      </c>
      <c r="IR159" s="367">
        <f>IQ159*(VLOOKUP(L159,各项系数!$D$1:$F$143,2,0))</f>
        <v>1.03822707227035</v>
      </c>
      <c r="IS159" s="406">
        <f>IF($L159&lt;&gt;$IS$9,0,各项系数!$F$76/4*($MZ159^2-$MX159^2)*10^-2*各项系数!$F$12*10^-3*10^2)*$ES159*各项系数!$J$4</f>
        <v>0</v>
      </c>
      <c r="IT159" s="389">
        <v>1</v>
      </c>
      <c r="IU159" s="390">
        <f t="shared" si="730"/>
        <v>0</v>
      </c>
      <c r="IV159" s="367">
        <f>IU159*各项系数!$E$12</f>
        <v>0</v>
      </c>
      <c r="IW159" s="388">
        <f t="shared" si="731"/>
        <v>0.09028061498003</v>
      </c>
      <c r="IX159" s="388">
        <f t="shared" si="732"/>
        <v>1.03822707227035</v>
      </c>
      <c r="IY159" s="447">
        <f>各项系数!$F$76/4*($NB159^2-$MZ159^2*$EG159-$NA159^2*$EO159)*10^-2</f>
        <v>0.397175939127138</v>
      </c>
      <c r="IZ159" s="366">
        <f t="shared" si="697"/>
        <v>1</v>
      </c>
      <c r="JA159" s="367">
        <f t="shared" si="606"/>
        <v>0.397175939127138</v>
      </c>
      <c r="JB159" s="364">
        <f>IF($DE159&lt;&gt;$JB$9,0,$JA159*各项系数!$F$32*10^-3*10^2)*各项系数!$J$4</f>
        <v>0</v>
      </c>
      <c r="JC159" s="123">
        <v>1</v>
      </c>
      <c r="JD159" s="251">
        <f t="shared" si="733"/>
        <v>0</v>
      </c>
      <c r="JE159" s="339">
        <f>JD159*各项系数!$E$32</f>
        <v>0</v>
      </c>
      <c r="JF159" s="364">
        <f>IF($DE159&lt;&gt;$JF$9,0,$JA159*VLOOKUP($JF$9,各项系数!$D$4:$F$540,2,0)*10^-3*10^2)*各项系数!$J$4</f>
        <v>0.197595029715751</v>
      </c>
      <c r="JG159" s="123">
        <v>1</v>
      </c>
      <c r="JH159" s="251">
        <f t="shared" si="607"/>
        <v>0.197595029715751</v>
      </c>
      <c r="JI159" s="339">
        <f>JH159*VLOOKUP($JF$9,各项系数!$D$4:$F$540,3,0)</f>
        <v>0.237114035658901</v>
      </c>
      <c r="JJ159" s="364">
        <f t="shared" si="734"/>
        <v>0.197595029715751</v>
      </c>
      <c r="JK159" s="251">
        <f t="shared" si="735"/>
        <v>0.237114035658901</v>
      </c>
      <c r="JL159" s="364">
        <f>IF($DF159&lt;&gt;$JL$9,0,各项系数!$F$76/4*($NE159^2-$NC159^2)*10^-2*各项系数!$F$39*10^-3*10^2)*各项系数!$J$4</f>
        <v>0.00164699336334561</v>
      </c>
      <c r="JM159" s="123">
        <v>1</v>
      </c>
      <c r="JN159" s="251">
        <f t="shared" si="736"/>
        <v>0.00164699336334561</v>
      </c>
      <c r="JO159" s="339">
        <f>JN159*各项系数!$E$39</f>
        <v>0.0329398672669123</v>
      </c>
      <c r="JP159" s="364">
        <f>IF($DF159&lt;&gt;$JP$9,0,各项系数!$F$76/4*($NE159^2-$NC159^2)*10^-2*各项系数!$F$36*10^-3*10^2)*各项系数!$J$4</f>
        <v>0</v>
      </c>
      <c r="JQ159" s="123">
        <v>1</v>
      </c>
      <c r="JR159" s="251">
        <f t="shared" si="737"/>
        <v>0</v>
      </c>
      <c r="JS159" s="339">
        <f>JR159*各项系数!$E$36</f>
        <v>0</v>
      </c>
      <c r="JT159" s="364">
        <f>IF($DF159&lt;&gt;$JT$9,0,各项系数!$F$76/4*($NE159^2-$NC159^2)*10^-2*各项系数!$F$40*10^-3*10^2)*各项系数!$J$4</f>
        <v>0</v>
      </c>
      <c r="JU159" s="123">
        <v>1</v>
      </c>
      <c r="JV159" s="251">
        <f t="shared" si="738"/>
        <v>0</v>
      </c>
      <c r="JW159" s="339">
        <f>JV159*各项系数!$E$40</f>
        <v>0</v>
      </c>
      <c r="JX159" s="364">
        <f>IF($DF159&lt;&gt;$JX$9,0,各项系数!$F$76/4*($NE159^2-$NC159^2)*10^-2*各项系数!$F$38*10^-3*10^2)*各项系数!$J$4</f>
        <v>0</v>
      </c>
      <c r="JY159" s="123">
        <v>1</v>
      </c>
      <c r="JZ159" s="251">
        <f t="shared" si="739"/>
        <v>0</v>
      </c>
      <c r="KA159" s="339">
        <f>JZ159*各项系数!$E$38</f>
        <v>0</v>
      </c>
      <c r="KB159" s="364">
        <f>IF($DF159&lt;&gt;$KB$9,0,各项系数!$F$76/4*($NE159^2-$NC159^2)*10^-2*各项系数!$F$41*10^-3*10^2)*各项系数!$J$4</f>
        <v>0</v>
      </c>
      <c r="KC159" s="123">
        <v>1</v>
      </c>
      <c r="KD159" s="251">
        <f t="shared" si="740"/>
        <v>0</v>
      </c>
      <c r="KE159" s="339">
        <f>KD159*各项系数!$E$41</f>
        <v>0</v>
      </c>
      <c r="KF159" s="251">
        <f t="shared" si="741"/>
        <v>0.00164699336334561</v>
      </c>
      <c r="KG159" s="251">
        <f t="shared" si="742"/>
        <v>0.0329398672669123</v>
      </c>
      <c r="KH159" s="302">
        <f>各项系数!$F$76/4*($NG159^2-$NE159^2)*10^-2*各项系数!$F$44*10^-3*10^2*各项系数!$J$4*0.75*$U159</f>
        <v>0.675654371156832</v>
      </c>
      <c r="KI159" s="123">
        <v>1</v>
      </c>
      <c r="KJ159" s="251">
        <f t="shared" si="743"/>
        <v>0.675654371156832</v>
      </c>
      <c r="KK159" s="251">
        <f>ROUND(KJ159*各项系数!$E$43,GT159)</f>
        <v>4</v>
      </c>
      <c r="KL159" s="302">
        <f>各项系数!$F$76/4*($NF159^2-$NE159^2)*10^-2*各项系数!$F$46*10^-3*10^2*各项系数!$J$4*PI()/4*R159</f>
        <v>0.020723135635513</v>
      </c>
      <c r="KM159" s="123">
        <v>1</v>
      </c>
      <c r="KN159" s="251">
        <f t="shared" si="744"/>
        <v>0.020723135635513</v>
      </c>
      <c r="KO159" s="251">
        <f>KN159*各项系数!$E$46</f>
        <v>1.39881165539713</v>
      </c>
      <c r="KP159" s="302">
        <f>各项系数!$F$76/4*($NH159^2-$NE159^2)*10^-2*(VLOOKUP($KP$9,各项系数!$D$1:$F$143,3,0))*10^-3*10^2*各项系数!$J$4</f>
        <v>0.110519903741813</v>
      </c>
      <c r="KQ159" s="123">
        <v>1</v>
      </c>
      <c r="KR159" s="251">
        <f t="shared" si="657"/>
        <v>0.110519903741813</v>
      </c>
      <c r="KS159" s="251">
        <f>KR159*(VLOOKUP($KP$9,各项系数!$D$1:$F$143,2,0))</f>
        <v>1.87883836361082</v>
      </c>
      <c r="KT159" s="302">
        <f>各项系数!$F$76/4*($NI159^2-$NF159^2)*10^-2*(VLOOKUP($KT$9,各项系数!$D$1:$F$143,3,0))*10^-3*10^2*各项系数!$J$4</f>
        <v>0.111607711614045</v>
      </c>
      <c r="KU159" s="123">
        <v>1</v>
      </c>
      <c r="KV159" s="251">
        <f t="shared" si="658"/>
        <v>0.111607711614045</v>
      </c>
      <c r="KW159" s="251">
        <f>KV159*(VLOOKUP($KT$9,各项系数!$D$1:$F$143,2,0))</f>
        <v>1.89733109743876</v>
      </c>
      <c r="KX159" s="251">
        <f>各项系数!$F$76/4*($NH159^2-$NE159^2)*10^-2*(VLOOKUP($KX$9,各项系数!$D$1:$F$143,3,0))*10^-3*10^2*各项系数!$J$4</f>
        <v>0.110519903741813</v>
      </c>
      <c r="KY159" s="479">
        <v>1</v>
      </c>
      <c r="KZ159" s="251">
        <f t="shared" si="659"/>
        <v>0.110519903741813</v>
      </c>
      <c r="LA159" s="251">
        <f>KZ159*(VLOOKUP($KX$9,各项系数!$D$1:$F$143,2,0))</f>
        <v>1.87883836361082</v>
      </c>
      <c r="LB159" s="251">
        <f>各项系数!$F$76/4*($NI159^2-$NF159^2)*10^-2*(VLOOKUP($LB$9,各项系数!$D$1:$F$143,3,0))*10^-3*10^2*各项系数!$J$4</f>
        <v>0.111607711614045</v>
      </c>
      <c r="LC159" s="479">
        <v>1</v>
      </c>
      <c r="LD159" s="251">
        <f t="shared" si="660"/>
        <v>0.111607711614045</v>
      </c>
      <c r="LE159" s="251">
        <f>LD159*(VLOOKUP($LB$9,各项系数!$D$1:$F$143,2,0))</f>
        <v>1.89733109743876</v>
      </c>
      <c r="LF159" s="302">
        <f>各项系数!$F$76/4*($NH159^2-$NE159^2)*10^-2*(VLOOKUP(AN159,各项系数!$D$1:$F$143,3,0))*10^-3*10^2*各项系数!$J$4</f>
        <v>0.112044316207217</v>
      </c>
      <c r="LG159" s="123">
        <v>1</v>
      </c>
      <c r="LH159" s="251">
        <f t="shared" si="745"/>
        <v>0.112044316207217</v>
      </c>
      <c r="LI159" s="251">
        <f>LH159*(VLOOKUP(AN159,各项系数!$D$1:$F$143,2,0))</f>
        <v>1.12044316207217</v>
      </c>
      <c r="LJ159" s="302">
        <f>各项系数!$F$76/4*($NI159^2-$NF159^2)*10^-2*(VLOOKUP(AN159,各项系数!$D$1:$F$143,3,0))*10^-3*10^2*各项系数!$J$4</f>
        <v>0.113147128325963</v>
      </c>
      <c r="LK159" s="123">
        <v>1</v>
      </c>
      <c r="LL159" s="251">
        <f t="shared" si="746"/>
        <v>0.113147128325963</v>
      </c>
      <c r="LM159" s="251">
        <f>LL159*(VLOOKUP(AN159,各项系数!$D$1:$F$143,2,0))</f>
        <v>1.13147128325963</v>
      </c>
      <c r="LN159" s="251">
        <f>各项系数!$F$76/4*($NH159^2-$NE159^2)*10^-2*(VLOOKUP($LN$9,各项系数!$D$1:$F$143,3,0))*10^-3*10^2*各项系数!$J$4</f>
        <v>0.112044316207217</v>
      </c>
      <c r="LO159" s="479">
        <v>1</v>
      </c>
      <c r="LP159" s="251">
        <f t="shared" si="747"/>
        <v>0.112044316207217</v>
      </c>
      <c r="LQ159" s="251">
        <f>LP159*(VLOOKUP($LN$9,各项系数!$D$1:$F$143,2,0))</f>
        <v>1.23248747827939</v>
      </c>
      <c r="LR159" s="251">
        <f>各项系数!$F$76/4*($NI159^2-$NF159^2)*10^-2*(VLOOKUP($LR$9,各项系数!$D$1:$F$143,3,0))*10^-3*10^2*各项系数!$J$4</f>
        <v>0.113147128325963</v>
      </c>
      <c r="LS159" s="479">
        <v>1</v>
      </c>
      <c r="LT159" s="251">
        <f t="shared" si="748"/>
        <v>0.113147128325963</v>
      </c>
      <c r="LU159" s="251">
        <f>LT159*(VLOOKUP($LR$9,各项系数!$D$1:$F$143,2,0))</f>
        <v>1.24461841158559</v>
      </c>
      <c r="LV159" s="499">
        <f t="shared" si="661"/>
        <v>18.16017866</v>
      </c>
      <c r="LW159" s="499">
        <f t="shared" si="662"/>
        <v>18.16017866</v>
      </c>
      <c r="LX159" s="499">
        <f t="shared" si="663"/>
        <v>4.80856086676332</v>
      </c>
      <c r="LY159" s="515">
        <f t="shared" si="664"/>
        <v>0</v>
      </c>
      <c r="LZ159" s="516">
        <f t="shared" si="608"/>
        <v>1</v>
      </c>
      <c r="MA159" s="517">
        <f t="shared" si="609"/>
        <v>18.16017866</v>
      </c>
      <c r="MB159" s="517">
        <f t="shared" si="665"/>
        <v>1.10315952</v>
      </c>
      <c r="MC159" s="499">
        <f t="shared" si="666"/>
        <v>0</v>
      </c>
      <c r="MD159" s="499">
        <f t="shared" si="667"/>
        <v>0</v>
      </c>
      <c r="ME159" s="499">
        <f t="shared" si="668"/>
        <v>0</v>
      </c>
      <c r="MF159" s="499">
        <f t="shared" si="669"/>
        <v>0</v>
      </c>
      <c r="MG159" s="516">
        <f t="shared" si="670"/>
        <v>1</v>
      </c>
      <c r="MH159" s="517">
        <f t="shared" si="610"/>
        <v>0</v>
      </c>
      <c r="MI159" s="517">
        <f t="shared" si="671"/>
        <v>0</v>
      </c>
      <c r="MJ159" s="251">
        <f t="shared" si="611"/>
        <v>1.10315952</v>
      </c>
      <c r="MK159" s="251">
        <f t="shared" si="672"/>
        <v>1.10315952</v>
      </c>
      <c r="ML159" s="251">
        <f t="shared" si="749"/>
        <v>0</v>
      </c>
      <c r="MM159" s="251">
        <f t="shared" si="612"/>
        <v>0</v>
      </c>
      <c r="MN159" s="251">
        <f t="shared" si="613"/>
        <v>2.30315952</v>
      </c>
      <c r="MO159" s="251">
        <f t="shared" si="673"/>
        <v>0</v>
      </c>
      <c r="MP159" s="251">
        <f t="shared" si="674"/>
        <v>11.5157976</v>
      </c>
      <c r="MQ159" s="251">
        <f t="shared" si="750"/>
        <v>11.5157976</v>
      </c>
      <c r="MR159" s="314">
        <f t="shared" si="675"/>
        <v>11.5157976</v>
      </c>
      <c r="MS159" s="530">
        <f t="shared" si="614"/>
        <v>11.6917976</v>
      </c>
      <c r="MT159" s="530">
        <f t="shared" si="615"/>
        <v>11.8517976</v>
      </c>
      <c r="MU159" s="530">
        <f t="shared" si="616"/>
        <v>12.8917976</v>
      </c>
      <c r="MV159" s="530">
        <f t="shared" si="617"/>
        <v>14.6917976</v>
      </c>
      <c r="MW159" s="530">
        <f t="shared" si="618"/>
        <v>14.8517976</v>
      </c>
      <c r="MX159" s="326">
        <f t="shared" si="619"/>
        <v>1.70315952</v>
      </c>
      <c r="MY159" s="326">
        <f t="shared" si="620"/>
        <v>0</v>
      </c>
      <c r="MZ159" s="251">
        <f t="shared" si="621"/>
        <v>2.90315952</v>
      </c>
      <c r="NA159" s="251">
        <f t="shared" si="622"/>
        <v>0</v>
      </c>
      <c r="NB159" s="251">
        <f t="shared" si="676"/>
        <v>14.5157976</v>
      </c>
      <c r="NC159" s="326">
        <f t="shared" si="751"/>
        <v>14.5157976</v>
      </c>
      <c r="ND159" s="314">
        <f t="shared" si="677"/>
        <v>14.5157976</v>
      </c>
      <c r="NE159" s="537">
        <f t="shared" si="678"/>
        <v>14.7557976</v>
      </c>
      <c r="NF159" s="530">
        <f t="shared" si="623"/>
        <v>14.9157976</v>
      </c>
      <c r="NG159" s="538">
        <f t="shared" si="624"/>
        <v>15.9557976</v>
      </c>
      <c r="NH159" s="326">
        <f t="shared" si="625"/>
        <v>17.7557976</v>
      </c>
      <c r="NI159" s="530">
        <f t="shared" si="626"/>
        <v>17.9157976</v>
      </c>
      <c r="NK159" s="539">
        <f t="shared" si="627"/>
        <v>0.351330224045895</v>
      </c>
      <c r="NL159" s="539">
        <f t="shared" si="628"/>
        <v>12.3290235472834</v>
      </c>
      <c r="NM159" s="539">
        <f t="shared" si="629"/>
        <v>0.351330224045895</v>
      </c>
      <c r="NN159" s="539">
        <f t="shared" si="630"/>
        <v>12.4199490114166</v>
      </c>
      <c r="NO159" s="539">
        <f t="shared" si="631"/>
        <v>0.599705003512469</v>
      </c>
      <c r="NP159" s="539">
        <f t="shared" si="632"/>
        <v>13.8879644391726</v>
      </c>
      <c r="NQ159" s="539">
        <f t="shared" si="633"/>
        <v>0.599705003512469</v>
      </c>
      <c r="NR159" s="539">
        <f t="shared" si="634"/>
        <v>14.0000087553798</v>
      </c>
      <c r="NS159" s="539">
        <f t="shared" si="635"/>
        <v>0.367773462550214</v>
      </c>
      <c r="NT159" s="539">
        <f t="shared" si="636"/>
        <v>0.367773462550214</v>
      </c>
      <c r="NU159" s="539">
        <f t="shared" si="637"/>
        <v>0.620428139147982</v>
      </c>
      <c r="NV159" s="539">
        <f t="shared" si="638"/>
        <v>0.620428139147982</v>
      </c>
      <c r="NW159">
        <f t="shared" si="639"/>
        <v>0.531609729201981</v>
      </c>
      <c r="NX159">
        <f>各项系数!$M$9*NK159</f>
        <v>0.105399067213769</v>
      </c>
      <c r="NY159">
        <f t="shared" si="640"/>
        <v>0.367773462550214</v>
      </c>
    </row>
    <row r="160" customHeight="1" spans="1:389">
      <c r="A160" s="85"/>
      <c r="B160" s="86"/>
      <c r="C160" s="218"/>
      <c r="D160" s="123" t="s">
        <v>287</v>
      </c>
      <c r="E160" s="77">
        <f t="shared" si="687"/>
        <v>16.05184024</v>
      </c>
      <c r="F160" s="558">
        <f t="shared" si="693"/>
        <v>110.31595161029</v>
      </c>
      <c r="G160" s="23"/>
      <c r="H160" s="23"/>
      <c r="I160" s="174">
        <v>0</v>
      </c>
      <c r="J160" s="23"/>
      <c r="K160" s="23"/>
      <c r="L160" s="118" t="s">
        <v>469</v>
      </c>
      <c r="M160" s="124">
        <f t="shared" si="582"/>
        <v>0.6</v>
      </c>
      <c r="N160" s="124">
        <f t="shared" si="583"/>
        <v>0</v>
      </c>
      <c r="O160" s="69">
        <f t="shared" si="703"/>
        <v>0.08</v>
      </c>
      <c r="P160" s="120">
        <v>0.1</v>
      </c>
      <c r="Q160" s="162">
        <f t="shared" si="700"/>
        <v>0.1</v>
      </c>
      <c r="R160" s="560">
        <v>0.8</v>
      </c>
      <c r="S160" s="171" t="str">
        <f>各项系数!$D$43</f>
        <v>钢带</v>
      </c>
      <c r="T160" s="123">
        <v>0.2</v>
      </c>
      <c r="U160" s="78">
        <v>4</v>
      </c>
      <c r="V160" s="172"/>
      <c r="W160" s="561">
        <v>1.8</v>
      </c>
      <c r="X160" s="164">
        <f t="shared" si="701"/>
        <v>0.2</v>
      </c>
      <c r="Y160" s="219"/>
      <c r="Z160" s="220"/>
      <c r="AA160" s="217">
        <v>1</v>
      </c>
      <c r="AB160" s="186">
        <f>PI()*EJ160*EJ160/4*EH160*(1-H160)*AA160*各项系数!$F$5*各项系数!$J$4*10^-7</f>
        <v>0.0084545666936337</v>
      </c>
      <c r="AC160" s="186">
        <f t="shared" si="704"/>
        <v>110.31595161029</v>
      </c>
      <c r="AD160" s="186">
        <f t="shared" si="584"/>
        <v>0.955798869898841</v>
      </c>
      <c r="AE160" s="186">
        <f>POWER(4*EU160/PI()/EG160/10^-7/EH160/(1-H160)/各项系数!$F$5/各项系数!$J$4,0.5)</f>
        <v>110.31595161029</v>
      </c>
      <c r="AF160" s="218">
        <v>1</v>
      </c>
      <c r="AG160" s="85">
        <f>IF(EM160=0,0,PI()*ER160*ER160/4*EP160*(1-K160)*(1+AF160)*各项系数!$F$5*各项系数!$J$4*10^-7)</f>
        <v>0</v>
      </c>
      <c r="AH160" s="85">
        <f t="shared" si="705"/>
        <v>0</v>
      </c>
      <c r="AI160" s="85">
        <f t="shared" si="641"/>
        <v>0</v>
      </c>
      <c r="AJ160" s="85">
        <f>IF(OR(EP160="",EP160=0),0,POWER(4*EW160/PI()/EO160/10^-7/EP160/(1-K160)/各项系数!$F$5/各项系数!$J$4,0.5))</f>
        <v>0</v>
      </c>
      <c r="AK160" s="85" t="str">
        <f t="shared" si="585"/>
        <v>√</v>
      </c>
      <c r="AL160" s="85">
        <f t="shared" si="706"/>
        <v>14.553965006034</v>
      </c>
      <c r="AM160" s="250">
        <f t="shared" si="707"/>
        <v>1</v>
      </c>
      <c r="AN160" s="118" t="s">
        <v>486</v>
      </c>
      <c r="AO160" s="259">
        <f>AP160+各项系数!$M$9*$NK160</f>
        <v>14.2685931431706</v>
      </c>
      <c r="AP160" s="259">
        <f>AQ160*(1+$BI160+(VLOOKUP($AM160,$A$12:$B$323,2,0))+各项系数!$J$6+各项系数!$M$5)*(1+$E$2)</f>
        <v>14.1478607806504</v>
      </c>
      <c r="AQ160" s="260">
        <f>AR160+各项系数!$L$9*$NK160</f>
        <v>13.8813390704968</v>
      </c>
      <c r="AR160" s="260">
        <f>AS160*(1+$BJ160+各项系数!$J$5+各项系数!$L$5)</f>
        <v>13.7606067079765</v>
      </c>
      <c r="AS160" s="260">
        <f t="shared" si="642"/>
        <v>13.2313526038236</v>
      </c>
      <c r="AT160" s="259">
        <f>AU160+各项系数!$M$9*$NM160</f>
        <v>15.1143241220041</v>
      </c>
      <c r="AU160" s="259">
        <f>AV160*(1+$BI160+(VLOOKUP($AM160,$A$12:$B$323,2,0))+各项系数!$J$6+各项系数!$M$5)*(1+$E$2)</f>
        <v>14.9935917594839</v>
      </c>
      <c r="AV160" s="260">
        <f>AW160+各项系数!$L$9*$NM160</f>
        <v>14.7111379115815</v>
      </c>
      <c r="AW160" s="260">
        <f>AX160*(1+$BJ160+各项系数!$J$5+各项系数!$L$5)</f>
        <v>14.5904055490612</v>
      </c>
      <c r="AX160" s="260">
        <f t="shared" si="643"/>
        <v>14.0292361048666</v>
      </c>
      <c r="AY160" s="259">
        <f>AZ160+各项系数!$M$9*$NS160</f>
        <v>15.5456614182432</v>
      </c>
      <c r="AZ160" s="259">
        <f>BA160*(1+$BI160+(VLOOKUP($AM160,$A$12:$B$214,2,0))+各项系数!$J$6+各项系数!$M$5)*(1+$E$2)</f>
        <v>15.4196775883184</v>
      </c>
      <c r="BA160" s="260">
        <f>BB160+各项系数!$L$9*$NS160</f>
        <v>15.1291970058069</v>
      </c>
      <c r="BB160" s="260">
        <f>BC160*(1+$BJ160+各项系数!$J$5+各项系数!$L$5)</f>
        <v>15.0032131758821</v>
      </c>
      <c r="BC160" s="262">
        <f t="shared" si="644"/>
        <v>14.4261665152712</v>
      </c>
      <c r="BD160" s="259">
        <f>BE160+各项系数!$M$9*$NS160</f>
        <v>16.4008870977143</v>
      </c>
      <c r="BE160" s="259">
        <f>BF160*(1+$BI160+(VLOOKUP($AM160,$A$12:$B$214,2,0))+各项系数!$J$6+各项系数!$M$5)*(1+$E$2)</f>
        <v>16.2749032677895</v>
      </c>
      <c r="BF160" s="260">
        <f>BG160+各项系数!$L$9*$NS160</f>
        <v>15.9683116834669</v>
      </c>
      <c r="BG160" s="260">
        <f>BH160*(1+$BJ160+各项系数!$J$5+各项系数!$L$5)</f>
        <v>15.8423278535421</v>
      </c>
      <c r="BH160" s="262">
        <f t="shared" si="645"/>
        <v>15.2330075514828</v>
      </c>
      <c r="BI160" s="277"/>
      <c r="BJ160" s="272">
        <f t="shared" si="695"/>
        <v>0.02</v>
      </c>
      <c r="BK160" s="123" t="s">
        <v>514</v>
      </c>
      <c r="BL160" s="259">
        <f>BM160+各项系数!$M$9*$NM160</f>
        <v>14.5295956940334</v>
      </c>
      <c r="BM160" s="259">
        <f>BN160*(1+$CF160+(VLOOKUP($AM160,$A$12:$B$323,2,0))+各项系数!$J$6+各项系数!$M$5)*(1+$E$2)</f>
        <v>14.4088633315131</v>
      </c>
      <c r="BN160" s="260">
        <f>BO160+各项系数!$L$9*$NM160</f>
        <v>14.1374247758174</v>
      </c>
      <c r="BO160" s="260">
        <f>BP160*(1+$CG160+各项系数!$J$5+各项系数!$L$5)</f>
        <v>14.0166924132972</v>
      </c>
      <c r="BP160" s="260">
        <f t="shared" si="646"/>
        <v>13.3492308698068</v>
      </c>
      <c r="BQ160" s="259">
        <f>BR160+各项系数!$M$9*$NM160</f>
        <v>15.2573100963849</v>
      </c>
      <c r="BR160" s="259">
        <f>BS160*(1+$CF160+(VLOOKUP($AM160,$A$12:$B$323,2,0))+各项系数!$J$6+各项系数!$M$5)*(1+$E$2)</f>
        <v>15.1365777338647</v>
      </c>
      <c r="BS160" s="260">
        <f>BT160+各项系数!$L$9*$NM160</f>
        <v>14.8514302726302</v>
      </c>
      <c r="BT160" s="260">
        <f>BU160*(1+$CG160+各项系数!$J$5+各项系数!$L$5)</f>
        <v>14.7306979101099</v>
      </c>
      <c r="BU160" s="260">
        <f t="shared" si="647"/>
        <v>14.0292361048666</v>
      </c>
      <c r="BV160" s="259">
        <f>BW160+各项系数!$M$9*$NT160</f>
        <v>15.700277076028</v>
      </c>
      <c r="BW160" s="259">
        <f>BX160*(1+$CF160+(VLOOKUP($AM160,$A$12:$B$214,2,0))+各项系数!$J$6+各项系数!$M$5)*(1+$E$2)</f>
        <v>15.5742932461032</v>
      </c>
      <c r="BX160" s="260">
        <f>BY160+各项系数!$L$9*$NT$12</f>
        <v>15.2808999667418</v>
      </c>
      <c r="BY160" s="260">
        <f>BZ160*(1+$CG160+各项系数!$J$5+各项系数!$L$5)</f>
        <v>15.2726365635868</v>
      </c>
      <c r="BZ160" s="262">
        <f t="shared" si="586"/>
        <v>14.5453681557969</v>
      </c>
      <c r="CA160" s="259">
        <f>CB160+各项系数!$M$9*$NT160</f>
        <v>16.4361612517152</v>
      </c>
      <c r="CB160" s="259">
        <f>CC160*(1+$CF160+(VLOOKUP($AM160,$A$12:$B$214,2,0))+各项系数!$J$6+各项系数!$M$5)*(1+$E$2)</f>
        <v>16.3101774217903</v>
      </c>
      <c r="CC160" s="260">
        <f>CD160+各项系数!$L$9*$NT$12</f>
        <v>16.0029213322119</v>
      </c>
      <c r="CD160" s="260">
        <f>CE160*(1+$CG160+各项系数!$J$5+各项系数!$L$5)</f>
        <v>15.9946579290569</v>
      </c>
      <c r="CE160" s="262">
        <f t="shared" si="648"/>
        <v>15.2330075514828</v>
      </c>
      <c r="CF160" s="277">
        <f t="shared" si="514"/>
        <v>0</v>
      </c>
      <c r="CG160" s="277">
        <f t="shared" si="587"/>
        <v>0.03</v>
      </c>
      <c r="CH160" s="123"/>
      <c r="CI160" s="259">
        <f>CJ160+各项系数!$M$9*$NO160</f>
        <v>16.4302196765706</v>
      </c>
      <c r="CJ160" s="259">
        <f>CK160*(1+$DC160+(VLOOKUP($AM160,$A$12:$B$323,2,0))+各项系数!$J$6+各项系数!$M$5)*(1+$E$2)+各项系数!$M$9*$NK160</f>
        <v>16.2120782457408</v>
      </c>
      <c r="CK160" s="260">
        <f>CL160+各项系数!$L$9*$NO160</f>
        <v>15.7882122088113</v>
      </c>
      <c r="CL160" s="260">
        <f>CM160*(1+$DD160+各项系数!$J$5+各项系数!$L$5)</f>
        <v>15.5700707779815</v>
      </c>
      <c r="CM160" s="260">
        <f t="shared" si="588"/>
        <v>14.9712219019053</v>
      </c>
      <c r="CN160" s="259">
        <f>CO160+各项系数!$M$9*$NO160</f>
        <v>16.9899681251575</v>
      </c>
      <c r="CO160" s="259">
        <f>CP160*(1+$DC160+(VLOOKUP($AM160,$A$12:$B$323,2,0))+各项系数!$J$6+各项系数!$M$5)*(1+$E$2)+各项系数!$M$9*$NK160</f>
        <v>16.7718266943276</v>
      </c>
      <c r="CP160" s="260">
        <f>CQ160+各项系数!$L$9*$NO160</f>
        <v>16.3374159456509</v>
      </c>
      <c r="CQ160" s="260">
        <f>CR160*(1+$DD160+各项系数!$J$5+各项系数!$L$5)</f>
        <v>16.119274514821</v>
      </c>
      <c r="CR160" s="260">
        <f t="shared" si="589"/>
        <v>15.4993024180971</v>
      </c>
      <c r="CS160" s="259">
        <f>CT160+各项系数!$M$9*$NU160</f>
        <v>17.9153213114385</v>
      </c>
      <c r="CT160" s="259">
        <f t="shared" si="590"/>
        <v>17.6905614721687</v>
      </c>
      <c r="CU160" s="260">
        <f>CV160+各项系数!$L$9*$NU160</f>
        <v>17.3573012874497</v>
      </c>
      <c r="CV160" s="260">
        <f>CW160*(1+$DD160+各项系数!$J$5+各项系数!$L$5)</f>
        <v>17.1325414481798</v>
      </c>
      <c r="CW160" s="262">
        <f t="shared" si="591"/>
        <v>16.4735975463268</v>
      </c>
      <c r="CX160" s="259">
        <f>CY160+各项系数!$M$9*$NU160</f>
        <v>18.9641202001582</v>
      </c>
      <c r="CY160" s="259">
        <f t="shared" si="592"/>
        <v>18.7393603608884</v>
      </c>
      <c r="CZ160" s="260">
        <f>DA160+各项系数!$L$9*$NU160</f>
        <v>18.3863425832892</v>
      </c>
      <c r="DA160" s="260">
        <f>DB160*(1+$DD160+各项系数!$J$5+各项系数!$L$5)</f>
        <v>18.1615827440194</v>
      </c>
      <c r="DB160" s="262">
        <f t="shared" si="593"/>
        <v>17.4630603307879</v>
      </c>
      <c r="DC160" s="277">
        <f t="shared" si="698"/>
        <v>0</v>
      </c>
      <c r="DD160" s="277">
        <f t="shared" si="594"/>
        <v>0.02</v>
      </c>
      <c r="DE160" s="69" t="s">
        <v>498</v>
      </c>
      <c r="DF160" s="69" t="s">
        <v>513</v>
      </c>
      <c r="DG160" s="259">
        <f>DH160+各项系数!$M$9*$NQ160</f>
        <v>16.7378282115463</v>
      </c>
      <c r="DH160" s="259">
        <f>DI160*(1+$EA160+(VLOOKUP($AM160,$A$12:$B$323,2,0))+各项系数!$J$6+各项系数!$M$5)*(1+$E$2)+各项系数!$M$9*$NK160</f>
        <v>16.5196867807165</v>
      </c>
      <c r="DI160" s="260">
        <f>DJ160+各项系数!$L$9*$NQ160</f>
        <v>16.0900259205222</v>
      </c>
      <c r="DJ160" s="260">
        <f>DK160*(1+$EB160+各项系数!$J$5+各项系数!$L$5)</f>
        <v>15.8718844896923</v>
      </c>
      <c r="DK160" s="260">
        <f t="shared" si="595"/>
        <v>15.1160804663736</v>
      </c>
      <c r="DL160" s="259">
        <f>DM160+各项系数!$M$9*$NQ160</f>
        <v>17.6321038677777</v>
      </c>
      <c r="DM160" s="259">
        <f>DN160*(1+$EA160+(VLOOKUP($AM160,$A$12:$B$323,2,0))+各项系数!$J$6+各项系数!$M$5)*(1+$E$2)+各项系数!$M$9*$NK160</f>
        <v>17.4139624369479</v>
      </c>
      <c r="DN160" s="260">
        <f>DO160+各项系数!$L$9*$NQ160</f>
        <v>16.9674549395875</v>
      </c>
      <c r="DO160" s="260">
        <f>DP160*(1+$EB160+各项系数!$J$5+各项系数!$L$5)</f>
        <v>16.7493135087577</v>
      </c>
      <c r="DP160" s="260">
        <f t="shared" si="596"/>
        <v>15.9517271511978</v>
      </c>
      <c r="DQ160" s="259">
        <f>DR160+各项系数!$M$9*$NV160</f>
        <v>18.2396582814825</v>
      </c>
      <c r="DR160" s="259">
        <f t="shared" si="597"/>
        <v>18.0148984422127</v>
      </c>
      <c r="DS160" s="260">
        <f>DT160+各项系数!$L$9*$NV160</f>
        <v>17.6755282988743</v>
      </c>
      <c r="DT160" s="260">
        <f>DU160*(1+$EB160+各项系数!$J$5+各项系数!$L$5)</f>
        <v>17.4507684596045</v>
      </c>
      <c r="DU160" s="262">
        <f t="shared" si="598"/>
        <v>16.6197794853376</v>
      </c>
      <c r="DV160" s="259">
        <f>DW160+各项系数!$M$9*$NV160</f>
        <v>17.9725573071961</v>
      </c>
      <c r="DW160" s="259">
        <f t="shared" si="599"/>
        <v>17.7477974679262</v>
      </c>
      <c r="DX160" s="260">
        <f>DY160+各项系数!$L$9*$NV160</f>
        <v>17.4134590540877</v>
      </c>
      <c r="DY160" s="260">
        <f>DZ160*(1+$EB160+各项系数!$J$5+各项系数!$L$5)</f>
        <v>17.1886992148179</v>
      </c>
      <c r="DZ160" s="262">
        <f t="shared" si="600"/>
        <v>16.370189728398</v>
      </c>
      <c r="EA160" s="277">
        <f t="shared" si="699"/>
        <v>0</v>
      </c>
      <c r="EB160" s="277">
        <f t="shared" si="601"/>
        <v>0.03</v>
      </c>
      <c r="EC160" s="302">
        <f t="shared" si="649"/>
        <v>20</v>
      </c>
      <c r="ED160" s="302" t="str">
        <f t="shared" si="708"/>
        <v>20*1</v>
      </c>
      <c r="EE160" s="251">
        <f t="shared" si="709"/>
        <v>1</v>
      </c>
      <c r="EF160" s="251">
        <f>LOOKUP(EH160,{1,7,10,14,19,24,30,37,48,61},{1,"1+6","2+8","4+10","1+6+12","2+8+14","4+10+16","1+6+12+18","3+9+15+21","1+6+12+18+24"})</f>
        <v>1</v>
      </c>
      <c r="EG160" s="250">
        <f t="shared" si="602"/>
        <v>20</v>
      </c>
      <c r="EH160" s="260">
        <f>VLOOKUP(EE160,各项系数!$B$87:$C$124,2,0)</f>
        <v>1</v>
      </c>
      <c r="EI160" s="250">
        <f>IF(EH160=0,0,VLOOKUP(EH160,各项系数!$D$142:$E$195,2,0))*1</f>
        <v>1</v>
      </c>
      <c r="EJ160" s="305">
        <f t="shared" si="650"/>
        <v>110.31595161029</v>
      </c>
      <c r="EK160" s="251">
        <f t="shared" si="689"/>
        <v>0</v>
      </c>
      <c r="EL160" s="251">
        <f t="shared" si="603"/>
        <v>0</v>
      </c>
      <c r="EM160" s="251">
        <f t="shared" si="690"/>
        <v>0</v>
      </c>
      <c r="EN160" s="251">
        <f>IF(EP160=0,0,LOOKUP(EP160,{1,7,10,14,19,24,30,37,48,61},{1,"1+6","2+8","4+10","1+6+12","2+8+14","4+10+16","1+6+12+18","3+9+15+21","1+6+12+18+24"}))</f>
        <v>0</v>
      </c>
      <c r="EO160" s="251">
        <f t="shared" si="691"/>
        <v>0</v>
      </c>
      <c r="EP160" s="251">
        <f>IF(EM160=0,0,IF(EM160&lt;10,1,IF(AND(EM160&gt;=10,EM160&lt;=35),7,LOOKUP(EM160,{50,70,95,120,150,185,240,300},{10,14,19,24,30,37,48,61})*1)))</f>
        <v>0</v>
      </c>
      <c r="EQ160" s="251">
        <f>IF(EP160=0,0,VLOOKUP(EP160,各项系数!$D$142:$E$195,2,0))*1</f>
        <v>0</v>
      </c>
      <c r="ER160" s="69">
        <f t="shared" si="710"/>
        <v>0</v>
      </c>
      <c r="ES160" s="566">
        <f t="shared" si="692"/>
        <v>20</v>
      </c>
      <c r="ET160" s="251">
        <f>VLOOKUP(ES160,各项系数!$D$142:$E$195,2,0)*1</f>
        <v>5.33</v>
      </c>
      <c r="EU160" s="311">
        <f>((各项系数!$F$76/4*$EJ160^2*$EG160*$EH160*1*10^-7)*(1-$H160)*AA160)*(VLOOKUP($EY$9,各项系数!$D$4:$F$143,3,0))*各项系数!$J$4</f>
        <v>0.169091333872674</v>
      </c>
      <c r="EV160" s="312">
        <f>EU160*(VLOOKUP($EY$9,各项系数!$D$4:$F$143,2,0))</f>
        <v>11.0754823686601</v>
      </c>
      <c r="EW160" s="324">
        <f>(IF($EO160=0,0,(各项系数!$F$76/4*$ER160^2*$EO160*$EP160*1*10^-7))*(1-$K160)*$AF160)*(VLOOKUP($EY$9,各项系数!$D$4:$F$143,3,0))*各项系数!$J$4</f>
        <v>0</v>
      </c>
      <c r="EX160" s="325">
        <f>EW160*(VLOOKUP($EY$9,各项系数!$D$4:$F$143,2,0))</f>
        <v>0</v>
      </c>
      <c r="EY160" s="251">
        <f>((各项系数!$F$76/4*$EJ160^2*$EG160*$EH160*1*10^-7)*(1-$H160)*AA160+IF($EO160=0,0,(各项系数!$F$76/4*$ER160^2*$EO160*$EP160*1*10^-7))*(1-$K160)*$AF160)*(VLOOKUP($EY$9,各项系数!$D$4:$F$143,3,0))*各项系数!$J$4</f>
        <v>0.169091333872674</v>
      </c>
      <c r="EZ160" s="123">
        <v>1</v>
      </c>
      <c r="FA160" s="251">
        <f t="shared" si="711"/>
        <v>0.169091333872674</v>
      </c>
      <c r="FB160" s="326">
        <f>FA160*(VLOOKUP($EY$9,各项系数!$D$4:$F$143,2,0))</f>
        <v>11.0754823686601</v>
      </c>
      <c r="FC160" s="327"/>
      <c r="FD160" s="302">
        <f>各项系数!$F$76/4*($MN160^2-MK160^2)*10^-2*(VLOOKUP(L160,各项系数!$D$1:$F$143,3,0))*10^-3*10^2*$EG160*各项系数!$J$4</f>
        <v>0.0702752195474194</v>
      </c>
      <c r="FE160" s="339">
        <f>FD160*VLOOKUP(L160,各项系数!$D$1:$F$143,2,0)</f>
        <v>0.808165024795323</v>
      </c>
      <c r="FF160" s="250">
        <f>各项系数!$F$76/4*($MO160^2-ML160^2)*10^-2*(VLOOKUP(L160,各项系数!$D$1:$F$143,3,0))*10^-3*10^2*$EO160*各项系数!$J$4</f>
        <v>0</v>
      </c>
      <c r="FG160" s="339">
        <f>FF160*VLOOKUP(L160,各项系数!$D$1:$F$143,2,0)</f>
        <v>0</v>
      </c>
      <c r="FH160" s="302">
        <f t="shared" si="651"/>
        <v>0.0702752195474194</v>
      </c>
      <c r="FI160" s="123">
        <v>1</v>
      </c>
      <c r="FJ160" s="251">
        <f t="shared" si="712"/>
        <v>0.0702752195474194</v>
      </c>
      <c r="FK160" s="339">
        <f>FJ160*VLOOKUP(L160,各项系数!$D$1:$F$143,2,0)</f>
        <v>0.808165024795323</v>
      </c>
      <c r="FL160" s="302"/>
      <c r="FM160" s="123"/>
      <c r="FN160" s="251"/>
      <c r="FO160" s="339"/>
      <c r="FP160" s="364">
        <f t="shared" si="713"/>
        <v>0.0702752195474194</v>
      </c>
      <c r="FQ160" s="364">
        <f t="shared" si="714"/>
        <v>0.808165024795323</v>
      </c>
      <c r="FR160" s="365">
        <f>各项系数!$F$76/4*($MQ160^2-$MN160^2*$EG160-$MO160^2*$EO160)*10^-2</f>
        <v>0.350329820426279</v>
      </c>
      <c r="FS160" s="366">
        <f t="shared" si="652"/>
        <v>1</v>
      </c>
      <c r="FT160" s="367">
        <f t="shared" si="604"/>
        <v>0.350329820426279</v>
      </c>
      <c r="FU160" s="388">
        <f>$FT160*(VLOOKUP($FT$9,各项系数!$D$1:$F$143,3,0))*10^-3*10^2*各项系数!$J$55</f>
        <v>0.0418293805588977</v>
      </c>
      <c r="FV160" s="389">
        <v>1</v>
      </c>
      <c r="FW160" s="390">
        <f t="shared" si="715"/>
        <v>0.0418293805588977</v>
      </c>
      <c r="FX160" s="367">
        <f>FW160*(VLOOKUP($FT$9,各项系数!$D$1:$F$143,2,0))</f>
        <v>0.125488141676693</v>
      </c>
      <c r="FY160" s="388">
        <f>IF($BK160&lt;&gt;$FY$9,0,各项系数!$F$76/4*($MS160^2-$MQ160^2)*10^-2*(VLOOKUP($FY$9,各项系数!$D$1:$F$143,3,0))*10^-3*10^2)*各项系数!$J$4</f>
        <v>0</v>
      </c>
      <c r="FZ160" s="389">
        <v>1</v>
      </c>
      <c r="GA160" s="390">
        <f t="shared" si="716"/>
        <v>0</v>
      </c>
      <c r="GB160" s="367">
        <f>GA160*(VLOOKUP($FY$9,各项系数!$D$1:$F$143,2,0))</f>
        <v>0</v>
      </c>
      <c r="GC160" s="388">
        <f>IF($BK160&lt;&gt;$GC$9,0,各项系数!$F$76/4*($MS160^2-$MQ160^2)*10^-2*(VLOOKUP($GC$9,各项系数!$D$1:$F$143,3,0))*10^-3*10^2)*各项系数!$J$4</f>
        <v>0.00336700843869308</v>
      </c>
      <c r="GD160" s="389">
        <v>1</v>
      </c>
      <c r="GE160" s="390">
        <f t="shared" si="717"/>
        <v>0.00336700843869308</v>
      </c>
      <c r="GF160" s="367">
        <f>GE160*(VLOOKUP($GC$9,各项系数!$D$1:$F$143,2,0))</f>
        <v>0.0434344088591407</v>
      </c>
      <c r="GG160" s="388">
        <f>IF($BK160&lt;&gt;$GG$9,0,各项系数!$F$76/4*($MS160^2-$MQ160^2)*10^-2*(VLOOKUP($GG$9,各项系数!$D$1:$F$143,3,0))*10^-3*10^2)*各项系数!$J$4</f>
        <v>0</v>
      </c>
      <c r="GH160" s="389">
        <v>1</v>
      </c>
      <c r="GI160" s="390">
        <f t="shared" si="718"/>
        <v>0</v>
      </c>
      <c r="GJ160" s="367">
        <f>GI160*(VLOOKUP($GG$9,各项系数!$D$1:$F$143,2,0))</f>
        <v>0</v>
      </c>
      <c r="GK160" s="388">
        <f>IF($BK160&lt;&gt;$GK$9,0,各项系数!$F$76/4*($MS160^2-$MQ160^2)*10^-2*(VLOOKUP($GK$9,各项系数!$D$1:$F$143,3,0))*10^-3*10^2)*各项系数!$J$4</f>
        <v>0</v>
      </c>
      <c r="GL160" s="389">
        <v>1</v>
      </c>
      <c r="GM160" s="390">
        <f t="shared" si="719"/>
        <v>0</v>
      </c>
      <c r="GN160" s="367">
        <f>GM160*(VLOOKUP($GK$9,各项系数!$D$1:$F$143,2,0))</f>
        <v>0</v>
      </c>
      <c r="GO160" s="390">
        <f t="shared" si="720"/>
        <v>0.00336700843869308</v>
      </c>
      <c r="GP160" s="390">
        <f t="shared" si="721"/>
        <v>0.0434344088591407</v>
      </c>
      <c r="GQ160" s="406">
        <f>各项系数!$F$76/4*($MU160^2-$MS160^2)*10^-2*(VLOOKUP($S160,各项系数!$D$1:$F$143,3,0))*10^-3*10^2*各项系数!$J$4</f>
        <v>0.191426785276996</v>
      </c>
      <c r="GR160" s="389">
        <v>1</v>
      </c>
      <c r="GS160" s="390">
        <f t="shared" si="722"/>
        <v>0.191426785276996</v>
      </c>
      <c r="GT160" s="390">
        <f t="shared" si="696"/>
        <v>0</v>
      </c>
      <c r="GU160" s="390">
        <f>ROUND($GS160*(VLOOKUP($S160,各项系数!$D$1:$F$143,2,0))+$E$3*GS160,GT160)</f>
        <v>1</v>
      </c>
      <c r="GV160" s="406">
        <f>各项系数!$F$76/4*($MT160^2-$MS160^2)*10^-2*(VLOOKUP($GV$9,各项系数!$D$1:$F$143,3,0))*10^-3*10^2*各项系数!$J$4*PI()/4*R160</f>
        <v>0.017504891348484</v>
      </c>
      <c r="GW160" s="389">
        <v>1</v>
      </c>
      <c r="GX160" s="390">
        <f t="shared" si="723"/>
        <v>0.017504891348484</v>
      </c>
      <c r="GY160" s="390">
        <f>$GX160*(VLOOKUP($GV$9,各项系数!$D$1:$F$143,2,0))</f>
        <v>1.18158016602267</v>
      </c>
      <c r="GZ160" s="406">
        <f>各项系数!$F$76/4*($MV160^2-$MS160^2)*10^-2*(VLOOKUP($GZ$9,各项系数!$D$1:$F$143,3,0))*10^-3*10^2*各项系数!$J$4</f>
        <v>0.116274480051486</v>
      </c>
      <c r="HA160" s="389">
        <v>1</v>
      </c>
      <c r="HB160" s="390">
        <f t="shared" si="653"/>
        <v>0.116274480051486</v>
      </c>
      <c r="HC160" s="390">
        <f>HB160*(VLOOKUP($GZ$9,各项系数!$D$1:$F$143,2,0))</f>
        <v>1.97666616087526</v>
      </c>
      <c r="HD160" s="406">
        <f>各项系数!$F$76/4*($MW160^2-$MT160^2)*10^-2*(VLOOKUP($HD$9,各项系数!$D$1:$F$143,3,0))*10^-3*10^2*各项系数!$J$4</f>
        <v>0.117579849498164</v>
      </c>
      <c r="HE160" s="389">
        <v>1</v>
      </c>
      <c r="HF160" s="390">
        <f t="shared" si="654"/>
        <v>0.117579849498164</v>
      </c>
      <c r="HG160" s="390">
        <f>HF160*(VLOOKUP($HD$9,各项系数!$D$1:$F$143,2,0))</f>
        <v>1.9988574414688</v>
      </c>
      <c r="HH160" s="406">
        <f>各项系数!$F$76/4*($MV160^2-$MS160^2)*10^-2*(VLOOKUP($HH$9,各项系数!$D$1:$F$143,3,0))*10^-3*10^2*各项系数!$J$4</f>
        <v>0.116274480051486</v>
      </c>
      <c r="HI160" s="420">
        <v>1</v>
      </c>
      <c r="HJ160" s="390">
        <f t="shared" si="655"/>
        <v>0.116274480051486</v>
      </c>
      <c r="HK160" s="390">
        <f>HJ160*(VLOOKUP($HH$9,各项系数!$D$1:$F$143,2,0))</f>
        <v>1.97666616087526</v>
      </c>
      <c r="HL160" s="406">
        <f>各项系数!$F$76/4*($MW160^2-$MT160^2)*10^-2*(VLOOKUP($HL$9,各项系数!$D$1:$F$143,3,0))*10^-3*10^2*各项系数!$J$4</f>
        <v>0.117579849498164</v>
      </c>
      <c r="HM160" s="420">
        <v>1</v>
      </c>
      <c r="HN160" s="390">
        <f t="shared" si="605"/>
        <v>0.117579849498164</v>
      </c>
      <c r="HO160" s="390">
        <f>HN160*(VLOOKUP($HL$9,各项系数!$D$1:$F$143,2,0))</f>
        <v>1.9988574414688</v>
      </c>
      <c r="HP160" s="406">
        <f>各项系数!$F$76/4*($MV160^2-$MS160^2)*10^-2*(VLOOKUP(AN160,各项系数!$D$1:$F$143,3,0))*10^-3*10^2*各项系数!$J$4</f>
        <v>0.117878265983231</v>
      </c>
      <c r="HQ160" s="389">
        <v>1</v>
      </c>
      <c r="HR160" s="390">
        <f t="shared" si="724"/>
        <v>0.117878265983231</v>
      </c>
      <c r="HS160" s="390">
        <f>HR160*(VLOOKUP(AN160,各项系数!$D$1:$F$143,2,0))</f>
        <v>1.17878265983231</v>
      </c>
      <c r="HT160" s="406">
        <f>各项系数!$F$76/4*($MW160^2-$MT160^2)*10^-2*(VLOOKUP(AN160,各项系数!$D$1:$F$143,3,0))*10^-3*10^2*各项系数!$J$4</f>
        <v>0.119201640525725</v>
      </c>
      <c r="HU160" s="389">
        <v>1</v>
      </c>
      <c r="HV160" s="390">
        <f t="shared" si="725"/>
        <v>0.119201640525725</v>
      </c>
      <c r="HW160" s="390">
        <f>HV160*(VLOOKUP(AN160,各项系数!$D$1:$F$143,2,0))</f>
        <v>1.19201640525725</v>
      </c>
      <c r="HX160" s="406">
        <f>各项系数!$F$76/4*($MV160^2-$MS160^2)*10^-2*(VLOOKUP($HX$9,各项系数!$D$1:$F$143,3,0))*10^-3*10^2*各项系数!$J$4</f>
        <v>0.117878265983231</v>
      </c>
      <c r="HY160" s="420">
        <v>1</v>
      </c>
      <c r="HZ160" s="390">
        <f t="shared" si="726"/>
        <v>0.117878265983231</v>
      </c>
      <c r="IA160" s="390">
        <f>HZ160*(VLOOKUP($HX$9,各项系数!$D$1:$F$143,2,0))</f>
        <v>1.29666092581554</v>
      </c>
      <c r="IB160" s="406">
        <f>各项系数!$F$76/4*($MW160^2-$MT160^2)*10^-2*(VLOOKUP($IB$9,各项系数!$D$1:$F$143,3,0))*10^-3*10^2*各项系数!$J$4</f>
        <v>0.119201640525725</v>
      </c>
      <c r="IC160" s="420">
        <v>1</v>
      </c>
      <c r="ID160" s="390">
        <f t="shared" si="727"/>
        <v>0.119201640525725</v>
      </c>
      <c r="IE160" s="390">
        <f>ID160*(VLOOKUP($IB$9,各项系数!$D$1:$F$143,2,0))</f>
        <v>1.31121804578298</v>
      </c>
      <c r="IF160" s="429"/>
      <c r="IG160" s="406">
        <f t="shared" si="656"/>
        <v>0.0394750337548261</v>
      </c>
      <c r="IH160" s="389">
        <v>1</v>
      </c>
      <c r="II160" s="390">
        <f t="shared" si="728"/>
        <v>0.0394750337548261</v>
      </c>
      <c r="IJ160" s="390">
        <f>II160*(VLOOKUP($IG$8,各项系数!$D$1:$F$143,2,0))</f>
        <v>0.986875843870652</v>
      </c>
      <c r="IK160" s="406">
        <f>(各项系数!$F$76/4*($MX160^2-$MK160^2)*$EG160)*10^-2*(VLOOKUP($IG$8,各项系数!$D$1:$F$143,3,0))*10^-3*10^2*各项系数!$J$4</f>
        <v>0.0394750337548261</v>
      </c>
      <c r="IL160" s="389">
        <f>IK160*(VLOOKUP($IG$8,各项系数!$D$1:$F$143,2,0))</f>
        <v>0.986875843870652</v>
      </c>
      <c r="IM160" s="390">
        <f>(各项系数!$F$76/4*(($MM160+3*$X160)^2-MM160^2)*$EO160)*10^-2*(VLOOKUP($IG$8,各项系数!$D$1:$F$143,3,0))*10^-3*10^2*各项系数!$J$4</f>
        <v>0</v>
      </c>
      <c r="IN160" s="389">
        <f>IM160*(VLOOKUP($IG$8,各项系数!$D$1:$F$143,2,0))</f>
        <v>0</v>
      </c>
      <c r="IO160" s="406">
        <f>各项系数!$F$76/4*($MZ160^2-$MX160^2)*10^-2*(VLOOKUP(L160,各项系数!$D$1:$F$143,3,0))*10^-3*10^2*$ES160*各项系数!$J$4</f>
        <v>0.0950322262947684</v>
      </c>
      <c r="IP160" s="389">
        <v>1</v>
      </c>
      <c r="IQ160" s="390">
        <f t="shared" si="729"/>
        <v>0.0950322262947684</v>
      </c>
      <c r="IR160" s="367">
        <f>IQ160*(VLOOKUP(L160,各项系数!$D$1:$F$143,2,0))</f>
        <v>1.09287060238984</v>
      </c>
      <c r="IS160" s="406">
        <f>IF($L160&lt;&gt;$IS$9,0,各项系数!$F$76/4*($MZ160^2-$MX160^2)*10^-2*各项系数!$F$12*10^-3*10^2)*$ES160*各项系数!$J$4</f>
        <v>0</v>
      </c>
      <c r="IT160" s="389">
        <v>1</v>
      </c>
      <c r="IU160" s="390">
        <f t="shared" si="730"/>
        <v>0</v>
      </c>
      <c r="IV160" s="367">
        <f>IU160*各项系数!$E$12</f>
        <v>0</v>
      </c>
      <c r="IW160" s="388">
        <f t="shared" si="731"/>
        <v>0.0950322262947684</v>
      </c>
      <c r="IX160" s="388">
        <f t="shared" si="732"/>
        <v>1.09287060238984</v>
      </c>
      <c r="IY160" s="447">
        <f>各项系数!$F$76/4*($NB160^2-$MZ160^2*$EG160-$NA160^2*$EO160)*10^-2</f>
        <v>0.556635458698798</v>
      </c>
      <c r="IZ160" s="366">
        <f t="shared" si="697"/>
        <v>1</v>
      </c>
      <c r="JA160" s="367">
        <f t="shared" si="606"/>
        <v>0.556635458698798</v>
      </c>
      <c r="JB160" s="364">
        <f>IF($DE160&lt;&gt;$JB$9,0,$JA160*各项系数!$F$32*10^-3*10^2)*各项系数!$J$4</f>
        <v>0</v>
      </c>
      <c r="JC160" s="123">
        <v>1</v>
      </c>
      <c r="JD160" s="251">
        <f t="shared" si="733"/>
        <v>0</v>
      </c>
      <c r="JE160" s="339">
        <f>JD160*各项系数!$E$32</f>
        <v>0</v>
      </c>
      <c r="JF160" s="364">
        <f>IF($DE160&lt;&gt;$JF$9,0,$JA160*VLOOKUP($JF$9,各项系数!$D$4:$F$540,2,0)*10^-3*10^2)*各项系数!$J$4</f>
        <v>0.276926140702652</v>
      </c>
      <c r="JG160" s="123">
        <v>1</v>
      </c>
      <c r="JH160" s="251">
        <f t="shared" si="607"/>
        <v>0.276926140702652</v>
      </c>
      <c r="JI160" s="339">
        <f>JH160*VLOOKUP($JF$9,各项系数!$D$4:$F$540,3,0)</f>
        <v>0.332311368843182</v>
      </c>
      <c r="JJ160" s="364">
        <f t="shared" si="734"/>
        <v>0.276926140702652</v>
      </c>
      <c r="JK160" s="251">
        <f t="shared" si="735"/>
        <v>0.332311368843182</v>
      </c>
      <c r="JL160" s="364">
        <f>IF($DF160&lt;&gt;$JL$9,0,各项系数!$F$76/4*($NE160^2-$NC160^2)*10^-2*各项系数!$F$39*10^-3*10^2)*各项系数!$J$4</f>
        <v>0.00175480367290347</v>
      </c>
      <c r="JM160" s="123">
        <v>1</v>
      </c>
      <c r="JN160" s="251">
        <f t="shared" si="736"/>
        <v>0.00175480367290347</v>
      </c>
      <c r="JO160" s="339">
        <f>JN160*各项系数!$E$39</f>
        <v>0.0350960734580694</v>
      </c>
      <c r="JP160" s="364">
        <f>IF($DF160&lt;&gt;$JP$9,0,各项系数!$F$76/4*($NE160^2-$NC160^2)*10^-2*各项系数!$F$36*10^-3*10^2)*各项系数!$J$4</f>
        <v>0</v>
      </c>
      <c r="JQ160" s="123">
        <v>1</v>
      </c>
      <c r="JR160" s="251">
        <f t="shared" si="737"/>
        <v>0</v>
      </c>
      <c r="JS160" s="339">
        <f>JR160*各项系数!$E$36</f>
        <v>0</v>
      </c>
      <c r="JT160" s="364">
        <f>IF($DF160&lt;&gt;$JT$9,0,各项系数!$F$76/4*($NE160^2-$NC160^2)*10^-2*各项系数!$F$40*10^-3*10^2)*各项系数!$J$4</f>
        <v>0</v>
      </c>
      <c r="JU160" s="123">
        <v>1</v>
      </c>
      <c r="JV160" s="251">
        <f t="shared" si="738"/>
        <v>0</v>
      </c>
      <c r="JW160" s="339">
        <f>JV160*各项系数!$E$40</f>
        <v>0</v>
      </c>
      <c r="JX160" s="364">
        <f>IF($DF160&lt;&gt;$JX$9,0,各项系数!$F$76/4*($NE160^2-$NC160^2)*10^-2*各项系数!$F$38*10^-3*10^2)*各项系数!$J$4</f>
        <v>0</v>
      </c>
      <c r="JY160" s="123">
        <v>1</v>
      </c>
      <c r="JZ160" s="251">
        <f t="shared" si="739"/>
        <v>0</v>
      </c>
      <c r="KA160" s="339">
        <f>JZ160*各项系数!$E$38</f>
        <v>0</v>
      </c>
      <c r="KB160" s="364">
        <f>IF($DF160&lt;&gt;$KB$9,0,各项系数!$F$76/4*($NE160^2-$NC160^2)*10^-2*各项系数!$F$41*10^-3*10^2)*各项系数!$J$4</f>
        <v>0</v>
      </c>
      <c r="KC160" s="123">
        <v>1</v>
      </c>
      <c r="KD160" s="251">
        <f t="shared" si="740"/>
        <v>0</v>
      </c>
      <c r="KE160" s="339">
        <f>KD160*各项系数!$E$41</f>
        <v>0</v>
      </c>
      <c r="KF160" s="251">
        <f t="shared" si="741"/>
        <v>0.00175480367290347</v>
      </c>
      <c r="KG160" s="251">
        <f t="shared" si="742"/>
        <v>0.0350960734580694</v>
      </c>
      <c r="KH160" s="302">
        <f>各项系数!$F$76/4*($NG160^2-$NE160^2)*10^-2*各项系数!$F$44*10^-3*10^2*各项系数!$J$4*0.75*$U160</f>
        <v>0.717808202193952</v>
      </c>
      <c r="KI160" s="123">
        <v>1</v>
      </c>
      <c r="KJ160" s="251">
        <f t="shared" si="743"/>
        <v>0.717808202193952</v>
      </c>
      <c r="KK160" s="251">
        <f>ROUND(KJ160*各项系数!$E$43,GT160)</f>
        <v>4</v>
      </c>
      <c r="KL160" s="302">
        <f>各项系数!$F$76/4*($NF160^2-$NE160^2)*10^-2*各项系数!$F$46*10^-3*10^2*各项系数!$J$4*PI()/4*R160</f>
        <v>0.0220613614666152</v>
      </c>
      <c r="KM160" s="123">
        <v>1</v>
      </c>
      <c r="KN160" s="251">
        <f t="shared" si="744"/>
        <v>0.0220613614666152</v>
      </c>
      <c r="KO160" s="251">
        <f>KN160*各项系数!$E$46</f>
        <v>1.48914189899653</v>
      </c>
      <c r="KP160" s="302">
        <f>各项系数!$F$76/4*($NH160^2-$NE160^2)*10^-2*(VLOOKUP($KP$9,各项系数!$D$1:$F$143,3,0))*10^-3*10^2*各项系数!$J$4</f>
        <v>0.142887699645642</v>
      </c>
      <c r="KQ160" s="123">
        <v>1</v>
      </c>
      <c r="KR160" s="251">
        <f t="shared" si="657"/>
        <v>0.142887699645642</v>
      </c>
      <c r="KS160" s="251">
        <f>KR160*(VLOOKUP($KP$9,各项系数!$D$1:$F$143,2,0))</f>
        <v>2.42909089397591</v>
      </c>
      <c r="KT160" s="302">
        <f>各项系数!$F$76/4*($NI160^2-$NF160^2)*10^-2*(VLOOKUP($KT$9,各项系数!$D$1:$F$143,3,0))*10^-3*10^2*各项系数!$J$4</f>
        <v>0.14419306909232</v>
      </c>
      <c r="KU160" s="123">
        <v>1</v>
      </c>
      <c r="KV160" s="251">
        <f t="shared" si="658"/>
        <v>0.14419306909232</v>
      </c>
      <c r="KW160" s="251">
        <f>KV160*(VLOOKUP($KT$9,各项系数!$D$1:$F$143,2,0))</f>
        <v>2.45128217456945</v>
      </c>
      <c r="KX160" s="251">
        <f>各项系数!$F$76/4*($NH160^2-$NE160^2)*10^-2*(VLOOKUP($KX$9,各项系数!$D$1:$F$143,3,0))*10^-3*10^2*各项系数!$J$4</f>
        <v>0.142887699645642</v>
      </c>
      <c r="KY160" s="479">
        <v>1</v>
      </c>
      <c r="KZ160" s="251">
        <f t="shared" si="659"/>
        <v>0.142887699645642</v>
      </c>
      <c r="LA160" s="251">
        <f>KZ160*(VLOOKUP($KX$9,各项系数!$D$1:$F$143,2,0))</f>
        <v>2.42909089397591</v>
      </c>
      <c r="LB160" s="251">
        <f>各项系数!$F$76/4*($NI160^2-$NF160^2)*10^-2*(VLOOKUP($LB$9,各项系数!$D$1:$F$143,3,0))*10^-3*10^2*各项系数!$J$4</f>
        <v>0.14419306909232</v>
      </c>
      <c r="LC160" s="479">
        <v>1</v>
      </c>
      <c r="LD160" s="251">
        <f t="shared" si="660"/>
        <v>0.14419306909232</v>
      </c>
      <c r="LE160" s="251">
        <f>LD160*(VLOOKUP($LB$9,各项系数!$D$1:$F$143,2,0))</f>
        <v>2.45128217456945</v>
      </c>
      <c r="LF160" s="302">
        <f>各项系数!$F$76/4*($NH160^2-$NE160^2)*10^-2*(VLOOKUP(AN160,各项系数!$D$1:$F$143,3,0))*10^-3*10^2*各项系数!$J$4</f>
        <v>0.144858564468341</v>
      </c>
      <c r="LG160" s="123">
        <v>1</v>
      </c>
      <c r="LH160" s="251">
        <f t="shared" si="745"/>
        <v>0.144858564468341</v>
      </c>
      <c r="LI160" s="251">
        <f>LH160*(VLOOKUP(AN160,各项系数!$D$1:$F$143,2,0))</f>
        <v>1.44858564468341</v>
      </c>
      <c r="LJ160" s="302">
        <f>各项系数!$F$76/4*($NI160^2-$NF160^2)*10^-2*(VLOOKUP(AN160,各项系数!$D$1:$F$143,3,0))*10^-3*10^2*各项系数!$J$4</f>
        <v>0.146181939010835</v>
      </c>
      <c r="LK160" s="123">
        <v>1</v>
      </c>
      <c r="LL160" s="251">
        <f t="shared" si="746"/>
        <v>0.146181939010835</v>
      </c>
      <c r="LM160" s="251">
        <f>LL160*(VLOOKUP(AN160,各项系数!$D$1:$F$143,2,0))</f>
        <v>1.46181939010835</v>
      </c>
      <c r="LN160" s="251">
        <f>各项系数!$F$76/4*($NH160^2-$NE160^2)*10^-2*(VLOOKUP($LN$9,各项系数!$D$1:$F$143,3,0))*10^-3*10^2*各项系数!$J$4</f>
        <v>0.144858564468341</v>
      </c>
      <c r="LO160" s="479">
        <v>1</v>
      </c>
      <c r="LP160" s="251">
        <f t="shared" si="747"/>
        <v>0.144858564468341</v>
      </c>
      <c r="LQ160" s="251">
        <f>LP160*(VLOOKUP($LN$9,各项系数!$D$1:$F$143,2,0))</f>
        <v>1.59344420915175</v>
      </c>
      <c r="LR160" s="251">
        <f>各项系数!$F$76/4*($NI160^2-$NF160^2)*10^-2*(VLOOKUP($LR$9,各项系数!$D$1:$F$143,3,0))*10^-3*10^2*各项系数!$J$4</f>
        <v>0.146181939010835</v>
      </c>
      <c r="LS160" s="479">
        <v>1</v>
      </c>
      <c r="LT160" s="251">
        <f t="shared" si="748"/>
        <v>0.146181939010835</v>
      </c>
      <c r="LU160" s="251">
        <f>LT160*(VLOOKUP($LR$9,各项系数!$D$1:$F$143,2,0))</f>
        <v>1.60800132911919</v>
      </c>
      <c r="LV160" s="499">
        <f t="shared" si="661"/>
        <v>19.11597753</v>
      </c>
      <c r="LW160" s="499">
        <f t="shared" si="662"/>
        <v>19.11597753</v>
      </c>
      <c r="LX160" s="499">
        <f t="shared" si="663"/>
        <v>4.93347935310008</v>
      </c>
      <c r="LY160" s="515">
        <f t="shared" si="664"/>
        <v>0</v>
      </c>
      <c r="LZ160" s="516">
        <f t="shared" si="608"/>
        <v>1</v>
      </c>
      <c r="MA160" s="517">
        <f t="shared" si="609"/>
        <v>19.11597753</v>
      </c>
      <c r="MB160" s="517">
        <f t="shared" si="665"/>
        <v>1.10315952</v>
      </c>
      <c r="MC160" s="499">
        <f t="shared" si="666"/>
        <v>0</v>
      </c>
      <c r="MD160" s="499">
        <f t="shared" si="667"/>
        <v>0</v>
      </c>
      <c r="ME160" s="499">
        <f t="shared" si="668"/>
        <v>0</v>
      </c>
      <c r="MF160" s="499">
        <f t="shared" si="669"/>
        <v>0</v>
      </c>
      <c r="MG160" s="516">
        <f t="shared" si="670"/>
        <v>1</v>
      </c>
      <c r="MH160" s="517">
        <f t="shared" si="610"/>
        <v>0</v>
      </c>
      <c r="MI160" s="517">
        <f t="shared" si="671"/>
        <v>0</v>
      </c>
      <c r="MJ160" s="251">
        <f t="shared" si="611"/>
        <v>1.10315952</v>
      </c>
      <c r="MK160" s="251">
        <f t="shared" si="672"/>
        <v>1.10315952</v>
      </c>
      <c r="ML160" s="251">
        <f t="shared" si="749"/>
        <v>0</v>
      </c>
      <c r="MM160" s="251">
        <f t="shared" si="612"/>
        <v>0</v>
      </c>
      <c r="MN160" s="251">
        <f t="shared" si="613"/>
        <v>2.30315952</v>
      </c>
      <c r="MO160" s="251">
        <f t="shared" si="673"/>
        <v>0</v>
      </c>
      <c r="MP160" s="251">
        <f t="shared" si="674"/>
        <v>12.27584024</v>
      </c>
      <c r="MQ160" s="251">
        <f t="shared" si="750"/>
        <v>12.27584024</v>
      </c>
      <c r="MR160" s="314">
        <f t="shared" si="675"/>
        <v>12.27584024</v>
      </c>
      <c r="MS160" s="530">
        <f t="shared" si="614"/>
        <v>12.45184024</v>
      </c>
      <c r="MT160" s="530">
        <f t="shared" si="615"/>
        <v>12.61184024</v>
      </c>
      <c r="MU160" s="530">
        <f t="shared" si="616"/>
        <v>13.65184024</v>
      </c>
      <c r="MV160" s="530">
        <f t="shared" si="617"/>
        <v>16.05184024</v>
      </c>
      <c r="MW160" s="530">
        <f t="shared" si="618"/>
        <v>16.21184024</v>
      </c>
      <c r="MX160" s="326">
        <f t="shared" si="619"/>
        <v>1.70315952</v>
      </c>
      <c r="MY160" s="326">
        <f t="shared" si="620"/>
        <v>0</v>
      </c>
      <c r="MZ160" s="251">
        <f t="shared" si="621"/>
        <v>2.90315952</v>
      </c>
      <c r="NA160" s="251">
        <f t="shared" si="622"/>
        <v>0</v>
      </c>
      <c r="NB160" s="251">
        <f t="shared" si="676"/>
        <v>15.47384024</v>
      </c>
      <c r="NC160" s="326">
        <f t="shared" si="751"/>
        <v>15.47384024</v>
      </c>
      <c r="ND160" s="314">
        <f t="shared" si="677"/>
        <v>15.47384024</v>
      </c>
      <c r="NE160" s="537">
        <f t="shared" si="678"/>
        <v>15.71384024</v>
      </c>
      <c r="NF160" s="530">
        <f t="shared" si="623"/>
        <v>15.87384024</v>
      </c>
      <c r="NG160" s="538">
        <f t="shared" si="624"/>
        <v>16.91384024</v>
      </c>
      <c r="NH160" s="326">
        <f t="shared" si="625"/>
        <v>19.31384024</v>
      </c>
      <c r="NI160" s="530">
        <f t="shared" si="626"/>
        <v>19.47384024</v>
      </c>
      <c r="NK160" s="539">
        <f t="shared" si="627"/>
        <v>0.402441208400915</v>
      </c>
      <c r="NL160" s="539">
        <f t="shared" si="628"/>
        <v>13.2313526038236</v>
      </c>
      <c r="NM160" s="539">
        <f t="shared" si="629"/>
        <v>0.402441208400915</v>
      </c>
      <c r="NN160" s="539">
        <f t="shared" si="630"/>
        <v>13.3492308698068</v>
      </c>
      <c r="NO160" s="539">
        <f t="shared" si="631"/>
        <v>0.727138102766164</v>
      </c>
      <c r="NP160" s="539">
        <f t="shared" si="632"/>
        <v>14.9712219019053</v>
      </c>
      <c r="NQ160" s="539">
        <f t="shared" si="633"/>
        <v>0.727138102766164</v>
      </c>
      <c r="NR160" s="539">
        <f t="shared" si="634"/>
        <v>15.1160804663736</v>
      </c>
      <c r="NS160" s="539">
        <f t="shared" si="635"/>
        <v>0.419946099749399</v>
      </c>
      <c r="NT160" s="539">
        <f t="shared" si="636"/>
        <v>0.419946099749399</v>
      </c>
      <c r="NU160" s="539">
        <f t="shared" si="637"/>
        <v>0.749199464232779</v>
      </c>
      <c r="NV160" s="539">
        <f t="shared" si="638"/>
        <v>0.749199464232779</v>
      </c>
      <c r="NW160">
        <f t="shared" si="639"/>
        <v>0.593867993677911</v>
      </c>
      <c r="NX160">
        <f>各项系数!$M$9*NK160</f>
        <v>0.120732362520274</v>
      </c>
      <c r="NY160">
        <f t="shared" si="640"/>
        <v>0.419946099749399</v>
      </c>
    </row>
    <row r="161" customHeight="1" spans="1:389">
      <c r="A161" s="85"/>
      <c r="B161" s="86"/>
      <c r="C161" s="218"/>
      <c r="D161" s="123" t="s">
        <v>298</v>
      </c>
      <c r="E161" s="77">
        <f t="shared" si="687"/>
        <v>17.59495712</v>
      </c>
      <c r="F161" s="558">
        <f t="shared" si="693"/>
        <v>110.31595161029</v>
      </c>
      <c r="G161" s="23"/>
      <c r="H161" s="23"/>
      <c r="I161" s="174">
        <v>0</v>
      </c>
      <c r="J161" s="23"/>
      <c r="K161" s="23"/>
      <c r="L161" s="118" t="s">
        <v>469</v>
      </c>
      <c r="M161" s="124">
        <f t="shared" si="582"/>
        <v>0.6</v>
      </c>
      <c r="N161" s="124">
        <f t="shared" si="583"/>
        <v>0</v>
      </c>
      <c r="O161" s="69">
        <f t="shared" si="703"/>
        <v>0.08</v>
      </c>
      <c r="P161" s="120">
        <v>0.1</v>
      </c>
      <c r="Q161" s="162">
        <f t="shared" si="700"/>
        <v>0.1</v>
      </c>
      <c r="R161" s="560">
        <v>0.8</v>
      </c>
      <c r="S161" s="171" t="str">
        <f>各项系数!$D$43</f>
        <v>钢带</v>
      </c>
      <c r="T161" s="123">
        <v>0.2</v>
      </c>
      <c r="U161" s="78">
        <v>4</v>
      </c>
      <c r="V161" s="172"/>
      <c r="W161" s="170">
        <f t="shared" ref="W161:W164" si="752">$W$160</f>
        <v>1.8</v>
      </c>
      <c r="X161" s="164">
        <f t="shared" si="701"/>
        <v>0.2</v>
      </c>
      <c r="Y161" s="219"/>
      <c r="Z161" s="220"/>
      <c r="AA161" s="217">
        <v>1</v>
      </c>
      <c r="AB161" s="186">
        <f>PI()*EJ161*EJ161/4*EH161*(1-H161)*AA161*各项系数!$F$5*各项系数!$J$4*10^-7</f>
        <v>0.0084545666936337</v>
      </c>
      <c r="AC161" s="186">
        <f t="shared" si="704"/>
        <v>110.31595161029</v>
      </c>
      <c r="AD161" s="186">
        <f t="shared" si="584"/>
        <v>0.955798869898841</v>
      </c>
      <c r="AE161" s="186">
        <f>POWER(4*EU161/PI()/EG161/10^-7/EH161/(1-H161)/各项系数!$F$5/各项系数!$J$4,0.5)</f>
        <v>110.31595161029</v>
      </c>
      <c r="AF161" s="218">
        <v>1</v>
      </c>
      <c r="AG161" s="85">
        <f>IF(EM161=0,0,PI()*ER161*ER161/4*EP161*(1-K161)*(1+AF161)*各项系数!$F$5*各项系数!$J$4*10^-7)</f>
        <v>0</v>
      </c>
      <c r="AH161" s="85">
        <f t="shared" si="705"/>
        <v>0</v>
      </c>
      <c r="AI161" s="85">
        <f t="shared" si="641"/>
        <v>0</v>
      </c>
      <c r="AJ161" s="85">
        <f>IF(OR(EP161="",EP161=0),0,POWER(4*EW161/PI()/EO161/10^-7/EP161/(1-K161)/各项系数!$F$5/各项系数!$J$4,0.5))</f>
        <v>0</v>
      </c>
      <c r="AK161" s="85" t="str">
        <f t="shared" si="585"/>
        <v>√</v>
      </c>
      <c r="AL161" s="85">
        <f t="shared" si="706"/>
        <v>17.3741642547018</v>
      </c>
      <c r="AM161" s="250">
        <f t="shared" si="707"/>
        <v>1</v>
      </c>
      <c r="AN161" s="118" t="s">
        <v>486</v>
      </c>
      <c r="AO161" s="259">
        <f>AP161+各项系数!$M$9*$NK161</f>
        <v>17.0334943673547</v>
      </c>
      <c r="AP161" s="259">
        <f>AQ161*(1+$BI161+(VLOOKUP($AM161,$A$12:$B$323,2,0))+各项系数!$J$6+各项系数!$M$5)*(1+$E$2)</f>
        <v>16.8890858745066</v>
      </c>
      <c r="AQ161" s="260">
        <f>AR161+各项系数!$L$9*$NK161</f>
        <v>16.5709241311878</v>
      </c>
      <c r="AR161" s="260">
        <f>AS161*(1+$BJ161+各项系数!$J$5+各项系数!$L$5)</f>
        <v>16.4265156383397</v>
      </c>
      <c r="AS161" s="260">
        <f t="shared" si="642"/>
        <v>15.7947265753266</v>
      </c>
      <c r="AT161" s="259">
        <f>AU161+各项系数!$M$9*$NM161</f>
        <v>17.9707968013407</v>
      </c>
      <c r="AU161" s="259">
        <f>AV161*(1+$BI161+(VLOOKUP($AM161,$A$12:$B$323,2,0))+各项系数!$J$6+各项系数!$M$5)*(1+$E$2)</f>
        <v>17.8263883084926</v>
      </c>
      <c r="AV161" s="260">
        <f>AW161+各项系数!$L$9*$NM161</f>
        <v>17.4905693764644</v>
      </c>
      <c r="AW161" s="260">
        <f>AX161*(1+$BJ161+各项系数!$J$5+各项系数!$L$5)</f>
        <v>17.3461608836163</v>
      </c>
      <c r="AX161" s="260">
        <f t="shared" si="643"/>
        <v>16.6790008496311</v>
      </c>
      <c r="AY161" s="259">
        <f>AZ161+各项系数!$M$9*$NS161</f>
        <v>18.466088067219</v>
      </c>
      <c r="AZ161" s="259">
        <f>BA161*(1+$BI161+(VLOOKUP($AM161,$A$12:$B$214,2,0))+各项系数!$J$6+各项系数!$M$5)*(1+$E$2)</f>
        <v>18.3157814638683</v>
      </c>
      <c r="BA161" s="260">
        <f>BB161+各项系数!$L$9*$NS161</f>
        <v>17.9707431945333</v>
      </c>
      <c r="BB161" s="260">
        <f>BC161*(1+$BJ161+各项系数!$J$5+各项系数!$L$5)</f>
        <v>17.8204365911826</v>
      </c>
      <c r="BC161" s="262">
        <f t="shared" si="644"/>
        <v>17.1350351838294</v>
      </c>
      <c r="BD161" s="259">
        <f>BE161+各项系数!$M$9*$NS161</f>
        <v>19.4128852018425</v>
      </c>
      <c r="BE161" s="259">
        <f>BF161*(1+$BI161+(VLOOKUP($AM161,$A$12:$B$214,2,0))+各项系数!$J$6+各项系数!$M$5)*(1+$E$2)</f>
        <v>19.2625785984918</v>
      </c>
      <c r="BF161" s="260">
        <f>BG161+各项系数!$L$9*$NS161</f>
        <v>18.8997042763853</v>
      </c>
      <c r="BG161" s="260">
        <f>BH161*(1+$BJ161+各项系数!$J$5+各项系数!$L$5)</f>
        <v>18.7493976730346</v>
      </c>
      <c r="BH161" s="262">
        <f t="shared" si="645"/>
        <v>18.0282669933025</v>
      </c>
      <c r="BI161" s="277"/>
      <c r="BJ161" s="272">
        <f t="shared" si="695"/>
        <v>0.02</v>
      </c>
      <c r="BK161" s="123" t="s">
        <v>514</v>
      </c>
      <c r="BL161" s="259">
        <f>BM161+各项系数!$M$9*$NM161</f>
        <v>17.3342815560238</v>
      </c>
      <c r="BM161" s="259">
        <f>BN161*(1+$CF161+(VLOOKUP($AM161,$A$12:$B$323,2,0))+各项系数!$J$6+各项系数!$M$5)*(1+$E$2)</f>
        <v>17.1898730631757</v>
      </c>
      <c r="BN161" s="260">
        <f>BO161+各项系数!$L$9*$NM161</f>
        <v>16.8660449991912</v>
      </c>
      <c r="BO161" s="260">
        <f>BP161*(1+$CG161+各项系数!$J$5+各项系数!$L$5)</f>
        <v>16.7216365063431</v>
      </c>
      <c r="BP161" s="260">
        <f t="shared" si="646"/>
        <v>15.9253681012792</v>
      </c>
      <c r="BQ161" s="259">
        <f>BR161+各项系数!$M$9*$NM161</f>
        <v>18.1407891780001</v>
      </c>
      <c r="BR161" s="259">
        <f>BS161*(1+$CF161+(VLOOKUP($AM161,$A$12:$B$323,2,0))+各项系数!$J$6+各项系数!$M$5)*(1+$E$2)</f>
        <v>17.996380685152</v>
      </c>
      <c r="BS161" s="260">
        <f>BT161+各项系数!$L$9*$NM161</f>
        <v>17.6573593849608</v>
      </c>
      <c r="BT161" s="260">
        <f>BU161*(1+$CG161+各项系数!$J$5+各项系数!$L$5)</f>
        <v>17.5129508921126</v>
      </c>
      <c r="BU161" s="260">
        <f t="shared" si="647"/>
        <v>16.6790008496311</v>
      </c>
      <c r="BV161" s="259">
        <f>BW161+各项系数!$M$9*$NT161</f>
        <v>18.6371814740869</v>
      </c>
      <c r="BW161" s="259">
        <f>BX161*(1+$CF161+(VLOOKUP($AM161,$A$12:$B$214,2,0))+各项系数!$J$6+各项系数!$M$5)*(1+$E$2)</f>
        <v>18.4868748707362</v>
      </c>
      <c r="BX161" s="260">
        <f>BY161+各项系数!$L$9*$NT$12</f>
        <v>18.1386134916956</v>
      </c>
      <c r="BY161" s="260">
        <f>BZ161*(1+$CG161+各项系数!$J$5+各项系数!$L$5)</f>
        <v>18.1303500885407</v>
      </c>
      <c r="BZ161" s="262">
        <f t="shared" si="586"/>
        <v>17.2670000843244</v>
      </c>
      <c r="CA161" s="259">
        <f>CB161+各项系数!$M$9*$NT161</f>
        <v>19.4518588693988</v>
      </c>
      <c r="CB161" s="259">
        <f>CC161*(1+$CF161+(VLOOKUP($AM161,$A$12:$B$214,2,0))+各项系数!$J$6+各项系数!$M$5)*(1+$E$2)</f>
        <v>19.3015522660481</v>
      </c>
      <c r="CC161" s="260">
        <f>CD161+各项系数!$L$9*$NT$12</f>
        <v>18.9379437461226</v>
      </c>
      <c r="CD161" s="260">
        <f>CE161*(1+$CG161+各项系数!$J$5+各项系数!$L$5)</f>
        <v>18.9296803429676</v>
      </c>
      <c r="CE161" s="262">
        <f t="shared" si="648"/>
        <v>18.0282669933025</v>
      </c>
      <c r="CF161" s="277">
        <f t="shared" si="514"/>
        <v>0</v>
      </c>
      <c r="CG161" s="277">
        <f t="shared" si="587"/>
        <v>0.03</v>
      </c>
      <c r="CH161" s="123"/>
      <c r="CI161" s="259">
        <f>CJ161+各项系数!$M$9*$NO161</f>
        <v>19.6866170754022</v>
      </c>
      <c r="CJ161" s="259">
        <f>CK161*(1+$DC161+(VLOOKUP($AM161,$A$12:$B$323,2,0))+各项系数!$J$6+各项系数!$M$5)*(1+$E$2)+各项系数!$M$9*$NK161</f>
        <v>19.4098884154866</v>
      </c>
      <c r="CK161" s="260">
        <f>CL161+各项系数!$L$9*$NO161</f>
        <v>18.902550944504</v>
      </c>
      <c r="CL161" s="260">
        <f>CM161*(1+$DD161+各项系数!$J$5+各项系数!$L$5)</f>
        <v>18.6258222845883</v>
      </c>
      <c r="CM161" s="260">
        <f t="shared" si="588"/>
        <v>17.9094445044118</v>
      </c>
      <c r="CN161" s="259">
        <f>CO161+各项系数!$M$9*$NO161</f>
        <v>20.3026932706317</v>
      </c>
      <c r="CO161" s="259">
        <f>CP161*(1+$DC161+(VLOOKUP($AM161,$A$12:$B$323,2,0))+各项系数!$J$6+各项系数!$M$5)*(1+$E$2)+各项系数!$M$9*$NK161</f>
        <v>20.025964610716</v>
      </c>
      <c r="CP161" s="260">
        <f>CQ161+各项系数!$L$9*$NO161</f>
        <v>19.5070213087401</v>
      </c>
      <c r="CQ161" s="260">
        <f>CR161*(1+$DD161+各项系数!$J$5+各项系数!$L$5)</f>
        <v>19.2302926488244</v>
      </c>
      <c r="CR161" s="260">
        <f t="shared" si="589"/>
        <v>18.490666008485</v>
      </c>
      <c r="CS161" s="259">
        <f>CT161+各项系数!$M$9*$NU161</f>
        <v>21.3440841973676</v>
      </c>
      <c r="CT161" s="259">
        <f t="shared" si="590"/>
        <v>21.0599220278219</v>
      </c>
      <c r="CU161" s="260">
        <f>CV161+各项系数!$L$9*$NU161</f>
        <v>20.663188802808</v>
      </c>
      <c r="CV161" s="260">
        <f>CW161*(1+$DD161+各项系数!$J$5+各项系数!$L$5)</f>
        <v>20.3790266332623</v>
      </c>
      <c r="CW161" s="262">
        <f t="shared" si="591"/>
        <v>19.5952179165983</v>
      </c>
      <c r="CX161" s="259">
        <f>CY161+各项系数!$M$9*$NU161</f>
        <v>22.5083099765916</v>
      </c>
      <c r="CY161" s="259">
        <f t="shared" si="592"/>
        <v>22.2241478070459</v>
      </c>
      <c r="CZ161" s="260">
        <f>DA161+各项系数!$L$9*$NU161</f>
        <v>21.805482542235</v>
      </c>
      <c r="DA161" s="260">
        <f>DB161*(1+$DD161+各项系数!$J$5+各项系数!$L$5)</f>
        <v>21.5213203726893</v>
      </c>
      <c r="DB161" s="262">
        <f t="shared" si="593"/>
        <v>20.693577281432</v>
      </c>
      <c r="DC161" s="277">
        <f t="shared" si="698"/>
        <v>0</v>
      </c>
      <c r="DD161" s="277">
        <f t="shared" si="594"/>
        <v>0.02</v>
      </c>
      <c r="DE161" s="69" t="s">
        <v>498</v>
      </c>
      <c r="DF161" s="69" t="s">
        <v>513</v>
      </c>
      <c r="DG161" s="259">
        <f>DH161+各项系数!$M$9*$NQ161</f>
        <v>20.0413889644636</v>
      </c>
      <c r="DH161" s="259">
        <f>DI161*(1+$EA161+(VLOOKUP($AM161,$A$12:$B$323,2,0))+各项系数!$J$6+各项系数!$M$5)*(1+$E$2)+各项系数!$M$9*$NK161</f>
        <v>19.7646603045479</v>
      </c>
      <c r="DI161" s="260">
        <f>DJ161+各项系数!$L$9*$NQ161</f>
        <v>19.2506395326725</v>
      </c>
      <c r="DJ161" s="260">
        <f>DK161*(1+$EB161+各项系数!$J$5+各项系数!$L$5)</f>
        <v>18.9739108727569</v>
      </c>
      <c r="DK161" s="260">
        <f t="shared" si="595"/>
        <v>18.0703913073875</v>
      </c>
      <c r="DL161" s="259">
        <f>DM161+各项系数!$M$9*$NQ161</f>
        <v>21.0349843958256</v>
      </c>
      <c r="DM161" s="259">
        <f>DN161*(1+$EA161+(VLOOKUP($AM161,$A$12:$B$323,2,0))+各项系数!$J$6+各项系数!$M$5)*(1+$E$2)+各项系数!$M$9*$NK161</f>
        <v>20.7582557359099</v>
      </c>
      <c r="DN161" s="260">
        <f>DO161+各项系数!$L$9*$NQ161</f>
        <v>20.2255173106964</v>
      </c>
      <c r="DO161" s="260">
        <f>DP161*(1+$EB161+各项系数!$J$5+各项系数!$L$5)</f>
        <v>19.9487886507808</v>
      </c>
      <c r="DP161" s="260">
        <f t="shared" si="596"/>
        <v>18.9988463340769</v>
      </c>
      <c r="DQ161" s="259">
        <f>DR161+各项系数!$M$9*$NV161</f>
        <v>21.7174537115464</v>
      </c>
      <c r="DR161" s="259">
        <f t="shared" si="597"/>
        <v>21.4332915420007</v>
      </c>
      <c r="DS161" s="260">
        <f>DT161+各项系数!$L$9*$NV161</f>
        <v>21.029524668368</v>
      </c>
      <c r="DT161" s="260">
        <f>DU161*(1+$EB161+各项系数!$J$5+各项系数!$L$5)</f>
        <v>20.7453624988223</v>
      </c>
      <c r="DU161" s="262">
        <f t="shared" si="598"/>
        <v>19.7574880941165</v>
      </c>
      <c r="DV161" s="259">
        <f>DW161+各项系数!$M$9*$NV161</f>
        <v>21.3157632316198</v>
      </c>
      <c r="DW161" s="259">
        <f t="shared" si="599"/>
        <v>21.0316010620741</v>
      </c>
      <c r="DX161" s="260">
        <f>DY161+各项系数!$L$9*$NV161</f>
        <v>20.6354013560381</v>
      </c>
      <c r="DY161" s="260">
        <f>DZ161*(1+$EB161+各项系数!$J$5+各项系数!$L$5)</f>
        <v>20.3512391864924</v>
      </c>
      <c r="DZ161" s="262">
        <f t="shared" si="600"/>
        <v>19.3821325585642</v>
      </c>
      <c r="EA161" s="277">
        <f t="shared" si="699"/>
        <v>0</v>
      </c>
      <c r="EB161" s="277">
        <f t="shared" si="601"/>
        <v>0.03</v>
      </c>
      <c r="EC161" s="302">
        <f t="shared" si="649"/>
        <v>24</v>
      </c>
      <c r="ED161" s="302" t="str">
        <f t="shared" si="708"/>
        <v>24*1</v>
      </c>
      <c r="EE161" s="251">
        <f t="shared" si="709"/>
        <v>1</v>
      </c>
      <c r="EF161" s="251">
        <f>LOOKUP(EH161,{1,7,10,14,19,24,30,37,48,61},{1,"1+6","2+8","4+10","1+6+12","2+8+14","4+10+16","1+6+12+18","3+9+15+21","1+6+12+18+24"})</f>
        <v>1</v>
      </c>
      <c r="EG161" s="250">
        <f t="shared" si="602"/>
        <v>24</v>
      </c>
      <c r="EH161" s="260">
        <f>VLOOKUP(EE161,各项系数!$B$87:$C$124,2,0)</f>
        <v>1</v>
      </c>
      <c r="EI161" s="250">
        <f>IF(EH161=0,0,VLOOKUP(EH161,各项系数!$D$142:$E$195,2,0))*1</f>
        <v>1</v>
      </c>
      <c r="EJ161" s="305">
        <f t="shared" si="650"/>
        <v>110.31595161029</v>
      </c>
      <c r="EK161" s="251">
        <f t="shared" si="689"/>
        <v>0</v>
      </c>
      <c r="EL161" s="251">
        <f t="shared" si="603"/>
        <v>0</v>
      </c>
      <c r="EM161" s="251">
        <f t="shared" si="690"/>
        <v>0</v>
      </c>
      <c r="EN161" s="251">
        <f>IF(EP161=0,0,LOOKUP(EP161,{1,7,10,14,19,24,30,37,48,61},{1,"1+6","2+8","4+10","1+6+12","2+8+14","4+10+16","1+6+12+18","3+9+15+21","1+6+12+18+24"}))</f>
        <v>0</v>
      </c>
      <c r="EO161" s="251">
        <f t="shared" si="691"/>
        <v>0</v>
      </c>
      <c r="EP161" s="251">
        <f>IF(EM161=0,0,IF(EM161&lt;10,1,IF(AND(EM161&gt;=10,EM161&lt;=35),7,LOOKUP(EM161,{50,70,95,120,150,185,240,300},{10,14,19,24,30,37,48,61})*1)))</f>
        <v>0</v>
      </c>
      <c r="EQ161" s="251">
        <f>IF(EP161=0,0,VLOOKUP(EP161,各项系数!$D$142:$E$195,2,0))*1</f>
        <v>0</v>
      </c>
      <c r="ER161" s="69">
        <f t="shared" si="710"/>
        <v>0</v>
      </c>
      <c r="ES161" s="566">
        <f t="shared" si="692"/>
        <v>24</v>
      </c>
      <c r="ET161" s="251">
        <f>VLOOKUP(ES161,各项系数!$D$142:$E$195,2,0)*1</f>
        <v>6</v>
      </c>
      <c r="EU161" s="311">
        <f>((各项系数!$F$76/4*$EJ161^2*$EG161*$EH161*1*10^-7)*(1-$H161)*AA161)*(VLOOKUP($EY$9,各项系数!$D$4:$F$143,3,0))*各项系数!$J$4</f>
        <v>0.202909600647209</v>
      </c>
      <c r="EV161" s="312">
        <f>EU161*(VLOOKUP($EY$9,各项系数!$D$4:$F$143,2,0))</f>
        <v>13.2905788423922</v>
      </c>
      <c r="EW161" s="324">
        <f>(IF($EO161=0,0,(各项系数!$F$76/4*$ER161^2*$EO161*$EP161*1*10^-7))*(1-$K161)*$AF161)*(VLOOKUP($EY$9,各项系数!$D$4:$F$143,3,0))*各项系数!$J$4</f>
        <v>0</v>
      </c>
      <c r="EX161" s="325">
        <f>EW161*(VLOOKUP($EY$9,各项系数!$D$4:$F$143,2,0))</f>
        <v>0</v>
      </c>
      <c r="EY161" s="251">
        <f>((各项系数!$F$76/4*$EJ161^2*$EG161*$EH161*1*10^-7)*(1-$H161)*AA161+IF($EO161=0,0,(各项系数!$F$76/4*$ER161^2*$EO161*$EP161*1*10^-7))*(1-$K161)*$AF161)*(VLOOKUP($EY$9,各项系数!$D$4:$F$143,3,0))*各项系数!$J$4</f>
        <v>0.202909600647209</v>
      </c>
      <c r="EZ161" s="123">
        <v>1</v>
      </c>
      <c r="FA161" s="251">
        <f t="shared" si="711"/>
        <v>0.202909600647209</v>
      </c>
      <c r="FB161" s="326">
        <f>FA161*(VLOOKUP($EY$9,各项系数!$D$4:$F$143,2,0))</f>
        <v>13.2905788423922</v>
      </c>
      <c r="FC161" s="327"/>
      <c r="FD161" s="302">
        <f>各项系数!$F$76/4*($MN161^2-MK161^2)*10^-2*(VLOOKUP(L161,各项系数!$D$1:$F$143,3,0))*10^-3*10^2*$EG161*各项系数!$J$4</f>
        <v>0.0843302634569033</v>
      </c>
      <c r="FE161" s="339">
        <f>FD161*VLOOKUP(L161,各项系数!$D$1:$F$143,2,0)</f>
        <v>0.969798029754388</v>
      </c>
      <c r="FF161" s="250">
        <f>各项系数!$F$76/4*($MO161^2-ML161^2)*10^-2*(VLOOKUP(L161,各项系数!$D$1:$F$143,3,0))*10^-3*10^2*$EO161*各项系数!$J$4</f>
        <v>0</v>
      </c>
      <c r="FG161" s="339">
        <f>FF161*VLOOKUP(L161,各项系数!$D$1:$F$143,2,0)</f>
        <v>0</v>
      </c>
      <c r="FH161" s="302">
        <f t="shared" si="651"/>
        <v>0.0843302634569033</v>
      </c>
      <c r="FI161" s="123">
        <v>1</v>
      </c>
      <c r="FJ161" s="251">
        <f t="shared" si="712"/>
        <v>0.0843302634569033</v>
      </c>
      <c r="FK161" s="339">
        <f>FJ161*VLOOKUP(L161,各项系数!$D$1:$F$143,2,0)</f>
        <v>0.969798029754388</v>
      </c>
      <c r="FL161" s="302"/>
      <c r="FM161" s="123"/>
      <c r="FN161" s="251"/>
      <c r="FO161" s="339"/>
      <c r="FP161" s="364">
        <f t="shared" si="713"/>
        <v>0.0843302634569033</v>
      </c>
      <c r="FQ161" s="364">
        <f t="shared" si="714"/>
        <v>0.969798029754388</v>
      </c>
      <c r="FR161" s="365">
        <f>各项系数!$F$76/4*($MQ161^2-$MN161^2*$EG161-$MO161^2*$EO161)*10^-2</f>
        <v>0.49994147258472</v>
      </c>
      <c r="FS161" s="366">
        <f t="shared" si="652"/>
        <v>1</v>
      </c>
      <c r="FT161" s="367">
        <f t="shared" si="604"/>
        <v>0.49994147258472</v>
      </c>
      <c r="FU161" s="388">
        <f>$FT161*(VLOOKUP($FT$9,各项系数!$D$1:$F$143,3,0))*10^-3*10^2*各项系数!$J$55</f>
        <v>0.0596930118266156</v>
      </c>
      <c r="FV161" s="389">
        <v>1</v>
      </c>
      <c r="FW161" s="390">
        <f t="shared" si="715"/>
        <v>0.0596930118266156</v>
      </c>
      <c r="FX161" s="367">
        <f>FW161*(VLOOKUP($FT$9,各项系数!$D$1:$F$143,2,0))</f>
        <v>0.179079035479847</v>
      </c>
      <c r="FY161" s="388">
        <f>IF($BK161&lt;&gt;$FY$9,0,各项系数!$F$76/4*($MS161^2-$MQ161^2)*10^-2*(VLOOKUP($FY$9,各项系数!$D$1:$F$143,3,0))*10^-3*10^2)*各项系数!$J$4</f>
        <v>0</v>
      </c>
      <c r="FZ161" s="389">
        <v>1</v>
      </c>
      <c r="GA161" s="390">
        <f t="shared" si="716"/>
        <v>0</v>
      </c>
      <c r="GB161" s="367">
        <f>GA161*(VLOOKUP($FY$9,各项系数!$D$1:$F$143,2,0))</f>
        <v>0</v>
      </c>
      <c r="GC161" s="388">
        <f>IF($BK161&lt;&gt;$GC$9,0,各项系数!$F$76/4*($MS161^2-$MQ161^2)*10^-2*(VLOOKUP($GC$9,各项系数!$D$1:$F$143,3,0))*10^-3*10^2)*各项系数!$J$4</f>
        <v>0.00378724094380428</v>
      </c>
      <c r="GD161" s="389">
        <v>1</v>
      </c>
      <c r="GE161" s="390">
        <f t="shared" si="717"/>
        <v>0.00378724094380428</v>
      </c>
      <c r="GF161" s="367">
        <f>GE161*(VLOOKUP($GC$9,各项系数!$D$1:$F$143,2,0))</f>
        <v>0.0488554081750753</v>
      </c>
      <c r="GG161" s="388">
        <f>IF($BK161&lt;&gt;$GG$9,0,各项系数!$F$76/4*($MS161^2-$MQ161^2)*10^-2*(VLOOKUP($GG$9,各项系数!$D$1:$F$143,3,0))*10^-3*10^2)*各项系数!$J$4</f>
        <v>0</v>
      </c>
      <c r="GH161" s="389">
        <v>1</v>
      </c>
      <c r="GI161" s="390">
        <f t="shared" si="718"/>
        <v>0</v>
      </c>
      <c r="GJ161" s="367">
        <f>GI161*(VLOOKUP($GG$9,各项系数!$D$1:$F$143,2,0))</f>
        <v>0</v>
      </c>
      <c r="GK161" s="388">
        <f>IF($BK161&lt;&gt;$GK$9,0,各项系数!$F$76/4*($MS161^2-$MQ161^2)*10^-2*(VLOOKUP($GK$9,各项系数!$D$1:$F$143,3,0))*10^-3*10^2)*各项系数!$J$4</f>
        <v>0</v>
      </c>
      <c r="GL161" s="389">
        <v>1</v>
      </c>
      <c r="GM161" s="390">
        <f t="shared" si="719"/>
        <v>0</v>
      </c>
      <c r="GN161" s="367">
        <f>GM161*(VLOOKUP($GK$9,各项系数!$D$1:$F$143,2,0))</f>
        <v>0</v>
      </c>
      <c r="GO161" s="390">
        <f t="shared" si="720"/>
        <v>0.00378724094380428</v>
      </c>
      <c r="GP161" s="390">
        <f t="shared" si="721"/>
        <v>0.0488554081750753</v>
      </c>
      <c r="GQ161" s="406">
        <f>各项系数!$F$76/4*($MU161^2-$MS161^2)*10^-2*(VLOOKUP($S161,各项系数!$D$1:$F$143,3,0))*10^-3*10^2*各项系数!$J$4</f>
        <v>0.214059141957227</v>
      </c>
      <c r="GR161" s="389">
        <v>1</v>
      </c>
      <c r="GS161" s="390">
        <f t="shared" si="722"/>
        <v>0.214059141957227</v>
      </c>
      <c r="GT161" s="390">
        <f t="shared" si="696"/>
        <v>0</v>
      </c>
      <c r="GU161" s="390">
        <f>ROUND($GS161*(VLOOKUP($S161,各项系数!$D$1:$F$143,2,0))+$E$3*GS161,GT161)</f>
        <v>1</v>
      </c>
      <c r="GV161" s="406">
        <f>各项系数!$F$76/4*($MT161^2-$MS161^2)*10^-2*(VLOOKUP($GV$9,各项系数!$D$1:$F$143,3,0))*10^-3*10^2*各项系数!$J$4*PI()/4*R161</f>
        <v>0.0196603683418941</v>
      </c>
      <c r="GW161" s="389">
        <v>1</v>
      </c>
      <c r="GX161" s="390">
        <f t="shared" si="723"/>
        <v>0.0196603683418941</v>
      </c>
      <c r="GY161" s="390">
        <f>$GX161*(VLOOKUP($GV$9,各项系数!$D$1:$F$143,2,0))</f>
        <v>1.32707486307785</v>
      </c>
      <c r="GZ161" s="406">
        <f>各项系数!$F$76/4*($MV161^2-$MS161^2)*10^-2*(VLOOKUP($GZ$9,各项系数!$D$1:$F$143,3,0))*10^-3*10^2*各项系数!$J$4</f>
        <v>0.128864090225272</v>
      </c>
      <c r="HA161" s="389">
        <v>1</v>
      </c>
      <c r="HB161" s="390">
        <f t="shared" si="653"/>
        <v>0.128864090225272</v>
      </c>
      <c r="HC161" s="390">
        <f>HB161*(VLOOKUP($GZ$9,各项系数!$D$1:$F$143,2,0))</f>
        <v>2.19068953382962</v>
      </c>
      <c r="HD161" s="406">
        <f>各项系数!$F$76/4*($MW161^2-$MT161^2)*10^-2*(VLOOKUP($HD$9,各项系数!$D$1:$F$143,3,0))*10^-3*10^2*各项系数!$J$4</f>
        <v>0.13016945967195</v>
      </c>
      <c r="HE161" s="389">
        <v>1</v>
      </c>
      <c r="HF161" s="390">
        <f t="shared" si="654"/>
        <v>0.13016945967195</v>
      </c>
      <c r="HG161" s="390">
        <f>HF161*(VLOOKUP($HD$9,各项系数!$D$1:$F$143,2,0))</f>
        <v>2.21288081442315</v>
      </c>
      <c r="HH161" s="406">
        <f>各项系数!$F$76/4*($MV161^2-$MS161^2)*10^-2*(VLOOKUP($HH$9,各项系数!$D$1:$F$143,3,0))*10^-3*10^2*各项系数!$J$4</f>
        <v>0.128864090225272</v>
      </c>
      <c r="HI161" s="420">
        <v>1</v>
      </c>
      <c r="HJ161" s="390">
        <f t="shared" si="655"/>
        <v>0.128864090225272</v>
      </c>
      <c r="HK161" s="390">
        <f>HJ161*(VLOOKUP($HH$9,各项系数!$D$1:$F$143,2,0))</f>
        <v>2.19068953382962</v>
      </c>
      <c r="HL161" s="406">
        <f>各项系数!$F$76/4*($MW161^2-$MT161^2)*10^-2*(VLOOKUP($HL$9,各项系数!$D$1:$F$143,3,0))*10^-3*10^2*各项系数!$J$4</f>
        <v>0.13016945967195</v>
      </c>
      <c r="HM161" s="420">
        <v>1</v>
      </c>
      <c r="HN161" s="390">
        <f t="shared" si="605"/>
        <v>0.13016945967195</v>
      </c>
      <c r="HO161" s="390">
        <f>HN161*(VLOOKUP($HL$9,各项系数!$D$1:$F$143,2,0))</f>
        <v>2.21288081442315</v>
      </c>
      <c r="HP161" s="406">
        <f>各项系数!$F$76/4*($MV161^2-$MS161^2)*10^-2*(VLOOKUP(AN161,各项系数!$D$1:$F$143,3,0))*10^-3*10^2*各项系数!$J$4</f>
        <v>0.130641525952517</v>
      </c>
      <c r="HQ161" s="389">
        <v>1</v>
      </c>
      <c r="HR161" s="390">
        <f t="shared" si="724"/>
        <v>0.130641525952517</v>
      </c>
      <c r="HS161" s="390">
        <f>HR161*(VLOOKUP(AN161,各项系数!$D$1:$F$143,2,0))</f>
        <v>1.30641525952517</v>
      </c>
      <c r="HT161" s="406">
        <f>各项系数!$F$76/4*($MW161^2-$MT161^2)*10^-2*(VLOOKUP(AN161,各项系数!$D$1:$F$143,3,0))*10^-3*10^2*各项系数!$J$4</f>
        <v>0.131964900495011</v>
      </c>
      <c r="HU161" s="389">
        <v>1</v>
      </c>
      <c r="HV161" s="390">
        <f t="shared" si="725"/>
        <v>0.131964900495011</v>
      </c>
      <c r="HW161" s="390">
        <f>HV161*(VLOOKUP(AN161,各项系数!$D$1:$F$143,2,0))</f>
        <v>1.31964900495011</v>
      </c>
      <c r="HX161" s="406">
        <f>各项系数!$F$76/4*($MV161^2-$MS161^2)*10^-2*(VLOOKUP($HX$9,各项系数!$D$1:$F$143,3,0))*10^-3*10^2*各项系数!$J$4</f>
        <v>0.130641525952517</v>
      </c>
      <c r="HY161" s="420">
        <v>1</v>
      </c>
      <c r="HZ161" s="390">
        <f t="shared" si="726"/>
        <v>0.130641525952517</v>
      </c>
      <c r="IA161" s="390">
        <f>HZ161*(VLOOKUP($HX$9,各项系数!$D$1:$F$143,2,0))</f>
        <v>1.43705678547768</v>
      </c>
      <c r="IB161" s="406">
        <f>各项系数!$F$76/4*($MW161^2-$MT161^2)*10^-2*(VLOOKUP($IB$9,各项系数!$D$1:$F$143,3,0))*10^-3*10^2*各项系数!$J$4</f>
        <v>0.131964900495011</v>
      </c>
      <c r="IC161" s="420">
        <v>1</v>
      </c>
      <c r="ID161" s="390">
        <f t="shared" si="727"/>
        <v>0.131964900495011</v>
      </c>
      <c r="IE161" s="390">
        <f>ID161*(VLOOKUP($IB$9,各项系数!$D$1:$F$143,2,0))</f>
        <v>1.45161390544513</v>
      </c>
      <c r="IF161" s="429"/>
      <c r="IG161" s="406">
        <f t="shared" si="656"/>
        <v>0.0473700405057913</v>
      </c>
      <c r="IH161" s="389">
        <v>1</v>
      </c>
      <c r="II161" s="390">
        <f t="shared" si="728"/>
        <v>0.0473700405057913</v>
      </c>
      <c r="IJ161" s="390">
        <f>II161*(VLOOKUP($IG$8,各项系数!$D$1:$F$143,2,0))</f>
        <v>1.18425101264478</v>
      </c>
      <c r="IK161" s="406">
        <f>(各项系数!$F$76/4*($MX161^2-$MK161^2)*$EG161)*10^-2*(VLOOKUP($IG$8,各项系数!$D$1:$F$143,3,0))*10^-3*10^2*各项系数!$J$4</f>
        <v>0.0473700405057913</v>
      </c>
      <c r="IL161" s="389">
        <f>IK161*(VLOOKUP($IG$8,各项系数!$D$1:$F$143,2,0))</f>
        <v>1.18425101264478</v>
      </c>
      <c r="IM161" s="390">
        <f>(各项系数!$F$76/4*(($MM161+3*$X161)^2-MM161^2)*$EO161)*10^-2*(VLOOKUP($IG$8,各项系数!$D$1:$F$143,3,0))*10^-3*10^2*各项系数!$J$4</f>
        <v>0</v>
      </c>
      <c r="IN161" s="389">
        <f>IM161*(VLOOKUP($IG$8,各项系数!$D$1:$F$143,2,0))</f>
        <v>0</v>
      </c>
      <c r="IO161" s="406">
        <f>各项系数!$F$76/4*($MZ161^2-$MX161^2)*10^-2*(VLOOKUP(L161,各项系数!$D$1:$F$143,3,0))*10^-3*10^2*$ES161*各项系数!$J$4</f>
        <v>0.114038671553722</v>
      </c>
      <c r="IP161" s="389">
        <v>1</v>
      </c>
      <c r="IQ161" s="390">
        <f t="shared" si="729"/>
        <v>0.114038671553722</v>
      </c>
      <c r="IR161" s="367">
        <f>IQ161*(VLOOKUP(L161,各项系数!$D$1:$F$143,2,0))</f>
        <v>1.3114447228678</v>
      </c>
      <c r="IS161" s="406">
        <f>IF($L161&lt;&gt;$IS$9,0,各项系数!$F$76/4*($MZ161^2-$MX161^2)*10^-2*各项系数!$F$12*10^-3*10^2)*$ES161*各项系数!$J$4</f>
        <v>0</v>
      </c>
      <c r="IT161" s="389">
        <v>1</v>
      </c>
      <c r="IU161" s="390">
        <f t="shared" si="730"/>
        <v>0</v>
      </c>
      <c r="IV161" s="367">
        <f>IU161*各项系数!$E$12</f>
        <v>0</v>
      </c>
      <c r="IW161" s="388">
        <f t="shared" si="731"/>
        <v>0.114038671553722</v>
      </c>
      <c r="IX161" s="388">
        <f t="shared" si="732"/>
        <v>1.3114447228678</v>
      </c>
      <c r="IY161" s="447">
        <f>各项系数!$F$76/4*($NB161^2-$MZ161^2*$EG161-$NA161^2*$EO161)*10^-2</f>
        <v>0.794351878254275</v>
      </c>
      <c r="IZ161" s="366">
        <f t="shared" si="697"/>
        <v>1</v>
      </c>
      <c r="JA161" s="367">
        <f t="shared" si="606"/>
        <v>0.794351878254275</v>
      </c>
      <c r="JB161" s="364">
        <f>IF($DE161&lt;&gt;$JB$9,0,$JA161*各项系数!$F$32*10^-3*10^2)*各项系数!$J$4</f>
        <v>0</v>
      </c>
      <c r="JC161" s="123">
        <v>1</v>
      </c>
      <c r="JD161" s="251">
        <f t="shared" si="733"/>
        <v>0</v>
      </c>
      <c r="JE161" s="339">
        <f>JD161*各项系数!$E$32</f>
        <v>0</v>
      </c>
      <c r="JF161" s="364">
        <f>IF($DE161&lt;&gt;$JF$9,0,$JA161*VLOOKUP($JF$9,各项系数!$D$4:$F$540,2,0)*10^-3*10^2)*各项系数!$J$4</f>
        <v>0.395190059431502</v>
      </c>
      <c r="JG161" s="123">
        <v>1</v>
      </c>
      <c r="JH161" s="251">
        <f t="shared" si="607"/>
        <v>0.395190059431502</v>
      </c>
      <c r="JI161" s="339">
        <f>JH161*VLOOKUP($JF$9,各项系数!$D$4:$F$540,3,0)</f>
        <v>0.474228071317802</v>
      </c>
      <c r="JJ161" s="364">
        <f t="shared" si="734"/>
        <v>0.395190059431502</v>
      </c>
      <c r="JK161" s="251">
        <f t="shared" si="735"/>
        <v>0.474228071317802</v>
      </c>
      <c r="JL161" s="364">
        <f>IF($DF161&lt;&gt;$JL$9,0,各项系数!$F$76/4*($NE161^2-$NC161^2)*10^-2*各项系数!$F$39*10^-3*10^2)*各项系数!$J$4</f>
        <v>0.00197369127164228</v>
      </c>
      <c r="JM161" s="123">
        <v>1</v>
      </c>
      <c r="JN161" s="251">
        <f t="shared" si="736"/>
        <v>0.00197369127164228</v>
      </c>
      <c r="JO161" s="339">
        <f>JN161*各项系数!$E$39</f>
        <v>0.0394738254328456</v>
      </c>
      <c r="JP161" s="364">
        <f>IF($DF161&lt;&gt;$JP$9,0,各项系数!$F$76/4*($NE161^2-$NC161^2)*10^-2*各项系数!$F$36*10^-3*10^2)*各项系数!$J$4</f>
        <v>0</v>
      </c>
      <c r="JQ161" s="123">
        <v>1</v>
      </c>
      <c r="JR161" s="251">
        <f t="shared" si="737"/>
        <v>0</v>
      </c>
      <c r="JS161" s="339">
        <f>JR161*各项系数!$E$36</f>
        <v>0</v>
      </c>
      <c r="JT161" s="364">
        <f>IF($DF161&lt;&gt;$JT$9,0,各项系数!$F$76/4*($NE161^2-$NC161^2)*10^-2*各项系数!$F$40*10^-3*10^2)*各项系数!$J$4</f>
        <v>0</v>
      </c>
      <c r="JU161" s="123">
        <v>1</v>
      </c>
      <c r="JV161" s="251">
        <f t="shared" si="738"/>
        <v>0</v>
      </c>
      <c r="JW161" s="339">
        <f>JV161*各项系数!$E$40</f>
        <v>0</v>
      </c>
      <c r="JX161" s="364">
        <f>IF($DF161&lt;&gt;$JX$9,0,各项系数!$F$76/4*($NE161^2-$NC161^2)*10^-2*各项系数!$F$38*10^-3*10^2)*各项系数!$J$4</f>
        <v>0</v>
      </c>
      <c r="JY161" s="123">
        <v>1</v>
      </c>
      <c r="JZ161" s="251">
        <f t="shared" si="739"/>
        <v>0</v>
      </c>
      <c r="KA161" s="339">
        <f>JZ161*各项系数!$E$38</f>
        <v>0</v>
      </c>
      <c r="KB161" s="364">
        <f>IF($DF161&lt;&gt;$KB$9,0,各项系数!$F$76/4*($NE161^2-$NC161^2)*10^-2*各项系数!$F$41*10^-3*10^2)*各项系数!$J$4</f>
        <v>0</v>
      </c>
      <c r="KC161" s="123">
        <v>1</v>
      </c>
      <c r="KD161" s="251">
        <f t="shared" si="740"/>
        <v>0</v>
      </c>
      <c r="KE161" s="339">
        <f>KD161*各项系数!$E$41</f>
        <v>0</v>
      </c>
      <c r="KF161" s="251">
        <f t="shared" si="741"/>
        <v>0.00197369127164228</v>
      </c>
      <c r="KG161" s="251">
        <f t="shared" si="742"/>
        <v>0.0394738254328456</v>
      </c>
      <c r="KH161" s="302">
        <f>各项系数!$F$76/4*($NG161^2-$NE161^2)*10^-2*各项系数!$F$44*10^-3*10^2*各项系数!$J$4*0.75*$U161</f>
        <v>0.803393253300835</v>
      </c>
      <c r="KI161" s="123">
        <v>1</v>
      </c>
      <c r="KJ161" s="251">
        <f t="shared" si="743"/>
        <v>0.803393253300835</v>
      </c>
      <c r="KK161" s="251">
        <f>ROUND(KJ161*各项系数!$E$43,GT161)</f>
        <v>5</v>
      </c>
      <c r="KL161" s="302">
        <f>各项系数!$F$76/4*($NF161^2-$NE161^2)*10^-2*各项系数!$F$46*10^-3*10^2*各项系数!$J$4*PI()/4*R161</f>
        <v>0.0247783654335045</v>
      </c>
      <c r="KM161" s="123">
        <v>1</v>
      </c>
      <c r="KN161" s="251">
        <f t="shared" si="744"/>
        <v>0.0247783654335045</v>
      </c>
      <c r="KO161" s="251">
        <f>KN161*各项系数!$E$46</f>
        <v>1.67253966676156</v>
      </c>
      <c r="KP161" s="302">
        <f>各项系数!$F$76/4*($NH161^2-$NE161^2)*10^-2*(VLOOKUP($KP$9,各项系数!$D$1:$F$143,3,0))*10^-3*10^2*各项系数!$J$4</f>
        <v>0.158757050554207</v>
      </c>
      <c r="KQ161" s="123">
        <v>1</v>
      </c>
      <c r="KR161" s="251">
        <f t="shared" si="657"/>
        <v>0.158757050554207</v>
      </c>
      <c r="KS161" s="251">
        <f>KR161*(VLOOKUP($KP$9,各项系数!$D$1:$F$143,2,0))</f>
        <v>2.69886985942152</v>
      </c>
      <c r="KT161" s="302">
        <f>各项系数!$F$76/4*($NI161^2-$NF161^2)*10^-2*(VLOOKUP($KT$9,各项系数!$D$1:$F$143,3,0))*10^-3*10^2*各项系数!$J$4</f>
        <v>0.160062420000885</v>
      </c>
      <c r="KU161" s="123">
        <v>1</v>
      </c>
      <c r="KV161" s="251">
        <f t="shared" si="658"/>
        <v>0.160062420000885</v>
      </c>
      <c r="KW161" s="251">
        <f>KV161*(VLOOKUP($KT$9,各项系数!$D$1:$F$143,2,0))</f>
        <v>2.72106114001505</v>
      </c>
      <c r="KX161" s="251">
        <f>各项系数!$F$76/4*($NH161^2-$NE161^2)*10^-2*(VLOOKUP($KX$9,各项系数!$D$1:$F$143,3,0))*10^-3*10^2*各项系数!$J$4</f>
        <v>0.158757050554207</v>
      </c>
      <c r="KY161" s="479">
        <v>1</v>
      </c>
      <c r="KZ161" s="251">
        <f t="shared" si="659"/>
        <v>0.158757050554207</v>
      </c>
      <c r="LA161" s="251">
        <f>KZ161*(VLOOKUP($KX$9,各项系数!$D$1:$F$143,2,0))</f>
        <v>2.69886985942152</v>
      </c>
      <c r="LB161" s="251">
        <f>各项系数!$F$76/4*($NI161^2-$NF161^2)*10^-2*(VLOOKUP($LB$9,各项系数!$D$1:$F$143,3,0))*10^-3*10^2*各项系数!$J$4</f>
        <v>0.160062420000885</v>
      </c>
      <c r="LC161" s="479">
        <v>1</v>
      </c>
      <c r="LD161" s="251">
        <f t="shared" si="660"/>
        <v>0.160062420000885</v>
      </c>
      <c r="LE161" s="251">
        <f>LD161*(VLOOKUP($LB$9,各项系数!$D$1:$F$143,2,0))</f>
        <v>2.72106114001505</v>
      </c>
      <c r="LF161" s="302">
        <f>各项系数!$F$76/4*($NH161^2-$NE161^2)*10^-2*(VLOOKUP(AN161,各项系数!$D$1:$F$143,3,0))*10^-3*10^2*各项系数!$J$4</f>
        <v>0.160946802975644</v>
      </c>
      <c r="LG161" s="123">
        <v>1</v>
      </c>
      <c r="LH161" s="251">
        <f t="shared" si="745"/>
        <v>0.160946802975644</v>
      </c>
      <c r="LI161" s="251">
        <f>LH161*(VLOOKUP(AN161,各项系数!$D$1:$F$143,2,0))</f>
        <v>1.60946802975644</v>
      </c>
      <c r="LJ161" s="302">
        <f>各项系数!$F$76/4*($NI161^2-$NF161^2)*10^-2*(VLOOKUP(AN161,各项系数!$D$1:$F$143,3,0))*10^-3*10^2*各项系数!$J$4</f>
        <v>0.162270177518139</v>
      </c>
      <c r="LK161" s="123">
        <v>1</v>
      </c>
      <c r="LL161" s="251">
        <f t="shared" si="746"/>
        <v>0.162270177518139</v>
      </c>
      <c r="LM161" s="251">
        <f>LL161*(VLOOKUP(AN161,各项系数!$D$1:$F$143,2,0))</f>
        <v>1.62270177518139</v>
      </c>
      <c r="LN161" s="251">
        <f>各项系数!$F$76/4*($NH161^2-$NE161^2)*10^-2*(VLOOKUP($LN$9,各项系数!$D$1:$F$143,3,0))*10^-3*10^2*各项系数!$J$4</f>
        <v>0.160946802975644</v>
      </c>
      <c r="LO161" s="479">
        <v>1</v>
      </c>
      <c r="LP161" s="251">
        <f t="shared" si="747"/>
        <v>0.160946802975644</v>
      </c>
      <c r="LQ161" s="251">
        <f>LP161*(VLOOKUP($LN$9,各项系数!$D$1:$F$143,2,0))</f>
        <v>1.77041483273209</v>
      </c>
      <c r="LR161" s="251">
        <f>各项系数!$F$76/4*($NI161^2-$NF161^2)*10^-2*(VLOOKUP($LR$9,各项系数!$D$1:$F$143,3,0))*10^-3*10^2*各项系数!$J$4</f>
        <v>0.162270177518139</v>
      </c>
      <c r="LS161" s="479">
        <v>1</v>
      </c>
      <c r="LT161" s="251">
        <f t="shared" si="748"/>
        <v>0.162270177518139</v>
      </c>
      <c r="LU161" s="251">
        <f>LT161*(VLOOKUP($LR$9,各项系数!$D$1:$F$143,2,0))</f>
        <v>1.78497195269953</v>
      </c>
      <c r="LV161" s="499">
        <f t="shared" si="661"/>
        <v>22.93917304</v>
      </c>
      <c r="LW161" s="499">
        <f t="shared" si="662"/>
        <v>22.93917304</v>
      </c>
      <c r="LX161" s="499">
        <f t="shared" si="663"/>
        <v>5.40435585782901</v>
      </c>
      <c r="LY161" s="515">
        <f t="shared" si="664"/>
        <v>0</v>
      </c>
      <c r="LZ161" s="516">
        <f t="shared" si="608"/>
        <v>1</v>
      </c>
      <c r="MA161" s="517">
        <f t="shared" si="609"/>
        <v>22.93917304</v>
      </c>
      <c r="MB161" s="517">
        <f t="shared" si="665"/>
        <v>1.10315952</v>
      </c>
      <c r="MC161" s="499">
        <f t="shared" si="666"/>
        <v>0</v>
      </c>
      <c r="MD161" s="499">
        <f t="shared" si="667"/>
        <v>0</v>
      </c>
      <c r="ME161" s="499">
        <f t="shared" si="668"/>
        <v>0</v>
      </c>
      <c r="MF161" s="499">
        <f t="shared" si="669"/>
        <v>0</v>
      </c>
      <c r="MG161" s="516">
        <f t="shared" si="670"/>
        <v>1</v>
      </c>
      <c r="MH161" s="517">
        <f t="shared" si="610"/>
        <v>0</v>
      </c>
      <c r="MI161" s="517">
        <f t="shared" si="671"/>
        <v>0</v>
      </c>
      <c r="MJ161" s="251">
        <f t="shared" si="611"/>
        <v>1.10315952</v>
      </c>
      <c r="MK161" s="251">
        <f t="shared" si="672"/>
        <v>1.10315952</v>
      </c>
      <c r="ML161" s="251">
        <f t="shared" si="749"/>
        <v>0</v>
      </c>
      <c r="MM161" s="251">
        <f t="shared" si="612"/>
        <v>0</v>
      </c>
      <c r="MN161" s="251">
        <f t="shared" si="613"/>
        <v>2.30315952</v>
      </c>
      <c r="MO161" s="251">
        <f t="shared" si="673"/>
        <v>0</v>
      </c>
      <c r="MP161" s="251">
        <f t="shared" si="674"/>
        <v>13.81895712</v>
      </c>
      <c r="MQ161" s="251">
        <f t="shared" si="750"/>
        <v>13.81895712</v>
      </c>
      <c r="MR161" s="314">
        <f t="shared" si="675"/>
        <v>13.81895712</v>
      </c>
      <c r="MS161" s="530">
        <f t="shared" si="614"/>
        <v>13.99495712</v>
      </c>
      <c r="MT161" s="530">
        <f t="shared" si="615"/>
        <v>14.15495712</v>
      </c>
      <c r="MU161" s="530">
        <f t="shared" si="616"/>
        <v>15.19495712</v>
      </c>
      <c r="MV161" s="530">
        <f t="shared" si="617"/>
        <v>17.59495712</v>
      </c>
      <c r="MW161" s="530">
        <f t="shared" si="618"/>
        <v>17.75495712</v>
      </c>
      <c r="MX161" s="326">
        <f t="shared" si="619"/>
        <v>1.70315952</v>
      </c>
      <c r="MY161" s="326">
        <f t="shared" si="620"/>
        <v>0</v>
      </c>
      <c r="MZ161" s="251">
        <f t="shared" si="621"/>
        <v>2.90315952</v>
      </c>
      <c r="NA161" s="251">
        <f t="shared" si="622"/>
        <v>0</v>
      </c>
      <c r="NB161" s="251">
        <f t="shared" si="676"/>
        <v>17.41895712</v>
      </c>
      <c r="NC161" s="326">
        <f t="shared" si="751"/>
        <v>17.41895712</v>
      </c>
      <c r="ND161" s="314">
        <f t="shared" si="677"/>
        <v>17.41895712</v>
      </c>
      <c r="NE161" s="537">
        <f t="shared" si="678"/>
        <v>17.65895712</v>
      </c>
      <c r="NF161" s="530">
        <f t="shared" si="623"/>
        <v>17.81895712</v>
      </c>
      <c r="NG161" s="538">
        <f t="shared" si="624"/>
        <v>18.85895712</v>
      </c>
      <c r="NH161" s="326">
        <f t="shared" si="625"/>
        <v>21.25895712</v>
      </c>
      <c r="NI161" s="530">
        <f t="shared" si="626"/>
        <v>21.41895712</v>
      </c>
      <c r="NK161" s="539">
        <f t="shared" si="627"/>
        <v>0.481361642827048</v>
      </c>
      <c r="NL161" s="539">
        <f t="shared" si="628"/>
        <v>15.7947265753266</v>
      </c>
      <c r="NM161" s="539">
        <f t="shared" si="629"/>
        <v>0.481361642827048</v>
      </c>
      <c r="NN161" s="539">
        <f t="shared" si="630"/>
        <v>15.9253681012792</v>
      </c>
      <c r="NO161" s="539">
        <f t="shared" si="631"/>
        <v>0.922428866385511</v>
      </c>
      <c r="NP161" s="539">
        <f t="shared" si="632"/>
        <v>17.9094445044118</v>
      </c>
      <c r="NQ161" s="539">
        <f t="shared" si="633"/>
        <v>0.922428866385511</v>
      </c>
      <c r="NR161" s="539">
        <f t="shared" si="634"/>
        <v>18.0703913073875</v>
      </c>
      <c r="NS161" s="539">
        <f t="shared" si="635"/>
        <v>0.501022011168943</v>
      </c>
      <c r="NT161" s="539">
        <f t="shared" si="636"/>
        <v>0.501022011168943</v>
      </c>
      <c r="NU161" s="539">
        <f t="shared" si="637"/>
        <v>0.947207231819015</v>
      </c>
      <c r="NV161" s="539">
        <f t="shared" si="638"/>
        <v>0.947207231819015</v>
      </c>
      <c r="NW161">
        <f t="shared" si="639"/>
        <v>0.695420784784275</v>
      </c>
      <c r="NX161">
        <f>各项系数!$M$9*NK161</f>
        <v>0.144408492848115</v>
      </c>
      <c r="NY161">
        <f t="shared" si="640"/>
        <v>0.501022011168943</v>
      </c>
    </row>
    <row r="162" customHeight="1" spans="1:389">
      <c r="A162" s="85"/>
      <c r="B162" s="86"/>
      <c r="C162" s="218"/>
      <c r="D162" s="123" t="s">
        <v>940</v>
      </c>
      <c r="E162" s="77">
        <f t="shared" si="687"/>
        <v>17.94043105</v>
      </c>
      <c r="F162" s="558">
        <f t="shared" si="693"/>
        <v>110.31595161029</v>
      </c>
      <c r="G162" s="23"/>
      <c r="H162" s="23"/>
      <c r="I162" s="174">
        <v>0</v>
      </c>
      <c r="J162" s="23"/>
      <c r="K162" s="23"/>
      <c r="L162" s="118" t="s">
        <v>469</v>
      </c>
      <c r="M162" s="124">
        <f t="shared" si="582"/>
        <v>0.6</v>
      </c>
      <c r="N162" s="124">
        <f t="shared" si="583"/>
        <v>0</v>
      </c>
      <c r="O162" s="69">
        <f t="shared" si="703"/>
        <v>0.08</v>
      </c>
      <c r="P162" s="120">
        <v>0.1</v>
      </c>
      <c r="Q162" s="162">
        <f t="shared" si="700"/>
        <v>0.1</v>
      </c>
      <c r="R162" s="560">
        <v>0.8</v>
      </c>
      <c r="S162" s="171" t="str">
        <f>各项系数!$D$43</f>
        <v>钢带</v>
      </c>
      <c r="T162" s="123">
        <v>0.2</v>
      </c>
      <c r="U162" s="78">
        <v>4</v>
      </c>
      <c r="V162" s="172"/>
      <c r="W162" s="170">
        <f t="shared" si="752"/>
        <v>1.8</v>
      </c>
      <c r="X162" s="164">
        <f t="shared" si="701"/>
        <v>0.2</v>
      </c>
      <c r="Y162" s="219"/>
      <c r="Z162" s="220"/>
      <c r="AA162" s="217">
        <v>1</v>
      </c>
      <c r="AB162" s="186">
        <f>PI()*EJ162*EJ162/4*EH162*(1-H162)*AA162*各项系数!$F$5*各项系数!$J$4*10^-7</f>
        <v>0.0084545666936337</v>
      </c>
      <c r="AC162" s="186">
        <f t="shared" si="704"/>
        <v>110.31595161029</v>
      </c>
      <c r="AD162" s="186">
        <f t="shared" si="584"/>
        <v>0.955798869898841</v>
      </c>
      <c r="AE162" s="186">
        <f>POWER(4*EU162/PI()/EG162/10^-7/EH162/(1-H162)/各项系数!$F$5/各项系数!$J$4,0.5)</f>
        <v>110.31595161029</v>
      </c>
      <c r="AF162" s="218">
        <v>1</v>
      </c>
      <c r="AG162" s="85">
        <f>IF(EM162=0,0,PI()*ER162*ER162/4*EP162*(1-K162)*(1+AF162)*各项系数!$F$5*各项系数!$J$4*10^-7)</f>
        <v>0</v>
      </c>
      <c r="AH162" s="85">
        <f t="shared" si="705"/>
        <v>0</v>
      </c>
      <c r="AI162" s="85">
        <f t="shared" si="641"/>
        <v>0</v>
      </c>
      <c r="AJ162" s="85">
        <f>IF(OR(EP162="",EP162=0),0,POWER(4*EW162/PI()/EO162/10^-7/EP162/(1-K162)/各项系数!$F$5/各项系数!$J$4,0.5))</f>
        <v>0</v>
      </c>
      <c r="AK162" s="85" t="str">
        <f t="shared" si="585"/>
        <v>√</v>
      </c>
      <c r="AL162" s="85">
        <f t="shared" si="706"/>
        <v>19.3349928821522</v>
      </c>
      <c r="AM162" s="250">
        <f t="shared" si="707"/>
        <v>1</v>
      </c>
      <c r="AN162" s="118" t="s">
        <v>486</v>
      </c>
      <c r="AO162" s="259">
        <f>AP162+各项系数!$M$9*$NK162</f>
        <v>18.955875374659</v>
      </c>
      <c r="AP162" s="259">
        <f>AQ162*(1+$BI162+(VLOOKUP($AM162,$A$12:$B$323,2,0))+各项系数!$J$6+各项系数!$M$5)*(1+$E$2)</f>
        <v>18.8015671414727</v>
      </c>
      <c r="AQ162" s="260">
        <f>AR162+各项系数!$L$9*$NK162</f>
        <v>18.4473774935956</v>
      </c>
      <c r="AR162" s="260">
        <f>AS162*(1+$BJ162+各项系数!$J$5+各项系数!$L$5)</f>
        <v>18.2930692604094</v>
      </c>
      <c r="AS162" s="260">
        <f t="shared" si="642"/>
        <v>17.5894896734705</v>
      </c>
      <c r="AT162" s="259">
        <f>AU162+各项系数!$M$9*$NM162</f>
        <v>19.9136788807914</v>
      </c>
      <c r="AU162" s="259">
        <f>AV162*(1+$BI162+(VLOOKUP($AM162,$A$12:$B$323,2,0))+各项系数!$J$6+各项系数!$M$5)*(1+$E$2)</f>
        <v>19.7593706476051</v>
      </c>
      <c r="AV162" s="260">
        <f>AW162+各项系数!$L$9*$NM162</f>
        <v>19.387137605578</v>
      </c>
      <c r="AW162" s="260">
        <f>AX162*(1+$BJ162+各项系数!$J$5+各项系数!$L$5)</f>
        <v>19.2328293723917</v>
      </c>
      <c r="AX162" s="260">
        <f t="shared" si="643"/>
        <v>18.4931051657613</v>
      </c>
      <c r="AY162" s="259">
        <f>AZ162+各项系数!$M$9*$NS162</f>
        <v>20.4232881996421</v>
      </c>
      <c r="AZ162" s="259">
        <f>BA162*(1+$BI162+(VLOOKUP($AM162,$A$12:$B$214,2,0))+各项系数!$J$6+各项系数!$M$5)*(1+$E$2)</f>
        <v>20.2629370851097</v>
      </c>
      <c r="BA162" s="260">
        <f>BB162+各项系数!$L$9*$NS162</f>
        <v>19.8812177051704</v>
      </c>
      <c r="BB162" s="260">
        <f>BC162*(1+$BJ162+各项系数!$J$5+各项系数!$L$5)</f>
        <v>19.720866590638</v>
      </c>
      <c r="BC162" s="262">
        <f t="shared" si="644"/>
        <v>18.9623717217673</v>
      </c>
      <c r="BD162" s="259">
        <f>BE162+各项系数!$M$9*$NS162</f>
        <v>21.3905864064121</v>
      </c>
      <c r="BE162" s="259">
        <f>BF162*(1+$BI162+(VLOOKUP($AM162,$A$12:$B$214,2,0))+各项系数!$J$6+各项系数!$M$5)*(1+$E$2)</f>
        <v>21.2302352918797</v>
      </c>
      <c r="BF162" s="260">
        <f>BG162+各项系数!$L$9*$NS162</f>
        <v>20.8302936537281</v>
      </c>
      <c r="BG162" s="260">
        <f>BH162*(1+$BJ162+各项系数!$J$5+各项系数!$L$5)</f>
        <v>20.6699425391957</v>
      </c>
      <c r="BH162" s="262">
        <f t="shared" si="645"/>
        <v>19.8749447492267</v>
      </c>
      <c r="BI162" s="277"/>
      <c r="BJ162" s="272">
        <f t="shared" si="695"/>
        <v>0.02</v>
      </c>
      <c r="BK162" s="123" t="s">
        <v>514</v>
      </c>
      <c r="BL162" s="259">
        <f>BM162+各项系数!$M$9*$NM162</f>
        <v>19.2780127135304</v>
      </c>
      <c r="BM162" s="259">
        <f>BN162*(1+$CF162+(VLOOKUP($AM162,$A$12:$B$323,2,0))+各项系数!$J$6+各项系数!$M$5)*(1+$E$2)</f>
        <v>19.1237044803441</v>
      </c>
      <c r="BN162" s="260">
        <f>BO162+各项系数!$L$9*$NM162</f>
        <v>18.7634463111696</v>
      </c>
      <c r="BO162" s="260">
        <f>BP162*(1+$CG162+各项系数!$J$5+各项系数!$L$5)</f>
        <v>18.6091380779833</v>
      </c>
      <c r="BP162" s="260">
        <f t="shared" si="646"/>
        <v>17.7229886456984</v>
      </c>
      <c r="BQ162" s="259">
        <f>BR162+各项系数!$M$9*$NM162</f>
        <v>20.1021606086408</v>
      </c>
      <c r="BR162" s="259">
        <f>BS162*(1+$CF162+(VLOOKUP($AM162,$A$12:$B$323,2,0))+各项系数!$J$6+各项系数!$M$5)*(1+$E$2)</f>
        <v>19.9478523754545</v>
      </c>
      <c r="BS162" s="260">
        <f>BT162+各项系数!$L$9*$NM162</f>
        <v>19.5720686572356</v>
      </c>
      <c r="BT162" s="260">
        <f>BU162*(1+$CG162+各项系数!$J$5+各项系数!$L$5)</f>
        <v>19.4177604240493</v>
      </c>
      <c r="BU162" s="260">
        <f t="shared" si="647"/>
        <v>18.4931051657613</v>
      </c>
      <c r="BV162" s="259">
        <f>BW162+各项系数!$M$9*$NT162</f>
        <v>20.6058263794143</v>
      </c>
      <c r="BW162" s="259">
        <f>BX162*(1+$CF162+(VLOOKUP($AM162,$A$12:$B$214,2,0))+各项系数!$J$6+各项系数!$M$5)*(1+$E$2)</f>
        <v>20.4454752648819</v>
      </c>
      <c r="BX162" s="260">
        <f>BY162+各项系数!$L$9*$NT$12</f>
        <v>20.0603171751196</v>
      </c>
      <c r="BY162" s="260">
        <f>BZ162*(1+$CG162+各项系数!$J$5+各项系数!$L$5)</f>
        <v>20.0520537719646</v>
      </c>
      <c r="BZ162" s="262">
        <f t="shared" si="586"/>
        <v>19.0971940685377</v>
      </c>
      <c r="CA162" s="259">
        <f>CB162+各项系数!$M$9*$NT162</f>
        <v>21.4381440478603</v>
      </c>
      <c r="CB162" s="259">
        <f>CC162*(1+$CF162+(VLOOKUP($AM162,$A$12:$B$214,2,0))+各项系数!$J$6+各项系数!$M$5)*(1+$E$2)</f>
        <v>21.277792933328</v>
      </c>
      <c r="CC162" s="260">
        <f>CD162+各项系数!$L$9*$NT$12</f>
        <v>20.876955389843</v>
      </c>
      <c r="CD162" s="260">
        <f>CE162*(1+$CG162+各项系数!$J$5+各项系数!$L$5)</f>
        <v>20.868691986688</v>
      </c>
      <c r="CE162" s="262">
        <f t="shared" si="648"/>
        <v>19.8749447492267</v>
      </c>
      <c r="CF162" s="277">
        <f t="shared" ref="CF162:CF193" si="753">BI162+$CF$2</f>
        <v>0</v>
      </c>
      <c r="CG162" s="277">
        <f t="shared" si="587"/>
        <v>0.03</v>
      </c>
      <c r="CH162" s="123"/>
      <c r="CI162" s="259">
        <f>CJ162+各项系数!$M$9*$NO162</f>
        <v>21.7843357060188</v>
      </c>
      <c r="CJ162" s="259">
        <f>CK162*(1+$DC162+(VLOOKUP($AM162,$A$12:$B$323,2,0))+各项系数!$J$6+各项系数!$M$5)*(1+$E$2)+各项系数!$M$9*$NK162</f>
        <v>21.5044832619248</v>
      </c>
      <c r="CK162" s="260">
        <f>CL162+各项系数!$L$9*$NO162</f>
        <v>20.9479739292961</v>
      </c>
      <c r="CL162" s="260">
        <f>CM162*(1+$DD162+各项系数!$J$5+各项系数!$L$5)</f>
        <v>20.6681214852021</v>
      </c>
      <c r="CM162" s="260">
        <f t="shared" si="588"/>
        <v>19.8731937357713</v>
      </c>
      <c r="CN162" s="259">
        <f>CO162+各项系数!$M$9*$NO162</f>
        <v>22.4130225908925</v>
      </c>
      <c r="CO162" s="259">
        <f>CP162*(1+$DC162+(VLOOKUP($AM162,$A$12:$B$323,2,0))+各项系数!$J$6+各项系数!$M$5)*(1+$E$2)+各项系数!$M$9*$NK162</f>
        <v>22.1331701467986</v>
      </c>
      <c r="CP162" s="260">
        <f>CQ162+各项系数!$L$9*$NO162</f>
        <v>21.5648174191643</v>
      </c>
      <c r="CQ162" s="260">
        <f>CR162*(1+$DD162+各项系数!$J$5+各项系数!$L$5)</f>
        <v>21.2849649750704</v>
      </c>
      <c r="CR162" s="260">
        <f t="shared" si="589"/>
        <v>20.4663124760292</v>
      </c>
      <c r="CS162" s="259">
        <f>CT162+各项系数!$M$9*$NU162</f>
        <v>23.4757930021604</v>
      </c>
      <c r="CT162" s="259">
        <f t="shared" si="590"/>
        <v>23.1883245630947</v>
      </c>
      <c r="CU162" s="260">
        <f>CV162+各项系数!$L$9*$NU162</f>
        <v>22.7514958429108</v>
      </c>
      <c r="CV162" s="260">
        <f>CW162*(1+$DD162+各项系数!$J$5+各项系数!$L$5)</f>
        <v>22.464027403845</v>
      </c>
      <c r="CW162" s="262">
        <f t="shared" si="591"/>
        <v>21.600026349851</v>
      </c>
      <c r="CX162" s="259">
        <f>CY162+各项系数!$M$9*$NU162</f>
        <v>24.6658606226396</v>
      </c>
      <c r="CY162" s="259">
        <f t="shared" si="592"/>
        <v>24.3783921835738</v>
      </c>
      <c r="CZ162" s="260">
        <f>DA162+各项系数!$L$9*$NU162</f>
        <v>23.9191446071172</v>
      </c>
      <c r="DA162" s="260">
        <f>DB162*(1+$DD162+各项系数!$J$5+各项系数!$L$5)</f>
        <v>23.6316761680514</v>
      </c>
      <c r="DB162" s="262">
        <f t="shared" si="593"/>
        <v>22.7227655462033</v>
      </c>
      <c r="DC162" s="277">
        <f t="shared" si="698"/>
        <v>0</v>
      </c>
      <c r="DD162" s="277">
        <f t="shared" si="594"/>
        <v>0.02</v>
      </c>
      <c r="DE162" s="69" t="s">
        <v>498</v>
      </c>
      <c r="DF162" s="69" t="s">
        <v>513</v>
      </c>
      <c r="DG162" s="259">
        <f>DH162+各项系数!$M$9*$NQ162</f>
        <v>22.1629766771087</v>
      </c>
      <c r="DH162" s="259">
        <f>DI162*(1+$EA162+(VLOOKUP($AM162,$A$12:$B$323,2,0))+各项系数!$J$6+各项系数!$M$5)*(1+$E$2)+各项系数!$M$9*$NK162</f>
        <v>21.8831242330148</v>
      </c>
      <c r="DI162" s="260">
        <f>DJ162+各项系数!$L$9*$NQ162</f>
        <v>21.3194819464565</v>
      </c>
      <c r="DJ162" s="260">
        <f>DK162*(1+$EB162+各项系数!$J$5+各项系数!$L$5)</f>
        <v>21.0396295023625</v>
      </c>
      <c r="DK162" s="260">
        <f t="shared" si="595"/>
        <v>20.0377423832024</v>
      </c>
      <c r="DL162" s="259">
        <f>DM162+各项系数!$M$9*$NQ162</f>
        <v>23.1788078791061</v>
      </c>
      <c r="DM162" s="259">
        <f>DN162*(1+$EA162+(VLOOKUP($AM162,$A$12:$B$323,2,0))+各项系数!$J$6+各项系数!$M$5)*(1+$E$2)+各项系数!$M$9*$NK162</f>
        <v>22.8989554350122</v>
      </c>
      <c r="DN162" s="260">
        <f>DO162+各项系数!$L$9*$NQ162</f>
        <v>22.3161766108967</v>
      </c>
      <c r="DO162" s="260">
        <f>DP162*(1+$EB162+各项系数!$J$5+各项系数!$L$5)</f>
        <v>22.0363241668027</v>
      </c>
      <c r="DP162" s="260">
        <f t="shared" si="596"/>
        <v>20.9869753969549</v>
      </c>
      <c r="DQ162" s="259">
        <f>DR162+各项系数!$M$9*$NV162</f>
        <v>23.8734500737534</v>
      </c>
      <c r="DR162" s="259">
        <f t="shared" si="597"/>
        <v>23.5859816346877</v>
      </c>
      <c r="DS162" s="260">
        <f>DT162+各项系数!$L$9*$NV162</f>
        <v>23.1416617294816</v>
      </c>
      <c r="DT162" s="260">
        <f>DU162*(1+$EB162+各项系数!$J$5+各项系数!$L$5)</f>
        <v>22.8541932904159</v>
      </c>
      <c r="DU162" s="262">
        <f t="shared" si="598"/>
        <v>21.7658983718247</v>
      </c>
      <c r="DV162" s="259">
        <f>DW162+各项系数!$M$9*$NV162</f>
        <v>23.3185634038842</v>
      </c>
      <c r="DW162" s="259">
        <f t="shared" si="599"/>
        <v>23.0310949648185</v>
      </c>
      <c r="DX162" s="260">
        <f>DY162+各项系数!$L$9*$NV162</f>
        <v>22.5972281836916</v>
      </c>
      <c r="DY162" s="260">
        <f>DZ162*(1+$EB162+各项系数!$J$5+各项系数!$L$5)</f>
        <v>22.3097597446258</v>
      </c>
      <c r="DZ162" s="262">
        <f t="shared" si="600"/>
        <v>21.247390232977</v>
      </c>
      <c r="EA162" s="277">
        <f t="shared" si="699"/>
        <v>0</v>
      </c>
      <c r="EB162" s="277">
        <f t="shared" si="601"/>
        <v>0.03</v>
      </c>
      <c r="EC162" s="302">
        <f t="shared" si="649"/>
        <v>27</v>
      </c>
      <c r="ED162" s="302" t="str">
        <f t="shared" si="708"/>
        <v>27*1</v>
      </c>
      <c r="EE162" s="251">
        <f t="shared" si="709"/>
        <v>1</v>
      </c>
      <c r="EF162" s="251">
        <f>LOOKUP(EH162,{1,7,10,14,19,24,30,37,48,61},{1,"1+6","2+8","4+10","1+6+12","2+8+14","4+10+16","1+6+12+18","3+9+15+21","1+6+12+18+24"})</f>
        <v>1</v>
      </c>
      <c r="EG162" s="250">
        <f t="shared" si="602"/>
        <v>27</v>
      </c>
      <c r="EH162" s="260">
        <f>VLOOKUP(EE162,各项系数!$B$87:$C$124,2,0)</f>
        <v>1</v>
      </c>
      <c r="EI162" s="250">
        <f>IF(EH162=0,0,VLOOKUP(EH162,各项系数!$D$142:$E$195,2,0))*1</f>
        <v>1</v>
      </c>
      <c r="EJ162" s="305">
        <f t="shared" si="650"/>
        <v>110.31595161029</v>
      </c>
      <c r="EK162" s="251">
        <f t="shared" si="689"/>
        <v>0</v>
      </c>
      <c r="EL162" s="251">
        <f t="shared" si="603"/>
        <v>0</v>
      </c>
      <c r="EM162" s="251">
        <f t="shared" si="690"/>
        <v>0</v>
      </c>
      <c r="EN162" s="251">
        <f>IF(EP162=0,0,LOOKUP(EP162,{1,7,10,14,19,24,30,37,48,61},{1,"1+6","2+8","4+10","1+6+12","2+8+14","4+10+16","1+6+12+18","3+9+15+21","1+6+12+18+24"}))</f>
        <v>0</v>
      </c>
      <c r="EO162" s="251">
        <f t="shared" si="691"/>
        <v>0</v>
      </c>
      <c r="EP162" s="251">
        <f>IF(EM162=0,0,IF(EM162&lt;10,1,IF(AND(EM162&gt;=10,EM162&lt;=35),7,LOOKUP(EM162,{50,70,95,120,150,185,240,300},{10,14,19,24,30,37,48,61})*1)))</f>
        <v>0</v>
      </c>
      <c r="EQ162" s="251">
        <f>IF(EP162=0,0,VLOOKUP(EP162,各项系数!$D$142:$E$195,2,0))*1</f>
        <v>0</v>
      </c>
      <c r="ER162" s="69">
        <f t="shared" si="710"/>
        <v>0</v>
      </c>
      <c r="ES162" s="566">
        <f t="shared" si="692"/>
        <v>27</v>
      </c>
      <c r="ET162" s="251">
        <f>VLOOKUP(ES162,各项系数!$D$142:$E$195,2,0)*1</f>
        <v>6.15</v>
      </c>
      <c r="EU162" s="311">
        <f>((各项系数!$F$76/4*$EJ162^2*$EG162*$EH162*1*10^-7)*(1-$H162)*AA162)*(VLOOKUP($EY$9,各项系数!$D$4:$F$143,3,0))*各项系数!$J$4</f>
        <v>0.22827330072811</v>
      </c>
      <c r="EV162" s="312">
        <f>EU162*(VLOOKUP($EY$9,各项系数!$D$4:$F$143,2,0))</f>
        <v>14.9519011976912</v>
      </c>
      <c r="EW162" s="324">
        <f>(IF($EO162=0,0,(各项系数!$F$76/4*$ER162^2*$EO162*$EP162*1*10^-7))*(1-$K162)*$AF162)*(VLOOKUP($EY$9,各项系数!$D$4:$F$143,3,0))*各项系数!$J$4</f>
        <v>0</v>
      </c>
      <c r="EX162" s="325">
        <f>EW162*(VLOOKUP($EY$9,各项系数!$D$4:$F$143,2,0))</f>
        <v>0</v>
      </c>
      <c r="EY162" s="251">
        <f>((各项系数!$F$76/4*$EJ162^2*$EG162*$EH162*1*10^-7)*(1-$H162)*AA162+IF($EO162=0,0,(各项系数!$F$76/4*$ER162^2*$EO162*$EP162*1*10^-7))*(1-$K162)*$AF162)*(VLOOKUP($EY$9,各项系数!$D$4:$F$143,3,0))*各项系数!$J$4</f>
        <v>0.22827330072811</v>
      </c>
      <c r="EZ162" s="123">
        <v>1</v>
      </c>
      <c r="FA162" s="251">
        <f t="shared" si="711"/>
        <v>0.22827330072811</v>
      </c>
      <c r="FB162" s="326">
        <f>FA162*(VLOOKUP($EY$9,各项系数!$D$4:$F$143,2,0))</f>
        <v>14.9519011976912</v>
      </c>
      <c r="FC162" s="327"/>
      <c r="FD162" s="302">
        <f>各项系数!$F$76/4*($MN162^2-MK162^2)*10^-2*(VLOOKUP(L162,各项系数!$D$1:$F$143,3,0))*10^-3*10^2*$EG162*各项系数!$J$4</f>
        <v>0.0948715463890162</v>
      </c>
      <c r="FE162" s="339">
        <f>FD162*VLOOKUP(L162,各项系数!$D$1:$F$143,2,0)</f>
        <v>1.09102278347369</v>
      </c>
      <c r="FF162" s="250">
        <f>各项系数!$F$76/4*($MO162^2-ML162^2)*10^-2*(VLOOKUP(L162,各项系数!$D$1:$F$143,3,0))*10^-3*10^2*$EO162*各项系数!$J$4</f>
        <v>0</v>
      </c>
      <c r="FG162" s="339">
        <f>FF162*VLOOKUP(L162,各项系数!$D$1:$F$143,2,0)</f>
        <v>0</v>
      </c>
      <c r="FH162" s="302">
        <f t="shared" si="651"/>
        <v>0.0948715463890162</v>
      </c>
      <c r="FI162" s="123">
        <v>1</v>
      </c>
      <c r="FJ162" s="251">
        <f t="shared" si="712"/>
        <v>0.0948715463890162</v>
      </c>
      <c r="FK162" s="339">
        <f>FJ162*VLOOKUP(L162,各项系数!$D$1:$F$143,2,0)</f>
        <v>1.09102278347369</v>
      </c>
      <c r="FL162" s="302"/>
      <c r="FM162" s="123"/>
      <c r="FN162" s="251"/>
      <c r="FO162" s="339"/>
      <c r="FP162" s="364">
        <f t="shared" si="713"/>
        <v>0.0948715463890162</v>
      </c>
      <c r="FQ162" s="364">
        <f t="shared" si="714"/>
        <v>1.09102278347369</v>
      </c>
      <c r="FR162" s="365">
        <f>各项系数!$F$76/4*($MQ162^2-$MN162^2*$EG162-$MO162^2*$EO162)*10^-2</f>
        <v>0.450884716032333</v>
      </c>
      <c r="FS162" s="366">
        <f t="shared" si="652"/>
        <v>1</v>
      </c>
      <c r="FT162" s="367">
        <f t="shared" si="604"/>
        <v>0.450884716032333</v>
      </c>
      <c r="FU162" s="388">
        <f>$FT162*(VLOOKUP($FT$9,各项系数!$D$1:$F$143,3,0))*10^-3*10^2*各项系数!$J$55</f>
        <v>0.0538356350942606</v>
      </c>
      <c r="FV162" s="389">
        <v>1</v>
      </c>
      <c r="FW162" s="390">
        <f t="shared" si="715"/>
        <v>0.0538356350942606</v>
      </c>
      <c r="FX162" s="367">
        <f>FW162*(VLOOKUP($FT$9,各项系数!$D$1:$F$143,2,0))</f>
        <v>0.161506905282782</v>
      </c>
      <c r="FY162" s="388">
        <f>IF($BK162&lt;&gt;$FY$9,0,各项系数!$F$76/4*($MS162^2-$MQ162^2)*10^-2*(VLOOKUP($FY$9,各项系数!$D$1:$F$143,3,0))*10^-3*10^2)*各项系数!$J$4</f>
        <v>0</v>
      </c>
      <c r="FZ162" s="389">
        <v>1</v>
      </c>
      <c r="GA162" s="390">
        <f t="shared" si="716"/>
        <v>0</v>
      </c>
      <c r="GB162" s="367">
        <f>GA162*(VLOOKUP($FY$9,各项系数!$D$1:$F$143,2,0))</f>
        <v>0</v>
      </c>
      <c r="GC162" s="388">
        <f>IF($BK162&lt;&gt;$GC$9,0,各项系数!$F$76/4*($MS162^2-$MQ162^2)*10^-2*(VLOOKUP($GC$9,各项系数!$D$1:$F$143,3,0))*10^-3*10^2)*各项系数!$J$4</f>
        <v>0.00388132284838074</v>
      </c>
      <c r="GD162" s="389">
        <v>1</v>
      </c>
      <c r="GE162" s="390">
        <f t="shared" si="717"/>
        <v>0.00388132284838074</v>
      </c>
      <c r="GF162" s="367">
        <f>GE162*(VLOOKUP($GC$9,各项系数!$D$1:$F$143,2,0))</f>
        <v>0.0500690647441115</v>
      </c>
      <c r="GG162" s="388">
        <f>IF($BK162&lt;&gt;$GG$9,0,各项系数!$F$76/4*($MS162^2-$MQ162^2)*10^-2*(VLOOKUP($GG$9,各项系数!$D$1:$F$143,3,0))*10^-3*10^2)*各项系数!$J$4</f>
        <v>0</v>
      </c>
      <c r="GH162" s="389">
        <v>1</v>
      </c>
      <c r="GI162" s="390">
        <f t="shared" si="718"/>
        <v>0</v>
      </c>
      <c r="GJ162" s="367">
        <f>GI162*(VLOOKUP($GG$9,各项系数!$D$1:$F$143,2,0))</f>
        <v>0</v>
      </c>
      <c r="GK162" s="388">
        <f>IF($BK162&lt;&gt;$GK$9,0,各项系数!$F$76/4*($MS162^2-$MQ162^2)*10^-2*(VLOOKUP($GK$9,各项系数!$D$1:$F$143,3,0))*10^-3*10^2)*各项系数!$J$4</f>
        <v>0</v>
      </c>
      <c r="GL162" s="389">
        <v>1</v>
      </c>
      <c r="GM162" s="390">
        <f t="shared" si="719"/>
        <v>0</v>
      </c>
      <c r="GN162" s="367">
        <f>GM162*(VLOOKUP($GK$9,各项系数!$D$1:$F$143,2,0))</f>
        <v>0</v>
      </c>
      <c r="GO162" s="390">
        <f t="shared" si="720"/>
        <v>0.00388132284838074</v>
      </c>
      <c r="GP162" s="390">
        <f t="shared" si="721"/>
        <v>0.0500690647441115</v>
      </c>
      <c r="GQ162" s="406">
        <f>各项系数!$F$76/4*($MU162^2-$MS162^2)*10^-2*(VLOOKUP($S162,各项系数!$D$1:$F$143,3,0))*10^-3*10^2*各项系数!$J$4</f>
        <v>0.219126087506731</v>
      </c>
      <c r="GR162" s="389">
        <v>1</v>
      </c>
      <c r="GS162" s="390">
        <f t="shared" si="722"/>
        <v>0.219126087506731</v>
      </c>
      <c r="GT162" s="390">
        <f t="shared" si="696"/>
        <v>0</v>
      </c>
      <c r="GU162" s="390">
        <f>ROUND($GS162*(VLOOKUP($S162,各项系数!$D$1:$F$143,2,0))+$E$3*GS162,GT162)</f>
        <v>1</v>
      </c>
      <c r="GV162" s="406">
        <f>各项系数!$F$76/4*($MT162^2-$MS162^2)*10^-2*(VLOOKUP($GV$9,各项系数!$D$1:$F$143,3,0))*10^-3*10^2*各项系数!$J$4*PI()/4*R162</f>
        <v>0.020142937820324</v>
      </c>
      <c r="GW162" s="389">
        <v>1</v>
      </c>
      <c r="GX162" s="390">
        <f t="shared" si="723"/>
        <v>0.020142937820324</v>
      </c>
      <c r="GY162" s="390">
        <f>$GX162*(VLOOKUP($GV$9,各项系数!$D$1:$F$143,2,0))</f>
        <v>1.35964830287187</v>
      </c>
      <c r="GZ162" s="406">
        <f>各项系数!$F$76/4*($MV162^2-$MS162^2)*10^-2*(VLOOKUP($GZ$9,各项系数!$D$1:$F$143,3,0))*10^-3*10^2*各项系数!$J$4</f>
        <v>0.131682659680559</v>
      </c>
      <c r="HA162" s="389">
        <v>1</v>
      </c>
      <c r="HB162" s="390">
        <f t="shared" si="653"/>
        <v>0.131682659680559</v>
      </c>
      <c r="HC162" s="390">
        <f>HB162*(VLOOKUP($GZ$9,各项系数!$D$1:$F$143,2,0))</f>
        <v>2.2386052145695</v>
      </c>
      <c r="HD162" s="406">
        <f>各项系数!$F$76/4*($MW162^2-$MT162^2)*10^-2*(VLOOKUP($HD$9,各项系数!$D$1:$F$143,3,0))*10^-3*10^2*各项系数!$J$4</f>
        <v>0.132988029127237</v>
      </c>
      <c r="HE162" s="389">
        <v>1</v>
      </c>
      <c r="HF162" s="390">
        <f t="shared" si="654"/>
        <v>0.132988029127237</v>
      </c>
      <c r="HG162" s="390">
        <f>HF162*(VLOOKUP($HD$9,各项系数!$D$1:$F$143,2,0))</f>
        <v>2.26079649516303</v>
      </c>
      <c r="HH162" s="406">
        <f>各项系数!$F$76/4*($MV162^2-$MS162^2)*10^-2*(VLOOKUP($HH$9,各项系数!$D$1:$F$143,3,0))*10^-3*10^2*各项系数!$J$4</f>
        <v>0.131682659680559</v>
      </c>
      <c r="HI162" s="420">
        <v>1</v>
      </c>
      <c r="HJ162" s="390">
        <f t="shared" si="655"/>
        <v>0.131682659680559</v>
      </c>
      <c r="HK162" s="390">
        <f>HJ162*(VLOOKUP($HH$9,各项系数!$D$1:$F$143,2,0))</f>
        <v>2.2386052145695</v>
      </c>
      <c r="HL162" s="406">
        <f>各项系数!$F$76/4*($MW162^2-$MT162^2)*10^-2*(VLOOKUP($HL$9,各项系数!$D$1:$F$143,3,0))*10^-3*10^2*各项系数!$J$4</f>
        <v>0.132988029127237</v>
      </c>
      <c r="HM162" s="420">
        <v>1</v>
      </c>
      <c r="HN162" s="390">
        <f t="shared" si="605"/>
        <v>0.132988029127237</v>
      </c>
      <c r="HO162" s="390">
        <f>HN162*(VLOOKUP($HL$9,各项系数!$D$1:$F$143,2,0))</f>
        <v>2.26079649516303</v>
      </c>
      <c r="HP162" s="406">
        <f>各项系数!$F$76/4*($MV162^2-$MS162^2)*10^-2*(VLOOKUP(AN162,各项系数!$D$1:$F$143,3,0))*10^-3*10^2*各项系数!$J$4</f>
        <v>0.133498972227877</v>
      </c>
      <c r="HQ162" s="389">
        <v>1</v>
      </c>
      <c r="HR162" s="390">
        <f t="shared" si="724"/>
        <v>0.133498972227877</v>
      </c>
      <c r="HS162" s="390">
        <f>HR162*(VLOOKUP(AN162,各项系数!$D$1:$F$143,2,0))</f>
        <v>1.33498972227877</v>
      </c>
      <c r="HT162" s="406">
        <f>各项系数!$F$76/4*($MW162^2-$MT162^2)*10^-2*(VLOOKUP(AN162,各项系数!$D$1:$F$143,3,0))*10^-3*10^2*各项系数!$J$4</f>
        <v>0.134822346770371</v>
      </c>
      <c r="HU162" s="389">
        <v>1</v>
      </c>
      <c r="HV162" s="390">
        <f t="shared" si="725"/>
        <v>0.134822346770371</v>
      </c>
      <c r="HW162" s="390">
        <f>HV162*(VLOOKUP(AN162,各项系数!$D$1:$F$143,2,0))</f>
        <v>1.34822346770371</v>
      </c>
      <c r="HX162" s="406">
        <f>各项系数!$F$76/4*($MV162^2-$MS162^2)*10^-2*(VLOOKUP($HX$9,各项系数!$D$1:$F$143,3,0))*10^-3*10^2*各项系数!$J$4</f>
        <v>0.133498972227877</v>
      </c>
      <c r="HY162" s="420">
        <v>1</v>
      </c>
      <c r="HZ162" s="390">
        <f t="shared" si="726"/>
        <v>0.133498972227877</v>
      </c>
      <c r="IA162" s="390">
        <f>HZ162*(VLOOKUP($HX$9,各项系数!$D$1:$F$143,2,0))</f>
        <v>1.46848869450664</v>
      </c>
      <c r="IB162" s="406">
        <f>各项系数!$F$76/4*($MW162^2-$MT162^2)*10^-2*(VLOOKUP($IB$9,各项系数!$D$1:$F$143,3,0))*10^-3*10^2*各项系数!$J$4</f>
        <v>0.134822346770371</v>
      </c>
      <c r="IC162" s="420">
        <v>1</v>
      </c>
      <c r="ID162" s="390">
        <f t="shared" si="727"/>
        <v>0.134822346770371</v>
      </c>
      <c r="IE162" s="390">
        <f>ID162*(VLOOKUP($IB$9,各项系数!$D$1:$F$143,2,0))</f>
        <v>1.48304581447409</v>
      </c>
      <c r="IF162" s="429"/>
      <c r="IG162" s="406">
        <f t="shared" si="656"/>
        <v>0.0532912955690152</v>
      </c>
      <c r="IH162" s="389">
        <v>1</v>
      </c>
      <c r="II162" s="390">
        <f t="shared" si="728"/>
        <v>0.0532912955690152</v>
      </c>
      <c r="IJ162" s="390">
        <f>II162*(VLOOKUP($IG$8,各项系数!$D$1:$F$143,2,0))</f>
        <v>1.33228238922538</v>
      </c>
      <c r="IK162" s="406">
        <f>(各项系数!$F$76/4*($MX162^2-$MK162^2)*$EG162)*10^-2*(VLOOKUP($IG$8,各项系数!$D$1:$F$143,3,0))*10^-3*10^2*各项系数!$J$4</f>
        <v>0.0532912955690152</v>
      </c>
      <c r="IL162" s="389">
        <f>IK162*(VLOOKUP($IG$8,各项系数!$D$1:$F$143,2,0))</f>
        <v>1.33228238922538</v>
      </c>
      <c r="IM162" s="390">
        <f>(各项系数!$F$76/4*(($MM162+3*$X162)^2-MM162^2)*$EO162)*10^-2*(VLOOKUP($IG$8,各项系数!$D$1:$F$143,3,0))*10^-3*10^2*各项系数!$J$4</f>
        <v>0</v>
      </c>
      <c r="IN162" s="389">
        <f>IM162*(VLOOKUP($IG$8,各项系数!$D$1:$F$143,2,0))</f>
        <v>0</v>
      </c>
      <c r="IO162" s="406">
        <f>各项系数!$F$76/4*($MZ162^2-$MX162^2)*10^-2*(VLOOKUP(L162,各项系数!$D$1:$F$143,3,0))*10^-3*10^2*$ES162*各项系数!$J$4</f>
        <v>0.128293505497937</v>
      </c>
      <c r="IP162" s="389">
        <v>1</v>
      </c>
      <c r="IQ162" s="390">
        <f t="shared" si="729"/>
        <v>0.128293505497937</v>
      </c>
      <c r="IR162" s="367">
        <f>IQ162*(VLOOKUP(L162,各项系数!$D$1:$F$143,2,0))</f>
        <v>1.47537531322628</v>
      </c>
      <c r="IS162" s="406">
        <f>IF($L162&lt;&gt;$IS$9,0,各项系数!$F$76/4*($MZ162^2-$MX162^2)*10^-2*各项系数!$F$12*10^-3*10^2)*$ES162*各项系数!$J$4</f>
        <v>0</v>
      </c>
      <c r="IT162" s="389">
        <v>1</v>
      </c>
      <c r="IU162" s="390">
        <f t="shared" si="730"/>
        <v>0</v>
      </c>
      <c r="IV162" s="367">
        <f>IU162*各项系数!$E$12</f>
        <v>0</v>
      </c>
      <c r="IW162" s="388">
        <f t="shared" si="731"/>
        <v>0.128293505497937</v>
      </c>
      <c r="IX162" s="388">
        <f t="shared" si="732"/>
        <v>1.47537531322628</v>
      </c>
      <c r="IY162" s="447">
        <f>各项系数!$F$76/4*($NB162^2-$MZ162^2*$EG162-$NA162^2*$EO162)*10^-2</f>
        <v>0.716406100761487</v>
      </c>
      <c r="IZ162" s="366">
        <f t="shared" si="697"/>
        <v>1</v>
      </c>
      <c r="JA162" s="367">
        <f t="shared" si="606"/>
        <v>0.716406100761487</v>
      </c>
      <c r="JB162" s="364">
        <f>IF($DE162&lt;&gt;$JB$9,0,$JA162*各项系数!$F$32*10^-3*10^2)*各项系数!$J$4</f>
        <v>0</v>
      </c>
      <c r="JC162" s="123">
        <v>1</v>
      </c>
      <c r="JD162" s="251">
        <f t="shared" si="733"/>
        <v>0</v>
      </c>
      <c r="JE162" s="339">
        <f>JD162*各项系数!$E$32</f>
        <v>0</v>
      </c>
      <c r="JF162" s="364">
        <f>IF($DE162&lt;&gt;$JF$9,0,$JA162*VLOOKUP($JF$9,各项系数!$D$4:$F$540,2,0)*10^-3*10^2)*各项系数!$J$4</f>
        <v>0.35641203512884</v>
      </c>
      <c r="JG162" s="123">
        <v>1</v>
      </c>
      <c r="JH162" s="251">
        <f t="shared" si="607"/>
        <v>0.35641203512884</v>
      </c>
      <c r="JI162" s="339">
        <f>JH162*VLOOKUP($JF$9,各项系数!$D$4:$F$540,3,0)</f>
        <v>0.427694442154608</v>
      </c>
      <c r="JJ162" s="364">
        <f t="shared" si="734"/>
        <v>0.35641203512884</v>
      </c>
      <c r="JK162" s="251">
        <f t="shared" si="735"/>
        <v>0.427694442154608</v>
      </c>
      <c r="JL162" s="364">
        <f>IF($DF162&lt;&gt;$JL$9,0,各项系数!$F$76/4*($NE162^2-$NC162^2)*10^-2*各项系数!$F$39*10^-3*10^2)*各项系数!$J$4</f>
        <v>0.00202269595811184</v>
      </c>
      <c r="JM162" s="123">
        <v>1</v>
      </c>
      <c r="JN162" s="251">
        <f t="shared" si="736"/>
        <v>0.00202269595811184</v>
      </c>
      <c r="JO162" s="339">
        <f>JN162*各项系数!$E$39</f>
        <v>0.0404539191622369</v>
      </c>
      <c r="JP162" s="364">
        <f>IF($DF162&lt;&gt;$JP$9,0,各项系数!$F$76/4*($NE162^2-$NC162^2)*10^-2*各项系数!$F$36*10^-3*10^2)*各项系数!$J$4</f>
        <v>0</v>
      </c>
      <c r="JQ162" s="123">
        <v>1</v>
      </c>
      <c r="JR162" s="251">
        <f t="shared" si="737"/>
        <v>0</v>
      </c>
      <c r="JS162" s="339">
        <f>JR162*各项系数!$E$36</f>
        <v>0</v>
      </c>
      <c r="JT162" s="364">
        <f>IF($DF162&lt;&gt;$JT$9,0,各项系数!$F$76/4*($NE162^2-$NC162^2)*10^-2*各项系数!$F$40*10^-3*10^2)*各项系数!$J$4</f>
        <v>0</v>
      </c>
      <c r="JU162" s="123">
        <v>1</v>
      </c>
      <c r="JV162" s="251">
        <f t="shared" si="738"/>
        <v>0</v>
      </c>
      <c r="JW162" s="339">
        <f>JV162*各项系数!$E$40</f>
        <v>0</v>
      </c>
      <c r="JX162" s="364">
        <f>IF($DF162&lt;&gt;$JX$9,0,各项系数!$F$76/4*($NE162^2-$NC162^2)*10^-2*各项系数!$F$38*10^-3*10^2)*各项系数!$J$4</f>
        <v>0</v>
      </c>
      <c r="JY162" s="123">
        <v>1</v>
      </c>
      <c r="JZ162" s="251">
        <f t="shared" si="739"/>
        <v>0</v>
      </c>
      <c r="KA162" s="339">
        <f>JZ162*各项系数!$E$38</f>
        <v>0</v>
      </c>
      <c r="KB162" s="364">
        <f>IF($DF162&lt;&gt;$KB$9,0,各项系数!$F$76/4*($NE162^2-$NC162^2)*10^-2*各项系数!$F$41*10^-3*10^2)*各项系数!$J$4</f>
        <v>0</v>
      </c>
      <c r="KC162" s="123">
        <v>1</v>
      </c>
      <c r="KD162" s="251">
        <f t="shared" si="740"/>
        <v>0</v>
      </c>
      <c r="KE162" s="339">
        <f>KD162*各项系数!$E$41</f>
        <v>0</v>
      </c>
      <c r="KF162" s="251">
        <f t="shared" si="741"/>
        <v>0.00202269595811184</v>
      </c>
      <c r="KG162" s="251">
        <f t="shared" si="742"/>
        <v>0.0404539191622369</v>
      </c>
      <c r="KH162" s="302">
        <f>各项系数!$F$76/4*($NG162^2-$NE162^2)*10^-2*各项系数!$F$44*10^-3*10^2*各项系数!$J$4*0.75*$U162</f>
        <v>0.822554085710435</v>
      </c>
      <c r="KI162" s="123">
        <v>1</v>
      </c>
      <c r="KJ162" s="251">
        <f t="shared" si="743"/>
        <v>0.822554085710435</v>
      </c>
      <c r="KK162" s="251">
        <f>ROUND(KJ162*各项系数!$E$43,GT162)</f>
        <v>5</v>
      </c>
      <c r="KL162" s="302">
        <f>各项系数!$F$76/4*($NF162^2-$NE162^2)*10^-2*各项系数!$F$46*10^-3*10^2*各项系数!$J$4*PI()/4*R162</f>
        <v>0.0253866499059969</v>
      </c>
      <c r="KM162" s="123">
        <v>1</v>
      </c>
      <c r="KN162" s="251">
        <f t="shared" si="744"/>
        <v>0.0253866499059969</v>
      </c>
      <c r="KO162" s="251">
        <f>KN162*各项系数!$E$46</f>
        <v>1.71359886865479</v>
      </c>
      <c r="KP162" s="302">
        <f>各项系数!$F$76/4*($NH162^2-$NE162^2)*10^-2*(VLOOKUP($KP$9,各项系数!$D$1:$F$143,3,0))*10^-3*10^2*各项系数!$J$4</f>
        <v>0.162309890323251</v>
      </c>
      <c r="KQ162" s="123">
        <v>1</v>
      </c>
      <c r="KR162" s="251">
        <f t="shared" si="657"/>
        <v>0.162309890323251</v>
      </c>
      <c r="KS162" s="251">
        <f>KR162*(VLOOKUP($KP$9,各项系数!$D$1:$F$143,2,0))</f>
        <v>2.75926813549526</v>
      </c>
      <c r="KT162" s="302">
        <f>各项系数!$F$76/4*($NI162^2-$NF162^2)*10^-2*(VLOOKUP($KT$9,各项系数!$D$1:$F$143,3,0))*10^-3*10^2*各项系数!$J$4</f>
        <v>0.163615259769929</v>
      </c>
      <c r="KU162" s="123">
        <v>1</v>
      </c>
      <c r="KV162" s="251">
        <f t="shared" si="658"/>
        <v>0.163615259769929</v>
      </c>
      <c r="KW162" s="251">
        <f>KV162*(VLOOKUP($KT$9,各项系数!$D$1:$F$143,2,0))</f>
        <v>2.78145941608879</v>
      </c>
      <c r="KX162" s="251">
        <f>各项系数!$F$76/4*($NH162^2-$NE162^2)*10^-2*(VLOOKUP($KX$9,各项系数!$D$1:$F$143,3,0))*10^-3*10^2*各项系数!$J$4</f>
        <v>0.162309890323251</v>
      </c>
      <c r="KY162" s="479">
        <v>1</v>
      </c>
      <c r="KZ162" s="251">
        <f t="shared" si="659"/>
        <v>0.162309890323251</v>
      </c>
      <c r="LA162" s="251">
        <f>KZ162*(VLOOKUP($KX$9,各项系数!$D$1:$F$143,2,0))</f>
        <v>2.75926813549526</v>
      </c>
      <c r="LB162" s="251">
        <f>各项系数!$F$76/4*($NI162^2-$NF162^2)*10^-2*(VLOOKUP($LB$9,各项系数!$D$1:$F$143,3,0))*10^-3*10^2*各项系数!$J$4</f>
        <v>0.163615259769929</v>
      </c>
      <c r="LC162" s="479">
        <v>1</v>
      </c>
      <c r="LD162" s="251">
        <f t="shared" si="660"/>
        <v>0.163615259769929</v>
      </c>
      <c r="LE162" s="251">
        <f>LD162*(VLOOKUP($LB$9,各项系数!$D$1:$F$143,2,0))</f>
        <v>2.78145941608879</v>
      </c>
      <c r="LF162" s="302">
        <f>各项系数!$F$76/4*($NH162^2-$NE162^2)*10^-2*(VLOOKUP(AN162,各项系数!$D$1:$F$143,3,0))*10^-3*10^2*各项系数!$J$4</f>
        <v>0.164548647431158</v>
      </c>
      <c r="LG162" s="123">
        <v>1</v>
      </c>
      <c r="LH162" s="251">
        <f t="shared" si="745"/>
        <v>0.164548647431158</v>
      </c>
      <c r="LI162" s="251">
        <f>LH162*(VLOOKUP(AN162,各项系数!$D$1:$F$143,2,0))</f>
        <v>1.64548647431158</v>
      </c>
      <c r="LJ162" s="302">
        <f>各项系数!$F$76/4*($NI162^2-$NF162^2)*10^-2*(VLOOKUP(AN162,各项系数!$D$1:$F$143,3,0))*10^-3*10^2*各项系数!$J$4</f>
        <v>0.165872021973652</v>
      </c>
      <c r="LK162" s="123">
        <v>1</v>
      </c>
      <c r="LL162" s="251">
        <f t="shared" si="746"/>
        <v>0.165872021973652</v>
      </c>
      <c r="LM162" s="251">
        <f>LL162*(VLOOKUP(AN162,各项系数!$D$1:$F$143,2,0))</f>
        <v>1.65872021973652</v>
      </c>
      <c r="LN162" s="251">
        <f>各项系数!$F$76/4*($NH162^2-$NE162^2)*10^-2*(VLOOKUP($LN$9,各项系数!$D$1:$F$143,3,0))*10^-3*10^2*各项系数!$J$4</f>
        <v>0.164548647431158</v>
      </c>
      <c r="LO162" s="479">
        <v>1</v>
      </c>
      <c r="LP162" s="251">
        <f t="shared" si="747"/>
        <v>0.164548647431158</v>
      </c>
      <c r="LQ162" s="251">
        <f>LP162*(VLOOKUP($LN$9,各项系数!$D$1:$F$143,2,0))</f>
        <v>1.81003512174273</v>
      </c>
      <c r="LR162" s="251">
        <f>各项系数!$F$76/4*($NI162^2-$NF162^2)*10^-2*(VLOOKUP($LR$9,各项系数!$D$1:$F$143,3,0))*10^-3*10^2*各项系数!$J$4</f>
        <v>0.165872021973652</v>
      </c>
      <c r="LS162" s="479">
        <v>1</v>
      </c>
      <c r="LT162" s="251">
        <f t="shared" si="748"/>
        <v>0.165872021973652</v>
      </c>
      <c r="LU162" s="251">
        <f>LT162*(VLOOKUP($LR$9,各项系数!$D$1:$F$143,2,0))</f>
        <v>1.82459224171017</v>
      </c>
      <c r="LV162" s="499">
        <f t="shared" si="661"/>
        <v>25.80656967</v>
      </c>
      <c r="LW162" s="499">
        <f t="shared" si="662"/>
        <v>25.80656967</v>
      </c>
      <c r="LX162" s="499">
        <f t="shared" si="663"/>
        <v>5.7321850125242</v>
      </c>
      <c r="LY162" s="515">
        <f t="shared" si="664"/>
        <v>0</v>
      </c>
      <c r="LZ162" s="516">
        <f t="shared" si="608"/>
        <v>1</v>
      </c>
      <c r="MA162" s="517">
        <f t="shared" si="609"/>
        <v>25.80656967</v>
      </c>
      <c r="MB162" s="517">
        <f t="shared" si="665"/>
        <v>1.10315952</v>
      </c>
      <c r="MC162" s="499">
        <f t="shared" si="666"/>
        <v>0</v>
      </c>
      <c r="MD162" s="499">
        <f t="shared" si="667"/>
        <v>0</v>
      </c>
      <c r="ME162" s="499">
        <f t="shared" si="668"/>
        <v>0</v>
      </c>
      <c r="MF162" s="499">
        <f t="shared" si="669"/>
        <v>0</v>
      </c>
      <c r="MG162" s="516">
        <f t="shared" si="670"/>
        <v>1</v>
      </c>
      <c r="MH162" s="517">
        <f t="shared" si="610"/>
        <v>0</v>
      </c>
      <c r="MI162" s="517">
        <f t="shared" si="671"/>
        <v>0</v>
      </c>
      <c r="MJ162" s="251">
        <f t="shared" si="611"/>
        <v>1.10315952</v>
      </c>
      <c r="MK162" s="251">
        <f t="shared" si="672"/>
        <v>1.10315952</v>
      </c>
      <c r="ML162" s="251">
        <f t="shared" si="749"/>
        <v>0</v>
      </c>
      <c r="MM162" s="251">
        <f t="shared" si="612"/>
        <v>0</v>
      </c>
      <c r="MN162" s="251">
        <f t="shared" si="613"/>
        <v>2.30315952</v>
      </c>
      <c r="MO162" s="251">
        <f t="shared" si="673"/>
        <v>0</v>
      </c>
      <c r="MP162" s="251">
        <f t="shared" si="674"/>
        <v>14.16443105</v>
      </c>
      <c r="MQ162" s="251">
        <f t="shared" si="750"/>
        <v>14.16443105</v>
      </c>
      <c r="MR162" s="314">
        <f t="shared" si="675"/>
        <v>14.16443105</v>
      </c>
      <c r="MS162" s="530">
        <f t="shared" si="614"/>
        <v>14.34043105</v>
      </c>
      <c r="MT162" s="530">
        <f t="shared" si="615"/>
        <v>14.50043105</v>
      </c>
      <c r="MU162" s="530">
        <f t="shared" si="616"/>
        <v>15.54043105</v>
      </c>
      <c r="MV162" s="530">
        <f t="shared" si="617"/>
        <v>17.94043105</v>
      </c>
      <c r="MW162" s="530">
        <f t="shared" si="618"/>
        <v>18.10043105</v>
      </c>
      <c r="MX162" s="326">
        <f t="shared" si="619"/>
        <v>1.70315952</v>
      </c>
      <c r="MY162" s="326">
        <f t="shared" si="620"/>
        <v>0</v>
      </c>
      <c r="MZ162" s="251">
        <f t="shared" si="621"/>
        <v>2.90315952</v>
      </c>
      <c r="NA162" s="251">
        <f t="shared" si="622"/>
        <v>0</v>
      </c>
      <c r="NB162" s="251">
        <f t="shared" si="676"/>
        <v>17.85443105</v>
      </c>
      <c r="NC162" s="326">
        <f t="shared" si="751"/>
        <v>17.85443105</v>
      </c>
      <c r="ND162" s="314">
        <f t="shared" si="677"/>
        <v>17.85443105</v>
      </c>
      <c r="NE162" s="537">
        <f t="shared" si="678"/>
        <v>18.09443105</v>
      </c>
      <c r="NF162" s="530">
        <f t="shared" si="623"/>
        <v>18.25443105</v>
      </c>
      <c r="NG162" s="538">
        <f t="shared" si="624"/>
        <v>19.29443105</v>
      </c>
      <c r="NH162" s="326">
        <f t="shared" si="625"/>
        <v>21.69443105</v>
      </c>
      <c r="NI162" s="530">
        <f t="shared" si="626"/>
        <v>21.85443105</v>
      </c>
      <c r="NK162" s="539">
        <f t="shared" si="627"/>
        <v>0.514360777287644</v>
      </c>
      <c r="NL162" s="539">
        <f t="shared" si="628"/>
        <v>17.5894896734705</v>
      </c>
      <c r="NM162" s="539">
        <f t="shared" si="629"/>
        <v>0.514360777287644</v>
      </c>
      <c r="NN162" s="539">
        <f t="shared" si="630"/>
        <v>17.7229886456984</v>
      </c>
      <c r="NO162" s="539">
        <f t="shared" si="631"/>
        <v>0.932841480313172</v>
      </c>
      <c r="NP162" s="539">
        <f t="shared" si="632"/>
        <v>19.8731937357713</v>
      </c>
      <c r="NQ162" s="539">
        <f t="shared" si="633"/>
        <v>0.932841480313172</v>
      </c>
      <c r="NR162" s="539">
        <f t="shared" si="634"/>
        <v>20.0377423832024</v>
      </c>
      <c r="NS162" s="539">
        <f t="shared" si="635"/>
        <v>0.534503715107968</v>
      </c>
      <c r="NT162" s="539">
        <f t="shared" si="636"/>
        <v>0.534503715107968</v>
      </c>
      <c r="NU162" s="539">
        <f t="shared" si="637"/>
        <v>0.958228130219169</v>
      </c>
      <c r="NV162" s="539">
        <f t="shared" si="638"/>
        <v>0.958228130219169</v>
      </c>
      <c r="NW162">
        <f t="shared" si="639"/>
        <v>0.733486864794375</v>
      </c>
      <c r="NX162">
        <f>各项系数!$M$9*NK162</f>
        <v>0.154308233186293</v>
      </c>
      <c r="NY162">
        <f t="shared" si="640"/>
        <v>0.534503715107968</v>
      </c>
    </row>
    <row r="163" customHeight="1" spans="1:389">
      <c r="A163" s="85"/>
      <c r="B163" s="86"/>
      <c r="C163" s="218"/>
      <c r="D163" s="123" t="s">
        <v>306</v>
      </c>
      <c r="E163" s="77">
        <f t="shared" si="687"/>
        <v>18.53925252</v>
      </c>
      <c r="F163" s="558">
        <f t="shared" si="693"/>
        <v>110.31595161029</v>
      </c>
      <c r="G163" s="23"/>
      <c r="H163" s="23"/>
      <c r="I163" s="174">
        <v>0</v>
      </c>
      <c r="J163" s="23"/>
      <c r="K163" s="23"/>
      <c r="L163" s="118" t="s">
        <v>469</v>
      </c>
      <c r="M163" s="124">
        <f t="shared" si="582"/>
        <v>0.6</v>
      </c>
      <c r="N163" s="124">
        <f t="shared" si="583"/>
        <v>0</v>
      </c>
      <c r="O163" s="69">
        <f t="shared" si="703"/>
        <v>0.08</v>
      </c>
      <c r="P163" s="120">
        <v>0.1</v>
      </c>
      <c r="Q163" s="162">
        <f t="shared" si="700"/>
        <v>0.1</v>
      </c>
      <c r="R163" s="560">
        <v>0.8</v>
      </c>
      <c r="S163" s="171" t="str">
        <f>各项系数!$D$43</f>
        <v>钢带</v>
      </c>
      <c r="T163" s="123">
        <v>0.2</v>
      </c>
      <c r="U163" s="78">
        <v>4</v>
      </c>
      <c r="V163" s="172"/>
      <c r="W163" s="170">
        <f t="shared" si="752"/>
        <v>1.8</v>
      </c>
      <c r="X163" s="164">
        <f t="shared" si="701"/>
        <v>0.2</v>
      </c>
      <c r="Y163" s="219"/>
      <c r="Z163" s="220"/>
      <c r="AA163" s="217">
        <v>1</v>
      </c>
      <c r="AB163" s="186">
        <f>PI()*EJ163*EJ163/4*EH163*(1-H163)*AA163*各项系数!$F$5*各项系数!$J$4*10^-7</f>
        <v>0.0084545666936337</v>
      </c>
      <c r="AC163" s="186">
        <f t="shared" si="704"/>
        <v>110.31595161029</v>
      </c>
      <c r="AD163" s="186">
        <f t="shared" si="584"/>
        <v>0.955798869898841</v>
      </c>
      <c r="AE163" s="186">
        <f>POWER(4*EU163/PI()/EG163/10^-7/EH163/(1-H163)/各项系数!$F$5/各项系数!$J$4,0.5)</f>
        <v>110.31595161029</v>
      </c>
      <c r="AF163" s="218">
        <v>1</v>
      </c>
      <c r="AG163" s="85">
        <f>IF(EM163=0,0,PI()*ER163*ER163/4*EP163*(1-K163)*(1+AF163)*各项系数!$F$5*各项系数!$J$4*10^-7)</f>
        <v>0</v>
      </c>
      <c r="AH163" s="85">
        <f t="shared" si="705"/>
        <v>0</v>
      </c>
      <c r="AI163" s="85">
        <f t="shared" si="641"/>
        <v>0</v>
      </c>
      <c r="AJ163" s="85">
        <f>IF(OR(EP163="",EP163=0),0,POWER(4*EW163/PI()/EO163/10^-7/EP163/(1-K163)/各项系数!$F$5/各项系数!$J$4,0.5))</f>
        <v>0</v>
      </c>
      <c r="AK163" s="85" t="str">
        <f t="shared" si="585"/>
        <v>√</v>
      </c>
      <c r="AL163" s="85">
        <f t="shared" si="706"/>
        <v>21.348495775361</v>
      </c>
      <c r="AM163" s="250">
        <f t="shared" si="707"/>
        <v>1</v>
      </c>
      <c r="AN163" s="118" t="s">
        <v>486</v>
      </c>
      <c r="AO163" s="259">
        <f>AP163+各项系数!$M$9*$NK163</f>
        <v>20.9298978189814</v>
      </c>
      <c r="AP163" s="259">
        <f>AQ163*(1+$BI163+(VLOOKUP($AM163,$A$12:$B$323,2,0))+各项系数!$J$6+各项系数!$M$5)*(1+$E$2)</f>
        <v>20.7628869347038</v>
      </c>
      <c r="AQ163" s="260">
        <f>AR163+各项系数!$L$9*$NK163</f>
        <v>20.3717493472369</v>
      </c>
      <c r="AR163" s="260">
        <f>AS163*(1+$BJ163+各项系数!$J$5+各项系数!$L$5)</f>
        <v>20.2047384629593</v>
      </c>
      <c r="AS163" s="260">
        <f t="shared" si="642"/>
        <v>19.4276331374609</v>
      </c>
      <c r="AT163" s="259">
        <f>AU163+各项系数!$M$9*$NM163</f>
        <v>21.9232365163201</v>
      </c>
      <c r="AU163" s="259">
        <f>AV163*(1+$BI163+(VLOOKUP($AM163,$A$12:$B$323,2,0))+各项系数!$J$6+各项系数!$M$5)*(1+$E$2)</f>
        <v>21.7562256320425</v>
      </c>
      <c r="AV163" s="260">
        <f>AW163+各项系数!$L$9*$NM163</f>
        <v>21.3463752276712</v>
      </c>
      <c r="AW163" s="260">
        <f>AX163*(1+$BJ163+各项系数!$J$5+各项系数!$L$5)</f>
        <v>21.1793643433937</v>
      </c>
      <c r="AX163" s="260">
        <f t="shared" si="643"/>
        <v>20.3647734071093</v>
      </c>
      <c r="AY163" s="259">
        <f>AZ163+各项系数!$M$9*$NS163</f>
        <v>22.457663793297</v>
      </c>
      <c r="AZ163" s="259">
        <f>BA163*(1+$BI163+(VLOOKUP($AM163,$A$12:$B$214,2,0))+各项系数!$J$6+各项系数!$M$5)*(1+$E$2)</f>
        <v>22.2843590915482</v>
      </c>
      <c r="BA163" s="260">
        <f>BB163+各项系数!$L$9*$NS163</f>
        <v>21.8645595482223</v>
      </c>
      <c r="BB163" s="260">
        <f>BC163*(1+$BJ163+各项系数!$J$5+各项系数!$L$5)</f>
        <v>21.6912548464735</v>
      </c>
      <c r="BC163" s="262">
        <f t="shared" si="644"/>
        <v>20.8569758139169</v>
      </c>
      <c r="BD163" s="259">
        <f>BE163+各项系数!$M$9*$NS163</f>
        <v>23.4604971912733</v>
      </c>
      <c r="BE163" s="259">
        <f>BF163*(1+$BI163+(VLOOKUP($AM163,$A$12:$B$214,2,0))+各项系数!$J$6+各项系数!$M$5)*(1+$E$2)</f>
        <v>23.2871924895245</v>
      </c>
      <c r="BF163" s="260">
        <f>BG163+各项系数!$L$9*$NS163</f>
        <v>22.848501265232</v>
      </c>
      <c r="BG163" s="260">
        <f>BH163*(1+$BJ163+各项系数!$J$5+各项系数!$L$5)</f>
        <v>22.6751965634832</v>
      </c>
      <c r="BH163" s="262">
        <f t="shared" si="645"/>
        <v>21.8030736187339</v>
      </c>
      <c r="BI163" s="277"/>
      <c r="BJ163" s="272">
        <f t="shared" si="695"/>
        <v>0.02</v>
      </c>
      <c r="BK163" s="123" t="s">
        <v>514</v>
      </c>
      <c r="BL163" s="259">
        <f>BM163+各项系数!$M$9*$NM163</f>
        <v>21.2760699187849</v>
      </c>
      <c r="BM163" s="259">
        <f>BN163*(1+$CF163+(VLOOKUP($AM163,$A$12:$B$323,2,0))+各项系数!$J$6+各项系数!$M$5)*(1+$E$2)</f>
        <v>21.1090590345073</v>
      </c>
      <c r="BN163" s="260">
        <f>BO163+各项系数!$L$9*$NM163</f>
        <v>20.7114001515967</v>
      </c>
      <c r="BO163" s="260">
        <f>BP163*(1+$CG163+各项系数!$J$5+各项系数!$L$5)</f>
        <v>20.5443892673191</v>
      </c>
      <c r="BP163" s="260">
        <f t="shared" si="646"/>
        <v>19.5660850164944</v>
      </c>
      <c r="BQ163" s="259">
        <f>BR163+各项系数!$M$9*$NM163</f>
        <v>22.1307942868853</v>
      </c>
      <c r="BR163" s="259">
        <f>BS163*(1+$CF163+(VLOOKUP($AM163,$A$12:$B$323,2,0))+各项系数!$J$6+各项系数!$M$5)*(1+$E$2)</f>
        <v>21.9637834026078</v>
      </c>
      <c r="BS163" s="260">
        <f>BT163+各项系数!$L$9*$NM163</f>
        <v>21.5500229617423</v>
      </c>
      <c r="BT163" s="260">
        <f>BU163*(1+$CG163+各项系数!$J$5+各项系数!$L$5)</f>
        <v>21.3830120774648</v>
      </c>
      <c r="BU163" s="260">
        <f t="shared" si="647"/>
        <v>20.3647734071093</v>
      </c>
      <c r="BV163" s="259">
        <f>BW163+各项系数!$M$9*$NT163</f>
        <v>22.6516098846325</v>
      </c>
      <c r="BW163" s="259">
        <f>BX163*(1+$CF163+(VLOOKUP($AM163,$A$12:$B$214,2,0))+各项系数!$J$6+各项系数!$M$5)*(1+$E$2)</f>
        <v>22.4783051828837</v>
      </c>
      <c r="BX163" s="260">
        <f>BY163+各项系数!$L$9*$NT$12</f>
        <v>22.0548520240225</v>
      </c>
      <c r="BY163" s="260">
        <f>BZ163*(1+$CG163+各项系数!$J$5+各项系数!$L$5)</f>
        <v>22.0465886208675</v>
      </c>
      <c r="BZ163" s="262">
        <f t="shared" si="586"/>
        <v>20.9967510674928</v>
      </c>
      <c r="CA163" s="259">
        <f>CB163+各项系数!$M$9*$NT163</f>
        <v>23.5145040260686</v>
      </c>
      <c r="CB163" s="259">
        <f>CC163*(1+$CF163+(VLOOKUP($AM163,$A$12:$B$214,2,0))+各项系数!$J$6+各项系数!$M$5)*(1+$E$2)</f>
        <v>23.3411993243198</v>
      </c>
      <c r="CC163" s="260">
        <f>CD163+各项系数!$L$9*$NT$12</f>
        <v>22.9014907028255</v>
      </c>
      <c r="CD163" s="260">
        <f>CE163*(1+$CG163+各项系数!$J$5+各项系数!$L$5)</f>
        <v>22.8932272996706</v>
      </c>
      <c r="CE163" s="262">
        <f t="shared" si="648"/>
        <v>21.8030736187339</v>
      </c>
      <c r="CF163" s="277">
        <f t="shared" si="753"/>
        <v>0</v>
      </c>
      <c r="CG163" s="277">
        <f t="shared" si="587"/>
        <v>0.03</v>
      </c>
      <c r="CH163" s="123"/>
      <c r="CI163" s="259">
        <f>CJ163+各项系数!$M$9*$NO163</f>
        <v>24.0044768956315</v>
      </c>
      <c r="CJ163" s="259">
        <f>CK163*(1+$DC163+(VLOOKUP($AM163,$A$12:$B$323,2,0))+各项系数!$J$6+各项系数!$M$5)*(1+$E$2)+各项系数!$M$9*$NK163</f>
        <v>23.7064400115077</v>
      </c>
      <c r="CK163" s="260">
        <f>CL163+各项系数!$L$9*$NO163</f>
        <v>23.0959861923372</v>
      </c>
      <c r="CL163" s="260">
        <f>CM163*(1+$DD163+各项系数!$J$5+各项系数!$L$5)</f>
        <v>22.7979493082135</v>
      </c>
      <c r="CM163" s="260">
        <f t="shared" si="588"/>
        <v>21.9211051040514</v>
      </c>
      <c r="CN163" s="259">
        <f>CO163+各项系数!$M$9*$NO163</f>
        <v>24.6550223087076</v>
      </c>
      <c r="CO163" s="259">
        <f>CP163*(1+$DC163+(VLOOKUP($AM163,$A$12:$B$323,2,0))+各项系数!$J$6+各项系数!$M$5)*(1+$E$2)+各项系数!$M$9*$NK163</f>
        <v>24.3569854245838</v>
      </c>
      <c r="CP163" s="260">
        <f>CQ163+各项系数!$L$9*$NO163</f>
        <v>23.7342764327966</v>
      </c>
      <c r="CQ163" s="260">
        <f>CR163*(1+$DD163+各项系数!$J$5+各项系数!$L$5)</f>
        <v>23.4362395486728</v>
      </c>
      <c r="CR163" s="260">
        <f t="shared" si="589"/>
        <v>22.5348457198777</v>
      </c>
      <c r="CS163" s="259">
        <f>CT163+各项系数!$M$9*$NU163</f>
        <v>25.7593073916333</v>
      </c>
      <c r="CT163" s="259">
        <f t="shared" si="590"/>
        <v>25.4533382046157</v>
      </c>
      <c r="CU163" s="260">
        <f>CV163+各项系数!$L$9*$NU163</f>
        <v>24.9738404676371</v>
      </c>
      <c r="CV163" s="260">
        <f>CW163*(1+$DD163+各项系数!$J$5+各项系数!$L$5)</f>
        <v>24.6678712806194</v>
      </c>
      <c r="CW163" s="262">
        <f t="shared" si="591"/>
        <v>23.7191070005956</v>
      </c>
      <c r="CX163" s="259">
        <f>CY163+各项系数!$M$9*$NU163</f>
        <v>26.9941675364404</v>
      </c>
      <c r="CY163" s="259">
        <f t="shared" si="592"/>
        <v>26.6881983494227</v>
      </c>
      <c r="CZ163" s="260">
        <f>DA163+各项系数!$L$9*$NU163</f>
        <v>26.1854379409564</v>
      </c>
      <c r="DA163" s="260">
        <f>DB163*(1+$DD163+各项系数!$J$5+各项系数!$L$5)</f>
        <v>25.8794687539387</v>
      </c>
      <c r="DB163" s="262">
        <f t="shared" si="593"/>
        <v>24.8841045710949</v>
      </c>
      <c r="DC163" s="277">
        <f t="shared" si="698"/>
        <v>0</v>
      </c>
      <c r="DD163" s="277">
        <f t="shared" si="594"/>
        <v>0.02</v>
      </c>
      <c r="DE163" s="69" t="s">
        <v>498</v>
      </c>
      <c r="DF163" s="69" t="s">
        <v>513</v>
      </c>
      <c r="DG163" s="259">
        <f>DH163+各项系数!$M$9*$NQ163</f>
        <v>24.4106713990719</v>
      </c>
      <c r="DH163" s="259">
        <f>DI163*(1+$EA163+(VLOOKUP($AM163,$A$12:$B$323,2,0))+各项系数!$J$6+各项系数!$M$5)*(1+$E$2)+各项系数!$M$9*$NK163</f>
        <v>24.1126345149481</v>
      </c>
      <c r="DI163" s="260">
        <f>DJ163+各项系数!$L$9*$NQ163</f>
        <v>23.4945286800142</v>
      </c>
      <c r="DJ163" s="260">
        <f>DK163*(1+$EB163+各项系数!$J$5+各项系数!$L$5)</f>
        <v>23.1964917958905</v>
      </c>
      <c r="DK163" s="260">
        <f t="shared" si="595"/>
        <v>22.0918969484671</v>
      </c>
      <c r="DL163" s="259">
        <f>DM163+各项系数!$M$9*$NQ163</f>
        <v>25.4650446030615</v>
      </c>
      <c r="DM163" s="259">
        <f>DN163*(1+$EA163+(VLOOKUP($AM163,$A$12:$B$323,2,0))+各项系数!$J$6+各项系数!$M$5)*(1+$E$2)+各项系数!$M$9*$NK163</f>
        <v>25.1670077189377</v>
      </c>
      <c r="DN163" s="260">
        <f>DO163+各项系数!$L$9*$NQ163</f>
        <v>24.529039280475</v>
      </c>
      <c r="DO163" s="260">
        <f>DP163*(1+$EB163+各项系数!$J$5+各项系数!$L$5)</f>
        <v>24.2310023963512</v>
      </c>
      <c r="DP163" s="260">
        <f t="shared" si="596"/>
        <v>23.0771451393821</v>
      </c>
      <c r="DQ163" s="259">
        <f>DR163+各项系数!$M$9*$NV163</f>
        <v>26.1852433529037</v>
      </c>
      <c r="DR163" s="259">
        <f t="shared" si="597"/>
        <v>25.8792741658861</v>
      </c>
      <c r="DS163" s="260">
        <f>DT163+各项系数!$L$9*$NV163</f>
        <v>25.3917525175491</v>
      </c>
      <c r="DT163" s="260">
        <f>DU163*(1+$EB163+各项系数!$J$5+各项系数!$L$5)</f>
        <v>25.0857833305315</v>
      </c>
      <c r="DU163" s="262">
        <f t="shared" si="598"/>
        <v>23.8912222195538</v>
      </c>
      <c r="DV163" s="259">
        <f>DW163+各项系数!$M$9*$NV163</f>
        <v>25.4934667244487</v>
      </c>
      <c r="DW163" s="259">
        <f t="shared" si="599"/>
        <v>25.1874975374311</v>
      </c>
      <c r="DX163" s="260">
        <f>DY163+各项系数!$L$9*$NV163</f>
        <v>24.7130077879033</v>
      </c>
      <c r="DY163" s="260">
        <f>DZ163*(1+$EB163+各项系数!$J$5+各项系数!$L$5)</f>
        <v>24.4070386008857</v>
      </c>
      <c r="DZ163" s="262">
        <f t="shared" si="600"/>
        <v>23.2447986675102</v>
      </c>
      <c r="EA163" s="277">
        <f t="shared" si="699"/>
        <v>0</v>
      </c>
      <c r="EB163" s="277">
        <f t="shared" si="601"/>
        <v>0.03</v>
      </c>
      <c r="EC163" s="302">
        <f t="shared" si="649"/>
        <v>30</v>
      </c>
      <c r="ED163" s="302" t="str">
        <f t="shared" si="708"/>
        <v>30*1</v>
      </c>
      <c r="EE163" s="251">
        <f t="shared" si="709"/>
        <v>1</v>
      </c>
      <c r="EF163" s="251">
        <f>LOOKUP(EH163,{1,7,10,14,19,24,30,37,48,61},{1,"1+6","2+8","4+10","1+6+12","2+8+14","4+10+16","1+6+12+18","3+9+15+21","1+6+12+18+24"})</f>
        <v>1</v>
      </c>
      <c r="EG163" s="250">
        <f t="shared" si="602"/>
        <v>30</v>
      </c>
      <c r="EH163" s="260">
        <f>VLOOKUP(EE163,各项系数!$B$87:$C$124,2,0)</f>
        <v>1</v>
      </c>
      <c r="EI163" s="250">
        <f>IF(EH163=0,0,VLOOKUP(EH163,各项系数!$D$142:$E$195,2,0))*1</f>
        <v>1</v>
      </c>
      <c r="EJ163" s="305">
        <f t="shared" si="650"/>
        <v>110.31595161029</v>
      </c>
      <c r="EK163" s="251">
        <f t="shared" si="689"/>
        <v>0</v>
      </c>
      <c r="EL163" s="251">
        <f t="shared" si="603"/>
        <v>0</v>
      </c>
      <c r="EM163" s="251">
        <f t="shared" si="690"/>
        <v>0</v>
      </c>
      <c r="EN163" s="251">
        <f>IF(EP163=0,0,LOOKUP(EP163,{1,7,10,14,19,24,30,37,48,61},{1,"1+6","2+8","4+10","1+6+12","2+8+14","4+10+16","1+6+12+18","3+9+15+21","1+6+12+18+24"}))</f>
        <v>0</v>
      </c>
      <c r="EO163" s="251">
        <f t="shared" si="691"/>
        <v>0</v>
      </c>
      <c r="EP163" s="251">
        <f>IF(EM163=0,0,IF(EM163&lt;10,1,IF(AND(EM163&gt;=10,EM163&lt;=35),7,LOOKUP(EM163,{50,70,95,120,150,185,240,300},{10,14,19,24,30,37,48,61})*1)))</f>
        <v>0</v>
      </c>
      <c r="EQ163" s="251">
        <f>IF(EP163=0,0,VLOOKUP(EP163,各项系数!$D$142:$E$195,2,0))*1</f>
        <v>0</v>
      </c>
      <c r="ER163" s="69">
        <f t="shared" si="710"/>
        <v>0</v>
      </c>
      <c r="ES163" s="566">
        <f t="shared" si="692"/>
        <v>30</v>
      </c>
      <c r="ET163" s="251">
        <f>VLOOKUP(ES163,各项系数!$D$142:$E$195,2,0)*1</f>
        <v>6.41</v>
      </c>
      <c r="EU163" s="311">
        <f>((各项系数!$F$76/4*$EJ163^2*$EG163*$EH163*1*10^-7)*(1-$H163)*AA163)*(VLOOKUP($EY$9,各项系数!$D$4:$F$143,3,0))*各项系数!$J$4</f>
        <v>0.253637000809011</v>
      </c>
      <c r="EV163" s="312">
        <f>EU163*(VLOOKUP($EY$9,各项系数!$D$4:$F$143,2,0))</f>
        <v>16.6132235529902</v>
      </c>
      <c r="EW163" s="324">
        <f>(IF($EO163=0,0,(各项系数!$F$76/4*$ER163^2*$EO163*$EP163*1*10^-7))*(1-$K163)*$AF163)*(VLOOKUP($EY$9,各项系数!$D$4:$F$143,3,0))*各项系数!$J$4</f>
        <v>0</v>
      </c>
      <c r="EX163" s="325">
        <f>EW163*(VLOOKUP($EY$9,各项系数!$D$4:$F$143,2,0))</f>
        <v>0</v>
      </c>
      <c r="EY163" s="251">
        <f>((各项系数!$F$76/4*$EJ163^2*$EG163*$EH163*1*10^-7)*(1-$H163)*AA163+IF($EO163=0,0,(各项系数!$F$76/4*$ER163^2*$EO163*$EP163*1*10^-7))*(1-$K163)*$AF163)*(VLOOKUP($EY$9,各项系数!$D$4:$F$143,3,0))*各项系数!$J$4</f>
        <v>0.253637000809011</v>
      </c>
      <c r="EZ163" s="123">
        <v>1</v>
      </c>
      <c r="FA163" s="251">
        <f t="shared" si="711"/>
        <v>0.253637000809011</v>
      </c>
      <c r="FB163" s="326">
        <f>FA163*(VLOOKUP($EY$9,各项系数!$D$4:$F$143,2,0))</f>
        <v>16.6132235529902</v>
      </c>
      <c r="FC163" s="327"/>
      <c r="FD163" s="302">
        <f>各项系数!$F$76/4*($MN163^2-MK163^2)*10^-2*(VLOOKUP(L163,各项系数!$D$1:$F$143,3,0))*10^-3*10^2*$EG163*各项系数!$J$4</f>
        <v>0.105412829321129</v>
      </c>
      <c r="FE163" s="339">
        <f>FD163*VLOOKUP(L163,各项系数!$D$1:$F$143,2,0)</f>
        <v>1.21224753719299</v>
      </c>
      <c r="FF163" s="250">
        <f>各项系数!$F$76/4*($MO163^2-ML163^2)*10^-2*(VLOOKUP(L163,各项系数!$D$1:$F$143,3,0))*10^-3*10^2*$EO163*各项系数!$J$4</f>
        <v>0</v>
      </c>
      <c r="FG163" s="339">
        <f>FF163*VLOOKUP(L163,各项系数!$D$1:$F$143,2,0)</f>
        <v>0</v>
      </c>
      <c r="FH163" s="302">
        <f t="shared" si="651"/>
        <v>0.105412829321129</v>
      </c>
      <c r="FI163" s="123">
        <v>1</v>
      </c>
      <c r="FJ163" s="251">
        <f t="shared" si="712"/>
        <v>0.105412829321129</v>
      </c>
      <c r="FK163" s="339">
        <f>FJ163*VLOOKUP(L163,各项系数!$D$1:$F$143,2,0)</f>
        <v>1.21224753719299</v>
      </c>
      <c r="FL163" s="302"/>
      <c r="FM163" s="123"/>
      <c r="FN163" s="251"/>
      <c r="FO163" s="339"/>
      <c r="FP163" s="364">
        <f t="shared" si="713"/>
        <v>0.105412829321129</v>
      </c>
      <c r="FQ163" s="364">
        <f t="shared" si="714"/>
        <v>1.21224753719299</v>
      </c>
      <c r="FR163" s="365">
        <f>各项系数!$F$76/4*($MQ163^2-$MN163^2*$EG163-$MO163^2*$EO163)*10^-2</f>
        <v>0.461950086105137</v>
      </c>
      <c r="FS163" s="366">
        <f t="shared" si="652"/>
        <v>1</v>
      </c>
      <c r="FT163" s="367">
        <f t="shared" si="604"/>
        <v>0.461950086105137</v>
      </c>
      <c r="FU163" s="388">
        <f>$FT163*(VLOOKUP($FT$9,各项系数!$D$1:$F$143,3,0))*10^-3*10^2*各项系数!$J$55</f>
        <v>0.0551568402809533</v>
      </c>
      <c r="FV163" s="389">
        <v>1</v>
      </c>
      <c r="FW163" s="390">
        <f t="shared" si="715"/>
        <v>0.0551568402809533</v>
      </c>
      <c r="FX163" s="367">
        <f>FW163*(VLOOKUP($FT$9,各项系数!$D$1:$F$143,2,0))</f>
        <v>0.16547052084286</v>
      </c>
      <c r="FY163" s="388">
        <f>IF($BK163&lt;&gt;$FY$9,0,各项系数!$F$76/4*($MS163^2-$MQ163^2)*10^-2*(VLOOKUP($FY$9,各项系数!$D$1:$F$143,3,0))*10^-3*10^2)*各项系数!$J$4</f>
        <v>0</v>
      </c>
      <c r="FZ163" s="389">
        <v>1</v>
      </c>
      <c r="GA163" s="390">
        <f t="shared" si="716"/>
        <v>0</v>
      </c>
      <c r="GB163" s="367">
        <f>GA163*(VLOOKUP($FY$9,各项系数!$D$1:$F$143,2,0))</f>
        <v>0</v>
      </c>
      <c r="GC163" s="388">
        <f>IF($BK163&lt;&gt;$GC$9,0,各项系数!$F$76/4*($MS163^2-$MQ163^2)*10^-2*(VLOOKUP($GC$9,各项系数!$D$1:$F$143,3,0))*10^-3*10^2)*各项系数!$J$4</f>
        <v>0.00404439814728646</v>
      </c>
      <c r="GD163" s="389">
        <v>1</v>
      </c>
      <c r="GE163" s="390">
        <f t="shared" si="717"/>
        <v>0.00404439814728646</v>
      </c>
      <c r="GF163" s="367">
        <f>GE163*(VLOOKUP($GC$9,各项系数!$D$1:$F$143,2,0))</f>
        <v>0.0521727360999953</v>
      </c>
      <c r="GG163" s="388">
        <f>IF($BK163&lt;&gt;$GG$9,0,各项系数!$F$76/4*($MS163^2-$MQ163^2)*10^-2*(VLOOKUP($GG$9,各项系数!$D$1:$F$143,3,0))*10^-3*10^2)*各项系数!$J$4</f>
        <v>0</v>
      </c>
      <c r="GH163" s="389">
        <v>1</v>
      </c>
      <c r="GI163" s="390">
        <f t="shared" si="718"/>
        <v>0</v>
      </c>
      <c r="GJ163" s="367">
        <f>GI163*(VLOOKUP($GG$9,各项系数!$D$1:$F$143,2,0))</f>
        <v>0</v>
      </c>
      <c r="GK163" s="388">
        <f>IF($BK163&lt;&gt;$GK$9,0,各项系数!$F$76/4*($MS163^2-$MQ163^2)*10^-2*(VLOOKUP($GK$9,各项系数!$D$1:$F$143,3,0))*10^-3*10^2)*各项系数!$J$4</f>
        <v>0</v>
      </c>
      <c r="GL163" s="389">
        <v>1</v>
      </c>
      <c r="GM163" s="390">
        <f t="shared" si="719"/>
        <v>0</v>
      </c>
      <c r="GN163" s="367">
        <f>GM163*(VLOOKUP($GK$9,各项系数!$D$1:$F$143,2,0))</f>
        <v>0</v>
      </c>
      <c r="GO163" s="390">
        <f t="shared" si="720"/>
        <v>0.00404439814728646</v>
      </c>
      <c r="GP163" s="390">
        <f t="shared" si="721"/>
        <v>0.0521727360999953</v>
      </c>
      <c r="GQ163" s="406">
        <f>各项系数!$F$76/4*($MU163^2-$MS163^2)*10^-2*(VLOOKUP($S163,各项系数!$D$1:$F$143,3,0))*10^-3*10^2*各项系数!$J$4</f>
        <v>0.227908792998761</v>
      </c>
      <c r="GR163" s="389">
        <v>1</v>
      </c>
      <c r="GS163" s="390">
        <f t="shared" si="722"/>
        <v>0.227908792998761</v>
      </c>
      <c r="GT163" s="390">
        <f t="shared" si="696"/>
        <v>0</v>
      </c>
      <c r="GU163" s="390">
        <f>ROUND($GS163*(VLOOKUP($S163,各项系数!$D$1:$F$143,2,0))+$E$3*GS163,GT163)</f>
        <v>1</v>
      </c>
      <c r="GV163" s="406">
        <f>各项系数!$F$76/4*($MT163^2-$MS163^2)*10^-2*(VLOOKUP($GV$9,各项系数!$D$1:$F$143,3,0))*10^-3*10^2*各项系数!$J$4*PI()/4*R163</f>
        <v>0.02097939157083</v>
      </c>
      <c r="GW163" s="389">
        <v>1</v>
      </c>
      <c r="GX163" s="390">
        <f t="shared" si="723"/>
        <v>0.02097939157083</v>
      </c>
      <c r="GY163" s="390">
        <f>$GX163*(VLOOKUP($GV$9,各项系数!$D$1:$F$143,2,0))</f>
        <v>1.41610893103103</v>
      </c>
      <c r="GZ163" s="406">
        <f>各项系数!$F$76/4*($MV163^2-$MS163^2)*10^-2*(VLOOKUP($GZ$9,各项系数!$D$1:$F$143,3,0))*10^-3*10^2*各项系数!$J$4</f>
        <v>0.136568179999015</v>
      </c>
      <c r="HA163" s="389">
        <v>1</v>
      </c>
      <c r="HB163" s="390">
        <f t="shared" si="653"/>
        <v>0.136568179999015</v>
      </c>
      <c r="HC163" s="390">
        <f>HB163*(VLOOKUP($GZ$9,各项系数!$D$1:$F$143,2,0))</f>
        <v>2.32165905998326</v>
      </c>
      <c r="HD163" s="406">
        <f>各项系数!$F$76/4*($MW163^2-$MT163^2)*10^-2*(VLOOKUP($HD$9,各项系数!$D$1:$F$143,3,0))*10^-3*10^2*各项系数!$J$4</f>
        <v>0.137873549445694</v>
      </c>
      <c r="HE163" s="389">
        <v>1</v>
      </c>
      <c r="HF163" s="390">
        <f t="shared" si="654"/>
        <v>0.137873549445694</v>
      </c>
      <c r="HG163" s="390">
        <f>HF163*(VLOOKUP($HD$9,各项系数!$D$1:$F$143,2,0))</f>
        <v>2.34385034057679</v>
      </c>
      <c r="HH163" s="406">
        <f>各项系数!$F$76/4*($MV163^2-$MS163^2)*10^-2*(VLOOKUP($HH$9,各项系数!$D$1:$F$143,3,0))*10^-3*10^2*各项系数!$J$4</f>
        <v>0.136568179999015</v>
      </c>
      <c r="HI163" s="420">
        <v>1</v>
      </c>
      <c r="HJ163" s="390">
        <f t="shared" si="655"/>
        <v>0.136568179999015</v>
      </c>
      <c r="HK163" s="390">
        <f>HJ163*(VLOOKUP($HH$9,各项系数!$D$1:$F$143,2,0))</f>
        <v>2.32165905998326</v>
      </c>
      <c r="HL163" s="406">
        <f>各项系数!$F$76/4*($MW163^2-$MT163^2)*10^-2*(VLOOKUP($HL$9,各项系数!$D$1:$F$143,3,0))*10^-3*10^2*各项系数!$J$4</f>
        <v>0.137873549445694</v>
      </c>
      <c r="HM163" s="420">
        <v>1</v>
      </c>
      <c r="HN163" s="390">
        <f t="shared" si="605"/>
        <v>0.137873549445694</v>
      </c>
      <c r="HO163" s="390">
        <f>HN163*(VLOOKUP($HL$9,各项系数!$D$1:$F$143,2,0))</f>
        <v>2.34385034057679</v>
      </c>
      <c r="HP163" s="406">
        <f>各项系数!$F$76/4*($MV163^2-$MS163^2)*10^-2*(VLOOKUP(AN163,各项系数!$D$1:$F$143,3,0))*10^-3*10^2*各项系数!$J$4</f>
        <v>0.138451879033484</v>
      </c>
      <c r="HQ163" s="389">
        <v>1</v>
      </c>
      <c r="HR163" s="390">
        <f t="shared" si="724"/>
        <v>0.138451879033484</v>
      </c>
      <c r="HS163" s="390">
        <f>HR163*(VLOOKUP(AN163,各项系数!$D$1:$F$143,2,0))</f>
        <v>1.38451879033484</v>
      </c>
      <c r="HT163" s="406">
        <f>各项系数!$F$76/4*($MW163^2-$MT163^2)*10^-2*(VLOOKUP(AN163,各项系数!$D$1:$F$143,3,0))*10^-3*10^2*各项系数!$J$4</f>
        <v>0.139775253575979</v>
      </c>
      <c r="HU163" s="389">
        <v>1</v>
      </c>
      <c r="HV163" s="390">
        <f t="shared" si="725"/>
        <v>0.139775253575979</v>
      </c>
      <c r="HW163" s="390">
        <f>HV163*(VLOOKUP(AN163,各项系数!$D$1:$F$143,2,0))</f>
        <v>1.39775253575979</v>
      </c>
      <c r="HX163" s="406">
        <f>各项系数!$F$76/4*($MV163^2-$MS163^2)*10^-2*(VLOOKUP($HX$9,各项系数!$D$1:$F$143,3,0))*10^-3*10^2*各项系数!$J$4</f>
        <v>0.138451879033484</v>
      </c>
      <c r="HY163" s="420">
        <v>1</v>
      </c>
      <c r="HZ163" s="390">
        <f t="shared" si="726"/>
        <v>0.138451879033484</v>
      </c>
      <c r="IA163" s="390">
        <f>HZ163*(VLOOKUP($HX$9,各项系数!$D$1:$F$143,2,0))</f>
        <v>1.52297066936833</v>
      </c>
      <c r="IB163" s="406">
        <f>各项系数!$F$76/4*($MW163^2-$MT163^2)*10^-2*(VLOOKUP($IB$9,各项系数!$D$1:$F$143,3,0))*10^-3*10^2*各项系数!$J$4</f>
        <v>0.139775253575979</v>
      </c>
      <c r="IC163" s="420">
        <v>1</v>
      </c>
      <c r="ID163" s="390">
        <f t="shared" si="727"/>
        <v>0.139775253575979</v>
      </c>
      <c r="IE163" s="390">
        <f>ID163*(VLOOKUP($IB$9,各项系数!$D$1:$F$143,2,0))</f>
        <v>1.53752778933577</v>
      </c>
      <c r="IF163" s="429"/>
      <c r="IG163" s="406">
        <f t="shared" si="656"/>
        <v>0.0592125506322391</v>
      </c>
      <c r="IH163" s="389">
        <v>1</v>
      </c>
      <c r="II163" s="390">
        <f t="shared" si="728"/>
        <v>0.0592125506322391</v>
      </c>
      <c r="IJ163" s="390">
        <f>II163*(VLOOKUP($IG$8,各项系数!$D$1:$F$143,2,0))</f>
        <v>1.48031376580598</v>
      </c>
      <c r="IK163" s="406">
        <f>(各项系数!$F$76/4*($MX163^2-$MK163^2)*$EG163)*10^-2*(VLOOKUP($IG$8,各项系数!$D$1:$F$143,3,0))*10^-3*10^2*各项系数!$J$4</f>
        <v>0.0592125506322391</v>
      </c>
      <c r="IL163" s="389">
        <f>IK163*(VLOOKUP($IG$8,各项系数!$D$1:$F$143,2,0))</f>
        <v>1.48031376580598</v>
      </c>
      <c r="IM163" s="390">
        <f>(各项系数!$F$76/4*(($MM163+3*$X163)^2-MM163^2)*$EO163)*10^-2*(VLOOKUP($IG$8,各项系数!$D$1:$F$143,3,0))*10^-3*10^2*各项系数!$J$4</f>
        <v>0</v>
      </c>
      <c r="IN163" s="389">
        <f>IM163*(VLOOKUP($IG$8,各项系数!$D$1:$F$143,2,0))</f>
        <v>0</v>
      </c>
      <c r="IO163" s="406">
        <f>各项系数!$F$76/4*($MZ163^2-$MX163^2)*10^-2*(VLOOKUP(L163,各项系数!$D$1:$F$143,3,0))*10^-3*10^2*$ES163*各项系数!$J$4</f>
        <v>0.142548339442153</v>
      </c>
      <c r="IP163" s="389">
        <v>1</v>
      </c>
      <c r="IQ163" s="390">
        <f t="shared" si="729"/>
        <v>0.142548339442153</v>
      </c>
      <c r="IR163" s="367">
        <f>IQ163*(VLOOKUP(L163,各项系数!$D$1:$F$143,2,0))</f>
        <v>1.63930590358476</v>
      </c>
      <c r="IS163" s="406">
        <f>IF($L163&lt;&gt;$IS$9,0,各项系数!$F$76/4*($MZ163^2-$MX163^2)*10^-2*各项系数!$F$12*10^-3*10^2)*$ES163*各项系数!$J$4</f>
        <v>0</v>
      </c>
      <c r="IT163" s="389">
        <v>1</v>
      </c>
      <c r="IU163" s="390">
        <f t="shared" si="730"/>
        <v>0</v>
      </c>
      <c r="IV163" s="367">
        <f>IU163*各项系数!$E$12</f>
        <v>0</v>
      </c>
      <c r="IW163" s="388">
        <f t="shared" si="731"/>
        <v>0.142548339442153</v>
      </c>
      <c r="IX163" s="388">
        <f t="shared" si="732"/>
        <v>1.63930590358476</v>
      </c>
      <c r="IY163" s="447">
        <f>各项系数!$F$76/4*($NB163^2-$MZ163^2*$EG163-$NA163^2*$EO163)*10^-2</f>
        <v>0.733987754170532</v>
      </c>
      <c r="IZ163" s="366">
        <f t="shared" si="697"/>
        <v>1</v>
      </c>
      <c r="JA163" s="367">
        <f t="shared" si="606"/>
        <v>0.733987754170532</v>
      </c>
      <c r="JB163" s="364">
        <f>IF($DE163&lt;&gt;$JB$9,0,$JA163*各项系数!$F$32*10^-3*10^2)*各项系数!$J$4</f>
        <v>0</v>
      </c>
      <c r="JC163" s="123">
        <v>1</v>
      </c>
      <c r="JD163" s="251">
        <f t="shared" si="733"/>
        <v>0</v>
      </c>
      <c r="JE163" s="339">
        <f>JD163*各项系数!$E$32</f>
        <v>0</v>
      </c>
      <c r="JF163" s="364">
        <f>IF($DE163&lt;&gt;$JF$9,0,$JA163*VLOOKUP($JF$9,各项系数!$D$4:$F$540,2,0)*10^-3*10^2)*各项系数!$J$4</f>
        <v>0.36515890769984</v>
      </c>
      <c r="JG163" s="123">
        <v>1</v>
      </c>
      <c r="JH163" s="251">
        <f t="shared" si="607"/>
        <v>0.36515890769984</v>
      </c>
      <c r="JI163" s="339">
        <f>JH163*VLOOKUP($JF$9,各项系数!$D$4:$F$540,3,0)</f>
        <v>0.438190689239808</v>
      </c>
      <c r="JJ163" s="364">
        <f t="shared" si="734"/>
        <v>0.36515890769984</v>
      </c>
      <c r="JK163" s="251">
        <f t="shared" si="735"/>
        <v>0.438190689239808</v>
      </c>
      <c r="JL163" s="364">
        <f>IF($DF163&lt;&gt;$JL$9,0,各项系数!$F$76/4*($NE163^2-$NC163^2)*10^-2*各项系数!$F$39*10^-3*10^2)*各项系数!$J$4</f>
        <v>0.00210763741368382</v>
      </c>
      <c r="JM163" s="123">
        <v>1</v>
      </c>
      <c r="JN163" s="251">
        <f t="shared" si="736"/>
        <v>0.00210763741368382</v>
      </c>
      <c r="JO163" s="339">
        <f>JN163*各项系数!$E$39</f>
        <v>0.0421527482736764</v>
      </c>
      <c r="JP163" s="364">
        <f>IF($DF163&lt;&gt;$JP$9,0,各项系数!$F$76/4*($NE163^2-$NC163^2)*10^-2*各项系数!$F$36*10^-3*10^2)*各项系数!$J$4</f>
        <v>0</v>
      </c>
      <c r="JQ163" s="123">
        <v>1</v>
      </c>
      <c r="JR163" s="251">
        <f t="shared" si="737"/>
        <v>0</v>
      </c>
      <c r="JS163" s="339">
        <f>JR163*各项系数!$E$36</f>
        <v>0</v>
      </c>
      <c r="JT163" s="364">
        <f>IF($DF163&lt;&gt;$JT$9,0,各项系数!$F$76/4*($NE163^2-$NC163^2)*10^-2*各项系数!$F$40*10^-3*10^2)*各项系数!$J$4</f>
        <v>0</v>
      </c>
      <c r="JU163" s="123">
        <v>1</v>
      </c>
      <c r="JV163" s="251">
        <f t="shared" si="738"/>
        <v>0</v>
      </c>
      <c r="JW163" s="339">
        <f>JV163*各项系数!$E$40</f>
        <v>0</v>
      </c>
      <c r="JX163" s="364">
        <f>IF($DF163&lt;&gt;$JX$9,0,各项系数!$F$76/4*($NE163^2-$NC163^2)*10^-2*各项系数!$F$38*10^-3*10^2)*各项系数!$J$4</f>
        <v>0</v>
      </c>
      <c r="JY163" s="123">
        <v>1</v>
      </c>
      <c r="JZ163" s="251">
        <f t="shared" si="739"/>
        <v>0</v>
      </c>
      <c r="KA163" s="339">
        <f>JZ163*各项系数!$E$38</f>
        <v>0</v>
      </c>
      <c r="KB163" s="364">
        <f>IF($DF163&lt;&gt;$KB$9,0,各项系数!$F$76/4*($NE163^2-$NC163^2)*10^-2*各项系数!$F$41*10^-3*10^2)*各项系数!$J$4</f>
        <v>0</v>
      </c>
      <c r="KC163" s="123">
        <v>1</v>
      </c>
      <c r="KD163" s="251">
        <f t="shared" si="740"/>
        <v>0</v>
      </c>
      <c r="KE163" s="339">
        <f>KD163*各项系数!$E$41</f>
        <v>0</v>
      </c>
      <c r="KF163" s="251">
        <f t="shared" si="741"/>
        <v>0.00210763741368382</v>
      </c>
      <c r="KG163" s="251">
        <f t="shared" si="742"/>
        <v>0.0421527482736764</v>
      </c>
      <c r="KH163" s="302">
        <f>各项系数!$F$76/4*($NG163^2-$NE163^2)*10^-2*各项系数!$F$44*10^-3*10^2*各项系数!$J$4*0.75*$U163</f>
        <v>0.855766194839076</v>
      </c>
      <c r="KI163" s="123">
        <v>1</v>
      </c>
      <c r="KJ163" s="251">
        <f t="shared" si="743"/>
        <v>0.855766194839076</v>
      </c>
      <c r="KK163" s="251">
        <f>ROUND(KJ163*各项系数!$E$43,GT163)</f>
        <v>5</v>
      </c>
      <c r="KL163" s="302">
        <f>各项系数!$F$76/4*($NF163^2-$NE163^2)*10^-2*各项系数!$F$46*10^-3*10^2*各项系数!$J$4*PI()/4*R163</f>
        <v>0.0264410096462112</v>
      </c>
      <c r="KM163" s="123">
        <v>1</v>
      </c>
      <c r="KN163" s="251">
        <f t="shared" si="744"/>
        <v>0.0264410096462112</v>
      </c>
      <c r="KO163" s="251">
        <f>KN163*各项系数!$E$46</f>
        <v>1.78476815111925</v>
      </c>
      <c r="KP163" s="302">
        <f>各项系数!$F$76/4*($NH163^2-$NE163^2)*10^-2*(VLOOKUP($KP$9,各项系数!$D$1:$F$143,3,0))*10^-3*10^2*各项系数!$J$4</f>
        <v>0.168468145852219</v>
      </c>
      <c r="KQ163" s="123">
        <v>1</v>
      </c>
      <c r="KR163" s="251">
        <f t="shared" si="657"/>
        <v>0.168468145852219</v>
      </c>
      <c r="KS163" s="251">
        <f>KR163*(VLOOKUP($KP$9,各项系数!$D$1:$F$143,2,0))</f>
        <v>2.86395847948772</v>
      </c>
      <c r="KT163" s="302">
        <f>各项系数!$F$76/4*($NI163^2-$NF163^2)*10^-2*(VLOOKUP($KT$9,各项系数!$D$1:$F$143,3,0))*10^-3*10^2*各项系数!$J$4</f>
        <v>0.169773515298897</v>
      </c>
      <c r="KU163" s="123">
        <v>1</v>
      </c>
      <c r="KV163" s="251">
        <f t="shared" si="658"/>
        <v>0.169773515298897</v>
      </c>
      <c r="KW163" s="251">
        <f>KV163*(VLOOKUP($KT$9,各项系数!$D$1:$F$143,2,0))</f>
        <v>2.88614976008125</v>
      </c>
      <c r="KX163" s="251">
        <f>各项系数!$F$76/4*($NH163^2-$NE163^2)*10^-2*(VLOOKUP($KX$9,各项系数!$D$1:$F$143,3,0))*10^-3*10^2*各项系数!$J$4</f>
        <v>0.168468145852219</v>
      </c>
      <c r="KY163" s="479">
        <v>1</v>
      </c>
      <c r="KZ163" s="251">
        <f t="shared" si="659"/>
        <v>0.168468145852219</v>
      </c>
      <c r="LA163" s="251">
        <f>KZ163*(VLOOKUP($KX$9,各项系数!$D$1:$F$143,2,0))</f>
        <v>2.86395847948772</v>
      </c>
      <c r="LB163" s="251">
        <f>各项系数!$F$76/4*($NI163^2-$NF163^2)*10^-2*(VLOOKUP($LB$9,各项系数!$D$1:$F$143,3,0))*10^-3*10^2*各项系数!$J$4</f>
        <v>0.169773515298897</v>
      </c>
      <c r="LC163" s="479">
        <v>1</v>
      </c>
      <c r="LD163" s="251">
        <f t="shared" si="660"/>
        <v>0.169773515298897</v>
      </c>
      <c r="LE163" s="251">
        <f>LD163*(VLOOKUP($LB$9,各项系数!$D$1:$F$143,2,0))</f>
        <v>2.88614976008125</v>
      </c>
      <c r="LF163" s="302">
        <f>各项系数!$F$76/4*($NH163^2-$NE163^2)*10^-2*(VLOOKUP(AN163,各项系数!$D$1:$F$143,3,0))*10^-3*10^2*各项系数!$J$4</f>
        <v>0.170791844415698</v>
      </c>
      <c r="LG163" s="123">
        <v>1</v>
      </c>
      <c r="LH163" s="251">
        <f t="shared" si="745"/>
        <v>0.170791844415698</v>
      </c>
      <c r="LI163" s="251">
        <f>LH163*(VLOOKUP(AN163,各项系数!$D$1:$F$143,2,0))</f>
        <v>1.70791844415698</v>
      </c>
      <c r="LJ163" s="302">
        <f>各项系数!$F$76/4*($NI163^2-$NF163^2)*10^-2*(VLOOKUP(AN163,各项系数!$D$1:$F$143,3,0))*10^-3*10^2*各项系数!$J$4</f>
        <v>0.172115218958192</v>
      </c>
      <c r="LK163" s="123">
        <v>1</v>
      </c>
      <c r="LL163" s="251">
        <f t="shared" si="746"/>
        <v>0.172115218958192</v>
      </c>
      <c r="LM163" s="251">
        <f>LL163*(VLOOKUP(AN163,各项系数!$D$1:$F$143,2,0))</f>
        <v>1.72115218958192</v>
      </c>
      <c r="LN163" s="251">
        <f>各项系数!$F$76/4*($NH163^2-$NE163^2)*10^-2*(VLOOKUP($LN$9,各项系数!$D$1:$F$143,3,0))*10^-3*10^2*各项系数!$J$4</f>
        <v>0.170791844415698</v>
      </c>
      <c r="LO163" s="479">
        <v>1</v>
      </c>
      <c r="LP163" s="251">
        <f t="shared" si="747"/>
        <v>0.170791844415698</v>
      </c>
      <c r="LQ163" s="251">
        <f>LP163*(VLOOKUP($LN$9,各项系数!$D$1:$F$143,2,0))</f>
        <v>1.87871028857267</v>
      </c>
      <c r="LR163" s="251">
        <f>各项系数!$F$76/4*($NI163^2-$NF163^2)*10^-2*(VLOOKUP($LR$9,各项系数!$D$1:$F$143,3,0))*10^-3*10^2*各项系数!$J$4</f>
        <v>0.172115218958192</v>
      </c>
      <c r="LS163" s="479">
        <v>1</v>
      </c>
      <c r="LT163" s="251">
        <f t="shared" si="748"/>
        <v>0.172115218958192</v>
      </c>
      <c r="LU163" s="251">
        <f>LT163*(VLOOKUP($LR$9,各项系数!$D$1:$F$143,2,0))</f>
        <v>1.89326740854011</v>
      </c>
      <c r="LV163" s="499">
        <f t="shared" si="661"/>
        <v>28.6739663</v>
      </c>
      <c r="LW163" s="499">
        <f t="shared" si="662"/>
        <v>28.6739663</v>
      </c>
      <c r="LX163" s="499">
        <f t="shared" si="663"/>
        <v>6.04225353635243</v>
      </c>
      <c r="LY163" s="515">
        <f t="shared" si="664"/>
        <v>0</v>
      </c>
      <c r="LZ163" s="516">
        <f t="shared" si="608"/>
        <v>1</v>
      </c>
      <c r="MA163" s="517">
        <f t="shared" si="609"/>
        <v>28.6739663</v>
      </c>
      <c r="MB163" s="517">
        <f t="shared" si="665"/>
        <v>1.10315952</v>
      </c>
      <c r="MC163" s="499">
        <f t="shared" si="666"/>
        <v>0</v>
      </c>
      <c r="MD163" s="499">
        <f t="shared" si="667"/>
        <v>0</v>
      </c>
      <c r="ME163" s="499">
        <f t="shared" si="668"/>
        <v>0</v>
      </c>
      <c r="MF163" s="499">
        <f t="shared" si="669"/>
        <v>0</v>
      </c>
      <c r="MG163" s="516">
        <f t="shared" si="670"/>
        <v>1</v>
      </c>
      <c r="MH163" s="517">
        <f t="shared" si="610"/>
        <v>0</v>
      </c>
      <c r="MI163" s="517">
        <f t="shared" si="671"/>
        <v>0</v>
      </c>
      <c r="MJ163" s="251">
        <f t="shared" si="611"/>
        <v>1.10315952</v>
      </c>
      <c r="MK163" s="251">
        <f t="shared" si="672"/>
        <v>1.10315952</v>
      </c>
      <c r="ML163" s="251">
        <f t="shared" si="749"/>
        <v>0</v>
      </c>
      <c r="MM163" s="251">
        <f t="shared" si="612"/>
        <v>0</v>
      </c>
      <c r="MN163" s="251">
        <f t="shared" si="613"/>
        <v>2.30315952</v>
      </c>
      <c r="MO163" s="251">
        <f t="shared" si="673"/>
        <v>0</v>
      </c>
      <c r="MP163" s="251">
        <f t="shared" si="674"/>
        <v>14.76325252</v>
      </c>
      <c r="MQ163" s="251">
        <f t="shared" si="750"/>
        <v>14.76325252</v>
      </c>
      <c r="MR163" s="314">
        <f t="shared" si="675"/>
        <v>14.76325252</v>
      </c>
      <c r="MS163" s="530">
        <f t="shared" si="614"/>
        <v>14.93925252</v>
      </c>
      <c r="MT163" s="530">
        <f t="shared" si="615"/>
        <v>15.09925252</v>
      </c>
      <c r="MU163" s="530">
        <f t="shared" si="616"/>
        <v>16.13925252</v>
      </c>
      <c r="MV163" s="530">
        <f t="shared" si="617"/>
        <v>18.53925252</v>
      </c>
      <c r="MW163" s="530">
        <f t="shared" si="618"/>
        <v>18.69925252</v>
      </c>
      <c r="MX163" s="326">
        <f t="shared" si="619"/>
        <v>1.70315952</v>
      </c>
      <c r="MY163" s="326">
        <f t="shared" si="620"/>
        <v>0</v>
      </c>
      <c r="MZ163" s="251">
        <f t="shared" si="621"/>
        <v>2.90315952</v>
      </c>
      <c r="NA163" s="251">
        <f t="shared" si="622"/>
        <v>0</v>
      </c>
      <c r="NB163" s="251">
        <f t="shared" si="676"/>
        <v>18.60925252</v>
      </c>
      <c r="NC163" s="326">
        <f t="shared" si="751"/>
        <v>18.60925252</v>
      </c>
      <c r="ND163" s="314">
        <f t="shared" si="677"/>
        <v>18.60925252</v>
      </c>
      <c r="NE163" s="537">
        <f t="shared" si="678"/>
        <v>18.84925252</v>
      </c>
      <c r="NF163" s="530">
        <f t="shared" si="623"/>
        <v>19.00925252</v>
      </c>
      <c r="NG163" s="538">
        <f t="shared" si="624"/>
        <v>20.04925252</v>
      </c>
      <c r="NH163" s="326">
        <f t="shared" si="625"/>
        <v>22.44925252</v>
      </c>
      <c r="NI163" s="530">
        <f t="shared" si="626"/>
        <v>22.60925252</v>
      </c>
      <c r="NK163" s="539">
        <f t="shared" si="627"/>
        <v>0.556702947591864</v>
      </c>
      <c r="NL163" s="539">
        <f t="shared" si="628"/>
        <v>19.4276331374609</v>
      </c>
      <c r="NM163" s="539">
        <f t="shared" si="629"/>
        <v>0.556702947591864</v>
      </c>
      <c r="NN163" s="539">
        <f t="shared" si="630"/>
        <v>19.5660850164944</v>
      </c>
      <c r="NO163" s="539">
        <f t="shared" si="631"/>
        <v>0.993456280412624</v>
      </c>
      <c r="NP163" s="539">
        <f t="shared" si="632"/>
        <v>21.9211051040514</v>
      </c>
      <c r="NQ163" s="539">
        <f t="shared" si="633"/>
        <v>0.993456280412624</v>
      </c>
      <c r="NR163" s="539">
        <f t="shared" si="634"/>
        <v>22.0918969484671</v>
      </c>
      <c r="NS163" s="539">
        <f t="shared" si="635"/>
        <v>0.577682339162694</v>
      </c>
      <c r="NT163" s="539">
        <f t="shared" si="636"/>
        <v>0.577682339162694</v>
      </c>
      <c r="NU163" s="539">
        <f t="shared" si="637"/>
        <v>1.01989729005883</v>
      </c>
      <c r="NV163" s="539">
        <f t="shared" si="638"/>
        <v>1.01989729005883</v>
      </c>
      <c r="NW163">
        <f t="shared" si="639"/>
        <v>0.784611740590625</v>
      </c>
      <c r="NX163">
        <f>各项系数!$M$9*NK163</f>
        <v>0.167010884277559</v>
      </c>
      <c r="NY163">
        <f t="shared" si="640"/>
        <v>0.577682339162694</v>
      </c>
    </row>
    <row r="164" customHeight="1" spans="1:389">
      <c r="A164" s="85"/>
      <c r="B164" s="86"/>
      <c r="C164" s="218"/>
      <c r="D164" s="123" t="s">
        <v>315</v>
      </c>
      <c r="E164" s="77">
        <f t="shared" si="687"/>
        <v>19.89811664</v>
      </c>
      <c r="F164" s="558">
        <f t="shared" si="693"/>
        <v>110.31595161029</v>
      </c>
      <c r="G164" s="23"/>
      <c r="H164" s="23"/>
      <c r="I164" s="174">
        <v>0</v>
      </c>
      <c r="J164" s="23"/>
      <c r="K164" s="23"/>
      <c r="L164" s="118" t="s">
        <v>469</v>
      </c>
      <c r="M164" s="124">
        <f t="shared" si="582"/>
        <v>0.6</v>
      </c>
      <c r="N164" s="124">
        <f t="shared" si="583"/>
        <v>0</v>
      </c>
      <c r="O164" s="69">
        <f t="shared" si="703"/>
        <v>0.08</v>
      </c>
      <c r="P164" s="120">
        <v>0.1</v>
      </c>
      <c r="Q164" s="162">
        <f t="shared" ref="Q164:Q173" si="754">$Q$12</f>
        <v>0.1</v>
      </c>
      <c r="R164" s="560">
        <v>0.8</v>
      </c>
      <c r="S164" s="171" t="str">
        <f>各项系数!$D$43</f>
        <v>钢带</v>
      </c>
      <c r="T164" s="123">
        <v>0.2</v>
      </c>
      <c r="U164" s="78">
        <v>4</v>
      </c>
      <c r="V164" s="172"/>
      <c r="W164" s="170">
        <f t="shared" si="752"/>
        <v>1.8</v>
      </c>
      <c r="X164" s="164">
        <f t="shared" ref="X164:X173" si="755">$X$12</f>
        <v>0.2</v>
      </c>
      <c r="Y164" s="219"/>
      <c r="Z164" s="220"/>
      <c r="AA164" s="217">
        <v>1</v>
      </c>
      <c r="AB164" s="186">
        <f>PI()*EJ164*EJ164/4*EH164*(1-H164)*AA164*各项系数!$F$5*各项系数!$J$4*10^-7</f>
        <v>0.0084545666936337</v>
      </c>
      <c r="AC164" s="186">
        <f t="shared" si="704"/>
        <v>110.31595161029</v>
      </c>
      <c r="AD164" s="186">
        <f t="shared" si="584"/>
        <v>0.955798869898841</v>
      </c>
      <c r="AE164" s="186">
        <f>POWER(4*EU164/PI()/EG164/10^-7/EH164/(1-H164)/各项系数!$F$5/各项系数!$J$4,0.5)</f>
        <v>110.31595161029</v>
      </c>
      <c r="AF164" s="218">
        <v>1</v>
      </c>
      <c r="AG164" s="85">
        <f>IF(EM164=0,0,PI()*ER164*ER164/4*EP164*(1-K164)*(1+AF164)*各项系数!$F$5*各项系数!$J$4*10^-7)</f>
        <v>0</v>
      </c>
      <c r="AH164" s="85">
        <f t="shared" si="705"/>
        <v>0</v>
      </c>
      <c r="AI164" s="85">
        <f t="shared" si="641"/>
        <v>0</v>
      </c>
      <c r="AJ164" s="85">
        <f>IF(OR(EP164="",EP164=0),0,POWER(4*EW164/PI()/EO164/10^-7/EP164/(1-K164)/各项系数!$F$5/各项系数!$J$4,0.5))</f>
        <v>0</v>
      </c>
      <c r="AK164" s="85" t="str">
        <f t="shared" si="585"/>
        <v>√</v>
      </c>
      <c r="AL164" s="85">
        <f t="shared" si="706"/>
        <v>26.0485000948047</v>
      </c>
      <c r="AM164" s="250">
        <f t="shared" si="707"/>
        <v>1</v>
      </c>
      <c r="AN164" s="118" t="s">
        <v>486</v>
      </c>
      <c r="AO164" s="259">
        <f>AP164+各项系数!$M$9*$NK164</f>
        <v>25.537745190985</v>
      </c>
      <c r="AP164" s="259">
        <f>AQ164*(1+$BI164+(VLOOKUP($AM164,$A$12:$B$323,2,0))+各项系数!$J$6+各项系数!$M$5)*(1+$E$2)</f>
        <v>25.3407571638943</v>
      </c>
      <c r="AQ164" s="260">
        <f>AR164+各项系数!$L$9*$NK164</f>
        <v>24.8633802628476</v>
      </c>
      <c r="AR164" s="260">
        <f>AS164*(1+$BJ164+各项系数!$J$5+各项系数!$L$5)</f>
        <v>24.6663922357569</v>
      </c>
      <c r="AS164" s="260">
        <f t="shared" si="642"/>
        <v>23.7176848420739</v>
      </c>
      <c r="AT164" s="259">
        <f>AU164+各项系数!$M$9*$NM164</f>
        <v>26.6117214384896</v>
      </c>
      <c r="AU164" s="259">
        <f>AV164*(1+$BI164+(VLOOKUP($AM164,$A$12:$B$323,2,0))+各项系数!$J$6+各项系数!$M$5)*(1+$E$2)</f>
        <v>26.4147334113989</v>
      </c>
      <c r="AV164" s="260">
        <f>AW164+各项系数!$L$9*$NM164</f>
        <v>25.9171246187195</v>
      </c>
      <c r="AW164" s="260">
        <f>AX164*(1+$BJ164+各项系数!$J$5+各项系数!$L$5)</f>
        <v>25.7201365916287</v>
      </c>
      <c r="AX164" s="260">
        <f t="shared" si="643"/>
        <v>24.7309005688738</v>
      </c>
      <c r="AY164" s="259">
        <f>AZ164+各项系数!$M$9*$NS164</f>
        <v>27.2024663902978</v>
      </c>
      <c r="AZ164" s="259">
        <f>BA164*(1+$BI164+(VLOOKUP($AM164,$A$12:$B$214,2,0))+各项系数!$J$6+各项系数!$M$5)*(1+$E$2)</f>
        <v>26.9986151137532</v>
      </c>
      <c r="BA164" s="260">
        <f>BB164+各项系数!$L$9*$NS164</f>
        <v>26.4900069797421</v>
      </c>
      <c r="BB164" s="260">
        <f>BC164*(1+$BJ164+各项系数!$J$5+各项系数!$L$5)</f>
        <v>26.2861557031976</v>
      </c>
      <c r="BC164" s="262">
        <f t="shared" si="644"/>
        <v>25.275149714613</v>
      </c>
      <c r="BD164" s="259">
        <f>BE164+各项系数!$M$9*$NS164</f>
        <v>28.2859373384399</v>
      </c>
      <c r="BE164" s="259">
        <f>BF164*(1+$BI164+(VLOOKUP($AM164,$A$12:$B$214,2,0))+各项系数!$J$6+各项系数!$M$5)*(1+$E$2)</f>
        <v>28.0820860618953</v>
      </c>
      <c r="BF164" s="260">
        <f>BG164+各项系数!$L$9*$NS164</f>
        <v>27.5530671721893</v>
      </c>
      <c r="BG164" s="260">
        <f>BH164*(1+$BJ164+各项系数!$J$5+各项系数!$L$5)</f>
        <v>27.3492158956447</v>
      </c>
      <c r="BH164" s="262">
        <f t="shared" si="645"/>
        <v>26.2973229765815</v>
      </c>
      <c r="BI164" s="277"/>
      <c r="BJ164" s="272">
        <f t="shared" si="695"/>
        <v>0.02</v>
      </c>
      <c r="BK164" s="123" t="s">
        <v>514</v>
      </c>
      <c r="BL164" s="259">
        <f>BM164+各项系数!$M$9*$NM164</f>
        <v>25.9396693348977</v>
      </c>
      <c r="BM164" s="259">
        <f>BN164*(1+$CF164+(VLOOKUP($AM164,$A$12:$B$323,2,0))+各项系数!$J$6+各项系数!$M$5)*(1+$E$2)</f>
        <v>25.742681307807</v>
      </c>
      <c r="BN164" s="260">
        <f>BO164+各项系数!$L$9*$NM164</f>
        <v>25.2577328373302</v>
      </c>
      <c r="BO164" s="260">
        <f>BP164*(1+$CG164+各项系数!$J$5+各项系数!$L$5)</f>
        <v>25.0607448102395</v>
      </c>
      <c r="BP164" s="260">
        <f t="shared" si="646"/>
        <v>23.8673760097519</v>
      </c>
      <c r="BQ164" s="259">
        <f>BR164+各项系数!$M$9*$NM164</f>
        <v>26.8637787770876</v>
      </c>
      <c r="BR164" s="259">
        <f>BS164*(1+$CF164+(VLOOKUP($AM164,$A$12:$B$323,2,0))+各项系数!$J$6+各项系数!$M$5)*(1+$E$2)</f>
        <v>26.6667907499968</v>
      </c>
      <c r="BS164" s="260">
        <f>BT164+各项系数!$L$9*$NM164</f>
        <v>26.1644336244082</v>
      </c>
      <c r="BT164" s="260">
        <f>BU164*(1+$CG164+各项系数!$J$5+各项系数!$L$5)</f>
        <v>25.9674455973175</v>
      </c>
      <c r="BU164" s="260">
        <f t="shared" si="647"/>
        <v>24.7309005688738</v>
      </c>
      <c r="BV164" s="259">
        <f>BW164+各项系数!$M$9*$NT164</f>
        <v>27.4223372781331</v>
      </c>
      <c r="BW164" s="259">
        <f>BX164*(1+$CF164+(VLOOKUP($AM164,$A$12:$B$214,2,0))+各项系数!$J$6+各项系数!$M$5)*(1+$E$2)</f>
        <v>27.2184860015885</v>
      </c>
      <c r="BX164" s="260">
        <f>BY164+各项系数!$L$9*$NT$12</f>
        <v>26.7057358728302</v>
      </c>
      <c r="BY164" s="260">
        <f>BZ164*(1+$CG164+各项系数!$J$5+各项系数!$L$5)</f>
        <v>26.6974724696752</v>
      </c>
      <c r="BZ164" s="262">
        <f t="shared" si="586"/>
        <v>25.4261642568335</v>
      </c>
      <c r="CA164" s="259">
        <f>CB164+各项系数!$M$9*$NT164</f>
        <v>28.3546164936586</v>
      </c>
      <c r="CB164" s="259">
        <f>CC164*(1+$CF164+(VLOOKUP($AM164,$A$12:$B$214,2,0))+各项系数!$J$6+各项系数!$M$5)*(1+$E$2)</f>
        <v>28.150765217114</v>
      </c>
      <c r="CC164" s="260">
        <f>CD164+各项系数!$L$9*$NT$12</f>
        <v>27.6204525285655</v>
      </c>
      <c r="CD164" s="260">
        <f>CE164*(1+$CG164+各项系数!$J$5+各项系数!$L$5)</f>
        <v>27.6121891254106</v>
      </c>
      <c r="CE164" s="262">
        <f t="shared" si="648"/>
        <v>26.2973229765815</v>
      </c>
      <c r="CF164" s="277">
        <f t="shared" si="753"/>
        <v>0</v>
      </c>
      <c r="CG164" s="277">
        <f t="shared" si="587"/>
        <v>0.03</v>
      </c>
      <c r="CH164" s="123"/>
      <c r="CI164" s="259">
        <f>CJ164+各项系数!$M$9*$NO164</f>
        <v>29.1986077912268</v>
      </c>
      <c r="CJ164" s="259">
        <f>CK164*(1+$DC164+(VLOOKUP($AM164,$A$12:$B$323,2,0))+各项系数!$J$6+各项系数!$M$5)*(1+$E$2)+各项系数!$M$9*$NK164</f>
        <v>28.8553757072458</v>
      </c>
      <c r="CK164" s="260">
        <f>CL164+各项系数!$L$9*$NO164</f>
        <v>28.1185122450501</v>
      </c>
      <c r="CL164" s="260">
        <f>CM164*(1+$DD164+各项系数!$J$5+各项系数!$L$5)</f>
        <v>27.7752801610692</v>
      </c>
      <c r="CM164" s="260">
        <f t="shared" si="588"/>
        <v>26.7070001548742</v>
      </c>
      <c r="CN164" s="259">
        <f>CO164+各项系数!$M$9*$NO164</f>
        <v>29.8987552499601</v>
      </c>
      <c r="CO164" s="259">
        <f>CP164*(1+$DC164+(VLOOKUP($AM164,$A$12:$B$323,2,0))+各项系数!$J$6+各项系数!$M$5)*(1+$E$2)+各项系数!$M$9*$NK164</f>
        <v>29.5555231659792</v>
      </c>
      <c r="CP164" s="260">
        <f>CQ164+各项系数!$L$9*$NO164</f>
        <v>28.8054701127242</v>
      </c>
      <c r="CQ164" s="260">
        <f>CR164*(1+$DD164+各项系数!$J$5+各项系数!$L$5)</f>
        <v>28.4622380287432</v>
      </c>
      <c r="CR164" s="260">
        <f t="shared" si="589"/>
        <v>27.3675365660993</v>
      </c>
      <c r="CS164" s="259">
        <f>CT164+各项系数!$M$9*$NU164</f>
        <v>31.0960948077019</v>
      </c>
      <c r="CT164" s="259">
        <f t="shared" si="590"/>
        <v>30.7442126451515</v>
      </c>
      <c r="CU164" s="260">
        <f>CV164+各项系数!$L$9*$NU164</f>
        <v>30.1650438041125</v>
      </c>
      <c r="CV164" s="260">
        <f>CW164*(1+$DD164+各项系数!$J$5+各项系数!$L$5)</f>
        <v>29.8131616415622</v>
      </c>
      <c r="CW164" s="262">
        <f t="shared" si="591"/>
        <v>28.6665015784252</v>
      </c>
      <c r="CX164" s="259">
        <f>CY164+各项系数!$M$9*$NU164</f>
        <v>32.4325995278354</v>
      </c>
      <c r="CY164" s="259">
        <f t="shared" si="592"/>
        <v>32.0807173652851</v>
      </c>
      <c r="CZ164" s="260">
        <f>DA164+各项系数!$L$9*$NU164</f>
        <v>31.4763710412923</v>
      </c>
      <c r="DA164" s="260">
        <f>DB164*(1+$DD164+各项系数!$J$5+各项系数!$L$5)</f>
        <v>31.1244888787419</v>
      </c>
      <c r="DB164" s="262">
        <f t="shared" si="593"/>
        <v>29.9273931526364</v>
      </c>
      <c r="DC164" s="277">
        <f t="shared" si="698"/>
        <v>0</v>
      </c>
      <c r="DD164" s="277">
        <f t="shared" si="594"/>
        <v>0.02</v>
      </c>
      <c r="DE164" s="69" t="s">
        <v>498</v>
      </c>
      <c r="DF164" s="69" t="s">
        <v>513</v>
      </c>
      <c r="DG164" s="259">
        <f>DH164+各项系数!$M$9*$NQ164</f>
        <v>29.668741366443</v>
      </c>
      <c r="DH164" s="259">
        <f>DI164*(1+$EA164+(VLOOKUP($AM164,$A$12:$B$323,2,0))+各项系数!$J$6+各项系数!$M$5)*(1+$E$2)+各项系数!$M$9*$NK164</f>
        <v>29.3255092824621</v>
      </c>
      <c r="DI164" s="260">
        <f>DJ164+各项系数!$L$9*$NQ164</f>
        <v>28.5797893007961</v>
      </c>
      <c r="DJ164" s="260">
        <f>DK164*(1+$EB164+各项系数!$J$5+各项系数!$L$5)</f>
        <v>28.2365572168152</v>
      </c>
      <c r="DK164" s="260">
        <f t="shared" si="595"/>
        <v>26.8919592541097</v>
      </c>
      <c r="DL164" s="259">
        <f>DM164+各项系数!$M$9*$NQ164</f>
        <v>30.8105752680272</v>
      </c>
      <c r="DM164" s="259">
        <f>DN164*(1+$EA164+(VLOOKUP($AM164,$A$12:$B$323,2,0))+各项系数!$J$6+各项系数!$M$5)*(1+$E$2)+各项系数!$M$9*$NK164</f>
        <v>30.4673431840462</v>
      </c>
      <c r="DN164" s="260">
        <f>DO164+各项系数!$L$9*$NQ164</f>
        <v>29.7001129875937</v>
      </c>
      <c r="DO164" s="260">
        <f>DP164*(1+$EB164+各项系数!$J$5+各项系数!$L$5)</f>
        <v>29.3568809036128</v>
      </c>
      <c r="DP164" s="260">
        <f t="shared" si="596"/>
        <v>27.9589341939169</v>
      </c>
      <c r="DQ164" s="259">
        <f>DR164+各项系数!$M$9*$NV164</f>
        <v>31.5876158439274</v>
      </c>
      <c r="DR164" s="259">
        <f t="shared" si="597"/>
        <v>31.235733681377</v>
      </c>
      <c r="DS164" s="260">
        <f>DT164+各项系数!$L$9*$NV164</f>
        <v>30.6473054173636</v>
      </c>
      <c r="DT164" s="260">
        <f>DU164*(1+$EB164+各项系数!$J$5+各项系数!$L$5)</f>
        <v>30.2954232548133</v>
      </c>
      <c r="DU164" s="262">
        <f t="shared" si="598"/>
        <v>28.8527840522031</v>
      </c>
      <c r="DV164" s="259">
        <f>DW164+各项系数!$M$9*$NV164</f>
        <v>30.5739586717181</v>
      </c>
      <c r="DW164" s="259">
        <f t="shared" si="599"/>
        <v>30.2220765091678</v>
      </c>
      <c r="DX164" s="260">
        <f>DY164+各项系数!$L$9*$NV164</f>
        <v>29.6527438276764</v>
      </c>
      <c r="DY164" s="260">
        <f>DZ164*(1+$EB164+各项系数!$J$5+各项系数!$L$5)</f>
        <v>29.300861665126</v>
      </c>
      <c r="DZ164" s="262">
        <f t="shared" si="600"/>
        <v>27.9055825382152</v>
      </c>
      <c r="EA164" s="277">
        <f t="shared" si="699"/>
        <v>0</v>
      </c>
      <c r="EB164" s="277">
        <f t="shared" si="601"/>
        <v>0.03</v>
      </c>
      <c r="EC164" s="302">
        <f t="shared" si="649"/>
        <v>37</v>
      </c>
      <c r="ED164" s="302" t="str">
        <f t="shared" ref="ED164:ED190" si="756">IF(COUNTIF($D164,"*+*")&gt;0,MID($D164,1,FIND("+",$D164)-1),MID($D164,1,LEN($D164)))</f>
        <v>37*1</v>
      </c>
      <c r="EE164" s="251">
        <f t="shared" si="709"/>
        <v>1</v>
      </c>
      <c r="EF164" s="251">
        <f>LOOKUP(EH164,{1,7,10,14,19,24,30,37,48,61},{1,"1+6","2+8","4+10","1+6+12","2+8+14","4+10+16","1+6+12+18","3+9+15+21","1+6+12+18+24"})</f>
        <v>1</v>
      </c>
      <c r="EG164" s="250">
        <f t="shared" si="602"/>
        <v>37</v>
      </c>
      <c r="EH164" s="260">
        <f>VLOOKUP(EE164,各项系数!$B$87:$C$124,2,0)</f>
        <v>1</v>
      </c>
      <c r="EI164" s="250">
        <f>IF(EH164=0,0,VLOOKUP(EH164,各项系数!$D$142:$E$195,2,0))*1</f>
        <v>1</v>
      </c>
      <c r="EJ164" s="305">
        <f t="shared" si="650"/>
        <v>110.31595161029</v>
      </c>
      <c r="EK164" s="251">
        <f t="shared" si="689"/>
        <v>0</v>
      </c>
      <c r="EL164" s="251">
        <f t="shared" si="603"/>
        <v>0</v>
      </c>
      <c r="EM164" s="251">
        <f t="shared" si="690"/>
        <v>0</v>
      </c>
      <c r="EN164" s="251">
        <f>IF(EP164=0,0,LOOKUP(EP164,{1,7,10,14,19,24,30,37,48,61},{1,"1+6","2+8","4+10","1+6+12","2+8+14","4+10+16","1+6+12+18","3+9+15+21","1+6+12+18+24"}))</f>
        <v>0</v>
      </c>
      <c r="EO164" s="251">
        <f t="shared" si="691"/>
        <v>0</v>
      </c>
      <c r="EP164" s="251">
        <f>IF(EM164=0,0,IF(EM164&lt;10,1,IF(AND(EM164&gt;=10,EM164&lt;=35),7,LOOKUP(EM164,{50,70,95,120,150,185,240,300},{10,14,19,24,30,37,48,61})*1)))</f>
        <v>0</v>
      </c>
      <c r="EQ164" s="251">
        <f>IF(EP164=0,0,VLOOKUP(EP164,各项系数!$D$142:$E$195,2,0))*1</f>
        <v>0</v>
      </c>
      <c r="ER164" s="69">
        <f t="shared" si="710"/>
        <v>0</v>
      </c>
      <c r="ES164" s="566">
        <f t="shared" si="692"/>
        <v>37</v>
      </c>
      <c r="ET164" s="251">
        <f>VLOOKUP(ES164,各项系数!$D$142:$E$195,2,0)*1</f>
        <v>7</v>
      </c>
      <c r="EU164" s="311">
        <f>((各项系数!$F$76/4*$EJ164^2*$EG164*$EH164*1*10^-7)*(1-$H164)*AA164)*(VLOOKUP($EY$9,各项系数!$D$4:$F$143,3,0))*各项系数!$J$4</f>
        <v>0.312818967664447</v>
      </c>
      <c r="EV164" s="312">
        <f>EU164*(VLOOKUP($EY$9,各项系数!$D$4:$F$143,2,0))</f>
        <v>20.4896423820212</v>
      </c>
      <c r="EW164" s="324">
        <f>(IF($EO164=0,0,(各项系数!$F$76/4*$ER164^2*$EO164*$EP164*1*10^-7))*(1-$K164)*$AF164)*(VLOOKUP($EY$9,各项系数!$D$4:$F$143,3,0))*各项系数!$J$4</f>
        <v>0</v>
      </c>
      <c r="EX164" s="325">
        <f>EW164*(VLOOKUP($EY$9,各项系数!$D$4:$F$143,2,0))</f>
        <v>0</v>
      </c>
      <c r="EY164" s="251">
        <f>((各项系数!$F$76/4*$EJ164^2*$EG164*$EH164*1*10^-7)*(1-$H164)*AA164+IF($EO164=0,0,(各项系数!$F$76/4*$ER164^2*$EO164*$EP164*1*10^-7))*(1-$K164)*$AF164)*(VLOOKUP($EY$9,各项系数!$D$4:$F$143,3,0))*各项系数!$J$4</f>
        <v>0.312818967664447</v>
      </c>
      <c r="EZ164" s="123">
        <v>1</v>
      </c>
      <c r="FA164" s="251">
        <f t="shared" ref="FA164:FA190" si="757">EZ164*EY164</f>
        <v>0.312818967664447</v>
      </c>
      <c r="FB164" s="326">
        <f>FA164*(VLOOKUP($EY$9,各项系数!$D$4:$F$143,2,0))</f>
        <v>20.4896423820212</v>
      </c>
      <c r="FC164" s="327"/>
      <c r="FD164" s="302">
        <f>各项系数!$F$76/4*($MN164^2-MK164^2)*10^-2*(VLOOKUP(L164,各项系数!$D$1:$F$143,3,0))*10^-3*10^2*$EG164*各项系数!$J$4</f>
        <v>0.130009156162726</v>
      </c>
      <c r="FE164" s="339">
        <f>FD164*VLOOKUP(L164,各项系数!$D$1:$F$143,2,0)</f>
        <v>1.49510529587135</v>
      </c>
      <c r="FF164" s="250">
        <f>各项系数!$F$76/4*($MO164^2-ML164^2)*10^-2*(VLOOKUP(L164,各项系数!$D$1:$F$143,3,0))*10^-3*10^2*$EO164*各项系数!$J$4</f>
        <v>0</v>
      </c>
      <c r="FG164" s="339">
        <f>FF164*VLOOKUP(L164,各项系数!$D$1:$F$143,2,0)</f>
        <v>0</v>
      </c>
      <c r="FH164" s="302">
        <f t="shared" si="651"/>
        <v>0.130009156162726</v>
      </c>
      <c r="FI164" s="123">
        <v>1</v>
      </c>
      <c r="FJ164" s="251">
        <f t="shared" ref="FJ164:FJ190" si="758">FI164*FH164</f>
        <v>0.130009156162726</v>
      </c>
      <c r="FK164" s="339">
        <f>FJ164*VLOOKUP(L164,各项系数!$D$1:$F$143,2,0)</f>
        <v>1.49510529587135</v>
      </c>
      <c r="FL164" s="302"/>
      <c r="FM164" s="123"/>
      <c r="FN164" s="251"/>
      <c r="FO164" s="339"/>
      <c r="FP164" s="364">
        <f t="shared" ref="FP164:FP190" si="759">FJ164</f>
        <v>0.130009156162726</v>
      </c>
      <c r="FQ164" s="364">
        <f t="shared" ref="FQ164:FQ190" si="760">FK164</f>
        <v>1.49510529587135</v>
      </c>
      <c r="FR164" s="365">
        <f>各项系数!$F$76/4*($MQ164^2-$MN164^2*$EG164-$MO164^2*$EO164)*10^-2</f>
        <v>0.49994147258472</v>
      </c>
      <c r="FS164" s="366">
        <f t="shared" si="652"/>
        <v>1</v>
      </c>
      <c r="FT164" s="367">
        <f t="shared" si="604"/>
        <v>0.49994147258472</v>
      </c>
      <c r="FU164" s="388">
        <f>$FT164*(VLOOKUP($FT$9,各项系数!$D$1:$F$143,3,0))*10^-3*10^2*各项系数!$J$55</f>
        <v>0.0596930118266156</v>
      </c>
      <c r="FV164" s="389">
        <v>1</v>
      </c>
      <c r="FW164" s="390">
        <f t="shared" ref="FW164:FW190" si="761">FV164*FU164</f>
        <v>0.0596930118266156</v>
      </c>
      <c r="FX164" s="367">
        <f>FW164*(VLOOKUP($FT$9,各项系数!$D$1:$F$143,2,0))</f>
        <v>0.179079035479847</v>
      </c>
      <c r="FY164" s="388">
        <f>IF($BK164&lt;&gt;$FY$9,0,各项系数!$F$76/4*($MS164^2-$MQ164^2)*10^-2*(VLOOKUP($FY$9,各项系数!$D$1:$F$143,3,0))*10^-3*10^2)*各项系数!$J$4</f>
        <v>0</v>
      </c>
      <c r="FZ164" s="389">
        <v>1</v>
      </c>
      <c r="GA164" s="390">
        <f t="shared" ref="GA164:GA190" si="762">FZ164*FY164</f>
        <v>0</v>
      </c>
      <c r="GB164" s="367">
        <f>GA164*(VLOOKUP($FY$9,各项系数!$D$1:$F$143,2,0))</f>
        <v>0</v>
      </c>
      <c r="GC164" s="388">
        <f>IF($BK164&lt;&gt;$GC$9,0,各项系数!$F$76/4*($MS164^2-$MQ164^2)*10^-2*(VLOOKUP($GC$9,各项系数!$D$1:$F$143,3,0))*10^-3*10^2)*各项系数!$J$4</f>
        <v>0.00441445363734972</v>
      </c>
      <c r="GD164" s="389">
        <v>1</v>
      </c>
      <c r="GE164" s="390">
        <f t="shared" ref="GE164:GE190" si="763">GD164*GC164</f>
        <v>0.00441445363734972</v>
      </c>
      <c r="GF164" s="367">
        <f>GE164*(VLOOKUP($GC$9,各项系数!$D$1:$F$143,2,0))</f>
        <v>0.0569464519218114</v>
      </c>
      <c r="GG164" s="388">
        <f>IF($BK164&lt;&gt;$GG$9,0,各项系数!$F$76/4*($MS164^2-$MQ164^2)*10^-2*(VLOOKUP($GG$9,各项系数!$D$1:$F$143,3,0))*10^-3*10^2)*各项系数!$J$4</f>
        <v>0</v>
      </c>
      <c r="GH164" s="389">
        <v>1</v>
      </c>
      <c r="GI164" s="390">
        <f t="shared" ref="GI164:GI190" si="764">GH164*GG164</f>
        <v>0</v>
      </c>
      <c r="GJ164" s="367">
        <f>GI164*(VLOOKUP($GG$9,各项系数!$D$1:$F$143,2,0))</f>
        <v>0</v>
      </c>
      <c r="GK164" s="388">
        <f>IF($BK164&lt;&gt;$GK$9,0,各项系数!$F$76/4*($MS164^2-$MQ164^2)*10^-2*(VLOOKUP($GK$9,各项系数!$D$1:$F$143,3,0))*10^-3*10^2)*各项系数!$J$4</f>
        <v>0</v>
      </c>
      <c r="GL164" s="389">
        <v>1</v>
      </c>
      <c r="GM164" s="390">
        <f t="shared" ref="GM164:GM190" si="765">GL164*GK164</f>
        <v>0</v>
      </c>
      <c r="GN164" s="367">
        <f>GM164*(VLOOKUP($GK$9,各项系数!$D$1:$F$143,2,0))</f>
        <v>0</v>
      </c>
      <c r="GO164" s="390">
        <f t="shared" ref="GO164:GO190" si="766">GM164+GI164+GE164+GA164</f>
        <v>0.00441445363734972</v>
      </c>
      <c r="GP164" s="390">
        <f t="shared" ref="GP164:GP190" si="767">GN164+GJ164+GF164+GB164</f>
        <v>0.0569464519218114</v>
      </c>
      <c r="GQ164" s="406">
        <f>各项系数!$F$76/4*($MU164^2-$MS164^2)*10^-2*(VLOOKUP($S164,各项系数!$D$1:$F$143,3,0))*10^-3*10^2*各项系数!$J$4</f>
        <v>0.247838778758367</v>
      </c>
      <c r="GR164" s="389">
        <v>1</v>
      </c>
      <c r="GS164" s="390">
        <f t="shared" ref="GS164:GS190" si="768">$GR164*$GQ164</f>
        <v>0.247838778758367</v>
      </c>
      <c r="GT164" s="390">
        <f t="shared" si="696"/>
        <v>0</v>
      </c>
      <c r="GU164" s="390">
        <f>ROUND($GS164*(VLOOKUP($S164,各项系数!$D$1:$F$143,2,0))+$E$3*GS164,GT164)</f>
        <v>1</v>
      </c>
      <c r="GV164" s="406">
        <f>各项系数!$F$76/4*($MT164^2-$MS164^2)*10^-2*(VLOOKUP($GV$9,各项系数!$D$1:$F$143,3,0))*10^-3*10^2*各项系数!$J$4*PI()/4*R164</f>
        <v>0.022877498179469</v>
      </c>
      <c r="GW164" s="389">
        <v>1</v>
      </c>
      <c r="GX164" s="390">
        <f t="shared" ref="GX164:GX190" si="769">$GW164*$GV164</f>
        <v>0.022877498179469</v>
      </c>
      <c r="GY164" s="390">
        <f>$GX164*(VLOOKUP($GV$9,各项系数!$D$1:$F$143,2,0))</f>
        <v>1.54423112711416</v>
      </c>
      <c r="GZ164" s="406">
        <f>各项系数!$F$76/4*($MV164^2-$MS164^2)*10^-2*(VLOOKUP($GZ$9,各项系数!$D$1:$F$143,3,0))*10^-3*10^2*各项系数!$J$4</f>
        <v>0.147654553151737</v>
      </c>
      <c r="HA164" s="389">
        <v>1</v>
      </c>
      <c r="HB164" s="390">
        <f t="shared" si="653"/>
        <v>0.147654553151737</v>
      </c>
      <c r="HC164" s="390">
        <f>HB164*(VLOOKUP($GZ$9,各项系数!$D$1:$F$143,2,0))</f>
        <v>2.51012740357953</v>
      </c>
      <c r="HD164" s="406">
        <f>各项系数!$F$76/4*($MW164^2-$MT164^2)*10^-2*(VLOOKUP($HD$9,各项系数!$D$1:$F$143,3,0))*10^-3*10^2*各项系数!$J$4</f>
        <v>0.148959922598416</v>
      </c>
      <c r="HE164" s="389">
        <v>1</v>
      </c>
      <c r="HF164" s="390">
        <f t="shared" si="654"/>
        <v>0.148959922598416</v>
      </c>
      <c r="HG164" s="390">
        <f>HF164*(VLOOKUP($HD$9,各项系数!$D$1:$F$143,2,0))</f>
        <v>2.53231868417307</v>
      </c>
      <c r="HH164" s="406">
        <f>各项系数!$F$76/4*($MV164^2-$MS164^2)*10^-2*(VLOOKUP($HH$9,各项系数!$D$1:$F$143,3,0))*10^-3*10^2*各项系数!$J$4</f>
        <v>0.147654553151737</v>
      </c>
      <c r="HI164" s="420">
        <v>1</v>
      </c>
      <c r="HJ164" s="390">
        <f t="shared" si="655"/>
        <v>0.147654553151737</v>
      </c>
      <c r="HK164" s="390">
        <f>HJ164*(VLOOKUP($HH$9,各项系数!$D$1:$F$143,2,0))</f>
        <v>2.51012740357953</v>
      </c>
      <c r="HL164" s="406">
        <f>各项系数!$F$76/4*($MW164^2-$MT164^2)*10^-2*(VLOOKUP($HL$9,各项系数!$D$1:$F$143,3,0))*10^-3*10^2*各项系数!$J$4</f>
        <v>0.148959922598416</v>
      </c>
      <c r="HM164" s="420">
        <v>1</v>
      </c>
      <c r="HN164" s="390">
        <f t="shared" si="605"/>
        <v>0.148959922598416</v>
      </c>
      <c r="HO164" s="390">
        <f>HN164*(VLOOKUP($HL$9,各项系数!$D$1:$F$143,2,0))</f>
        <v>2.53231868417307</v>
      </c>
      <c r="HP164" s="406">
        <f>各项系数!$F$76/4*($MV164^2-$MS164^2)*10^-2*(VLOOKUP(AN164,各项系数!$D$1:$F$143,3,0))*10^-3*10^2*各项系数!$J$4</f>
        <v>0.149691167677968</v>
      </c>
      <c r="HQ164" s="389">
        <v>1</v>
      </c>
      <c r="HR164" s="390">
        <f t="shared" ref="HR164:HR190" si="770">HQ164*HP164</f>
        <v>0.149691167677968</v>
      </c>
      <c r="HS164" s="390">
        <f>HR164*(VLOOKUP(AN164,各项系数!$D$1:$F$143,2,0))</f>
        <v>1.49691167677968</v>
      </c>
      <c r="HT164" s="406">
        <f>各项系数!$F$76/4*($MW164^2-$MT164^2)*10^-2*(VLOOKUP(AN164,各项系数!$D$1:$F$143,3,0))*10^-3*10^2*各项系数!$J$4</f>
        <v>0.151014542220463</v>
      </c>
      <c r="HU164" s="389">
        <v>1</v>
      </c>
      <c r="HV164" s="390">
        <f t="shared" ref="HV164:HV190" si="771">HU164*HT164</f>
        <v>0.151014542220463</v>
      </c>
      <c r="HW164" s="390">
        <f>HV164*(VLOOKUP(AN164,各项系数!$D$1:$F$143,2,0))</f>
        <v>1.51014542220463</v>
      </c>
      <c r="HX164" s="406">
        <f>各项系数!$F$76/4*($MV164^2-$MS164^2)*10^-2*(VLOOKUP($HX$9,各项系数!$D$1:$F$143,3,0))*10^-3*10^2*各项系数!$J$4</f>
        <v>0.149691167677968</v>
      </c>
      <c r="HY164" s="420">
        <v>1</v>
      </c>
      <c r="HZ164" s="390">
        <f t="shared" ref="HZ164:HZ190" si="772">HY164*HX164</f>
        <v>0.149691167677968</v>
      </c>
      <c r="IA164" s="390">
        <f>HZ164*(VLOOKUP($HX$9,各项系数!$D$1:$F$143,2,0))</f>
        <v>1.64660284445765</v>
      </c>
      <c r="IB164" s="406">
        <f>各项系数!$F$76/4*($MW164^2-$MT164^2)*10^-2*(VLOOKUP($IB$9,各项系数!$D$1:$F$143,3,0))*10^-3*10^2*各项系数!$J$4</f>
        <v>0.151014542220463</v>
      </c>
      <c r="IC164" s="420">
        <v>1</v>
      </c>
      <c r="ID164" s="390">
        <f t="shared" ref="ID164:ID190" si="773">IC164*IB164</f>
        <v>0.151014542220463</v>
      </c>
      <c r="IE164" s="390">
        <f>ID164*(VLOOKUP($IB$9,各项系数!$D$1:$F$143,2,0))</f>
        <v>1.66115996442509</v>
      </c>
      <c r="IF164" s="429"/>
      <c r="IG164" s="406">
        <f t="shared" si="656"/>
        <v>0.0730288124464283</v>
      </c>
      <c r="IH164" s="389">
        <v>1</v>
      </c>
      <c r="II164" s="390">
        <f t="shared" ref="II164:II190" si="774">IH164*IG164</f>
        <v>0.0730288124464283</v>
      </c>
      <c r="IJ164" s="390">
        <f>II164*(VLOOKUP($IG$8,各项系数!$D$1:$F$143,2,0))</f>
        <v>1.82572031116071</v>
      </c>
      <c r="IK164" s="406">
        <f>(各项系数!$F$76/4*($MX164^2-$MK164^2)*$EG164)*10^-2*(VLOOKUP($IG$8,各项系数!$D$1:$F$143,3,0))*10^-3*10^2*各项系数!$J$4</f>
        <v>0.0730288124464283</v>
      </c>
      <c r="IL164" s="389">
        <f>IK164*(VLOOKUP($IG$8,各项系数!$D$1:$F$143,2,0))</f>
        <v>1.82572031116071</v>
      </c>
      <c r="IM164" s="390">
        <f>(各项系数!$F$76/4*(($MM164+3*$X164)^2-MM164^2)*$EO164)*10^-2*(VLOOKUP($IG$8,各项系数!$D$1:$F$143,3,0))*10^-3*10^2*各项系数!$J$4</f>
        <v>0</v>
      </c>
      <c r="IN164" s="389">
        <f>IM164*(VLOOKUP($IG$8,各项系数!$D$1:$F$143,2,0))</f>
        <v>0</v>
      </c>
      <c r="IO164" s="406">
        <f>各项系数!$F$76/4*($MZ164^2-$MX164^2)*10^-2*(VLOOKUP(L164,各项系数!$D$1:$F$143,3,0))*10^-3*10^2*$ES164*各项系数!$J$4</f>
        <v>0.175809618645322</v>
      </c>
      <c r="IP164" s="389">
        <v>1</v>
      </c>
      <c r="IQ164" s="390">
        <f t="shared" ref="IQ164:IQ190" si="775">IP164*IO164</f>
        <v>0.175809618645322</v>
      </c>
      <c r="IR164" s="367">
        <f>IQ164*(VLOOKUP(L164,各项系数!$D$1:$F$143,2,0))</f>
        <v>2.0218106144212</v>
      </c>
      <c r="IS164" s="406">
        <f>IF($L164&lt;&gt;$IS$9,0,各项系数!$F$76/4*($MZ164^2-$MX164^2)*10^-2*各项系数!$F$12*10^-3*10^2)*$ES164*各项系数!$J$4</f>
        <v>0</v>
      </c>
      <c r="IT164" s="389">
        <v>1</v>
      </c>
      <c r="IU164" s="390">
        <f t="shared" ref="IU164:IU190" si="776">IT164*IS164</f>
        <v>0</v>
      </c>
      <c r="IV164" s="367">
        <f>IU164*各项系数!$E$12</f>
        <v>0</v>
      </c>
      <c r="IW164" s="388">
        <f t="shared" ref="IW164:IW190" si="777">IQ164</f>
        <v>0.175809618645322</v>
      </c>
      <c r="IX164" s="388">
        <f t="shared" ref="IX164:IX190" si="778">IR164</f>
        <v>2.0218106144212</v>
      </c>
      <c r="IY164" s="447">
        <f>各项系数!$F$76/4*($NB164^2-$MZ164^2*$EG164-$NA164^2*$EO164)*10^-2</f>
        <v>0.794351878254275</v>
      </c>
      <c r="IZ164" s="366">
        <f t="shared" si="697"/>
        <v>1</v>
      </c>
      <c r="JA164" s="367">
        <f t="shared" si="606"/>
        <v>0.794351878254275</v>
      </c>
      <c r="JB164" s="364">
        <f>IF($DE164&lt;&gt;$JB$9,0,$JA164*各项系数!$F$32*10^-3*10^2)*各项系数!$J$4</f>
        <v>0</v>
      </c>
      <c r="JC164" s="123">
        <v>1</v>
      </c>
      <c r="JD164" s="251">
        <f t="shared" ref="JD164:JD190" si="779">JC164*JB164</f>
        <v>0</v>
      </c>
      <c r="JE164" s="339">
        <f>JD164*各项系数!$E$32</f>
        <v>0</v>
      </c>
      <c r="JF164" s="364">
        <f>IF($DE164&lt;&gt;$JF$9,0,$JA164*VLOOKUP($JF$9,各项系数!$D$4:$F$540,2,0)*10^-3*10^2)*各项系数!$J$4</f>
        <v>0.395190059431502</v>
      </c>
      <c r="JG164" s="123">
        <v>1</v>
      </c>
      <c r="JH164" s="251">
        <f t="shared" si="607"/>
        <v>0.395190059431502</v>
      </c>
      <c r="JI164" s="339">
        <f>JH164*VLOOKUP($JF$9,各项系数!$D$4:$F$540,3,0)</f>
        <v>0.474228071317802</v>
      </c>
      <c r="JJ164" s="364">
        <f t="shared" ref="JJ164:JJ190" si="780">JH164+JD164</f>
        <v>0.395190059431502</v>
      </c>
      <c r="JK164" s="251">
        <f t="shared" ref="JK164:JK190" si="781">JI164+JE164</f>
        <v>0.474228071317802</v>
      </c>
      <c r="JL164" s="364">
        <f>IF($DF164&lt;&gt;$JL$9,0,各项系数!$F$76/4*($NE164^2-$NC164^2)*10^-2*各项系数!$F$39*10^-3*10^2)*各项系数!$J$4</f>
        <v>0.00230038917993896</v>
      </c>
      <c r="JM164" s="123">
        <v>1</v>
      </c>
      <c r="JN164" s="251">
        <f t="shared" ref="JN164:JN190" si="782">JM164*JL164</f>
        <v>0.00230038917993896</v>
      </c>
      <c r="JO164" s="339">
        <f>JN164*各项系数!$E$39</f>
        <v>0.0460077835987792</v>
      </c>
      <c r="JP164" s="364">
        <f>IF($DF164&lt;&gt;$JP$9,0,各项系数!$F$76/4*($NE164^2-$NC164^2)*10^-2*各项系数!$F$36*10^-3*10^2)*各项系数!$J$4</f>
        <v>0</v>
      </c>
      <c r="JQ164" s="123">
        <v>1</v>
      </c>
      <c r="JR164" s="251">
        <f t="shared" ref="JR164:JR190" si="783">JQ164*JP164</f>
        <v>0</v>
      </c>
      <c r="JS164" s="339">
        <f>JR164*各项系数!$E$36</f>
        <v>0</v>
      </c>
      <c r="JT164" s="364">
        <f>IF($DF164&lt;&gt;$JT$9,0,各项系数!$F$76/4*($NE164^2-$NC164^2)*10^-2*各项系数!$F$40*10^-3*10^2)*各项系数!$J$4</f>
        <v>0</v>
      </c>
      <c r="JU164" s="123">
        <v>1</v>
      </c>
      <c r="JV164" s="251">
        <f t="shared" ref="JV164:JV190" si="784">JU164*JT164</f>
        <v>0</v>
      </c>
      <c r="JW164" s="339">
        <f>JV164*各项系数!$E$40</f>
        <v>0</v>
      </c>
      <c r="JX164" s="364">
        <f>IF($DF164&lt;&gt;$JX$9,0,各项系数!$F$76/4*($NE164^2-$NC164^2)*10^-2*各项系数!$F$38*10^-3*10^2)*各项系数!$J$4</f>
        <v>0</v>
      </c>
      <c r="JY164" s="123">
        <v>1</v>
      </c>
      <c r="JZ164" s="251">
        <f t="shared" ref="JZ164:JZ190" si="785">JY164*JX164</f>
        <v>0</v>
      </c>
      <c r="KA164" s="339">
        <f>JZ164*各项系数!$E$38</f>
        <v>0</v>
      </c>
      <c r="KB164" s="364">
        <f>IF($DF164&lt;&gt;$KB$9,0,各项系数!$F$76/4*($NE164^2-$NC164^2)*10^-2*各项系数!$F$41*10^-3*10^2)*各项系数!$J$4</f>
        <v>0</v>
      </c>
      <c r="KC164" s="123">
        <v>1</v>
      </c>
      <c r="KD164" s="251">
        <f t="shared" ref="KD164:KD190" si="786">KC164*KB164</f>
        <v>0</v>
      </c>
      <c r="KE164" s="339">
        <f>KD164*各项系数!$E$41</f>
        <v>0</v>
      </c>
      <c r="KF164" s="251">
        <f t="shared" ref="KF164:KF190" si="787">KD164+JZ164+JV164+JR164+JN164</f>
        <v>0.00230038917993896</v>
      </c>
      <c r="KG164" s="251">
        <f t="shared" ref="KG164:KG190" si="788">KE164+KA164+JW164+JS164+JO164</f>
        <v>0.0460077835987792</v>
      </c>
      <c r="KH164" s="302">
        <f>各项系数!$F$76/4*($NG164^2-$NE164^2)*10^-2*各项系数!$F$44*10^-3*10^2*各项系数!$J$4*0.75*$U164</f>
        <v>0.931132135444839</v>
      </c>
      <c r="KI164" s="123">
        <v>1</v>
      </c>
      <c r="KJ164" s="251">
        <f t="shared" ref="KJ164:KJ190" si="789">KI164*KH164</f>
        <v>0.931132135444839</v>
      </c>
      <c r="KK164" s="251">
        <f>ROUND(KJ164*各项系数!$E$43,GT164)</f>
        <v>5</v>
      </c>
      <c r="KL164" s="302">
        <f>各项系数!$F$76/4*($NF164^2-$NE164^2)*10^-2*各项系数!$F$46*10^-3*10^2*各项系数!$J$4*PI()/4*R164</f>
        <v>0.0288335952314959</v>
      </c>
      <c r="KM164" s="123">
        <v>1</v>
      </c>
      <c r="KN164" s="251">
        <f t="shared" ref="KN164:KN190" si="790">$KL164*$KM164</f>
        <v>0.0288335952314959</v>
      </c>
      <c r="KO164" s="251">
        <f>KN164*各项系数!$E$46</f>
        <v>1.94626767812597</v>
      </c>
      <c r="KP164" s="302">
        <f>各项系数!$F$76/4*($NH164^2-$NE164^2)*10^-2*(VLOOKUP($KP$9,各项系数!$D$1:$F$143,3,0))*10^-3*10^2*各项系数!$J$4</f>
        <v>0.182442648905717</v>
      </c>
      <c r="KQ164" s="123">
        <v>1</v>
      </c>
      <c r="KR164" s="251">
        <f t="shared" si="657"/>
        <v>0.182442648905717</v>
      </c>
      <c r="KS164" s="251">
        <f>KR164*(VLOOKUP($KP$9,各项系数!$D$1:$F$143,2,0))</f>
        <v>3.10152503139718</v>
      </c>
      <c r="KT164" s="302">
        <f>各项系数!$F$76/4*($NI164^2-$NF164^2)*10^-2*(VLOOKUP($KT$9,各项系数!$D$1:$F$143,3,0))*10^-3*10^2*各项系数!$J$4</f>
        <v>0.183748018352395</v>
      </c>
      <c r="KU164" s="123">
        <v>1</v>
      </c>
      <c r="KV164" s="251">
        <f t="shared" si="658"/>
        <v>0.183748018352395</v>
      </c>
      <c r="KW164" s="251">
        <f>KV164*(VLOOKUP($KT$9,各项系数!$D$1:$F$143,2,0))</f>
        <v>3.12371631199072</v>
      </c>
      <c r="KX164" s="251">
        <f>各项系数!$F$76/4*($NH164^2-$NE164^2)*10^-2*(VLOOKUP($KX$9,各项系数!$D$1:$F$143,3,0))*10^-3*10^2*各项系数!$J$4</f>
        <v>0.182442648905717</v>
      </c>
      <c r="KY164" s="479">
        <v>1</v>
      </c>
      <c r="KZ164" s="251">
        <f t="shared" si="659"/>
        <v>0.182442648905717</v>
      </c>
      <c r="LA164" s="251">
        <f>KZ164*(VLOOKUP($KX$9,各项系数!$D$1:$F$143,2,0))</f>
        <v>3.10152503139718</v>
      </c>
      <c r="LB164" s="251">
        <f>各项系数!$F$76/4*($NI164^2-$NF164^2)*10^-2*(VLOOKUP($LB$9,各项系数!$D$1:$F$143,3,0))*10^-3*10^2*各项系数!$J$4</f>
        <v>0.183748018352395</v>
      </c>
      <c r="LC164" s="479">
        <v>1</v>
      </c>
      <c r="LD164" s="251">
        <f t="shared" si="660"/>
        <v>0.183748018352395</v>
      </c>
      <c r="LE164" s="251">
        <f>LD164*(VLOOKUP($LB$9,各项系数!$D$1:$F$143,2,0))</f>
        <v>3.12371631199072</v>
      </c>
      <c r="LF164" s="302">
        <f>各项系数!$F$76/4*($NH164^2-$NE164^2)*10^-2*(VLOOKUP(AN164,各项系数!$D$1:$F$143,3,0))*10^-3*10^2*各项系数!$J$4</f>
        <v>0.184959099235451</v>
      </c>
      <c r="LG164" s="123">
        <v>1</v>
      </c>
      <c r="LH164" s="251">
        <f t="shared" ref="LH164:LH190" si="791">LG164*LF164</f>
        <v>0.184959099235451</v>
      </c>
      <c r="LI164" s="251">
        <f>LH164*(VLOOKUP(AN164,各项系数!$D$1:$F$143,2,0))</f>
        <v>1.84959099235451</v>
      </c>
      <c r="LJ164" s="302">
        <f>各项系数!$F$76/4*($NI164^2-$NF164^2)*10^-2*(VLOOKUP(AN164,各项系数!$D$1:$F$143,3,0))*10^-3*10^2*各项系数!$J$4</f>
        <v>0.186282473777945</v>
      </c>
      <c r="LK164" s="123">
        <v>1</v>
      </c>
      <c r="LL164" s="251">
        <f t="shared" ref="LL164:LL190" si="792">LK164*LJ164</f>
        <v>0.186282473777945</v>
      </c>
      <c r="LM164" s="251">
        <f>LL164*(VLOOKUP(AN164,各项系数!$D$1:$F$143,2,0))</f>
        <v>1.86282473777945</v>
      </c>
      <c r="LN164" s="251">
        <f>各项系数!$F$76/4*($NH164^2-$NE164^2)*10^-2*(VLOOKUP($LN$9,各项系数!$D$1:$F$143,3,0))*10^-3*10^2*各项系数!$J$4</f>
        <v>0.184959099235451</v>
      </c>
      <c r="LO164" s="479">
        <v>1</v>
      </c>
      <c r="LP164" s="251">
        <f t="shared" ref="LP164:LP190" si="793">LO164*LN164</f>
        <v>0.184959099235451</v>
      </c>
      <c r="LQ164" s="251">
        <f>LP164*(VLOOKUP($LN$9,各项系数!$D$1:$F$143,2,0))</f>
        <v>2.03455009158996</v>
      </c>
      <c r="LR164" s="251">
        <f>各项系数!$F$76/4*($NI164^2-$NF164^2)*10^-2*(VLOOKUP($LR$9,各项系数!$D$1:$F$143,3,0))*10^-3*10^2*各项系数!$J$4</f>
        <v>0.186282473777945</v>
      </c>
      <c r="LS164" s="479">
        <v>1</v>
      </c>
      <c r="LT164" s="251">
        <f t="shared" ref="LT164:LT190" si="794">LS164*LR164</f>
        <v>0.186282473777945</v>
      </c>
      <c r="LU164" s="251">
        <f>LT164*(VLOOKUP($LR$9,各项系数!$D$1:$F$143,2,0))</f>
        <v>2.0491072115574</v>
      </c>
      <c r="LV164" s="499">
        <f t="shared" si="661"/>
        <v>35.36455844</v>
      </c>
      <c r="LW164" s="499">
        <f t="shared" si="662"/>
        <v>35.36455844</v>
      </c>
      <c r="LX164" s="499">
        <f t="shared" si="663"/>
        <v>6.71025739356589</v>
      </c>
      <c r="LY164" s="515">
        <f t="shared" si="664"/>
        <v>0</v>
      </c>
      <c r="LZ164" s="516">
        <f t="shared" si="608"/>
        <v>1</v>
      </c>
      <c r="MA164" s="517">
        <f t="shared" si="609"/>
        <v>35.36455844</v>
      </c>
      <c r="MB164" s="517">
        <f t="shared" si="665"/>
        <v>1.10315952</v>
      </c>
      <c r="MC164" s="499">
        <f t="shared" si="666"/>
        <v>0</v>
      </c>
      <c r="MD164" s="499">
        <f t="shared" si="667"/>
        <v>0</v>
      </c>
      <c r="ME164" s="499">
        <f t="shared" si="668"/>
        <v>0</v>
      </c>
      <c r="MF164" s="499">
        <f t="shared" si="669"/>
        <v>0</v>
      </c>
      <c r="MG164" s="516">
        <f t="shared" si="670"/>
        <v>1</v>
      </c>
      <c r="MH164" s="517">
        <f t="shared" si="610"/>
        <v>0</v>
      </c>
      <c r="MI164" s="517">
        <f t="shared" si="671"/>
        <v>0</v>
      </c>
      <c r="MJ164" s="251">
        <f t="shared" si="611"/>
        <v>1.10315952</v>
      </c>
      <c r="MK164" s="251">
        <f t="shared" si="672"/>
        <v>1.10315952</v>
      </c>
      <c r="ML164" s="251">
        <f t="shared" ref="ML164:ML190" si="795">$ER164*$EQ164*10^-2</f>
        <v>0</v>
      </c>
      <c r="MM164" s="251">
        <f t="shared" si="612"/>
        <v>0</v>
      </c>
      <c r="MN164" s="251">
        <f t="shared" si="613"/>
        <v>2.30315952</v>
      </c>
      <c r="MO164" s="251">
        <f t="shared" si="673"/>
        <v>0</v>
      </c>
      <c r="MP164" s="251">
        <f t="shared" si="674"/>
        <v>16.12211664</v>
      </c>
      <c r="MQ164" s="251">
        <f t="shared" ref="MQ164:MQ190" si="796">MP164</f>
        <v>16.12211664</v>
      </c>
      <c r="MR164" s="314">
        <f t="shared" si="675"/>
        <v>16.12211664</v>
      </c>
      <c r="MS164" s="530">
        <f t="shared" si="614"/>
        <v>16.29811664</v>
      </c>
      <c r="MT164" s="530">
        <f t="shared" si="615"/>
        <v>16.45811664</v>
      </c>
      <c r="MU164" s="530">
        <f t="shared" si="616"/>
        <v>17.49811664</v>
      </c>
      <c r="MV164" s="530">
        <f t="shared" si="617"/>
        <v>19.89811664</v>
      </c>
      <c r="MW164" s="530">
        <f t="shared" si="618"/>
        <v>20.05811664</v>
      </c>
      <c r="MX164" s="326">
        <f t="shared" si="619"/>
        <v>1.70315952</v>
      </c>
      <c r="MY164" s="326">
        <f t="shared" si="620"/>
        <v>0</v>
      </c>
      <c r="MZ164" s="251">
        <f t="shared" si="621"/>
        <v>2.90315952</v>
      </c>
      <c r="NA164" s="251">
        <f t="shared" si="622"/>
        <v>0</v>
      </c>
      <c r="NB164" s="251">
        <f t="shared" si="676"/>
        <v>20.32211664</v>
      </c>
      <c r="NC164" s="326">
        <f t="shared" ref="NC164:NC190" si="797">NB164</f>
        <v>20.32211664</v>
      </c>
      <c r="ND164" s="314">
        <f t="shared" si="677"/>
        <v>20.32211664</v>
      </c>
      <c r="NE164" s="537">
        <f t="shared" si="678"/>
        <v>20.56211664</v>
      </c>
      <c r="NF164" s="530">
        <f t="shared" si="623"/>
        <v>20.72211664</v>
      </c>
      <c r="NG164" s="538">
        <f t="shared" si="624"/>
        <v>21.76211664</v>
      </c>
      <c r="NH164" s="326">
        <f t="shared" si="625"/>
        <v>24.16211664</v>
      </c>
      <c r="NI164" s="530">
        <f t="shared" si="626"/>
        <v>24.32211664</v>
      </c>
      <c r="NK164" s="539">
        <f t="shared" si="627"/>
        <v>0.656626756969106</v>
      </c>
      <c r="NL164" s="539">
        <f t="shared" si="628"/>
        <v>23.7176848420739</v>
      </c>
      <c r="NM164" s="539">
        <f t="shared" si="629"/>
        <v>0.656626756969106</v>
      </c>
      <c r="NN164" s="539">
        <f t="shared" si="630"/>
        <v>23.8673760097519</v>
      </c>
      <c r="NO164" s="539">
        <f t="shared" si="631"/>
        <v>1.14410694660309</v>
      </c>
      <c r="NP164" s="539">
        <f t="shared" si="632"/>
        <v>26.7070001548742</v>
      </c>
      <c r="NQ164" s="539">
        <f t="shared" si="633"/>
        <v>1.14410694660309</v>
      </c>
      <c r="NR164" s="539">
        <f t="shared" si="634"/>
        <v>26.8919592541097</v>
      </c>
      <c r="NS164" s="539">
        <f t="shared" si="635"/>
        <v>0.679504255148575</v>
      </c>
      <c r="NT164" s="539">
        <f t="shared" si="636"/>
        <v>0.679504255148575</v>
      </c>
      <c r="NU164" s="539">
        <f t="shared" si="637"/>
        <v>1.17294054183458</v>
      </c>
      <c r="NV164" s="539">
        <f t="shared" si="638"/>
        <v>1.17294054183458</v>
      </c>
      <c r="NW164">
        <f t="shared" si="639"/>
        <v>0.904465535727473</v>
      </c>
      <c r="NX164">
        <f>各项系数!$M$9*NK164</f>
        <v>0.196988027090732</v>
      </c>
      <c r="NY164">
        <f t="shared" si="640"/>
        <v>0.679504255148575</v>
      </c>
    </row>
    <row r="165" customHeight="1" spans="1:389">
      <c r="A165" s="85"/>
      <c r="B165" s="86"/>
      <c r="C165" s="218"/>
      <c r="D165" s="123" t="s">
        <v>144</v>
      </c>
      <c r="E165" s="77">
        <f t="shared" si="687"/>
        <v>8.06137897</v>
      </c>
      <c r="F165" s="559">
        <f>$F$16</f>
        <v>134.922667214547</v>
      </c>
      <c r="G165" s="23"/>
      <c r="H165" s="23"/>
      <c r="I165" s="174">
        <v>0</v>
      </c>
      <c r="J165" s="23"/>
      <c r="K165" s="23"/>
      <c r="L165" s="118" t="s">
        <v>469</v>
      </c>
      <c r="M165" s="124">
        <f t="shared" si="582"/>
        <v>0.7</v>
      </c>
      <c r="N165" s="124">
        <f t="shared" si="583"/>
        <v>0</v>
      </c>
      <c r="O165" s="69">
        <f t="shared" si="703"/>
        <v>0.08</v>
      </c>
      <c r="P165" s="120">
        <v>0.1</v>
      </c>
      <c r="Q165" s="162">
        <f t="shared" si="754"/>
        <v>0.1</v>
      </c>
      <c r="R165" s="560">
        <v>0.8</v>
      </c>
      <c r="S165" s="171" t="str">
        <f>各项系数!$D$43</f>
        <v>钢带</v>
      </c>
      <c r="T165" s="123">
        <v>0.2</v>
      </c>
      <c r="U165" s="78">
        <v>4</v>
      </c>
      <c r="V165" s="172"/>
      <c r="W165" s="561">
        <v>1.2</v>
      </c>
      <c r="X165" s="164">
        <f t="shared" si="755"/>
        <v>0.2</v>
      </c>
      <c r="Y165" s="219"/>
      <c r="Z165" s="220"/>
      <c r="AA165" s="217">
        <v>1</v>
      </c>
      <c r="AB165" s="186">
        <f>PI()*EJ165*EJ165/4*EH165*(1-H165)*AA165*各项系数!$F$5*各项系数!$J$4*10^-7</f>
        <v>0.0126469138144438</v>
      </c>
      <c r="AC165" s="186">
        <f t="shared" si="704"/>
        <v>134.922667214547</v>
      </c>
      <c r="AD165" s="186">
        <f t="shared" si="584"/>
        <v>1.42974872274124</v>
      </c>
      <c r="AE165" s="186">
        <f>POWER(4*EU165/PI()/EG165/10^-7/EH165/(1-H165)/各项系数!$F$5/各项系数!$J$4,0.5)</f>
        <v>134.922667214547</v>
      </c>
      <c r="AF165" s="218">
        <v>1</v>
      </c>
      <c r="AG165" s="85">
        <f>IF(EM165=0,0,PI()*ER165*ER165/4*EP165*(1-K165)*(1+AF165)*各项系数!$F$5*各项系数!$J$4*10^-7)</f>
        <v>0</v>
      </c>
      <c r="AH165" s="85">
        <f t="shared" si="705"/>
        <v>0</v>
      </c>
      <c r="AI165" s="85">
        <f t="shared" si="641"/>
        <v>0</v>
      </c>
      <c r="AJ165" s="85">
        <f>IF(OR(EP165="",EP165=0),0,POWER(4*EW165/PI()/EO165/10^-7/EP165/(1-K165)/各项系数!$F$5/各项系数!$J$4,0.5))</f>
        <v>0</v>
      </c>
      <c r="AK165" s="85" t="str">
        <f t="shared" si="585"/>
        <v>√</v>
      </c>
      <c r="AL165" s="85">
        <f t="shared" si="706"/>
        <v>2.30103479679179</v>
      </c>
      <c r="AM165" s="250">
        <f t="shared" si="707"/>
        <v>1.5</v>
      </c>
      <c r="AN165" s="118" t="s">
        <v>486</v>
      </c>
      <c r="AO165" s="259">
        <f>AP165+各项系数!$M$9*$NK165</f>
        <v>2.25591646744293</v>
      </c>
      <c r="AP165" s="259">
        <f>AQ165*(1+$BI165+(VLOOKUP($AM165,$A$12:$B$323,2,0))+各项系数!$J$6+各项系数!$M$5)*(1+$E$2)</f>
        <v>2.23338405294697</v>
      </c>
      <c r="AQ165" s="260">
        <f>AR165+各项系数!$L$9*$NK165</f>
        <v>2.25639932607292</v>
      </c>
      <c r="AR165" s="260">
        <f>AS165*(1+$BJ165+各项系数!$J$5+各项系数!$L$5)</f>
        <v>2.23386691157696</v>
      </c>
      <c r="AS165" s="260">
        <f t="shared" si="642"/>
        <v>2.16880282677375</v>
      </c>
      <c r="AT165" s="259">
        <f>AU165+各项系数!$M$9*$NM165</f>
        <v>2.51699632164865</v>
      </c>
      <c r="AU165" s="259">
        <f>AV165*(1+$BI165+(VLOOKUP($AM165,$A$12:$B$323,2,0))+各项系数!$J$6+各项系数!$M$5)*(1+$E$2)</f>
        <v>2.4944639071527</v>
      </c>
      <c r="AV165" s="260">
        <f>AW165+各项系数!$L$9*$NM165</f>
        <v>2.52016963745473</v>
      </c>
      <c r="AW165" s="260">
        <f>AX165*(1+$BJ165+各项系数!$J$5+各项系数!$L$5)</f>
        <v>2.49763722295878</v>
      </c>
      <c r="AX165" s="260">
        <f t="shared" si="643"/>
        <v>2.42489050772697</v>
      </c>
      <c r="AY165" s="259">
        <f>AZ165+各项系数!$M$9*$NS165</f>
        <v>2.82158407336133</v>
      </c>
      <c r="AZ165" s="259">
        <f>BA165*(1+$BI165+(VLOOKUP($AM165,$A$12:$B$214,2,0))+各项系数!$J$6+各项系数!$M$5)*(1+$E$2)</f>
        <v>2.79664573412162</v>
      </c>
      <c r="BA165" s="260">
        <f>BB165+各项系数!$L$9*$NS165</f>
        <v>2.82546548203842</v>
      </c>
      <c r="BB165" s="260">
        <f>BC165*(1+$BJ165+各项系数!$J$5+各项系数!$L$5)</f>
        <v>2.80052714279871</v>
      </c>
      <c r="BC165" s="262">
        <f t="shared" si="644"/>
        <v>2.71895839106671</v>
      </c>
      <c r="BD165" s="259">
        <f>BE165+各项系数!$M$9*$NS165</f>
        <v>3.08875202980649</v>
      </c>
      <c r="BE165" s="259">
        <f>BF165*(1+$BI165+(VLOOKUP($AM165,$A$12:$B$214,2,0))+各项系数!$J$6+各项系数!$M$5)*(1+$E$2)</f>
        <v>3.06381369056679</v>
      </c>
      <c r="BF165" s="260">
        <f>BG165+各项系数!$L$9*$NS165</f>
        <v>3.095386634236</v>
      </c>
      <c r="BG165" s="260">
        <f>BH165*(1+$BJ165+各项系数!$J$5+各项系数!$L$5)</f>
        <v>3.07044829499629</v>
      </c>
      <c r="BH165" s="262">
        <f t="shared" si="645"/>
        <v>2.98101776213232</v>
      </c>
      <c r="BI165" s="277"/>
      <c r="BJ165" s="565">
        <v>0.01</v>
      </c>
      <c r="BK165" s="123" t="s">
        <v>514</v>
      </c>
      <c r="BL165" s="259">
        <f>BM165+各项系数!$M$9*$NM165</f>
        <v>2.31632935589324</v>
      </c>
      <c r="BM165" s="259">
        <f>BN165*(1+$CF165+(VLOOKUP($AM165,$A$12:$B$323,2,0))+各项系数!$J$6+各项系数!$M$5)*(1+$E$2)</f>
        <v>2.29379694139729</v>
      </c>
      <c r="BN165" s="260">
        <f>BO165+各项系数!$L$9*$NM165</f>
        <v>2.31743477611365</v>
      </c>
      <c r="BO165" s="260">
        <f>BP165*(1+$CG165+各项系数!$J$5+各项系数!$L$5)</f>
        <v>2.29490236161769</v>
      </c>
      <c r="BP165" s="260">
        <f t="shared" si="646"/>
        <v>2.20663688617085</v>
      </c>
      <c r="BQ165" s="259">
        <f>BR165+各项系数!$M$9*$NM165</f>
        <v>2.54099788789413</v>
      </c>
      <c r="BR165" s="259">
        <f>BS165*(1+$CF165+(VLOOKUP($AM165,$A$12:$B$323,2,0))+各项系数!$J$6+各项系数!$M$5)*(1+$E$2)</f>
        <v>2.51846547339818</v>
      </c>
      <c r="BS165" s="260">
        <f>BT165+各项系数!$L$9*$NM165</f>
        <v>2.544418542532</v>
      </c>
      <c r="BT165" s="260">
        <f>BU165*(1+$CG165+各项系数!$J$5+各项系数!$L$5)</f>
        <v>2.52188612803605</v>
      </c>
      <c r="BU165" s="260">
        <f t="shared" si="647"/>
        <v>2.42489050772697</v>
      </c>
      <c r="BV165" s="259">
        <f>BW165+各项系数!$M$9*$NT165</f>
        <v>2.87184573062838</v>
      </c>
      <c r="BW165" s="259">
        <f>BX165*(1+$CF165+(VLOOKUP($AM165,$A$12:$B$214,2,0))+各项系数!$J$6+各项系数!$M$5)*(1+$E$2)</f>
        <v>2.84690739138868</v>
      </c>
      <c r="BX165" s="260">
        <f>BY165+各项系数!$L$9*$NT$12</f>
        <v>2.87624509132014</v>
      </c>
      <c r="BY165" s="260">
        <f>BZ165*(1+$CG165+各项系数!$J$5+各项系数!$L$5)</f>
        <v>2.86798168816517</v>
      </c>
      <c r="BZ165" s="262">
        <f t="shared" si="586"/>
        <v>2.75767470015882</v>
      </c>
      <c r="CA165" s="259">
        <f>CB165+各项系数!$M$9*$NT165</f>
        <v>3.10175329187941</v>
      </c>
      <c r="CB165" s="259">
        <f>CC165*(1+$CF165+(VLOOKUP($AM165,$A$12:$B$214,2,0))+各项系数!$J$6+各项系数!$M$5)*(1+$E$2)</f>
        <v>3.07681495263971</v>
      </c>
      <c r="CC165" s="260">
        <f>CD165+各项系数!$L$9*$NT$12</f>
        <v>3.10852187577259</v>
      </c>
      <c r="CD165" s="260">
        <f>CE165*(1+$CG165+各项系数!$J$5+各项系数!$L$5)</f>
        <v>3.10025847261762</v>
      </c>
      <c r="CE165" s="262">
        <f t="shared" si="648"/>
        <v>2.98101776213232</v>
      </c>
      <c r="CF165" s="277">
        <f t="shared" si="753"/>
        <v>0</v>
      </c>
      <c r="CG165" s="277">
        <f t="shared" si="587"/>
        <v>0.02</v>
      </c>
      <c r="CH165" s="123"/>
      <c r="CI165" s="259">
        <f>CJ165+各项系数!$M$9*$NO165</f>
        <v>2.51117306806899</v>
      </c>
      <c r="CJ165" s="259">
        <f>CK165*(1+$DC165+(VLOOKUP($AM165,$A$12:$B$323,2,0))+各项系数!$J$6+各项系数!$M$5)*(1+$E$2)+各项系数!$M$9*$NK165</f>
        <v>2.48340109544507</v>
      </c>
      <c r="CK165" s="260">
        <f>CL165+各项系数!$L$9*$NO165</f>
        <v>2.48622820867763</v>
      </c>
      <c r="CL165" s="260">
        <f>CM165*(1+$DD165+各项系数!$J$5+各项系数!$L$5)</f>
        <v>2.45845623605371</v>
      </c>
      <c r="CM165" s="260">
        <f t="shared" si="588"/>
        <v>2.38685071461526</v>
      </c>
      <c r="CN165" s="259">
        <f>CO165+各项系数!$M$9*$NO165</f>
        <v>2.701356913695</v>
      </c>
      <c r="CO165" s="259">
        <f>CP165*(1+$DC165+(VLOOKUP($AM165,$A$12:$B$323,2,0))+各项系数!$J$6+各项系数!$M$5)*(1+$E$2)+各项系数!$M$9*$NK165</f>
        <v>2.67358494107109</v>
      </c>
      <c r="CP165" s="260">
        <f>CQ165+各项系数!$L$9*$NO165</f>
        <v>2.67837192016077</v>
      </c>
      <c r="CQ165" s="260">
        <f>CR165*(1+$DD165+各项系数!$J$5+各项系数!$L$5)</f>
        <v>2.65059994753686</v>
      </c>
      <c r="CR165" s="260">
        <f t="shared" si="589"/>
        <v>2.57339800731734</v>
      </c>
      <c r="CS165" s="259">
        <f>CT165+各项系数!$M$9*$NU165</f>
        <v>3.17658662256177</v>
      </c>
      <c r="CT165" s="259">
        <f t="shared" si="590"/>
        <v>3.14588024173214</v>
      </c>
      <c r="CU165" s="260">
        <f>CV165+各项系数!$L$9*$NU165</f>
        <v>3.17829889041437</v>
      </c>
      <c r="CV165" s="260">
        <f>CW165*(1+$DD165+各项系数!$J$5+各项系数!$L$5)</f>
        <v>3.14759250958475</v>
      </c>
      <c r="CW165" s="262">
        <f t="shared" si="591"/>
        <v>3.05591505784927</v>
      </c>
      <c r="CX165" s="259">
        <f>CY165+各项系数!$M$9*$NU165</f>
        <v>3.49174201338572</v>
      </c>
      <c r="CY165" s="259">
        <f t="shared" si="592"/>
        <v>3.46103563255609</v>
      </c>
      <c r="CZ165" s="260">
        <f>DA165+各项系数!$L$9*$NU165</f>
        <v>3.49670199288351</v>
      </c>
      <c r="DA165" s="260">
        <f>DB165*(1+$DD165+各项系数!$J$5+各项系数!$L$5)</f>
        <v>3.46599561205389</v>
      </c>
      <c r="DB165" s="262">
        <f t="shared" si="593"/>
        <v>3.36504428354746</v>
      </c>
      <c r="DC165" s="277">
        <f t="shared" si="698"/>
        <v>0</v>
      </c>
      <c r="DD165" s="277">
        <f t="shared" si="594"/>
        <v>0.01</v>
      </c>
      <c r="DE165" s="69" t="s">
        <v>498</v>
      </c>
      <c r="DF165" s="69" t="s">
        <v>513</v>
      </c>
      <c r="DG165" s="259">
        <f>DH165+各项系数!$M$9*$NQ165</f>
        <v>2.58090262644742</v>
      </c>
      <c r="DH165" s="259">
        <f>DI165*(1+$EA165+(VLOOKUP($AM165,$A$12:$B$323,2,0))+各项系数!$J$6+各项系数!$M$5)*(1+$E$2)+各项系数!$M$9*$NK165</f>
        <v>2.55313065382351</v>
      </c>
      <c r="DI165" s="260">
        <f>DJ165+各项系数!$L$9*$NQ165</f>
        <v>2.55667633797489</v>
      </c>
      <c r="DJ165" s="260">
        <f>DK165*(1+$EB165+各项系数!$J$5+各项系数!$L$5)</f>
        <v>2.52890436535098</v>
      </c>
      <c r="DK165" s="260">
        <f t="shared" si="595"/>
        <v>2.43163881283748</v>
      </c>
      <c r="DL165" s="259">
        <f>DM165+各项系数!$M$9*$NQ165</f>
        <v>2.84686605831399</v>
      </c>
      <c r="DM165" s="259">
        <f>DN165*(1+$EA165+(VLOOKUP($AM165,$A$12:$B$323,2,0))+各项系数!$J$6+各项系数!$M$5)*(1+$E$2)+各项系数!$M$9*$NK165</f>
        <v>2.81909408569007</v>
      </c>
      <c r="DN165" s="260">
        <f>DO165+各项系数!$L$9*$NQ165</f>
        <v>2.82538055283301</v>
      </c>
      <c r="DO165" s="260">
        <f>DP165*(1+$EB165+各项系数!$J$5+各项系数!$L$5)</f>
        <v>2.7976085802091</v>
      </c>
      <c r="DP165" s="260">
        <f t="shared" si="596"/>
        <v>2.69000825020106</v>
      </c>
      <c r="DQ165" s="259">
        <f>DR165+各项系数!$M$9*$NV165</f>
        <v>3.25384676058756</v>
      </c>
      <c r="DR165" s="259">
        <f t="shared" si="597"/>
        <v>3.22314037975794</v>
      </c>
      <c r="DS165" s="260">
        <f>DT165+各项系数!$L$9*$NV165</f>
        <v>3.25635520282677</v>
      </c>
      <c r="DT165" s="260">
        <f>DU165*(1+$EB165+各项系数!$J$5+各项系数!$L$5)</f>
        <v>3.22564882199715</v>
      </c>
      <c r="DU165" s="262">
        <f t="shared" si="598"/>
        <v>3.10158540576649</v>
      </c>
      <c r="DV165" s="259">
        <f>DW165+各项系数!$M$9*$NV165</f>
        <v>3.37407895513661</v>
      </c>
      <c r="DW165" s="259">
        <f t="shared" si="599"/>
        <v>3.34337257430699</v>
      </c>
      <c r="DX165" s="260">
        <f>DY165+各项系数!$L$9*$NV165</f>
        <v>3.37782640362395</v>
      </c>
      <c r="DY165" s="260">
        <f>DZ165*(1+$EB165+各项系数!$J$5+各项系数!$L$5)</f>
        <v>3.34712002279433</v>
      </c>
      <c r="DZ165" s="262">
        <f t="shared" si="600"/>
        <v>3.21838463730224</v>
      </c>
      <c r="EA165" s="277">
        <f t="shared" si="699"/>
        <v>0</v>
      </c>
      <c r="EB165" s="277">
        <f t="shared" si="601"/>
        <v>0.02</v>
      </c>
      <c r="EC165" s="302">
        <f t="shared" si="649"/>
        <v>2</v>
      </c>
      <c r="ED165" s="302" t="str">
        <f t="shared" si="756"/>
        <v>2*1.5</v>
      </c>
      <c r="EE165" s="251">
        <f t="shared" si="709"/>
        <v>1.5</v>
      </c>
      <c r="EF165" s="251">
        <f>LOOKUP(EH165,{1,7,10,14,19,24,30,37,48,61},{1,"1+6","2+8","4+10","1+6+12","2+8+14","4+10+16","1+6+12+18","3+9+15+21","1+6+12+18+24"})</f>
        <v>1</v>
      </c>
      <c r="EG165" s="250">
        <f t="shared" si="602"/>
        <v>2</v>
      </c>
      <c r="EH165" s="260">
        <f>VLOOKUP(EE165,各项系数!$B$87:$C$124,2,0)</f>
        <v>1</v>
      </c>
      <c r="EI165" s="250">
        <f>IF(EH165=0,0,VLOOKUP(EH165,各项系数!$D$142:$E$195,2,0))*1</f>
        <v>1</v>
      </c>
      <c r="EJ165" s="305">
        <f t="shared" si="650"/>
        <v>134.922667214547</v>
      </c>
      <c r="EK165" s="251">
        <f t="shared" si="689"/>
        <v>0</v>
      </c>
      <c r="EL165" s="251">
        <f t="shared" si="603"/>
        <v>0</v>
      </c>
      <c r="EM165" s="251">
        <f t="shared" si="690"/>
        <v>0</v>
      </c>
      <c r="EN165" s="251">
        <f>IF(EP165=0,0,LOOKUP(EP165,{1,7,10,14,19,24,30,37,48,61},{1,"1+6","2+8","4+10","1+6+12","2+8+14","4+10+16","1+6+12+18","3+9+15+21","1+6+12+18+24"}))</f>
        <v>0</v>
      </c>
      <c r="EO165" s="251">
        <f t="shared" si="691"/>
        <v>0</v>
      </c>
      <c r="EP165" s="251">
        <f>IF(EM165=0,0,IF(EM165&lt;10,1,IF(AND(EM165&gt;=10,EM165&lt;=35),7,LOOKUP(EM165,{50,70,95,120,150,185,240,300},{10,14,19,24,30,37,48,61})*1)))</f>
        <v>0</v>
      </c>
      <c r="EQ165" s="251">
        <f>IF(EP165=0,0,VLOOKUP(EP165,各项系数!$D$142:$E$195,2,0))*1</f>
        <v>0</v>
      </c>
      <c r="ER165" s="69">
        <f t="shared" si="710"/>
        <v>0</v>
      </c>
      <c r="ES165" s="566">
        <f t="shared" si="692"/>
        <v>2</v>
      </c>
      <c r="ET165" s="251">
        <f>VLOOKUP(ES165,各项系数!$D$142:$E$195,2,0)*1</f>
        <v>2</v>
      </c>
      <c r="EU165" s="311">
        <f>((各项系数!$F$76/4*$EJ165^2*$EG165*$EH165*1*10^-7)*(1-$H165)*AA165)*(VLOOKUP($EY$9,各项系数!$D$4:$F$143,3,0))*各项系数!$J$4</f>
        <v>0.0252938276288876</v>
      </c>
      <c r="EV165" s="312">
        <f>EU165*(VLOOKUP($EY$9,各项系数!$D$4:$F$143,2,0))</f>
        <v>1.65674570969214</v>
      </c>
      <c r="EW165" s="324">
        <f>(IF($EO165=0,0,(各项系数!$F$76/4*$ER165^2*$EO165*$EP165*1*10^-7))*(1-$K165)*$AF165)*(VLOOKUP($EY$9,各项系数!$D$4:$F$143,3,0))*各项系数!$J$4</f>
        <v>0</v>
      </c>
      <c r="EX165" s="325">
        <f>EW165*(VLOOKUP($EY$9,各项系数!$D$4:$F$143,2,0))</f>
        <v>0</v>
      </c>
      <c r="EY165" s="251">
        <f>((各项系数!$F$76/4*$EJ165^2*$EG165*$EH165*1*10^-7)*(1-$H165)*AA165+IF($EO165=0,0,(各项系数!$F$76/4*$ER165^2*$EO165*$EP165*1*10^-7))*(1-$K165)*$AF165)*(VLOOKUP($EY$9,各项系数!$D$4:$F$143,3,0))*各项系数!$J$4</f>
        <v>0.0252938276288876</v>
      </c>
      <c r="EZ165" s="123">
        <v>1</v>
      </c>
      <c r="FA165" s="251">
        <f t="shared" si="757"/>
        <v>0.0252938276288876</v>
      </c>
      <c r="FB165" s="326">
        <f>FA165*(VLOOKUP($EY$9,各项系数!$D$4:$F$143,2,0))</f>
        <v>1.65674570969214</v>
      </c>
      <c r="FC165" s="327"/>
      <c r="FD165" s="302">
        <f>各项系数!$F$76/4*($MN165^2-MK165^2)*10^-2*(VLOOKUP(L165,各项系数!$D$1:$F$143,3,0))*10^-3*10^2*$EG165*各项系数!$J$4</f>
        <v>0.0098646952631184</v>
      </c>
      <c r="FE165" s="339">
        <f>FD165*VLOOKUP(L165,各项系数!$D$1:$F$143,2,0)</f>
        <v>0.113443995525862</v>
      </c>
      <c r="FF165" s="250">
        <f>各项系数!$F$76/4*($MO165^2-ML165^2)*10^-2*(VLOOKUP(L165,各项系数!$D$1:$F$143,3,0))*10^-3*10^2*$EO165*各项系数!$J$4</f>
        <v>0</v>
      </c>
      <c r="FG165" s="339">
        <f>FF165*VLOOKUP(L165,各项系数!$D$1:$F$143,2,0)</f>
        <v>0</v>
      </c>
      <c r="FH165" s="302">
        <f t="shared" si="651"/>
        <v>0.0098646952631184</v>
      </c>
      <c r="FI165" s="123">
        <v>1</v>
      </c>
      <c r="FJ165" s="251">
        <f t="shared" si="758"/>
        <v>0.0098646952631184</v>
      </c>
      <c r="FK165" s="339">
        <f>FJ165*VLOOKUP(L165,各项系数!$D$1:$F$143,2,0)</f>
        <v>0.113443995525862</v>
      </c>
      <c r="FL165" s="302"/>
      <c r="FM165" s="123"/>
      <c r="FN165" s="251"/>
      <c r="FO165" s="339"/>
      <c r="FP165" s="364">
        <f t="shared" si="759"/>
        <v>0.0098646952631184</v>
      </c>
      <c r="FQ165" s="364">
        <f t="shared" si="760"/>
        <v>0.113443995525862</v>
      </c>
      <c r="FR165" s="365">
        <f>各项系数!$F$76/4*($MQ165^2-$MN165^2*$EG165-$MO165^2*$EO165)*10^-2</f>
        <v>0.118724670692056</v>
      </c>
      <c r="FS165" s="366">
        <f t="shared" si="652"/>
        <v>0.05</v>
      </c>
      <c r="FT165" s="367">
        <f t="shared" si="604"/>
        <v>0.0059362335346028</v>
      </c>
      <c r="FU165" s="388">
        <f>$FT165*(VLOOKUP($FT$9,各项系数!$D$1:$F$143,3,0))*10^-3*10^2*各项系数!$J$55</f>
        <v>0.000708786284031574</v>
      </c>
      <c r="FV165" s="389">
        <v>1</v>
      </c>
      <c r="FW165" s="390">
        <f t="shared" si="761"/>
        <v>0.000708786284031574</v>
      </c>
      <c r="FX165" s="367">
        <f>FW165*(VLOOKUP($FT$9,各项系数!$D$1:$F$143,2,0))</f>
        <v>0.00212635885209472</v>
      </c>
      <c r="FY165" s="388">
        <f>IF($BK165&lt;&gt;$FY$9,0,各项系数!$F$76/4*($MS165^2-$MQ165^2)*10^-2*(VLOOKUP($FY$9,各项系数!$D$1:$F$143,3,0))*10^-3*10^2)*各项系数!$J$4</f>
        <v>0</v>
      </c>
      <c r="FZ165" s="389">
        <v>1</v>
      </c>
      <c r="GA165" s="390">
        <f t="shared" si="762"/>
        <v>0</v>
      </c>
      <c r="GB165" s="367">
        <f>GA165*(VLOOKUP($FY$9,各项系数!$D$1:$F$143,2,0))</f>
        <v>0</v>
      </c>
      <c r="GC165" s="388">
        <f>IF($BK165&lt;&gt;$GC$9,0,各项系数!$F$76/4*($MS165^2-$MQ165^2)*10^-2*(VLOOKUP($GC$9,各项系数!$D$1:$F$143,3,0))*10^-3*10^2)*各项系数!$J$4</f>
        <v>0.00140667974671029</v>
      </c>
      <c r="GD165" s="389">
        <v>1</v>
      </c>
      <c r="GE165" s="390">
        <f t="shared" si="763"/>
        <v>0.00140667974671029</v>
      </c>
      <c r="GF165" s="367">
        <f>GE165*(VLOOKUP($GC$9,各项系数!$D$1:$F$143,2,0))</f>
        <v>0.0181461687325627</v>
      </c>
      <c r="GG165" s="388">
        <f>IF($BK165&lt;&gt;$GG$9,0,各项系数!$F$76/4*($MS165^2-$MQ165^2)*10^-2*(VLOOKUP($GG$9,各项系数!$D$1:$F$143,3,0))*10^-3*10^2)*各项系数!$J$4</f>
        <v>0</v>
      </c>
      <c r="GH165" s="389">
        <v>1</v>
      </c>
      <c r="GI165" s="390">
        <f t="shared" si="764"/>
        <v>0</v>
      </c>
      <c r="GJ165" s="367">
        <f>GI165*(VLOOKUP($GG$9,各项系数!$D$1:$F$143,2,0))</f>
        <v>0</v>
      </c>
      <c r="GK165" s="388">
        <f>IF($BK165&lt;&gt;$GK$9,0,各项系数!$F$76/4*($MS165^2-$MQ165^2)*10^-2*(VLOOKUP($GK$9,各项系数!$D$1:$F$143,3,0))*10^-3*10^2)*各项系数!$J$4</f>
        <v>0</v>
      </c>
      <c r="GL165" s="389">
        <v>1</v>
      </c>
      <c r="GM165" s="390">
        <f t="shared" si="765"/>
        <v>0</v>
      </c>
      <c r="GN165" s="367">
        <f>GM165*(VLOOKUP($GK$9,各项系数!$D$1:$F$143,2,0))</f>
        <v>0</v>
      </c>
      <c r="GO165" s="390">
        <f t="shared" si="766"/>
        <v>0.00140667974671029</v>
      </c>
      <c r="GP165" s="390">
        <f t="shared" si="767"/>
        <v>0.0181461687325627</v>
      </c>
      <c r="GQ165" s="406">
        <f>各项系数!$F$76/4*($MU165^2-$MS165^2)*10^-2*(VLOOKUP($S165,各项系数!$D$1:$F$143,3,0))*10^-3*10^2*各项系数!$J$4</f>
        <v>0.0918334599250419</v>
      </c>
      <c r="GR165" s="389">
        <v>1</v>
      </c>
      <c r="GS165" s="390">
        <f t="shared" si="768"/>
        <v>0.0918334599250419</v>
      </c>
      <c r="GT165" s="390">
        <f t="shared" si="696"/>
        <v>1</v>
      </c>
      <c r="GU165" s="390">
        <f>ROUND($GS165*(VLOOKUP($S165,各项系数!$D$1:$F$143,2,0))+$E$3*GS165,GT165)</f>
        <v>0.5</v>
      </c>
      <c r="GV165" s="406">
        <f>各项系数!$F$76/4*($MT165^2-$MS165^2)*10^-2*(VLOOKUP($GV$9,各项系数!$D$1:$F$143,3,0))*10^-3*10^2*各项系数!$J$4*PI()/4*R165</f>
        <v>0.00801974914582223</v>
      </c>
      <c r="GW165" s="389">
        <v>1</v>
      </c>
      <c r="GX165" s="390">
        <f t="shared" si="769"/>
        <v>0.00801974914582223</v>
      </c>
      <c r="GY165" s="390">
        <f>$GX165*(VLOOKUP($GV$9,各项系数!$D$1:$F$143,2,0))</f>
        <v>0.541333067343</v>
      </c>
      <c r="GZ165" s="406">
        <f>各项系数!$F$76/4*($MV165^2-$MS165^2)*10^-2*(VLOOKUP($GZ$9,各项系数!$D$1:$F$143,3,0))*10^-3*10^2*各项系数!$J$4</f>
        <v>0.0373193102896655</v>
      </c>
      <c r="HA165" s="389">
        <v>1</v>
      </c>
      <c r="HB165" s="390">
        <f t="shared" si="653"/>
        <v>0.0373193102896655</v>
      </c>
      <c r="HC165" s="390">
        <f>HB165*(VLOOKUP($GZ$9,各项系数!$D$1:$F$143,2,0))</f>
        <v>0.634428274924313</v>
      </c>
      <c r="HD165" s="406">
        <f>各项系数!$F$76/4*($MW165^2-$MT165^2)*10^-2*(VLOOKUP($HD$9,各项系数!$D$1:$F$143,3,0))*10^-3*10^2*各项系数!$J$4</f>
        <v>0.0381895565874511</v>
      </c>
      <c r="HE165" s="389">
        <v>1</v>
      </c>
      <c r="HF165" s="390">
        <f t="shared" si="654"/>
        <v>0.0381895565874511</v>
      </c>
      <c r="HG165" s="390">
        <f>HF165*(VLOOKUP($HD$9,各项系数!$D$1:$F$143,2,0))</f>
        <v>0.649222461986668</v>
      </c>
      <c r="HH165" s="406">
        <f>各项系数!$F$76/4*($MV165^2-$MS165^2)*10^-2*(VLOOKUP($HH$9,各项系数!$D$1:$F$143,3,0))*10^-3*10^2*各项系数!$J$4</f>
        <v>0.0373193102896655</v>
      </c>
      <c r="HI165" s="420">
        <v>1</v>
      </c>
      <c r="HJ165" s="390">
        <f t="shared" si="655"/>
        <v>0.0373193102896655</v>
      </c>
      <c r="HK165" s="390">
        <f>HJ165*(VLOOKUP($HH$9,各项系数!$D$1:$F$143,2,0))</f>
        <v>0.634428274924313</v>
      </c>
      <c r="HL165" s="406">
        <f>各项系数!$F$76/4*($MW165^2-$MT165^2)*10^-2*(VLOOKUP($HL$9,各项系数!$D$1:$F$143,3,0))*10^-3*10^2*各项系数!$J$4</f>
        <v>0.0381895565874511</v>
      </c>
      <c r="HM165" s="420">
        <v>1</v>
      </c>
      <c r="HN165" s="390">
        <f t="shared" si="605"/>
        <v>0.0381895565874511</v>
      </c>
      <c r="HO165" s="390">
        <f>HN165*(VLOOKUP($HL$9,各项系数!$D$1:$F$143,2,0))</f>
        <v>0.649222461986668</v>
      </c>
      <c r="HP165" s="406">
        <f>各项系数!$F$76/4*($MV165^2-$MS165^2)*10^-2*(VLOOKUP(AN165,各项系数!$D$1:$F$143,3,0))*10^-3*10^2*各项系数!$J$4</f>
        <v>0.0378340593971091</v>
      </c>
      <c r="HQ165" s="389">
        <v>1</v>
      </c>
      <c r="HR165" s="390">
        <f t="shared" si="770"/>
        <v>0.0378340593971091</v>
      </c>
      <c r="HS165" s="390">
        <f>HR165*(VLOOKUP(AN165,各项系数!$D$1:$F$143,2,0))</f>
        <v>0.378340593971091</v>
      </c>
      <c r="HT165" s="406">
        <f>各项系数!$F$76/4*($MW165^2-$MT165^2)*10^-2*(VLOOKUP(AN165,各项系数!$D$1:$F$143,3,0))*10^-3*10^2*各项系数!$J$4</f>
        <v>0.0387163090921056</v>
      </c>
      <c r="HU165" s="389">
        <v>1</v>
      </c>
      <c r="HV165" s="390">
        <f t="shared" si="771"/>
        <v>0.0387163090921056</v>
      </c>
      <c r="HW165" s="390">
        <f>HV165*(VLOOKUP(AN165,各项系数!$D$1:$F$143,2,0))</f>
        <v>0.387163090921056</v>
      </c>
      <c r="HX165" s="406">
        <f>各项系数!$F$76/4*($MV165^2-$MS165^2)*10^-2*(VLOOKUP($HX$9,各项系数!$D$1:$F$143,3,0))*10^-3*10^2*各项系数!$J$4</f>
        <v>0.0378340593971091</v>
      </c>
      <c r="HY165" s="420">
        <v>1</v>
      </c>
      <c r="HZ165" s="390">
        <f t="shared" si="772"/>
        <v>0.0378340593971091</v>
      </c>
      <c r="IA165" s="390">
        <f>HZ165*(VLOOKUP($HX$9,各项系数!$D$1:$F$143,2,0))</f>
        <v>0.4161746533682</v>
      </c>
      <c r="IB165" s="406">
        <f>各项系数!$F$76/4*($MW165^2-$MT165^2)*10^-2*(VLOOKUP($IB$9,各项系数!$D$1:$F$143,3,0))*10^-3*10^2*各项系数!$J$4</f>
        <v>0.0387163090921056</v>
      </c>
      <c r="IC165" s="420">
        <v>1</v>
      </c>
      <c r="ID165" s="390">
        <f t="shared" si="773"/>
        <v>0.0387163090921056</v>
      </c>
      <c r="IE165" s="390">
        <f>ID165*(VLOOKUP($IB$9,各项系数!$D$1:$F$143,2,0))</f>
        <v>0.425879400013161</v>
      </c>
      <c r="IF165" s="429"/>
      <c r="IG165" s="406">
        <f t="shared" si="656"/>
        <v>0.00463976315876112</v>
      </c>
      <c r="IH165" s="389">
        <v>1</v>
      </c>
      <c r="II165" s="390">
        <f t="shared" si="774"/>
        <v>0.00463976315876112</v>
      </c>
      <c r="IJ165" s="390">
        <f>II165*(VLOOKUP($IG$8,各项系数!$D$1:$F$143,2,0))</f>
        <v>0.115994078969028</v>
      </c>
      <c r="IK165" s="406">
        <f>(各项系数!$F$76/4*($MX165^2-$MK165^2)*$EG165)*10^-2*(VLOOKUP($IG$8,各项系数!$D$1:$F$143,3,0))*10^-3*10^2*各项系数!$J$4</f>
        <v>0.00463976315876112</v>
      </c>
      <c r="IL165" s="389">
        <f>IK165*(VLOOKUP($IG$8,各项系数!$D$1:$F$143,2,0))</f>
        <v>0.115994078969028</v>
      </c>
      <c r="IM165" s="390">
        <f>(各项系数!$F$76/4*(($MM165+3*$X165)^2-MM165^2)*$EO165)*10^-2*(VLOOKUP($IG$8,各项系数!$D$1:$F$143,3,0))*10^-3*10^2*各项系数!$J$4</f>
        <v>0</v>
      </c>
      <c r="IN165" s="389">
        <f>IM165*(VLOOKUP($IG$8,各项系数!$D$1:$F$143,2,0))</f>
        <v>0</v>
      </c>
      <c r="IO165" s="406">
        <f>各项系数!$F$76/4*($MZ165^2-$MX165^2)*10^-2*(VLOOKUP(L165,各项系数!$D$1:$F$143,3,0))*10^-3*10^2*$ES165*各项系数!$J$4</f>
        <v>0.0127530127169758</v>
      </c>
      <c r="IP165" s="389">
        <v>1</v>
      </c>
      <c r="IQ165" s="390">
        <f t="shared" si="775"/>
        <v>0.0127530127169758</v>
      </c>
      <c r="IR165" s="367">
        <f>IQ165*(VLOOKUP(L165,各项系数!$D$1:$F$143,2,0))</f>
        <v>0.146659646245221</v>
      </c>
      <c r="IS165" s="406">
        <f>IF($L165&lt;&gt;$IS$9,0,各项系数!$F$76/4*($MZ165^2-$MX165^2)*10^-2*各项系数!$F$12*10^-3*10^2)*$ES165*各项系数!$J$4</f>
        <v>0</v>
      </c>
      <c r="IT165" s="389">
        <v>1</v>
      </c>
      <c r="IU165" s="390">
        <f t="shared" si="776"/>
        <v>0</v>
      </c>
      <c r="IV165" s="367">
        <f>IU165*各项系数!$E$12</f>
        <v>0</v>
      </c>
      <c r="IW165" s="388">
        <f t="shared" si="777"/>
        <v>0.0127530127169758</v>
      </c>
      <c r="IX165" s="388">
        <f t="shared" si="778"/>
        <v>0.146659646245221</v>
      </c>
      <c r="IY165" s="447">
        <f>各项系数!$F$76/4*($NB165^2-$MZ165^2*$EG165-$NA165^2*$EO165)*10^-2</f>
        <v>0.176201239325668</v>
      </c>
      <c r="IZ165" s="366">
        <f t="shared" si="697"/>
        <v>0.05</v>
      </c>
      <c r="JA165" s="367">
        <f t="shared" si="606"/>
        <v>0.00881006196628342</v>
      </c>
      <c r="JB165" s="364">
        <f>IF($DE165&lt;&gt;$JB$9,0,$JA165*各项系数!$F$32*10^-3*10^2)*各项系数!$J$4</f>
        <v>0</v>
      </c>
      <c r="JC165" s="123">
        <v>1</v>
      </c>
      <c r="JD165" s="251">
        <f t="shared" si="779"/>
        <v>0</v>
      </c>
      <c r="JE165" s="339">
        <f>JD165*各项系数!$E$32</f>
        <v>0</v>
      </c>
      <c r="JF165" s="364">
        <f>IF($DE165&lt;&gt;$JF$9,0,$JA165*VLOOKUP($JF$9,各项系数!$D$4:$F$540,2,0)*10^-3*10^2)*各项系数!$J$4</f>
        <v>0.004383005828226</v>
      </c>
      <c r="JG165" s="123">
        <v>1</v>
      </c>
      <c r="JH165" s="251">
        <f t="shared" si="607"/>
        <v>0.004383005828226</v>
      </c>
      <c r="JI165" s="339">
        <f>JH165*VLOOKUP($JF$9,各项系数!$D$4:$F$540,3,0)</f>
        <v>0.0052596069938712</v>
      </c>
      <c r="JJ165" s="364">
        <f t="shared" si="780"/>
        <v>0.004383005828226</v>
      </c>
      <c r="JK165" s="251">
        <f t="shared" si="781"/>
        <v>0.0052596069938712</v>
      </c>
      <c r="JL165" s="364">
        <f>IF($DF165&lt;&gt;$JL$9,0,各项系数!$F$76/4*($NE165^2-$NC165^2)*10^-2*各项系数!$F$39*10^-3*10^2)*各项系数!$J$4</f>
        <v>0.000715534524638298</v>
      </c>
      <c r="JM165" s="123">
        <v>1</v>
      </c>
      <c r="JN165" s="251">
        <f t="shared" si="782"/>
        <v>0.000715534524638298</v>
      </c>
      <c r="JO165" s="339">
        <f>JN165*各项系数!$E$39</f>
        <v>0.014310690492766</v>
      </c>
      <c r="JP165" s="364">
        <f>IF($DF165&lt;&gt;$JP$9,0,各项系数!$F$76/4*($NE165^2-$NC165^2)*10^-2*各项系数!$F$36*10^-3*10^2)*各项系数!$J$4</f>
        <v>0</v>
      </c>
      <c r="JQ165" s="123">
        <v>1</v>
      </c>
      <c r="JR165" s="251">
        <f t="shared" si="783"/>
        <v>0</v>
      </c>
      <c r="JS165" s="339">
        <f>JR165*各项系数!$E$36</f>
        <v>0</v>
      </c>
      <c r="JT165" s="364">
        <f>IF($DF165&lt;&gt;$JT$9,0,各项系数!$F$76/4*($NE165^2-$NC165^2)*10^-2*各项系数!$F$40*10^-3*10^2)*各项系数!$J$4</f>
        <v>0</v>
      </c>
      <c r="JU165" s="123">
        <v>1</v>
      </c>
      <c r="JV165" s="251">
        <f t="shared" si="784"/>
        <v>0</v>
      </c>
      <c r="JW165" s="339">
        <f>JV165*各项系数!$E$40</f>
        <v>0</v>
      </c>
      <c r="JX165" s="364">
        <f>IF($DF165&lt;&gt;$JX$9,0,各项系数!$F$76/4*($NE165^2-$NC165^2)*10^-2*各项系数!$F$38*10^-3*10^2)*各项系数!$J$4</f>
        <v>0</v>
      </c>
      <c r="JY165" s="123">
        <v>1</v>
      </c>
      <c r="JZ165" s="251">
        <f t="shared" si="785"/>
        <v>0</v>
      </c>
      <c r="KA165" s="339">
        <f>JZ165*各项系数!$E$38</f>
        <v>0</v>
      </c>
      <c r="KB165" s="364">
        <f>IF($DF165&lt;&gt;$KB$9,0,各项系数!$F$76/4*($NE165^2-$NC165^2)*10^-2*各项系数!$F$41*10^-3*10^2)*各项系数!$J$4</f>
        <v>0</v>
      </c>
      <c r="KC165" s="123">
        <v>1</v>
      </c>
      <c r="KD165" s="251">
        <f t="shared" si="786"/>
        <v>0</v>
      </c>
      <c r="KE165" s="339">
        <f>KD165*各项系数!$E$41</f>
        <v>0</v>
      </c>
      <c r="KF165" s="251">
        <f t="shared" si="787"/>
        <v>0.000715534524638298</v>
      </c>
      <c r="KG165" s="251">
        <f t="shared" si="788"/>
        <v>0.014310690492766</v>
      </c>
      <c r="KH165" s="302">
        <f>各项系数!$F$76/4*($NG165^2-$NE165^2)*10^-2*各项系数!$F$44*10^-3*10^2*各项系数!$J$4*0.75*$U165</f>
        <v>0.330990771216344</v>
      </c>
      <c r="KI165" s="123">
        <v>1</v>
      </c>
      <c r="KJ165" s="251">
        <f t="shared" si="789"/>
        <v>0.330990771216344</v>
      </c>
      <c r="KK165" s="251">
        <f>ROUND(KJ165*各项系数!$E$43,GT165)</f>
        <v>1.9</v>
      </c>
      <c r="KL165" s="302">
        <f>各项系数!$F$76/4*($NF165^2-$NE165^2)*10^-2*各项系数!$F$46*10^-3*10^2*各项系数!$J$4*PI()/4*R165</f>
        <v>0.00978136068568965</v>
      </c>
      <c r="KM165" s="123">
        <v>1</v>
      </c>
      <c r="KN165" s="251">
        <f t="shared" si="790"/>
        <v>0.00978136068568965</v>
      </c>
      <c r="KO165" s="251">
        <f>KN165*各项系数!$E$46</f>
        <v>0.660241846284051</v>
      </c>
      <c r="KP165" s="302">
        <f>各项系数!$F$76/4*($NH165^2-$NE165^2)*10^-2*(VLOOKUP($KP$9,各项系数!$D$1:$F$143,3,0))*10^-3*10^2*各项系数!$J$4</f>
        <v>0.044178736341649</v>
      </c>
      <c r="KQ165" s="123">
        <v>1</v>
      </c>
      <c r="KR165" s="251">
        <f t="shared" si="657"/>
        <v>0.044178736341649</v>
      </c>
      <c r="KS165" s="251">
        <f>KR165*(VLOOKUP($KP$9,各项系数!$D$1:$F$143,2,0))</f>
        <v>0.751038517808033</v>
      </c>
      <c r="KT165" s="302">
        <f>各项系数!$F$76/4*($NI165^2-$NF165^2)*10^-2*(VLOOKUP($KT$9,各项系数!$D$1:$F$143,3,0))*10^-3*10^2*各项系数!$J$4</f>
        <v>0.0450489826394346</v>
      </c>
      <c r="KU165" s="123">
        <v>1</v>
      </c>
      <c r="KV165" s="251">
        <f t="shared" si="658"/>
        <v>0.0450489826394346</v>
      </c>
      <c r="KW165" s="251">
        <f>KV165*(VLOOKUP($KT$9,各项系数!$D$1:$F$143,2,0))</f>
        <v>0.765832704870388</v>
      </c>
      <c r="KX165" s="251">
        <f>各项系数!$F$76/4*($NH165^2-$NE165^2)*10^-2*(VLOOKUP($KX$9,各项系数!$D$1:$F$143,3,0))*10^-3*10^2*各项系数!$J$4</f>
        <v>0.044178736341649</v>
      </c>
      <c r="KY165" s="479">
        <v>1</v>
      </c>
      <c r="KZ165" s="251">
        <f t="shared" si="659"/>
        <v>0.044178736341649</v>
      </c>
      <c r="LA165" s="251">
        <f>KZ165*(VLOOKUP($KX$9,各项系数!$D$1:$F$143,2,0))</f>
        <v>0.751038517808033</v>
      </c>
      <c r="LB165" s="251">
        <f>各项系数!$F$76/4*($NI165^2-$NF165^2)*10^-2*(VLOOKUP($LB$9,各项系数!$D$1:$F$143,3,0))*10^-3*10^2*各项系数!$J$4</f>
        <v>0.0450489826394346</v>
      </c>
      <c r="LC165" s="479">
        <v>1</v>
      </c>
      <c r="LD165" s="251">
        <f t="shared" si="660"/>
        <v>0.0450489826394346</v>
      </c>
      <c r="LE165" s="251">
        <f>LD165*(VLOOKUP($LB$9,各项系数!$D$1:$F$143,2,0))</f>
        <v>0.765832704870388</v>
      </c>
      <c r="LF165" s="302">
        <f>各项系数!$F$76/4*($NH165^2-$NE165^2)*10^-2*(VLOOKUP(AN165,各项系数!$D$1:$F$143,3,0))*10^-3*10^2*各项系数!$J$4</f>
        <v>0.0447880982222235</v>
      </c>
      <c r="LG165" s="123">
        <v>1</v>
      </c>
      <c r="LH165" s="251">
        <f t="shared" si="791"/>
        <v>0.0447880982222235</v>
      </c>
      <c r="LI165" s="251">
        <f>LH165*(VLOOKUP(AN165,各项系数!$D$1:$F$143,2,0))</f>
        <v>0.447880982222235</v>
      </c>
      <c r="LJ165" s="302">
        <f>各项系数!$F$76/4*($NI165^2-$NF165^2)*10^-2*(VLOOKUP(AN165,各项系数!$D$1:$F$143,3,0))*10^-3*10^2*各项系数!$J$4</f>
        <v>0.0456703479172199</v>
      </c>
      <c r="LK165" s="123">
        <v>1</v>
      </c>
      <c r="LL165" s="251">
        <f t="shared" si="792"/>
        <v>0.0456703479172199</v>
      </c>
      <c r="LM165" s="251">
        <f>LL165*(VLOOKUP(AN165,各项系数!$D$1:$F$143,2,0))</f>
        <v>0.456703479172199</v>
      </c>
      <c r="LN165" s="251">
        <f>各项系数!$F$76/4*($NH165^2-$NE165^2)*10^-2*(VLOOKUP($LN$9,各项系数!$D$1:$F$143,3,0))*10^-3*10^2*各项系数!$J$4</f>
        <v>0.0447880982222235</v>
      </c>
      <c r="LO165" s="479">
        <v>1</v>
      </c>
      <c r="LP165" s="251">
        <f t="shared" si="793"/>
        <v>0.0447880982222235</v>
      </c>
      <c r="LQ165" s="251">
        <f>LP165*(VLOOKUP($LN$9,各项系数!$D$1:$F$143,2,0))</f>
        <v>0.492669080444458</v>
      </c>
      <c r="LR165" s="251">
        <f>各项系数!$F$76/4*($NI165^2-$NF165^2)*10^-2*(VLOOKUP($LR$9,各项系数!$D$1:$F$143,3,0))*10^-3*10^2*各项系数!$J$4</f>
        <v>0.0456703479172199</v>
      </c>
      <c r="LS165" s="479">
        <v>1</v>
      </c>
      <c r="LT165" s="251">
        <f t="shared" si="794"/>
        <v>0.0456703479172199</v>
      </c>
      <c r="LU165" s="251">
        <f>LT165*(VLOOKUP($LR$9,各项系数!$D$1:$F$143,2,0))</f>
        <v>0.502373827089419</v>
      </c>
      <c r="LV165" s="499">
        <f t="shared" si="661"/>
        <v>2.85949744</v>
      </c>
      <c r="LW165" s="499">
        <f t="shared" si="662"/>
        <v>2.85949744</v>
      </c>
      <c r="LX165" s="499">
        <f t="shared" si="663"/>
        <v>1.90809465663446</v>
      </c>
      <c r="LY165" s="515">
        <f t="shared" si="664"/>
        <v>0</v>
      </c>
      <c r="LZ165" s="516">
        <f t="shared" si="608"/>
        <v>1</v>
      </c>
      <c r="MA165" s="517">
        <f t="shared" si="609"/>
        <v>2.85949744</v>
      </c>
      <c r="MB165" s="517">
        <f t="shared" si="665"/>
        <v>1.34922667</v>
      </c>
      <c r="MC165" s="499">
        <f t="shared" si="666"/>
        <v>0</v>
      </c>
      <c r="MD165" s="499">
        <f t="shared" si="667"/>
        <v>0</v>
      </c>
      <c r="ME165" s="499">
        <f t="shared" si="668"/>
        <v>0</v>
      </c>
      <c r="MF165" s="499">
        <f t="shared" si="669"/>
        <v>0</v>
      </c>
      <c r="MG165" s="516">
        <f t="shared" si="670"/>
        <v>1</v>
      </c>
      <c r="MH165" s="517">
        <f t="shared" si="610"/>
        <v>0</v>
      </c>
      <c r="MI165" s="517">
        <f t="shared" si="671"/>
        <v>0</v>
      </c>
      <c r="MJ165" s="251">
        <f t="shared" si="611"/>
        <v>1.34922667</v>
      </c>
      <c r="MK165" s="251">
        <f t="shared" si="672"/>
        <v>1.34922667</v>
      </c>
      <c r="ML165" s="251">
        <f t="shared" si="795"/>
        <v>0</v>
      </c>
      <c r="MM165" s="251">
        <f t="shared" si="612"/>
        <v>0</v>
      </c>
      <c r="MN165" s="251">
        <f t="shared" si="613"/>
        <v>2.74922667</v>
      </c>
      <c r="MO165" s="251">
        <f t="shared" si="673"/>
        <v>0</v>
      </c>
      <c r="MP165" s="251">
        <f t="shared" si="674"/>
        <v>5.49845334</v>
      </c>
      <c r="MQ165" s="251">
        <f t="shared" si="796"/>
        <v>5.49845334</v>
      </c>
      <c r="MR165" s="314">
        <f t="shared" si="675"/>
        <v>5.48537897</v>
      </c>
      <c r="MS165" s="530">
        <f t="shared" si="614"/>
        <v>5.66137897</v>
      </c>
      <c r="MT165" s="530">
        <f t="shared" si="615"/>
        <v>5.82137897</v>
      </c>
      <c r="MU165" s="530">
        <f t="shared" si="616"/>
        <v>6.86137897</v>
      </c>
      <c r="MV165" s="530">
        <f t="shared" si="617"/>
        <v>8.06137897</v>
      </c>
      <c r="MW165" s="530">
        <f t="shared" si="618"/>
        <v>8.22137897</v>
      </c>
      <c r="MX165" s="326">
        <f t="shared" si="619"/>
        <v>1.94922667</v>
      </c>
      <c r="MY165" s="326">
        <f t="shared" si="620"/>
        <v>0</v>
      </c>
      <c r="MZ165" s="251">
        <f t="shared" si="621"/>
        <v>3.34922667</v>
      </c>
      <c r="NA165" s="251">
        <f t="shared" si="622"/>
        <v>0</v>
      </c>
      <c r="NB165" s="251">
        <f t="shared" si="676"/>
        <v>6.69845334</v>
      </c>
      <c r="NC165" s="326">
        <f t="shared" si="797"/>
        <v>6.69845334</v>
      </c>
      <c r="ND165" s="314">
        <f t="shared" si="677"/>
        <v>6.68252558</v>
      </c>
      <c r="NE165" s="537">
        <f t="shared" si="678"/>
        <v>6.92252558</v>
      </c>
      <c r="NF165" s="530">
        <f t="shared" si="623"/>
        <v>7.08252558</v>
      </c>
      <c r="NG165" s="538">
        <f t="shared" si="624"/>
        <v>8.12252558</v>
      </c>
      <c r="NH165" s="326">
        <f t="shared" si="625"/>
        <v>9.32252558</v>
      </c>
      <c r="NI165" s="530">
        <f t="shared" si="626"/>
        <v>9.48252558</v>
      </c>
      <c r="NK165" s="539">
        <f t="shared" si="627"/>
        <v>0.075108048319857</v>
      </c>
      <c r="NL165" s="539">
        <f t="shared" si="628"/>
        <v>2.16880282677375</v>
      </c>
      <c r="NM165" s="539">
        <f t="shared" si="629"/>
        <v>0.075108048319857</v>
      </c>
      <c r="NN165" s="539">
        <f t="shared" si="630"/>
        <v>2.20663688617085</v>
      </c>
      <c r="NO165" s="539">
        <f t="shared" si="631"/>
        <v>0.0925732420797123</v>
      </c>
      <c r="NP165" s="539">
        <f t="shared" si="632"/>
        <v>2.38685071461526</v>
      </c>
      <c r="NQ165" s="539">
        <f t="shared" si="633"/>
        <v>0.0925732420797123</v>
      </c>
      <c r="NR165" s="539">
        <f t="shared" si="634"/>
        <v>2.43163881283748</v>
      </c>
      <c r="NS165" s="539">
        <f t="shared" si="635"/>
        <v>0.0831277974656792</v>
      </c>
      <c r="NT165" s="539">
        <f t="shared" si="636"/>
        <v>0.0831277974656792</v>
      </c>
      <c r="NU165" s="539">
        <f t="shared" si="637"/>
        <v>0.102354602765402</v>
      </c>
      <c r="NV165" s="539">
        <f t="shared" si="638"/>
        <v>0.102354602765402</v>
      </c>
      <c r="NW165">
        <f t="shared" si="639"/>
        <v>0.166941508244899</v>
      </c>
      <c r="NX165">
        <f>各项系数!$M$9*NK165</f>
        <v>0.0225324144959571</v>
      </c>
      <c r="NY165">
        <f t="shared" si="640"/>
        <v>0.0831277974656792</v>
      </c>
    </row>
    <row r="166" customHeight="1" spans="1:389">
      <c r="A166" s="85"/>
      <c r="B166" s="86"/>
      <c r="C166" s="218"/>
      <c r="D166" s="123" t="s">
        <v>143</v>
      </c>
      <c r="E166" s="77">
        <f t="shared" si="687"/>
        <v>8.51432961</v>
      </c>
      <c r="F166" s="559">
        <f t="shared" ref="F166:F181" si="798">$F$16</f>
        <v>134.922667214547</v>
      </c>
      <c r="G166" s="23"/>
      <c r="H166" s="23"/>
      <c r="I166" s="174">
        <v>0</v>
      </c>
      <c r="J166" s="23"/>
      <c r="K166" s="23"/>
      <c r="L166" s="118" t="s">
        <v>469</v>
      </c>
      <c r="M166" s="124">
        <f t="shared" si="582"/>
        <v>0.7</v>
      </c>
      <c r="N166" s="124">
        <f t="shared" si="583"/>
        <v>0</v>
      </c>
      <c r="O166" s="69">
        <f t="shared" si="703"/>
        <v>0.08</v>
      </c>
      <c r="P166" s="120">
        <v>0.1</v>
      </c>
      <c r="Q166" s="162">
        <f t="shared" si="754"/>
        <v>0.1</v>
      </c>
      <c r="R166" s="560">
        <v>0.8</v>
      </c>
      <c r="S166" s="171" t="str">
        <f>各项系数!$D$43</f>
        <v>钢带</v>
      </c>
      <c r="T166" s="123">
        <v>0.2</v>
      </c>
      <c r="U166" s="78">
        <v>4</v>
      </c>
      <c r="V166" s="172"/>
      <c r="W166" s="170">
        <f t="shared" ref="W166:W171" si="799">$W$165</f>
        <v>1.2</v>
      </c>
      <c r="X166" s="164">
        <f t="shared" si="755"/>
        <v>0.2</v>
      </c>
      <c r="Y166" s="219"/>
      <c r="Z166" s="220"/>
      <c r="AA166" s="217">
        <v>1</v>
      </c>
      <c r="AB166" s="186">
        <f>PI()*EJ166*EJ166/4*EH166*(1-H166)*AA166*各项系数!$F$5*各项系数!$J$4*10^-7</f>
        <v>0.0126469138144438</v>
      </c>
      <c r="AC166" s="186">
        <f t="shared" si="704"/>
        <v>134.922667214547</v>
      </c>
      <c r="AD166" s="186">
        <f t="shared" si="584"/>
        <v>1.42974872274124</v>
      </c>
      <c r="AE166" s="186">
        <f>POWER(4*EU166/PI()/EG166/10^-7/EH166/(1-H166)/各项系数!$F$5/各项系数!$J$4,0.5)</f>
        <v>134.922667214547</v>
      </c>
      <c r="AF166" s="218">
        <v>1</v>
      </c>
      <c r="AG166" s="85">
        <f>IF(EM166=0,0,PI()*ER166*ER166/4*EP166*(1-K166)*(1+AF166)*各项系数!$F$5*各项系数!$J$4*10^-7)</f>
        <v>0</v>
      </c>
      <c r="AH166" s="85">
        <f t="shared" si="705"/>
        <v>0</v>
      </c>
      <c r="AI166" s="85">
        <f t="shared" si="641"/>
        <v>0</v>
      </c>
      <c r="AJ166" s="85">
        <f>IF(OR(EP166="",EP166=0),0,POWER(4*EW166/PI()/EO166/10^-7/EP166/(1-K166)/各项系数!$F$5/各项系数!$J$4,0.5))</f>
        <v>0</v>
      </c>
      <c r="AK166" s="85" t="str">
        <f t="shared" si="585"/>
        <v>√</v>
      </c>
      <c r="AL166" s="85">
        <f t="shared" si="706"/>
        <v>3.30428957493452</v>
      </c>
      <c r="AM166" s="250">
        <f t="shared" si="707"/>
        <v>1.5</v>
      </c>
      <c r="AN166" s="118" t="s">
        <v>486</v>
      </c>
      <c r="AO166" s="259">
        <f>AP166+各项系数!$M$9*$NK166</f>
        <v>3.23949958326913</v>
      </c>
      <c r="AP166" s="259">
        <f>AQ166*(1+$BI166+(VLOOKUP($AM166,$A$12:$B$323,2,0))+各项系数!$J$6+各项系数!$M$5)*(1+$E$2)</f>
        <v>3.20754474783942</v>
      </c>
      <c r="AQ166" s="260">
        <f>AR166+各项系数!$L$9*$NK166</f>
        <v>3.24059885617238</v>
      </c>
      <c r="AR166" s="260">
        <f>AS166*(1+$BJ166+各项系数!$J$5+各项系数!$L$5)</f>
        <v>3.20864402074267</v>
      </c>
      <c r="AS166" s="260">
        <f t="shared" si="642"/>
        <v>3.11518836965307</v>
      </c>
      <c r="AT166" s="259">
        <f>AU166+各项系数!$M$9*$NM166</f>
        <v>3.51781449876074</v>
      </c>
      <c r="AU166" s="259">
        <f>AV166*(1+$BI166+(VLOOKUP($AM166,$A$12:$B$323,2,0))+各项系数!$J$6+各项系数!$M$5)*(1+$E$2)</f>
        <v>3.48585966333102</v>
      </c>
      <c r="AV166" s="260">
        <f>AW166+各项系数!$L$9*$NM166</f>
        <v>3.52178183807943</v>
      </c>
      <c r="AW166" s="260">
        <f>AX166*(1+$BJ166+各项系数!$J$5+各项系数!$L$5)</f>
        <v>3.48982700264972</v>
      </c>
      <c r="AX166" s="260">
        <f t="shared" si="643"/>
        <v>3.3881815559706</v>
      </c>
      <c r="AY166" s="259">
        <f>AZ166+各项系数!$M$9*$NS166</f>
        <v>3.84908441686883</v>
      </c>
      <c r="AZ166" s="259">
        <f>BA166*(1+$BI166+(VLOOKUP($AM166,$A$12:$B$214,2,0))+各项系数!$J$6+各项系数!$M$5)*(1+$E$2)</f>
        <v>3.81453384773864</v>
      </c>
      <c r="BA166" s="260">
        <f>BB166+各项系数!$L$9*$NS166</f>
        <v>3.85384304681617</v>
      </c>
      <c r="BB166" s="260">
        <f>BC166*(1+$BJ166+各项系数!$J$5+各项系数!$L$5)</f>
        <v>3.81929247768598</v>
      </c>
      <c r="BC166" s="262">
        <f t="shared" si="644"/>
        <v>3.70805094920969</v>
      </c>
      <c r="BD166" s="259">
        <f>BE166+各项系数!$M$9*$NS166</f>
        <v>4.13348743459987</v>
      </c>
      <c r="BE166" s="259">
        <f>BF166*(1+$BI166+(VLOOKUP($AM166,$A$12:$B$214,2,0))+各项系数!$J$6+各项系数!$M$5)*(1+$E$2)</f>
        <v>4.09893686546969</v>
      </c>
      <c r="BF166" s="260">
        <f>BG166+各项系数!$L$9*$NS166</f>
        <v>4.14117686953898</v>
      </c>
      <c r="BG166" s="260">
        <f>BH166*(1+$BJ166+各项系数!$J$5+各项系数!$L$5)</f>
        <v>4.1066263004088</v>
      </c>
      <c r="BH166" s="262">
        <f t="shared" si="645"/>
        <v>3.98701582563961</v>
      </c>
      <c r="BI166" s="277"/>
      <c r="BJ166" s="272">
        <f t="shared" ref="BJ166:BJ181" si="800">$BJ$165</f>
        <v>0.01</v>
      </c>
      <c r="BK166" s="123" t="s">
        <v>514</v>
      </c>
      <c r="BL166" s="259">
        <f>BM166+各项系数!$M$9*$NM166</f>
        <v>3.3118508024769</v>
      </c>
      <c r="BM166" s="259">
        <f>BN166*(1+$CF166+(VLOOKUP($AM166,$A$12:$B$323,2,0))+各项系数!$J$6+各项系数!$M$5)*(1+$E$2)</f>
        <v>3.27989596704719</v>
      </c>
      <c r="BN166" s="260">
        <f>BO166+各项系数!$L$9*$NM166</f>
        <v>3.31369566280783</v>
      </c>
      <c r="BO166" s="260">
        <f>BP166*(1+$CG166+各项系数!$J$5+各项系数!$L$5)</f>
        <v>3.28174082737812</v>
      </c>
      <c r="BP166" s="260">
        <f t="shared" si="646"/>
        <v>3.15552002632511</v>
      </c>
      <c r="BQ166" s="259">
        <f>BR166+各项系数!$M$9*$NM166</f>
        <v>3.55135071980173</v>
      </c>
      <c r="BR166" s="259">
        <f>BS166*(1+$CF166+(VLOOKUP($AM166,$A$12:$B$323,2,0))+各项系数!$J$6+各项系数!$M$5)*(1+$E$2)</f>
        <v>3.51939588437202</v>
      </c>
      <c r="BS166" s="260">
        <f>BT166+各项系数!$L$9*$NM166</f>
        <v>3.55566365363914</v>
      </c>
      <c r="BT166" s="260">
        <f>BU166*(1+$CG166+各项系数!$J$5+各项系数!$L$5)</f>
        <v>3.52370881820943</v>
      </c>
      <c r="BU166" s="260">
        <f t="shared" si="647"/>
        <v>3.3881815559706</v>
      </c>
      <c r="BV166" s="259">
        <f>BW166+各项系数!$M$9*$NT166</f>
        <v>3.90219293378481</v>
      </c>
      <c r="BW166" s="259">
        <f>BX166*(1+$CF166+(VLOOKUP($AM166,$A$12:$B$214,2,0))+各项系数!$J$6+各项系数!$M$5)*(1+$E$2)</f>
        <v>3.86764236465463</v>
      </c>
      <c r="BX166" s="260">
        <f>BY166+各项系数!$L$9*$NT$12</f>
        <v>3.90749885295476</v>
      </c>
      <c r="BY166" s="260">
        <f>BZ166*(1+$CG166+各项系数!$J$5+各项系数!$L$5)</f>
        <v>3.89923544979979</v>
      </c>
      <c r="BZ166" s="262">
        <f t="shared" si="586"/>
        <v>3.74926485557672</v>
      </c>
      <c r="CA166" s="259">
        <f>CB166+各项系数!$M$9*$NT166</f>
        <v>4.14693188035979</v>
      </c>
      <c r="CB166" s="259">
        <f>CC166*(1+$CF166+(VLOOKUP($AM166,$A$12:$B$214,2,0))+各项系数!$J$6+各项系数!$M$5)*(1+$E$2)</f>
        <v>4.1123813112296</v>
      </c>
      <c r="CC166" s="260">
        <f>CD166+各项系数!$L$9*$NT$12</f>
        <v>4.15475986182017</v>
      </c>
      <c r="CD166" s="260">
        <f>CE166*(1+$CG166+各项系数!$J$5+各项系数!$L$5)</f>
        <v>4.14649645866519</v>
      </c>
      <c r="CE166" s="262">
        <f t="shared" si="648"/>
        <v>3.98701582563961</v>
      </c>
      <c r="CF166" s="277">
        <f t="shared" si="753"/>
        <v>0</v>
      </c>
      <c r="CG166" s="277">
        <f t="shared" si="587"/>
        <v>0.02</v>
      </c>
      <c r="CH166" s="123"/>
      <c r="CI166" s="259">
        <f>CJ166+各项系数!$M$9*$NO166</f>
        <v>3.67184418503006</v>
      </c>
      <c r="CJ166" s="259">
        <f>CK166*(1+$DC166+(VLOOKUP($AM166,$A$12:$B$323,2,0))+各项系数!$J$6+各项系数!$M$5)*(1+$E$2)+各项系数!$M$9*$NK166</f>
        <v>3.61613669726674</v>
      </c>
      <c r="CK166" s="260">
        <f>CL166+各项系数!$L$9*$NO166</f>
        <v>3.62111725786727</v>
      </c>
      <c r="CL166" s="260">
        <f>CM166*(1+$DD166+各项系数!$J$5+各项系数!$L$5)</f>
        <v>3.56540977010395</v>
      </c>
      <c r="CM166" s="260">
        <f t="shared" si="588"/>
        <v>3.46156288359606</v>
      </c>
      <c r="CN166" s="259">
        <f>CO166+各项系数!$M$9*$NO166</f>
        <v>3.87370599752485</v>
      </c>
      <c r="CO166" s="259">
        <f>CP166*(1+$DC166+(VLOOKUP($AM166,$A$12:$B$323,2,0))+各项系数!$J$6+各项系数!$M$5)*(1+$E$2)+各项系数!$M$9*$NK166</f>
        <v>3.81799850976153</v>
      </c>
      <c r="CP166" s="260">
        <f>CQ166+各项系数!$L$9*$NO166</f>
        <v>3.82505927897739</v>
      </c>
      <c r="CQ166" s="260">
        <f>CR166*(1+$DD166+各项系数!$J$5+各项系数!$L$5)</f>
        <v>3.76935179121406</v>
      </c>
      <c r="CR166" s="260">
        <f t="shared" si="589"/>
        <v>3.65956484583889</v>
      </c>
      <c r="CS166" s="259">
        <f>CT166+各项系数!$M$9*$NU166</f>
        <v>4.38133718188475</v>
      </c>
      <c r="CT166" s="259">
        <f t="shared" si="590"/>
        <v>4.32246405244787</v>
      </c>
      <c r="CU166" s="260">
        <f>CV166+各项系数!$L$9*$NU166</f>
        <v>4.36700752924618</v>
      </c>
      <c r="CV166" s="260">
        <f>CW166*(1+$DD166+各项系数!$J$5+各项系数!$L$5)</f>
        <v>4.3081343998093</v>
      </c>
      <c r="CW166" s="262">
        <f t="shared" si="591"/>
        <v>4.18265475709641</v>
      </c>
      <c r="CX166" s="259">
        <f>CY166+各项系数!$M$9*$NU166</f>
        <v>4.71748906865105</v>
      </c>
      <c r="CY166" s="259">
        <f t="shared" si="592"/>
        <v>4.65861593921417</v>
      </c>
      <c r="CZ166" s="260">
        <f>DA166+各项系数!$L$9*$NU166</f>
        <v>4.70662349890298</v>
      </c>
      <c r="DA166" s="260">
        <f>DB166*(1+$DD166+各项系数!$J$5+各项系数!$L$5)</f>
        <v>4.6477503694661</v>
      </c>
      <c r="DB166" s="262">
        <f t="shared" si="593"/>
        <v>4.51237899948165</v>
      </c>
      <c r="DC166" s="277">
        <f t="shared" si="698"/>
        <v>0</v>
      </c>
      <c r="DD166" s="277">
        <f t="shared" si="594"/>
        <v>0.01</v>
      </c>
      <c r="DE166" s="69" t="s">
        <v>498</v>
      </c>
      <c r="DF166" s="69" t="s">
        <v>513</v>
      </c>
      <c r="DG166" s="259">
        <f>DH166+各项系数!$M$9*$NQ166</f>
        <v>3.75534335579011</v>
      </c>
      <c r="DH166" s="259">
        <f>DI166*(1+$EA166+(VLOOKUP($AM166,$A$12:$B$323,2,0))+各项系数!$J$6+各项系数!$M$5)*(1+$E$2)+各项系数!$M$9*$NK166</f>
        <v>3.69963586802678</v>
      </c>
      <c r="DI166" s="260">
        <f>DJ166+各项系数!$L$9*$NQ166</f>
        <v>3.70547689694592</v>
      </c>
      <c r="DJ166" s="260">
        <f>DK166*(1+$EB166+各项系数!$J$5+各项系数!$L$5)</f>
        <v>3.64976940918259</v>
      </c>
      <c r="DK166" s="260">
        <f t="shared" si="595"/>
        <v>3.50939366267557</v>
      </c>
      <c r="DL166" s="259">
        <f>DM166+各项系数!$M$9*$NQ166</f>
        <v>4.03937502174115</v>
      </c>
      <c r="DM166" s="259">
        <f>DN166*(1+$EA166+(VLOOKUP($AM166,$A$12:$B$323,2,0))+各项系数!$J$6+各项系数!$M$5)*(1+$E$2)+各项系数!$M$9*$NK166</f>
        <v>3.98366753397782</v>
      </c>
      <c r="DN166" s="260">
        <f>DO166+各项系数!$L$9*$NQ166</f>
        <v>3.992435541067</v>
      </c>
      <c r="DO166" s="260">
        <f>DP166*(1+$EB166+各项系数!$J$5+各项系数!$L$5)</f>
        <v>3.93672805330367</v>
      </c>
      <c r="DP166" s="260">
        <f t="shared" si="596"/>
        <v>3.78531543586891</v>
      </c>
      <c r="DQ166" s="259">
        <f>DR166+各项系数!$M$9*$NV166</f>
        <v>4.47288190078673</v>
      </c>
      <c r="DR166" s="259">
        <f t="shared" si="597"/>
        <v>4.41400877134985</v>
      </c>
      <c r="DS166" s="260">
        <f>DT166+各项系数!$L$9*$NV166</f>
        <v>4.45949562674263</v>
      </c>
      <c r="DT166" s="260">
        <f>DU166*(1+$EB166+各项系数!$J$5+各项系数!$L$5)</f>
        <v>4.40062249730575</v>
      </c>
      <c r="DU166" s="262">
        <f t="shared" si="598"/>
        <v>4.23136778587091</v>
      </c>
      <c r="DV166" s="259">
        <f>DW166+各项系数!$M$9*$NV166</f>
        <v>4.53569719613643</v>
      </c>
      <c r="DW166" s="259">
        <f t="shared" si="599"/>
        <v>4.47682406669955</v>
      </c>
      <c r="DX166" s="260">
        <f>DY166+各项系数!$L$9*$NV166</f>
        <v>4.52295824075525</v>
      </c>
      <c r="DY166" s="260">
        <f>DZ166*(1+$EB166+各项系数!$J$5+各项系数!$L$5)</f>
        <v>4.46408511131837</v>
      </c>
      <c r="DZ166" s="262">
        <f t="shared" si="600"/>
        <v>4.29238953011382</v>
      </c>
      <c r="EA166" s="277">
        <f t="shared" si="699"/>
        <v>0</v>
      </c>
      <c r="EB166" s="277">
        <f t="shared" si="601"/>
        <v>0.02</v>
      </c>
      <c r="EC166" s="302">
        <f t="shared" si="649"/>
        <v>3</v>
      </c>
      <c r="ED166" s="302" t="str">
        <f t="shared" si="756"/>
        <v>3*1.5</v>
      </c>
      <c r="EE166" s="251">
        <f t="shared" si="709"/>
        <v>1.5</v>
      </c>
      <c r="EF166" s="251">
        <f>LOOKUP(EH166,{1,7,10,14,19,24,30,37,48,61},{1,"1+6","2+8","4+10","1+6+12","2+8+14","4+10+16","1+6+12+18","3+9+15+21","1+6+12+18+24"})</f>
        <v>1</v>
      </c>
      <c r="EG166" s="250">
        <f t="shared" si="602"/>
        <v>3</v>
      </c>
      <c r="EH166" s="260">
        <f>VLOOKUP(EE166,各项系数!$B$87:$C$124,2,0)</f>
        <v>1</v>
      </c>
      <c r="EI166" s="250">
        <f>IF(EH166=0,0,VLOOKUP(EH166,各项系数!$D$142:$E$195,2,0))*1</f>
        <v>1</v>
      </c>
      <c r="EJ166" s="305">
        <f t="shared" si="650"/>
        <v>134.922667214547</v>
      </c>
      <c r="EK166" s="251">
        <f t="shared" si="689"/>
        <v>0</v>
      </c>
      <c r="EL166" s="251">
        <f t="shared" si="603"/>
        <v>0</v>
      </c>
      <c r="EM166" s="251">
        <f t="shared" si="690"/>
        <v>0</v>
      </c>
      <c r="EN166" s="251">
        <f>IF(EP166=0,0,LOOKUP(EP166,{1,7,10,14,19,24,30,37,48,61},{1,"1+6","2+8","4+10","1+6+12","2+8+14","4+10+16","1+6+12+18","3+9+15+21","1+6+12+18+24"}))</f>
        <v>0</v>
      </c>
      <c r="EO166" s="251">
        <f t="shared" si="691"/>
        <v>0</v>
      </c>
      <c r="EP166" s="251">
        <f>IF(EM166=0,0,IF(EM166&lt;10,1,IF(AND(EM166&gt;=10,EM166&lt;=35),7,LOOKUP(EM166,{50,70,95,120,150,185,240,300},{10,14,19,24,30,37,48,61})*1)))</f>
        <v>0</v>
      </c>
      <c r="EQ166" s="251">
        <f>IF(EP166=0,0,VLOOKUP(EP166,各项系数!$D$142:$E$195,2,0))*1</f>
        <v>0</v>
      </c>
      <c r="ER166" s="69">
        <f t="shared" si="710"/>
        <v>0</v>
      </c>
      <c r="ES166" s="566">
        <f t="shared" si="692"/>
        <v>3</v>
      </c>
      <c r="ET166" s="251">
        <f>VLOOKUP(ES166,各项系数!$D$142:$E$195,2,0)*1</f>
        <v>2.16</v>
      </c>
      <c r="EU166" s="311">
        <f>((各项系数!$F$76/4*$EJ166^2*$EG166*$EH166*1*10^-7)*(1-$H166)*AA166)*(VLOOKUP($EY$9,各项系数!$D$4:$F$143,3,0))*各项系数!$J$4</f>
        <v>0.0379407414433314</v>
      </c>
      <c r="EV166" s="312">
        <f>EU166*(VLOOKUP($EY$9,各项系数!$D$4:$F$143,2,0))</f>
        <v>2.4851185645382</v>
      </c>
      <c r="EW166" s="324">
        <f>(IF($EO166=0,0,(各项系数!$F$76/4*$ER166^2*$EO166*$EP166*1*10^-7))*(1-$K166)*$AF166)*(VLOOKUP($EY$9,各项系数!$D$4:$F$143,3,0))*各项系数!$J$4</f>
        <v>0</v>
      </c>
      <c r="EX166" s="325">
        <f>EW166*(VLOOKUP($EY$9,各项系数!$D$4:$F$143,2,0))</f>
        <v>0</v>
      </c>
      <c r="EY166" s="251">
        <f>((各项系数!$F$76/4*$EJ166^2*$EG166*$EH166*1*10^-7)*(1-$H166)*AA166+IF($EO166=0,0,(各项系数!$F$76/4*$ER166^2*$EO166*$EP166*1*10^-7))*(1-$K166)*$AF166)*(VLOOKUP($EY$9,各项系数!$D$4:$F$143,3,0))*各项系数!$J$4</f>
        <v>0.0379407414433314</v>
      </c>
      <c r="EZ166" s="123">
        <v>1</v>
      </c>
      <c r="FA166" s="251">
        <f t="shared" si="757"/>
        <v>0.0379407414433314</v>
      </c>
      <c r="FB166" s="326">
        <f>FA166*(VLOOKUP($EY$9,各项系数!$D$4:$F$143,2,0))</f>
        <v>2.4851185645382</v>
      </c>
      <c r="FC166" s="327"/>
      <c r="FD166" s="302">
        <f>各项系数!$F$76/4*($MN166^2-MK166^2)*10^-2*(VLOOKUP(L166,各项系数!$D$1:$F$143,3,0))*10^-3*10^2*$EG166*各项系数!$J$4</f>
        <v>0.0147970428946776</v>
      </c>
      <c r="FE166" s="339">
        <f>FD166*VLOOKUP(L166,各项系数!$D$1:$F$143,2,0)</f>
        <v>0.170165993288792</v>
      </c>
      <c r="FF166" s="250">
        <f>各项系数!$F$76/4*($MO166^2-ML166^2)*10^-2*(VLOOKUP(L166,各项系数!$D$1:$F$143,3,0))*10^-3*10^2*$EO166*各项系数!$J$4</f>
        <v>0</v>
      </c>
      <c r="FG166" s="339">
        <f>FF166*VLOOKUP(L166,各项系数!$D$1:$F$143,2,0)</f>
        <v>0</v>
      </c>
      <c r="FH166" s="302">
        <f t="shared" si="651"/>
        <v>0.0147970428946776</v>
      </c>
      <c r="FI166" s="123">
        <v>1</v>
      </c>
      <c r="FJ166" s="251">
        <f t="shared" si="758"/>
        <v>0.0147970428946776</v>
      </c>
      <c r="FK166" s="339">
        <f>FJ166*VLOOKUP(L166,各项系数!$D$1:$F$143,2,0)</f>
        <v>0.170165993288792</v>
      </c>
      <c r="FL166" s="302"/>
      <c r="FM166" s="123"/>
      <c r="FN166" s="251"/>
      <c r="FO166" s="339"/>
      <c r="FP166" s="364">
        <f t="shared" si="759"/>
        <v>0.0147970428946776</v>
      </c>
      <c r="FQ166" s="364">
        <f t="shared" si="760"/>
        <v>0.170165993288792</v>
      </c>
      <c r="FR166" s="365">
        <f>各项系数!$F$76/4*($MQ166^2-$MN166^2*$EG166-$MO166^2*$EO166)*10^-2</f>
        <v>0.0988739060135258</v>
      </c>
      <c r="FS166" s="366">
        <f t="shared" si="652"/>
        <v>1</v>
      </c>
      <c r="FT166" s="367">
        <f t="shared" si="604"/>
        <v>0.0988739060135258</v>
      </c>
      <c r="FU166" s="388">
        <f>$FT166*(VLOOKUP($FT$9,各项系数!$D$1:$F$143,3,0))*10^-3*10^2*各项系数!$J$55</f>
        <v>0.011805544378015</v>
      </c>
      <c r="FV166" s="389">
        <v>1</v>
      </c>
      <c r="FW166" s="390">
        <f t="shared" si="761"/>
        <v>0.011805544378015</v>
      </c>
      <c r="FX166" s="367">
        <f>FW166*(VLOOKUP($FT$9,各项系数!$D$1:$F$143,2,0))</f>
        <v>0.0354166331340449</v>
      </c>
      <c r="FY166" s="388">
        <f>IF($BK166&lt;&gt;$FY$9,0,各项系数!$F$76/4*($MS166^2-$MQ166^2)*10^-2*(VLOOKUP($FY$9,各项系数!$D$1:$F$143,3,0))*10^-3*10^2)*各项系数!$J$4</f>
        <v>0</v>
      </c>
      <c r="FZ166" s="389">
        <v>1</v>
      </c>
      <c r="GA166" s="390">
        <f t="shared" si="762"/>
        <v>0</v>
      </c>
      <c r="GB166" s="367">
        <f>GA166*(VLOOKUP($FY$9,各项系数!$D$1:$F$143,2,0))</f>
        <v>0</v>
      </c>
      <c r="GC166" s="388">
        <f>IF($BK166&lt;&gt;$GC$9,0,各项系数!$F$76/4*($MS166^2-$MQ166^2)*10^-2*(VLOOKUP($GC$9,各项系数!$D$1:$F$143,3,0))*10^-3*10^2)*各项系数!$J$4</f>
        <v>0.00164113271098171</v>
      </c>
      <c r="GD166" s="389">
        <v>1</v>
      </c>
      <c r="GE166" s="390">
        <f t="shared" si="763"/>
        <v>0.00164113271098171</v>
      </c>
      <c r="GF166" s="367">
        <f>GE166*(VLOOKUP($GC$9,各项系数!$D$1:$F$143,2,0))</f>
        <v>0.0211706119716641</v>
      </c>
      <c r="GG166" s="388">
        <f>IF($BK166&lt;&gt;$GG$9,0,各项系数!$F$76/4*($MS166^2-$MQ166^2)*10^-2*(VLOOKUP($GG$9,各项系数!$D$1:$F$143,3,0))*10^-3*10^2)*各项系数!$J$4</f>
        <v>0</v>
      </c>
      <c r="GH166" s="389">
        <v>1</v>
      </c>
      <c r="GI166" s="390">
        <f t="shared" si="764"/>
        <v>0</v>
      </c>
      <c r="GJ166" s="367">
        <f>GI166*(VLOOKUP($GG$9,各项系数!$D$1:$F$143,2,0))</f>
        <v>0</v>
      </c>
      <c r="GK166" s="388">
        <f>IF($BK166&lt;&gt;$GK$9,0,各项系数!$F$76/4*($MS166^2-$MQ166^2)*10^-2*(VLOOKUP($GK$9,各项系数!$D$1:$F$143,3,0))*10^-3*10^2)*各项系数!$J$4</f>
        <v>0</v>
      </c>
      <c r="GL166" s="389">
        <v>1</v>
      </c>
      <c r="GM166" s="390">
        <f t="shared" si="765"/>
        <v>0</v>
      </c>
      <c r="GN166" s="367">
        <f>GM166*(VLOOKUP($GK$9,各项系数!$D$1:$F$143,2,0))</f>
        <v>0</v>
      </c>
      <c r="GO166" s="390">
        <f t="shared" si="766"/>
        <v>0.00164113271098171</v>
      </c>
      <c r="GP166" s="390">
        <f t="shared" si="767"/>
        <v>0.0211706119716641</v>
      </c>
      <c r="GQ166" s="406">
        <f>各项系数!$F$76/4*($MU166^2-$MS166^2)*10^-2*(VLOOKUP($S166,各项系数!$D$1:$F$143,3,0))*10^-3*10^2*各项系数!$J$4</f>
        <v>0.0984767288671966</v>
      </c>
      <c r="GR166" s="389">
        <v>1</v>
      </c>
      <c r="GS166" s="390">
        <f t="shared" si="768"/>
        <v>0.0984767288671966</v>
      </c>
      <c r="GT166" s="390">
        <f t="shared" si="696"/>
        <v>1</v>
      </c>
      <c r="GU166" s="390">
        <f>ROUND($GS166*(VLOOKUP($S166,各项系数!$D$1:$F$143,2,0))+$E$3*GS166,GT166)</f>
        <v>0.6</v>
      </c>
      <c r="GV166" s="406">
        <f>各项系数!$F$76/4*($MT166^2-$MS166^2)*10^-2*(VLOOKUP($GV$9,各项系数!$D$1:$F$143,3,0))*10^-3*10^2*各项系数!$J$4*PI()/4*R166</f>
        <v>0.00865244566824666</v>
      </c>
      <c r="GW166" s="389">
        <v>1</v>
      </c>
      <c r="GX166" s="390">
        <f t="shared" si="769"/>
        <v>0.00865244566824666</v>
      </c>
      <c r="GY166" s="390">
        <f>$GX166*(VLOOKUP($GV$9,各项系数!$D$1:$F$143,2,0))</f>
        <v>0.584040082606649</v>
      </c>
      <c r="GZ166" s="406">
        <f>各项系数!$F$76/4*($MV166^2-$MS166^2)*10^-2*(VLOOKUP($GZ$9,各项系数!$D$1:$F$143,3,0))*10^-3*10^2*各项系数!$J$4</f>
        <v>0.0397829266492881</v>
      </c>
      <c r="HA166" s="389">
        <v>1</v>
      </c>
      <c r="HB166" s="390">
        <f t="shared" si="653"/>
        <v>0.0397829266492881</v>
      </c>
      <c r="HC166" s="390">
        <f>HB166*(VLOOKUP($GZ$9,各项系数!$D$1:$F$143,2,0))</f>
        <v>0.676309753037898</v>
      </c>
      <c r="HD166" s="406">
        <f>各项系数!$F$76/4*($MW166^2-$MT166^2)*10^-2*(VLOOKUP($HD$9,各项系数!$D$1:$F$143,3,0))*10^-3*10^2*各项系数!$J$4</f>
        <v>0.0406531729470737</v>
      </c>
      <c r="HE166" s="389">
        <v>1</v>
      </c>
      <c r="HF166" s="390">
        <f t="shared" si="654"/>
        <v>0.0406531729470737</v>
      </c>
      <c r="HG166" s="390">
        <f>HF166*(VLOOKUP($HD$9,各项系数!$D$1:$F$143,2,0))</f>
        <v>0.691103940100253</v>
      </c>
      <c r="HH166" s="406">
        <f>各项系数!$F$76/4*($MV166^2-$MS166^2)*10^-2*(VLOOKUP($HH$9,各项系数!$D$1:$F$143,3,0))*10^-3*10^2*各项系数!$J$4</f>
        <v>0.0397829266492881</v>
      </c>
      <c r="HI166" s="420">
        <v>1</v>
      </c>
      <c r="HJ166" s="390">
        <f t="shared" si="655"/>
        <v>0.0397829266492881</v>
      </c>
      <c r="HK166" s="390">
        <f>HJ166*(VLOOKUP($HH$9,各项系数!$D$1:$F$143,2,0))</f>
        <v>0.676309753037898</v>
      </c>
      <c r="HL166" s="406">
        <f>各项系数!$F$76/4*($MW166^2-$MT166^2)*10^-2*(VLOOKUP($HL$9,各项系数!$D$1:$F$143,3,0))*10^-3*10^2*各项系数!$J$4</f>
        <v>0.0406531729470737</v>
      </c>
      <c r="HM166" s="420">
        <v>1</v>
      </c>
      <c r="HN166" s="390">
        <f t="shared" si="605"/>
        <v>0.0406531729470737</v>
      </c>
      <c r="HO166" s="390">
        <f>HN166*(VLOOKUP($HL$9,各项系数!$D$1:$F$143,2,0))</f>
        <v>0.691103940100253</v>
      </c>
      <c r="HP166" s="406">
        <f>各项系数!$F$76/4*($MV166^2-$MS166^2)*10^-2*(VLOOKUP(AN166,各项系数!$D$1:$F$143,3,0))*10^-3*10^2*各项系数!$J$4</f>
        <v>0.0403316566720369</v>
      </c>
      <c r="HQ166" s="389">
        <v>1</v>
      </c>
      <c r="HR166" s="390">
        <f t="shared" si="770"/>
        <v>0.0403316566720369</v>
      </c>
      <c r="HS166" s="390">
        <f>HR166*(VLOOKUP(AN166,各项系数!$D$1:$F$143,2,0))</f>
        <v>0.403316566720369</v>
      </c>
      <c r="HT166" s="406">
        <f>各项系数!$F$76/4*($MW166^2-$MT166^2)*10^-2*(VLOOKUP(AN166,各项系数!$D$1:$F$143,3,0))*10^-3*10^2*各项系数!$J$4</f>
        <v>0.0412139063670333</v>
      </c>
      <c r="HU166" s="389">
        <v>1</v>
      </c>
      <c r="HV166" s="390">
        <f t="shared" si="771"/>
        <v>0.0412139063670333</v>
      </c>
      <c r="HW166" s="390">
        <f>HV166*(VLOOKUP(AN166,各项系数!$D$1:$F$143,2,0))</f>
        <v>0.412139063670333</v>
      </c>
      <c r="HX166" s="406">
        <f>各项系数!$F$76/4*($MV166^2-$MS166^2)*10^-2*(VLOOKUP($HX$9,各项系数!$D$1:$F$143,3,0))*10^-3*10^2*各项系数!$J$4</f>
        <v>0.0403316566720369</v>
      </c>
      <c r="HY166" s="420">
        <v>1</v>
      </c>
      <c r="HZ166" s="390">
        <f t="shared" si="772"/>
        <v>0.0403316566720369</v>
      </c>
      <c r="IA166" s="390">
        <f>HZ166*(VLOOKUP($HX$9,各项系数!$D$1:$F$143,2,0))</f>
        <v>0.443648223392406</v>
      </c>
      <c r="IB166" s="406">
        <f>各项系数!$F$76/4*($MW166^2-$MT166^2)*10^-2*(VLOOKUP($IB$9,各项系数!$D$1:$F$143,3,0))*10^-3*10^2*各项系数!$J$4</f>
        <v>0.0412139063670333</v>
      </c>
      <c r="IC166" s="420">
        <v>1</v>
      </c>
      <c r="ID166" s="390">
        <f t="shared" si="773"/>
        <v>0.0412139063670333</v>
      </c>
      <c r="IE166" s="390">
        <f>ID166*(VLOOKUP($IB$9,各项系数!$D$1:$F$143,2,0))</f>
        <v>0.453352970037367</v>
      </c>
      <c r="IF166" s="429"/>
      <c r="IG166" s="406">
        <f t="shared" si="656"/>
        <v>0.00695964473814169</v>
      </c>
      <c r="IH166" s="389">
        <v>1</v>
      </c>
      <c r="II166" s="390">
        <f t="shared" si="774"/>
        <v>0.00695964473814169</v>
      </c>
      <c r="IJ166" s="390">
        <f>II166*(VLOOKUP($IG$8,各项系数!$D$1:$F$143,2,0))</f>
        <v>0.173991118453542</v>
      </c>
      <c r="IK166" s="406">
        <f>(各项系数!$F$76/4*($MX166^2-$MK166^2)*$EG166)*10^-2*(VLOOKUP($IG$8,各项系数!$D$1:$F$143,3,0))*10^-3*10^2*各项系数!$J$4</f>
        <v>0.00695964473814169</v>
      </c>
      <c r="IL166" s="389">
        <f>IK166*(VLOOKUP($IG$8,各项系数!$D$1:$F$143,2,0))</f>
        <v>0.173991118453542</v>
      </c>
      <c r="IM166" s="390">
        <f>(各项系数!$F$76/4*(($MM166+3*$X166)^2-MM166^2)*$EO166)*10^-2*(VLOOKUP($IG$8,各项系数!$D$1:$F$143,3,0))*10^-3*10^2*各项系数!$J$4</f>
        <v>0</v>
      </c>
      <c r="IN166" s="389">
        <f>IM166*(VLOOKUP($IG$8,各项系数!$D$1:$F$143,2,0))</f>
        <v>0</v>
      </c>
      <c r="IO166" s="406">
        <f>各项系数!$F$76/4*($MZ166^2-$MX166^2)*10^-2*(VLOOKUP(L166,各项系数!$D$1:$F$143,3,0))*10^-3*10^2*$ES166*各项系数!$J$4</f>
        <v>0.0191295190754637</v>
      </c>
      <c r="IP166" s="389">
        <v>1</v>
      </c>
      <c r="IQ166" s="390">
        <f t="shared" si="775"/>
        <v>0.0191295190754637</v>
      </c>
      <c r="IR166" s="367">
        <f>IQ166*(VLOOKUP(L166,各项系数!$D$1:$F$143,2,0))</f>
        <v>0.219989469367832</v>
      </c>
      <c r="IS166" s="406">
        <f>IF($L166&lt;&gt;$IS$9,0,各项系数!$F$76/4*($MZ166^2-$MX166^2)*10^-2*各项系数!$F$12*10^-3*10^2)*$ES166*各项系数!$J$4</f>
        <v>0</v>
      </c>
      <c r="IT166" s="389">
        <v>1</v>
      </c>
      <c r="IU166" s="390">
        <f t="shared" si="776"/>
        <v>0</v>
      </c>
      <c r="IV166" s="367">
        <f>IU166*各项系数!$E$12</f>
        <v>0</v>
      </c>
      <c r="IW166" s="388">
        <f t="shared" si="777"/>
        <v>0.0191295190754637</v>
      </c>
      <c r="IX166" s="388">
        <f t="shared" si="778"/>
        <v>0.219989469367832</v>
      </c>
      <c r="IY166" s="447">
        <f>各项系数!$F$76/4*($NB166^2-$MZ166^2*$EG166-$NA166^2*$EO166)*10^-2</f>
        <v>0.146740392428599</v>
      </c>
      <c r="IZ166" s="366">
        <f t="shared" si="697"/>
        <v>1</v>
      </c>
      <c r="JA166" s="367">
        <f t="shared" si="606"/>
        <v>0.146740392428599</v>
      </c>
      <c r="JB166" s="364">
        <f>IF($DE166&lt;&gt;$JB$9,0,$JA166*各项系数!$F$32*10^-3*10^2)*各项系数!$J$4</f>
        <v>0</v>
      </c>
      <c r="JC166" s="123">
        <v>1</v>
      </c>
      <c r="JD166" s="251">
        <f t="shared" si="779"/>
        <v>0</v>
      </c>
      <c r="JE166" s="339">
        <f>JD166*各项系数!$E$32</f>
        <v>0</v>
      </c>
      <c r="JF166" s="364">
        <f>IF($DE166&lt;&gt;$JF$9,0,$JA166*VLOOKUP($JF$9,各项系数!$D$4:$F$540,2,0)*10^-3*10^2)*各项系数!$J$4</f>
        <v>0.073003345233228</v>
      </c>
      <c r="JG166" s="123">
        <v>1</v>
      </c>
      <c r="JH166" s="251">
        <f t="shared" si="607"/>
        <v>0.073003345233228</v>
      </c>
      <c r="JI166" s="339">
        <f>JH166*VLOOKUP($JF$9,各项系数!$D$4:$F$540,3,0)</f>
        <v>0.0876040142798736</v>
      </c>
      <c r="JJ166" s="364">
        <f t="shared" si="780"/>
        <v>0.073003345233228</v>
      </c>
      <c r="JK166" s="251">
        <f t="shared" si="781"/>
        <v>0.0876040142798736</v>
      </c>
      <c r="JL166" s="364">
        <f>IF($DF166&lt;&gt;$JL$9,0,各项系数!$F$76/4*($NE166^2-$NC166^2)*10^-2*各项系数!$F$39*10^-3*10^2)*各项系数!$J$4</f>
        <v>0.000827596308077265</v>
      </c>
      <c r="JM166" s="123">
        <v>1</v>
      </c>
      <c r="JN166" s="251">
        <f t="shared" si="782"/>
        <v>0.000827596308077265</v>
      </c>
      <c r="JO166" s="339">
        <f>JN166*各项系数!$E$39</f>
        <v>0.0165519261615453</v>
      </c>
      <c r="JP166" s="364">
        <f>IF($DF166&lt;&gt;$JP$9,0,各项系数!$F$76/4*($NE166^2-$NC166^2)*10^-2*各项系数!$F$36*10^-3*10^2)*各项系数!$J$4</f>
        <v>0</v>
      </c>
      <c r="JQ166" s="123">
        <v>1</v>
      </c>
      <c r="JR166" s="251">
        <f t="shared" si="783"/>
        <v>0</v>
      </c>
      <c r="JS166" s="339">
        <f>JR166*各项系数!$E$36</f>
        <v>0</v>
      </c>
      <c r="JT166" s="364">
        <f>IF($DF166&lt;&gt;$JT$9,0,各项系数!$F$76/4*($NE166^2-$NC166^2)*10^-2*各项系数!$F$40*10^-3*10^2)*各项系数!$J$4</f>
        <v>0</v>
      </c>
      <c r="JU166" s="123">
        <v>1</v>
      </c>
      <c r="JV166" s="251">
        <f t="shared" si="784"/>
        <v>0</v>
      </c>
      <c r="JW166" s="339">
        <f>JV166*各项系数!$E$40</f>
        <v>0</v>
      </c>
      <c r="JX166" s="364">
        <f>IF($DF166&lt;&gt;$JX$9,0,各项系数!$F$76/4*($NE166^2-$NC166^2)*10^-2*各项系数!$F$38*10^-3*10^2)*各项系数!$J$4</f>
        <v>0</v>
      </c>
      <c r="JY166" s="123">
        <v>1</v>
      </c>
      <c r="JZ166" s="251">
        <f t="shared" si="785"/>
        <v>0</v>
      </c>
      <c r="KA166" s="339">
        <f>JZ166*各项系数!$E$38</f>
        <v>0</v>
      </c>
      <c r="KB166" s="364">
        <f>IF($DF166&lt;&gt;$KB$9,0,各项系数!$F$76/4*($NE166^2-$NC166^2)*10^-2*各项系数!$F$41*10^-3*10^2)*各项系数!$J$4</f>
        <v>0</v>
      </c>
      <c r="KC166" s="123">
        <v>1</v>
      </c>
      <c r="KD166" s="251">
        <f t="shared" si="786"/>
        <v>0</v>
      </c>
      <c r="KE166" s="339">
        <f>KD166*各项系数!$E$41</f>
        <v>0</v>
      </c>
      <c r="KF166" s="251">
        <f t="shared" si="787"/>
        <v>0.000827596308077265</v>
      </c>
      <c r="KG166" s="251">
        <f t="shared" si="788"/>
        <v>0.0165519261615453</v>
      </c>
      <c r="KH166" s="302">
        <f>各项系数!$F$76/4*($NG166^2-$NE166^2)*10^-2*各项系数!$F$44*10^-3*10^2*各项系数!$J$4*0.75*$U166</f>
        <v>0.35527012254691</v>
      </c>
      <c r="KI166" s="123">
        <v>1</v>
      </c>
      <c r="KJ166" s="251">
        <f t="shared" si="789"/>
        <v>0.35527012254691</v>
      </c>
      <c r="KK166" s="251">
        <f>ROUND(KJ166*各项系数!$E$43,GT166)</f>
        <v>2.1</v>
      </c>
      <c r="KL166" s="302">
        <f>各项系数!$F$76/4*($NF166^2-$NE166^2)*10^-2*各项系数!$F$46*10^-3*10^2*各项系数!$J$4*PI()/4*R166</f>
        <v>0.0105521389118575</v>
      </c>
      <c r="KM166" s="123">
        <v>1</v>
      </c>
      <c r="KN166" s="251">
        <f t="shared" si="790"/>
        <v>0.0105521389118575</v>
      </c>
      <c r="KO166" s="251">
        <f>KN166*各项系数!$E$46</f>
        <v>0.712269376550378</v>
      </c>
      <c r="KP166" s="302">
        <f>各项系数!$F$76/4*($NH166^2-$NE166^2)*10^-2*(VLOOKUP($KP$9,各项系数!$D$1:$F$143,3,0))*10^-3*10^2*各项系数!$J$4</f>
        <v>0.0471800201804657</v>
      </c>
      <c r="KQ166" s="123">
        <v>1</v>
      </c>
      <c r="KR166" s="251">
        <f t="shared" si="657"/>
        <v>0.0471800201804657</v>
      </c>
      <c r="KS166" s="251">
        <f>KR166*(VLOOKUP($KP$9,各项系数!$D$1:$F$143,2,0))</f>
        <v>0.802060343067917</v>
      </c>
      <c r="KT166" s="302">
        <f>各项系数!$F$76/4*($NI166^2-$NF166^2)*10^-2*(VLOOKUP($KT$9,各项系数!$D$1:$F$143,3,0))*10^-3*10^2*各项系数!$J$4</f>
        <v>0.0480502664782513</v>
      </c>
      <c r="KU166" s="123">
        <v>1</v>
      </c>
      <c r="KV166" s="251">
        <f t="shared" si="658"/>
        <v>0.0480502664782513</v>
      </c>
      <c r="KW166" s="251">
        <f>KV166*(VLOOKUP($KT$9,各项系数!$D$1:$F$143,2,0))</f>
        <v>0.816854530130272</v>
      </c>
      <c r="KX166" s="251">
        <f>各项系数!$F$76/4*($NH166^2-$NE166^2)*10^-2*(VLOOKUP($KX$9,各项系数!$D$1:$F$143,3,0))*10^-3*10^2*各项系数!$J$4</f>
        <v>0.0471800201804657</v>
      </c>
      <c r="KY166" s="479">
        <v>1</v>
      </c>
      <c r="KZ166" s="251">
        <f t="shared" si="659"/>
        <v>0.0471800201804657</v>
      </c>
      <c r="LA166" s="251">
        <f>KZ166*(VLOOKUP($KX$9,各项系数!$D$1:$F$143,2,0))</f>
        <v>0.802060343067917</v>
      </c>
      <c r="LB166" s="251">
        <f>各项系数!$F$76/4*($NI166^2-$NF166^2)*10^-2*(VLOOKUP($LB$9,各项系数!$D$1:$F$143,3,0))*10^-3*10^2*各项系数!$J$4</f>
        <v>0.0480502664782513</v>
      </c>
      <c r="LC166" s="479">
        <v>1</v>
      </c>
      <c r="LD166" s="251">
        <f t="shared" si="660"/>
        <v>0.0480502664782513</v>
      </c>
      <c r="LE166" s="251">
        <f>LD166*(VLOOKUP($LB$9,各项系数!$D$1:$F$143,2,0))</f>
        <v>0.816854530130272</v>
      </c>
      <c r="LF166" s="302">
        <f>各项系数!$F$76/4*($NH166^2-$NE166^2)*10^-2*(VLOOKUP(AN166,各项系数!$D$1:$F$143,3,0))*10^-3*10^2*各项系数!$J$4</f>
        <v>0.0478307790795066</v>
      </c>
      <c r="LG166" s="123">
        <v>1</v>
      </c>
      <c r="LH166" s="251">
        <f t="shared" si="791"/>
        <v>0.0478307790795066</v>
      </c>
      <c r="LI166" s="251">
        <f>LH166*(VLOOKUP(AN166,各项系数!$D$1:$F$143,2,0))</f>
        <v>0.478307790795066</v>
      </c>
      <c r="LJ166" s="302">
        <f>各项系数!$F$76/4*($NI166^2-$NF166^2)*10^-2*(VLOOKUP(AN166,各项系数!$D$1:$F$143,3,0))*10^-3*10^2*各项系数!$J$4</f>
        <v>0.0487130287745031</v>
      </c>
      <c r="LK166" s="123">
        <v>1</v>
      </c>
      <c r="LL166" s="251">
        <f t="shared" si="792"/>
        <v>0.0487130287745031</v>
      </c>
      <c r="LM166" s="251">
        <f>LL166*(VLOOKUP(AN166,各项系数!$D$1:$F$143,2,0))</f>
        <v>0.487130287745031</v>
      </c>
      <c r="LN166" s="251">
        <f>各项系数!$F$76/4*($NH166^2-$NE166^2)*10^-2*(VLOOKUP($LN$9,各项系数!$D$1:$F$143,3,0))*10^-3*10^2*各项系数!$J$4</f>
        <v>0.0478307790795066</v>
      </c>
      <c r="LO166" s="479">
        <v>1</v>
      </c>
      <c r="LP166" s="251">
        <f t="shared" si="793"/>
        <v>0.0478307790795066</v>
      </c>
      <c r="LQ166" s="251">
        <f>LP166*(VLOOKUP($LN$9,各项系数!$D$1:$F$143,2,0))</f>
        <v>0.526138569874573</v>
      </c>
      <c r="LR166" s="251">
        <f>各项系数!$F$76/4*($NI166^2-$NF166^2)*10^-2*(VLOOKUP($LR$9,各项系数!$D$1:$F$143,3,0))*10^-3*10^2*各项系数!$J$4</f>
        <v>0.0487130287745031</v>
      </c>
      <c r="LS166" s="479">
        <v>1</v>
      </c>
      <c r="LT166" s="251">
        <f t="shared" si="794"/>
        <v>0.0487130287745031</v>
      </c>
      <c r="LU166" s="251">
        <f>LT166*(VLOOKUP($LR$9,各项系数!$D$1:$F$143,2,0))</f>
        <v>0.535843316519534</v>
      </c>
      <c r="LV166" s="499">
        <f t="shared" si="661"/>
        <v>4.28924615</v>
      </c>
      <c r="LW166" s="499">
        <f t="shared" si="662"/>
        <v>4.28924615</v>
      </c>
      <c r="LX166" s="499">
        <f t="shared" si="663"/>
        <v>2.33692914211857</v>
      </c>
      <c r="LY166" s="515">
        <f t="shared" si="664"/>
        <v>0</v>
      </c>
      <c r="LZ166" s="516">
        <f t="shared" si="608"/>
        <v>1</v>
      </c>
      <c r="MA166" s="517">
        <f t="shared" si="609"/>
        <v>4.28924615</v>
      </c>
      <c r="MB166" s="517">
        <f t="shared" si="665"/>
        <v>1.34922667</v>
      </c>
      <c r="MC166" s="499">
        <f t="shared" si="666"/>
        <v>0</v>
      </c>
      <c r="MD166" s="499">
        <f t="shared" si="667"/>
        <v>0</v>
      </c>
      <c r="ME166" s="499">
        <f t="shared" si="668"/>
        <v>0</v>
      </c>
      <c r="MF166" s="499">
        <f t="shared" si="669"/>
        <v>0</v>
      </c>
      <c r="MG166" s="516">
        <f t="shared" si="670"/>
        <v>1</v>
      </c>
      <c r="MH166" s="517">
        <f t="shared" si="610"/>
        <v>0</v>
      </c>
      <c r="MI166" s="517">
        <f t="shared" si="671"/>
        <v>0</v>
      </c>
      <c r="MJ166" s="251">
        <f t="shared" si="611"/>
        <v>1.34922667</v>
      </c>
      <c r="MK166" s="251">
        <f t="shared" si="672"/>
        <v>1.34922667</v>
      </c>
      <c r="ML166" s="251">
        <f t="shared" si="795"/>
        <v>0</v>
      </c>
      <c r="MM166" s="251">
        <f t="shared" si="612"/>
        <v>0</v>
      </c>
      <c r="MN166" s="251">
        <f t="shared" si="613"/>
        <v>2.74922667</v>
      </c>
      <c r="MO166" s="251">
        <f t="shared" si="673"/>
        <v>0</v>
      </c>
      <c r="MP166" s="251">
        <f t="shared" si="674"/>
        <v>5.93832961</v>
      </c>
      <c r="MQ166" s="251">
        <f t="shared" si="796"/>
        <v>5.93832961</v>
      </c>
      <c r="MR166" s="314">
        <f t="shared" si="675"/>
        <v>5.93832961</v>
      </c>
      <c r="MS166" s="530">
        <f t="shared" si="614"/>
        <v>6.11432961</v>
      </c>
      <c r="MT166" s="530">
        <f t="shared" si="615"/>
        <v>6.27432961</v>
      </c>
      <c r="MU166" s="530">
        <f t="shared" si="616"/>
        <v>7.31432961</v>
      </c>
      <c r="MV166" s="530">
        <f t="shared" si="617"/>
        <v>8.51432961</v>
      </c>
      <c r="MW166" s="530">
        <f t="shared" si="618"/>
        <v>8.67432961</v>
      </c>
      <c r="MX166" s="326">
        <f t="shared" si="619"/>
        <v>1.94922667</v>
      </c>
      <c r="MY166" s="326">
        <f t="shared" si="620"/>
        <v>0</v>
      </c>
      <c r="MZ166" s="251">
        <f t="shared" si="621"/>
        <v>3.34922667</v>
      </c>
      <c r="NA166" s="251">
        <f t="shared" si="622"/>
        <v>0</v>
      </c>
      <c r="NB166" s="251">
        <f t="shared" si="676"/>
        <v>7.23432961</v>
      </c>
      <c r="NC166" s="326">
        <f t="shared" si="797"/>
        <v>7.23432961</v>
      </c>
      <c r="ND166" s="314">
        <f t="shared" si="677"/>
        <v>7.23432961</v>
      </c>
      <c r="NE166" s="537">
        <f t="shared" si="678"/>
        <v>7.47432961</v>
      </c>
      <c r="NF166" s="530">
        <f t="shared" si="623"/>
        <v>7.63432961</v>
      </c>
      <c r="NG166" s="538">
        <f t="shared" si="624"/>
        <v>8.67432961</v>
      </c>
      <c r="NH166" s="326">
        <f t="shared" si="625"/>
        <v>9.87432961</v>
      </c>
      <c r="NI166" s="530">
        <f t="shared" si="626"/>
        <v>10.03432961</v>
      </c>
      <c r="NK166" s="539">
        <f t="shared" si="627"/>
        <v>0.106516118099043</v>
      </c>
      <c r="NL166" s="539">
        <f t="shared" si="628"/>
        <v>3.11518836965307</v>
      </c>
      <c r="NM166" s="539">
        <f t="shared" si="629"/>
        <v>0.106516118099043</v>
      </c>
      <c r="NN166" s="539">
        <f t="shared" si="630"/>
        <v>3.15552002632511</v>
      </c>
      <c r="NO166" s="539">
        <f t="shared" si="631"/>
        <v>0.185691625877749</v>
      </c>
      <c r="NP166" s="539">
        <f t="shared" si="632"/>
        <v>3.46156288359606</v>
      </c>
      <c r="NQ166" s="539">
        <f t="shared" si="633"/>
        <v>0.185691625877749</v>
      </c>
      <c r="NR166" s="539">
        <f t="shared" si="634"/>
        <v>3.50939366267557</v>
      </c>
      <c r="NS166" s="539">
        <f t="shared" si="635"/>
        <v>0.115168563767289</v>
      </c>
      <c r="NT166" s="539">
        <f t="shared" si="636"/>
        <v>0.115168563767289</v>
      </c>
      <c r="NU166" s="539">
        <f t="shared" si="637"/>
        <v>0.196243764789606</v>
      </c>
      <c r="NV166" s="539">
        <f t="shared" si="638"/>
        <v>0.196243764789606</v>
      </c>
      <c r="NW166">
        <f t="shared" si="639"/>
        <v>0.204992846966239</v>
      </c>
      <c r="NX166">
        <f>各项系数!$M$9*NK166</f>
        <v>0.0319548354297128</v>
      </c>
      <c r="NY166">
        <f t="shared" si="640"/>
        <v>0.115168563767289</v>
      </c>
    </row>
    <row r="167" customHeight="1" spans="1:389">
      <c r="A167" s="85"/>
      <c r="B167" s="86"/>
      <c r="C167" s="218"/>
      <c r="D167" s="123" t="s">
        <v>142</v>
      </c>
      <c r="E167" s="77">
        <f t="shared" si="687"/>
        <v>9.22912854</v>
      </c>
      <c r="F167" s="559">
        <f t="shared" si="798"/>
        <v>134.922667214547</v>
      </c>
      <c r="G167" s="23"/>
      <c r="H167" s="23"/>
      <c r="I167" s="174">
        <v>0</v>
      </c>
      <c r="J167" s="23"/>
      <c r="K167" s="23"/>
      <c r="L167" s="118" t="s">
        <v>469</v>
      </c>
      <c r="M167" s="124">
        <f t="shared" si="582"/>
        <v>0.7</v>
      </c>
      <c r="N167" s="124">
        <f t="shared" si="583"/>
        <v>0</v>
      </c>
      <c r="O167" s="69">
        <f t="shared" si="703"/>
        <v>0.08</v>
      </c>
      <c r="P167" s="120">
        <v>0.1</v>
      </c>
      <c r="Q167" s="162">
        <f t="shared" si="754"/>
        <v>0.1</v>
      </c>
      <c r="R167" s="560">
        <v>0.8</v>
      </c>
      <c r="S167" s="171" t="str">
        <f>各项系数!$D$43</f>
        <v>钢带</v>
      </c>
      <c r="T167" s="123">
        <v>0.2</v>
      </c>
      <c r="U167" s="78">
        <v>4</v>
      </c>
      <c r="V167" s="172"/>
      <c r="W167" s="170">
        <f t="shared" si="799"/>
        <v>1.2</v>
      </c>
      <c r="X167" s="164">
        <f t="shared" si="755"/>
        <v>0.2</v>
      </c>
      <c r="Y167" s="219"/>
      <c r="Z167" s="220"/>
      <c r="AA167" s="217">
        <v>1</v>
      </c>
      <c r="AB167" s="186">
        <f>PI()*EJ167*EJ167/4*EH167*(1-H167)*AA167*各项系数!$F$5*各项系数!$J$4*10^-7</f>
        <v>0.0126469138144438</v>
      </c>
      <c r="AC167" s="186">
        <f t="shared" si="704"/>
        <v>134.922667214547</v>
      </c>
      <c r="AD167" s="186">
        <f t="shared" si="584"/>
        <v>1.42974872274124</v>
      </c>
      <c r="AE167" s="186">
        <f>POWER(4*EU167/PI()/EG167/10^-7/EH167/(1-H167)/各项系数!$F$5/各项系数!$J$4,0.5)</f>
        <v>134.922667214547</v>
      </c>
      <c r="AF167" s="218">
        <v>1</v>
      </c>
      <c r="AG167" s="85">
        <f>IF(EM167=0,0,PI()*ER167*ER167/4*EP167*(1-K167)*(1+AF167)*各项系数!$F$5*各项系数!$J$4*10^-7)</f>
        <v>0</v>
      </c>
      <c r="AH167" s="85">
        <f t="shared" si="705"/>
        <v>0</v>
      </c>
      <c r="AI167" s="85">
        <f t="shared" si="641"/>
        <v>0</v>
      </c>
      <c r="AJ167" s="85">
        <f>IF(OR(EP167="",EP167=0),0,POWER(4*EW167/PI()/EO167/10^-7/EP167/(1-K167)/各项系数!$F$5/各项系数!$J$4,0.5))</f>
        <v>0</v>
      </c>
      <c r="AK167" s="85" t="str">
        <f t="shared" si="585"/>
        <v>√</v>
      </c>
      <c r="AL167" s="85">
        <f t="shared" si="706"/>
        <v>4.28654750300571</v>
      </c>
      <c r="AM167" s="250">
        <f t="shared" si="707"/>
        <v>1.5</v>
      </c>
      <c r="AN167" s="118" t="s">
        <v>486</v>
      </c>
      <c r="AO167" s="259">
        <f>AP167+各项系数!$M$9*$NK167</f>
        <v>4.20249755196638</v>
      </c>
      <c r="AP167" s="259">
        <f>AQ167*(1+$BI167+(VLOOKUP($AM167,$A$12:$B$323,2,0))+各项系数!$J$6+各项系数!$M$5)*(1+$E$2)</f>
        <v>4.1636223977344</v>
      </c>
      <c r="AQ167" s="260">
        <f>AR167+各项系数!$L$9*$NK167</f>
        <v>4.20652899346777</v>
      </c>
      <c r="AR167" s="260">
        <f>AS167*(1+$BJ167+各项系数!$J$5+各项系数!$L$5)</f>
        <v>4.16765383923579</v>
      </c>
      <c r="AS167" s="260">
        <f t="shared" si="642"/>
        <v>4.04626586333572</v>
      </c>
      <c r="AT167" s="259">
        <f>AU167+各项系数!$M$9*$NM167</f>
        <v>4.50801102349851</v>
      </c>
      <c r="AU167" s="259">
        <f>AV167*(1+$BI167+(VLOOKUP($AM167,$A$12:$B$323,2,0))+各项系数!$J$6+各项系数!$M$5)*(1+$E$2)</f>
        <v>4.46913586926652</v>
      </c>
      <c r="AV167" s="260">
        <f>AW167+各项系数!$L$9*$NM167</f>
        <v>4.5151908155855</v>
      </c>
      <c r="AW167" s="260">
        <f>AX167*(1+$BJ167+各项系数!$J$5+各项系数!$L$5)</f>
        <v>4.47631566135351</v>
      </c>
      <c r="AX167" s="260">
        <f t="shared" si="643"/>
        <v>4.34593753529467</v>
      </c>
      <c r="AY167" s="259">
        <f>AZ167+各项系数!$M$9*$NS167</f>
        <v>4.88138792260021</v>
      </c>
      <c r="AZ167" s="259">
        <f>BA167*(1+$BI167+(VLOOKUP($AM167,$A$12:$B$214,2,0))+各项系数!$J$6+各项系数!$M$5)*(1+$E$2)</f>
        <v>4.83961749819028</v>
      </c>
      <c r="BA167" s="260">
        <f>BB167+各项系数!$L$9*$NS167</f>
        <v>4.88949029924256</v>
      </c>
      <c r="BB167" s="260">
        <f>BC167*(1+$BJ167+各项系数!$J$5+各项系数!$L$5)</f>
        <v>4.84771987483263</v>
      </c>
      <c r="BC167" s="262">
        <f t="shared" si="644"/>
        <v>4.70652415032294</v>
      </c>
      <c r="BD167" s="259">
        <f>BE167+各项系数!$M$9*$NS167</f>
        <v>5.19298949637177</v>
      </c>
      <c r="BE167" s="259">
        <f>BF167*(1+$BI167+(VLOOKUP($AM167,$A$12:$B$214,2,0))+各项系数!$J$6+各项系数!$M$5)*(1+$E$2)</f>
        <v>5.15121907196185</v>
      </c>
      <c r="BF167" s="260">
        <f>BG167+各项系数!$L$9*$NS167</f>
        <v>5.20430296217604</v>
      </c>
      <c r="BG167" s="260">
        <f>BH167*(1+$BJ167+各项系数!$J$5+各项系数!$L$5)</f>
        <v>5.16253253776612</v>
      </c>
      <c r="BH167" s="262">
        <f t="shared" si="645"/>
        <v>5.01216751239429</v>
      </c>
      <c r="BI167" s="277"/>
      <c r="BJ167" s="272">
        <f t="shared" si="800"/>
        <v>0.01</v>
      </c>
      <c r="BK167" s="123" t="s">
        <v>514</v>
      </c>
      <c r="BL167" s="259">
        <f>BM167+各项系数!$M$9*$NM167</f>
        <v>4.28812186775902</v>
      </c>
      <c r="BM167" s="259">
        <f>BN167*(1+$CF167+(VLOOKUP($AM167,$A$12:$B$323,2,0))+各项系数!$J$6+各项系数!$M$5)*(1+$E$2)</f>
        <v>4.24924671352704</v>
      </c>
      <c r="BN167" s="260">
        <f>BO167+各项系数!$L$9*$NM167</f>
        <v>4.29303567743689</v>
      </c>
      <c r="BO167" s="260">
        <f>BP167*(1+$CG167+各项系数!$J$5+各项系数!$L$5)</f>
        <v>4.25416052320491</v>
      </c>
      <c r="BP167" s="260">
        <f t="shared" si="646"/>
        <v>4.09053896462011</v>
      </c>
      <c r="BQ167" s="259">
        <f>BR167+各项系数!$M$9*$NM167</f>
        <v>4.55102711322285</v>
      </c>
      <c r="BR167" s="259">
        <f>BS167*(1+$CF167+(VLOOKUP($AM167,$A$12:$B$323,2,0))+各项系数!$J$6+各项系数!$M$5)*(1+$E$2)</f>
        <v>4.51215195899087</v>
      </c>
      <c r="BS167" s="260">
        <f>BT167+各项系数!$L$9*$NM167</f>
        <v>4.55865019093844</v>
      </c>
      <c r="BT167" s="260">
        <f>BU167*(1+$CG167+各项系数!$J$5+各项系数!$L$5)</f>
        <v>4.51977503670646</v>
      </c>
      <c r="BU167" s="260">
        <f t="shared" si="647"/>
        <v>4.34593753529467</v>
      </c>
      <c r="BV167" s="259">
        <f>BW167+各项系数!$M$9*$NT167</f>
        <v>4.94129040605732</v>
      </c>
      <c r="BW167" s="259">
        <f>BX167*(1+$CF167+(VLOOKUP($AM167,$A$12:$B$214,2,0))+各项系数!$J$6+各项系数!$M$5)*(1+$E$2)</f>
        <v>4.8995199816474</v>
      </c>
      <c r="BX167" s="260">
        <f>BY167+各项系数!$L$9*$NT$12</f>
        <v>4.95001008450939</v>
      </c>
      <c r="BY167" s="260">
        <f>BZ167*(1+$CG167+各项系数!$J$5+各项系数!$L$5)</f>
        <v>4.94174668135442</v>
      </c>
      <c r="BZ167" s="262">
        <f t="shared" si="586"/>
        <v>4.75167950130233</v>
      </c>
      <c r="CA167" s="259">
        <f>CB167+各项系数!$M$9*$NT167</f>
        <v>5.2094346807713</v>
      </c>
      <c r="CB167" s="259">
        <f>CC167*(1+$CF167+(VLOOKUP($AM167,$A$12:$B$214,2,0))+各项系数!$J$6+各项系数!$M$5)*(1+$E$2)</f>
        <v>5.16766425636138</v>
      </c>
      <c r="CC167" s="260">
        <f>CD167+各项系数!$L$9*$NT$12</f>
        <v>5.22091761604504</v>
      </c>
      <c r="CD167" s="260">
        <f>CE167*(1+$CG167+各项系数!$J$5+各项系数!$L$5)</f>
        <v>5.21265421289006</v>
      </c>
      <c r="CE167" s="262">
        <f t="shared" si="648"/>
        <v>5.01216751239429</v>
      </c>
      <c r="CF167" s="277">
        <f t="shared" si="753"/>
        <v>0</v>
      </c>
      <c r="CG167" s="277">
        <f t="shared" si="587"/>
        <v>0.02</v>
      </c>
      <c r="CH167" s="123"/>
      <c r="CI167" s="259">
        <f>CJ167+各项系数!$M$9*$NO167</f>
        <v>4.7390115666694</v>
      </c>
      <c r="CJ167" s="259">
        <f>CK167*(1+$DC167+(VLOOKUP($AM167,$A$12:$B$323,2,0))+各项系数!$J$6+各项系数!$M$5)*(1+$E$2)+各项系数!$M$9*$NK167</f>
        <v>4.67292236671484</v>
      </c>
      <c r="CK167" s="260">
        <f>CL167+各项系数!$L$9*$NO167</f>
        <v>4.68180158868747</v>
      </c>
      <c r="CL167" s="260">
        <f>CM167*(1+$DD167+各项系数!$J$5+各项系数!$L$5)</f>
        <v>4.6157123887329</v>
      </c>
      <c r="CM167" s="260">
        <f t="shared" si="588"/>
        <v>4.48127416381835</v>
      </c>
      <c r="CN167" s="259">
        <f>CO167+各项系数!$M$9*$NO167</f>
        <v>4.95930231456685</v>
      </c>
      <c r="CO167" s="259">
        <f>CP167*(1+$DC167+(VLOOKUP($AM167,$A$12:$B$323,2,0))+各项系数!$J$6+各项系数!$M$5)*(1+$E$2)+各项系数!$M$9*$NK167</f>
        <v>4.89321311461228</v>
      </c>
      <c r="CP167" s="260">
        <f>CQ167+各项系数!$L$9*$NO167</f>
        <v>4.90436245744625</v>
      </c>
      <c r="CQ167" s="260">
        <f>CR167*(1+$DD167+各项系数!$J$5+各项系数!$L$5)</f>
        <v>4.83827325749168</v>
      </c>
      <c r="CR167" s="260">
        <f t="shared" si="589"/>
        <v>4.69735267717639</v>
      </c>
      <c r="CS167" s="259">
        <f>CT167+各项系数!$M$9*$NU167</f>
        <v>5.52601524336979</v>
      </c>
      <c r="CT167" s="259">
        <f t="shared" si="590"/>
        <v>5.45639549346729</v>
      </c>
      <c r="CU167" s="260">
        <f>CV167+各项系数!$L$9*$NU167</f>
        <v>5.51262426092876</v>
      </c>
      <c r="CV167" s="260">
        <f>CW167*(1+$DD167+各项系数!$J$5+各项系数!$L$5)</f>
        <v>5.44300451102625</v>
      </c>
      <c r="CW167" s="262">
        <f t="shared" si="591"/>
        <v>5.28447039905461</v>
      </c>
      <c r="CX167" s="259">
        <f>CY167+各项系数!$M$9*$NU167</f>
        <v>5.89530158586007</v>
      </c>
      <c r="CY167" s="259">
        <f t="shared" si="592"/>
        <v>5.82568183595756</v>
      </c>
      <c r="CZ167" s="260">
        <f>DA167+各项系数!$L$9*$NU167</f>
        <v>5.8857161405916</v>
      </c>
      <c r="DA167" s="260">
        <f>DB167*(1+$DD167+各项系数!$J$5+各项系数!$L$5)</f>
        <v>5.81609639068909</v>
      </c>
      <c r="DB167" s="262">
        <f t="shared" si="593"/>
        <v>5.64669552494087</v>
      </c>
      <c r="DC167" s="277">
        <f t="shared" si="698"/>
        <v>0</v>
      </c>
      <c r="DD167" s="277">
        <f t="shared" si="594"/>
        <v>0.01</v>
      </c>
      <c r="DE167" s="69" t="s">
        <v>498</v>
      </c>
      <c r="DF167" s="69" t="s">
        <v>513</v>
      </c>
      <c r="DG167" s="259">
        <f>DH167+各项系数!$M$9*$NQ167</f>
        <v>4.83754660749207</v>
      </c>
      <c r="DH167" s="259">
        <f>DI167*(1+$EA167+(VLOOKUP($AM167,$A$12:$B$323,2,0))+各项系数!$J$6+各项系数!$M$5)*(1+$E$2)+各项系数!$M$9*$NK167</f>
        <v>4.7714574075375</v>
      </c>
      <c r="DI167" s="260">
        <f>DJ167+各项系数!$L$9*$NQ167</f>
        <v>4.78135204415591</v>
      </c>
      <c r="DJ167" s="260">
        <f>DK167*(1+$EB167+各项系数!$J$5+各项系数!$L$5)</f>
        <v>4.71526284420134</v>
      </c>
      <c r="DK167" s="260">
        <f t="shared" si="595"/>
        <v>4.53390658096283</v>
      </c>
      <c r="DL167" s="259">
        <f>DM167+各项系数!$M$9*$NQ167</f>
        <v>5.150091655101</v>
      </c>
      <c r="DM167" s="259">
        <f>DN167*(1+$EA167+(VLOOKUP($AM167,$A$12:$B$323,2,0))+各项系数!$J$6+各项系数!$M$5)*(1+$E$2)+各项系数!$M$9*$NK167</f>
        <v>5.08400245514643</v>
      </c>
      <c r="DN167" s="260">
        <f>DO167+各项系数!$L$9*$NQ167</f>
        <v>5.09711790353046</v>
      </c>
      <c r="DO167" s="260">
        <f>DP167*(1+$EB167+各项系数!$J$5+各项系数!$L$5)</f>
        <v>5.0310287035759</v>
      </c>
      <c r="DP167" s="260">
        <f t="shared" si="596"/>
        <v>4.83752759959221</v>
      </c>
      <c r="DQ167" s="259">
        <f>DR167+各项系数!$M$9*$NV167</f>
        <v>5.63340850130686</v>
      </c>
      <c r="DR167" s="259">
        <f t="shared" si="597"/>
        <v>5.56378875140435</v>
      </c>
      <c r="DS167" s="260">
        <f>DT167+各项系数!$L$9*$NV167</f>
        <v>5.62112421843236</v>
      </c>
      <c r="DT167" s="260">
        <f>DU167*(1+$EB167+各项系数!$J$5+各项系数!$L$5)</f>
        <v>5.55150446852985</v>
      </c>
      <c r="DU167" s="262">
        <f t="shared" si="598"/>
        <v>5.33798506589409</v>
      </c>
      <c r="DV167" s="259">
        <f>DW167+各项系数!$M$9*$NV167</f>
        <v>5.64925204503061</v>
      </c>
      <c r="DW167" s="259">
        <f t="shared" si="599"/>
        <v>5.57963229512811</v>
      </c>
      <c r="DX167" s="260">
        <f>DY167+各项系数!$L$9*$NV167</f>
        <v>5.63713103165095</v>
      </c>
      <c r="DY167" s="260">
        <f>DZ167*(1+$EB167+各项系数!$J$5+各项系数!$L$5)</f>
        <v>5.56751128174844</v>
      </c>
      <c r="DZ167" s="262">
        <f t="shared" si="600"/>
        <v>5.35337623245042</v>
      </c>
      <c r="EA167" s="277">
        <f t="shared" si="699"/>
        <v>0</v>
      </c>
      <c r="EB167" s="277">
        <f t="shared" si="601"/>
        <v>0.02</v>
      </c>
      <c r="EC167" s="302">
        <f t="shared" si="649"/>
        <v>4</v>
      </c>
      <c r="ED167" s="302" t="str">
        <f t="shared" si="756"/>
        <v>4*1.5</v>
      </c>
      <c r="EE167" s="251">
        <f t="shared" si="709"/>
        <v>1.5</v>
      </c>
      <c r="EF167" s="251">
        <f>LOOKUP(EH167,{1,7,10,14,19,24,30,37,48,61},{1,"1+6","2+8","4+10","1+6+12","2+8+14","4+10+16","1+6+12+18","3+9+15+21","1+6+12+18+24"})</f>
        <v>1</v>
      </c>
      <c r="EG167" s="250">
        <f t="shared" si="602"/>
        <v>4</v>
      </c>
      <c r="EH167" s="260">
        <f>VLOOKUP(EE167,各项系数!$B$87:$C$124,2,0)</f>
        <v>1</v>
      </c>
      <c r="EI167" s="250">
        <f>IF(EH167=0,0,VLOOKUP(EH167,各项系数!$D$142:$E$195,2,0))*1</f>
        <v>1</v>
      </c>
      <c r="EJ167" s="305">
        <f t="shared" si="650"/>
        <v>134.922667214547</v>
      </c>
      <c r="EK167" s="251">
        <f t="shared" si="689"/>
        <v>0</v>
      </c>
      <c r="EL167" s="251">
        <f t="shared" si="603"/>
        <v>0</v>
      </c>
      <c r="EM167" s="251">
        <f t="shared" si="690"/>
        <v>0</v>
      </c>
      <c r="EN167" s="251">
        <f>IF(EP167=0,0,LOOKUP(EP167,{1,7,10,14,19,24,30,37,48,61},{1,"1+6","2+8","4+10","1+6+12","2+8+14","4+10+16","1+6+12+18","3+9+15+21","1+6+12+18+24"}))</f>
        <v>0</v>
      </c>
      <c r="EO167" s="251">
        <f t="shared" si="691"/>
        <v>0</v>
      </c>
      <c r="EP167" s="251">
        <f>IF(EM167=0,0,IF(EM167&lt;10,1,IF(AND(EM167&gt;=10,EM167&lt;=35),7,LOOKUP(EM167,{50,70,95,120,150,185,240,300},{10,14,19,24,30,37,48,61})*1)))</f>
        <v>0</v>
      </c>
      <c r="EQ167" s="251">
        <f>IF(EP167=0,0,VLOOKUP(EP167,各项系数!$D$142:$E$195,2,0))*1</f>
        <v>0</v>
      </c>
      <c r="ER167" s="69">
        <f t="shared" si="710"/>
        <v>0</v>
      </c>
      <c r="ES167" s="566">
        <f t="shared" si="692"/>
        <v>4</v>
      </c>
      <c r="ET167" s="251">
        <f>VLOOKUP(ES167,各项系数!$D$142:$E$195,2,0)*1</f>
        <v>2.42</v>
      </c>
      <c r="EU167" s="311">
        <f>((各项系数!$F$76/4*$EJ167^2*$EG167*$EH167*1*10^-7)*(1-$H167)*AA167)*(VLOOKUP($EY$9,各项系数!$D$4:$F$143,3,0))*各项系数!$J$4</f>
        <v>0.0505876552577751</v>
      </c>
      <c r="EV167" s="312">
        <f>EU167*(VLOOKUP($EY$9,各项系数!$D$4:$F$143,2,0))</f>
        <v>3.31349141938427</v>
      </c>
      <c r="EW167" s="324">
        <f>(IF($EO167=0,0,(各项系数!$F$76/4*$ER167^2*$EO167*$EP167*1*10^-7))*(1-$K167)*$AF167)*(VLOOKUP($EY$9,各项系数!$D$4:$F$143,3,0))*各项系数!$J$4</f>
        <v>0</v>
      </c>
      <c r="EX167" s="325">
        <f>EW167*(VLOOKUP($EY$9,各项系数!$D$4:$F$143,2,0))</f>
        <v>0</v>
      </c>
      <c r="EY167" s="251">
        <f>((各项系数!$F$76/4*$EJ167^2*$EG167*$EH167*1*10^-7)*(1-$H167)*AA167+IF($EO167=0,0,(各项系数!$F$76/4*$ER167^2*$EO167*$EP167*1*10^-7))*(1-$K167)*$AF167)*(VLOOKUP($EY$9,各项系数!$D$4:$F$143,3,0))*各项系数!$J$4</f>
        <v>0.0505876552577751</v>
      </c>
      <c r="EZ167" s="123">
        <v>1</v>
      </c>
      <c r="FA167" s="251">
        <f t="shared" si="757"/>
        <v>0.0505876552577751</v>
      </c>
      <c r="FB167" s="326">
        <f>FA167*(VLOOKUP($EY$9,各项系数!$D$4:$F$143,2,0))</f>
        <v>3.31349141938427</v>
      </c>
      <c r="FC167" s="327"/>
      <c r="FD167" s="302">
        <f>各项系数!$F$76/4*($MN167^2-MK167^2)*10^-2*(VLOOKUP(L167,各项系数!$D$1:$F$143,3,0))*10^-3*10^2*$EG167*各项系数!$J$4</f>
        <v>0.0197293905262368</v>
      </c>
      <c r="FE167" s="339">
        <f>FD167*VLOOKUP(L167,各项系数!$D$1:$F$143,2,0)</f>
        <v>0.226887991051723</v>
      </c>
      <c r="FF167" s="250">
        <f>各项系数!$F$76/4*($MO167^2-ML167^2)*10^-2*(VLOOKUP(L167,各项系数!$D$1:$F$143,3,0))*10^-3*10^2*$EO167*各项系数!$J$4</f>
        <v>0</v>
      </c>
      <c r="FG167" s="339">
        <f>FF167*VLOOKUP(L167,各项系数!$D$1:$F$143,2,0)</f>
        <v>0</v>
      </c>
      <c r="FH167" s="302">
        <f t="shared" si="651"/>
        <v>0.0197293905262368</v>
      </c>
      <c r="FI167" s="123">
        <v>1</v>
      </c>
      <c r="FJ167" s="251">
        <f t="shared" si="758"/>
        <v>0.0197293905262368</v>
      </c>
      <c r="FK167" s="339">
        <f>FJ167*VLOOKUP(L167,各项系数!$D$1:$F$143,2,0)</f>
        <v>0.226887991051723</v>
      </c>
      <c r="FL167" s="302"/>
      <c r="FM167" s="123"/>
      <c r="FN167" s="251"/>
      <c r="FO167" s="339"/>
      <c r="FP167" s="364">
        <f t="shared" si="759"/>
        <v>0.0197293905262368</v>
      </c>
      <c r="FQ167" s="364">
        <f t="shared" si="760"/>
        <v>0.226887991051723</v>
      </c>
      <c r="FR167" s="365">
        <f>各项系数!$F$76/4*($MQ167^2-$MN167^2*$EG167-$MO167^2*$EO167)*10^-2</f>
        <v>0.110200239190057</v>
      </c>
      <c r="FS167" s="366">
        <f t="shared" si="652"/>
        <v>1</v>
      </c>
      <c r="FT167" s="367">
        <f t="shared" si="604"/>
        <v>0.110200239190057</v>
      </c>
      <c r="FU167" s="388">
        <f>$FT167*(VLOOKUP($FT$9,各项系数!$D$1:$F$143,3,0))*10^-3*10^2*各项系数!$J$55</f>
        <v>0.0131579085592928</v>
      </c>
      <c r="FV167" s="389">
        <v>1</v>
      </c>
      <c r="FW167" s="390">
        <f t="shared" si="761"/>
        <v>0.0131579085592928</v>
      </c>
      <c r="FX167" s="367">
        <f>FW167*(VLOOKUP($FT$9,各项系数!$D$1:$F$143,2,0))</f>
        <v>0.0394737256778784</v>
      </c>
      <c r="FY167" s="388">
        <f>IF($BK167&lt;&gt;$FY$9,0,各项系数!$F$76/4*($MS167^2-$MQ167^2)*10^-2*(VLOOKUP($FY$9,各项系数!$D$1:$F$143,3,0))*10^-3*10^2)*各项系数!$J$4</f>
        <v>0</v>
      </c>
      <c r="FZ167" s="389">
        <v>1</v>
      </c>
      <c r="GA167" s="390">
        <f t="shared" si="762"/>
        <v>0</v>
      </c>
      <c r="GB167" s="367">
        <f>GA167*(VLOOKUP($FY$9,各项系数!$D$1:$F$143,2,0))</f>
        <v>0</v>
      </c>
      <c r="GC167" s="388">
        <f>IF($BK167&lt;&gt;$GC$9,0,各项系数!$F$76/4*($MS167^2-$MQ167^2)*10^-2*(VLOOKUP($GC$9,各项系数!$D$1:$F$143,3,0))*10^-3*10^2)*各项系数!$J$4</f>
        <v>0.0018357918122448</v>
      </c>
      <c r="GD167" s="389">
        <v>1</v>
      </c>
      <c r="GE167" s="390">
        <f t="shared" si="763"/>
        <v>0.0018357918122448</v>
      </c>
      <c r="GF167" s="367">
        <f>GE167*(VLOOKUP($GC$9,各项系数!$D$1:$F$143,2,0))</f>
        <v>0.0236817143779579</v>
      </c>
      <c r="GG167" s="388">
        <f>IF($BK167&lt;&gt;$GG$9,0,各项系数!$F$76/4*($MS167^2-$MQ167^2)*10^-2*(VLOOKUP($GG$9,各项系数!$D$1:$F$143,3,0))*10^-3*10^2)*各项系数!$J$4</f>
        <v>0</v>
      </c>
      <c r="GH167" s="389">
        <v>1</v>
      </c>
      <c r="GI167" s="390">
        <f t="shared" si="764"/>
        <v>0</v>
      </c>
      <c r="GJ167" s="367">
        <f>GI167*(VLOOKUP($GG$9,各项系数!$D$1:$F$143,2,0))</f>
        <v>0</v>
      </c>
      <c r="GK167" s="388">
        <f>IF($BK167&lt;&gt;$GK$9,0,各项系数!$F$76/4*($MS167^2-$MQ167^2)*10^-2*(VLOOKUP($GK$9,各项系数!$D$1:$F$143,3,0))*10^-3*10^2)*各项系数!$J$4</f>
        <v>0</v>
      </c>
      <c r="GL167" s="389">
        <v>1</v>
      </c>
      <c r="GM167" s="390">
        <f t="shared" si="765"/>
        <v>0</v>
      </c>
      <c r="GN167" s="367">
        <f>GM167*(VLOOKUP($GK$9,各项系数!$D$1:$F$143,2,0))</f>
        <v>0</v>
      </c>
      <c r="GO167" s="390">
        <f t="shared" si="766"/>
        <v>0.0018357918122448</v>
      </c>
      <c r="GP167" s="390">
        <f t="shared" si="767"/>
        <v>0.0236817143779579</v>
      </c>
      <c r="GQ167" s="406">
        <f>各项系数!$F$76/4*($MU167^2-$MS167^2)*10^-2*(VLOOKUP($S167,各项系数!$D$1:$F$143,3,0))*10^-3*10^2*各项系数!$J$4</f>
        <v>0.108960435285085</v>
      </c>
      <c r="GR167" s="389">
        <v>1</v>
      </c>
      <c r="GS167" s="390">
        <f t="shared" si="768"/>
        <v>0.108960435285085</v>
      </c>
      <c r="GT167" s="390">
        <f t="shared" si="696"/>
        <v>1</v>
      </c>
      <c r="GU167" s="390">
        <f>ROUND($GS167*(VLOOKUP($S167,各项系数!$D$1:$F$143,2,0))+$E$3*GS167,GT167)</f>
        <v>0.6</v>
      </c>
      <c r="GV167" s="406">
        <f>各项系数!$F$76/4*($MT167^2-$MS167^2)*10^-2*(VLOOKUP($GV$9,各项系数!$D$1:$F$143,3,0))*10^-3*10^2*各项系数!$J$4*PI()/4*R167</f>
        <v>0.00965090059314462</v>
      </c>
      <c r="GW167" s="389">
        <v>1</v>
      </c>
      <c r="GX167" s="390">
        <f t="shared" si="769"/>
        <v>0.00965090059314462</v>
      </c>
      <c r="GY167" s="390">
        <f>$GX167*(VLOOKUP($GV$9,各项系数!$D$1:$F$143,2,0))</f>
        <v>0.651435790037262</v>
      </c>
      <c r="GZ167" s="406">
        <f>各项系数!$F$76/4*($MV167^2-$MS167^2)*10^-2*(VLOOKUP($GZ$9,各项系数!$D$1:$F$143,3,0))*10^-3*10^2*各项系数!$J$4</f>
        <v>0.0436707461648731</v>
      </c>
      <c r="HA167" s="389">
        <v>1</v>
      </c>
      <c r="HB167" s="390">
        <f t="shared" si="653"/>
        <v>0.0436707461648731</v>
      </c>
      <c r="HC167" s="390">
        <f>HB167*(VLOOKUP($GZ$9,各项系数!$D$1:$F$143,2,0))</f>
        <v>0.742402684802843</v>
      </c>
      <c r="HD167" s="406">
        <f>各项系数!$F$76/4*($MW167^2-$MT167^2)*10^-2*(VLOOKUP($HD$9,各项系数!$D$1:$F$143,3,0))*10^-3*10^2*各项系数!$J$4</f>
        <v>0.0445409924626587</v>
      </c>
      <c r="HE167" s="389">
        <v>1</v>
      </c>
      <c r="HF167" s="390">
        <f t="shared" si="654"/>
        <v>0.0445409924626587</v>
      </c>
      <c r="HG167" s="390">
        <f>HF167*(VLOOKUP($HD$9,各项系数!$D$1:$F$143,2,0))</f>
        <v>0.757196871865199</v>
      </c>
      <c r="HH167" s="406">
        <f>各项系数!$F$76/4*($MV167^2-$MS167^2)*10^-2*(VLOOKUP($HH$9,各项系数!$D$1:$F$143,3,0))*10^-3*10^2*各项系数!$J$4</f>
        <v>0.0436707461648731</v>
      </c>
      <c r="HI167" s="420">
        <v>1</v>
      </c>
      <c r="HJ167" s="390">
        <f t="shared" si="655"/>
        <v>0.0436707461648731</v>
      </c>
      <c r="HK167" s="390">
        <f>HJ167*(VLOOKUP($HH$9,各项系数!$D$1:$F$143,2,0))</f>
        <v>0.742402684802843</v>
      </c>
      <c r="HL167" s="406">
        <f>各项系数!$F$76/4*($MW167^2-$MT167^2)*10^-2*(VLOOKUP($HL$9,各项系数!$D$1:$F$143,3,0))*10^-3*10^2*各项系数!$J$4</f>
        <v>0.0445409924626587</v>
      </c>
      <c r="HM167" s="420">
        <v>1</v>
      </c>
      <c r="HN167" s="390">
        <f t="shared" si="605"/>
        <v>0.0445409924626587</v>
      </c>
      <c r="HO167" s="390">
        <f>HN167*(VLOOKUP($HL$9,各项系数!$D$1:$F$143,2,0))</f>
        <v>0.757196871865199</v>
      </c>
      <c r="HP167" s="406">
        <f>各项系数!$F$76/4*($MV167^2-$MS167^2)*10^-2*(VLOOKUP(AN167,各项系数!$D$1:$F$143,3,0))*10^-3*10^2*各项系数!$J$4</f>
        <v>0.0442731012843886</v>
      </c>
      <c r="HQ167" s="389">
        <v>1</v>
      </c>
      <c r="HR167" s="390">
        <f t="shared" si="770"/>
        <v>0.0442731012843886</v>
      </c>
      <c r="HS167" s="390">
        <f>HR167*(VLOOKUP(AN167,各项系数!$D$1:$F$143,2,0))</f>
        <v>0.442731012843886</v>
      </c>
      <c r="HT167" s="406">
        <f>各项系数!$F$76/4*($MW167^2-$MT167^2)*10^-2*(VLOOKUP(AN167,各项系数!$D$1:$F$143,3,0))*10^-3*10^2*各项系数!$J$4</f>
        <v>0.0451553509793851</v>
      </c>
      <c r="HU167" s="389">
        <v>1</v>
      </c>
      <c r="HV167" s="390">
        <f t="shared" si="771"/>
        <v>0.0451553509793851</v>
      </c>
      <c r="HW167" s="390">
        <f>HV167*(VLOOKUP(AN167,各项系数!$D$1:$F$143,2,0))</f>
        <v>0.451553509793851</v>
      </c>
      <c r="HX167" s="406">
        <f>各项系数!$F$76/4*($MV167^2-$MS167^2)*10^-2*(VLOOKUP($HX$9,各项系数!$D$1:$F$143,3,0))*10^-3*10^2*各项系数!$J$4</f>
        <v>0.0442731012843886</v>
      </c>
      <c r="HY167" s="420">
        <v>1</v>
      </c>
      <c r="HZ167" s="390">
        <f t="shared" si="772"/>
        <v>0.0442731012843886</v>
      </c>
      <c r="IA167" s="390">
        <f>HZ167*(VLOOKUP($HX$9,各项系数!$D$1:$F$143,2,0))</f>
        <v>0.487004114128275</v>
      </c>
      <c r="IB167" s="406">
        <f>各项系数!$F$76/4*($MW167^2-$MT167^2)*10^-2*(VLOOKUP($IB$9,各项系数!$D$1:$F$143,3,0))*10^-3*10^2*各项系数!$J$4</f>
        <v>0.0451553509793851</v>
      </c>
      <c r="IC167" s="420">
        <v>1</v>
      </c>
      <c r="ID167" s="390">
        <f t="shared" si="773"/>
        <v>0.0451553509793851</v>
      </c>
      <c r="IE167" s="390">
        <f>ID167*(VLOOKUP($IB$9,各项系数!$D$1:$F$143,2,0))</f>
        <v>0.496708860773236</v>
      </c>
      <c r="IF167" s="429"/>
      <c r="IG167" s="406">
        <f t="shared" si="656"/>
        <v>0.00927952631752225</v>
      </c>
      <c r="IH167" s="389">
        <v>1</v>
      </c>
      <c r="II167" s="390">
        <f t="shared" si="774"/>
        <v>0.00927952631752225</v>
      </c>
      <c r="IJ167" s="390">
        <f>II167*(VLOOKUP($IG$8,各项系数!$D$1:$F$143,2,0))</f>
        <v>0.231988157938056</v>
      </c>
      <c r="IK167" s="406">
        <f>(各项系数!$F$76/4*($MX167^2-$MK167^2)*$EG167)*10^-2*(VLOOKUP($IG$8,各项系数!$D$1:$F$143,3,0))*10^-3*10^2*各项系数!$J$4</f>
        <v>0.00927952631752225</v>
      </c>
      <c r="IL167" s="389">
        <f>IK167*(VLOOKUP($IG$8,各项系数!$D$1:$F$143,2,0))</f>
        <v>0.231988157938056</v>
      </c>
      <c r="IM167" s="390">
        <f>(各项系数!$F$76/4*(($MM167+3*$X167)^2-MM167^2)*$EO167)*10^-2*(VLOOKUP($IG$8,各项系数!$D$1:$F$143,3,0))*10^-3*10^2*各项系数!$J$4</f>
        <v>0</v>
      </c>
      <c r="IN167" s="389">
        <f>IM167*(VLOOKUP($IG$8,各项系数!$D$1:$F$143,2,0))</f>
        <v>0</v>
      </c>
      <c r="IO167" s="406">
        <f>各项系数!$F$76/4*($MZ167^2-$MX167^2)*10^-2*(VLOOKUP(L167,各项系数!$D$1:$F$143,3,0))*10^-3*10^2*$ES167*各项系数!$J$4</f>
        <v>0.0255060254339516</v>
      </c>
      <c r="IP167" s="389">
        <v>1</v>
      </c>
      <c r="IQ167" s="390">
        <f t="shared" si="775"/>
        <v>0.0255060254339516</v>
      </c>
      <c r="IR167" s="367">
        <f>IQ167*(VLOOKUP(L167,各项系数!$D$1:$F$143,2,0))</f>
        <v>0.293319292490443</v>
      </c>
      <c r="IS167" s="406">
        <f>IF($L167&lt;&gt;$IS$9,0,各项系数!$F$76/4*($MZ167^2-$MX167^2)*10^-2*各项系数!$F$12*10^-3*10^2)*$ES167*各项系数!$J$4</f>
        <v>0</v>
      </c>
      <c r="IT167" s="389">
        <v>1</v>
      </c>
      <c r="IU167" s="390">
        <f t="shared" si="776"/>
        <v>0</v>
      </c>
      <c r="IV167" s="367">
        <f>IU167*各项系数!$E$12</f>
        <v>0</v>
      </c>
      <c r="IW167" s="388">
        <f t="shared" si="777"/>
        <v>0.0255060254339516</v>
      </c>
      <c r="IX167" s="388">
        <f t="shared" si="778"/>
        <v>0.293319292490443</v>
      </c>
      <c r="IY167" s="447">
        <f>各项系数!$F$76/4*($NB167^2-$MZ167^2*$EG167-$NA167^2*$EO167)*10^-2</f>
        <v>0.163549990163844</v>
      </c>
      <c r="IZ167" s="366">
        <f t="shared" si="697"/>
        <v>1</v>
      </c>
      <c r="JA167" s="367">
        <f t="shared" si="606"/>
        <v>0.163549990163844</v>
      </c>
      <c r="JB167" s="364">
        <f>IF($DE167&lt;&gt;$JB$9,0,$JA167*各项系数!$F$32*10^-3*10^2)*各项系数!$J$4</f>
        <v>0</v>
      </c>
      <c r="JC167" s="123">
        <v>1</v>
      </c>
      <c r="JD167" s="251">
        <f t="shared" si="779"/>
        <v>0</v>
      </c>
      <c r="JE167" s="339">
        <f>JD167*各项系数!$E$32</f>
        <v>0</v>
      </c>
      <c r="JF167" s="364">
        <f>IF($DE167&lt;&gt;$JF$9,0,$JA167*VLOOKUP($JF$9,各项系数!$D$4:$F$540,2,0)*10^-3*10^2)*各项系数!$J$4</f>
        <v>0.0813661201065126</v>
      </c>
      <c r="JG167" s="123">
        <v>1</v>
      </c>
      <c r="JH167" s="251">
        <f t="shared" si="607"/>
        <v>0.0813661201065126</v>
      </c>
      <c r="JI167" s="339">
        <f>JH167*VLOOKUP($JF$9,各项系数!$D$4:$F$540,3,0)</f>
        <v>0.0976393441278151</v>
      </c>
      <c r="JJ167" s="364">
        <f t="shared" si="780"/>
        <v>0.0813661201065126</v>
      </c>
      <c r="JK167" s="251">
        <f t="shared" si="781"/>
        <v>0.0976393441278151</v>
      </c>
      <c r="JL167" s="364">
        <f>IF($DF167&lt;&gt;$JL$9,0,各项系数!$F$76/4*($NE167^2-$NC167^2)*10^-2*各项系数!$F$39*10^-3*10^2)*各项系数!$J$4</f>
        <v>0.000925588921648148</v>
      </c>
      <c r="JM167" s="123">
        <v>1</v>
      </c>
      <c r="JN167" s="251">
        <f t="shared" si="782"/>
        <v>0.000925588921648148</v>
      </c>
      <c r="JO167" s="339">
        <f>JN167*各项系数!$E$39</f>
        <v>0.018511778432963</v>
      </c>
      <c r="JP167" s="364">
        <f>IF($DF167&lt;&gt;$JP$9,0,各项系数!$F$76/4*($NE167^2-$NC167^2)*10^-2*各项系数!$F$36*10^-3*10^2)*各项系数!$J$4</f>
        <v>0</v>
      </c>
      <c r="JQ167" s="123">
        <v>1</v>
      </c>
      <c r="JR167" s="251">
        <f t="shared" si="783"/>
        <v>0</v>
      </c>
      <c r="JS167" s="339">
        <f>JR167*各项系数!$E$36</f>
        <v>0</v>
      </c>
      <c r="JT167" s="364">
        <f>IF($DF167&lt;&gt;$JT$9,0,各项系数!$F$76/4*($NE167^2-$NC167^2)*10^-2*各项系数!$F$40*10^-3*10^2)*各项系数!$J$4</f>
        <v>0</v>
      </c>
      <c r="JU167" s="123">
        <v>1</v>
      </c>
      <c r="JV167" s="251">
        <f t="shared" si="784"/>
        <v>0</v>
      </c>
      <c r="JW167" s="339">
        <f>JV167*各项系数!$E$40</f>
        <v>0</v>
      </c>
      <c r="JX167" s="364">
        <f>IF($DF167&lt;&gt;$JX$9,0,各项系数!$F$76/4*($NE167^2-$NC167^2)*10^-2*各项系数!$F$38*10^-3*10^2)*各项系数!$J$4</f>
        <v>0</v>
      </c>
      <c r="JY167" s="123">
        <v>1</v>
      </c>
      <c r="JZ167" s="251">
        <f t="shared" si="785"/>
        <v>0</v>
      </c>
      <c r="KA167" s="339">
        <f>JZ167*各项系数!$E$38</f>
        <v>0</v>
      </c>
      <c r="KB167" s="364">
        <f>IF($DF167&lt;&gt;$KB$9,0,各项系数!$F$76/4*($NE167^2-$NC167^2)*10^-2*各项系数!$F$41*10^-3*10^2)*各项系数!$J$4</f>
        <v>0</v>
      </c>
      <c r="KC167" s="123">
        <v>1</v>
      </c>
      <c r="KD167" s="251">
        <f t="shared" si="786"/>
        <v>0</v>
      </c>
      <c r="KE167" s="339">
        <f>KD167*各项系数!$E$41</f>
        <v>0</v>
      </c>
      <c r="KF167" s="251">
        <f t="shared" si="787"/>
        <v>0.000925588921648148</v>
      </c>
      <c r="KG167" s="251">
        <f t="shared" si="788"/>
        <v>0.018511778432963</v>
      </c>
      <c r="KH167" s="302">
        <f>各项系数!$F$76/4*($NG167^2-$NE167^2)*10^-2*各项系数!$F$44*10^-3*10^2*各项系数!$J$4*0.75*$U167</f>
        <v>0.393585234453125</v>
      </c>
      <c r="KI167" s="123">
        <v>1</v>
      </c>
      <c r="KJ167" s="251">
        <f t="shared" si="789"/>
        <v>0.393585234453125</v>
      </c>
      <c r="KK167" s="251">
        <f>ROUND(KJ167*各项系数!$E$43,GT167)</f>
        <v>2.3</v>
      </c>
      <c r="KL167" s="302">
        <f>各项系数!$F$76/4*($NF167^2-$NE167^2)*10^-2*各项系数!$F$46*10^-3*10^2*各项系数!$J$4*PI()/4*R167</f>
        <v>0.0117684998264637</v>
      </c>
      <c r="KM167" s="123">
        <v>1</v>
      </c>
      <c r="KN167" s="251">
        <f t="shared" si="790"/>
        <v>0.0117684998264637</v>
      </c>
      <c r="KO167" s="251">
        <f>KN167*各项系数!$E$46</f>
        <v>0.794373738286303</v>
      </c>
      <c r="KP167" s="302">
        <f>各项系数!$F$76/4*($NH167^2-$NE167^2)*10^-2*(VLOOKUP($KP$9,各项系数!$D$1:$F$143,3,0))*10^-3*10^2*各项系数!$J$4</f>
        <v>0.0519163298363917</v>
      </c>
      <c r="KQ167" s="123">
        <v>1</v>
      </c>
      <c r="KR167" s="251">
        <f t="shared" si="657"/>
        <v>0.0519163298363917</v>
      </c>
      <c r="KS167" s="251">
        <f>KR167*(VLOOKUP($KP$9,各项系数!$D$1:$F$143,2,0))</f>
        <v>0.88257760721866</v>
      </c>
      <c r="KT167" s="302">
        <f>各项系数!$F$76/4*($NI167^2-$NF167^2)*10^-2*(VLOOKUP($KT$9,各项系数!$D$1:$F$143,3,0))*10^-3*10^2*各项系数!$J$4</f>
        <v>0.0527865761341773</v>
      </c>
      <c r="KU167" s="123">
        <v>1</v>
      </c>
      <c r="KV167" s="251">
        <f t="shared" si="658"/>
        <v>0.0527865761341773</v>
      </c>
      <c r="KW167" s="251">
        <f>KV167*(VLOOKUP($KT$9,各项系数!$D$1:$F$143,2,0))</f>
        <v>0.897371794281015</v>
      </c>
      <c r="KX167" s="251">
        <f>各项系数!$F$76/4*($NH167^2-$NE167^2)*10^-2*(VLOOKUP($KX$9,各项系数!$D$1:$F$143,3,0))*10^-3*10^2*各项系数!$J$4</f>
        <v>0.0519163298363917</v>
      </c>
      <c r="KY167" s="479">
        <v>1</v>
      </c>
      <c r="KZ167" s="251">
        <f t="shared" si="659"/>
        <v>0.0519163298363917</v>
      </c>
      <c r="LA167" s="251">
        <f>KZ167*(VLOOKUP($KX$9,各项系数!$D$1:$F$143,2,0))</f>
        <v>0.88257760721866</v>
      </c>
      <c r="LB167" s="251">
        <f>各项系数!$F$76/4*($NI167^2-$NF167^2)*10^-2*(VLOOKUP($LB$9,各项系数!$D$1:$F$143,3,0))*10^-3*10^2*各项系数!$J$4</f>
        <v>0.0527865761341773</v>
      </c>
      <c r="LC167" s="479">
        <v>1</v>
      </c>
      <c r="LD167" s="251">
        <f t="shared" si="660"/>
        <v>0.0527865761341773</v>
      </c>
      <c r="LE167" s="251">
        <f>LD167*(VLOOKUP($LB$9,各项系数!$D$1:$F$143,2,0))</f>
        <v>0.897371794281015</v>
      </c>
      <c r="LF167" s="302">
        <f>各项系数!$F$76/4*($NH167^2-$NE167^2)*10^-2*(VLOOKUP(AN167,各项系数!$D$1:$F$143,3,0))*10^-3*10^2*各项系数!$J$4</f>
        <v>0.0526324171444799</v>
      </c>
      <c r="LG167" s="123">
        <v>1</v>
      </c>
      <c r="LH167" s="251">
        <f t="shared" si="791"/>
        <v>0.0526324171444799</v>
      </c>
      <c r="LI167" s="251">
        <f>LH167*(VLOOKUP(AN167,各项系数!$D$1:$F$143,2,0))</f>
        <v>0.526324171444799</v>
      </c>
      <c r="LJ167" s="302">
        <f>各项系数!$F$76/4*($NI167^2-$NF167^2)*10^-2*(VLOOKUP(AN167,各项系数!$D$1:$F$143,3,0))*10^-3*10^2*各项系数!$J$4</f>
        <v>0.0535146668394763</v>
      </c>
      <c r="LK167" s="123">
        <v>1</v>
      </c>
      <c r="LL167" s="251">
        <f t="shared" si="792"/>
        <v>0.0535146668394763</v>
      </c>
      <c r="LM167" s="251">
        <f>LL167*(VLOOKUP(AN167,各项系数!$D$1:$F$143,2,0))</f>
        <v>0.535146668394763</v>
      </c>
      <c r="LN167" s="251">
        <f>各项系数!$F$76/4*($NH167^2-$NE167^2)*10^-2*(VLOOKUP($LN$9,各项系数!$D$1:$F$143,3,0))*10^-3*10^2*各项系数!$J$4</f>
        <v>0.0526324171444799</v>
      </c>
      <c r="LO167" s="479">
        <v>1</v>
      </c>
      <c r="LP167" s="251">
        <f t="shared" si="793"/>
        <v>0.0526324171444799</v>
      </c>
      <c r="LQ167" s="251">
        <f>LP167*(VLOOKUP($LN$9,各项系数!$D$1:$F$143,2,0))</f>
        <v>0.578956588589279</v>
      </c>
      <c r="LR167" s="251">
        <f>各项系数!$F$76/4*($NI167^2-$NF167^2)*10^-2*(VLOOKUP($LR$9,各项系数!$D$1:$F$143,3,0))*10^-3*10^2*各项系数!$J$4</f>
        <v>0.0535146668394763</v>
      </c>
      <c r="LS167" s="479">
        <v>1</v>
      </c>
      <c r="LT167" s="251">
        <f t="shared" si="794"/>
        <v>0.0535146668394763</v>
      </c>
      <c r="LU167" s="251">
        <f>LT167*(VLOOKUP($LR$9,各项系数!$D$1:$F$143,2,0))</f>
        <v>0.58866133523424</v>
      </c>
      <c r="LV167" s="499">
        <f t="shared" si="661"/>
        <v>5.71899487</v>
      </c>
      <c r="LW167" s="499">
        <f t="shared" si="662"/>
        <v>5.71899487</v>
      </c>
      <c r="LX167" s="499">
        <f t="shared" si="663"/>
        <v>2.69845333934488</v>
      </c>
      <c r="LY167" s="515">
        <f t="shared" si="664"/>
        <v>0</v>
      </c>
      <c r="LZ167" s="516">
        <f t="shared" si="608"/>
        <v>1</v>
      </c>
      <c r="MA167" s="517">
        <f t="shared" si="609"/>
        <v>5.71899487</v>
      </c>
      <c r="MB167" s="517">
        <f t="shared" si="665"/>
        <v>1.34922667</v>
      </c>
      <c r="MC167" s="499">
        <f t="shared" si="666"/>
        <v>0</v>
      </c>
      <c r="MD167" s="499">
        <f t="shared" si="667"/>
        <v>0</v>
      </c>
      <c r="ME167" s="499">
        <f t="shared" si="668"/>
        <v>0</v>
      </c>
      <c r="MF167" s="499">
        <f t="shared" si="669"/>
        <v>0</v>
      </c>
      <c r="MG167" s="516">
        <f t="shared" si="670"/>
        <v>1</v>
      </c>
      <c r="MH167" s="517">
        <f t="shared" si="610"/>
        <v>0</v>
      </c>
      <c r="MI167" s="517">
        <f t="shared" si="671"/>
        <v>0</v>
      </c>
      <c r="MJ167" s="251">
        <f t="shared" si="611"/>
        <v>1.34922667</v>
      </c>
      <c r="MK167" s="251">
        <f t="shared" si="672"/>
        <v>1.34922667</v>
      </c>
      <c r="ML167" s="251">
        <f t="shared" si="795"/>
        <v>0</v>
      </c>
      <c r="MM167" s="251">
        <f t="shared" si="612"/>
        <v>0</v>
      </c>
      <c r="MN167" s="251">
        <f t="shared" si="613"/>
        <v>2.74922667</v>
      </c>
      <c r="MO167" s="251">
        <f t="shared" si="673"/>
        <v>0</v>
      </c>
      <c r="MP167" s="251">
        <f t="shared" si="674"/>
        <v>6.65312854</v>
      </c>
      <c r="MQ167" s="251">
        <f t="shared" si="796"/>
        <v>6.65312854</v>
      </c>
      <c r="MR167" s="314">
        <f t="shared" si="675"/>
        <v>6.65312854</v>
      </c>
      <c r="MS167" s="530">
        <f t="shared" si="614"/>
        <v>6.82912854</v>
      </c>
      <c r="MT167" s="530">
        <f t="shared" si="615"/>
        <v>6.98912854</v>
      </c>
      <c r="MU167" s="530">
        <f t="shared" si="616"/>
        <v>8.02912854</v>
      </c>
      <c r="MV167" s="530">
        <f t="shared" si="617"/>
        <v>9.22912854</v>
      </c>
      <c r="MW167" s="530">
        <f t="shared" si="618"/>
        <v>9.38912854</v>
      </c>
      <c r="MX167" s="326">
        <f t="shared" si="619"/>
        <v>1.94922667</v>
      </c>
      <c r="MY167" s="326">
        <f t="shared" si="620"/>
        <v>0</v>
      </c>
      <c r="MZ167" s="251">
        <f t="shared" si="621"/>
        <v>3.34922667</v>
      </c>
      <c r="NA167" s="251">
        <f t="shared" si="622"/>
        <v>0</v>
      </c>
      <c r="NB167" s="251">
        <f t="shared" si="676"/>
        <v>8.10512854</v>
      </c>
      <c r="NC167" s="326">
        <f t="shared" si="797"/>
        <v>8.10512854</v>
      </c>
      <c r="ND167" s="314">
        <f t="shared" si="677"/>
        <v>8.10512854</v>
      </c>
      <c r="NE167" s="537">
        <f t="shared" si="678"/>
        <v>8.34512854</v>
      </c>
      <c r="NF167" s="530">
        <f t="shared" si="623"/>
        <v>8.50512854</v>
      </c>
      <c r="NG167" s="538">
        <f t="shared" si="624"/>
        <v>9.54512854</v>
      </c>
      <c r="NH167" s="326">
        <f t="shared" si="625"/>
        <v>10.74512854</v>
      </c>
      <c r="NI167" s="530">
        <f t="shared" si="626"/>
        <v>10.90512854</v>
      </c>
      <c r="NK167" s="539">
        <f t="shared" si="627"/>
        <v>0.129583847439938</v>
      </c>
      <c r="NL167" s="539">
        <f t="shared" si="628"/>
        <v>4.04626586333572</v>
      </c>
      <c r="NM167" s="539">
        <f t="shared" si="629"/>
        <v>0.129583847439938</v>
      </c>
      <c r="NN167" s="539">
        <f t="shared" si="630"/>
        <v>4.09053896462011</v>
      </c>
      <c r="NO167" s="539">
        <f t="shared" si="631"/>
        <v>0.22029733318189</v>
      </c>
      <c r="NP167" s="539">
        <f t="shared" si="632"/>
        <v>4.48127416381835</v>
      </c>
      <c r="NQ167" s="539">
        <f t="shared" si="633"/>
        <v>0.22029733318189</v>
      </c>
      <c r="NR167" s="539">
        <f t="shared" si="634"/>
        <v>4.53390658096283</v>
      </c>
      <c r="NS167" s="539">
        <f t="shared" si="635"/>
        <v>0.139234748033083</v>
      </c>
      <c r="NT167" s="539">
        <f t="shared" si="636"/>
        <v>0.139234748033083</v>
      </c>
      <c r="NU167" s="539">
        <f t="shared" si="637"/>
        <v>0.232065833008353</v>
      </c>
      <c r="NV167" s="539">
        <f t="shared" si="638"/>
        <v>0.232065833008353</v>
      </c>
      <c r="NW167">
        <f t="shared" si="639"/>
        <v>0.238544282725023</v>
      </c>
      <c r="NX167">
        <f>各项系数!$M$9*NK167</f>
        <v>0.0388751542319814</v>
      </c>
      <c r="NY167">
        <f t="shared" si="640"/>
        <v>0.139234748033083</v>
      </c>
    </row>
    <row r="168" customHeight="1" spans="1:389">
      <c r="A168" s="85"/>
      <c r="B168" s="86"/>
      <c r="C168" s="218"/>
      <c r="D168" s="123" t="s">
        <v>141</v>
      </c>
      <c r="E168" s="77">
        <f t="shared" si="687"/>
        <v>9.99891201</v>
      </c>
      <c r="F168" s="559">
        <f t="shared" si="798"/>
        <v>134.922667214547</v>
      </c>
      <c r="G168" s="23"/>
      <c r="H168" s="23"/>
      <c r="I168" s="174">
        <v>0</v>
      </c>
      <c r="J168" s="23"/>
      <c r="K168" s="23"/>
      <c r="L168" s="118" t="s">
        <v>469</v>
      </c>
      <c r="M168" s="124">
        <f t="shared" si="582"/>
        <v>0.7</v>
      </c>
      <c r="N168" s="124">
        <f t="shared" si="583"/>
        <v>0</v>
      </c>
      <c r="O168" s="69">
        <f t="shared" ref="O168:O177" si="801">$O$36</f>
        <v>0.08</v>
      </c>
      <c r="P168" s="120">
        <v>0.1</v>
      </c>
      <c r="Q168" s="162">
        <f t="shared" si="754"/>
        <v>0.1</v>
      </c>
      <c r="R168" s="560">
        <v>0.8</v>
      </c>
      <c r="S168" s="171" t="str">
        <f>各项系数!$D$43</f>
        <v>钢带</v>
      </c>
      <c r="T168" s="123">
        <v>0.2</v>
      </c>
      <c r="U168" s="78">
        <v>4</v>
      </c>
      <c r="V168" s="172"/>
      <c r="W168" s="170">
        <f t="shared" si="799"/>
        <v>1.2</v>
      </c>
      <c r="X168" s="164">
        <f t="shared" si="755"/>
        <v>0.2</v>
      </c>
      <c r="Y168" s="219"/>
      <c r="Z168" s="220"/>
      <c r="AA168" s="217">
        <v>1</v>
      </c>
      <c r="AB168" s="186">
        <f>PI()*EJ168*EJ168/4*EH168*(1-H168)*AA168*各项系数!$F$5*各项系数!$J$4*10^-7</f>
        <v>0.0126469138144438</v>
      </c>
      <c r="AC168" s="186">
        <f t="shared" si="704"/>
        <v>134.922667214547</v>
      </c>
      <c r="AD168" s="186">
        <f t="shared" si="584"/>
        <v>1.42974872274124</v>
      </c>
      <c r="AE168" s="186">
        <f>POWER(4*EU168/PI()/EG168/10^-7/EH168/(1-H168)/各项系数!$F$5/各项系数!$J$4,0.5)</f>
        <v>134.922667214547</v>
      </c>
      <c r="AF168" s="218">
        <v>1</v>
      </c>
      <c r="AG168" s="85">
        <f>IF(EM168=0,0,PI()*ER168*ER168/4*EP168*(1-K168)*(1+AF168)*各项系数!$F$5*各项系数!$J$4*10^-7)</f>
        <v>0</v>
      </c>
      <c r="AH168" s="85">
        <f t="shared" si="705"/>
        <v>0</v>
      </c>
      <c r="AI168" s="85">
        <f t="shared" si="641"/>
        <v>0</v>
      </c>
      <c r="AJ168" s="85">
        <f>IF(OR(EP168="",EP168=0),0,POWER(4*EW168/PI()/EO168/10^-7/EP168/(1-K168)/各项系数!$F$5/各项系数!$J$4,0.5))</f>
        <v>0</v>
      </c>
      <c r="AK168" s="85" t="str">
        <f t="shared" si="585"/>
        <v>√</v>
      </c>
      <c r="AL168" s="85">
        <f t="shared" si="706"/>
        <v>5.27876937464188</v>
      </c>
      <c r="AM168" s="250">
        <f t="shared" si="707"/>
        <v>1.5</v>
      </c>
      <c r="AN168" s="118" t="s">
        <v>486</v>
      </c>
      <c r="AO168" s="259">
        <f>AP168+各项系数!$M$9*$NK168</f>
        <v>5.17526409278616</v>
      </c>
      <c r="AP168" s="259">
        <f>AQ168*(1+$BI168+(VLOOKUP($AM168,$A$12:$B$323,2,0))+各项系数!$J$6+各项系数!$M$5)*(1+$E$2)</f>
        <v>5.12885689123935</v>
      </c>
      <c r="AQ168" s="260">
        <f>AR168+各项系数!$L$9*$NK168</f>
        <v>5.18171033667342</v>
      </c>
      <c r="AR168" s="260">
        <f>AS168*(1+$BJ168+各项系数!$J$5+各项系数!$L$5)</f>
        <v>5.13530313512661</v>
      </c>
      <c r="AS168" s="260">
        <f t="shared" si="642"/>
        <v>4.98573119915205</v>
      </c>
      <c r="AT168" s="259">
        <f>AU168+各项系数!$M$9*$NM168</f>
        <v>5.51006831724073</v>
      </c>
      <c r="AU168" s="259">
        <f>AV168*(1+$BI168+(VLOOKUP($AM168,$A$12:$B$323,2,0))+各项系数!$J$6+各项系数!$M$5)*(1+$E$2)</f>
        <v>5.46366111569393</v>
      </c>
      <c r="AV168" s="260">
        <f>AW168+各项系数!$L$9*$NM168</f>
        <v>5.51996475620724</v>
      </c>
      <c r="AW168" s="260">
        <f>AX168*(1+$BJ168+各项系数!$J$5+各项系数!$L$5)</f>
        <v>5.47355755466043</v>
      </c>
      <c r="AX168" s="260">
        <f t="shared" si="643"/>
        <v>5.31413354821401</v>
      </c>
      <c r="AY168" s="259">
        <f>AZ168+各项系数!$M$9*$NS168</f>
        <v>5.92879119628184</v>
      </c>
      <c r="AZ168" s="259">
        <f>BA168*(1+$BI168+(VLOOKUP($AM168,$A$12:$B$214,2,0))+各项系数!$J$6+各项系数!$M$5)*(1+$E$2)</f>
        <v>5.87916614680922</v>
      </c>
      <c r="BA168" s="260">
        <f>BB168+各项系数!$L$9*$NS168</f>
        <v>5.93975161326452</v>
      </c>
      <c r="BB168" s="260">
        <f>BC168*(1+$BJ168+各项系数!$J$5+各项系数!$L$5)</f>
        <v>5.8901265637919</v>
      </c>
      <c r="BC168" s="262">
        <f t="shared" si="644"/>
        <v>5.71856947940961</v>
      </c>
      <c r="BD168" s="259">
        <f>BE168+各项系数!$M$9*$NS168</f>
        <v>6.26968352297586</v>
      </c>
      <c r="BE168" s="259">
        <f>BF168*(1+$BI168+(VLOOKUP($AM168,$A$12:$B$214,2,0))+各项系数!$J$6+各项系数!$M$5)*(1+$E$2)</f>
        <v>6.22005847350324</v>
      </c>
      <c r="BF168" s="260">
        <f>BG168+各项系数!$L$9*$NS168</f>
        <v>6.2841568736141</v>
      </c>
      <c r="BG168" s="260">
        <f>BH168*(1+$BJ168+各项系数!$J$5+各项系数!$L$5)</f>
        <v>6.23453182414148</v>
      </c>
      <c r="BH168" s="262">
        <f t="shared" si="645"/>
        <v>6.05294351858396</v>
      </c>
      <c r="BI168" s="277"/>
      <c r="BJ168" s="272">
        <f t="shared" si="800"/>
        <v>0.01</v>
      </c>
      <c r="BK168" s="123" t="s">
        <v>514</v>
      </c>
      <c r="BL168" s="259">
        <f>BM168+各项系数!$M$9*$NM168</f>
        <v>5.27455662741458</v>
      </c>
      <c r="BM168" s="259">
        <f>BN168*(1+$CF168+(VLOOKUP($AM168,$A$12:$B$323,2,0))+各项系数!$J$6+各项系数!$M$5)*(1+$E$2)</f>
        <v>5.22814942586777</v>
      </c>
      <c r="BN168" s="260">
        <f>BO168+各项系数!$L$9*$NM168</f>
        <v>5.28202609200624</v>
      </c>
      <c r="BO168" s="260">
        <f>BP168*(1+$CG168+各项系数!$J$5+各项系数!$L$5)</f>
        <v>5.23561889045943</v>
      </c>
      <c r="BP168" s="260">
        <f t="shared" si="646"/>
        <v>5.03424893313407</v>
      </c>
      <c r="BQ168" s="259">
        <f>BR168+各项系数!$M$9*$NM168</f>
        <v>5.56266761110096</v>
      </c>
      <c r="BR168" s="259">
        <f>BS168*(1+$CF168+(VLOOKUP($AM168,$A$12:$B$323,2,0))+各项系数!$J$6+各项系数!$M$5)*(1+$E$2)</f>
        <v>5.51626040955415</v>
      </c>
      <c r="BS168" s="260">
        <f>BT168+各项系数!$L$9*$NM168</f>
        <v>5.57310609168938</v>
      </c>
      <c r="BT168" s="260">
        <f>BU168*(1+$CG168+各项系数!$J$5+各项系数!$L$5)</f>
        <v>5.52669889014257</v>
      </c>
      <c r="BU168" s="260">
        <f t="shared" si="647"/>
        <v>5.31413354821401</v>
      </c>
      <c r="BV168" s="259">
        <f>BW168+各项系数!$M$9*$NT168</f>
        <v>5.99530578746108</v>
      </c>
      <c r="BW168" s="259">
        <f>BX168*(1+$CF168+(VLOOKUP($AM168,$A$12:$B$214,2,0))+各项系数!$J$6+各项系数!$M$5)*(1+$E$2)</f>
        <v>5.94568073798846</v>
      </c>
      <c r="BX168" s="260">
        <f>BY168+各项系数!$L$9*$NT$12</f>
        <v>6.00695164476506</v>
      </c>
      <c r="BY168" s="260">
        <f>BZ168*(1+$CG168+各项系数!$J$5+各项系数!$L$5)</f>
        <v>5.99868824161009</v>
      </c>
      <c r="BZ168" s="262">
        <f t="shared" si="586"/>
        <v>5.76796946308662</v>
      </c>
      <c r="CA168" s="259">
        <f>CB168+各项系数!$M$9*$NT168</f>
        <v>6.28865580039759</v>
      </c>
      <c r="CB168" s="259">
        <f>CC168*(1+$CF168+(VLOOKUP($AM168,$A$12:$B$214,2,0))+各项系数!$J$6+各项系数!$M$5)*(1+$E$2)</f>
        <v>6.23903075092498</v>
      </c>
      <c r="CC168" s="260">
        <f>CD168+各项系数!$L$9*$NT$12</f>
        <v>6.30332466248229</v>
      </c>
      <c r="CD168" s="260">
        <f>CE168*(1+$CG168+各项系数!$J$5+各项系数!$L$5)</f>
        <v>6.29506125932732</v>
      </c>
      <c r="CE168" s="262">
        <f t="shared" si="648"/>
        <v>6.05294351858396</v>
      </c>
      <c r="CF168" s="277">
        <f t="shared" si="753"/>
        <v>0</v>
      </c>
      <c r="CG168" s="277">
        <f t="shared" si="587"/>
        <v>0.02</v>
      </c>
      <c r="CH168" s="123"/>
      <c r="CI168" s="259">
        <f>CJ168+各项系数!$M$9*$NO168</f>
        <v>5.83030679745657</v>
      </c>
      <c r="CJ168" s="259">
        <f>CK168*(1+$DC168+(VLOOKUP($AM168,$A$12:$B$323,2,0))+各项系数!$J$6+各项系数!$M$5)*(1+$E$2)+各项系数!$M$9*$NK168</f>
        <v>5.75053023533163</v>
      </c>
      <c r="CK168" s="260">
        <f>CL168+各项系数!$L$9*$NO168</f>
        <v>5.76290466133039</v>
      </c>
      <c r="CL168" s="260">
        <f>CM168*(1+$DD168+各项系数!$J$5+各项系数!$L$5)</f>
        <v>5.68312809920545</v>
      </c>
      <c r="CM168" s="260">
        <f t="shared" si="588"/>
        <v>5.51760009631597</v>
      </c>
      <c r="CN168" s="259">
        <f>CO168+各项系数!$M$9*$NO168</f>
        <v>6.07044409143569</v>
      </c>
      <c r="CO168" s="259">
        <f>CP168*(1+$DC168+(VLOOKUP($AM168,$A$12:$B$323,2,0))+各项系数!$J$6+各项系数!$M$5)*(1+$E$2)+各项系数!$M$9*$NK168</f>
        <v>5.99066752931075</v>
      </c>
      <c r="CP168" s="260">
        <f>CQ168+各项系数!$L$9*$NO168</f>
        <v>6.00551659705389</v>
      </c>
      <c r="CQ168" s="260">
        <f>CR168*(1+$DD168+各项系数!$J$5+各项系数!$L$5)</f>
        <v>5.92574003492895</v>
      </c>
      <c r="CR168" s="260">
        <f t="shared" si="589"/>
        <v>5.75314566497956</v>
      </c>
      <c r="CS168" s="259">
        <f>CT168+各项系数!$M$9*$NU168</f>
        <v>6.70070411836504</v>
      </c>
      <c r="CT168" s="259">
        <f t="shared" si="590"/>
        <v>6.61700402814762</v>
      </c>
      <c r="CU168" s="260">
        <f>CV168+各项系数!$L$9*$NU168</f>
        <v>6.6851929967141</v>
      </c>
      <c r="CV168" s="260">
        <f>CW168*(1+$DD168+各项系数!$J$5+各项系数!$L$5)</f>
        <v>6.60149290649668</v>
      </c>
      <c r="CW168" s="262">
        <f t="shared" si="591"/>
        <v>6.40921641407444</v>
      </c>
      <c r="CX168" s="259">
        <f>CY168+各项系数!$M$9*$NU168</f>
        <v>7.10567372112919</v>
      </c>
      <c r="CY168" s="259">
        <f t="shared" si="592"/>
        <v>7.02197363091176</v>
      </c>
      <c r="CZ168" s="260">
        <f>DA168+各项系数!$L$9*$NU168</f>
        <v>7.09433585664959</v>
      </c>
      <c r="DA168" s="260">
        <f>DB168*(1+$DD168+各项系数!$J$5+各项系数!$L$5)</f>
        <v>7.01063576643216</v>
      </c>
      <c r="DB168" s="262">
        <f t="shared" si="593"/>
        <v>6.80644249168171</v>
      </c>
      <c r="DC168" s="277">
        <f t="shared" si="698"/>
        <v>0</v>
      </c>
      <c r="DD168" s="277">
        <f t="shared" si="594"/>
        <v>0.01</v>
      </c>
      <c r="DE168" s="69" t="s">
        <v>498</v>
      </c>
      <c r="DF168" s="69" t="s">
        <v>513</v>
      </c>
      <c r="DG168" s="259">
        <f>DH168+各项系数!$M$9*$NQ168</f>
        <v>5.94442237311791</v>
      </c>
      <c r="DH168" s="259">
        <f>DI168*(1+$EA168+(VLOOKUP($AM168,$A$12:$B$323,2,0))+各项系数!$J$6+各项系数!$M$5)*(1+$E$2)+各项系数!$M$9*$NK168</f>
        <v>5.86464581099297</v>
      </c>
      <c r="DI168" s="260">
        <f>DJ168+各项系数!$L$9*$NQ168</f>
        <v>5.87819621079628</v>
      </c>
      <c r="DJ168" s="260">
        <f>DK168*(1+$EB168+各项系数!$J$5+各项系数!$L$5)</f>
        <v>5.79841964867134</v>
      </c>
      <c r="DK168" s="260">
        <f t="shared" si="595"/>
        <v>5.57540350833783</v>
      </c>
      <c r="DL168" s="259">
        <f>DM168+各项系数!$M$9*$NQ168</f>
        <v>6.28767413966203</v>
      </c>
      <c r="DM168" s="259">
        <f>DN168*(1+$EA168+(VLOOKUP($AM168,$A$12:$B$323,2,0))+各项系数!$J$6+各项系数!$M$5)*(1+$E$2)+各项系数!$M$9*$NK168</f>
        <v>6.20789757753709</v>
      </c>
      <c r="DN168" s="260">
        <f>DO168+各项系数!$L$9*$NQ168</f>
        <v>6.22498522528822</v>
      </c>
      <c r="DO168" s="260">
        <f>DP168*(1+$EB168+各项系数!$J$5+各项系数!$L$5)</f>
        <v>6.14520866316328</v>
      </c>
      <c r="DP168" s="260">
        <f t="shared" si="596"/>
        <v>5.90885448381085</v>
      </c>
      <c r="DQ168" s="259">
        <f>DR168+各项系数!$M$9*$NV168</f>
        <v>6.82455309311759</v>
      </c>
      <c r="DR168" s="259">
        <f t="shared" si="597"/>
        <v>6.74085300290016</v>
      </c>
      <c r="DS168" s="260">
        <f>DT168+各项系数!$L$9*$NV168</f>
        <v>6.81031824904037</v>
      </c>
      <c r="DT168" s="260">
        <f>DU168*(1+$EB168+各项系数!$J$5+各项系数!$L$5)</f>
        <v>6.72661815882295</v>
      </c>
      <c r="DU168" s="262">
        <f t="shared" si="598"/>
        <v>6.4679020757913</v>
      </c>
      <c r="DV168" s="259">
        <f>DW168+各项系数!$M$9*$NV168</f>
        <v>6.7956182224927</v>
      </c>
      <c r="DW168" s="259">
        <f t="shared" si="599"/>
        <v>6.71191813227528</v>
      </c>
      <c r="DX168" s="260">
        <f>DY168+各项系数!$L$9*$NV168</f>
        <v>6.78108520132883</v>
      </c>
      <c r="DY168" s="260">
        <f>DZ168*(1+$EB168+各项系数!$J$5+各项系数!$L$5)</f>
        <v>6.6973851111114</v>
      </c>
      <c r="DZ168" s="262">
        <f t="shared" si="600"/>
        <v>6.43979337606866</v>
      </c>
      <c r="EA168" s="277">
        <f t="shared" si="699"/>
        <v>0</v>
      </c>
      <c r="EB168" s="277">
        <f t="shared" si="601"/>
        <v>0.02</v>
      </c>
      <c r="EC168" s="302">
        <f t="shared" si="649"/>
        <v>5</v>
      </c>
      <c r="ED168" s="302" t="str">
        <f t="shared" si="756"/>
        <v>5*1.5</v>
      </c>
      <c r="EE168" s="251">
        <f t="shared" si="709"/>
        <v>1.5</v>
      </c>
      <c r="EF168" s="251">
        <f>LOOKUP(EH168,{1,7,10,14,19,24,30,37,48,61},{1,"1+6","2+8","4+10","1+6+12","2+8+14","4+10+16","1+6+12+18","3+9+15+21","1+6+12+18+24"})</f>
        <v>1</v>
      </c>
      <c r="EG168" s="250">
        <f t="shared" si="602"/>
        <v>5</v>
      </c>
      <c r="EH168" s="260">
        <f>VLOOKUP(EE168,各项系数!$B$87:$C$124,2,0)</f>
        <v>1</v>
      </c>
      <c r="EI168" s="250">
        <f>IF(EH168=0,0,VLOOKUP(EH168,各项系数!$D$142:$E$195,2,0))*1</f>
        <v>1</v>
      </c>
      <c r="EJ168" s="305">
        <f t="shared" si="650"/>
        <v>134.922667214547</v>
      </c>
      <c r="EK168" s="251">
        <f t="shared" si="689"/>
        <v>0</v>
      </c>
      <c r="EL168" s="251">
        <f t="shared" si="603"/>
        <v>0</v>
      </c>
      <c r="EM168" s="251">
        <f t="shared" si="690"/>
        <v>0</v>
      </c>
      <c r="EN168" s="251">
        <f>IF(EP168=0,0,LOOKUP(EP168,{1,7,10,14,19,24,30,37,48,61},{1,"1+6","2+8","4+10","1+6+12","2+8+14","4+10+16","1+6+12+18","3+9+15+21","1+6+12+18+24"}))</f>
        <v>0</v>
      </c>
      <c r="EO168" s="251">
        <f t="shared" si="691"/>
        <v>0</v>
      </c>
      <c r="EP168" s="251">
        <f>IF(EM168=0,0,IF(EM168&lt;10,1,IF(AND(EM168&gt;=10,EM168&lt;=35),7,LOOKUP(EM168,{50,70,95,120,150,185,240,300},{10,14,19,24,30,37,48,61})*1)))</f>
        <v>0</v>
      </c>
      <c r="EQ168" s="251">
        <f>IF(EP168=0,0,VLOOKUP(EP168,各项系数!$D$142:$E$195,2,0))*1</f>
        <v>0</v>
      </c>
      <c r="ER168" s="69">
        <f t="shared" si="710"/>
        <v>0</v>
      </c>
      <c r="ES168" s="566">
        <f t="shared" si="692"/>
        <v>5</v>
      </c>
      <c r="ET168" s="251">
        <f>VLOOKUP(ES168,各项系数!$D$142:$E$195,2,0)*1</f>
        <v>2.7</v>
      </c>
      <c r="EU168" s="311">
        <f>((各项系数!$F$76/4*$EJ168^2*$EG168*$EH168*1*10^-7)*(1-$H168)*AA168)*(VLOOKUP($EY$9,各项系数!$D$4:$F$143,3,0))*各项系数!$J$4</f>
        <v>0.0632345690722189</v>
      </c>
      <c r="EV168" s="312">
        <f>EU168*(VLOOKUP($EY$9,各项系数!$D$4:$F$143,2,0))</f>
        <v>4.14186427423034</v>
      </c>
      <c r="EW168" s="324">
        <f>(IF($EO168=0,0,(各项系数!$F$76/4*$ER168^2*$EO168*$EP168*1*10^-7))*(1-$K168)*$AF168)*(VLOOKUP($EY$9,各项系数!$D$4:$F$143,3,0))*各项系数!$J$4</f>
        <v>0</v>
      </c>
      <c r="EX168" s="325">
        <f>EW168*(VLOOKUP($EY$9,各项系数!$D$4:$F$143,2,0))</f>
        <v>0</v>
      </c>
      <c r="EY168" s="251">
        <f>((各项系数!$F$76/4*$EJ168^2*$EG168*$EH168*1*10^-7)*(1-$H168)*AA168+IF($EO168=0,0,(各项系数!$F$76/4*$ER168^2*$EO168*$EP168*1*10^-7))*(1-$K168)*$AF168)*(VLOOKUP($EY$9,各项系数!$D$4:$F$143,3,0))*各项系数!$J$4</f>
        <v>0.0632345690722189</v>
      </c>
      <c r="EZ168" s="123">
        <v>1</v>
      </c>
      <c r="FA168" s="251">
        <f t="shared" si="757"/>
        <v>0.0632345690722189</v>
      </c>
      <c r="FB168" s="326">
        <f>FA168*(VLOOKUP($EY$9,各项系数!$D$4:$F$143,2,0))</f>
        <v>4.14186427423034</v>
      </c>
      <c r="FC168" s="327"/>
      <c r="FD168" s="302">
        <f>各项系数!$F$76/4*($MN168^2-MK168^2)*10^-2*(VLOOKUP(L168,各项系数!$D$1:$F$143,3,0))*10^-3*10^2*$EG168*各项系数!$J$4</f>
        <v>0.024661738157796</v>
      </c>
      <c r="FE168" s="339">
        <f>FD168*VLOOKUP(L168,各项系数!$D$1:$F$143,2,0)</f>
        <v>0.283609988814654</v>
      </c>
      <c r="FF168" s="250">
        <f>各项系数!$F$76/4*($MO168^2-ML168^2)*10^-2*(VLOOKUP(L168,各项系数!$D$1:$F$143,3,0))*10^-3*10^2*$EO168*各项系数!$J$4</f>
        <v>0</v>
      </c>
      <c r="FG168" s="339">
        <f>FF168*VLOOKUP(L168,各项系数!$D$1:$F$143,2,0)</f>
        <v>0</v>
      </c>
      <c r="FH168" s="302">
        <f t="shared" si="651"/>
        <v>0.024661738157796</v>
      </c>
      <c r="FI168" s="123">
        <v>1</v>
      </c>
      <c r="FJ168" s="251">
        <f t="shared" si="758"/>
        <v>0.024661738157796</v>
      </c>
      <c r="FK168" s="339">
        <f>FJ168*VLOOKUP(L168,各项系数!$D$1:$F$143,2,0)</f>
        <v>0.283609988814654</v>
      </c>
      <c r="FL168" s="302"/>
      <c r="FM168" s="123"/>
      <c r="FN168" s="251"/>
      <c r="FO168" s="339"/>
      <c r="FP168" s="364">
        <f t="shared" si="759"/>
        <v>0.024661738157796</v>
      </c>
      <c r="FQ168" s="364">
        <f t="shared" si="760"/>
        <v>0.283609988814654</v>
      </c>
      <c r="FR168" s="365">
        <f>各项系数!$F$76/4*($MQ168^2-$MN168^2*$EG168-$MO168^2*$EO168)*10^-2</f>
        <v>0.135939748059003</v>
      </c>
      <c r="FS168" s="366">
        <f t="shared" si="652"/>
        <v>1</v>
      </c>
      <c r="FT168" s="367">
        <f t="shared" si="604"/>
        <v>0.135939748059003</v>
      </c>
      <c r="FU168" s="388">
        <f>$FT168*(VLOOKUP($FT$9,各项系数!$D$1:$F$143,3,0))*10^-3*10^2*各项系数!$J$55</f>
        <v>0.016231205918245</v>
      </c>
      <c r="FV168" s="389">
        <v>1</v>
      </c>
      <c r="FW168" s="390">
        <f t="shared" si="761"/>
        <v>0.016231205918245</v>
      </c>
      <c r="FX168" s="367">
        <f>FW168*(VLOOKUP($FT$9,各项系数!$D$1:$F$143,2,0))</f>
        <v>0.0486936177547349</v>
      </c>
      <c r="FY168" s="388">
        <f>IF($BK168&lt;&gt;$FY$9,0,各项系数!$F$76/4*($MS168^2-$MQ168^2)*10^-2*(VLOOKUP($FY$9,各项系数!$D$1:$F$143,3,0))*10^-3*10^2)*各项系数!$J$4</f>
        <v>0</v>
      </c>
      <c r="FZ168" s="389">
        <v>1</v>
      </c>
      <c r="GA168" s="390">
        <f t="shared" si="762"/>
        <v>0</v>
      </c>
      <c r="GB168" s="367">
        <f>GA168*(VLOOKUP($FY$9,各项系数!$D$1:$F$143,2,0))</f>
        <v>0</v>
      </c>
      <c r="GC168" s="388">
        <f>IF($BK168&lt;&gt;$GC$9,0,各项系数!$F$76/4*($MS168^2-$MQ168^2)*10^-2*(VLOOKUP($GC$9,各项系数!$D$1:$F$143,3,0))*10^-3*10^2)*各项系数!$J$4</f>
        <v>0.00204542469241346</v>
      </c>
      <c r="GD168" s="389">
        <v>1</v>
      </c>
      <c r="GE168" s="390">
        <f t="shared" si="763"/>
        <v>0.00204542469241346</v>
      </c>
      <c r="GF168" s="367">
        <f>GE168*(VLOOKUP($GC$9,各项系数!$D$1:$F$143,2,0))</f>
        <v>0.0263859785321337</v>
      </c>
      <c r="GG168" s="388">
        <f>IF($BK168&lt;&gt;$GG$9,0,各项系数!$F$76/4*($MS168^2-$MQ168^2)*10^-2*(VLOOKUP($GG$9,各项系数!$D$1:$F$143,3,0))*10^-3*10^2)*各项系数!$J$4</f>
        <v>0</v>
      </c>
      <c r="GH168" s="389">
        <v>1</v>
      </c>
      <c r="GI168" s="390">
        <f t="shared" si="764"/>
        <v>0</v>
      </c>
      <c r="GJ168" s="367">
        <f>GI168*(VLOOKUP($GG$9,各项系数!$D$1:$F$143,2,0))</f>
        <v>0</v>
      </c>
      <c r="GK168" s="388">
        <f>IF($BK168&lt;&gt;$GK$9,0,各项系数!$F$76/4*($MS168^2-$MQ168^2)*10^-2*(VLOOKUP($GK$9,各项系数!$D$1:$F$143,3,0))*10^-3*10^2)*各项系数!$J$4</f>
        <v>0</v>
      </c>
      <c r="GL168" s="389">
        <v>1</v>
      </c>
      <c r="GM168" s="390">
        <f t="shared" si="765"/>
        <v>0</v>
      </c>
      <c r="GN168" s="367">
        <f>GM168*(VLOOKUP($GK$9,各项系数!$D$1:$F$143,2,0))</f>
        <v>0</v>
      </c>
      <c r="GO168" s="390">
        <f t="shared" si="766"/>
        <v>0.00204542469241346</v>
      </c>
      <c r="GP168" s="390">
        <f t="shared" si="767"/>
        <v>0.0263859785321337</v>
      </c>
      <c r="GQ168" s="406">
        <f>各项系数!$F$76/4*($MU168^2-$MS168^2)*10^-2*(VLOOKUP($S168,各项系数!$D$1:$F$143,3,0))*10^-3*10^2*各项系数!$J$4</f>
        <v>0.120250580759733</v>
      </c>
      <c r="GR168" s="389">
        <v>1</v>
      </c>
      <c r="GS168" s="390">
        <f t="shared" si="768"/>
        <v>0.120250580759733</v>
      </c>
      <c r="GT168" s="390">
        <f t="shared" si="696"/>
        <v>1</v>
      </c>
      <c r="GU168" s="390">
        <f>ROUND($GS168*(VLOOKUP($S168,各项系数!$D$1:$F$143,2,0))+$E$3*GS168,GT168)</f>
        <v>0.7</v>
      </c>
      <c r="GV168" s="406">
        <f>各项系数!$F$76/4*($MT168^2-$MS168^2)*10^-2*(VLOOKUP($GV$9,各项系数!$D$1:$F$143,3,0))*10^-3*10^2*各项系数!$J$4*PI()/4*R168</f>
        <v>0.0107261597527051</v>
      </c>
      <c r="GW168" s="389">
        <v>1</v>
      </c>
      <c r="GX168" s="390">
        <f t="shared" si="769"/>
        <v>0.0107261597527051</v>
      </c>
      <c r="GY168" s="390">
        <f>$GX168*(VLOOKUP($GV$9,各项系数!$D$1:$F$143,2,0))</f>
        <v>0.724015783307597</v>
      </c>
      <c r="GZ168" s="406">
        <f>各项系数!$F$76/4*($MV168^2-$MS168^2)*10^-2*(VLOOKUP($GZ$9,各项系数!$D$1:$F$143,3,0))*10^-3*10^2*各项系数!$J$4</f>
        <v>0.0478576287577735</v>
      </c>
      <c r="HA168" s="389">
        <v>1</v>
      </c>
      <c r="HB168" s="390">
        <f t="shared" si="653"/>
        <v>0.0478576287577735</v>
      </c>
      <c r="HC168" s="390">
        <f>HB168*(VLOOKUP($GZ$9,各项系数!$D$1:$F$143,2,0))</f>
        <v>0.813579688882149</v>
      </c>
      <c r="HD168" s="406">
        <f>各项系数!$F$76/4*($MW168^2-$MT168^2)*10^-2*(VLOOKUP($HD$9,各项系数!$D$1:$F$143,3,0))*10^-3*10^2*各项系数!$J$4</f>
        <v>0.0487278750555591</v>
      </c>
      <c r="HE168" s="389">
        <v>1</v>
      </c>
      <c r="HF168" s="390">
        <f t="shared" si="654"/>
        <v>0.0487278750555591</v>
      </c>
      <c r="HG168" s="390">
        <f>HF168*(VLOOKUP($HD$9,各项系数!$D$1:$F$143,2,0))</f>
        <v>0.828373875944504</v>
      </c>
      <c r="HH168" s="406">
        <f>各项系数!$F$76/4*($MV168^2-$MS168^2)*10^-2*(VLOOKUP($HH$9,各项系数!$D$1:$F$143,3,0))*10^-3*10^2*各项系数!$J$4</f>
        <v>0.0478576287577735</v>
      </c>
      <c r="HI168" s="420">
        <v>1</v>
      </c>
      <c r="HJ168" s="390">
        <f t="shared" si="655"/>
        <v>0.0478576287577735</v>
      </c>
      <c r="HK168" s="390">
        <f>HJ168*(VLOOKUP($HH$9,各项系数!$D$1:$F$143,2,0))</f>
        <v>0.813579688882149</v>
      </c>
      <c r="HL168" s="406">
        <f>各项系数!$F$76/4*($MW168^2-$MT168^2)*10^-2*(VLOOKUP($HL$9,各项系数!$D$1:$F$143,3,0))*10^-3*10^2*各项系数!$J$4</f>
        <v>0.0487278750555591</v>
      </c>
      <c r="HM168" s="420">
        <v>1</v>
      </c>
      <c r="HN168" s="390">
        <f t="shared" si="605"/>
        <v>0.0487278750555591</v>
      </c>
      <c r="HO168" s="390">
        <f>HN168*(VLOOKUP($HL$9,各项系数!$D$1:$F$143,2,0))</f>
        <v>0.828373875944504</v>
      </c>
      <c r="HP168" s="406">
        <f>各项系数!$F$76/4*($MV168^2-$MS168^2)*10^-2*(VLOOKUP(AN168,各项系数!$D$1:$F$143,3,0))*10^-3*10^2*各项系数!$J$4</f>
        <v>0.0485177339820186</v>
      </c>
      <c r="HQ168" s="389">
        <v>1</v>
      </c>
      <c r="HR168" s="390">
        <f t="shared" si="770"/>
        <v>0.0485177339820186</v>
      </c>
      <c r="HS168" s="390">
        <f>HR168*(VLOOKUP(AN168,各项系数!$D$1:$F$143,2,0))</f>
        <v>0.485177339820186</v>
      </c>
      <c r="HT168" s="406">
        <f>各项系数!$F$76/4*($MW168^2-$MT168^2)*10^-2*(VLOOKUP(AN168,各项系数!$D$1:$F$143,3,0))*10^-3*10^2*各项系数!$J$4</f>
        <v>0.049399983677015</v>
      </c>
      <c r="HU168" s="389">
        <v>1</v>
      </c>
      <c r="HV168" s="390">
        <f t="shared" si="771"/>
        <v>0.049399983677015</v>
      </c>
      <c r="HW168" s="390">
        <f>HV168*(VLOOKUP(AN168,各项系数!$D$1:$F$143,2,0))</f>
        <v>0.49399983677015</v>
      </c>
      <c r="HX168" s="406">
        <f>各项系数!$F$76/4*($MV168^2-$MS168^2)*10^-2*(VLOOKUP($HX$9,各项系数!$D$1:$F$143,3,0))*10^-3*10^2*各项系数!$J$4</f>
        <v>0.0485177339820186</v>
      </c>
      <c r="HY168" s="420">
        <v>1</v>
      </c>
      <c r="HZ168" s="390">
        <f t="shared" si="772"/>
        <v>0.0485177339820186</v>
      </c>
      <c r="IA168" s="390">
        <f>HZ168*(VLOOKUP($HX$9,各项系数!$D$1:$F$143,2,0))</f>
        <v>0.533695073802205</v>
      </c>
      <c r="IB168" s="406">
        <f>各项系数!$F$76/4*($MW168^2-$MT168^2)*10^-2*(VLOOKUP($IB$9,各项系数!$D$1:$F$143,3,0))*10^-3*10^2*各项系数!$J$4</f>
        <v>0.049399983677015</v>
      </c>
      <c r="IC168" s="420">
        <v>1</v>
      </c>
      <c r="ID168" s="390">
        <f t="shared" si="773"/>
        <v>0.049399983677015</v>
      </c>
      <c r="IE168" s="390">
        <f>ID168*(VLOOKUP($IB$9,各项系数!$D$1:$F$143,2,0))</f>
        <v>0.543399820447166</v>
      </c>
      <c r="IF168" s="429"/>
      <c r="IG168" s="406">
        <f t="shared" si="656"/>
        <v>0.0115994078969028</v>
      </c>
      <c r="IH168" s="389">
        <v>1</v>
      </c>
      <c r="II168" s="390">
        <f t="shared" si="774"/>
        <v>0.0115994078969028</v>
      </c>
      <c r="IJ168" s="390">
        <f>II168*(VLOOKUP($IG$8,各项系数!$D$1:$F$143,2,0))</f>
        <v>0.28998519742257</v>
      </c>
      <c r="IK168" s="406">
        <f>(各项系数!$F$76/4*($MX168^2-$MK168^2)*$EG168)*10^-2*(VLOOKUP($IG$8,各项系数!$D$1:$F$143,3,0))*10^-3*10^2*各项系数!$J$4</f>
        <v>0.0115994078969028</v>
      </c>
      <c r="IL168" s="389">
        <f>IK168*(VLOOKUP($IG$8,各项系数!$D$1:$F$143,2,0))</f>
        <v>0.28998519742257</v>
      </c>
      <c r="IM168" s="390">
        <f>(各项系数!$F$76/4*(($MM168+3*$X168)^2-MM168^2)*$EO168)*10^-2*(VLOOKUP($IG$8,各项系数!$D$1:$F$143,3,0))*10^-3*10^2*各项系数!$J$4</f>
        <v>0</v>
      </c>
      <c r="IN168" s="389">
        <f>IM168*(VLOOKUP($IG$8,各项系数!$D$1:$F$143,2,0))</f>
        <v>0</v>
      </c>
      <c r="IO168" s="406">
        <f>各项系数!$F$76/4*($MZ168^2-$MX168^2)*10^-2*(VLOOKUP(L168,各项系数!$D$1:$F$143,3,0))*10^-3*10^2*$ES168*各项系数!$J$4</f>
        <v>0.0318825317924394</v>
      </c>
      <c r="IP168" s="389">
        <v>1</v>
      </c>
      <c r="IQ168" s="390">
        <f t="shared" si="775"/>
        <v>0.0318825317924394</v>
      </c>
      <c r="IR168" s="367">
        <f>IQ168*(VLOOKUP(L168,各项系数!$D$1:$F$143,2,0))</f>
        <v>0.366649115613054</v>
      </c>
      <c r="IS168" s="406">
        <f>IF($L168&lt;&gt;$IS$9,0,各项系数!$F$76/4*($MZ168^2-$MX168^2)*10^-2*各项系数!$F$12*10^-3*10^2)*$ES168*各项系数!$J$4</f>
        <v>0</v>
      </c>
      <c r="IT168" s="389">
        <v>1</v>
      </c>
      <c r="IU168" s="390">
        <f t="shared" si="776"/>
        <v>0</v>
      </c>
      <c r="IV168" s="367">
        <f>IU168*各项系数!$E$12</f>
        <v>0</v>
      </c>
      <c r="IW168" s="388">
        <f t="shared" si="777"/>
        <v>0.0318825317924394</v>
      </c>
      <c r="IX168" s="388">
        <f t="shared" si="778"/>
        <v>0.366649115613054</v>
      </c>
      <c r="IY168" s="447">
        <f>各项系数!$F$76/4*($NB168^2-$MZ168^2*$EG168-$NA168^2*$EO168)*10^-2</f>
        <v>0.201750419169936</v>
      </c>
      <c r="IZ168" s="366">
        <f t="shared" si="697"/>
        <v>1</v>
      </c>
      <c r="JA168" s="367">
        <f t="shared" si="606"/>
        <v>0.201750419169936</v>
      </c>
      <c r="JB168" s="364">
        <f>IF($DE168&lt;&gt;$JB$9,0,$JA168*各项系数!$F$32*10^-3*10^2)*各项系数!$J$4</f>
        <v>0</v>
      </c>
      <c r="JC168" s="123">
        <v>1</v>
      </c>
      <c r="JD168" s="251">
        <f t="shared" si="779"/>
        <v>0</v>
      </c>
      <c r="JE168" s="339">
        <f>JD168*各项系数!$E$32</f>
        <v>0</v>
      </c>
      <c r="JF168" s="364">
        <f>IF($DE168&lt;&gt;$JF$9,0,$JA168*VLOOKUP($JF$9,各项系数!$D$4:$F$540,2,0)*10^-3*10^2)*各项系数!$J$4</f>
        <v>0.100370833537043</v>
      </c>
      <c r="JG168" s="123">
        <v>1</v>
      </c>
      <c r="JH168" s="251">
        <f t="shared" si="607"/>
        <v>0.100370833537043</v>
      </c>
      <c r="JI168" s="339">
        <f>JH168*VLOOKUP($JF$9,各项系数!$D$4:$F$540,3,0)</f>
        <v>0.120445000244452</v>
      </c>
      <c r="JJ168" s="364">
        <f t="shared" si="780"/>
        <v>0.100370833537043</v>
      </c>
      <c r="JK168" s="251">
        <f t="shared" si="781"/>
        <v>0.120445000244452</v>
      </c>
      <c r="JL168" s="364">
        <f>IF($DF168&lt;&gt;$JL$9,0,各项系数!$F$76/4*($NE168^2-$NC168^2)*10^-2*各项系数!$F$39*10^-3*10^2)*各项系数!$J$4</f>
        <v>0.00103111942934971</v>
      </c>
      <c r="JM168" s="123">
        <v>1</v>
      </c>
      <c r="JN168" s="251">
        <f t="shared" si="782"/>
        <v>0.00103111942934971</v>
      </c>
      <c r="JO168" s="339">
        <f>JN168*各项系数!$E$39</f>
        <v>0.0206223885869941</v>
      </c>
      <c r="JP168" s="364">
        <f>IF($DF168&lt;&gt;$JP$9,0,各项系数!$F$76/4*($NE168^2-$NC168^2)*10^-2*各项系数!$F$36*10^-3*10^2)*各项系数!$J$4</f>
        <v>0</v>
      </c>
      <c r="JQ168" s="123">
        <v>1</v>
      </c>
      <c r="JR168" s="251">
        <f t="shared" si="783"/>
        <v>0</v>
      </c>
      <c r="JS168" s="339">
        <f>JR168*各项系数!$E$36</f>
        <v>0</v>
      </c>
      <c r="JT168" s="364">
        <f>IF($DF168&lt;&gt;$JT$9,0,各项系数!$F$76/4*($NE168^2-$NC168^2)*10^-2*各项系数!$F$40*10^-3*10^2)*各项系数!$J$4</f>
        <v>0</v>
      </c>
      <c r="JU168" s="123">
        <v>1</v>
      </c>
      <c r="JV168" s="251">
        <f t="shared" si="784"/>
        <v>0</v>
      </c>
      <c r="JW168" s="339">
        <f>JV168*各项系数!$E$40</f>
        <v>0</v>
      </c>
      <c r="JX168" s="364">
        <f>IF($DF168&lt;&gt;$JX$9,0,各项系数!$F$76/4*($NE168^2-$NC168^2)*10^-2*各项系数!$F$38*10^-3*10^2)*各项系数!$J$4</f>
        <v>0</v>
      </c>
      <c r="JY168" s="123">
        <v>1</v>
      </c>
      <c r="JZ168" s="251">
        <f t="shared" si="785"/>
        <v>0</v>
      </c>
      <c r="KA168" s="339">
        <f>JZ168*各项系数!$E$38</f>
        <v>0</v>
      </c>
      <c r="KB168" s="364">
        <f>IF($DF168&lt;&gt;$KB$9,0,各项系数!$F$76/4*($NE168^2-$NC168^2)*10^-2*各项系数!$F$41*10^-3*10^2)*各项系数!$J$4</f>
        <v>0</v>
      </c>
      <c r="KC168" s="123">
        <v>1</v>
      </c>
      <c r="KD168" s="251">
        <f t="shared" si="786"/>
        <v>0</v>
      </c>
      <c r="KE168" s="339">
        <f>KD168*各项系数!$E$41</f>
        <v>0</v>
      </c>
      <c r="KF168" s="251">
        <f t="shared" si="787"/>
        <v>0.00103111942934971</v>
      </c>
      <c r="KG168" s="251">
        <f t="shared" si="788"/>
        <v>0.0206223885869941</v>
      </c>
      <c r="KH168" s="302">
        <f>各项系数!$F$76/4*($NG168^2-$NE168^2)*10^-2*各项系数!$F$44*10^-3*10^2*各项系数!$J$4*0.75*$U168</f>
        <v>0.434847662964433</v>
      </c>
      <c r="KI168" s="123">
        <v>1</v>
      </c>
      <c r="KJ168" s="251">
        <f t="shared" si="789"/>
        <v>0.434847662964433</v>
      </c>
      <c r="KK168" s="251">
        <f>ROUND(KJ168*各项系数!$E$43,GT168)</f>
        <v>2.5</v>
      </c>
      <c r="KL168" s="302">
        <f>各项系数!$F$76/4*($NF168^2-$NE168^2)*10^-2*各项系数!$F$46*10^-3*10^2*各项系数!$J$4*PI()/4*R168</f>
        <v>0.0130784269749409</v>
      </c>
      <c r="KM168" s="123">
        <v>1</v>
      </c>
      <c r="KN168" s="251">
        <f t="shared" si="790"/>
        <v>0.0130784269749409</v>
      </c>
      <c r="KO168" s="251">
        <f>KN168*各项系数!$E$46</f>
        <v>0.882793820808509</v>
      </c>
      <c r="KP168" s="302">
        <f>各项系数!$F$76/4*($NH168^2-$NE168^2)*10^-2*(VLOOKUP($KP$9,各项系数!$D$1:$F$143,3,0))*10^-3*10^2*各项系数!$J$4</f>
        <v>0.057016971041967</v>
      </c>
      <c r="KQ168" s="123">
        <v>1</v>
      </c>
      <c r="KR168" s="251">
        <f t="shared" si="657"/>
        <v>0.057016971041967</v>
      </c>
      <c r="KS168" s="251">
        <f>KR168*(VLOOKUP($KP$9,各项系数!$D$1:$F$143,2,0))</f>
        <v>0.969288507713438</v>
      </c>
      <c r="KT168" s="302">
        <f>各项系数!$F$76/4*($NI168^2-$NF168^2)*10^-2*(VLOOKUP($KT$9,各项系数!$D$1:$F$143,3,0))*10^-3*10^2*各项系数!$J$4</f>
        <v>0.0578872173397526</v>
      </c>
      <c r="KU168" s="123">
        <v>1</v>
      </c>
      <c r="KV168" s="251">
        <f t="shared" si="658"/>
        <v>0.0578872173397526</v>
      </c>
      <c r="KW168" s="251">
        <f>KV168*(VLOOKUP($KT$9,各项系数!$D$1:$F$143,2,0))</f>
        <v>0.984082694775793</v>
      </c>
      <c r="KX168" s="251">
        <f>各项系数!$F$76/4*($NH168^2-$NE168^2)*10^-2*(VLOOKUP($KX$9,各项系数!$D$1:$F$143,3,0))*10^-3*10^2*各项系数!$J$4</f>
        <v>0.057016971041967</v>
      </c>
      <c r="KY168" s="479">
        <v>1</v>
      </c>
      <c r="KZ168" s="251">
        <f t="shared" si="659"/>
        <v>0.057016971041967</v>
      </c>
      <c r="LA168" s="251">
        <f>KZ168*(VLOOKUP($KX$9,各项系数!$D$1:$F$143,2,0))</f>
        <v>0.969288507713438</v>
      </c>
      <c r="LB168" s="251">
        <f>各项系数!$F$76/4*($NI168^2-$NF168^2)*10^-2*(VLOOKUP($LB$9,各项系数!$D$1:$F$143,3,0))*10^-3*10^2*各项系数!$J$4</f>
        <v>0.0578872173397526</v>
      </c>
      <c r="LC168" s="479">
        <v>1</v>
      </c>
      <c r="LD168" s="251">
        <f t="shared" si="660"/>
        <v>0.0578872173397526</v>
      </c>
      <c r="LE168" s="251">
        <f>LD168*(VLOOKUP($LB$9,各项系数!$D$1:$F$143,2,0))</f>
        <v>0.984082694775793</v>
      </c>
      <c r="LF168" s="302">
        <f>各项系数!$F$76/4*($NH168^2-$NE168^2)*10^-2*(VLOOKUP(AN168,各项系数!$D$1:$F$143,3,0))*10^-3*10^2*各项系数!$J$4</f>
        <v>0.0578034120218562</v>
      </c>
      <c r="LG168" s="123">
        <v>1</v>
      </c>
      <c r="LH168" s="251">
        <f t="shared" si="791"/>
        <v>0.0578034120218562</v>
      </c>
      <c r="LI168" s="251">
        <f>LH168*(VLOOKUP(AN168,各项系数!$D$1:$F$143,2,0))</f>
        <v>0.578034120218561</v>
      </c>
      <c r="LJ168" s="302">
        <f>各项系数!$F$76/4*($NI168^2-$NF168^2)*10^-2*(VLOOKUP(AN168,各项系数!$D$1:$F$143,3,0))*10^-3*10^2*各项系数!$J$4</f>
        <v>0.0586856617168526</v>
      </c>
      <c r="LK168" s="123">
        <v>1</v>
      </c>
      <c r="LL168" s="251">
        <f t="shared" si="792"/>
        <v>0.0586856617168526</v>
      </c>
      <c r="LM168" s="251">
        <f>LL168*(VLOOKUP(AN168,各项系数!$D$1:$F$143,2,0))</f>
        <v>0.586856617168526</v>
      </c>
      <c r="LN168" s="251">
        <f>各项系数!$F$76/4*($NH168^2-$NE168^2)*10^-2*(VLOOKUP($LN$9,各项系数!$D$1:$F$143,3,0))*10^-3*10^2*各项系数!$J$4</f>
        <v>0.0578034120218562</v>
      </c>
      <c r="LO168" s="479">
        <v>1</v>
      </c>
      <c r="LP168" s="251">
        <f t="shared" si="793"/>
        <v>0.0578034120218562</v>
      </c>
      <c r="LQ168" s="251">
        <f>LP168*(VLOOKUP($LN$9,各项系数!$D$1:$F$143,2,0))</f>
        <v>0.635837532240418</v>
      </c>
      <c r="LR168" s="251">
        <f>各项系数!$F$76/4*($NI168^2-$NF168^2)*10^-2*(VLOOKUP($LR$9,各项系数!$D$1:$F$143,3,0))*10^-3*10^2*各项系数!$J$4</f>
        <v>0.0586856617168526</v>
      </c>
      <c r="LS168" s="479">
        <v>1</v>
      </c>
      <c r="LT168" s="251">
        <f t="shared" si="794"/>
        <v>0.0586856617168526</v>
      </c>
      <c r="LU168" s="251">
        <f>LT168*(VLOOKUP($LR$9,各项系数!$D$1:$F$143,2,0))</f>
        <v>0.645542278885379</v>
      </c>
      <c r="LV168" s="499">
        <f t="shared" si="661"/>
        <v>7.14874359</v>
      </c>
      <c r="LW168" s="499">
        <f t="shared" si="662"/>
        <v>7.14874359</v>
      </c>
      <c r="LX168" s="499">
        <f t="shared" si="663"/>
        <v>3.01696255097076</v>
      </c>
      <c r="LY168" s="515">
        <f t="shared" si="664"/>
        <v>0</v>
      </c>
      <c r="LZ168" s="516">
        <f t="shared" si="608"/>
        <v>1</v>
      </c>
      <c r="MA168" s="517">
        <f t="shared" si="609"/>
        <v>7.14874359</v>
      </c>
      <c r="MB168" s="517">
        <f t="shared" si="665"/>
        <v>1.34922667</v>
      </c>
      <c r="MC168" s="499">
        <f t="shared" si="666"/>
        <v>0</v>
      </c>
      <c r="MD168" s="499">
        <f t="shared" si="667"/>
        <v>0</v>
      </c>
      <c r="ME168" s="499">
        <f t="shared" si="668"/>
        <v>0</v>
      </c>
      <c r="MF168" s="499">
        <f t="shared" si="669"/>
        <v>0</v>
      </c>
      <c r="MG168" s="516">
        <f t="shared" si="670"/>
        <v>1</v>
      </c>
      <c r="MH168" s="517">
        <f t="shared" si="610"/>
        <v>0</v>
      </c>
      <c r="MI168" s="517">
        <f t="shared" si="671"/>
        <v>0</v>
      </c>
      <c r="MJ168" s="251">
        <f t="shared" si="611"/>
        <v>1.34922667</v>
      </c>
      <c r="MK168" s="251">
        <f t="shared" si="672"/>
        <v>1.34922667</v>
      </c>
      <c r="ML168" s="251">
        <f t="shared" si="795"/>
        <v>0</v>
      </c>
      <c r="MM168" s="251">
        <f t="shared" si="612"/>
        <v>0</v>
      </c>
      <c r="MN168" s="251">
        <f t="shared" si="613"/>
        <v>2.74922667</v>
      </c>
      <c r="MO168" s="251">
        <f t="shared" si="673"/>
        <v>0</v>
      </c>
      <c r="MP168" s="251">
        <f t="shared" si="674"/>
        <v>7.42291201</v>
      </c>
      <c r="MQ168" s="251">
        <f t="shared" si="796"/>
        <v>7.42291201</v>
      </c>
      <c r="MR168" s="314">
        <f t="shared" si="675"/>
        <v>7.42291201</v>
      </c>
      <c r="MS168" s="530">
        <f t="shared" si="614"/>
        <v>7.59891201</v>
      </c>
      <c r="MT168" s="530">
        <f t="shared" si="615"/>
        <v>7.75891201</v>
      </c>
      <c r="MU168" s="530">
        <f t="shared" si="616"/>
        <v>8.79891201</v>
      </c>
      <c r="MV168" s="530">
        <f t="shared" si="617"/>
        <v>9.99891201</v>
      </c>
      <c r="MW168" s="530">
        <f t="shared" si="618"/>
        <v>10.15891201</v>
      </c>
      <c r="MX168" s="326">
        <f t="shared" si="619"/>
        <v>1.94922667</v>
      </c>
      <c r="MY168" s="326">
        <f t="shared" si="620"/>
        <v>0</v>
      </c>
      <c r="MZ168" s="251">
        <f t="shared" si="621"/>
        <v>3.34922667</v>
      </c>
      <c r="NA168" s="251">
        <f t="shared" si="622"/>
        <v>0</v>
      </c>
      <c r="NB168" s="251">
        <f t="shared" si="676"/>
        <v>9.04291201</v>
      </c>
      <c r="NC168" s="326">
        <f t="shared" si="797"/>
        <v>9.04291201</v>
      </c>
      <c r="ND168" s="314">
        <f t="shared" si="677"/>
        <v>9.04291201</v>
      </c>
      <c r="NE168" s="537">
        <f t="shared" si="678"/>
        <v>9.28291201</v>
      </c>
      <c r="NF168" s="530">
        <f t="shared" si="623"/>
        <v>9.44291201</v>
      </c>
      <c r="NG168" s="538">
        <f t="shared" si="624"/>
        <v>10.48291201</v>
      </c>
      <c r="NH168" s="326">
        <f t="shared" si="625"/>
        <v>11.68291201</v>
      </c>
      <c r="NI168" s="530">
        <f t="shared" si="626"/>
        <v>11.84291201</v>
      </c>
      <c r="NK168" s="539">
        <f t="shared" si="627"/>
        <v>0.154690671822692</v>
      </c>
      <c r="NL168" s="539">
        <f t="shared" si="628"/>
        <v>4.98573119915205</v>
      </c>
      <c r="NM168" s="539">
        <f t="shared" si="629"/>
        <v>0.154690671822692</v>
      </c>
      <c r="NN168" s="539">
        <f t="shared" si="630"/>
        <v>5.03424893313407</v>
      </c>
      <c r="NO168" s="539">
        <f t="shared" si="631"/>
        <v>0.26592187374981</v>
      </c>
      <c r="NP168" s="539">
        <f t="shared" si="632"/>
        <v>5.51760009631597</v>
      </c>
      <c r="NQ168" s="539">
        <f t="shared" si="633"/>
        <v>0.26592187374981</v>
      </c>
      <c r="NR168" s="539">
        <f t="shared" si="634"/>
        <v>5.57540350833783</v>
      </c>
      <c r="NS168" s="539">
        <f t="shared" si="635"/>
        <v>0.165416831575397</v>
      </c>
      <c r="NT168" s="539">
        <f t="shared" si="636"/>
        <v>0.165416831575397</v>
      </c>
      <c r="NU168" s="539">
        <f t="shared" si="637"/>
        <v>0.279000300724751</v>
      </c>
      <c r="NV168" s="539">
        <f t="shared" si="638"/>
        <v>0.279000300724751</v>
      </c>
      <c r="NW168">
        <f t="shared" si="639"/>
        <v>0.274941252582425</v>
      </c>
      <c r="NX168">
        <f>各项系数!$M$9*NK168</f>
        <v>0.0464072015468076</v>
      </c>
      <c r="NY168">
        <f t="shared" si="640"/>
        <v>0.165416831575397</v>
      </c>
    </row>
    <row r="169" customHeight="1" spans="1:389">
      <c r="A169" s="85"/>
      <c r="B169" s="86"/>
      <c r="C169" s="218"/>
      <c r="D169" s="123" t="s">
        <v>362</v>
      </c>
      <c r="E169" s="77">
        <f t="shared" si="687"/>
        <v>10.82368001</v>
      </c>
      <c r="F169" s="559">
        <f t="shared" si="798"/>
        <v>134.922667214547</v>
      </c>
      <c r="G169" s="78"/>
      <c r="H169" s="23"/>
      <c r="I169" s="174">
        <v>0</v>
      </c>
      <c r="J169" s="23"/>
      <c r="K169" s="23"/>
      <c r="L169" s="118" t="s">
        <v>469</v>
      </c>
      <c r="M169" s="124">
        <f t="shared" si="582"/>
        <v>0.7</v>
      </c>
      <c r="N169" s="124">
        <f t="shared" si="583"/>
        <v>0</v>
      </c>
      <c r="O169" s="69">
        <f t="shared" si="801"/>
        <v>0.08</v>
      </c>
      <c r="P169" s="120">
        <v>0.1</v>
      </c>
      <c r="Q169" s="162">
        <f t="shared" si="754"/>
        <v>0.1</v>
      </c>
      <c r="R169" s="560">
        <v>0.8</v>
      </c>
      <c r="S169" s="171" t="str">
        <f>各项系数!$D$43</f>
        <v>钢带</v>
      </c>
      <c r="T169" s="123">
        <v>0.2</v>
      </c>
      <c r="U169" s="78">
        <v>4</v>
      </c>
      <c r="V169" s="172"/>
      <c r="W169" s="170">
        <f t="shared" si="799"/>
        <v>1.2</v>
      </c>
      <c r="X169" s="164">
        <f t="shared" si="755"/>
        <v>0.2</v>
      </c>
      <c r="Y169" s="219"/>
      <c r="Z169" s="220"/>
      <c r="AA169" s="217">
        <v>1</v>
      </c>
      <c r="AB169" s="186">
        <f>PI()*EJ169*EJ169/4*EH169*(1-H169)*AA169*各项系数!$F$5*各项系数!$J$4*10^-7</f>
        <v>0.0126469138144438</v>
      </c>
      <c r="AC169" s="186">
        <f t="shared" si="704"/>
        <v>134.922667214547</v>
      </c>
      <c r="AD169" s="186">
        <f t="shared" si="584"/>
        <v>1.42974872274124</v>
      </c>
      <c r="AE169" s="186">
        <f>POWER(4*EU169/PI()/EG169/10^-7/EH169/(1-H169)/各项系数!$F$5/各项系数!$J$4,0.5)</f>
        <v>134.922667214547</v>
      </c>
      <c r="AF169" s="218">
        <v>1</v>
      </c>
      <c r="AG169" s="85">
        <f>IF(EM169=0,0,PI()*ER169*ER169/4*EP169*(1-K169)*(1+AF169)*各项系数!$F$5*各项系数!$J$4*10^-7)</f>
        <v>0</v>
      </c>
      <c r="AH169" s="85">
        <f t="shared" si="705"/>
        <v>0</v>
      </c>
      <c r="AI169" s="85">
        <f t="shared" si="641"/>
        <v>0</v>
      </c>
      <c r="AJ169" s="85">
        <f>IF(OR(EP169="",EP169=0),0,POWER(4*EW169/PI()/EO169/10^-7/EP169/(1-K169)/各项系数!$F$5/各项系数!$J$4,0.5))</f>
        <v>0</v>
      </c>
      <c r="AK169" s="85" t="str">
        <f t="shared" si="585"/>
        <v>√</v>
      </c>
      <c r="AL169" s="85">
        <f t="shared" si="706"/>
        <v>6.28184314642558</v>
      </c>
      <c r="AM169" s="250">
        <f t="shared" si="707"/>
        <v>1.5</v>
      </c>
      <c r="AN169" s="118" t="s">
        <v>486</v>
      </c>
      <c r="AO169" s="259">
        <f>AP169+各项系数!$M$9*$NK169</f>
        <v>6.15866975139763</v>
      </c>
      <c r="AP169" s="259">
        <f>AQ169*(1+$BI169+(VLOOKUP($AM169,$A$12:$B$323,2,0))+各项系数!$J$6+各项系数!$M$5)*(1+$E$2)</f>
        <v>6.10404732842097</v>
      </c>
      <c r="AQ169" s="260">
        <f>AR169+各项系数!$L$9*$NK169</f>
        <v>6.16695022067183</v>
      </c>
      <c r="AR169" s="260">
        <f>AS169*(1+$BJ169+各项系数!$J$5+各项系数!$L$5)</f>
        <v>6.11232779769517</v>
      </c>
      <c r="AS169" s="260">
        <f t="shared" si="642"/>
        <v>5.93429883271376</v>
      </c>
      <c r="AT169" s="259">
        <f>AU169+各项系数!$M$9*$NM169</f>
        <v>6.52485692527608</v>
      </c>
      <c r="AU169" s="259">
        <f>AV169*(1+$BI169+(VLOOKUP($AM169,$A$12:$B$323,2,0))+各项系数!$J$6+各项系数!$M$5)*(1+$E$2)</f>
        <v>6.47023450229942</v>
      </c>
      <c r="AV169" s="260">
        <f>AW169+各项系数!$L$9*$NM169</f>
        <v>6.53691099444274</v>
      </c>
      <c r="AW169" s="260">
        <f>AX169*(1+$BJ169+各项系数!$J$5+各项系数!$L$5)</f>
        <v>6.48228857146609</v>
      </c>
      <c r="AX169" s="260">
        <f t="shared" si="643"/>
        <v>6.29348404996707</v>
      </c>
      <c r="AY169" s="259">
        <f>AZ169+各项系数!$M$9*$NS169</f>
        <v>6.9921647826133</v>
      </c>
      <c r="AZ169" s="259">
        <f>BA169*(1+$BI169+(VLOOKUP($AM169,$A$12:$B$214,2,0))+各项系数!$J$6+各项系数!$M$5)*(1+$E$2)</f>
        <v>6.93397889269676</v>
      </c>
      <c r="BA169" s="260">
        <f>BB169+各项系数!$L$9*$NS169</f>
        <v>7.00543432278921</v>
      </c>
      <c r="BB169" s="260">
        <f>BC169*(1+$BJ169+各项系数!$J$5+各项系数!$L$5)</f>
        <v>6.94724843287267</v>
      </c>
      <c r="BC169" s="262">
        <f t="shared" si="644"/>
        <v>6.74490139113851</v>
      </c>
      <c r="BD169" s="259">
        <f>BE169+各项系数!$M$9*$NS169</f>
        <v>7.3644400587312</v>
      </c>
      <c r="BE169" s="259">
        <f>BF169*(1+$BI169+(VLOOKUP($AM169,$A$12:$B$214,2,0))+各项系数!$J$6+各项系数!$M$5)*(1+$E$2)</f>
        <v>7.30625416881465</v>
      </c>
      <c r="BF169" s="260">
        <f>BG169+各项系数!$L$9*$NS169</f>
        <v>7.38154593737589</v>
      </c>
      <c r="BG169" s="260">
        <f>BH169*(1+$BJ169+各项系数!$J$5+各项系数!$L$5)</f>
        <v>7.32336004745934</v>
      </c>
      <c r="BH169" s="262">
        <f t="shared" si="645"/>
        <v>7.11005829850422</v>
      </c>
      <c r="BI169" s="277"/>
      <c r="BJ169" s="272">
        <f t="shared" si="800"/>
        <v>0.01</v>
      </c>
      <c r="BK169" s="123" t="s">
        <v>514</v>
      </c>
      <c r="BL169" s="259">
        <f>BM169+各项系数!$M$9*$NM169</f>
        <v>6.27203269873764</v>
      </c>
      <c r="BM169" s="259">
        <f>BN169*(1+$CF169+(VLOOKUP($AM169,$A$12:$B$323,2,0))+各项系数!$J$6+各项系数!$M$5)*(1+$E$2)</f>
        <v>6.21741027576099</v>
      </c>
      <c r="BN169" s="260">
        <f>BO169+各项系数!$L$9*$NM169</f>
        <v>6.28148138589714</v>
      </c>
      <c r="BO169" s="260">
        <f>BP169*(1+$CG169+各项系数!$J$5+各项系数!$L$5)</f>
        <v>6.22685896292049</v>
      </c>
      <c r="BP169" s="260">
        <f t="shared" si="646"/>
        <v>5.98736438742354</v>
      </c>
      <c r="BQ169" s="259">
        <f>BR169+各项系数!$M$9*$NM169</f>
        <v>6.58714983040265</v>
      </c>
      <c r="BR169" s="259">
        <f>BS169*(1+$CF169+(VLOOKUP($AM169,$A$12:$B$323,2,0))+各项系数!$J$6+各项系数!$M$5)*(1+$E$2)</f>
        <v>6.532527407426</v>
      </c>
      <c r="BS169" s="260">
        <f>BT169+各项系数!$L$9*$NM169</f>
        <v>6.59984583494241</v>
      </c>
      <c r="BT169" s="260">
        <f>BU169*(1+$CG169+各项系数!$J$5+各项系数!$L$5)</f>
        <v>6.54522341196576</v>
      </c>
      <c r="BU169" s="260">
        <f t="shared" si="647"/>
        <v>6.29348404996707</v>
      </c>
      <c r="BV169" s="259">
        <f>BW169+各项系数!$M$9*$NT169</f>
        <v>7.06504597745804</v>
      </c>
      <c r="BW169" s="259">
        <f>BX169*(1+$CF169+(VLOOKUP($AM169,$A$12:$B$214,2,0))+各项系数!$J$6+各项系数!$M$5)*(1+$E$2)</f>
        <v>7.0068600875415</v>
      </c>
      <c r="BX169" s="260">
        <f>BY169+各项系数!$L$9*$NT$12</f>
        <v>7.07906656652</v>
      </c>
      <c r="BY169" s="260">
        <f>BZ169*(1+$CG169+各项系数!$J$5+各项系数!$L$5)</f>
        <v>7.07080316336503</v>
      </c>
      <c r="BZ169" s="262">
        <f t="shared" si="586"/>
        <v>6.79884919554329</v>
      </c>
      <c r="CA169" s="259">
        <f>CB169+各项系数!$M$9*$NT169</f>
        <v>7.38540213837319</v>
      </c>
      <c r="CB169" s="259">
        <f>CC169*(1+$CF169+(VLOOKUP($AM169,$A$12:$B$214,2,0))+各项系数!$J$6+各项系数!$M$5)*(1+$E$2)</f>
        <v>7.32721624845665</v>
      </c>
      <c r="CC169" s="260">
        <f>CD169+各项系数!$L$9*$NT$12</f>
        <v>7.40272403359936</v>
      </c>
      <c r="CD169" s="260">
        <f>CE169*(1+$CG169+各项系数!$J$5+各项系数!$L$5)</f>
        <v>7.39446063044439</v>
      </c>
      <c r="CE169" s="262">
        <f t="shared" si="648"/>
        <v>7.11005829850422</v>
      </c>
      <c r="CF169" s="277">
        <f t="shared" si="753"/>
        <v>0</v>
      </c>
      <c r="CG169" s="277">
        <f t="shared" si="587"/>
        <v>0.02</v>
      </c>
      <c r="CH169" s="123"/>
      <c r="CI169" s="259">
        <f>CJ169+各项系数!$M$9*$NO169</f>
        <v>6.94848210705233</v>
      </c>
      <c r="CJ169" s="259">
        <f>CK169*(1+$DC169+(VLOOKUP($AM169,$A$12:$B$323,2,0))+各项系数!$J$6+各项系数!$M$5)*(1+$E$2)+各项系数!$M$9*$NK169</f>
        <v>6.85127072599817</v>
      </c>
      <c r="CK169" s="260">
        <f>CL169+各项系数!$L$9*$NO169</f>
        <v>6.86668852598657</v>
      </c>
      <c r="CL169" s="260">
        <f>CM169*(1+$DD169+各项系数!$J$5+各项系数!$L$5)</f>
        <v>6.76947714493241</v>
      </c>
      <c r="CM169" s="260">
        <f t="shared" si="588"/>
        <v>6.57230790770137</v>
      </c>
      <c r="CN169" s="259">
        <f>CO169+各项系数!$M$9*$NO169</f>
        <v>7.20988355741162</v>
      </c>
      <c r="CO169" s="259">
        <f>CP169*(1+$DC169+(VLOOKUP($AM169,$A$12:$B$323,2,0))+各项系数!$J$6+各项系数!$M$5)*(1+$E$2)+各项系数!$M$9*$NK169</f>
        <v>7.11267217635746</v>
      </c>
      <c r="CP169" s="260">
        <f>CQ169+各项系数!$L$9*$NO169</f>
        <v>7.13078374760639</v>
      </c>
      <c r="CQ169" s="260">
        <f>CR169*(1+$DD169+各项系数!$J$5+各项系数!$L$5)</f>
        <v>7.03357236655223</v>
      </c>
      <c r="CR169" s="260">
        <f t="shared" si="589"/>
        <v>6.8287110354876</v>
      </c>
      <c r="CS169" s="259">
        <f>CT169+各项系数!$M$9*$NU169</f>
        <v>7.90808458995921</v>
      </c>
      <c r="CT169" s="259">
        <f t="shared" si="590"/>
        <v>7.80652863280206</v>
      </c>
      <c r="CU169" s="260">
        <f>CV169+各项系数!$L$9*$NU169</f>
        <v>7.88697578581739</v>
      </c>
      <c r="CV169" s="260">
        <f>CW169*(1+$DD169+各项系数!$J$5+各项系数!$L$5)</f>
        <v>7.78541982866024</v>
      </c>
      <c r="CW169" s="262">
        <f t="shared" si="591"/>
        <v>7.55866002782547</v>
      </c>
      <c r="CX169" s="259">
        <f>CY169+各项系数!$M$9*$NU169</f>
        <v>8.35128625716661</v>
      </c>
      <c r="CY169" s="259">
        <f t="shared" si="592"/>
        <v>8.24973030000945</v>
      </c>
      <c r="CZ169" s="260">
        <f>DA169+各项系数!$L$9*$NU169</f>
        <v>8.33474469590771</v>
      </c>
      <c r="DA169" s="260">
        <f>DB169*(1+$DD169+各项系数!$J$5+各项系数!$L$5)</f>
        <v>8.23318873875055</v>
      </c>
      <c r="DB169" s="262">
        <f t="shared" si="593"/>
        <v>7.99338712500053</v>
      </c>
      <c r="DC169" s="277">
        <f t="shared" si="698"/>
        <v>0</v>
      </c>
      <c r="DD169" s="277">
        <f t="shared" si="594"/>
        <v>0.01</v>
      </c>
      <c r="DE169" s="69" t="s">
        <v>498</v>
      </c>
      <c r="DF169" s="69" t="s">
        <v>513</v>
      </c>
      <c r="DG169" s="259">
        <f>DH169+各项系数!$M$9*$NQ169</f>
        <v>7.07874037428064</v>
      </c>
      <c r="DH169" s="259">
        <f>DI169*(1+$EA169+(VLOOKUP($AM169,$A$12:$B$323,2,0))+各项系数!$J$6+各项系数!$M$5)*(1+$E$2)+各项系数!$M$9*$NK169</f>
        <v>6.98152899322648</v>
      </c>
      <c r="DI169" s="260">
        <f>DJ169+各项系数!$L$9*$NQ169</f>
        <v>6.99828911926634</v>
      </c>
      <c r="DJ169" s="260">
        <f>DK169*(1+$EB169+各项系数!$J$5+各项系数!$L$5)</f>
        <v>6.90107773821218</v>
      </c>
      <c r="DK169" s="260">
        <f t="shared" si="595"/>
        <v>6.63565167135787</v>
      </c>
      <c r="DL169" s="259">
        <f>DM169+各项系数!$M$9*$NQ169</f>
        <v>7.45489219670981</v>
      </c>
      <c r="DM169" s="259">
        <f>DN169*(1+$EA169+(VLOOKUP($AM169,$A$12:$B$323,2,0))+各项系数!$J$6+各项系数!$M$5)*(1+$E$2)+各项系数!$M$9*$NK169</f>
        <v>7.35768081565565</v>
      </c>
      <c r="DN169" s="260">
        <f>DO169+各项系数!$L$9*$NQ169</f>
        <v>7.37831722840876</v>
      </c>
      <c r="DO169" s="260">
        <f>DP169*(1+$EB169+各项系数!$J$5+各项系数!$L$5)</f>
        <v>7.2811058473546</v>
      </c>
      <c r="DP169" s="260">
        <f t="shared" si="596"/>
        <v>7.00106331476404</v>
      </c>
      <c r="DQ169" s="259">
        <f>DR169+各项系数!$M$9*$NV169</f>
        <v>8.04901395125055</v>
      </c>
      <c r="DR169" s="259">
        <f t="shared" si="597"/>
        <v>7.94745799409339</v>
      </c>
      <c r="DS169" s="260">
        <f>DT169+各项系数!$L$9*$NV169</f>
        <v>8.0293574399812</v>
      </c>
      <c r="DT169" s="260">
        <f>DU169*(1+$EB169+各项系数!$J$5+各项系数!$L$5)</f>
        <v>7.92780148282404</v>
      </c>
      <c r="DU169" s="262">
        <f t="shared" si="598"/>
        <v>7.62288604117696</v>
      </c>
      <c r="DV169" s="259">
        <f>DW169+各项系数!$M$9*$NV169</f>
        <v>7.97749400322688</v>
      </c>
      <c r="DW169" s="259">
        <f t="shared" si="599"/>
        <v>7.87593804606972</v>
      </c>
      <c r="DX169" s="260">
        <f>DY169+各项系数!$L$9*$NV169</f>
        <v>7.95710047087262</v>
      </c>
      <c r="DY169" s="260">
        <f>DZ169*(1+$EB169+各项系数!$J$5+各项系数!$L$5)</f>
        <v>7.85554451371546</v>
      </c>
      <c r="DZ169" s="262">
        <f t="shared" si="600"/>
        <v>7.55340818626487</v>
      </c>
      <c r="EA169" s="277">
        <f t="shared" ref="EA169:EA187" si="802">BI169+$EA$2</f>
        <v>0</v>
      </c>
      <c r="EB169" s="277">
        <f t="shared" si="601"/>
        <v>0.02</v>
      </c>
      <c r="EC169" s="302">
        <f t="shared" si="649"/>
        <v>6</v>
      </c>
      <c r="ED169" s="302" t="str">
        <f t="shared" si="756"/>
        <v>6*1.5</v>
      </c>
      <c r="EE169" s="251">
        <f t="shared" si="709"/>
        <v>1.5</v>
      </c>
      <c r="EF169" s="251">
        <f>LOOKUP(EH169,{1,7,10,14,19,24,30,37,48,61},{1,"1+6","2+8","4+10","1+6+12","2+8+14","4+10+16","1+6+12+18","3+9+15+21","1+6+12+18+24"})</f>
        <v>1</v>
      </c>
      <c r="EG169" s="250">
        <f t="shared" si="602"/>
        <v>6</v>
      </c>
      <c r="EH169" s="260">
        <f>VLOOKUP(EE169,各项系数!$B$87:$C$124,2,0)</f>
        <v>1</v>
      </c>
      <c r="EI169" s="250">
        <f>IF(EH169=0,0,VLOOKUP(EH169,各项系数!$D$142:$E$195,2,0))*1</f>
        <v>1</v>
      </c>
      <c r="EJ169" s="305">
        <f t="shared" si="650"/>
        <v>134.922667214547</v>
      </c>
      <c r="EK169" s="251">
        <f t="shared" si="689"/>
        <v>0</v>
      </c>
      <c r="EL169" s="251">
        <f t="shared" si="603"/>
        <v>0</v>
      </c>
      <c r="EM169" s="251">
        <f t="shared" si="690"/>
        <v>0</v>
      </c>
      <c r="EN169" s="251">
        <f>IF(EP169=0,0,LOOKUP(EP169,{1,7,10,14,19,24,30,37,48,61},{1,"1+6","2+8","4+10","1+6+12","2+8+14","4+10+16","1+6+12+18","3+9+15+21","1+6+12+18+24"}))</f>
        <v>0</v>
      </c>
      <c r="EO169" s="251">
        <f t="shared" si="691"/>
        <v>0</v>
      </c>
      <c r="EP169" s="251">
        <f>IF(EM169=0,0,IF(EM169&lt;10,1,IF(AND(EM169&gt;=10,EM169&lt;=35),7,LOOKUP(EM169,{50,70,95,120,150,185,240,300},{10,14,19,24,30,37,48,61})*1)))</f>
        <v>0</v>
      </c>
      <c r="EQ169" s="251">
        <f>IF(EP169=0,0,VLOOKUP(EP169,各项系数!$D$142:$E$195,2,0))*1</f>
        <v>0</v>
      </c>
      <c r="ER169" s="69">
        <f t="shared" si="710"/>
        <v>0</v>
      </c>
      <c r="ES169" s="566">
        <f t="shared" si="692"/>
        <v>6</v>
      </c>
      <c r="ET169" s="251">
        <f>VLOOKUP(ES169,各项系数!$D$142:$E$195,2,0)*1</f>
        <v>3</v>
      </c>
      <c r="EU169" s="311">
        <f>((各项系数!$F$76/4*$EJ169^2*$EG169*$EH169*1*10^-7)*(1-$H169)*AA169)*(VLOOKUP($EY$9,各项系数!$D$4:$F$143,3,0))*各项系数!$J$4</f>
        <v>0.0758814828866627</v>
      </c>
      <c r="EV169" s="312">
        <f>EU169*(VLOOKUP($EY$9,各项系数!$D$4:$F$143,2,0))</f>
        <v>4.97023712907641</v>
      </c>
      <c r="EW169" s="324">
        <f>(IF($EO169=0,0,(各项系数!$F$76/4*$ER169^2*$EO169*$EP169*1*10^-7))*(1-$K169)*$AF169)*(VLOOKUP($EY$9,各项系数!$D$4:$F$143,3,0))*各项系数!$J$4</f>
        <v>0</v>
      </c>
      <c r="EX169" s="325">
        <f>EW169*(VLOOKUP($EY$9,各项系数!$D$4:$F$143,2,0))</f>
        <v>0</v>
      </c>
      <c r="EY169" s="251">
        <f>((各项系数!$F$76/4*$EJ169^2*$EG169*$EH169*1*10^-7)*(1-$H169)*AA169+IF($EO169=0,0,(各项系数!$F$76/4*$ER169^2*$EO169*$EP169*1*10^-7))*(1-$K169)*$AF169)*(VLOOKUP($EY$9,各项系数!$D$4:$F$143,3,0))*各项系数!$J$4</f>
        <v>0.0758814828866627</v>
      </c>
      <c r="EZ169" s="123">
        <v>1</v>
      </c>
      <c r="FA169" s="251">
        <f t="shared" si="757"/>
        <v>0.0758814828866627</v>
      </c>
      <c r="FB169" s="326">
        <f>FA169*(VLOOKUP($EY$9,各项系数!$D$4:$F$143,2,0))</f>
        <v>4.97023712907641</v>
      </c>
      <c r="FC169" s="327"/>
      <c r="FD169" s="302">
        <f>各项系数!$F$76/4*($MN169^2-MK169^2)*10^-2*(VLOOKUP(L169,各项系数!$D$1:$F$143,3,0))*10^-3*10^2*$EG169*各项系数!$J$4</f>
        <v>0.0295940857893552</v>
      </c>
      <c r="FE169" s="339">
        <f>FD169*VLOOKUP(L169,各项系数!$D$1:$F$143,2,0)</f>
        <v>0.340331986577585</v>
      </c>
      <c r="FF169" s="250">
        <f>各项系数!$F$76/4*($MO169^2-ML169^2)*10^-2*(VLOOKUP(L169,各项系数!$D$1:$F$143,3,0))*10^-3*10^2*$EO169*各项系数!$J$4</f>
        <v>0</v>
      </c>
      <c r="FG169" s="339">
        <f>FF169*VLOOKUP(L169,各项系数!$D$1:$F$143,2,0)</f>
        <v>0</v>
      </c>
      <c r="FH169" s="302">
        <f t="shared" si="651"/>
        <v>0.0295940857893552</v>
      </c>
      <c r="FI169" s="123">
        <v>1</v>
      </c>
      <c r="FJ169" s="251">
        <f t="shared" si="758"/>
        <v>0.0295940857893552</v>
      </c>
      <c r="FK169" s="339">
        <f>FJ169*VLOOKUP(L169,各项系数!$D$1:$F$143,2,0)</f>
        <v>0.340331986577585</v>
      </c>
      <c r="FL169" s="302"/>
      <c r="FM169" s="123"/>
      <c r="FN169" s="251"/>
      <c r="FO169" s="339"/>
      <c r="FP169" s="364">
        <f t="shared" si="759"/>
        <v>0.0295940857893552</v>
      </c>
      <c r="FQ169" s="364">
        <f t="shared" si="760"/>
        <v>0.340331986577585</v>
      </c>
      <c r="FR169" s="365">
        <f>各项系数!$F$76/4*($MQ169^2-$MN169^2*$EG169-$MO169^2*$EO169)*10^-2</f>
        <v>0.178087006038084</v>
      </c>
      <c r="FS169" s="366">
        <f t="shared" si="652"/>
        <v>1</v>
      </c>
      <c r="FT169" s="367">
        <f t="shared" si="604"/>
        <v>0.178087006038084</v>
      </c>
      <c r="FU169" s="388">
        <f>$FT169*(VLOOKUP($FT$9,各项系数!$D$1:$F$143,3,0))*10^-3*10^2*各项系数!$J$55</f>
        <v>0.0212635885209472</v>
      </c>
      <c r="FV169" s="389">
        <v>1</v>
      </c>
      <c r="FW169" s="390">
        <f t="shared" si="761"/>
        <v>0.0212635885209472</v>
      </c>
      <c r="FX169" s="367">
        <f>FW169*(VLOOKUP($FT$9,各项系数!$D$1:$F$143,2,0))</f>
        <v>0.0637907655628417</v>
      </c>
      <c r="FY169" s="388">
        <f>IF($BK169&lt;&gt;$FY$9,0,各项系数!$F$76/4*($MS169^2-$MQ169^2)*10^-2*(VLOOKUP($FY$9,各项系数!$D$1:$F$143,3,0))*10^-3*10^2)*各项系数!$J$4</f>
        <v>0</v>
      </c>
      <c r="FZ169" s="389">
        <v>1</v>
      </c>
      <c r="GA169" s="390">
        <f t="shared" si="762"/>
        <v>0</v>
      </c>
      <c r="GB169" s="367">
        <f>GA169*(VLOOKUP($FY$9,各项系数!$D$1:$F$143,2,0))</f>
        <v>0</v>
      </c>
      <c r="GC169" s="388">
        <f>IF($BK169&lt;&gt;$GC$9,0,各项系数!$F$76/4*($MS169^2-$MQ169^2)*10^-2*(VLOOKUP($GC$9,各项系数!$D$1:$F$143,3,0))*10^-3*10^2)*各项系数!$J$4</f>
        <v>0.00227003134876444</v>
      </c>
      <c r="GD169" s="389">
        <v>1</v>
      </c>
      <c r="GE169" s="390">
        <f t="shared" si="763"/>
        <v>0.00227003134876444</v>
      </c>
      <c r="GF169" s="367">
        <f>GE169*(VLOOKUP($GC$9,各项系数!$D$1:$F$143,2,0))</f>
        <v>0.0292834043990613</v>
      </c>
      <c r="GG169" s="388">
        <f>IF($BK169&lt;&gt;$GG$9,0,各项系数!$F$76/4*($MS169^2-$MQ169^2)*10^-2*(VLOOKUP($GG$9,各项系数!$D$1:$F$143,3,0))*10^-3*10^2)*各项系数!$J$4</f>
        <v>0</v>
      </c>
      <c r="GH169" s="389">
        <v>1</v>
      </c>
      <c r="GI169" s="390">
        <f t="shared" si="764"/>
        <v>0</v>
      </c>
      <c r="GJ169" s="367">
        <f>GI169*(VLOOKUP($GG$9,各项系数!$D$1:$F$143,2,0))</f>
        <v>0</v>
      </c>
      <c r="GK169" s="388">
        <f>IF($BK169&lt;&gt;$GK$9,0,各项系数!$F$76/4*($MS169^2-$MQ169^2)*10^-2*(VLOOKUP($GK$9,各项系数!$D$1:$F$143,3,0))*10^-3*10^2)*各项系数!$J$4</f>
        <v>0</v>
      </c>
      <c r="GL169" s="389">
        <v>1</v>
      </c>
      <c r="GM169" s="390">
        <f t="shared" si="765"/>
        <v>0</v>
      </c>
      <c r="GN169" s="367">
        <f>GM169*(VLOOKUP($GK$9,各项系数!$D$1:$F$143,2,0))</f>
        <v>0</v>
      </c>
      <c r="GO169" s="390">
        <f t="shared" si="766"/>
        <v>0.00227003134876444</v>
      </c>
      <c r="GP169" s="390">
        <f t="shared" si="767"/>
        <v>0.0292834043990613</v>
      </c>
      <c r="GQ169" s="406">
        <f>各项系数!$F$76/4*($MU169^2-$MS169^2)*10^-2*(VLOOKUP($S169,各项系数!$D$1:$F$143,3,0))*10^-3*10^2*各项系数!$J$4</f>
        <v>0.132347165144476</v>
      </c>
      <c r="GR169" s="389">
        <v>1</v>
      </c>
      <c r="GS169" s="390">
        <f t="shared" si="768"/>
        <v>0.132347165144476</v>
      </c>
      <c r="GT169" s="390">
        <f t="shared" si="696"/>
        <v>1</v>
      </c>
      <c r="GU169" s="390">
        <f>ROUND($GS169*(VLOOKUP($S169,各项系数!$D$1:$F$143,2,0))+$E$3*GS169,GT169)</f>
        <v>0.8</v>
      </c>
      <c r="GV169" s="406">
        <f>各项系数!$F$76/4*($MT169^2-$MS169^2)*10^-2*(VLOOKUP($GV$9,各项系数!$D$1:$F$143,3,0))*10^-3*10^2*各项系数!$J$4*PI()/4*R169</f>
        <v>0.0118782231329598</v>
      </c>
      <c r="GW169" s="389">
        <v>1</v>
      </c>
      <c r="GX169" s="390">
        <f t="shared" si="769"/>
        <v>0.0118782231329598</v>
      </c>
      <c r="GY169" s="390">
        <f>$GX169*(VLOOKUP($GV$9,各项系数!$D$1:$F$143,2,0))</f>
        <v>0.80178006147479</v>
      </c>
      <c r="GZ169" s="406">
        <f>各项系数!$F$76/4*($MV169^2-$MS169^2)*10^-2*(VLOOKUP($GZ$9,各项系数!$D$1:$F$143,3,0))*10^-3*10^2*各项系数!$J$4</f>
        <v>0.0523435743735987</v>
      </c>
      <c r="HA169" s="389">
        <v>1</v>
      </c>
      <c r="HB169" s="390">
        <f t="shared" si="653"/>
        <v>0.0523435743735987</v>
      </c>
      <c r="HC169" s="390">
        <f>HB169*(VLOOKUP($GZ$9,各项系数!$D$1:$F$143,2,0))</f>
        <v>0.889840764351178</v>
      </c>
      <c r="HD169" s="406">
        <f>各项系数!$F$76/4*($MW169^2-$MT169^2)*10^-2*(VLOOKUP($HD$9,各项系数!$D$1:$F$143,3,0))*10^-3*10^2*各项系数!$J$4</f>
        <v>0.0532138206713843</v>
      </c>
      <c r="HE169" s="389">
        <v>1</v>
      </c>
      <c r="HF169" s="390">
        <f t="shared" si="654"/>
        <v>0.0532138206713843</v>
      </c>
      <c r="HG169" s="390">
        <f>HF169*(VLOOKUP($HD$9,各项系数!$D$1:$F$143,2,0))</f>
        <v>0.904634951413533</v>
      </c>
      <c r="HH169" s="406">
        <f>各项系数!$F$76/4*($MV169^2-$MS169^2)*10^-2*(VLOOKUP($HH$9,各项系数!$D$1:$F$143,3,0))*10^-3*10^2*各项系数!$J$4</f>
        <v>0.0523435743735987</v>
      </c>
      <c r="HI169" s="420">
        <v>1</v>
      </c>
      <c r="HJ169" s="390">
        <f t="shared" si="655"/>
        <v>0.0523435743735987</v>
      </c>
      <c r="HK169" s="390">
        <f>HJ169*(VLOOKUP($HH$9,各项系数!$D$1:$F$143,2,0))</f>
        <v>0.889840764351178</v>
      </c>
      <c r="HL169" s="406">
        <f>各项系数!$F$76/4*($MW169^2-$MT169^2)*10^-2*(VLOOKUP($HL$9,各项系数!$D$1:$F$143,3,0))*10^-3*10^2*各项系数!$J$4</f>
        <v>0.0532138206713843</v>
      </c>
      <c r="HM169" s="420">
        <v>1</v>
      </c>
      <c r="HN169" s="390">
        <f t="shared" si="605"/>
        <v>0.0532138206713843</v>
      </c>
      <c r="HO169" s="390">
        <f>HN169*(VLOOKUP($HL$9,各项系数!$D$1:$F$143,2,0))</f>
        <v>0.904634951413533</v>
      </c>
      <c r="HP169" s="406">
        <f>各项系数!$F$76/4*($MV169^2-$MS169^2)*10^-2*(VLOOKUP(AN169,各项系数!$D$1:$F$143,3,0))*10^-3*10^2*各项系数!$J$4</f>
        <v>0.0530655547097863</v>
      </c>
      <c r="HQ169" s="389">
        <v>1</v>
      </c>
      <c r="HR169" s="390">
        <f t="shared" si="770"/>
        <v>0.0530655547097863</v>
      </c>
      <c r="HS169" s="390">
        <f>HR169*(VLOOKUP(AN169,各项系数!$D$1:$F$143,2,0))</f>
        <v>0.530655547097863</v>
      </c>
      <c r="HT169" s="406">
        <f>各项系数!$F$76/4*($MW169^2-$MT169^2)*10^-2*(VLOOKUP(AN169,各项系数!$D$1:$F$143,3,0))*10^-3*10^2*各项系数!$J$4</f>
        <v>0.0539478044047827</v>
      </c>
      <c r="HU169" s="389">
        <v>1</v>
      </c>
      <c r="HV169" s="390">
        <f t="shared" si="771"/>
        <v>0.0539478044047827</v>
      </c>
      <c r="HW169" s="390">
        <f>HV169*(VLOOKUP(AN169,各项系数!$D$1:$F$143,2,0))</f>
        <v>0.539478044047827</v>
      </c>
      <c r="HX169" s="406">
        <f>各项系数!$F$76/4*($MV169^2-$MS169^2)*10^-2*(VLOOKUP($HX$9,各项系数!$D$1:$F$143,3,0))*10^-3*10^2*各项系数!$J$4</f>
        <v>0.0530655547097863</v>
      </c>
      <c r="HY169" s="420">
        <v>1</v>
      </c>
      <c r="HZ169" s="390">
        <f t="shared" si="772"/>
        <v>0.0530655547097863</v>
      </c>
      <c r="IA169" s="390">
        <f>HZ169*(VLOOKUP($HX$9,各项系数!$D$1:$F$143,2,0))</f>
        <v>0.583721101807649</v>
      </c>
      <c r="IB169" s="406">
        <f>各项系数!$F$76/4*($MW169^2-$MT169^2)*10^-2*(VLOOKUP($IB$9,各项系数!$D$1:$F$143,3,0))*10^-3*10^2*各项系数!$J$4</f>
        <v>0.0539478044047827</v>
      </c>
      <c r="IC169" s="420">
        <v>1</v>
      </c>
      <c r="ID169" s="390">
        <f t="shared" si="773"/>
        <v>0.0539478044047827</v>
      </c>
      <c r="IE169" s="390">
        <f>ID169*(VLOOKUP($IB$9,各项系数!$D$1:$F$143,2,0))</f>
        <v>0.59342584845261</v>
      </c>
      <c r="IF169" s="429"/>
      <c r="IG169" s="406">
        <f t="shared" si="656"/>
        <v>0.0139192894762834</v>
      </c>
      <c r="IH169" s="389">
        <v>1</v>
      </c>
      <c r="II169" s="390">
        <f t="shared" si="774"/>
        <v>0.0139192894762834</v>
      </c>
      <c r="IJ169" s="390">
        <f>II169*(VLOOKUP($IG$8,各项系数!$D$1:$F$143,2,0))</f>
        <v>0.347982236907084</v>
      </c>
      <c r="IK169" s="406">
        <f>(各项系数!$F$76/4*($MX169^2-$MK169^2)*$EG169)*10^-2*(VLOOKUP($IG$8,各项系数!$D$1:$F$143,3,0))*10^-3*10^2*各项系数!$J$4</f>
        <v>0.0139192894762834</v>
      </c>
      <c r="IL169" s="389">
        <f>IK169*(VLOOKUP($IG$8,各项系数!$D$1:$F$143,2,0))</f>
        <v>0.347982236907084</v>
      </c>
      <c r="IM169" s="390">
        <f>(各项系数!$F$76/4*(($MM169+3*$X169)^2-MM169^2)*$EO169)*10^-2*(VLOOKUP($IG$8,各项系数!$D$1:$F$143,3,0))*10^-3*10^2*各项系数!$J$4</f>
        <v>0</v>
      </c>
      <c r="IN169" s="389">
        <f>IM169*(VLOOKUP($IG$8,各项系数!$D$1:$F$143,2,0))</f>
        <v>0</v>
      </c>
      <c r="IO169" s="406">
        <f>各项系数!$F$76/4*($MZ169^2-$MX169^2)*10^-2*(VLOOKUP(L169,各项系数!$D$1:$F$143,3,0))*10^-3*10^2*$ES169*各项系数!$J$4</f>
        <v>0.0382590381509273</v>
      </c>
      <c r="IP169" s="389">
        <v>1</v>
      </c>
      <c r="IQ169" s="390">
        <f t="shared" si="775"/>
        <v>0.0382590381509273</v>
      </c>
      <c r="IR169" s="367">
        <f>IQ169*(VLOOKUP(L169,各项系数!$D$1:$F$143,2,0))</f>
        <v>0.439978938735664</v>
      </c>
      <c r="IS169" s="406">
        <f>IF($L169&lt;&gt;$IS$9,0,各项系数!$F$76/4*($MZ169^2-$MX169^2)*10^-2*各项系数!$F$12*10^-3*10^2)*$ES169*各项系数!$J$4</f>
        <v>0</v>
      </c>
      <c r="IT169" s="389">
        <v>1</v>
      </c>
      <c r="IU169" s="390">
        <f t="shared" si="776"/>
        <v>0</v>
      </c>
      <c r="IV169" s="367">
        <f>IU169*各项系数!$E$12</f>
        <v>0</v>
      </c>
      <c r="IW169" s="388">
        <f t="shared" si="777"/>
        <v>0.0382590381509273</v>
      </c>
      <c r="IX169" s="388">
        <f t="shared" si="778"/>
        <v>0.439978938735664</v>
      </c>
      <c r="IY169" s="447">
        <f>各项系数!$F$76/4*($NB169^2-$MZ169^2*$EG169-$NA169^2*$EO169)*10^-2</f>
        <v>0.264301858988503</v>
      </c>
      <c r="IZ169" s="366">
        <f t="shared" si="697"/>
        <v>1</v>
      </c>
      <c r="JA169" s="367">
        <f t="shared" si="606"/>
        <v>0.264301858988503</v>
      </c>
      <c r="JB169" s="364">
        <f>IF($DE169&lt;&gt;$JB$9,0,$JA169*各项系数!$F$32*10^-3*10^2)*各项系数!$J$4</f>
        <v>0</v>
      </c>
      <c r="JC169" s="123">
        <v>1</v>
      </c>
      <c r="JD169" s="251">
        <f t="shared" si="779"/>
        <v>0</v>
      </c>
      <c r="JE169" s="339">
        <f>JD169*各项系数!$E$32</f>
        <v>0</v>
      </c>
      <c r="JF169" s="364">
        <f>IF($DE169&lt;&gt;$JF$9,0,$JA169*VLOOKUP($JF$9,各项系数!$D$4:$F$540,2,0)*10^-3*10^2)*各项系数!$J$4</f>
        <v>0.13149017484678</v>
      </c>
      <c r="JG169" s="123">
        <v>1</v>
      </c>
      <c r="JH169" s="251">
        <f t="shared" si="607"/>
        <v>0.13149017484678</v>
      </c>
      <c r="JI169" s="339">
        <f>JH169*VLOOKUP($JF$9,各项系数!$D$4:$F$540,3,0)</f>
        <v>0.157788209816136</v>
      </c>
      <c r="JJ169" s="364">
        <f t="shared" si="780"/>
        <v>0.13149017484678</v>
      </c>
      <c r="JK169" s="251">
        <f t="shared" si="781"/>
        <v>0.157788209816136</v>
      </c>
      <c r="JL169" s="364">
        <f>IF($DF169&lt;&gt;$JL$9,0,各项系数!$F$76/4*($NE169^2-$NC169^2)*10^-2*各项系数!$F$39*10^-3*10^2)*各项系数!$J$4</f>
        <v>0.00114418783005662</v>
      </c>
      <c r="JM169" s="123">
        <v>1</v>
      </c>
      <c r="JN169" s="251">
        <f t="shared" si="782"/>
        <v>0.00114418783005662</v>
      </c>
      <c r="JO169" s="339">
        <f>JN169*各项系数!$E$39</f>
        <v>0.0228837566011324</v>
      </c>
      <c r="JP169" s="364">
        <f>IF($DF169&lt;&gt;$JP$9,0,各项系数!$F$76/4*($NE169^2-$NC169^2)*10^-2*各项系数!$F$36*10^-3*10^2)*各项系数!$J$4</f>
        <v>0</v>
      </c>
      <c r="JQ169" s="123">
        <v>1</v>
      </c>
      <c r="JR169" s="251">
        <f t="shared" si="783"/>
        <v>0</v>
      </c>
      <c r="JS169" s="339">
        <f>JR169*各项系数!$E$36</f>
        <v>0</v>
      </c>
      <c r="JT169" s="364">
        <f>IF($DF169&lt;&gt;$JT$9,0,各项系数!$F$76/4*($NE169^2-$NC169^2)*10^-2*各项系数!$F$40*10^-3*10^2)*各项系数!$J$4</f>
        <v>0</v>
      </c>
      <c r="JU169" s="123">
        <v>1</v>
      </c>
      <c r="JV169" s="251">
        <f t="shared" si="784"/>
        <v>0</v>
      </c>
      <c r="JW169" s="339">
        <f>JV169*各项系数!$E$40</f>
        <v>0</v>
      </c>
      <c r="JX169" s="364">
        <f>IF($DF169&lt;&gt;$JX$9,0,各项系数!$F$76/4*($NE169^2-$NC169^2)*10^-2*各项系数!$F$38*10^-3*10^2)*各项系数!$J$4</f>
        <v>0</v>
      </c>
      <c r="JY169" s="123">
        <v>1</v>
      </c>
      <c r="JZ169" s="251">
        <f t="shared" si="785"/>
        <v>0</v>
      </c>
      <c r="KA169" s="339">
        <f>JZ169*各项系数!$E$38</f>
        <v>0</v>
      </c>
      <c r="KB169" s="364">
        <f>IF($DF169&lt;&gt;$KB$9,0,各项系数!$F$76/4*($NE169^2-$NC169^2)*10^-2*各项系数!$F$41*10^-3*10^2)*各项系数!$J$4</f>
        <v>0</v>
      </c>
      <c r="KC169" s="123">
        <v>1</v>
      </c>
      <c r="KD169" s="251">
        <f t="shared" si="786"/>
        <v>0</v>
      </c>
      <c r="KE169" s="339">
        <f>KD169*各项系数!$E$41</f>
        <v>0</v>
      </c>
      <c r="KF169" s="251">
        <f t="shared" si="787"/>
        <v>0.00114418783005662</v>
      </c>
      <c r="KG169" s="251">
        <f t="shared" si="788"/>
        <v>0.0228837566011324</v>
      </c>
      <c r="KH169" s="302">
        <f>各项系数!$F$76/4*($NG169^2-$NE169^2)*10^-2*各项系数!$F$44*10^-3*10^2*各项系数!$J$4*0.75*$U169</f>
        <v>0.479057407640835</v>
      </c>
      <c r="KI169" s="123">
        <v>1</v>
      </c>
      <c r="KJ169" s="251">
        <f t="shared" si="789"/>
        <v>0.479057407640835</v>
      </c>
      <c r="KK169" s="251">
        <f>ROUND(KJ169*各项系数!$E$43,GT169)</f>
        <v>2.8</v>
      </c>
      <c r="KL169" s="302">
        <f>各项系数!$F$76/4*($NF169^2-$NE169^2)*10^-2*各项系数!$F$46*10^-3*10^2*各项系数!$J$4*PI()/4*R169</f>
        <v>0.0144819203433205</v>
      </c>
      <c r="KM169" s="123">
        <v>1</v>
      </c>
      <c r="KN169" s="251">
        <f t="shared" si="790"/>
        <v>0.0144819203433205</v>
      </c>
      <c r="KO169" s="251">
        <f>KN169*各项系数!$E$46</f>
        <v>0.977529623174137</v>
      </c>
      <c r="KP169" s="302">
        <f>各项系数!$F$76/4*($NH169^2-$NE169^2)*10^-2*(VLOOKUP($KP$9,各项系数!$D$1:$F$143,3,0))*10^-3*10^2*各项系数!$J$4</f>
        <v>0.0624819437428009</v>
      </c>
      <c r="KQ169" s="123">
        <v>1</v>
      </c>
      <c r="KR169" s="251">
        <f t="shared" si="657"/>
        <v>0.0624819437428009</v>
      </c>
      <c r="KS169" s="251">
        <f>KR169*(VLOOKUP($KP$9,各项系数!$D$1:$F$143,2,0))</f>
        <v>1.06219304362762</v>
      </c>
      <c r="KT169" s="302">
        <f>各项系数!$F$76/4*($NI169^2-$NF169^2)*10^-2*(VLOOKUP($KT$9,各项系数!$D$1:$F$143,3,0))*10^-3*10^2*各项系数!$J$4</f>
        <v>0.0633521900405866</v>
      </c>
      <c r="KU169" s="123">
        <v>1</v>
      </c>
      <c r="KV169" s="251">
        <f t="shared" si="658"/>
        <v>0.0633521900405866</v>
      </c>
      <c r="KW169" s="251">
        <f>KV169*(VLOOKUP($KT$9,各项系数!$D$1:$F$143,2,0))</f>
        <v>1.07698723068997</v>
      </c>
      <c r="KX169" s="251">
        <f>各项系数!$F$76/4*($NH169^2-$NE169^2)*10^-2*(VLOOKUP($KX$9,各项系数!$D$1:$F$143,3,0))*10^-3*10^2*各项系数!$J$4</f>
        <v>0.0624819437428009</v>
      </c>
      <c r="KY169" s="479">
        <v>1</v>
      </c>
      <c r="KZ169" s="251">
        <f t="shared" si="659"/>
        <v>0.0624819437428009</v>
      </c>
      <c r="LA169" s="251">
        <f>KZ169*(VLOOKUP($KX$9,各项系数!$D$1:$F$143,2,0))</f>
        <v>1.06219304362762</v>
      </c>
      <c r="LB169" s="251">
        <f>各项系数!$F$76/4*($NI169^2-$NF169^2)*10^-2*(VLOOKUP($LB$9,各项系数!$D$1:$F$143,3,0))*10^-3*10^2*各项系数!$J$4</f>
        <v>0.0633521900405866</v>
      </c>
      <c r="LC169" s="479">
        <v>1</v>
      </c>
      <c r="LD169" s="251">
        <f t="shared" si="660"/>
        <v>0.0633521900405866</v>
      </c>
      <c r="LE169" s="251">
        <f>LD169*(VLOOKUP($LB$9,各项系数!$D$1:$F$143,2,0))</f>
        <v>1.07698723068997</v>
      </c>
      <c r="LF169" s="302">
        <f>各项系数!$F$76/4*($NH169^2-$NE169^2)*10^-2*(VLOOKUP(AN169,各项系数!$D$1:$F$143,3,0))*10^-3*10^2*各项系数!$J$4</f>
        <v>0.0633437636564947</v>
      </c>
      <c r="LG169" s="123">
        <v>1</v>
      </c>
      <c r="LH169" s="251">
        <f t="shared" si="791"/>
        <v>0.0633437636564947</v>
      </c>
      <c r="LI169" s="251">
        <f>LH169*(VLOOKUP(AN169,各项系数!$D$1:$F$143,2,0))</f>
        <v>0.633437636564947</v>
      </c>
      <c r="LJ169" s="302">
        <f>各项系数!$F$76/4*($NI169^2-$NF169^2)*10^-2*(VLOOKUP(AN169,各项系数!$D$1:$F$143,3,0))*10^-3*10^2*各项系数!$J$4</f>
        <v>0.0642260133514912</v>
      </c>
      <c r="LK169" s="123">
        <v>1</v>
      </c>
      <c r="LL169" s="251">
        <f t="shared" si="792"/>
        <v>0.0642260133514912</v>
      </c>
      <c r="LM169" s="251">
        <f>LL169*(VLOOKUP(AN169,各项系数!$D$1:$F$143,2,0))</f>
        <v>0.642260133514912</v>
      </c>
      <c r="LN169" s="251">
        <f>各项系数!$F$76/4*($NH169^2-$NE169^2)*10^-2*(VLOOKUP($LN$9,各项系数!$D$1:$F$143,3,0))*10^-3*10^2*各项系数!$J$4</f>
        <v>0.0633437636564947</v>
      </c>
      <c r="LO169" s="479">
        <v>1</v>
      </c>
      <c r="LP169" s="251">
        <f t="shared" si="793"/>
        <v>0.0633437636564947</v>
      </c>
      <c r="LQ169" s="251">
        <f>LP169*(VLOOKUP($LN$9,各项系数!$D$1:$F$143,2,0))</f>
        <v>0.696781400221442</v>
      </c>
      <c r="LR169" s="251">
        <f>各项系数!$F$76/4*($NI169^2-$NF169^2)*10^-2*(VLOOKUP($LR$9,各项系数!$D$1:$F$143,3,0))*10^-3*10^2*各项系数!$J$4</f>
        <v>0.0642260133514912</v>
      </c>
      <c r="LS169" s="479">
        <v>1</v>
      </c>
      <c r="LT169" s="251">
        <f t="shared" si="794"/>
        <v>0.0642260133514912</v>
      </c>
      <c r="LU169" s="251">
        <f>LT169*(VLOOKUP($LR$9,各项系数!$D$1:$F$143,2,0))</f>
        <v>0.706486146866403</v>
      </c>
      <c r="LV169" s="499">
        <f t="shared" si="661"/>
        <v>8.57849231</v>
      </c>
      <c r="LW169" s="499">
        <f t="shared" si="662"/>
        <v>8.57849231</v>
      </c>
      <c r="LX169" s="499">
        <f t="shared" si="663"/>
        <v>3.30491688901529</v>
      </c>
      <c r="LY169" s="515">
        <f t="shared" si="664"/>
        <v>0</v>
      </c>
      <c r="LZ169" s="516">
        <f t="shared" si="608"/>
        <v>1</v>
      </c>
      <c r="MA169" s="517">
        <f t="shared" si="609"/>
        <v>8.57849231</v>
      </c>
      <c r="MB169" s="517">
        <f t="shared" si="665"/>
        <v>1.34922667</v>
      </c>
      <c r="MC169" s="499">
        <f t="shared" si="666"/>
        <v>0</v>
      </c>
      <c r="MD169" s="499">
        <f t="shared" si="667"/>
        <v>0</v>
      </c>
      <c r="ME169" s="499">
        <f t="shared" si="668"/>
        <v>0</v>
      </c>
      <c r="MF169" s="499">
        <f t="shared" si="669"/>
        <v>0</v>
      </c>
      <c r="MG169" s="516">
        <f t="shared" si="670"/>
        <v>1</v>
      </c>
      <c r="MH169" s="517">
        <f t="shared" si="610"/>
        <v>0</v>
      </c>
      <c r="MI169" s="517">
        <f t="shared" si="671"/>
        <v>0</v>
      </c>
      <c r="MJ169" s="251">
        <f t="shared" si="611"/>
        <v>1.34922667</v>
      </c>
      <c r="MK169" s="251">
        <f t="shared" si="672"/>
        <v>1.34922667</v>
      </c>
      <c r="ML169" s="251">
        <f t="shared" si="795"/>
        <v>0</v>
      </c>
      <c r="MM169" s="251">
        <f t="shared" si="612"/>
        <v>0</v>
      </c>
      <c r="MN169" s="251">
        <f t="shared" si="613"/>
        <v>2.74922667</v>
      </c>
      <c r="MO169" s="251">
        <f t="shared" si="673"/>
        <v>0</v>
      </c>
      <c r="MP169" s="251">
        <f t="shared" si="674"/>
        <v>8.24768001</v>
      </c>
      <c r="MQ169" s="251">
        <f t="shared" si="796"/>
        <v>8.24768001</v>
      </c>
      <c r="MR169" s="314">
        <f t="shared" si="675"/>
        <v>8.24768001</v>
      </c>
      <c r="MS169" s="530">
        <f t="shared" si="614"/>
        <v>8.42368001</v>
      </c>
      <c r="MT169" s="530">
        <f t="shared" si="615"/>
        <v>8.58368001</v>
      </c>
      <c r="MU169" s="530">
        <f t="shared" si="616"/>
        <v>9.62368001</v>
      </c>
      <c r="MV169" s="530">
        <f t="shared" si="617"/>
        <v>10.82368001</v>
      </c>
      <c r="MW169" s="530">
        <f t="shared" si="618"/>
        <v>10.98368001</v>
      </c>
      <c r="MX169" s="326">
        <f t="shared" si="619"/>
        <v>1.94922667</v>
      </c>
      <c r="MY169" s="326">
        <f t="shared" si="620"/>
        <v>0</v>
      </c>
      <c r="MZ169" s="251">
        <f t="shared" si="621"/>
        <v>3.34922667</v>
      </c>
      <c r="NA169" s="251">
        <f t="shared" si="622"/>
        <v>0</v>
      </c>
      <c r="NB169" s="251">
        <f t="shared" si="676"/>
        <v>10.04768001</v>
      </c>
      <c r="NC169" s="326">
        <f t="shared" si="797"/>
        <v>10.04768001</v>
      </c>
      <c r="ND169" s="314">
        <f t="shared" si="677"/>
        <v>10.04768001</v>
      </c>
      <c r="NE169" s="537">
        <f t="shared" si="678"/>
        <v>10.28768001</v>
      </c>
      <c r="NF169" s="530">
        <f t="shared" si="623"/>
        <v>10.44768001</v>
      </c>
      <c r="NG169" s="538">
        <f t="shared" si="624"/>
        <v>11.48768001</v>
      </c>
      <c r="NH169" s="326">
        <f t="shared" si="625"/>
        <v>12.68768001</v>
      </c>
      <c r="NI169" s="530">
        <f t="shared" si="626"/>
        <v>12.84768001</v>
      </c>
      <c r="NK169" s="539">
        <f t="shared" si="627"/>
        <v>0.182074743255516</v>
      </c>
      <c r="NL169" s="539">
        <f t="shared" si="628"/>
        <v>5.93429883271376</v>
      </c>
      <c r="NM169" s="539">
        <f t="shared" si="629"/>
        <v>0.182074743255516</v>
      </c>
      <c r="NN169" s="539">
        <f t="shared" si="630"/>
        <v>5.98736438742354</v>
      </c>
      <c r="NO169" s="539">
        <f t="shared" si="631"/>
        <v>0.324037936847205</v>
      </c>
      <c r="NP169" s="539">
        <f t="shared" si="632"/>
        <v>6.57230790770137</v>
      </c>
      <c r="NQ169" s="539">
        <f t="shared" si="633"/>
        <v>0.324037936847205</v>
      </c>
      <c r="NR169" s="539">
        <f t="shared" si="634"/>
        <v>6.63565167135787</v>
      </c>
      <c r="NS169" s="539">
        <f t="shared" si="635"/>
        <v>0.193952966388476</v>
      </c>
      <c r="NT169" s="539">
        <f t="shared" si="636"/>
        <v>0.193952966388476</v>
      </c>
      <c r="NU169" s="539">
        <f t="shared" si="637"/>
        <v>0.338519857190525</v>
      </c>
      <c r="NV169" s="539">
        <f t="shared" si="638"/>
        <v>0.338519857190525</v>
      </c>
      <c r="NW169">
        <f t="shared" si="639"/>
        <v>0.314421908399991</v>
      </c>
      <c r="NX169">
        <f>各项系数!$M$9*NK169</f>
        <v>0.0546224229766548</v>
      </c>
      <c r="NY169">
        <f t="shared" si="640"/>
        <v>0.193952966388476</v>
      </c>
    </row>
    <row r="170" customHeight="1" spans="1:389">
      <c r="A170" s="85"/>
      <c r="B170" s="86"/>
      <c r="C170" s="218"/>
      <c r="D170" s="123" t="s">
        <v>369</v>
      </c>
      <c r="E170" s="77">
        <f t="shared" si="687"/>
        <v>10.82368001</v>
      </c>
      <c r="F170" s="559">
        <f t="shared" si="798"/>
        <v>134.922667214547</v>
      </c>
      <c r="G170" s="78"/>
      <c r="H170" s="23"/>
      <c r="I170" s="174">
        <v>0</v>
      </c>
      <c r="J170" s="23"/>
      <c r="K170" s="23"/>
      <c r="L170" s="118" t="s">
        <v>469</v>
      </c>
      <c r="M170" s="124">
        <f t="shared" si="582"/>
        <v>0.7</v>
      </c>
      <c r="N170" s="124">
        <f t="shared" si="583"/>
        <v>0</v>
      </c>
      <c r="O170" s="69">
        <f t="shared" si="801"/>
        <v>0.08</v>
      </c>
      <c r="P170" s="120">
        <v>0.1</v>
      </c>
      <c r="Q170" s="162">
        <f t="shared" si="754"/>
        <v>0.1</v>
      </c>
      <c r="R170" s="560">
        <v>0.8</v>
      </c>
      <c r="S170" s="171" t="str">
        <f>各项系数!$D$43</f>
        <v>钢带</v>
      </c>
      <c r="T170" s="123">
        <v>0.2</v>
      </c>
      <c r="U170" s="78">
        <v>4</v>
      </c>
      <c r="V170" s="172"/>
      <c r="W170" s="170">
        <f t="shared" si="799"/>
        <v>1.2</v>
      </c>
      <c r="X170" s="164">
        <f t="shared" si="755"/>
        <v>0.2</v>
      </c>
      <c r="Y170" s="219"/>
      <c r="Z170" s="220"/>
      <c r="AA170" s="217">
        <v>1</v>
      </c>
      <c r="AB170" s="186">
        <f>PI()*EJ170*EJ170/4*EH170*(1-H170)*AA170*各项系数!$F$5*各项系数!$J$4*10^-7</f>
        <v>0.0126469138144438</v>
      </c>
      <c r="AC170" s="186">
        <f t="shared" si="704"/>
        <v>134.922667214547</v>
      </c>
      <c r="AD170" s="186">
        <f t="shared" si="584"/>
        <v>1.42974872274124</v>
      </c>
      <c r="AE170" s="186">
        <f>POWER(4*EU170/PI()/EG170/10^-7/EH170/(1-H170)/各项系数!$F$5/各项系数!$J$4,0.5)</f>
        <v>134.922667214547</v>
      </c>
      <c r="AF170" s="218">
        <v>1</v>
      </c>
      <c r="AG170" s="85">
        <f>IF(EM170=0,0,PI()*ER170*ER170/4*EP170*(1-K170)*(1+AF170)*各项系数!$F$5*各项系数!$J$4*10^-7)</f>
        <v>0</v>
      </c>
      <c r="AH170" s="85">
        <f t="shared" si="705"/>
        <v>0</v>
      </c>
      <c r="AI170" s="85">
        <f t="shared" si="641"/>
        <v>0</v>
      </c>
      <c r="AJ170" s="85">
        <f>IF(OR(EP170="",EP170=0),0,POWER(4*EW170/PI()/EO170/10^-7/EP170/(1-K170)/各项系数!$F$5/各项系数!$J$4,0.5))</f>
        <v>0</v>
      </c>
      <c r="AK170" s="85" t="str">
        <f t="shared" si="585"/>
        <v>√</v>
      </c>
      <c r="AL170" s="85">
        <f t="shared" si="706"/>
        <v>7.18651534318412</v>
      </c>
      <c r="AM170" s="250">
        <f t="shared" si="707"/>
        <v>1.5</v>
      </c>
      <c r="AN170" s="118" t="s">
        <v>486</v>
      </c>
      <c r="AO170" s="259">
        <f>AP170+各项系数!$M$9*$NK170</f>
        <v>7.04560327763149</v>
      </c>
      <c r="AP170" s="259">
        <f>AQ170*(1+$BI170+(VLOOKUP($AM170,$A$12:$B$323,2,0))+各项系数!$J$6+各项系数!$M$5)*(1+$E$2)</f>
        <v>6.98783343507313</v>
      </c>
      <c r="AQ170" s="260">
        <f>AR170+各项系数!$L$9*$NK170</f>
        <v>7.05984384226422</v>
      </c>
      <c r="AR170" s="260">
        <f>AS170*(1+$BJ170+各项系数!$J$5+各项系数!$L$5)</f>
        <v>7.00207399970586</v>
      </c>
      <c r="AS170" s="260">
        <f t="shared" si="642"/>
        <v>6.79813009680181</v>
      </c>
      <c r="AT170" s="259">
        <f>AU170+各项系数!$M$9*$NM170</f>
        <v>7.41179045150994</v>
      </c>
      <c r="AU170" s="259">
        <f>AV170*(1+$BI170+(VLOOKUP($AM170,$A$12:$B$323,2,0))+各项系数!$J$6+各项系数!$M$5)*(1+$E$2)</f>
        <v>7.35402060895158</v>
      </c>
      <c r="AV170" s="260">
        <f>AW170+各项系数!$L$9*$NM170</f>
        <v>7.42980461603514</v>
      </c>
      <c r="AW170" s="260">
        <f>AX170*(1+$BJ170+各项系数!$J$5+各项系数!$L$5)</f>
        <v>7.37203477347678</v>
      </c>
      <c r="AX170" s="260">
        <f t="shared" si="643"/>
        <v>7.15731531405512</v>
      </c>
      <c r="AY170" s="259">
        <f>AZ170+各项系数!$M$9*$NS170</f>
        <v>7.87909830884717</v>
      </c>
      <c r="AZ170" s="259">
        <f>BA170*(1+$BI170+(VLOOKUP($AM170,$A$12:$B$214,2,0))+各项系数!$J$6+各项系数!$M$5)*(1+$E$2)</f>
        <v>7.81776499934892</v>
      </c>
      <c r="BA170" s="260">
        <f>BB170+各项系数!$L$9*$NS170</f>
        <v>7.89832794438161</v>
      </c>
      <c r="BB170" s="260">
        <f>BC170*(1+$BJ170+各项系数!$J$5+各项系数!$L$5)</f>
        <v>7.83699463488336</v>
      </c>
      <c r="BC170" s="262">
        <f t="shared" si="644"/>
        <v>7.60873265522656</v>
      </c>
      <c r="BD170" s="259">
        <f>BE170+各项系数!$M$9*$NS170</f>
        <v>8.25137358496506</v>
      </c>
      <c r="BE170" s="259">
        <f>BF170*(1+$BI170+(VLOOKUP($AM170,$A$12:$B$214,2,0))+各项系数!$J$6+各项系数!$M$5)*(1+$E$2)</f>
        <v>8.19004027546681</v>
      </c>
      <c r="BF170" s="260">
        <f>BG170+各项系数!$L$9*$NS170</f>
        <v>8.27443955896829</v>
      </c>
      <c r="BG170" s="260">
        <f>BH170*(1+$BJ170+各项系数!$J$5+各项系数!$L$5)</f>
        <v>8.21310624947004</v>
      </c>
      <c r="BH170" s="262">
        <f t="shared" si="645"/>
        <v>7.97388956259227</v>
      </c>
      <c r="BI170" s="277"/>
      <c r="BJ170" s="272">
        <f t="shared" si="800"/>
        <v>0.01</v>
      </c>
      <c r="BK170" s="123" t="s">
        <v>514</v>
      </c>
      <c r="BL170" s="259">
        <f>BM170+各项系数!$M$9*$NM170</f>
        <v>7.16751642682345</v>
      </c>
      <c r="BM170" s="259">
        <f>BN170*(1+$CF170+(VLOOKUP($AM170,$A$12:$B$323,2,0))+各项系数!$J$6+各项系数!$M$5)*(1+$E$2)</f>
        <v>7.10974658426509</v>
      </c>
      <c r="BN170" s="260">
        <f>BO170+各项系数!$L$9*$NM170</f>
        <v>7.18301332013042</v>
      </c>
      <c r="BO170" s="260">
        <f>BP170*(1+$CG170+各项系数!$J$5+各项系数!$L$5)</f>
        <v>7.12524347757206</v>
      </c>
      <c r="BP170" s="260">
        <f t="shared" si="646"/>
        <v>6.8511956515116</v>
      </c>
      <c r="BQ170" s="259">
        <f>BR170+各项系数!$M$9*$NM170</f>
        <v>7.48263355848846</v>
      </c>
      <c r="BR170" s="259">
        <f>BS170*(1+$CF170+(VLOOKUP($AM170,$A$12:$B$323,2,0))+各项系数!$J$6+各项系数!$M$5)*(1+$E$2)</f>
        <v>7.4248637159301</v>
      </c>
      <c r="BS170" s="260">
        <f>BT170+各项系数!$L$9*$NM170</f>
        <v>7.50137776917569</v>
      </c>
      <c r="BT170" s="260">
        <f>BU170*(1+$CG170+各项系数!$J$5+各项系数!$L$5)</f>
        <v>7.44360792661733</v>
      </c>
      <c r="BU170" s="260">
        <f t="shared" si="647"/>
        <v>7.15731531405512</v>
      </c>
      <c r="BV170" s="259">
        <f>BW170+各项系数!$M$9*$NT170</f>
        <v>7.95741438964187</v>
      </c>
      <c r="BW170" s="259">
        <f>BX170*(1+$CF170+(VLOOKUP($AM170,$A$12:$B$214,2,0))+各项系数!$J$6+各项系数!$M$5)*(1+$E$2)</f>
        <v>7.89608108014362</v>
      </c>
      <c r="BX170" s="260">
        <f>BY170+各项系数!$L$9*$NT$12</f>
        <v>7.97745108117157</v>
      </c>
      <c r="BY170" s="260">
        <f>BZ170*(1+$CG170+各项系数!$J$5+各项系数!$L$5)</f>
        <v>7.9691876780166</v>
      </c>
      <c r="BZ170" s="262">
        <f t="shared" si="586"/>
        <v>7.66268045963135</v>
      </c>
      <c r="CA170" s="259">
        <f>CB170+各项系数!$M$9*$NT170</f>
        <v>8.27777055055702</v>
      </c>
      <c r="CB170" s="259">
        <f>CC170*(1+$CF170+(VLOOKUP($AM170,$A$12:$B$214,2,0))+各项系数!$J$6+各项系数!$M$5)*(1+$E$2)</f>
        <v>8.21643724105877</v>
      </c>
      <c r="CC170" s="260">
        <f>CD170+各项系数!$L$9*$NT$12</f>
        <v>8.30110854825093</v>
      </c>
      <c r="CD170" s="260">
        <f>CE170*(1+$CG170+各项系数!$J$5+各项系数!$L$5)</f>
        <v>8.29284514509596</v>
      </c>
      <c r="CE170" s="262">
        <f t="shared" si="648"/>
        <v>7.97388956259227</v>
      </c>
      <c r="CF170" s="277">
        <f t="shared" si="753"/>
        <v>0</v>
      </c>
      <c r="CG170" s="277">
        <f t="shared" si="587"/>
        <v>0.02</v>
      </c>
      <c r="CH170" s="123"/>
      <c r="CI170" s="259">
        <f>CJ170+各项系数!$M$9*$NO170</f>
        <v>7.86299300821018</v>
      </c>
      <c r="CJ170" s="259">
        <f>CK170*(1+$DC170+(VLOOKUP($AM170,$A$12:$B$323,2,0))+各项系数!$J$6+各项系数!$M$5)*(1+$E$2)+各项系数!$M$9*$NK170</f>
        <v>7.772527654115</v>
      </c>
      <c r="CK170" s="260">
        <f>CL170+各项系数!$L$9*$NO170</f>
        <v>7.79425925596751</v>
      </c>
      <c r="CL170" s="260">
        <f>CM170*(1+$DD170+各项系数!$J$5+各项系数!$L$5)</f>
        <v>7.70379390187233</v>
      </c>
      <c r="CM170" s="260">
        <f t="shared" si="588"/>
        <v>7.47941155521585</v>
      </c>
      <c r="CN170" s="259">
        <f>CO170+各项系数!$M$9*$NO170</f>
        <v>8.12439445856947</v>
      </c>
      <c r="CO170" s="259">
        <f>CP170*(1+$DC170+(VLOOKUP($AM170,$A$12:$B$323,2,0))+各项系数!$J$6+各项系数!$M$5)*(1+$E$2)+各项系数!$M$9*$NK170</f>
        <v>8.03392910447429</v>
      </c>
      <c r="CP170" s="260">
        <f>CQ170+各项系数!$L$9*$NO170</f>
        <v>8.05835447758732</v>
      </c>
      <c r="CQ170" s="260">
        <f>CR170*(1+$DD170+各项系数!$J$5+各项系数!$L$5)</f>
        <v>7.96788912349215</v>
      </c>
      <c r="CR170" s="260">
        <f t="shared" si="589"/>
        <v>7.73581468300208</v>
      </c>
      <c r="CS170" s="259">
        <f>CT170+各项系数!$M$9*$NU170</f>
        <v>8.81944807153535</v>
      </c>
      <c r="CT170" s="259">
        <f t="shared" si="590"/>
        <v>8.72463814133718</v>
      </c>
      <c r="CU170" s="260">
        <f>CV170+各项系数!$L$9*$NU170</f>
        <v>8.81454651579832</v>
      </c>
      <c r="CV170" s="260">
        <f>CW170*(1+$DD170+各项系数!$J$5+各项系数!$L$5)</f>
        <v>8.71973658560015</v>
      </c>
      <c r="CW170" s="262">
        <f t="shared" si="591"/>
        <v>8.46576367533995</v>
      </c>
      <c r="CX170" s="259">
        <f>CY170+各项系数!$M$9*$NU170</f>
        <v>9.26264973874274</v>
      </c>
      <c r="CY170" s="259">
        <f t="shared" si="592"/>
        <v>9.16783980854457</v>
      </c>
      <c r="CZ170" s="260">
        <f>DA170+各项系数!$L$9*$NU170</f>
        <v>9.26231542588864</v>
      </c>
      <c r="DA170" s="260">
        <f>DB170*(1+$DD170+各项系数!$J$5+各项系数!$L$5)</f>
        <v>9.16750549569046</v>
      </c>
      <c r="DB170" s="262">
        <f t="shared" si="593"/>
        <v>8.90049077251501</v>
      </c>
      <c r="DC170" s="277">
        <f t="shared" si="698"/>
        <v>0</v>
      </c>
      <c r="DD170" s="277">
        <f t="shared" si="594"/>
        <v>0.01</v>
      </c>
      <c r="DE170" s="69" t="s">
        <v>498</v>
      </c>
      <c r="DF170" s="69" t="s">
        <v>513</v>
      </c>
      <c r="DG170" s="259">
        <f>DH170+各项系数!$M$9*$NQ170</f>
        <v>8.00222978734159</v>
      </c>
      <c r="DH170" s="259">
        <f>DI170*(1+$EA170+(VLOOKUP($AM170,$A$12:$B$323,2,0))+各项系数!$J$6+各项系数!$M$5)*(1+$E$2)+各项系数!$M$9*$NK170</f>
        <v>7.91176443324641</v>
      </c>
      <c r="DI170" s="260">
        <f>DJ170+各项系数!$L$9*$NQ170</f>
        <v>7.93493088572242</v>
      </c>
      <c r="DJ170" s="260">
        <f>DK170*(1+$EB170+各项系数!$J$5+各项系数!$L$5)</f>
        <v>7.84446553162724</v>
      </c>
      <c r="DK170" s="260">
        <f t="shared" si="595"/>
        <v>7.54275531887235</v>
      </c>
      <c r="DL170" s="259">
        <f>DM170+各项系数!$M$9*$NQ170</f>
        <v>8.37838160977075</v>
      </c>
      <c r="DM170" s="259">
        <f>DN170*(1+$EA170+(VLOOKUP($AM170,$A$12:$B$323,2,0))+各项系数!$J$6+各项系数!$M$5)*(1+$E$2)+各项系数!$M$9*$NK170</f>
        <v>8.28791625567558</v>
      </c>
      <c r="DN170" s="260">
        <f>DO170+各项系数!$L$9*$NQ170</f>
        <v>8.31495899486484</v>
      </c>
      <c r="DO170" s="260">
        <f>DP170*(1+$EB170+各项系数!$J$5+各项系数!$L$5)</f>
        <v>8.22449364076966</v>
      </c>
      <c r="DP170" s="260">
        <f t="shared" si="596"/>
        <v>7.90816696227852</v>
      </c>
      <c r="DQ170" s="259">
        <f>DR170+各项系数!$M$9*$NV170</f>
        <v>8.96935594472979</v>
      </c>
      <c r="DR170" s="259">
        <f t="shared" si="597"/>
        <v>8.87454601453162</v>
      </c>
      <c r="DS170" s="260">
        <f>DT170+各项系数!$L$9*$NV170</f>
        <v>8.96599920643728</v>
      </c>
      <c r="DT170" s="260">
        <f>DU170*(1+$EB170+各项系数!$J$5+各项系数!$L$5)</f>
        <v>8.8711892762391</v>
      </c>
      <c r="DU170" s="262">
        <f t="shared" si="598"/>
        <v>8.52998968869145</v>
      </c>
      <c r="DV170" s="259">
        <f>DW170+各项系数!$M$9*$NV170</f>
        <v>8.82235086342228</v>
      </c>
      <c r="DW170" s="259">
        <f t="shared" si="599"/>
        <v>8.72754093322411</v>
      </c>
      <c r="DX170" s="260">
        <f>DY170+各项系数!$L$9*$NV170</f>
        <v>8.81747922128118</v>
      </c>
      <c r="DY170" s="260">
        <f>DZ170*(1+$EB170+各项系数!$J$5+各项系数!$L$5)</f>
        <v>8.72266929108301</v>
      </c>
      <c r="DZ170" s="262">
        <f t="shared" si="600"/>
        <v>8.38718201065674</v>
      </c>
      <c r="EA170" s="277">
        <f t="shared" si="802"/>
        <v>0</v>
      </c>
      <c r="EB170" s="277">
        <f t="shared" si="601"/>
        <v>0.02</v>
      </c>
      <c r="EC170" s="302">
        <f t="shared" si="649"/>
        <v>7</v>
      </c>
      <c r="ED170" s="302" t="str">
        <f t="shared" si="756"/>
        <v>7*1.5</v>
      </c>
      <c r="EE170" s="251">
        <f t="shared" si="709"/>
        <v>1.5</v>
      </c>
      <c r="EF170" s="251">
        <f>LOOKUP(EH170,{1,7,10,14,19,24,30,37,48,61},{1,"1+6","2+8","4+10","1+6+12","2+8+14","4+10+16","1+6+12+18","3+9+15+21","1+6+12+18+24"})</f>
        <v>1</v>
      </c>
      <c r="EG170" s="250">
        <f t="shared" si="602"/>
        <v>7</v>
      </c>
      <c r="EH170" s="260">
        <f>VLOOKUP(EE170,各项系数!$B$87:$C$124,2,0)</f>
        <v>1</v>
      </c>
      <c r="EI170" s="250">
        <f>IF(EH170=0,0,VLOOKUP(EH170,各项系数!$D$142:$E$195,2,0))*1</f>
        <v>1</v>
      </c>
      <c r="EJ170" s="305">
        <f t="shared" si="650"/>
        <v>134.922667214547</v>
      </c>
      <c r="EK170" s="251">
        <f t="shared" si="689"/>
        <v>0</v>
      </c>
      <c r="EL170" s="251">
        <f t="shared" si="603"/>
        <v>0</v>
      </c>
      <c r="EM170" s="251">
        <f t="shared" si="690"/>
        <v>0</v>
      </c>
      <c r="EN170" s="251">
        <f>IF(EP170=0,0,LOOKUP(EP170,{1,7,10,14,19,24,30,37,48,61},{1,"1+6","2+8","4+10","1+6+12","2+8+14","4+10+16","1+6+12+18","3+9+15+21","1+6+12+18+24"}))</f>
        <v>0</v>
      </c>
      <c r="EO170" s="251">
        <f t="shared" si="691"/>
        <v>0</v>
      </c>
      <c r="EP170" s="251">
        <f>IF(EM170=0,0,IF(EM170&lt;10,1,IF(AND(EM170&gt;=10,EM170&lt;=35),7,LOOKUP(EM170,{50,70,95,120,150,185,240,300},{10,14,19,24,30,37,48,61})*1)))</f>
        <v>0</v>
      </c>
      <c r="EQ170" s="251">
        <f>IF(EP170=0,0,VLOOKUP(EP170,各项系数!$D$142:$E$195,2,0))*1</f>
        <v>0</v>
      </c>
      <c r="ER170" s="69">
        <f t="shared" si="710"/>
        <v>0</v>
      </c>
      <c r="ES170" s="566">
        <f t="shared" si="692"/>
        <v>7</v>
      </c>
      <c r="ET170" s="251">
        <f>VLOOKUP(ES170,各项系数!$D$142:$E$195,2,0)*1</f>
        <v>3</v>
      </c>
      <c r="EU170" s="311">
        <f>((各项系数!$F$76/4*$EJ170^2*$EG170*$EH170*1*10^-7)*(1-$H170)*AA170)*(VLOOKUP($EY$9,各项系数!$D$4:$F$143,3,0))*各项系数!$J$4</f>
        <v>0.0885283967011065</v>
      </c>
      <c r="EV170" s="312">
        <f>EU170*(VLOOKUP($EY$9,各项系数!$D$4:$F$143,2,0))</f>
        <v>5.79860998392247</v>
      </c>
      <c r="EW170" s="324">
        <f>(IF($EO170=0,0,(各项系数!$F$76/4*$ER170^2*$EO170*$EP170*1*10^-7))*(1-$K170)*$AF170)*(VLOOKUP($EY$9,各项系数!$D$4:$F$143,3,0))*各项系数!$J$4</f>
        <v>0</v>
      </c>
      <c r="EX170" s="325">
        <f>EW170*(VLOOKUP($EY$9,各项系数!$D$4:$F$143,2,0))</f>
        <v>0</v>
      </c>
      <c r="EY170" s="251">
        <f>((各项系数!$F$76/4*$EJ170^2*$EG170*$EH170*1*10^-7)*(1-$H170)*AA170+IF($EO170=0,0,(各项系数!$F$76/4*$ER170^2*$EO170*$EP170*1*10^-7))*(1-$K170)*$AF170)*(VLOOKUP($EY$9,各项系数!$D$4:$F$143,3,0))*各项系数!$J$4</f>
        <v>0.0885283967011065</v>
      </c>
      <c r="EZ170" s="123">
        <v>1</v>
      </c>
      <c r="FA170" s="251">
        <f t="shared" si="757"/>
        <v>0.0885283967011065</v>
      </c>
      <c r="FB170" s="326">
        <f>FA170*(VLOOKUP($EY$9,各项系数!$D$4:$F$143,2,0))</f>
        <v>5.79860998392247</v>
      </c>
      <c r="FC170" s="327"/>
      <c r="FD170" s="302">
        <f>各项系数!$F$76/4*($MN170^2-MK170^2)*10^-2*(VLOOKUP(L170,各项系数!$D$1:$F$143,3,0))*10^-3*10^2*$EG170*各项系数!$J$4</f>
        <v>0.0345264334209144</v>
      </c>
      <c r="FE170" s="339">
        <f>FD170*VLOOKUP(L170,各项系数!$D$1:$F$143,2,0)</f>
        <v>0.397053984340516</v>
      </c>
      <c r="FF170" s="250">
        <f>各项系数!$F$76/4*($MO170^2-ML170^2)*10^-2*(VLOOKUP(L170,各项系数!$D$1:$F$143,3,0))*10^-3*10^2*$EO170*各项系数!$J$4</f>
        <v>0</v>
      </c>
      <c r="FG170" s="339">
        <f>FF170*VLOOKUP(L170,各项系数!$D$1:$F$143,2,0)</f>
        <v>0</v>
      </c>
      <c r="FH170" s="302">
        <f t="shared" si="651"/>
        <v>0.0345264334209144</v>
      </c>
      <c r="FI170" s="123">
        <v>1</v>
      </c>
      <c r="FJ170" s="251">
        <f t="shared" si="758"/>
        <v>0.0345264334209144</v>
      </c>
      <c r="FK170" s="339">
        <f>FJ170*VLOOKUP(L170,各项系数!$D$1:$F$143,2,0)</f>
        <v>0.397053984340516</v>
      </c>
      <c r="FL170" s="302"/>
      <c r="FM170" s="123"/>
      <c r="FN170" s="251"/>
      <c r="FO170" s="339"/>
      <c r="FP170" s="364">
        <f t="shared" si="759"/>
        <v>0.0345264334209144</v>
      </c>
      <c r="FQ170" s="364">
        <f t="shared" si="760"/>
        <v>0.397053984340516</v>
      </c>
      <c r="FR170" s="365">
        <f>各项系数!$F$76/4*($MQ170^2-$MN170^2*$EG170-$MO170^2*$EO170)*10^-2</f>
        <v>0.118724670692056</v>
      </c>
      <c r="FS170" s="366">
        <f t="shared" si="652"/>
        <v>1</v>
      </c>
      <c r="FT170" s="367">
        <f t="shared" si="604"/>
        <v>0.118724670692056</v>
      </c>
      <c r="FU170" s="388">
        <f>$FT170*(VLOOKUP($FT$9,各项系数!$D$1:$F$143,3,0))*10^-3*10^2*各项系数!$J$55</f>
        <v>0.0141757256806315</v>
      </c>
      <c r="FV170" s="389">
        <v>1</v>
      </c>
      <c r="FW170" s="390">
        <f t="shared" si="761"/>
        <v>0.0141757256806315</v>
      </c>
      <c r="FX170" s="367">
        <f>FW170*(VLOOKUP($FT$9,各项系数!$D$1:$F$143,2,0))</f>
        <v>0.0425271770418945</v>
      </c>
      <c r="FY170" s="388">
        <f>IF($BK170&lt;&gt;$FY$9,0,各项系数!$F$76/4*($MS170^2-$MQ170^2)*10^-2*(VLOOKUP($FY$9,各项系数!$D$1:$F$143,3,0))*10^-3*10^2)*各项系数!$J$4</f>
        <v>0</v>
      </c>
      <c r="FZ170" s="389">
        <v>1</v>
      </c>
      <c r="GA170" s="390">
        <f t="shared" si="762"/>
        <v>0</v>
      </c>
      <c r="GB170" s="367">
        <f>GA170*(VLOOKUP($FY$9,各项系数!$D$1:$F$143,2,0))</f>
        <v>0</v>
      </c>
      <c r="GC170" s="388">
        <f>IF($BK170&lt;&gt;$GC$9,0,各项系数!$F$76/4*($MS170^2-$MQ170^2)*10^-2*(VLOOKUP($GC$9,各项系数!$D$1:$F$143,3,0))*10^-3*10^2)*各项系数!$J$4</f>
        <v>0.00227003134876444</v>
      </c>
      <c r="GD170" s="389">
        <v>1</v>
      </c>
      <c r="GE170" s="390">
        <f t="shared" si="763"/>
        <v>0.00227003134876444</v>
      </c>
      <c r="GF170" s="367">
        <f>GE170*(VLOOKUP($GC$9,各项系数!$D$1:$F$143,2,0))</f>
        <v>0.0292834043990613</v>
      </c>
      <c r="GG170" s="388">
        <f>IF($BK170&lt;&gt;$GG$9,0,各项系数!$F$76/4*($MS170^2-$MQ170^2)*10^-2*(VLOOKUP($GG$9,各项系数!$D$1:$F$143,3,0))*10^-3*10^2)*各项系数!$J$4</f>
        <v>0</v>
      </c>
      <c r="GH170" s="389">
        <v>1</v>
      </c>
      <c r="GI170" s="390">
        <f t="shared" si="764"/>
        <v>0</v>
      </c>
      <c r="GJ170" s="367">
        <f>GI170*(VLOOKUP($GG$9,各项系数!$D$1:$F$143,2,0))</f>
        <v>0</v>
      </c>
      <c r="GK170" s="388">
        <f>IF($BK170&lt;&gt;$GK$9,0,各项系数!$F$76/4*($MS170^2-$MQ170^2)*10^-2*(VLOOKUP($GK$9,各项系数!$D$1:$F$143,3,0))*10^-3*10^2)*各项系数!$J$4</f>
        <v>0</v>
      </c>
      <c r="GL170" s="389">
        <v>1</v>
      </c>
      <c r="GM170" s="390">
        <f t="shared" si="765"/>
        <v>0</v>
      </c>
      <c r="GN170" s="367">
        <f>GM170*(VLOOKUP($GK$9,各项系数!$D$1:$F$143,2,0))</f>
        <v>0</v>
      </c>
      <c r="GO170" s="390">
        <f t="shared" si="766"/>
        <v>0.00227003134876444</v>
      </c>
      <c r="GP170" s="390">
        <f t="shared" si="767"/>
        <v>0.0292834043990613</v>
      </c>
      <c r="GQ170" s="406">
        <f>各项系数!$F$76/4*($MU170^2-$MS170^2)*10^-2*(VLOOKUP($S170,各项系数!$D$1:$F$143,3,0))*10^-3*10^2*各项系数!$J$4</f>
        <v>0.132347165144476</v>
      </c>
      <c r="GR170" s="389">
        <v>1</v>
      </c>
      <c r="GS170" s="390">
        <f t="shared" si="768"/>
        <v>0.132347165144476</v>
      </c>
      <c r="GT170" s="390">
        <f t="shared" si="696"/>
        <v>1</v>
      </c>
      <c r="GU170" s="390">
        <f>ROUND($GS170*(VLOOKUP($S170,各项系数!$D$1:$F$143,2,0))+$E$3*GS170,GT170)</f>
        <v>0.8</v>
      </c>
      <c r="GV170" s="406">
        <f>各项系数!$F$76/4*($MT170^2-$MS170^2)*10^-2*(VLOOKUP($GV$9,各项系数!$D$1:$F$143,3,0))*10^-3*10^2*各项系数!$J$4*PI()/4*R170</f>
        <v>0.0118782231329598</v>
      </c>
      <c r="GW170" s="389">
        <v>1</v>
      </c>
      <c r="GX170" s="390">
        <f t="shared" si="769"/>
        <v>0.0118782231329598</v>
      </c>
      <c r="GY170" s="390">
        <f>$GX170*(VLOOKUP($GV$9,各项系数!$D$1:$F$143,2,0))</f>
        <v>0.80178006147479</v>
      </c>
      <c r="GZ170" s="406">
        <f>各项系数!$F$76/4*($MV170^2-$MS170^2)*10^-2*(VLOOKUP($GZ$9,各项系数!$D$1:$F$143,3,0))*10^-3*10^2*各项系数!$J$4</f>
        <v>0.0523435743735987</v>
      </c>
      <c r="HA170" s="389">
        <v>1</v>
      </c>
      <c r="HB170" s="390">
        <f t="shared" si="653"/>
        <v>0.0523435743735987</v>
      </c>
      <c r="HC170" s="390">
        <f>HB170*(VLOOKUP($GZ$9,各项系数!$D$1:$F$143,2,0))</f>
        <v>0.889840764351178</v>
      </c>
      <c r="HD170" s="406">
        <f>各项系数!$F$76/4*($MW170^2-$MT170^2)*10^-2*(VLOOKUP($HD$9,各项系数!$D$1:$F$143,3,0))*10^-3*10^2*各项系数!$J$4</f>
        <v>0.0532138206713843</v>
      </c>
      <c r="HE170" s="389">
        <v>1</v>
      </c>
      <c r="HF170" s="390">
        <f t="shared" si="654"/>
        <v>0.0532138206713843</v>
      </c>
      <c r="HG170" s="390">
        <f>HF170*(VLOOKUP($HD$9,各项系数!$D$1:$F$143,2,0))</f>
        <v>0.904634951413533</v>
      </c>
      <c r="HH170" s="406">
        <f>各项系数!$F$76/4*($MV170^2-$MS170^2)*10^-2*(VLOOKUP($HH$9,各项系数!$D$1:$F$143,3,0))*10^-3*10^2*各项系数!$J$4</f>
        <v>0.0523435743735987</v>
      </c>
      <c r="HI170" s="420">
        <v>1</v>
      </c>
      <c r="HJ170" s="390">
        <f t="shared" si="655"/>
        <v>0.0523435743735987</v>
      </c>
      <c r="HK170" s="390">
        <f>HJ170*(VLOOKUP($HH$9,各项系数!$D$1:$F$143,2,0))</f>
        <v>0.889840764351178</v>
      </c>
      <c r="HL170" s="406">
        <f>各项系数!$F$76/4*($MW170^2-$MT170^2)*10^-2*(VLOOKUP($HL$9,各项系数!$D$1:$F$143,3,0))*10^-3*10^2*各项系数!$J$4</f>
        <v>0.0532138206713843</v>
      </c>
      <c r="HM170" s="420">
        <v>1</v>
      </c>
      <c r="HN170" s="390">
        <f t="shared" si="605"/>
        <v>0.0532138206713843</v>
      </c>
      <c r="HO170" s="390">
        <f>HN170*(VLOOKUP($HL$9,各项系数!$D$1:$F$143,2,0))</f>
        <v>0.904634951413533</v>
      </c>
      <c r="HP170" s="406">
        <f>各项系数!$F$76/4*($MV170^2-$MS170^2)*10^-2*(VLOOKUP(AN170,各项系数!$D$1:$F$143,3,0))*10^-3*10^2*各项系数!$J$4</f>
        <v>0.0530655547097863</v>
      </c>
      <c r="HQ170" s="389">
        <v>1</v>
      </c>
      <c r="HR170" s="390">
        <f t="shared" si="770"/>
        <v>0.0530655547097863</v>
      </c>
      <c r="HS170" s="390">
        <f>HR170*(VLOOKUP(AN170,各项系数!$D$1:$F$143,2,0))</f>
        <v>0.530655547097863</v>
      </c>
      <c r="HT170" s="406">
        <f>各项系数!$F$76/4*($MW170^2-$MT170^2)*10^-2*(VLOOKUP(AN170,各项系数!$D$1:$F$143,3,0))*10^-3*10^2*各项系数!$J$4</f>
        <v>0.0539478044047827</v>
      </c>
      <c r="HU170" s="389">
        <v>1</v>
      </c>
      <c r="HV170" s="390">
        <f t="shared" si="771"/>
        <v>0.0539478044047827</v>
      </c>
      <c r="HW170" s="390">
        <f>HV170*(VLOOKUP(AN170,各项系数!$D$1:$F$143,2,0))</f>
        <v>0.539478044047827</v>
      </c>
      <c r="HX170" s="406">
        <f>各项系数!$F$76/4*($MV170^2-$MS170^2)*10^-2*(VLOOKUP($HX$9,各项系数!$D$1:$F$143,3,0))*10^-3*10^2*各项系数!$J$4</f>
        <v>0.0530655547097863</v>
      </c>
      <c r="HY170" s="420">
        <v>1</v>
      </c>
      <c r="HZ170" s="390">
        <f t="shared" si="772"/>
        <v>0.0530655547097863</v>
      </c>
      <c r="IA170" s="390">
        <f>HZ170*(VLOOKUP($HX$9,各项系数!$D$1:$F$143,2,0))</f>
        <v>0.583721101807649</v>
      </c>
      <c r="IB170" s="406">
        <f>各项系数!$F$76/4*($MW170^2-$MT170^2)*10^-2*(VLOOKUP($IB$9,各项系数!$D$1:$F$143,3,0))*10^-3*10^2*各项系数!$J$4</f>
        <v>0.0539478044047827</v>
      </c>
      <c r="IC170" s="420">
        <v>1</v>
      </c>
      <c r="ID170" s="390">
        <f t="shared" si="773"/>
        <v>0.0539478044047827</v>
      </c>
      <c r="IE170" s="390">
        <f>ID170*(VLOOKUP($IB$9,各项系数!$D$1:$F$143,2,0))</f>
        <v>0.59342584845261</v>
      </c>
      <c r="IF170" s="429"/>
      <c r="IG170" s="406">
        <f t="shared" si="656"/>
        <v>0.0162391710556639</v>
      </c>
      <c r="IH170" s="389">
        <v>1</v>
      </c>
      <c r="II170" s="390">
        <f t="shared" si="774"/>
        <v>0.0162391710556639</v>
      </c>
      <c r="IJ170" s="390">
        <f>II170*(VLOOKUP($IG$8,各项系数!$D$1:$F$143,2,0))</f>
        <v>0.405979276391598</v>
      </c>
      <c r="IK170" s="406">
        <f>(各项系数!$F$76/4*($MX170^2-$MK170^2)*$EG170)*10^-2*(VLOOKUP($IG$8,各项系数!$D$1:$F$143,3,0))*10^-3*10^2*各项系数!$J$4</f>
        <v>0.0162391710556639</v>
      </c>
      <c r="IL170" s="389">
        <f>IK170*(VLOOKUP($IG$8,各项系数!$D$1:$F$143,2,0))</f>
        <v>0.405979276391598</v>
      </c>
      <c r="IM170" s="390">
        <f>(各项系数!$F$76/4*(($MM170+3*$X170)^2-MM170^2)*$EO170)*10^-2*(VLOOKUP($IG$8,各项系数!$D$1:$F$143,3,0))*10^-3*10^2*各项系数!$J$4</f>
        <v>0</v>
      </c>
      <c r="IN170" s="389">
        <f>IM170*(VLOOKUP($IG$8,各项系数!$D$1:$F$143,2,0))</f>
        <v>0</v>
      </c>
      <c r="IO170" s="406">
        <f>各项系数!$F$76/4*($MZ170^2-$MX170^2)*10^-2*(VLOOKUP(L170,各项系数!$D$1:$F$143,3,0))*10^-3*10^2*$ES170*各项系数!$J$4</f>
        <v>0.0446355445094152</v>
      </c>
      <c r="IP170" s="389">
        <v>1</v>
      </c>
      <c r="IQ170" s="390">
        <f t="shared" si="775"/>
        <v>0.0446355445094152</v>
      </c>
      <c r="IR170" s="367">
        <f>IQ170*(VLOOKUP(L170,各项系数!$D$1:$F$143,2,0))</f>
        <v>0.513308761858275</v>
      </c>
      <c r="IS170" s="406">
        <f>IF($L170&lt;&gt;$IS$9,0,各项系数!$F$76/4*($MZ170^2-$MX170^2)*10^-2*各项系数!$F$12*10^-3*10^2)*$ES170*各项系数!$J$4</f>
        <v>0</v>
      </c>
      <c r="IT170" s="389">
        <v>1</v>
      </c>
      <c r="IU170" s="390">
        <f t="shared" si="776"/>
        <v>0</v>
      </c>
      <c r="IV170" s="367">
        <f>IU170*各项系数!$E$12</f>
        <v>0</v>
      </c>
      <c r="IW170" s="388">
        <f t="shared" si="777"/>
        <v>0.0446355445094152</v>
      </c>
      <c r="IX170" s="388">
        <f t="shared" si="778"/>
        <v>0.513308761858275</v>
      </c>
      <c r="IY170" s="447">
        <f>各项系数!$F$76/4*($NB170^2-$MZ170^2*$EG170-$NA170^2*$EO170)*10^-2</f>
        <v>0.176201239325668</v>
      </c>
      <c r="IZ170" s="366">
        <f t="shared" si="697"/>
        <v>1</v>
      </c>
      <c r="JA170" s="367">
        <f t="shared" si="606"/>
        <v>0.176201239325668</v>
      </c>
      <c r="JB170" s="364">
        <f>IF($DE170&lt;&gt;$JB$9,0,$JA170*各项系数!$F$32*10^-3*10^2)*各项系数!$J$4</f>
        <v>0</v>
      </c>
      <c r="JC170" s="123">
        <v>1</v>
      </c>
      <c r="JD170" s="251">
        <f t="shared" si="779"/>
        <v>0</v>
      </c>
      <c r="JE170" s="339">
        <f>JD170*各项系数!$E$32</f>
        <v>0</v>
      </c>
      <c r="JF170" s="364">
        <f>IF($DE170&lt;&gt;$JF$9,0,$JA170*VLOOKUP($JF$9,各项系数!$D$4:$F$540,2,0)*10^-3*10^2)*各项系数!$J$4</f>
        <v>0.0876601165645201</v>
      </c>
      <c r="JG170" s="123">
        <v>1</v>
      </c>
      <c r="JH170" s="251">
        <f t="shared" si="607"/>
        <v>0.0876601165645201</v>
      </c>
      <c r="JI170" s="339">
        <f>JH170*VLOOKUP($JF$9,各项系数!$D$4:$F$540,3,0)</f>
        <v>0.105192139877424</v>
      </c>
      <c r="JJ170" s="364">
        <f t="shared" si="780"/>
        <v>0.0876601165645201</v>
      </c>
      <c r="JK170" s="251">
        <f t="shared" si="781"/>
        <v>0.105192139877424</v>
      </c>
      <c r="JL170" s="364">
        <f>IF($DF170&lt;&gt;$JL$9,0,各项系数!$F$76/4*($NE170^2-$NC170^2)*10^-2*各项系数!$F$39*10^-3*10^2)*各项系数!$J$4</f>
        <v>0.00114418783005662</v>
      </c>
      <c r="JM170" s="123">
        <v>1</v>
      </c>
      <c r="JN170" s="251">
        <f t="shared" si="782"/>
        <v>0.00114418783005662</v>
      </c>
      <c r="JO170" s="339">
        <f>JN170*各项系数!$E$39</f>
        <v>0.0228837566011324</v>
      </c>
      <c r="JP170" s="364">
        <f>IF($DF170&lt;&gt;$JP$9,0,各项系数!$F$76/4*($NE170^2-$NC170^2)*10^-2*各项系数!$F$36*10^-3*10^2)*各项系数!$J$4</f>
        <v>0</v>
      </c>
      <c r="JQ170" s="123">
        <v>1</v>
      </c>
      <c r="JR170" s="251">
        <f t="shared" si="783"/>
        <v>0</v>
      </c>
      <c r="JS170" s="339">
        <f>JR170*各项系数!$E$36</f>
        <v>0</v>
      </c>
      <c r="JT170" s="364">
        <f>IF($DF170&lt;&gt;$JT$9,0,各项系数!$F$76/4*($NE170^2-$NC170^2)*10^-2*各项系数!$F$40*10^-3*10^2)*各项系数!$J$4</f>
        <v>0</v>
      </c>
      <c r="JU170" s="123">
        <v>1</v>
      </c>
      <c r="JV170" s="251">
        <f t="shared" si="784"/>
        <v>0</v>
      </c>
      <c r="JW170" s="339">
        <f>JV170*各项系数!$E$40</f>
        <v>0</v>
      </c>
      <c r="JX170" s="364">
        <f>IF($DF170&lt;&gt;$JX$9,0,各项系数!$F$76/4*($NE170^2-$NC170^2)*10^-2*各项系数!$F$38*10^-3*10^2)*各项系数!$J$4</f>
        <v>0</v>
      </c>
      <c r="JY170" s="123">
        <v>1</v>
      </c>
      <c r="JZ170" s="251">
        <f t="shared" si="785"/>
        <v>0</v>
      </c>
      <c r="KA170" s="339">
        <f>JZ170*各项系数!$E$38</f>
        <v>0</v>
      </c>
      <c r="KB170" s="364">
        <f>IF($DF170&lt;&gt;$KB$9,0,各项系数!$F$76/4*($NE170^2-$NC170^2)*10^-2*各项系数!$F$41*10^-3*10^2)*各项系数!$J$4</f>
        <v>0</v>
      </c>
      <c r="KC170" s="123">
        <v>1</v>
      </c>
      <c r="KD170" s="251">
        <f t="shared" si="786"/>
        <v>0</v>
      </c>
      <c r="KE170" s="339">
        <f>KD170*各项系数!$E$41</f>
        <v>0</v>
      </c>
      <c r="KF170" s="251">
        <f t="shared" si="787"/>
        <v>0.00114418783005662</v>
      </c>
      <c r="KG170" s="251">
        <f t="shared" si="788"/>
        <v>0.0228837566011324</v>
      </c>
      <c r="KH170" s="302">
        <f>各项系数!$F$76/4*($NG170^2-$NE170^2)*10^-2*各项系数!$F$44*10^-3*10^2*各项系数!$J$4*0.75*$U170</f>
        <v>0.479057407640835</v>
      </c>
      <c r="KI170" s="123">
        <v>1</v>
      </c>
      <c r="KJ170" s="251">
        <f t="shared" si="789"/>
        <v>0.479057407640835</v>
      </c>
      <c r="KK170" s="251">
        <f>ROUND(KJ170*各项系数!$E$43,GT170)</f>
        <v>2.8</v>
      </c>
      <c r="KL170" s="302">
        <f>各项系数!$F$76/4*($NF170^2-$NE170^2)*10^-2*各项系数!$F$46*10^-3*10^2*各项系数!$J$4*PI()/4*R170</f>
        <v>0.0144819203433205</v>
      </c>
      <c r="KM170" s="123">
        <v>1</v>
      </c>
      <c r="KN170" s="251">
        <f t="shared" si="790"/>
        <v>0.0144819203433205</v>
      </c>
      <c r="KO170" s="251">
        <f>KN170*各项系数!$E$46</f>
        <v>0.977529623174137</v>
      </c>
      <c r="KP170" s="302">
        <f>各项系数!$F$76/4*($NH170^2-$NE170^2)*10^-2*(VLOOKUP($KP$9,各项系数!$D$1:$F$143,3,0))*10^-3*10^2*各项系数!$J$4</f>
        <v>0.0624819437428009</v>
      </c>
      <c r="KQ170" s="123">
        <v>1</v>
      </c>
      <c r="KR170" s="251">
        <f t="shared" si="657"/>
        <v>0.0624819437428009</v>
      </c>
      <c r="KS170" s="251">
        <f>KR170*(VLOOKUP($KP$9,各项系数!$D$1:$F$143,2,0))</f>
        <v>1.06219304362762</v>
      </c>
      <c r="KT170" s="302">
        <f>各项系数!$F$76/4*($NI170^2-$NF170^2)*10^-2*(VLOOKUP($KT$9,各项系数!$D$1:$F$143,3,0))*10^-3*10^2*各项系数!$J$4</f>
        <v>0.0633521900405866</v>
      </c>
      <c r="KU170" s="123">
        <v>1</v>
      </c>
      <c r="KV170" s="251">
        <f t="shared" si="658"/>
        <v>0.0633521900405866</v>
      </c>
      <c r="KW170" s="251">
        <f>KV170*(VLOOKUP($KT$9,各项系数!$D$1:$F$143,2,0))</f>
        <v>1.07698723068997</v>
      </c>
      <c r="KX170" s="251">
        <f>各项系数!$F$76/4*($NH170^2-$NE170^2)*10^-2*(VLOOKUP($KX$9,各项系数!$D$1:$F$143,3,0))*10^-3*10^2*各项系数!$J$4</f>
        <v>0.0624819437428009</v>
      </c>
      <c r="KY170" s="479">
        <v>1</v>
      </c>
      <c r="KZ170" s="251">
        <f t="shared" si="659"/>
        <v>0.0624819437428009</v>
      </c>
      <c r="LA170" s="251">
        <f>KZ170*(VLOOKUP($KX$9,各项系数!$D$1:$F$143,2,0))</f>
        <v>1.06219304362762</v>
      </c>
      <c r="LB170" s="251">
        <f>各项系数!$F$76/4*($NI170^2-$NF170^2)*10^-2*(VLOOKUP($LB$9,各项系数!$D$1:$F$143,3,0))*10^-3*10^2*各项系数!$J$4</f>
        <v>0.0633521900405866</v>
      </c>
      <c r="LC170" s="479">
        <v>1</v>
      </c>
      <c r="LD170" s="251">
        <f t="shared" si="660"/>
        <v>0.0633521900405866</v>
      </c>
      <c r="LE170" s="251">
        <f>LD170*(VLOOKUP($LB$9,各项系数!$D$1:$F$143,2,0))</f>
        <v>1.07698723068997</v>
      </c>
      <c r="LF170" s="302">
        <f>各项系数!$F$76/4*($NH170^2-$NE170^2)*10^-2*(VLOOKUP(AN170,各项系数!$D$1:$F$143,3,0))*10^-3*10^2*各项系数!$J$4</f>
        <v>0.0633437636564947</v>
      </c>
      <c r="LG170" s="123">
        <v>1</v>
      </c>
      <c r="LH170" s="251">
        <f t="shared" si="791"/>
        <v>0.0633437636564947</v>
      </c>
      <c r="LI170" s="251">
        <f>LH170*(VLOOKUP(AN170,各项系数!$D$1:$F$143,2,0))</f>
        <v>0.633437636564947</v>
      </c>
      <c r="LJ170" s="302">
        <f>各项系数!$F$76/4*($NI170^2-$NF170^2)*10^-2*(VLOOKUP(AN170,各项系数!$D$1:$F$143,3,0))*10^-3*10^2*各项系数!$J$4</f>
        <v>0.0642260133514912</v>
      </c>
      <c r="LK170" s="123">
        <v>1</v>
      </c>
      <c r="LL170" s="251">
        <f t="shared" si="792"/>
        <v>0.0642260133514912</v>
      </c>
      <c r="LM170" s="251">
        <f>LL170*(VLOOKUP(AN170,各项系数!$D$1:$F$143,2,0))</f>
        <v>0.642260133514912</v>
      </c>
      <c r="LN170" s="251">
        <f>各项系数!$F$76/4*($NH170^2-$NE170^2)*10^-2*(VLOOKUP($LN$9,各项系数!$D$1:$F$143,3,0))*10^-3*10^2*各项系数!$J$4</f>
        <v>0.0633437636564947</v>
      </c>
      <c r="LO170" s="479">
        <v>1</v>
      </c>
      <c r="LP170" s="251">
        <f t="shared" si="793"/>
        <v>0.0633437636564947</v>
      </c>
      <c r="LQ170" s="251">
        <f>LP170*(VLOOKUP($LN$9,各项系数!$D$1:$F$143,2,0))</f>
        <v>0.696781400221442</v>
      </c>
      <c r="LR170" s="251">
        <f>各项系数!$F$76/4*($NI170^2-$NF170^2)*10^-2*(VLOOKUP($LR$9,各项系数!$D$1:$F$143,3,0))*10^-3*10^2*各项系数!$J$4</f>
        <v>0.0642260133514912</v>
      </c>
      <c r="LS170" s="479">
        <v>1</v>
      </c>
      <c r="LT170" s="251">
        <f t="shared" si="794"/>
        <v>0.0642260133514912</v>
      </c>
      <c r="LU170" s="251">
        <f>LT170*(VLOOKUP($LR$9,各项系数!$D$1:$F$143,2,0))</f>
        <v>0.706486146866403</v>
      </c>
      <c r="LV170" s="499">
        <f t="shared" si="661"/>
        <v>10.00824103</v>
      </c>
      <c r="LW170" s="499">
        <f t="shared" si="662"/>
        <v>10.00824103</v>
      </c>
      <c r="LX170" s="499">
        <f t="shared" si="663"/>
        <v>3.56971823154671</v>
      </c>
      <c r="LY170" s="515">
        <f t="shared" si="664"/>
        <v>0</v>
      </c>
      <c r="LZ170" s="516">
        <f t="shared" si="608"/>
        <v>1</v>
      </c>
      <c r="MA170" s="517">
        <f t="shared" si="609"/>
        <v>10.00824103</v>
      </c>
      <c r="MB170" s="517">
        <f t="shared" si="665"/>
        <v>1.34922667</v>
      </c>
      <c r="MC170" s="499">
        <f t="shared" si="666"/>
        <v>0</v>
      </c>
      <c r="MD170" s="499">
        <f t="shared" si="667"/>
        <v>0</v>
      </c>
      <c r="ME170" s="499">
        <f t="shared" si="668"/>
        <v>0</v>
      </c>
      <c r="MF170" s="499">
        <f t="shared" si="669"/>
        <v>0</v>
      </c>
      <c r="MG170" s="516">
        <f t="shared" si="670"/>
        <v>1</v>
      </c>
      <c r="MH170" s="517">
        <f t="shared" si="610"/>
        <v>0</v>
      </c>
      <c r="MI170" s="517">
        <f t="shared" si="671"/>
        <v>0</v>
      </c>
      <c r="MJ170" s="251">
        <f t="shared" si="611"/>
        <v>1.34922667</v>
      </c>
      <c r="MK170" s="251">
        <f t="shared" si="672"/>
        <v>1.34922667</v>
      </c>
      <c r="ML170" s="251">
        <f t="shared" si="795"/>
        <v>0</v>
      </c>
      <c r="MM170" s="251">
        <f t="shared" si="612"/>
        <v>0</v>
      </c>
      <c r="MN170" s="251">
        <f t="shared" si="613"/>
        <v>2.74922667</v>
      </c>
      <c r="MO170" s="251">
        <f t="shared" si="673"/>
        <v>0</v>
      </c>
      <c r="MP170" s="251">
        <f t="shared" si="674"/>
        <v>8.24768001</v>
      </c>
      <c r="MQ170" s="251">
        <f t="shared" si="796"/>
        <v>8.24768001</v>
      </c>
      <c r="MR170" s="314">
        <f t="shared" si="675"/>
        <v>8.24768001</v>
      </c>
      <c r="MS170" s="530">
        <f t="shared" si="614"/>
        <v>8.42368001</v>
      </c>
      <c r="MT170" s="530">
        <f t="shared" si="615"/>
        <v>8.58368001</v>
      </c>
      <c r="MU170" s="530">
        <f t="shared" si="616"/>
        <v>9.62368001</v>
      </c>
      <c r="MV170" s="530">
        <f t="shared" si="617"/>
        <v>10.82368001</v>
      </c>
      <c r="MW170" s="530">
        <f t="shared" si="618"/>
        <v>10.98368001</v>
      </c>
      <c r="MX170" s="326">
        <f t="shared" si="619"/>
        <v>1.94922667</v>
      </c>
      <c r="MY170" s="326">
        <f t="shared" si="620"/>
        <v>0</v>
      </c>
      <c r="MZ170" s="251">
        <f t="shared" si="621"/>
        <v>3.34922667</v>
      </c>
      <c r="NA170" s="251">
        <f t="shared" si="622"/>
        <v>0</v>
      </c>
      <c r="NB170" s="251">
        <f t="shared" si="676"/>
        <v>10.04768001</v>
      </c>
      <c r="NC170" s="326">
        <f t="shared" si="797"/>
        <v>10.04768001</v>
      </c>
      <c r="ND170" s="314">
        <f t="shared" si="677"/>
        <v>10.04768001</v>
      </c>
      <c r="NE170" s="537">
        <f t="shared" si="678"/>
        <v>10.28768001</v>
      </c>
      <c r="NF170" s="530">
        <f t="shared" si="623"/>
        <v>10.44768001</v>
      </c>
      <c r="NG170" s="538">
        <f t="shared" si="624"/>
        <v>11.48768001</v>
      </c>
      <c r="NH170" s="326">
        <f t="shared" si="625"/>
        <v>12.68768001</v>
      </c>
      <c r="NI170" s="530">
        <f t="shared" si="626"/>
        <v>12.84768001</v>
      </c>
      <c r="NK170" s="539">
        <f t="shared" si="627"/>
        <v>0.192566141861203</v>
      </c>
      <c r="NL170" s="539">
        <f t="shared" si="628"/>
        <v>6.79813009680181</v>
      </c>
      <c r="NM170" s="539">
        <f t="shared" si="629"/>
        <v>0.192566141861203</v>
      </c>
      <c r="NN170" s="539">
        <f t="shared" si="630"/>
        <v>6.8511956515116</v>
      </c>
      <c r="NO170" s="539">
        <f t="shared" si="631"/>
        <v>0.301551180317257</v>
      </c>
      <c r="NP170" s="539">
        <f t="shared" si="632"/>
        <v>7.47941155521585</v>
      </c>
      <c r="NQ170" s="539">
        <f t="shared" si="633"/>
        <v>0.301551180317257</v>
      </c>
      <c r="NR170" s="539">
        <f t="shared" si="634"/>
        <v>7.54275531887235</v>
      </c>
      <c r="NS170" s="539">
        <f t="shared" si="635"/>
        <v>0.204444364994163</v>
      </c>
      <c r="NT170" s="539">
        <f t="shared" si="636"/>
        <v>0.204444364994163</v>
      </c>
      <c r="NU170" s="539">
        <f t="shared" si="637"/>
        <v>0.316033100660578</v>
      </c>
      <c r="NV170" s="539">
        <f t="shared" si="638"/>
        <v>0.316033100660578</v>
      </c>
      <c r="NW170">
        <f t="shared" si="639"/>
        <v>0.324913307005679</v>
      </c>
      <c r="NX170">
        <f>各项系数!$M$9*NK170</f>
        <v>0.0577698425583609</v>
      </c>
      <c r="NY170">
        <f t="shared" si="640"/>
        <v>0.204444364994163</v>
      </c>
    </row>
    <row r="171" customHeight="1" spans="1:389">
      <c r="A171" s="85"/>
      <c r="B171" s="86"/>
      <c r="C171" s="218"/>
      <c r="D171" s="123" t="s">
        <v>375</v>
      </c>
      <c r="E171" s="77">
        <f t="shared" si="687"/>
        <v>12.06083201</v>
      </c>
      <c r="F171" s="559">
        <f t="shared" si="798"/>
        <v>134.922667214547</v>
      </c>
      <c r="G171" s="23"/>
      <c r="H171" s="23"/>
      <c r="I171" s="174">
        <v>0</v>
      </c>
      <c r="J171" s="23"/>
      <c r="K171" s="23"/>
      <c r="L171" s="118" t="s">
        <v>469</v>
      </c>
      <c r="M171" s="124">
        <f t="shared" si="582"/>
        <v>0.7</v>
      </c>
      <c r="N171" s="124">
        <f t="shared" si="583"/>
        <v>0</v>
      </c>
      <c r="O171" s="69">
        <f t="shared" si="801"/>
        <v>0.08</v>
      </c>
      <c r="P171" s="120">
        <v>0.1</v>
      </c>
      <c r="Q171" s="162">
        <f t="shared" si="754"/>
        <v>0.1</v>
      </c>
      <c r="R171" s="560">
        <v>0.8</v>
      </c>
      <c r="S171" s="171" t="str">
        <f>各项系数!$D$43</f>
        <v>钢带</v>
      </c>
      <c r="T171" s="123">
        <v>0.2</v>
      </c>
      <c r="U171" s="78">
        <v>4</v>
      </c>
      <c r="V171" s="172"/>
      <c r="W171" s="170">
        <f t="shared" si="799"/>
        <v>1.2</v>
      </c>
      <c r="X171" s="164">
        <f t="shared" si="755"/>
        <v>0.2</v>
      </c>
      <c r="Y171" s="219"/>
      <c r="Z171" s="220"/>
      <c r="AA171" s="217">
        <v>1</v>
      </c>
      <c r="AB171" s="186">
        <f>PI()*EJ171*EJ171/4*EH171*(1-H171)*AA171*各项系数!$F$5*各项系数!$J$4*10^-7</f>
        <v>0.0126469138144438</v>
      </c>
      <c r="AC171" s="186">
        <f t="shared" si="704"/>
        <v>134.922667214547</v>
      </c>
      <c r="AD171" s="186">
        <f t="shared" si="584"/>
        <v>1.42974872274124</v>
      </c>
      <c r="AE171" s="186">
        <f>POWER(4*EU171/PI()/EG171/10^-7/EH171/(1-H171)/各项系数!$F$5/各项系数!$J$4,0.5)</f>
        <v>134.922667214547</v>
      </c>
      <c r="AF171" s="218">
        <v>1</v>
      </c>
      <c r="AG171" s="85">
        <f>IF(EM171=0,0,PI()*ER171*ER171/4*EP171*(1-K171)*(1+AF171)*各项系数!$F$5*各项系数!$J$4*10^-7)</f>
        <v>0</v>
      </c>
      <c r="AH171" s="85">
        <f t="shared" si="705"/>
        <v>0</v>
      </c>
      <c r="AI171" s="85">
        <f t="shared" si="641"/>
        <v>0</v>
      </c>
      <c r="AJ171" s="85">
        <f>IF(OR(EP171="",EP171=0),0,POWER(4*EW171/PI()/EO171/10^-7/EP171/(1-K171)/各项系数!$F$5/各项系数!$J$4,0.5))</f>
        <v>0</v>
      </c>
      <c r="AK171" s="85" t="str">
        <f t="shared" si="585"/>
        <v>√</v>
      </c>
      <c r="AL171" s="85">
        <f t="shared" si="706"/>
        <v>8.24770912037847</v>
      </c>
      <c r="AM171" s="250">
        <f t="shared" si="707"/>
        <v>1.5</v>
      </c>
      <c r="AN171" s="118" t="s">
        <v>486</v>
      </c>
      <c r="AO171" s="259">
        <f>AP171+各项系数!$M$9*$NK171</f>
        <v>8.08598933370438</v>
      </c>
      <c r="AP171" s="259">
        <f>AQ171*(1+$BI171+(VLOOKUP($AM171,$A$12:$B$323,2,0))+各项系数!$J$6+各项系数!$M$5)*(1+$E$2)</f>
        <v>8.01675272268126</v>
      </c>
      <c r="AQ171" s="260">
        <f>AR171+各项系数!$L$9*$NK171</f>
        <v>8.09936625851815</v>
      </c>
      <c r="AR171" s="260">
        <f>AS171*(1+$BJ171+各项系数!$J$5+各项系数!$L$5)</f>
        <v>8.03012964749503</v>
      </c>
      <c r="AS171" s="260">
        <f t="shared" si="642"/>
        <v>7.79624237620876</v>
      </c>
      <c r="AT171" s="259">
        <f>AU171+各项系数!$M$9*$NM171</f>
        <v>8.49925093171865</v>
      </c>
      <c r="AU171" s="259">
        <f>AV171*(1+$BI171+(VLOOKUP($AM171,$A$12:$B$323,2,0))+各项系数!$J$6+各项系数!$M$5)*(1+$E$2)</f>
        <v>8.43001432069553</v>
      </c>
      <c r="AV171" s="260">
        <f>AW171+各项系数!$L$9*$NM171</f>
        <v>8.5168865636447</v>
      </c>
      <c r="AW171" s="260">
        <f>AX171*(1+$BJ171+各项系数!$J$5+各项系数!$L$5)</f>
        <v>8.44764995262158</v>
      </c>
      <c r="AX171" s="260">
        <f t="shared" si="643"/>
        <v>8.20160189574911</v>
      </c>
      <c r="AY171" s="259">
        <f>AZ171+各项系数!$M$9*$NS171</f>
        <v>9.03943625650005</v>
      </c>
      <c r="AZ171" s="259">
        <f>BA171*(1+$BI171+(VLOOKUP($AM171,$A$12:$B$214,2,0))+各项系数!$J$6+各项系数!$M$5)*(1+$E$2)</f>
        <v>8.96611775001592</v>
      </c>
      <c r="BA171" s="260">
        <f>BB171+各项系数!$L$9*$NS171</f>
        <v>9.05851459892496</v>
      </c>
      <c r="BB171" s="260">
        <f>BC171*(1+$BJ171+各项系数!$J$5+各项系数!$L$5)</f>
        <v>8.98519609244084</v>
      </c>
      <c r="BC171" s="262">
        <f t="shared" si="644"/>
        <v>8.72349135188431</v>
      </c>
      <c r="BD171" s="259">
        <f>BE171+各项系数!$M$9*$NS171</f>
        <v>9.45878595675375</v>
      </c>
      <c r="BE171" s="259">
        <f>BF171*(1+$BI171+(VLOOKUP($AM171,$A$12:$B$214,2,0))+各项系数!$J$6+各项系数!$M$5)*(1+$E$2)</f>
        <v>9.38546745026963</v>
      </c>
      <c r="BF171" s="260">
        <f>BG171+各项系数!$L$9*$NS171</f>
        <v>9.48218574486727</v>
      </c>
      <c r="BG171" s="260">
        <f>BH171*(1+$BJ171+各项系数!$J$5+各项系数!$L$5)</f>
        <v>9.40886723838315</v>
      </c>
      <c r="BH171" s="262">
        <f t="shared" si="645"/>
        <v>9.13482256153704</v>
      </c>
      <c r="BI171" s="277"/>
      <c r="BJ171" s="272">
        <f t="shared" si="800"/>
        <v>0.01</v>
      </c>
      <c r="BK171" s="123" t="s">
        <v>514</v>
      </c>
      <c r="BL171" s="259">
        <f>BM171+各项系数!$M$9*$NM171</f>
        <v>8.22480403364981</v>
      </c>
      <c r="BM171" s="259">
        <f>BN171*(1+$CF171+(VLOOKUP($AM171,$A$12:$B$323,2,0))+各项系数!$J$6+各项系数!$M$5)*(1+$E$2)</f>
        <v>8.15556742262669</v>
      </c>
      <c r="BN171" s="260">
        <f>BO171+各项系数!$L$9*$NM171</f>
        <v>8.23961145951373</v>
      </c>
      <c r="BO171" s="260">
        <f>BP171*(1+$CG171+各项系数!$J$5+各项系数!$L$5)</f>
        <v>8.17037484849061</v>
      </c>
      <c r="BP171" s="260">
        <f t="shared" si="646"/>
        <v>7.8561296620102</v>
      </c>
      <c r="BQ171" s="259">
        <f>BR171+各项系数!$M$9*$NM171</f>
        <v>8.58043038728277</v>
      </c>
      <c r="BR171" s="259">
        <f>BS171*(1+$CF171+(VLOOKUP($AM171,$A$12:$B$323,2,0))+各项系数!$J$6+各项系数!$M$5)*(1+$E$2)</f>
        <v>8.51119377625965</v>
      </c>
      <c r="BS171" s="260">
        <f>BT171+各项系数!$L$9*$NM171</f>
        <v>8.59890258260219</v>
      </c>
      <c r="BT171" s="260">
        <f>BU171*(1+$CG171+各项系数!$J$5+各项系数!$L$5)</f>
        <v>8.52966597157907</v>
      </c>
      <c r="BU171" s="260">
        <f t="shared" si="647"/>
        <v>8.20160189574911</v>
      </c>
      <c r="BV171" s="259">
        <f>BW171+各项系数!$M$9*$NT171</f>
        <v>9.12394550630955</v>
      </c>
      <c r="BW171" s="259">
        <f>BX171*(1+$CF171+(VLOOKUP($AM171,$A$12:$B$214,2,0))+各项系数!$J$6+各项系数!$M$5)*(1+$E$2)</f>
        <v>9.05062699982543</v>
      </c>
      <c r="BX171" s="260">
        <f>BY171+各项系数!$L$9*$NT$12</f>
        <v>9.14389472603094</v>
      </c>
      <c r="BY171" s="260">
        <f>BZ171*(1+$CG171+各项系数!$J$5+各项系数!$L$5)</f>
        <v>9.13563132287597</v>
      </c>
      <c r="BZ171" s="262">
        <f t="shared" si="586"/>
        <v>8.78426088738074</v>
      </c>
      <c r="CA171" s="259">
        <f>CB171+各项系数!$M$9*$NT171</f>
        <v>9.48481088919265</v>
      </c>
      <c r="CB171" s="259">
        <f>CC171*(1+$CF171+(VLOOKUP($AM171,$A$12:$B$214,2,0))+各项系数!$J$6+各项系数!$M$5)*(1+$E$2)</f>
        <v>9.41149238270853</v>
      </c>
      <c r="CC171" s="260">
        <f>CD171+各项系数!$L$9*$NT$12</f>
        <v>9.5084788671535</v>
      </c>
      <c r="CD171" s="260">
        <f>CE171*(1+$CG171+各项系数!$J$5+各项系数!$L$5)</f>
        <v>9.50021546399852</v>
      </c>
      <c r="CE171" s="262">
        <f t="shared" si="648"/>
        <v>9.13482256153704</v>
      </c>
      <c r="CF171" s="277">
        <f t="shared" si="753"/>
        <v>0</v>
      </c>
      <c r="CG171" s="277">
        <f t="shared" si="587"/>
        <v>0.02</v>
      </c>
      <c r="CH171" s="123"/>
      <c r="CI171" s="259">
        <f>CJ171+各项系数!$M$9*$NO171</f>
        <v>9.11064570437415</v>
      </c>
      <c r="CJ171" s="259">
        <f>CK171*(1+$DC171+(VLOOKUP($AM171,$A$12:$B$323,2,0))+各项系数!$J$6+各项系数!$M$5)*(1+$E$2)+各项系数!$M$9*$NK171</f>
        <v>8.98621731501341</v>
      </c>
      <c r="CK171" s="260">
        <f>CL171+各项系数!$L$9*$NO171</f>
        <v>9.00887119012961</v>
      </c>
      <c r="CL171" s="260">
        <f>CM171*(1+$DD171+各项系数!$J$5+各项系数!$L$5)</f>
        <v>8.88444280076887</v>
      </c>
      <c r="CM171" s="260">
        <f t="shared" si="588"/>
        <v>8.62567262210569</v>
      </c>
      <c r="CN171" s="259">
        <f>CO171+各项系数!$M$9*$NO171</f>
        <v>9.40394338930371</v>
      </c>
      <c r="CO171" s="259">
        <f>CP171*(1+$DC171+(VLOOKUP($AM171,$A$12:$B$323,2,0))+各项系数!$J$6+各项系数!$M$5)*(1+$E$2)+各项系数!$M$9*$NK171</f>
        <v>9.27951499994297</v>
      </c>
      <c r="CP171" s="260">
        <f>CQ171+各项系数!$L$9*$NO171</f>
        <v>9.30519134059391</v>
      </c>
      <c r="CQ171" s="260">
        <f>CR171*(1+$DD171+各项系数!$J$5+各项系数!$L$5)</f>
        <v>9.18076295123317</v>
      </c>
      <c r="CR171" s="260">
        <f t="shared" si="589"/>
        <v>8.91336208857589</v>
      </c>
      <c r="CS171" s="259">
        <f>CT171+各项系数!$M$9*$NU171</f>
        <v>10.201764574377</v>
      </c>
      <c r="CT171" s="259">
        <f t="shared" si="590"/>
        <v>10.0723600368975</v>
      </c>
      <c r="CU171" s="260">
        <f>CV171+各项系数!$L$9*$NU171</f>
        <v>10.1761568366311</v>
      </c>
      <c r="CV171" s="260">
        <f>CW171*(1+$DD171+各项系数!$J$5+各项系数!$L$5)</f>
        <v>10.0467522991516</v>
      </c>
      <c r="CW171" s="262">
        <f t="shared" si="591"/>
        <v>9.75412844577824</v>
      </c>
      <c r="CX171" s="259">
        <f>CY171+各项系数!$M$9*$NU171</f>
        <v>10.7023143382492</v>
      </c>
      <c r="CY171" s="259">
        <f t="shared" si="592"/>
        <v>10.5729098007697</v>
      </c>
      <c r="CZ171" s="260">
        <f>DA171+各项系数!$L$9*$NU171</f>
        <v>10.6818648219536</v>
      </c>
      <c r="DA171" s="260">
        <f>DB171*(1+$DD171+各项系数!$J$5+各项系数!$L$5)</f>
        <v>10.5524602844741</v>
      </c>
      <c r="DB171" s="262">
        <f t="shared" si="593"/>
        <v>10.245107072305</v>
      </c>
      <c r="DC171" s="277">
        <f t="shared" ref="DC171:DC188" si="803">BI171+$DC$2</f>
        <v>0</v>
      </c>
      <c r="DD171" s="277">
        <f t="shared" si="594"/>
        <v>0.01</v>
      </c>
      <c r="DE171" s="69" t="s">
        <v>498</v>
      </c>
      <c r="DF171" s="69" t="s">
        <v>513</v>
      </c>
      <c r="DG171" s="259">
        <f>DH171+各项系数!$M$9*$NQ171</f>
        <v>9.26978296602046</v>
      </c>
      <c r="DH171" s="259">
        <f>DI171*(1+$EA171+(VLOOKUP($AM171,$A$12:$B$323,2,0))+各项系数!$J$6+各项系数!$M$5)*(1+$E$2)+各项系数!$M$9*$NK171</f>
        <v>9.14535457665972</v>
      </c>
      <c r="DI171" s="260">
        <f>DJ171+各项系数!$L$9*$NQ171</f>
        <v>9.16964837910346</v>
      </c>
      <c r="DJ171" s="260">
        <f>DK171*(1+$EB171+各项系数!$J$5+各项系数!$L$5)</f>
        <v>9.04521998974271</v>
      </c>
      <c r="DK171" s="260">
        <f t="shared" si="595"/>
        <v>8.69732691321415</v>
      </c>
      <c r="DL171" s="259">
        <f>DM171+各项系数!$M$9*$NQ171</f>
        <v>9.6952848722772</v>
      </c>
      <c r="DM171" s="259">
        <f>DN171*(1+$EA171+(VLOOKUP($AM171,$A$12:$B$323,2,0))+各项系数!$J$6+各项系数!$M$5)*(1+$E$2)+各项系数!$M$9*$NK171</f>
        <v>9.57085648291646</v>
      </c>
      <c r="DN171" s="260">
        <f>DO171+各项系数!$L$9*$NQ171</f>
        <v>9.5995351302216</v>
      </c>
      <c r="DO171" s="260">
        <f>DP171*(1+$EB171+各项系数!$J$5+各项系数!$L$5)</f>
        <v>9.47510674086086</v>
      </c>
      <c r="DP171" s="260">
        <f t="shared" si="596"/>
        <v>9.11067955852005</v>
      </c>
      <c r="DQ171" s="259">
        <f>DR171+各项系数!$M$9*$NV171</f>
        <v>10.372979472544</v>
      </c>
      <c r="DR171" s="259">
        <f t="shared" si="597"/>
        <v>10.2435749350645</v>
      </c>
      <c r="DS171" s="260">
        <f>DT171+各项系数!$L$9*$NV171</f>
        <v>10.3491361235245</v>
      </c>
      <c r="DT171" s="260">
        <f>DU171*(1+$EB171+各项系数!$J$5+各项系数!$L$5)</f>
        <v>10.219731586045</v>
      </c>
      <c r="DU171" s="262">
        <f t="shared" si="598"/>
        <v>9.82666498658168</v>
      </c>
      <c r="DV171" s="259">
        <f>DW171+各项系数!$M$9*$NV171</f>
        <v>10.1998393417803</v>
      </c>
      <c r="DW171" s="259">
        <f t="shared" si="599"/>
        <v>10.0704348043007</v>
      </c>
      <c r="DX171" s="260">
        <f>DY171+各项系数!$L$9*$NV171</f>
        <v>10.1742117642966</v>
      </c>
      <c r="DY171" s="260">
        <f>DZ171*(1+$EB171+各项系数!$J$5+各项系数!$L$5)</f>
        <v>10.0448072268171</v>
      </c>
      <c r="DZ171" s="262">
        <f t="shared" si="600"/>
        <v>9.6584684873241</v>
      </c>
      <c r="EA171" s="277">
        <f t="shared" si="802"/>
        <v>0</v>
      </c>
      <c r="EB171" s="277">
        <f t="shared" si="601"/>
        <v>0.02</v>
      </c>
      <c r="EC171" s="302">
        <f t="shared" si="649"/>
        <v>8</v>
      </c>
      <c r="ED171" s="302" t="str">
        <f t="shared" si="756"/>
        <v>8*1.5</v>
      </c>
      <c r="EE171" s="251">
        <f t="shared" si="709"/>
        <v>1.5</v>
      </c>
      <c r="EF171" s="251">
        <f>LOOKUP(EH171,{1,7,10,14,19,24,30,37,48,61},{1,"1+6","2+8","4+10","1+6+12","2+8+14","4+10+16","1+6+12+18","3+9+15+21","1+6+12+18+24"})</f>
        <v>1</v>
      </c>
      <c r="EG171" s="250">
        <f t="shared" si="602"/>
        <v>8</v>
      </c>
      <c r="EH171" s="260">
        <f>VLOOKUP(EE171,各项系数!$B$87:$C$124,2,0)</f>
        <v>1</v>
      </c>
      <c r="EI171" s="250">
        <f>IF(EH171=0,0,VLOOKUP(EH171,各项系数!$D$142:$E$195,2,0))*1</f>
        <v>1</v>
      </c>
      <c r="EJ171" s="305">
        <f t="shared" si="650"/>
        <v>134.922667214547</v>
      </c>
      <c r="EK171" s="251">
        <f t="shared" si="689"/>
        <v>0</v>
      </c>
      <c r="EL171" s="251">
        <f t="shared" si="603"/>
        <v>0</v>
      </c>
      <c r="EM171" s="251">
        <f t="shared" si="690"/>
        <v>0</v>
      </c>
      <c r="EN171" s="251">
        <f>IF(EP171=0,0,LOOKUP(EP171,{1,7,10,14,19,24,30,37,48,61},{1,"1+6","2+8","4+10","1+6+12","2+8+14","4+10+16","1+6+12+18","3+9+15+21","1+6+12+18+24"}))</f>
        <v>0</v>
      </c>
      <c r="EO171" s="251">
        <f t="shared" si="691"/>
        <v>0</v>
      </c>
      <c r="EP171" s="251">
        <f>IF(EM171=0,0,IF(EM171&lt;10,1,IF(AND(EM171&gt;=10,EM171&lt;=35),7,LOOKUP(EM171,{50,70,95,120,150,185,240,300},{10,14,19,24,30,37,48,61})*1)))</f>
        <v>0</v>
      </c>
      <c r="EQ171" s="251">
        <f>IF(EP171=0,0,VLOOKUP(EP171,各项系数!$D$142:$E$195,2,0))*1</f>
        <v>0</v>
      </c>
      <c r="ER171" s="69">
        <f t="shared" si="710"/>
        <v>0</v>
      </c>
      <c r="ES171" s="566">
        <f t="shared" si="692"/>
        <v>8</v>
      </c>
      <c r="ET171" s="251">
        <f>VLOOKUP(ES171,各项系数!$D$142:$E$195,2,0)*1</f>
        <v>3.45</v>
      </c>
      <c r="EU171" s="311">
        <f>((各项系数!$F$76/4*$EJ171^2*$EG171*$EH171*1*10^-7)*(1-$H171)*AA171)*(VLOOKUP($EY$9,各项系数!$D$4:$F$143,3,0))*各项系数!$J$4</f>
        <v>0.10117531051555</v>
      </c>
      <c r="EV171" s="312">
        <f>EU171*(VLOOKUP($EY$9,各项系数!$D$4:$F$143,2,0))</f>
        <v>6.62698283876854</v>
      </c>
      <c r="EW171" s="324">
        <f>(IF($EO171=0,0,(各项系数!$F$76/4*$ER171^2*$EO171*$EP171*1*10^-7))*(1-$K171)*$AF171)*(VLOOKUP($EY$9,各项系数!$D$4:$F$143,3,0))*各项系数!$J$4</f>
        <v>0</v>
      </c>
      <c r="EX171" s="325">
        <f>EW171*(VLOOKUP($EY$9,各项系数!$D$4:$F$143,2,0))</f>
        <v>0</v>
      </c>
      <c r="EY171" s="251">
        <f>((各项系数!$F$76/4*$EJ171^2*$EG171*$EH171*1*10^-7)*(1-$H171)*AA171+IF($EO171=0,0,(各项系数!$F$76/4*$ER171^2*$EO171*$EP171*1*10^-7))*(1-$K171)*$AF171)*(VLOOKUP($EY$9,各项系数!$D$4:$F$143,3,0))*各项系数!$J$4</f>
        <v>0.10117531051555</v>
      </c>
      <c r="EZ171" s="123">
        <v>1</v>
      </c>
      <c r="FA171" s="251">
        <f t="shared" si="757"/>
        <v>0.10117531051555</v>
      </c>
      <c r="FB171" s="326">
        <f>FA171*(VLOOKUP($EY$9,各项系数!$D$4:$F$143,2,0))</f>
        <v>6.62698283876854</v>
      </c>
      <c r="FC171" s="327"/>
      <c r="FD171" s="302">
        <f>各项系数!$F$76/4*($MN171^2-MK171^2)*10^-2*(VLOOKUP(L171,各项系数!$D$1:$F$143,3,0))*10^-3*10^2*$EG171*各项系数!$J$4</f>
        <v>0.0394587810524736</v>
      </c>
      <c r="FE171" s="339">
        <f>FD171*VLOOKUP(L171,各项系数!$D$1:$F$143,2,0)</f>
        <v>0.453775982103446</v>
      </c>
      <c r="FF171" s="250">
        <f>各项系数!$F$76/4*($MO171^2-ML171^2)*10^-2*(VLOOKUP(L171,各项系数!$D$1:$F$143,3,0))*10^-3*10^2*$EO171*各项系数!$J$4</f>
        <v>0</v>
      </c>
      <c r="FG171" s="339">
        <f>FF171*VLOOKUP(L171,各项系数!$D$1:$F$143,2,0)</f>
        <v>0</v>
      </c>
      <c r="FH171" s="302">
        <f t="shared" si="651"/>
        <v>0.0394587810524736</v>
      </c>
      <c r="FI171" s="123">
        <v>1</v>
      </c>
      <c r="FJ171" s="251">
        <f t="shared" si="758"/>
        <v>0.0394587810524736</v>
      </c>
      <c r="FK171" s="339">
        <f>FJ171*VLOOKUP(L171,各项系数!$D$1:$F$143,2,0)</f>
        <v>0.453775982103446</v>
      </c>
      <c r="FL171" s="302"/>
      <c r="FM171" s="123"/>
      <c r="FN171" s="251"/>
      <c r="FO171" s="339"/>
      <c r="FP171" s="364">
        <f t="shared" si="759"/>
        <v>0.0394587810524736</v>
      </c>
      <c r="FQ171" s="364">
        <f t="shared" si="760"/>
        <v>0.453775982103446</v>
      </c>
      <c r="FR171" s="365">
        <f>各项系数!$F$76/4*($MQ171^2-$MN171^2*$EG171-$MO171^2*$EO171)*10^-2</f>
        <v>0.231661513464394</v>
      </c>
      <c r="FS171" s="366">
        <f t="shared" si="652"/>
        <v>1</v>
      </c>
      <c r="FT171" s="367">
        <f t="shared" si="604"/>
        <v>0.231661513464394</v>
      </c>
      <c r="FU171" s="388">
        <f>$FT171*(VLOOKUP($FT$9,各项系数!$D$1:$F$143,3,0))*10^-3*10^2*各项系数!$J$55</f>
        <v>0.0276603847076486</v>
      </c>
      <c r="FV171" s="389">
        <v>1</v>
      </c>
      <c r="FW171" s="390">
        <f t="shared" si="761"/>
        <v>0.0276603847076486</v>
      </c>
      <c r="FX171" s="367">
        <f>FW171*(VLOOKUP($FT$9,各项系数!$D$1:$F$143,2,0))</f>
        <v>0.0829811541229459</v>
      </c>
      <c r="FY171" s="388">
        <f>IF($BK171&lt;&gt;$FY$9,0,各项系数!$F$76/4*($MS171^2-$MQ171^2)*10^-2*(VLOOKUP($FY$9,各项系数!$D$1:$F$143,3,0))*10^-3*10^2)*各项系数!$J$4</f>
        <v>0</v>
      </c>
      <c r="FZ171" s="389">
        <v>1</v>
      </c>
      <c r="GA171" s="390">
        <f t="shared" si="762"/>
        <v>0</v>
      </c>
      <c r="GB171" s="367">
        <f>GA171*(VLOOKUP($FY$9,各项系数!$D$1:$F$143,2,0))</f>
        <v>0</v>
      </c>
      <c r="GC171" s="388">
        <f>IF($BK171&lt;&gt;$GC$9,0,各项系数!$F$76/4*($MS171^2-$MQ171^2)*10^-2*(VLOOKUP($GC$9,各项系数!$D$1:$F$143,3,0))*10^-3*10^2)*各项系数!$J$4</f>
        <v>0.00260694133329089</v>
      </c>
      <c r="GD171" s="389">
        <v>1</v>
      </c>
      <c r="GE171" s="390">
        <f t="shared" si="763"/>
        <v>0.00260694133329089</v>
      </c>
      <c r="GF171" s="367">
        <f>GE171*(VLOOKUP($GC$9,各项系数!$D$1:$F$143,2,0))</f>
        <v>0.0336295431994525</v>
      </c>
      <c r="GG171" s="388">
        <f>IF($BK171&lt;&gt;$GG$9,0,各项系数!$F$76/4*($MS171^2-$MQ171^2)*10^-2*(VLOOKUP($GG$9,各项系数!$D$1:$F$143,3,0))*10^-3*10^2)*各项系数!$J$4</f>
        <v>0</v>
      </c>
      <c r="GH171" s="389">
        <v>1</v>
      </c>
      <c r="GI171" s="390">
        <f t="shared" si="764"/>
        <v>0</v>
      </c>
      <c r="GJ171" s="367">
        <f>GI171*(VLOOKUP($GG$9,各项系数!$D$1:$F$143,2,0))</f>
        <v>0</v>
      </c>
      <c r="GK171" s="388">
        <f>IF($BK171&lt;&gt;$GK$9,0,各项系数!$F$76/4*($MS171^2-$MQ171^2)*10^-2*(VLOOKUP($GK$9,各项系数!$D$1:$F$143,3,0))*10^-3*10^2)*各项系数!$J$4</f>
        <v>0</v>
      </c>
      <c r="GL171" s="389">
        <v>1</v>
      </c>
      <c r="GM171" s="390">
        <f t="shared" si="765"/>
        <v>0</v>
      </c>
      <c r="GN171" s="367">
        <f>GM171*(VLOOKUP($GK$9,各项系数!$D$1:$F$143,2,0))</f>
        <v>0</v>
      </c>
      <c r="GO171" s="390">
        <f t="shared" si="766"/>
        <v>0.00260694133329089</v>
      </c>
      <c r="GP171" s="390">
        <f t="shared" si="767"/>
        <v>0.0336295431994525</v>
      </c>
      <c r="GQ171" s="406">
        <f>各项系数!$F$76/4*($MU171^2-$MS171^2)*10^-2*(VLOOKUP($S171,各项系数!$D$1:$F$143,3,0))*10^-3*10^2*各项系数!$J$4</f>
        <v>0.150492041721589</v>
      </c>
      <c r="GR171" s="389">
        <v>1</v>
      </c>
      <c r="GS171" s="390">
        <f t="shared" si="768"/>
        <v>0.150492041721589</v>
      </c>
      <c r="GT171" s="390">
        <f t="shared" si="696"/>
        <v>1</v>
      </c>
      <c r="GU171" s="390">
        <f>ROUND($GS171*(VLOOKUP($S171,各项系数!$D$1:$F$143,2,0))+$E$3*GS171,GT171)</f>
        <v>0.9</v>
      </c>
      <c r="GV171" s="406">
        <f>各项系数!$F$76/4*($MT171^2-$MS171^2)*10^-2*(VLOOKUP($GV$9,各项系数!$D$1:$F$143,3,0))*10^-3*10^2*各项系数!$J$4*PI()/4*R171</f>
        <v>0.0136063182033419</v>
      </c>
      <c r="GW171" s="389">
        <v>1</v>
      </c>
      <c r="GX171" s="390">
        <f t="shared" si="769"/>
        <v>0.0136063182033419</v>
      </c>
      <c r="GY171" s="390">
        <f>$GX171*(VLOOKUP($GV$9,各项系数!$D$1:$F$143,2,0))</f>
        <v>0.918426478725577</v>
      </c>
      <c r="GZ171" s="406">
        <f>各项系数!$F$76/4*($MV171^2-$MS171^2)*10^-2*(VLOOKUP($GZ$9,各项系数!$D$1:$F$143,3,0))*10^-3*10^2*各项系数!$J$4</f>
        <v>0.0590724927973365</v>
      </c>
      <c r="HA171" s="389">
        <v>1</v>
      </c>
      <c r="HB171" s="390">
        <f t="shared" si="653"/>
        <v>0.0590724927973365</v>
      </c>
      <c r="HC171" s="390">
        <f>HB171*(VLOOKUP($GZ$9,各项系数!$D$1:$F$143,2,0))</f>
        <v>1.00423237755472</v>
      </c>
      <c r="HD171" s="406">
        <f>各项系数!$F$76/4*($MW171^2-$MT171^2)*10^-2*(VLOOKUP($HD$9,各项系数!$D$1:$F$143,3,0))*10^-3*10^2*各项系数!$J$4</f>
        <v>0.0599427390951221</v>
      </c>
      <c r="HE171" s="389">
        <v>1</v>
      </c>
      <c r="HF171" s="390">
        <f t="shared" si="654"/>
        <v>0.0599427390951221</v>
      </c>
      <c r="HG171" s="390">
        <f>HF171*(VLOOKUP($HD$9,各项系数!$D$1:$F$143,2,0))</f>
        <v>1.01902656461708</v>
      </c>
      <c r="HH171" s="406">
        <f>各项系数!$F$76/4*($MV171^2-$MS171^2)*10^-2*(VLOOKUP($HH$9,各项系数!$D$1:$F$143,3,0))*10^-3*10^2*各项系数!$J$4</f>
        <v>0.0590724927973365</v>
      </c>
      <c r="HI171" s="420">
        <v>1</v>
      </c>
      <c r="HJ171" s="390">
        <f t="shared" si="655"/>
        <v>0.0590724927973365</v>
      </c>
      <c r="HK171" s="390">
        <f>HJ171*(VLOOKUP($HH$9,各项系数!$D$1:$F$143,2,0))</f>
        <v>1.00423237755472</v>
      </c>
      <c r="HL171" s="406">
        <f>各项系数!$F$76/4*($MW171^2-$MT171^2)*10^-2*(VLOOKUP($HL$9,各项系数!$D$1:$F$143,3,0))*10^-3*10^2*各项系数!$J$4</f>
        <v>0.0599427390951221</v>
      </c>
      <c r="HM171" s="420">
        <v>1</v>
      </c>
      <c r="HN171" s="390">
        <f t="shared" si="605"/>
        <v>0.0599427390951221</v>
      </c>
      <c r="HO171" s="390">
        <f>HN171*(VLOOKUP($HL$9,各项系数!$D$1:$F$143,2,0))</f>
        <v>1.01902656461708</v>
      </c>
      <c r="HP171" s="406">
        <f>各项系数!$F$76/4*($MV171^2-$MS171^2)*10^-2*(VLOOKUP(AN171,各项系数!$D$1:$F$143,3,0))*10^-3*10^2*各项系数!$J$4</f>
        <v>0.0598872858014377</v>
      </c>
      <c r="HQ171" s="389">
        <v>1</v>
      </c>
      <c r="HR171" s="390">
        <f t="shared" si="770"/>
        <v>0.0598872858014377</v>
      </c>
      <c r="HS171" s="390">
        <f>HR171*(VLOOKUP(AN171,各项系数!$D$1:$F$143,2,0))</f>
        <v>0.598872858014377</v>
      </c>
      <c r="HT171" s="406">
        <f>各项系数!$F$76/4*($MW171^2-$MT171^2)*10^-2*(VLOOKUP(AN171,各项系数!$D$1:$F$143,3,0))*10^-3*10^2*各项系数!$J$4</f>
        <v>0.0607695354964342</v>
      </c>
      <c r="HU171" s="389">
        <v>1</v>
      </c>
      <c r="HV171" s="390">
        <f t="shared" si="771"/>
        <v>0.0607695354964342</v>
      </c>
      <c r="HW171" s="390">
        <f>HV171*(VLOOKUP(AN171,各项系数!$D$1:$F$143,2,0))</f>
        <v>0.607695354964342</v>
      </c>
      <c r="HX171" s="406">
        <f>各项系数!$F$76/4*($MV171^2-$MS171^2)*10^-2*(VLOOKUP($HX$9,各项系数!$D$1:$F$143,3,0))*10^-3*10^2*各项系数!$J$4</f>
        <v>0.0598872858014377</v>
      </c>
      <c r="HY171" s="420">
        <v>1</v>
      </c>
      <c r="HZ171" s="390">
        <f t="shared" si="772"/>
        <v>0.0598872858014377</v>
      </c>
      <c r="IA171" s="390">
        <f>HZ171*(VLOOKUP($HX$9,各项系数!$D$1:$F$143,2,0))</f>
        <v>0.658760143815815</v>
      </c>
      <c r="IB171" s="406">
        <f>各项系数!$F$76/4*($MW171^2-$MT171^2)*10^-2*(VLOOKUP($IB$9,各项系数!$D$1:$F$143,3,0))*10^-3*10^2*各项系数!$J$4</f>
        <v>0.0607695354964342</v>
      </c>
      <c r="IC171" s="420">
        <v>1</v>
      </c>
      <c r="ID171" s="390">
        <f t="shared" si="773"/>
        <v>0.0607695354964342</v>
      </c>
      <c r="IE171" s="390">
        <f>ID171*(VLOOKUP($IB$9,各项系数!$D$1:$F$143,2,0))</f>
        <v>0.668464890460776</v>
      </c>
      <c r="IF171" s="429"/>
      <c r="IG171" s="406">
        <f t="shared" si="656"/>
        <v>0.0185590526350445</v>
      </c>
      <c r="IH171" s="389">
        <v>1</v>
      </c>
      <c r="II171" s="390">
        <f t="shared" si="774"/>
        <v>0.0185590526350445</v>
      </c>
      <c r="IJ171" s="390">
        <f>II171*(VLOOKUP($IG$8,各项系数!$D$1:$F$143,2,0))</f>
        <v>0.463976315876112</v>
      </c>
      <c r="IK171" s="406">
        <f>(各项系数!$F$76/4*($MX171^2-$MK171^2)*$EG171)*10^-2*(VLOOKUP($IG$8,各项系数!$D$1:$F$143,3,0))*10^-3*10^2*各项系数!$J$4</f>
        <v>0.0185590526350445</v>
      </c>
      <c r="IL171" s="389">
        <f>IK171*(VLOOKUP($IG$8,各项系数!$D$1:$F$143,2,0))</f>
        <v>0.463976315876112</v>
      </c>
      <c r="IM171" s="390">
        <f>(各项系数!$F$76/4*(($MM171+3*$X171)^2-MM171^2)*$EO171)*10^-2*(VLOOKUP($IG$8,各项系数!$D$1:$F$143,3,0))*10^-3*10^2*各项系数!$J$4</f>
        <v>0</v>
      </c>
      <c r="IN171" s="389">
        <f>IM171*(VLOOKUP($IG$8,各项系数!$D$1:$F$143,2,0))</f>
        <v>0</v>
      </c>
      <c r="IO171" s="406">
        <f>各项系数!$F$76/4*($MZ171^2-$MX171^2)*10^-2*(VLOOKUP(L171,各项系数!$D$1:$F$143,3,0))*10^-3*10^2*$ES171*各项系数!$J$4</f>
        <v>0.0510120508679031</v>
      </c>
      <c r="IP171" s="389">
        <v>1</v>
      </c>
      <c r="IQ171" s="390">
        <f t="shared" si="775"/>
        <v>0.0510120508679031</v>
      </c>
      <c r="IR171" s="367">
        <f>IQ171*(VLOOKUP(L171,各项系数!$D$1:$F$143,2,0))</f>
        <v>0.586638584980886</v>
      </c>
      <c r="IS171" s="406">
        <f>IF($L171&lt;&gt;$IS$9,0,各项系数!$F$76/4*($MZ171^2-$MX171^2)*10^-2*各项系数!$F$12*10^-3*10^2)*$ES171*各项系数!$J$4</f>
        <v>0</v>
      </c>
      <c r="IT171" s="389">
        <v>1</v>
      </c>
      <c r="IU171" s="390">
        <f t="shared" si="776"/>
        <v>0</v>
      </c>
      <c r="IV171" s="367">
        <f>IU171*各项系数!$E$12</f>
        <v>0</v>
      </c>
      <c r="IW171" s="388">
        <f t="shared" si="777"/>
        <v>0.0510120508679031</v>
      </c>
      <c r="IX171" s="388">
        <f t="shared" si="778"/>
        <v>0.586638584980886</v>
      </c>
      <c r="IY171" s="447">
        <f>各项系数!$F$76/4*($NB171^2-$MZ171^2*$EG171-$NA171^2*$EO171)*10^-2</f>
        <v>0.343812667961956</v>
      </c>
      <c r="IZ171" s="366">
        <f t="shared" si="697"/>
        <v>1</v>
      </c>
      <c r="JA171" s="367">
        <f t="shared" si="606"/>
        <v>0.343812667961956</v>
      </c>
      <c r="JB171" s="364">
        <f>IF($DE171&lt;&gt;$JB$9,0,$JA171*各项系数!$F$32*10^-3*10^2)*各项系数!$J$4</f>
        <v>0</v>
      </c>
      <c r="JC171" s="123">
        <v>1</v>
      </c>
      <c r="JD171" s="251">
        <f t="shared" si="779"/>
        <v>0</v>
      </c>
      <c r="JE171" s="339">
        <f>JD171*各项系数!$E$32</f>
        <v>0</v>
      </c>
      <c r="JF171" s="364">
        <f>IF($DE171&lt;&gt;$JF$9,0,$JA171*VLOOKUP($JF$9,各项系数!$D$4:$F$540,2,0)*10^-3*10^2)*各项系数!$J$4</f>
        <v>0.171046802311073</v>
      </c>
      <c r="JG171" s="123">
        <v>1</v>
      </c>
      <c r="JH171" s="251">
        <f t="shared" si="607"/>
        <v>0.171046802311073</v>
      </c>
      <c r="JI171" s="339">
        <f>JH171*VLOOKUP($JF$9,各项系数!$D$4:$F$540,3,0)</f>
        <v>0.205256162773288</v>
      </c>
      <c r="JJ171" s="364">
        <f t="shared" si="780"/>
        <v>0.171046802311073</v>
      </c>
      <c r="JK171" s="251">
        <f t="shared" si="781"/>
        <v>0.205256162773288</v>
      </c>
      <c r="JL171" s="364">
        <f>IF($DF171&lt;&gt;$JL$9,0,各项系数!$F$76/4*($NE171^2-$NC171^2)*10^-2*各项系数!$F$39*10^-3*10^2)*各项系数!$J$4</f>
        <v>0.00131379043111698</v>
      </c>
      <c r="JM171" s="123">
        <v>1</v>
      </c>
      <c r="JN171" s="251">
        <f t="shared" si="782"/>
        <v>0.00131379043111698</v>
      </c>
      <c r="JO171" s="339">
        <f>JN171*各项系数!$E$39</f>
        <v>0.0262758086223396</v>
      </c>
      <c r="JP171" s="364">
        <f>IF($DF171&lt;&gt;$JP$9,0,各项系数!$F$76/4*($NE171^2-$NC171^2)*10^-2*各项系数!$F$36*10^-3*10^2)*各项系数!$J$4</f>
        <v>0</v>
      </c>
      <c r="JQ171" s="123">
        <v>1</v>
      </c>
      <c r="JR171" s="251">
        <f t="shared" si="783"/>
        <v>0</v>
      </c>
      <c r="JS171" s="339">
        <f>JR171*各项系数!$E$36</f>
        <v>0</v>
      </c>
      <c r="JT171" s="364">
        <f>IF($DF171&lt;&gt;$JT$9,0,各项系数!$F$76/4*($NE171^2-$NC171^2)*10^-2*各项系数!$F$40*10^-3*10^2)*各项系数!$J$4</f>
        <v>0</v>
      </c>
      <c r="JU171" s="123">
        <v>1</v>
      </c>
      <c r="JV171" s="251">
        <f t="shared" si="784"/>
        <v>0</v>
      </c>
      <c r="JW171" s="339">
        <f>JV171*各项系数!$E$40</f>
        <v>0</v>
      </c>
      <c r="JX171" s="364">
        <f>IF($DF171&lt;&gt;$JX$9,0,各项系数!$F$76/4*($NE171^2-$NC171^2)*10^-2*各项系数!$F$38*10^-3*10^2)*各项系数!$J$4</f>
        <v>0</v>
      </c>
      <c r="JY171" s="123">
        <v>1</v>
      </c>
      <c r="JZ171" s="251">
        <f t="shared" si="785"/>
        <v>0</v>
      </c>
      <c r="KA171" s="339">
        <f>JZ171*各项系数!$E$38</f>
        <v>0</v>
      </c>
      <c r="KB171" s="364">
        <f>IF($DF171&lt;&gt;$KB$9,0,各项系数!$F$76/4*($NE171^2-$NC171^2)*10^-2*各项系数!$F$41*10^-3*10^2)*各项系数!$J$4</f>
        <v>0</v>
      </c>
      <c r="KC171" s="123">
        <v>1</v>
      </c>
      <c r="KD171" s="251">
        <f t="shared" si="786"/>
        <v>0</v>
      </c>
      <c r="KE171" s="339">
        <f>KD171*各项系数!$E$41</f>
        <v>0</v>
      </c>
      <c r="KF171" s="251">
        <f t="shared" si="787"/>
        <v>0.00131379043111698</v>
      </c>
      <c r="KG171" s="251">
        <f t="shared" si="788"/>
        <v>0.0262758086223396</v>
      </c>
      <c r="KH171" s="302">
        <f>各项系数!$F$76/4*($NG171^2-$NE171^2)*10^-2*各项系数!$F$44*10^-3*10^2*各项系数!$J$4*0.75*$U171</f>
        <v>0.545372024655438</v>
      </c>
      <c r="KI171" s="123">
        <v>1</v>
      </c>
      <c r="KJ171" s="251">
        <f t="shared" si="789"/>
        <v>0.545372024655438</v>
      </c>
      <c r="KK171" s="251">
        <f>ROUND(KJ171*各项系数!$E$43,GT171)</f>
        <v>3.2</v>
      </c>
      <c r="KL171" s="302">
        <f>各项系数!$F$76/4*($NF171^2-$NE171^2)*10^-2*各项系数!$F$46*10^-3*10^2*各项系数!$J$4*PI()/4*R171</f>
        <v>0.01658716039589</v>
      </c>
      <c r="KM171" s="123">
        <v>1</v>
      </c>
      <c r="KN171" s="251">
        <f t="shared" si="790"/>
        <v>0.01658716039589</v>
      </c>
      <c r="KO171" s="251">
        <f>KN171*各项系数!$E$46</f>
        <v>1.11963332672258</v>
      </c>
      <c r="KP171" s="302">
        <f>各项系数!$F$76/4*($NH171^2-$NE171^2)*10^-2*(VLOOKUP($KP$9,各项系数!$D$1:$F$143,3,0))*10^-3*10^2*各项系数!$J$4</f>
        <v>0.070679402794052</v>
      </c>
      <c r="KQ171" s="123">
        <v>1</v>
      </c>
      <c r="KR171" s="251">
        <f t="shared" si="657"/>
        <v>0.070679402794052</v>
      </c>
      <c r="KS171" s="251">
        <f>KR171*(VLOOKUP($KP$9,各项系数!$D$1:$F$143,2,0))</f>
        <v>1.20154984749888</v>
      </c>
      <c r="KT171" s="302">
        <f>各项系数!$F$76/4*($NI171^2-$NF171^2)*10^-2*(VLOOKUP($KT$9,各项系数!$D$1:$F$143,3,0))*10^-3*10^2*各项系数!$J$4</f>
        <v>0.0715496490918376</v>
      </c>
      <c r="KU171" s="123">
        <v>1</v>
      </c>
      <c r="KV171" s="251">
        <f t="shared" si="658"/>
        <v>0.0715496490918376</v>
      </c>
      <c r="KW171" s="251">
        <f>KV171*(VLOOKUP($KT$9,各项系数!$D$1:$F$143,2,0))</f>
        <v>1.21634403456124</v>
      </c>
      <c r="KX171" s="251">
        <f>各项系数!$F$76/4*($NH171^2-$NE171^2)*10^-2*(VLOOKUP($KX$9,各项系数!$D$1:$F$143,3,0))*10^-3*10^2*各项系数!$J$4</f>
        <v>0.070679402794052</v>
      </c>
      <c r="KY171" s="479">
        <v>1</v>
      </c>
      <c r="KZ171" s="251">
        <f t="shared" si="659"/>
        <v>0.070679402794052</v>
      </c>
      <c r="LA171" s="251">
        <f>KZ171*(VLOOKUP($KX$9,各项系数!$D$1:$F$143,2,0))</f>
        <v>1.20154984749888</v>
      </c>
      <c r="LB171" s="251">
        <f>各项系数!$F$76/4*($NI171^2-$NF171^2)*10^-2*(VLOOKUP($LB$9,各项系数!$D$1:$F$143,3,0))*10^-3*10^2*各项系数!$J$4</f>
        <v>0.0715496490918376</v>
      </c>
      <c r="LC171" s="479">
        <v>1</v>
      </c>
      <c r="LD171" s="251">
        <f t="shared" si="660"/>
        <v>0.0715496490918376</v>
      </c>
      <c r="LE171" s="251">
        <f>LD171*(VLOOKUP($LB$9,各项系数!$D$1:$F$143,2,0))</f>
        <v>1.21634403456124</v>
      </c>
      <c r="LF171" s="302">
        <f>各项系数!$F$76/4*($NH171^2-$NE171^2)*10^-2*(VLOOKUP(AN171,各项系数!$D$1:$F$143,3,0))*10^-3*10^2*各项系数!$J$4</f>
        <v>0.0716542911084527</v>
      </c>
      <c r="LG171" s="123">
        <v>1</v>
      </c>
      <c r="LH171" s="251">
        <f t="shared" si="791"/>
        <v>0.0716542911084527</v>
      </c>
      <c r="LI171" s="251">
        <f>LH171*(VLOOKUP(AN171,各项系数!$D$1:$F$143,2,0))</f>
        <v>0.716542911084527</v>
      </c>
      <c r="LJ171" s="302">
        <f>各项系数!$F$76/4*($NI171^2-$NF171^2)*10^-2*(VLOOKUP(AN171,各项系数!$D$1:$F$143,3,0))*10^-3*10^2*各项系数!$J$4</f>
        <v>0.0725365408034492</v>
      </c>
      <c r="LK171" s="123">
        <v>1</v>
      </c>
      <c r="LL171" s="251">
        <f t="shared" si="792"/>
        <v>0.0725365408034492</v>
      </c>
      <c r="LM171" s="251">
        <f>LL171*(VLOOKUP(AN171,各项系数!$D$1:$F$143,2,0))</f>
        <v>0.725365408034492</v>
      </c>
      <c r="LN171" s="251">
        <f>各项系数!$F$76/4*($NH171^2-$NE171^2)*10^-2*(VLOOKUP($LN$9,各项系数!$D$1:$F$143,3,0))*10^-3*10^2*各项系数!$J$4</f>
        <v>0.0716542911084527</v>
      </c>
      <c r="LO171" s="479">
        <v>1</v>
      </c>
      <c r="LP171" s="251">
        <f t="shared" si="793"/>
        <v>0.0716542911084527</v>
      </c>
      <c r="LQ171" s="251">
        <f>LP171*(VLOOKUP($LN$9,各项系数!$D$1:$F$143,2,0))</f>
        <v>0.78819720219298</v>
      </c>
      <c r="LR171" s="251">
        <f>各项系数!$F$76/4*($NI171^2-$NF171^2)*10^-2*(VLOOKUP($LR$9,各项系数!$D$1:$F$143,3,0))*10^-3*10^2*各项系数!$J$4</f>
        <v>0.0725365408034492</v>
      </c>
      <c r="LS171" s="479">
        <v>1</v>
      </c>
      <c r="LT171" s="251">
        <f t="shared" si="794"/>
        <v>0.0725365408034492</v>
      </c>
      <c r="LU171" s="251">
        <f>LT171*(VLOOKUP($LR$9,各项系数!$D$1:$F$143,2,0))</f>
        <v>0.797901948837941</v>
      </c>
      <c r="LV171" s="499">
        <f t="shared" si="661"/>
        <v>11.43798975</v>
      </c>
      <c r="LW171" s="499">
        <f t="shared" si="662"/>
        <v>11.43798975</v>
      </c>
      <c r="LX171" s="499">
        <f t="shared" si="663"/>
        <v>3.8161893116007</v>
      </c>
      <c r="LY171" s="515">
        <f t="shared" si="664"/>
        <v>0</v>
      </c>
      <c r="LZ171" s="516">
        <f t="shared" si="608"/>
        <v>1</v>
      </c>
      <c r="MA171" s="517">
        <f t="shared" si="609"/>
        <v>11.43798975</v>
      </c>
      <c r="MB171" s="517">
        <f t="shared" si="665"/>
        <v>1.34922667</v>
      </c>
      <c r="MC171" s="499">
        <f t="shared" si="666"/>
        <v>0</v>
      </c>
      <c r="MD171" s="499">
        <f t="shared" si="667"/>
        <v>0</v>
      </c>
      <c r="ME171" s="499">
        <f t="shared" si="668"/>
        <v>0</v>
      </c>
      <c r="MF171" s="499">
        <f t="shared" si="669"/>
        <v>0</v>
      </c>
      <c r="MG171" s="516">
        <f t="shared" si="670"/>
        <v>1</v>
      </c>
      <c r="MH171" s="517">
        <f t="shared" si="610"/>
        <v>0</v>
      </c>
      <c r="MI171" s="517">
        <f t="shared" si="671"/>
        <v>0</v>
      </c>
      <c r="MJ171" s="251">
        <f t="shared" si="611"/>
        <v>1.34922667</v>
      </c>
      <c r="MK171" s="251">
        <f t="shared" si="672"/>
        <v>1.34922667</v>
      </c>
      <c r="ML171" s="251">
        <f t="shared" si="795"/>
        <v>0</v>
      </c>
      <c r="MM171" s="251">
        <f t="shared" si="612"/>
        <v>0</v>
      </c>
      <c r="MN171" s="251">
        <f t="shared" si="613"/>
        <v>2.74922667</v>
      </c>
      <c r="MO171" s="251">
        <f t="shared" si="673"/>
        <v>0</v>
      </c>
      <c r="MP171" s="251">
        <f t="shared" si="674"/>
        <v>9.48483201</v>
      </c>
      <c r="MQ171" s="251">
        <f t="shared" si="796"/>
        <v>9.48483201</v>
      </c>
      <c r="MR171" s="314">
        <f t="shared" si="675"/>
        <v>9.48483201</v>
      </c>
      <c r="MS171" s="530">
        <f t="shared" si="614"/>
        <v>9.66083201</v>
      </c>
      <c r="MT171" s="530">
        <f t="shared" si="615"/>
        <v>9.82083201</v>
      </c>
      <c r="MU171" s="530">
        <f t="shared" si="616"/>
        <v>10.86083201</v>
      </c>
      <c r="MV171" s="530">
        <f t="shared" si="617"/>
        <v>12.06083201</v>
      </c>
      <c r="MW171" s="530">
        <f t="shared" si="618"/>
        <v>12.22083201</v>
      </c>
      <c r="MX171" s="326">
        <f t="shared" si="619"/>
        <v>1.94922667</v>
      </c>
      <c r="MY171" s="326">
        <f t="shared" si="620"/>
        <v>0</v>
      </c>
      <c r="MZ171" s="251">
        <f t="shared" si="621"/>
        <v>3.34922667</v>
      </c>
      <c r="NA171" s="251">
        <f t="shared" si="622"/>
        <v>0</v>
      </c>
      <c r="NB171" s="251">
        <f t="shared" si="676"/>
        <v>11.55483201</v>
      </c>
      <c r="NC171" s="326">
        <f t="shared" si="797"/>
        <v>11.55483201</v>
      </c>
      <c r="ND171" s="314">
        <f t="shared" si="677"/>
        <v>11.55483201</v>
      </c>
      <c r="NE171" s="537">
        <f t="shared" si="678"/>
        <v>11.79483201</v>
      </c>
      <c r="NF171" s="530">
        <f t="shared" si="623"/>
        <v>11.95483201</v>
      </c>
      <c r="NG171" s="538">
        <f t="shared" si="624"/>
        <v>12.99483201</v>
      </c>
      <c r="NH171" s="326">
        <f t="shared" si="625"/>
        <v>14.19483201</v>
      </c>
      <c r="NI171" s="530">
        <f t="shared" si="626"/>
        <v>14.35483201</v>
      </c>
      <c r="NK171" s="539">
        <f t="shared" si="627"/>
        <v>0.230788703410401</v>
      </c>
      <c r="NL171" s="539">
        <f t="shared" si="628"/>
        <v>7.79624237620876</v>
      </c>
      <c r="NM171" s="539">
        <f t="shared" si="629"/>
        <v>0.230788703410401</v>
      </c>
      <c r="NN171" s="539">
        <f t="shared" si="630"/>
        <v>7.8561296620102</v>
      </c>
      <c r="NO171" s="539">
        <f t="shared" si="631"/>
        <v>0.414761297869141</v>
      </c>
      <c r="NP171" s="539">
        <f t="shared" si="632"/>
        <v>8.6256726221057</v>
      </c>
      <c r="NQ171" s="539">
        <f t="shared" si="633"/>
        <v>0.414761297869141</v>
      </c>
      <c r="NR171" s="539">
        <f t="shared" si="634"/>
        <v>8.69732691321415</v>
      </c>
      <c r="NS171" s="539">
        <f t="shared" si="635"/>
        <v>0.244395021613743</v>
      </c>
      <c r="NT171" s="539">
        <f t="shared" si="636"/>
        <v>0.244395021613743</v>
      </c>
      <c r="NU171" s="539">
        <f t="shared" si="637"/>
        <v>0.431348458265031</v>
      </c>
      <c r="NV171" s="539">
        <f t="shared" si="638"/>
        <v>0.431348458265031</v>
      </c>
      <c r="NW171">
        <f t="shared" si="639"/>
        <v>0.38128074513199</v>
      </c>
      <c r="NX171">
        <f>各项系数!$M$9*NK171</f>
        <v>0.0692366110231203</v>
      </c>
      <c r="NY171">
        <f t="shared" si="640"/>
        <v>0.244395021613743</v>
      </c>
    </row>
    <row r="172" customHeight="1" spans="1:389">
      <c r="A172" s="85"/>
      <c r="B172" s="86"/>
      <c r="C172" s="218"/>
      <c r="D172" s="123" t="s">
        <v>383</v>
      </c>
      <c r="E172" s="77">
        <f t="shared" si="687"/>
        <v>14.77290668</v>
      </c>
      <c r="F172" s="559">
        <f t="shared" si="798"/>
        <v>134.922667214547</v>
      </c>
      <c r="G172" s="23"/>
      <c r="H172" s="23"/>
      <c r="I172" s="174">
        <v>0</v>
      </c>
      <c r="J172" s="23"/>
      <c r="K172" s="23"/>
      <c r="L172" s="118" t="s">
        <v>469</v>
      </c>
      <c r="M172" s="124">
        <f t="shared" si="582"/>
        <v>0.7</v>
      </c>
      <c r="N172" s="124">
        <f t="shared" ref="N172:N206" si="804">IF(EM172=0,0,VLOOKUP(EM172,$A$12:$C$46,3,0))</f>
        <v>0</v>
      </c>
      <c r="O172" s="69">
        <f t="shared" si="801"/>
        <v>0.08</v>
      </c>
      <c r="P172" s="120">
        <v>0.1</v>
      </c>
      <c r="Q172" s="162">
        <f t="shared" si="754"/>
        <v>0.1</v>
      </c>
      <c r="R172" s="560">
        <v>0.8</v>
      </c>
      <c r="S172" s="171" t="str">
        <f>各项系数!$D$43</f>
        <v>钢带</v>
      </c>
      <c r="T172" s="123">
        <v>0.2</v>
      </c>
      <c r="U172" s="78">
        <v>4</v>
      </c>
      <c r="V172" s="172"/>
      <c r="W172" s="561">
        <v>1.8</v>
      </c>
      <c r="X172" s="164">
        <f t="shared" si="755"/>
        <v>0.2</v>
      </c>
      <c r="Y172" s="219"/>
      <c r="Z172" s="220"/>
      <c r="AA172" s="217">
        <v>1</v>
      </c>
      <c r="AB172" s="186">
        <f>PI()*EJ172*EJ172/4*EH172*(1-H172)*AA172*各项系数!$F$5*各项系数!$J$4*10^-7</f>
        <v>0.0126469138144438</v>
      </c>
      <c r="AC172" s="186">
        <f t="shared" si="704"/>
        <v>134.922667214547</v>
      </c>
      <c r="AD172" s="186">
        <f t="shared" si="584"/>
        <v>1.42974872274124</v>
      </c>
      <c r="AE172" s="186">
        <f>POWER(4*EU172/PI()/EG172/10^-7/EH172/(1-H172)/各项系数!$F$5/各项系数!$J$4,0.5)</f>
        <v>134.922667214547</v>
      </c>
      <c r="AF172" s="218">
        <v>1</v>
      </c>
      <c r="AG172" s="85">
        <f>IF(EM172=0,0,PI()*ER172*ER172/4*EP172*(1-K172)*(1+AF172)*各项系数!$F$5*各项系数!$J$4*10^-7)</f>
        <v>0</v>
      </c>
      <c r="AH172" s="85">
        <f t="shared" si="705"/>
        <v>0</v>
      </c>
      <c r="AI172" s="85">
        <f t="shared" si="641"/>
        <v>0</v>
      </c>
      <c r="AJ172" s="85">
        <f>IF(OR(EP172="",EP172=0),0,POWER(4*EW172/PI()/EO172/10^-7/EP172/(1-K172)/各项系数!$F$5/各项系数!$J$4,0.5))</f>
        <v>0</v>
      </c>
      <c r="AK172" s="85" t="str">
        <f t="shared" si="585"/>
        <v>√</v>
      </c>
      <c r="AL172" s="85">
        <f t="shared" si="706"/>
        <v>10.6930207204653</v>
      </c>
      <c r="AM172" s="250">
        <f t="shared" si="707"/>
        <v>1.5</v>
      </c>
      <c r="AN172" s="118" t="s">
        <v>486</v>
      </c>
      <c r="AO172" s="259">
        <f>AP172+各项系数!$M$9*$NK172</f>
        <v>10.483353647515</v>
      </c>
      <c r="AP172" s="259">
        <f>AQ172*(1+$BI172+(VLOOKUP($AM172,$A$12:$B$323,2,0))+各项系数!$J$6+各项系数!$M$5)*(1+$E$2)</f>
        <v>10.3847620669235</v>
      </c>
      <c r="AQ172" s="260">
        <f>AR172+各项系数!$L$9*$NK172</f>
        <v>10.4917782046105</v>
      </c>
      <c r="AR172" s="260">
        <f>AS172*(1+$BJ172+各项系数!$J$5+各项系数!$L$5)</f>
        <v>10.3931866240191</v>
      </c>
      <c r="AS172" s="260">
        <f t="shared" si="642"/>
        <v>10.090472450504</v>
      </c>
      <c r="AT172" s="259">
        <f>AU172+各项系数!$M$9*$NM172</f>
        <v>11.2237947307391</v>
      </c>
      <c r="AU172" s="259">
        <f>AV172*(1+$BI172+(VLOOKUP($AM172,$A$12:$B$323,2,0))+各项系数!$J$6+各项系数!$M$5)*(1+$E$2)</f>
        <v>11.1252031501477</v>
      </c>
      <c r="AV172" s="260">
        <f>AW172+各项系数!$L$9*$NM172</f>
        <v>11.2398496162333</v>
      </c>
      <c r="AW172" s="260">
        <f>AX172*(1+$BJ172+各项系数!$J$5+各项系数!$L$5)</f>
        <v>11.1412580356418</v>
      </c>
      <c r="AX172" s="260">
        <f t="shared" si="643"/>
        <v>10.8167553744095</v>
      </c>
      <c r="AY172" s="259">
        <f>AZ172+各项系数!$M$9*$NS172</f>
        <v>11.5879056794732</v>
      </c>
      <c r="AZ172" s="259">
        <f>BA172*(1+$BI172+(VLOOKUP($AM172,$A$12:$B$214,2,0))+各项系数!$J$6+各项系数!$M$5)*(1+$E$2)</f>
        <v>11.4845985685602</v>
      </c>
      <c r="BA172" s="260">
        <f>BB172+各项系数!$L$9*$NS172</f>
        <v>11.6029486447366</v>
      </c>
      <c r="BB172" s="260">
        <f>BC172*(1+$BJ172+各项系数!$J$5+各项系数!$L$5)</f>
        <v>11.4996415338236</v>
      </c>
      <c r="BC172" s="262">
        <f t="shared" si="644"/>
        <v>11.1647005182753</v>
      </c>
      <c r="BD172" s="259">
        <f>BE172+各项系数!$M$9*$NS172</f>
        <v>12.3374789160566</v>
      </c>
      <c r="BE172" s="259">
        <f>BF172*(1+$BI172+(VLOOKUP($AM172,$A$12:$B$214,2,0))+各项系数!$J$6+各项系数!$M$5)*(1+$E$2)</f>
        <v>12.2341718051436</v>
      </c>
      <c r="BF172" s="260">
        <f>BG172+各项系数!$L$9*$NS172</f>
        <v>12.3602463175829</v>
      </c>
      <c r="BG172" s="260">
        <f>BH172*(1+$BJ172+各项系数!$J$5+各项系数!$L$5)</f>
        <v>12.2569392066699</v>
      </c>
      <c r="BH172" s="262">
        <f t="shared" si="645"/>
        <v>11.8999409773494</v>
      </c>
      <c r="BI172" s="277"/>
      <c r="BJ172" s="272">
        <f t="shared" si="800"/>
        <v>0.01</v>
      </c>
      <c r="BK172" s="123" t="s">
        <v>514</v>
      </c>
      <c r="BL172" s="259">
        <f>BM172+各项系数!$M$9*$NM172</f>
        <v>10.6936829983486</v>
      </c>
      <c r="BM172" s="259">
        <f>BN172*(1+$CF172+(VLOOKUP($AM172,$A$12:$B$323,2,0))+各项系数!$J$6+各项系数!$M$5)*(1+$E$2)</f>
        <v>10.5950914177571</v>
      </c>
      <c r="BN172" s="260">
        <f>BO172+各项系数!$L$9*$NM172</f>
        <v>10.7042750229916</v>
      </c>
      <c r="BO172" s="260">
        <f>BP172*(1+$CG172+各项系数!$J$5+各项系数!$L$5)</f>
        <v>10.6056834424002</v>
      </c>
      <c r="BP172" s="260">
        <f t="shared" si="646"/>
        <v>10.1977725407694</v>
      </c>
      <c r="BQ172" s="259">
        <f>BR172+各项系数!$M$9*$NM172</f>
        <v>11.330858975435</v>
      </c>
      <c r="BR172" s="259">
        <f>BS172*(1+$CF172+(VLOOKUP($AM172,$A$12:$B$323,2,0))+各项系数!$J$6+各项系数!$M$5)*(1+$E$2)</f>
        <v>11.2322673948436</v>
      </c>
      <c r="BS172" s="260">
        <f>BT172+各项系数!$L$9*$NM172</f>
        <v>11.3480171699774</v>
      </c>
      <c r="BT172" s="260">
        <f>BU172*(1+$CG172+各项系数!$J$5+各项系数!$L$5)</f>
        <v>11.2494255893859</v>
      </c>
      <c r="BU172" s="260">
        <f t="shared" si="647"/>
        <v>10.8167553744095</v>
      </c>
      <c r="BV172" s="259">
        <f>BW172+各项系数!$M$9*$NT172</f>
        <v>11.7161557489498</v>
      </c>
      <c r="BW172" s="259">
        <f>BX172*(1+$CF172+(VLOOKUP($AM172,$A$12:$B$214,2,0))+各项系数!$J$6+各项系数!$M$5)*(1+$E$2)</f>
        <v>11.6128486380368</v>
      </c>
      <c r="BX172" s="260">
        <f>BY172+各项系数!$L$9*$NT$12</f>
        <v>11.7325203455615</v>
      </c>
      <c r="BY172" s="260">
        <f>BZ172*(1+$CG172+各项系数!$J$5+各项系数!$L$5)</f>
        <v>11.7242569424066</v>
      </c>
      <c r="BZ172" s="262">
        <f t="shared" si="586"/>
        <v>11.2733239830832</v>
      </c>
      <c r="CA172" s="259">
        <f>CB172+各项系数!$M$9*$NT172</f>
        <v>12.3611902699115</v>
      </c>
      <c r="CB172" s="259">
        <f>CC172*(1+$CF172+(VLOOKUP($AM172,$A$12:$B$214,2,0))+各项系数!$J$6+各项系数!$M$5)*(1+$E$2)</f>
        <v>12.2578831589985</v>
      </c>
      <c r="CC172" s="260">
        <f>CD172+各项系数!$L$9*$NT$12</f>
        <v>12.3842020195984</v>
      </c>
      <c r="CD172" s="260">
        <f>CE172*(1+$CG172+各项系数!$J$5+各项系数!$L$5)</f>
        <v>12.3759386164434</v>
      </c>
      <c r="CE172" s="262">
        <f t="shared" si="648"/>
        <v>11.8999409773494</v>
      </c>
      <c r="CF172" s="277">
        <f t="shared" si="753"/>
        <v>0</v>
      </c>
      <c r="CG172" s="277">
        <f t="shared" si="587"/>
        <v>0.02</v>
      </c>
      <c r="CH172" s="123"/>
      <c r="CI172" s="259">
        <f>CJ172+各项系数!$M$9*$NO172</f>
        <v>11.8986216311496</v>
      </c>
      <c r="CJ172" s="259">
        <f>CK172*(1+$DC172+(VLOOKUP($AM172,$A$12:$B$323,2,0))+各项系数!$J$6+各项系数!$M$5)*(1+$E$2)+各项系数!$M$9*$NK172</f>
        <v>11.7169372787688</v>
      </c>
      <c r="CK172" s="260">
        <f>CL172+各项系数!$L$9*$NO172</f>
        <v>11.7380740535233</v>
      </c>
      <c r="CL172" s="260">
        <f>CM172*(1+$DD172+各项系数!$J$5+各项系数!$L$5)</f>
        <v>11.5563897011425</v>
      </c>
      <c r="CM172" s="260">
        <f t="shared" si="588"/>
        <v>11.2197958263519</v>
      </c>
      <c r="CN172" s="259">
        <f>CO172+各项系数!$M$9*$NO172</f>
        <v>12.4312901638765</v>
      </c>
      <c r="CO172" s="259">
        <f>CP172*(1+$DC172+(VLOOKUP($AM172,$A$12:$B$323,2,0))+各项系数!$J$6+各项系数!$M$5)*(1+$E$2)+各项系数!$M$9*$NK172</f>
        <v>12.2496058114957</v>
      </c>
      <c r="CP172" s="260">
        <f>CQ172+各项系数!$L$9*$NO172</f>
        <v>12.2762317952155</v>
      </c>
      <c r="CQ172" s="260">
        <f>CR172*(1+$DD172+各项系数!$J$5+各项系数!$L$5)</f>
        <v>12.0945474428347</v>
      </c>
      <c r="CR172" s="260">
        <f t="shared" si="589"/>
        <v>11.7422790707133</v>
      </c>
      <c r="CS172" s="259">
        <f>CT172+各项系数!$M$9*$NU172</f>
        <v>13.1434868095452</v>
      </c>
      <c r="CT172" s="259">
        <f t="shared" si="590"/>
        <v>12.9560543876916</v>
      </c>
      <c r="CU172" s="260">
        <f>CV172+各项系数!$L$9*$NU172</f>
        <v>13.0895679810988</v>
      </c>
      <c r="CV172" s="260">
        <f>CW172*(1+$DD172+各项系数!$J$5+各项系数!$L$5)</f>
        <v>12.9021355592452</v>
      </c>
      <c r="CW172" s="262">
        <f t="shared" si="591"/>
        <v>12.5263452031507</v>
      </c>
      <c r="CX172" s="259">
        <f>CY172+各项系数!$M$9*$NU172</f>
        <v>14.0336952078596</v>
      </c>
      <c r="CY172" s="259">
        <f t="shared" si="592"/>
        <v>13.846262786006</v>
      </c>
      <c r="CZ172" s="260">
        <f>DA172+各项系数!$L$9*$NU172</f>
        <v>13.9889500767893</v>
      </c>
      <c r="DA172" s="260">
        <f>DB172*(1+$DD172+各项系数!$J$5+各项系数!$L$5)</f>
        <v>13.8015176549357</v>
      </c>
      <c r="DB172" s="262">
        <f t="shared" si="593"/>
        <v>13.3995317038211</v>
      </c>
      <c r="DC172" s="277">
        <f t="shared" si="803"/>
        <v>0</v>
      </c>
      <c r="DD172" s="277">
        <f t="shared" si="594"/>
        <v>0.01</v>
      </c>
      <c r="DE172" s="69" t="s">
        <v>498</v>
      </c>
      <c r="DF172" s="69" t="s">
        <v>513</v>
      </c>
      <c r="DG172" s="259">
        <f>DH172+各项系数!$M$9*$NQ172</f>
        <v>12.1411080007299</v>
      </c>
      <c r="DH172" s="259">
        <f>DI172*(1+$EA172+(VLOOKUP($AM172,$A$12:$B$323,2,0))+各项系数!$J$6+各项系数!$M$5)*(1+$E$2)+各项系数!$M$9*$NK172</f>
        <v>11.9594236483491</v>
      </c>
      <c r="DI172" s="260">
        <f>DJ172+各项系数!$L$9*$NQ172</f>
        <v>11.9830592723354</v>
      </c>
      <c r="DJ172" s="260">
        <f>DK172*(1+$EB172+各项系数!$J$5+各项系数!$L$5)</f>
        <v>11.8013749199546</v>
      </c>
      <c r="DK172" s="260">
        <f t="shared" si="595"/>
        <v>11.3474758845718</v>
      </c>
      <c r="DL172" s="259">
        <f>DM172+各项系数!$M$9*$NQ172</f>
        <v>12.8993055534946</v>
      </c>
      <c r="DM172" s="259">
        <f>DN172*(1+$EA172+(VLOOKUP($AM172,$A$12:$B$323,2,0))+各项系数!$J$6+各项系数!$M$5)*(1+$E$2)+各项系数!$M$9*$NK172</f>
        <v>12.7176212011138</v>
      </c>
      <c r="DN172" s="260">
        <f>DO172+各项系数!$L$9*$NQ172</f>
        <v>12.7490701359086</v>
      </c>
      <c r="DO172" s="260">
        <f>DP172*(1+$EB172+各项系数!$J$5+各项系数!$L$5)</f>
        <v>12.5673857835278</v>
      </c>
      <c r="DP172" s="260">
        <f t="shared" si="596"/>
        <v>12.0840247918537</v>
      </c>
      <c r="DQ172" s="259">
        <f>DR172+各项系数!$M$9*$NV172</f>
        <v>13.400267676024</v>
      </c>
      <c r="DR172" s="259">
        <f t="shared" si="597"/>
        <v>13.2128352541705</v>
      </c>
      <c r="DS172" s="260">
        <f>DT172+各项系数!$L$9*$NV172</f>
        <v>13.3489950032031</v>
      </c>
      <c r="DT172" s="260">
        <f>DU172*(1+$EB172+各项系数!$J$5+各项系数!$L$5)</f>
        <v>13.1615625813496</v>
      </c>
      <c r="DU172" s="262">
        <f t="shared" si="598"/>
        <v>12.6553486359131</v>
      </c>
      <c r="DV172" s="259">
        <f>DW172+各项系数!$M$9*$NV172</f>
        <v>13.4114724398257</v>
      </c>
      <c r="DW172" s="259">
        <f t="shared" si="599"/>
        <v>13.2240400179721</v>
      </c>
      <c r="DX172" s="260">
        <f>DY172+各项系数!$L$9*$NV172</f>
        <v>13.3603152333523</v>
      </c>
      <c r="DY172" s="260">
        <f>DZ172*(1+$EB172+各项系数!$J$5+各项系数!$L$5)</f>
        <v>13.1728828114988</v>
      </c>
      <c r="DZ172" s="262">
        <f t="shared" si="600"/>
        <v>12.666233472595</v>
      </c>
      <c r="EA172" s="277">
        <f t="shared" si="802"/>
        <v>0</v>
      </c>
      <c r="EB172" s="277">
        <f t="shared" si="601"/>
        <v>0.02</v>
      </c>
      <c r="EC172" s="302">
        <f t="shared" si="649"/>
        <v>10</v>
      </c>
      <c r="ED172" s="302" t="str">
        <f t="shared" si="756"/>
        <v>10*1.5</v>
      </c>
      <c r="EE172" s="251">
        <f t="shared" si="709"/>
        <v>1.5</v>
      </c>
      <c r="EF172" s="251">
        <f>LOOKUP(EH172,{1,7,10,14,19,24,30,37,48,61},{1,"1+6","2+8","4+10","1+6+12","2+8+14","4+10+16","1+6+12+18","3+9+15+21","1+6+12+18+24"})</f>
        <v>1</v>
      </c>
      <c r="EG172" s="250">
        <f t="shared" si="602"/>
        <v>10</v>
      </c>
      <c r="EH172" s="260">
        <f>VLOOKUP(EE172,各项系数!$B$87:$C$124,2,0)</f>
        <v>1</v>
      </c>
      <c r="EI172" s="250">
        <f>IF(EH172=0,0,VLOOKUP(EH172,各项系数!$D$142:$E$195,2,0))*1</f>
        <v>1</v>
      </c>
      <c r="EJ172" s="305">
        <f t="shared" si="650"/>
        <v>134.922667214547</v>
      </c>
      <c r="EK172" s="251">
        <f t="shared" si="689"/>
        <v>0</v>
      </c>
      <c r="EL172" s="251">
        <f t="shared" si="603"/>
        <v>0</v>
      </c>
      <c r="EM172" s="251">
        <f t="shared" si="690"/>
        <v>0</v>
      </c>
      <c r="EN172" s="251">
        <f>IF(EP172=0,0,LOOKUP(EP172,{1,7,10,14,19,24,30,37,48,61},{1,"1+6","2+8","4+10","1+6+12","2+8+14","4+10+16","1+6+12+18","3+9+15+21","1+6+12+18+24"}))</f>
        <v>0</v>
      </c>
      <c r="EO172" s="251">
        <f t="shared" si="691"/>
        <v>0</v>
      </c>
      <c r="EP172" s="251">
        <f>IF(EM172=0,0,IF(EM172&lt;10,1,IF(AND(EM172&gt;=10,EM172&lt;=35),7,LOOKUP(EM172,{50,70,95,120,150,185,240,300},{10,14,19,24,30,37,48,61})*1)))</f>
        <v>0</v>
      </c>
      <c r="EQ172" s="251">
        <f>IF(EP172=0,0,VLOOKUP(EP172,各项系数!$D$142:$E$195,2,0))*1</f>
        <v>0</v>
      </c>
      <c r="ER172" s="69">
        <f t="shared" si="710"/>
        <v>0</v>
      </c>
      <c r="ES172" s="566">
        <f t="shared" si="692"/>
        <v>10</v>
      </c>
      <c r="ET172" s="251">
        <f>VLOOKUP(ES172,各项系数!$D$142:$E$195,2,0)*1</f>
        <v>4</v>
      </c>
      <c r="EU172" s="311">
        <f>((各项系数!$F$76/4*$EJ172^2*$EG172*$EH172*1*10^-7)*(1-$H172)*AA172)*(VLOOKUP($EY$9,各项系数!$D$4:$F$143,3,0))*各项系数!$J$4</f>
        <v>0.126469138144438</v>
      </c>
      <c r="EV172" s="312">
        <f>EU172*(VLOOKUP($EY$9,各项系数!$D$4:$F$143,2,0))</f>
        <v>8.28372854846068</v>
      </c>
      <c r="EW172" s="324">
        <f>(IF($EO172=0,0,(各项系数!$F$76/4*$ER172^2*$EO172*$EP172*1*10^-7))*(1-$K172)*$AF172)*(VLOOKUP($EY$9,各项系数!$D$4:$F$143,3,0))*各项系数!$J$4</f>
        <v>0</v>
      </c>
      <c r="EX172" s="325">
        <f>EW172*(VLOOKUP($EY$9,各项系数!$D$4:$F$143,2,0))</f>
        <v>0</v>
      </c>
      <c r="EY172" s="251">
        <f>((各项系数!$F$76/4*$EJ172^2*$EG172*$EH172*1*10^-7)*(1-$H172)*AA172+IF($EO172=0,0,(各项系数!$F$76/4*$ER172^2*$EO172*$EP172*1*10^-7))*(1-$K172)*$AF172)*(VLOOKUP($EY$9,各项系数!$D$4:$F$143,3,0))*各项系数!$J$4</f>
        <v>0.126469138144438</v>
      </c>
      <c r="EZ172" s="123">
        <v>1</v>
      </c>
      <c r="FA172" s="251">
        <f t="shared" si="757"/>
        <v>0.126469138144438</v>
      </c>
      <c r="FB172" s="326">
        <f>FA172*(VLOOKUP($EY$9,各项系数!$D$4:$F$143,2,0))</f>
        <v>8.28372854846068</v>
      </c>
      <c r="FC172" s="327"/>
      <c r="FD172" s="302">
        <f>各项系数!$F$76/4*($MN172^2-MK172^2)*10^-2*(VLOOKUP(L172,各项系数!$D$1:$F$143,3,0))*10^-3*10^2*$EG172*各项系数!$J$4</f>
        <v>0.049323476315592</v>
      </c>
      <c r="FE172" s="339">
        <f>FD172*VLOOKUP(L172,各项系数!$D$1:$F$143,2,0)</f>
        <v>0.567219977629308</v>
      </c>
      <c r="FF172" s="250">
        <f>各项系数!$F$76/4*($MO172^2-ML172^2)*10^-2*(VLOOKUP(L172,各项系数!$D$1:$F$143,3,0))*10^-3*10^2*$EO172*各项系数!$J$4</f>
        <v>0</v>
      </c>
      <c r="FG172" s="339">
        <f>FF172*VLOOKUP(L172,各项系数!$D$1:$F$143,2,0)</f>
        <v>0</v>
      </c>
      <c r="FH172" s="302">
        <f t="shared" si="651"/>
        <v>0.049323476315592</v>
      </c>
      <c r="FI172" s="123">
        <v>1</v>
      </c>
      <c r="FJ172" s="251">
        <f t="shared" si="758"/>
        <v>0.049323476315592</v>
      </c>
      <c r="FK172" s="339">
        <f>FJ172*VLOOKUP(L172,各项系数!$D$1:$F$143,2,0)</f>
        <v>0.567219977629308</v>
      </c>
      <c r="FL172" s="302"/>
      <c r="FM172" s="123"/>
      <c r="FN172" s="251"/>
      <c r="FO172" s="339"/>
      <c r="FP172" s="364">
        <f t="shared" si="759"/>
        <v>0.049323476315592</v>
      </c>
      <c r="FQ172" s="364">
        <f t="shared" si="760"/>
        <v>0.567219977629308</v>
      </c>
      <c r="FR172" s="365">
        <f>各项系数!$F$76/4*($MQ172^2-$MN172^2*$EG172-$MO172^2*$EO172)*10^-2</f>
        <v>0.356174012076169</v>
      </c>
      <c r="FS172" s="366">
        <f t="shared" si="652"/>
        <v>1</v>
      </c>
      <c r="FT172" s="367">
        <f t="shared" si="604"/>
        <v>0.356174012076169</v>
      </c>
      <c r="FU172" s="388">
        <f>$FT172*(VLOOKUP($FT$9,各项系数!$D$1:$F$143,3,0))*10^-3*10^2*各项系数!$J$55</f>
        <v>0.0425271770418946</v>
      </c>
      <c r="FV172" s="389">
        <v>1</v>
      </c>
      <c r="FW172" s="390">
        <f t="shared" si="761"/>
        <v>0.0425271770418946</v>
      </c>
      <c r="FX172" s="367">
        <f>FW172*(VLOOKUP($FT$9,各项系数!$D$1:$F$143,2,0))</f>
        <v>0.127581531125684</v>
      </c>
      <c r="FY172" s="388">
        <f>IF($BK172&lt;&gt;$FY$9,0,各项系数!$F$76/4*($MS172^2-$MQ172^2)*10^-2*(VLOOKUP($FY$9,各项系数!$D$1:$F$143,3,0))*10^-3*10^2)*各项系数!$J$4</f>
        <v>0</v>
      </c>
      <c r="FZ172" s="389">
        <v>1</v>
      </c>
      <c r="GA172" s="390">
        <f t="shared" si="762"/>
        <v>0</v>
      </c>
      <c r="GB172" s="367">
        <f>GA172*(VLOOKUP($FY$9,各项系数!$D$1:$F$143,2,0))</f>
        <v>0</v>
      </c>
      <c r="GC172" s="388">
        <f>IF($BK172&lt;&gt;$GC$9,0,各项系数!$F$76/4*($MS172^2-$MQ172^2)*10^-2*(VLOOKUP($GC$9,各项系数!$D$1:$F$143,3,0))*10^-3*10^2)*各项系数!$J$4</f>
        <v>0.00301872020417543</v>
      </c>
      <c r="GD172" s="389">
        <v>1</v>
      </c>
      <c r="GE172" s="390">
        <f t="shared" si="763"/>
        <v>0.00301872020417543</v>
      </c>
      <c r="GF172" s="367">
        <f>GE172*(VLOOKUP($GC$9,各项系数!$D$1:$F$143,2,0))</f>
        <v>0.0389414906338631</v>
      </c>
      <c r="GG172" s="388">
        <f>IF($BK172&lt;&gt;$GG$9,0,各项系数!$F$76/4*($MS172^2-$MQ172^2)*10^-2*(VLOOKUP($GG$9,各项系数!$D$1:$F$143,3,0))*10^-3*10^2)*各项系数!$J$4</f>
        <v>0</v>
      </c>
      <c r="GH172" s="389">
        <v>1</v>
      </c>
      <c r="GI172" s="390">
        <f t="shared" si="764"/>
        <v>0</v>
      </c>
      <c r="GJ172" s="367">
        <f>GI172*(VLOOKUP($GG$9,各项系数!$D$1:$F$143,2,0))</f>
        <v>0</v>
      </c>
      <c r="GK172" s="388">
        <f>IF($BK172&lt;&gt;$GK$9,0,各项系数!$F$76/4*($MS172^2-$MQ172^2)*10^-2*(VLOOKUP($GK$9,各项系数!$D$1:$F$143,3,0))*10^-3*10^2)*各项系数!$J$4</f>
        <v>0</v>
      </c>
      <c r="GL172" s="389">
        <v>1</v>
      </c>
      <c r="GM172" s="390">
        <f t="shared" si="765"/>
        <v>0</v>
      </c>
      <c r="GN172" s="367">
        <f>GM172*(VLOOKUP($GK$9,各项系数!$D$1:$F$143,2,0))</f>
        <v>0</v>
      </c>
      <c r="GO172" s="390">
        <f t="shared" si="766"/>
        <v>0.00301872020417543</v>
      </c>
      <c r="GP172" s="390">
        <f t="shared" si="767"/>
        <v>0.0389414906338631</v>
      </c>
      <c r="GQ172" s="406">
        <f>各项系数!$F$76/4*($MU172^2-$MS172^2)*10^-2*(VLOOKUP($S172,各项系数!$D$1:$F$143,3,0))*10^-3*10^2*各项系数!$J$4</f>
        <v>0.172669113142506</v>
      </c>
      <c r="GR172" s="389">
        <v>1</v>
      </c>
      <c r="GS172" s="390">
        <f t="shared" si="768"/>
        <v>0.172669113142506</v>
      </c>
      <c r="GT172" s="390">
        <f t="shared" si="696"/>
        <v>1</v>
      </c>
      <c r="GU172" s="390">
        <f>ROUND($GS172*(VLOOKUP($S172,各项系数!$D$1:$F$143,2,0))+$E$3*GS172,GT172)</f>
        <v>1</v>
      </c>
      <c r="GV172" s="406">
        <f>各项系数!$F$76/4*($MT172^2-$MS172^2)*10^-2*(VLOOKUP($GV$9,各项系数!$D$1:$F$143,3,0))*10^-3*10^2*各项系数!$J$4*PI()/4*R172</f>
        <v>0.0157184344051317</v>
      </c>
      <c r="GW172" s="389">
        <v>1</v>
      </c>
      <c r="GX172" s="390">
        <f t="shared" si="769"/>
        <v>0.0157184344051317</v>
      </c>
      <c r="GY172" s="390">
        <f>$GX172*(VLOOKUP($GV$9,各项系数!$D$1:$F$143,2,0))</f>
        <v>1.06099432234639</v>
      </c>
      <c r="GZ172" s="406">
        <f>各项系数!$F$76/4*($MV172^2-$MS172^2)*10^-2*(VLOOKUP($GZ$9,各项系数!$D$1:$F$143,3,0))*10^-3*10^2*各项系数!$J$4</f>
        <v>0.105840225091763</v>
      </c>
      <c r="HA172" s="389">
        <v>1</v>
      </c>
      <c r="HB172" s="390">
        <f t="shared" si="653"/>
        <v>0.105840225091763</v>
      </c>
      <c r="HC172" s="390">
        <f>HB172*(VLOOKUP($GZ$9,各项系数!$D$1:$F$143,2,0))</f>
        <v>1.79928382655998</v>
      </c>
      <c r="HD172" s="406">
        <f>各项系数!$F$76/4*($MW172^2-$MT172^2)*10^-2*(VLOOKUP($HD$9,各项系数!$D$1:$F$143,3,0))*10^-3*10^2*各项系数!$J$4</f>
        <v>0.107145594538442</v>
      </c>
      <c r="HE172" s="389">
        <v>1</v>
      </c>
      <c r="HF172" s="390">
        <f t="shared" si="654"/>
        <v>0.107145594538442</v>
      </c>
      <c r="HG172" s="390">
        <f>HF172*(VLOOKUP($HD$9,各项系数!$D$1:$F$143,2,0))</f>
        <v>1.82147510715351</v>
      </c>
      <c r="HH172" s="406">
        <f>各项系数!$F$76/4*($MV172^2-$MS172^2)*10^-2*(VLOOKUP($HH$9,各项系数!$D$1:$F$143,3,0))*10^-3*10^2*各项系数!$J$4</f>
        <v>0.105840225091763</v>
      </c>
      <c r="HI172" s="420">
        <v>1</v>
      </c>
      <c r="HJ172" s="390">
        <f t="shared" si="655"/>
        <v>0.105840225091763</v>
      </c>
      <c r="HK172" s="390">
        <f>HJ172*(VLOOKUP($HH$9,各项系数!$D$1:$F$143,2,0))</f>
        <v>1.79928382655998</v>
      </c>
      <c r="HL172" s="406">
        <f>各项系数!$F$76/4*($MW172^2-$MT172^2)*10^-2*(VLOOKUP($HL$9,各项系数!$D$1:$F$143,3,0))*10^-3*10^2*各项系数!$J$4</f>
        <v>0.107145594538442</v>
      </c>
      <c r="HM172" s="420">
        <v>1</v>
      </c>
      <c r="HN172" s="390">
        <f t="shared" si="605"/>
        <v>0.107145594538442</v>
      </c>
      <c r="HO172" s="390">
        <f>HN172*(VLOOKUP($HL$9,各项系数!$D$1:$F$143,2,0))</f>
        <v>1.82147510715351</v>
      </c>
      <c r="HP172" s="406">
        <f>各项系数!$F$76/4*($MV172^2-$MS172^2)*10^-2*(VLOOKUP(AN172,各项系数!$D$1:$F$143,3,0))*10^-3*10^2*各项系数!$J$4</f>
        <v>0.107300090265443</v>
      </c>
      <c r="HQ172" s="389">
        <v>1</v>
      </c>
      <c r="HR172" s="390">
        <f t="shared" si="770"/>
        <v>0.107300090265443</v>
      </c>
      <c r="HS172" s="390">
        <f>HR172*(VLOOKUP(AN172,各项系数!$D$1:$F$143,2,0))</f>
        <v>1.07300090265443</v>
      </c>
      <c r="HT172" s="406">
        <f>各项系数!$F$76/4*($MW172^2-$MT172^2)*10^-2*(VLOOKUP(AN172,各项系数!$D$1:$F$143,3,0))*10^-3*10^2*各项系数!$J$4</f>
        <v>0.108623464807937</v>
      </c>
      <c r="HU172" s="389">
        <v>1</v>
      </c>
      <c r="HV172" s="390">
        <f t="shared" si="771"/>
        <v>0.108623464807937</v>
      </c>
      <c r="HW172" s="390">
        <f>HV172*(VLOOKUP(AN172,各项系数!$D$1:$F$143,2,0))</f>
        <v>1.08623464807937</v>
      </c>
      <c r="HX172" s="406">
        <f>各项系数!$F$76/4*($MV172^2-$MS172^2)*10^-2*(VLOOKUP($HX$9,各项系数!$D$1:$F$143,3,0))*10^-3*10^2*各项系数!$J$4</f>
        <v>0.107300090265443</v>
      </c>
      <c r="HY172" s="420">
        <v>1</v>
      </c>
      <c r="HZ172" s="390">
        <f t="shared" si="772"/>
        <v>0.107300090265443</v>
      </c>
      <c r="IA172" s="390">
        <f>HZ172*(VLOOKUP($HX$9,各项系数!$D$1:$F$143,2,0))</f>
        <v>1.18030099291987</v>
      </c>
      <c r="IB172" s="406">
        <f>各项系数!$F$76/4*($MW172^2-$MT172^2)*10^-2*(VLOOKUP($IB$9,各项系数!$D$1:$F$143,3,0))*10^-3*10^2*各项系数!$J$4</f>
        <v>0.108623464807937</v>
      </c>
      <c r="IC172" s="420">
        <v>1</v>
      </c>
      <c r="ID172" s="390">
        <f t="shared" si="773"/>
        <v>0.108623464807937</v>
      </c>
      <c r="IE172" s="390">
        <f>ID172*(VLOOKUP($IB$9,各项系数!$D$1:$F$143,2,0))</f>
        <v>1.19485811288731</v>
      </c>
      <c r="IF172" s="429"/>
      <c r="IG172" s="406">
        <f t="shared" si="656"/>
        <v>0.0231988157938056</v>
      </c>
      <c r="IH172" s="389">
        <v>1</v>
      </c>
      <c r="II172" s="390">
        <f t="shared" si="774"/>
        <v>0.0231988157938056</v>
      </c>
      <c r="IJ172" s="390">
        <f>II172*(VLOOKUP($IG$8,各项系数!$D$1:$F$143,2,0))</f>
        <v>0.57997039484514</v>
      </c>
      <c r="IK172" s="406">
        <f>(各项系数!$F$76/4*($MX172^2-$MK172^2)*$EG172)*10^-2*(VLOOKUP($IG$8,各项系数!$D$1:$F$143,3,0))*10^-3*10^2*各项系数!$J$4</f>
        <v>0.0231988157938056</v>
      </c>
      <c r="IL172" s="389">
        <f>IK172*(VLOOKUP($IG$8,各项系数!$D$1:$F$143,2,0))</f>
        <v>0.57997039484514</v>
      </c>
      <c r="IM172" s="390">
        <f>(各项系数!$F$76/4*(($MM172+3*$X172)^2-MM172^2)*$EO172)*10^-2*(VLOOKUP($IG$8,各项系数!$D$1:$F$143,3,0))*10^-3*10^2*各项系数!$J$4</f>
        <v>0</v>
      </c>
      <c r="IN172" s="389">
        <f>IM172*(VLOOKUP($IG$8,各项系数!$D$1:$F$143,2,0))</f>
        <v>0</v>
      </c>
      <c r="IO172" s="406">
        <f>各项系数!$F$76/4*($MZ172^2-$MX172^2)*10^-2*(VLOOKUP(L172,各项系数!$D$1:$F$143,3,0))*10^-3*10^2*$ES172*各项系数!$J$4</f>
        <v>0.0637650635848789</v>
      </c>
      <c r="IP172" s="389">
        <v>1</v>
      </c>
      <c r="IQ172" s="390">
        <f t="shared" si="775"/>
        <v>0.0637650635848789</v>
      </c>
      <c r="IR172" s="367">
        <f>IQ172*(VLOOKUP(L172,各项系数!$D$1:$F$143,2,0))</f>
        <v>0.733298231226107</v>
      </c>
      <c r="IS172" s="406">
        <f>IF($L172&lt;&gt;$IS$9,0,各项系数!$F$76/4*($MZ172^2-$MX172^2)*10^-2*各项系数!$F$12*10^-3*10^2)*$ES172*各项系数!$J$4</f>
        <v>0</v>
      </c>
      <c r="IT172" s="389">
        <v>1</v>
      </c>
      <c r="IU172" s="390">
        <f t="shared" si="776"/>
        <v>0</v>
      </c>
      <c r="IV172" s="367">
        <f>IU172*各项系数!$E$12</f>
        <v>0</v>
      </c>
      <c r="IW172" s="388">
        <f t="shared" si="777"/>
        <v>0.0637650635848789</v>
      </c>
      <c r="IX172" s="388">
        <f t="shared" si="778"/>
        <v>0.733298231226107</v>
      </c>
      <c r="IY172" s="447">
        <f>各项系数!$F$76/4*($NB172^2-$MZ172^2*$EG172-$NA172^2*$EO172)*10^-2</f>
        <v>0.528603717977005</v>
      </c>
      <c r="IZ172" s="366">
        <f t="shared" si="697"/>
        <v>1</v>
      </c>
      <c r="JA172" s="367">
        <f t="shared" si="606"/>
        <v>0.528603717977005</v>
      </c>
      <c r="JB172" s="364">
        <f>IF($DE172&lt;&gt;$JB$9,0,$JA172*各项系数!$F$32*10^-3*10^2)*各项系数!$J$4</f>
        <v>0</v>
      </c>
      <c r="JC172" s="123">
        <v>1</v>
      </c>
      <c r="JD172" s="251">
        <f t="shared" si="779"/>
        <v>0</v>
      </c>
      <c r="JE172" s="339">
        <f>JD172*各项系数!$E$32</f>
        <v>0</v>
      </c>
      <c r="JF172" s="364">
        <f>IF($DE172&lt;&gt;$JF$9,0,$JA172*VLOOKUP($JF$9,各项系数!$D$4:$F$540,2,0)*10^-3*10^2)*各项系数!$J$4</f>
        <v>0.26298034969356</v>
      </c>
      <c r="JG172" s="123">
        <v>1</v>
      </c>
      <c r="JH172" s="251">
        <f t="shared" si="607"/>
        <v>0.26298034969356</v>
      </c>
      <c r="JI172" s="339">
        <f>JH172*VLOOKUP($JF$9,各项系数!$D$4:$F$540,3,0)</f>
        <v>0.315576419632272</v>
      </c>
      <c r="JJ172" s="364">
        <f t="shared" si="780"/>
        <v>0.26298034969356</v>
      </c>
      <c r="JK172" s="251">
        <f t="shared" si="781"/>
        <v>0.315576419632272</v>
      </c>
      <c r="JL172" s="364">
        <f>IF($DF172&lt;&gt;$JL$9,0,各项系数!$F$76/4*($NE172^2-$NC172^2)*10^-2*各项系数!$F$39*10^-3*10^2)*各项系数!$J$4</f>
        <v>0.00152108249945476</v>
      </c>
      <c r="JM172" s="123">
        <v>1</v>
      </c>
      <c r="JN172" s="251">
        <f t="shared" si="782"/>
        <v>0.00152108249945476</v>
      </c>
      <c r="JO172" s="339">
        <f>JN172*各项系数!$E$39</f>
        <v>0.0304216499890952</v>
      </c>
      <c r="JP172" s="364">
        <f>IF($DF172&lt;&gt;$JP$9,0,各项系数!$F$76/4*($NE172^2-$NC172^2)*10^-2*各项系数!$F$36*10^-3*10^2)*各项系数!$J$4</f>
        <v>0</v>
      </c>
      <c r="JQ172" s="123">
        <v>1</v>
      </c>
      <c r="JR172" s="251">
        <f t="shared" si="783"/>
        <v>0</v>
      </c>
      <c r="JS172" s="339">
        <f>JR172*各项系数!$E$36</f>
        <v>0</v>
      </c>
      <c r="JT172" s="364">
        <f>IF($DF172&lt;&gt;$JT$9,0,各项系数!$F$76/4*($NE172^2-$NC172^2)*10^-2*各项系数!$F$40*10^-3*10^2)*各项系数!$J$4</f>
        <v>0</v>
      </c>
      <c r="JU172" s="123">
        <v>1</v>
      </c>
      <c r="JV172" s="251">
        <f t="shared" si="784"/>
        <v>0</v>
      </c>
      <c r="JW172" s="339">
        <f>JV172*各项系数!$E$40</f>
        <v>0</v>
      </c>
      <c r="JX172" s="364">
        <f>IF($DF172&lt;&gt;$JX$9,0,各项系数!$F$76/4*($NE172^2-$NC172^2)*10^-2*各项系数!$F$38*10^-3*10^2)*各项系数!$J$4</f>
        <v>0</v>
      </c>
      <c r="JY172" s="123">
        <v>1</v>
      </c>
      <c r="JZ172" s="251">
        <f t="shared" si="785"/>
        <v>0</v>
      </c>
      <c r="KA172" s="339">
        <f>JZ172*各项系数!$E$38</f>
        <v>0</v>
      </c>
      <c r="KB172" s="364">
        <f>IF($DF172&lt;&gt;$KB$9,0,各项系数!$F$76/4*($NE172^2-$NC172^2)*10^-2*各项系数!$F$41*10^-3*10^2)*各项系数!$J$4</f>
        <v>0</v>
      </c>
      <c r="KC172" s="123">
        <v>1</v>
      </c>
      <c r="KD172" s="251">
        <f t="shared" si="786"/>
        <v>0</v>
      </c>
      <c r="KE172" s="339">
        <f>KD172*各项系数!$E$41</f>
        <v>0</v>
      </c>
      <c r="KF172" s="251">
        <f t="shared" si="787"/>
        <v>0.00152108249945476</v>
      </c>
      <c r="KG172" s="251">
        <f t="shared" si="788"/>
        <v>0.0304216499890952</v>
      </c>
      <c r="KH172" s="302">
        <f>各项系数!$F$76/4*($NG172^2-$NE172^2)*10^-2*各项系数!$F$44*10^-3*10^2*各项系数!$J$4*0.75*$U172</f>
        <v>0.626423223375509</v>
      </c>
      <c r="KI172" s="123">
        <v>1</v>
      </c>
      <c r="KJ172" s="251">
        <f t="shared" si="789"/>
        <v>0.626423223375509</v>
      </c>
      <c r="KK172" s="251">
        <f>ROUND(KJ172*各项系数!$E$43,GT172)</f>
        <v>3.6</v>
      </c>
      <c r="KL172" s="302">
        <f>各项系数!$F$76/4*($NF172^2-$NE172^2)*10^-2*各项系数!$F$46*10^-3*10^2*各项系数!$J$4*PI()/4*R172</f>
        <v>0.0191602315759089</v>
      </c>
      <c r="KM172" s="123">
        <v>1</v>
      </c>
      <c r="KN172" s="251">
        <f t="shared" si="790"/>
        <v>0.0191602315759089</v>
      </c>
      <c r="KO172" s="251">
        <f>KN172*各项系数!$E$46</f>
        <v>1.29331563137385</v>
      </c>
      <c r="KP172" s="302">
        <f>各项系数!$F$76/4*($NH172^2-$NE172^2)*10^-2*(VLOOKUP($KP$9,各项系数!$D$1:$F$143,3,0))*10^-3*10^2*各项系数!$J$4</f>
        <v>0.125942914570611</v>
      </c>
      <c r="KQ172" s="123">
        <v>1</v>
      </c>
      <c r="KR172" s="251">
        <f t="shared" si="657"/>
        <v>0.125942914570611</v>
      </c>
      <c r="KS172" s="251">
        <f>KR172*(VLOOKUP($KP$9,各项系数!$D$1:$F$143,2,0))</f>
        <v>2.14102954770038</v>
      </c>
      <c r="KT172" s="302">
        <f>各项系数!$F$76/4*($NI172^2-$NF172^2)*10^-2*(VLOOKUP($KT$9,各项系数!$D$1:$F$143,3,0))*10^-3*10^2*各项系数!$J$4</f>
        <v>0.127248284017289</v>
      </c>
      <c r="KU172" s="123">
        <v>1</v>
      </c>
      <c r="KV172" s="251">
        <f t="shared" si="658"/>
        <v>0.127248284017289</v>
      </c>
      <c r="KW172" s="251">
        <f>KV172*(VLOOKUP($KT$9,各项系数!$D$1:$F$143,2,0))</f>
        <v>2.16322082829391</v>
      </c>
      <c r="KX172" s="251">
        <f>各项系数!$F$76/4*($NH172^2-$NE172^2)*10^-2*(VLOOKUP($KX$9,各项系数!$D$1:$F$143,3,0))*10^-3*10^2*各项系数!$J$4</f>
        <v>0.125942914570611</v>
      </c>
      <c r="KY172" s="479">
        <v>1</v>
      </c>
      <c r="KZ172" s="251">
        <f t="shared" si="659"/>
        <v>0.125942914570611</v>
      </c>
      <c r="LA172" s="251">
        <f>KZ172*(VLOOKUP($KX$9,各项系数!$D$1:$F$143,2,0))</f>
        <v>2.14102954770038</v>
      </c>
      <c r="LB172" s="251">
        <f>各项系数!$F$76/4*($NI172^2-$NF172^2)*10^-2*(VLOOKUP($LB$9,各项系数!$D$1:$F$143,3,0))*10^-3*10^2*各项系数!$J$4</f>
        <v>0.127248284017289</v>
      </c>
      <c r="LC172" s="479">
        <v>1</v>
      </c>
      <c r="LD172" s="251">
        <f t="shared" si="660"/>
        <v>0.127248284017289</v>
      </c>
      <c r="LE172" s="251">
        <f>LD172*(VLOOKUP($LB$9,各项系数!$D$1:$F$143,2,0))</f>
        <v>2.16322082829391</v>
      </c>
      <c r="LF172" s="302">
        <f>各项系数!$F$76/4*($NH172^2-$NE172^2)*10^-2*(VLOOKUP(AN172,各项系数!$D$1:$F$143,3,0))*10^-3*10^2*各项系数!$J$4</f>
        <v>0.12768005821986</v>
      </c>
      <c r="LG172" s="123">
        <v>1</v>
      </c>
      <c r="LH172" s="251">
        <f t="shared" si="791"/>
        <v>0.12768005821986</v>
      </c>
      <c r="LI172" s="251">
        <f>LH172*(VLOOKUP(AN172,各项系数!$D$1:$F$143,2,0))</f>
        <v>1.2768005821986</v>
      </c>
      <c r="LJ172" s="302">
        <f>各项系数!$F$76/4*($NI172^2-$NF172^2)*10^-2*(VLOOKUP(AN172,各项系数!$D$1:$F$143,3,0))*10^-3*10^2*各项系数!$J$4</f>
        <v>0.129003432762355</v>
      </c>
      <c r="LK172" s="123">
        <v>1</v>
      </c>
      <c r="LL172" s="251">
        <f t="shared" si="792"/>
        <v>0.129003432762355</v>
      </c>
      <c r="LM172" s="251">
        <f>LL172*(VLOOKUP(AN172,各项系数!$D$1:$F$143,2,0))</f>
        <v>1.29003432762355</v>
      </c>
      <c r="LN172" s="251">
        <f>各项系数!$F$76/4*($NH172^2-$NE172^2)*10^-2*(VLOOKUP($LN$9,各项系数!$D$1:$F$143,3,0))*10^-3*10^2*各项系数!$J$4</f>
        <v>0.12768005821986</v>
      </c>
      <c r="LO172" s="479">
        <v>1</v>
      </c>
      <c r="LP172" s="251">
        <f t="shared" si="793"/>
        <v>0.12768005821986</v>
      </c>
      <c r="LQ172" s="251">
        <f>LP172*(VLOOKUP($LN$9,各项系数!$D$1:$F$143,2,0))</f>
        <v>1.40448064041847</v>
      </c>
      <c r="LR172" s="251">
        <f>各项系数!$F$76/4*($NI172^2-$NF172^2)*10^-2*(VLOOKUP($LR$9,各项系数!$D$1:$F$143,3,0))*10^-3*10^2*各项系数!$J$4</f>
        <v>0.129003432762355</v>
      </c>
      <c r="LS172" s="479">
        <v>1</v>
      </c>
      <c r="LT172" s="251">
        <f t="shared" si="794"/>
        <v>0.129003432762355</v>
      </c>
      <c r="LU172" s="251">
        <f>LT172*(VLOOKUP($LR$9,各项系数!$D$1:$F$143,2,0))</f>
        <v>1.41903776038591</v>
      </c>
      <c r="LV172" s="499">
        <f t="shared" si="661"/>
        <v>14.29748718</v>
      </c>
      <c r="LW172" s="499">
        <f t="shared" si="662"/>
        <v>14.29748718</v>
      </c>
      <c r="LX172" s="499">
        <f t="shared" si="663"/>
        <v>4.26662935675458</v>
      </c>
      <c r="LY172" s="515">
        <f t="shared" si="664"/>
        <v>0</v>
      </c>
      <c r="LZ172" s="516">
        <f t="shared" si="608"/>
        <v>1</v>
      </c>
      <c r="MA172" s="517">
        <f t="shared" si="609"/>
        <v>14.29748718</v>
      </c>
      <c r="MB172" s="517">
        <f t="shared" si="665"/>
        <v>1.34922667</v>
      </c>
      <c r="MC172" s="499">
        <f t="shared" si="666"/>
        <v>0</v>
      </c>
      <c r="MD172" s="499">
        <f t="shared" si="667"/>
        <v>0</v>
      </c>
      <c r="ME172" s="499">
        <f t="shared" si="668"/>
        <v>0</v>
      </c>
      <c r="MF172" s="499">
        <f t="shared" si="669"/>
        <v>0</v>
      </c>
      <c r="MG172" s="516">
        <f t="shared" si="670"/>
        <v>1</v>
      </c>
      <c r="MH172" s="517">
        <f t="shared" si="610"/>
        <v>0</v>
      </c>
      <c r="MI172" s="517">
        <f t="shared" si="671"/>
        <v>0</v>
      </c>
      <c r="MJ172" s="251">
        <f t="shared" si="611"/>
        <v>1.34922667</v>
      </c>
      <c r="MK172" s="251">
        <f t="shared" si="672"/>
        <v>1.34922667</v>
      </c>
      <c r="ML172" s="251">
        <f t="shared" si="795"/>
        <v>0</v>
      </c>
      <c r="MM172" s="251">
        <f t="shared" si="612"/>
        <v>0</v>
      </c>
      <c r="MN172" s="251">
        <f t="shared" si="613"/>
        <v>2.74922667</v>
      </c>
      <c r="MO172" s="251">
        <f t="shared" si="673"/>
        <v>0</v>
      </c>
      <c r="MP172" s="251">
        <f t="shared" si="674"/>
        <v>10.99690668</v>
      </c>
      <c r="MQ172" s="251">
        <f t="shared" si="796"/>
        <v>10.99690668</v>
      </c>
      <c r="MR172" s="314">
        <f t="shared" si="675"/>
        <v>10.99690668</v>
      </c>
      <c r="MS172" s="530">
        <f t="shared" si="614"/>
        <v>11.17290668</v>
      </c>
      <c r="MT172" s="530">
        <f t="shared" si="615"/>
        <v>11.33290668</v>
      </c>
      <c r="MU172" s="530">
        <f t="shared" si="616"/>
        <v>12.37290668</v>
      </c>
      <c r="MV172" s="530">
        <f t="shared" si="617"/>
        <v>14.77290668</v>
      </c>
      <c r="MW172" s="530">
        <f t="shared" si="618"/>
        <v>14.93290668</v>
      </c>
      <c r="MX172" s="326">
        <f t="shared" si="619"/>
        <v>1.94922667</v>
      </c>
      <c r="MY172" s="326">
        <f t="shared" si="620"/>
        <v>0</v>
      </c>
      <c r="MZ172" s="251">
        <f t="shared" si="621"/>
        <v>3.34922667</v>
      </c>
      <c r="NA172" s="251">
        <f t="shared" si="622"/>
        <v>0</v>
      </c>
      <c r="NB172" s="251">
        <f t="shared" si="676"/>
        <v>13.39690668</v>
      </c>
      <c r="NC172" s="326">
        <f t="shared" si="797"/>
        <v>13.39690668</v>
      </c>
      <c r="ND172" s="314">
        <f t="shared" si="677"/>
        <v>13.39690668</v>
      </c>
      <c r="NE172" s="537">
        <f t="shared" si="678"/>
        <v>13.63690668</v>
      </c>
      <c r="NF172" s="530">
        <f t="shared" si="623"/>
        <v>13.79690668</v>
      </c>
      <c r="NG172" s="538">
        <f t="shared" si="624"/>
        <v>14.83690668</v>
      </c>
      <c r="NH172" s="326">
        <f t="shared" si="625"/>
        <v>17.23690668</v>
      </c>
      <c r="NI172" s="530">
        <f t="shared" si="626"/>
        <v>17.39690668</v>
      </c>
      <c r="NK172" s="539">
        <f t="shared" si="627"/>
        <v>0.328638601971543</v>
      </c>
      <c r="NL172" s="539">
        <f t="shared" si="628"/>
        <v>10.090472450504</v>
      </c>
      <c r="NM172" s="539">
        <f t="shared" si="629"/>
        <v>0.328638601971543</v>
      </c>
      <c r="NN172" s="539">
        <f t="shared" si="630"/>
        <v>10.1977725407694</v>
      </c>
      <c r="NO172" s="539">
        <f t="shared" si="631"/>
        <v>0.605614507935998</v>
      </c>
      <c r="NP172" s="539">
        <f t="shared" si="632"/>
        <v>11.2197958263519</v>
      </c>
      <c r="NQ172" s="539">
        <f t="shared" si="633"/>
        <v>0.605614507935998</v>
      </c>
      <c r="NR172" s="539">
        <f t="shared" si="634"/>
        <v>11.3474758845718</v>
      </c>
      <c r="NS172" s="539">
        <f t="shared" si="635"/>
        <v>0.344357036376674</v>
      </c>
      <c r="NT172" s="539">
        <f t="shared" si="636"/>
        <v>0.344357036376674</v>
      </c>
      <c r="NU172" s="539">
        <f t="shared" si="637"/>
        <v>0.624774739511907</v>
      </c>
      <c r="NV172" s="539">
        <f t="shared" si="638"/>
        <v>0.624774739511907</v>
      </c>
      <c r="NW172">
        <f t="shared" si="639"/>
        <v>0.501307715114048</v>
      </c>
      <c r="NX172">
        <f>各项系数!$M$9*NK172</f>
        <v>0.0985915805914628</v>
      </c>
      <c r="NY172">
        <f t="shared" si="640"/>
        <v>0.344357036376674</v>
      </c>
    </row>
    <row r="173" customHeight="1" spans="1:389">
      <c r="A173" s="85"/>
      <c r="B173" s="86"/>
      <c r="C173" s="218"/>
      <c r="D173" s="123" t="s">
        <v>388</v>
      </c>
      <c r="E173" s="77">
        <f t="shared" si="687"/>
        <v>15.21278295</v>
      </c>
      <c r="F173" s="559">
        <f t="shared" si="798"/>
        <v>134.922667214547</v>
      </c>
      <c r="G173" s="23"/>
      <c r="H173" s="23"/>
      <c r="I173" s="174">
        <v>0</v>
      </c>
      <c r="J173" s="23"/>
      <c r="K173" s="23"/>
      <c r="L173" s="118" t="s">
        <v>469</v>
      </c>
      <c r="M173" s="124">
        <f t="shared" si="582"/>
        <v>0.7</v>
      </c>
      <c r="N173" s="124">
        <f t="shared" si="804"/>
        <v>0</v>
      </c>
      <c r="O173" s="69">
        <f t="shared" si="801"/>
        <v>0.08</v>
      </c>
      <c r="P173" s="120">
        <v>0.1</v>
      </c>
      <c r="Q173" s="162">
        <f t="shared" si="754"/>
        <v>0.1</v>
      </c>
      <c r="R173" s="560">
        <v>0.8</v>
      </c>
      <c r="S173" s="171" t="str">
        <f>各项系数!$D$43</f>
        <v>钢带</v>
      </c>
      <c r="T173" s="123">
        <v>0.2</v>
      </c>
      <c r="U173" s="78">
        <v>4</v>
      </c>
      <c r="V173" s="172"/>
      <c r="W173" s="170">
        <f>$W$172</f>
        <v>1.8</v>
      </c>
      <c r="X173" s="164">
        <f t="shared" si="755"/>
        <v>0.2</v>
      </c>
      <c r="Y173" s="219"/>
      <c r="Z173" s="220"/>
      <c r="AA173" s="217">
        <v>1</v>
      </c>
      <c r="AB173" s="186">
        <f>PI()*EJ173*EJ173/4*EH173*(1-H173)*AA173*各项系数!$F$5*各项系数!$J$4*10^-7</f>
        <v>0.0126469138144438</v>
      </c>
      <c r="AC173" s="186">
        <f t="shared" si="704"/>
        <v>134.922667214547</v>
      </c>
      <c r="AD173" s="186">
        <f t="shared" si="584"/>
        <v>1.42974872274124</v>
      </c>
      <c r="AE173" s="186">
        <f>POWER(4*EU173/PI()/EG173/10^-7/EH173/(1-H173)/各项系数!$F$5/各项系数!$J$4,0.5)</f>
        <v>134.922667214547</v>
      </c>
      <c r="AF173" s="218">
        <v>1</v>
      </c>
      <c r="AG173" s="85">
        <f>IF(EM173=0,0,PI()*ER173*ER173/4*EP173*(1-K173)*(1+AF173)*各项系数!$F$5*各项系数!$J$4*10^-7)</f>
        <v>0</v>
      </c>
      <c r="AH173" s="85">
        <f t="shared" si="705"/>
        <v>0</v>
      </c>
      <c r="AI173" s="85">
        <f t="shared" si="641"/>
        <v>0</v>
      </c>
      <c r="AJ173" s="85">
        <f>IF(OR(EP173="",EP173=0),0,POWER(4*EW173/PI()/EO173/10^-7/EP173/(1-K173)/各项系数!$F$5/各项系数!$J$4,0.5))</f>
        <v>0</v>
      </c>
      <c r="AK173" s="85" t="str">
        <f t="shared" si="585"/>
        <v>√</v>
      </c>
      <c r="AL173" s="85">
        <f t="shared" si="706"/>
        <v>12.5785973783775</v>
      </c>
      <c r="AM173" s="250">
        <f t="shared" si="707"/>
        <v>1.5</v>
      </c>
      <c r="AN173" s="118" t="s">
        <v>486</v>
      </c>
      <c r="AO173" s="259">
        <f>AP173+各项系数!$M$9*$NK173</f>
        <v>12.3319582140956</v>
      </c>
      <c r="AP173" s="259">
        <f>AQ173*(1+$BI173+(VLOOKUP($AM173,$A$12:$B$323,2,0))+各项系数!$J$6+各项系数!$M$5)*(1+$E$2)</f>
        <v>12.2231682061572</v>
      </c>
      <c r="AQ173" s="260">
        <f>AR173+各项系数!$L$9*$NK173</f>
        <v>12.349129325275</v>
      </c>
      <c r="AR173" s="260">
        <f>AS173*(1+$BJ173+各项系数!$J$5+各项系数!$L$5)</f>
        <v>12.2403393173366</v>
      </c>
      <c r="AS173" s="260">
        <f t="shared" si="642"/>
        <v>11.8838245799384</v>
      </c>
      <c r="AT173" s="259">
        <f>AU173+各项系数!$M$9*$NM173</f>
        <v>13.0975056570491</v>
      </c>
      <c r="AU173" s="259">
        <f>AV173*(1+$BI173+(VLOOKUP($AM173,$A$12:$B$323,2,0))+各项系数!$J$6+各项系数!$M$5)*(1+$E$2)</f>
        <v>12.9887156491107</v>
      </c>
      <c r="AV173" s="260">
        <f>AW173+各项系数!$L$9*$NM173</f>
        <v>13.1225658204796</v>
      </c>
      <c r="AW173" s="260">
        <f>AX173*(1+$BJ173+各项系数!$J$5+各项系数!$L$5)</f>
        <v>13.0137758125412</v>
      </c>
      <c r="AX173" s="260">
        <f t="shared" si="643"/>
        <v>12.6347337985837</v>
      </c>
      <c r="AY173" s="259">
        <f>AZ173+各项系数!$M$9*$NS173</f>
        <v>13.4791598078277</v>
      </c>
      <c r="AZ173" s="259">
        <f>BA173*(1+$BI173+(VLOOKUP($AM173,$A$12:$B$214,2,0))+各项系数!$J$6+各项系数!$M$5)*(1+$E$2)</f>
        <v>13.3654699394256</v>
      </c>
      <c r="BA173" s="260">
        <f>BB173+各项系数!$L$9*$NS173</f>
        <v>13.5032026060068</v>
      </c>
      <c r="BB173" s="260">
        <f>BC173*(1+$BJ173+各项系数!$J$5+各项系数!$L$5)</f>
        <v>13.3895127376046</v>
      </c>
      <c r="BC173" s="262">
        <f t="shared" si="644"/>
        <v>12.9995269297132</v>
      </c>
      <c r="BD173" s="259">
        <f>BE173+各项系数!$M$9*$NS173</f>
        <v>14.2538394041404</v>
      </c>
      <c r="BE173" s="259">
        <f>BF173*(1+$BI173+(VLOOKUP($AM173,$A$12:$B$214,2,0))+各项系数!$J$6+各项系数!$M$5)*(1+$E$2)</f>
        <v>14.1401495357382</v>
      </c>
      <c r="BF173" s="260">
        <f>BG173+各项系数!$L$9*$NS173</f>
        <v>14.2858653624351</v>
      </c>
      <c r="BG173" s="260">
        <f>BH173*(1+$BJ173+各项系数!$J$5+各项系数!$L$5)</f>
        <v>14.1721754940329</v>
      </c>
      <c r="BH173" s="262">
        <f t="shared" si="645"/>
        <v>13.7593936835271</v>
      </c>
      <c r="BI173" s="277"/>
      <c r="BJ173" s="272">
        <f t="shared" si="800"/>
        <v>0.01</v>
      </c>
      <c r="BK173" s="123" t="s">
        <v>514</v>
      </c>
      <c r="BL173" s="259">
        <f>BM173+各项系数!$M$9*$NM173</f>
        <v>12.5637833565544</v>
      </c>
      <c r="BM173" s="259">
        <f>BN173*(1+$CF173+(VLOOKUP($AM173,$A$12:$B$323,2,0))+各项系数!$J$6+各项系数!$M$5)*(1+$E$2)</f>
        <v>12.454993348616</v>
      </c>
      <c r="BN173" s="260">
        <f>BO173+各项系数!$L$9*$NM173</f>
        <v>12.5833434518246</v>
      </c>
      <c r="BO173" s="260">
        <f>BP173*(1+$CG173+各项系数!$J$5+各项系数!$L$5)</f>
        <v>12.4745534438862</v>
      </c>
      <c r="BP173" s="260">
        <f t="shared" si="646"/>
        <v>11.9947629268137</v>
      </c>
      <c r="BQ173" s="259">
        <f>BR173+各项系数!$M$9*$NM173</f>
        <v>13.2225642521875</v>
      </c>
      <c r="BR173" s="259">
        <f>BS173*(1+$CF173+(VLOOKUP($AM173,$A$12:$B$323,2,0))+各项系数!$J$6+各项系数!$M$5)*(1+$E$2)</f>
        <v>13.1137742442491</v>
      </c>
      <c r="BS173" s="260">
        <f>BT173+各项系数!$L$9*$NM173</f>
        <v>13.2489131584654</v>
      </c>
      <c r="BT173" s="260">
        <f>BU173*(1+$CG173+各项系数!$J$5+各项系数!$L$5)</f>
        <v>13.140123150527</v>
      </c>
      <c r="BU173" s="260">
        <f t="shared" si="647"/>
        <v>12.6347337985837</v>
      </c>
      <c r="BV173" s="259">
        <f>BW173+各项系数!$M$9*$NT173</f>
        <v>13.61903932801</v>
      </c>
      <c r="BW173" s="259">
        <f>BX173*(1+$CF173+(VLOOKUP($AM173,$A$12:$B$214,2,0))+各项系数!$J$6+各项系数!$M$5)*(1+$E$2)</f>
        <v>13.5053494596078</v>
      </c>
      <c r="BX173" s="260">
        <f>BY173+各项系数!$L$9*$NT$12</f>
        <v>13.6445236003312</v>
      </c>
      <c r="BY173" s="260">
        <f>BZ173*(1+$CG173+各项系数!$J$5+各项系数!$L$5)</f>
        <v>13.6362601971762</v>
      </c>
      <c r="BZ173" s="262">
        <f t="shared" si="586"/>
        <v>13.111788651131</v>
      </c>
      <c r="CA173" s="259">
        <f>CB173+各项系数!$M$9*$NT173</f>
        <v>14.2856787675183</v>
      </c>
      <c r="CB173" s="259">
        <f>CC173*(1+$CF173+(VLOOKUP($AM173,$A$12:$B$214,2,0))+各项系数!$J$6+各项系数!$M$5)*(1+$E$2)</f>
        <v>14.1719888991161</v>
      </c>
      <c r="CC173" s="260">
        <f>CD173+各项系数!$L$9*$NT$12</f>
        <v>14.3180328340231</v>
      </c>
      <c r="CD173" s="260">
        <f>CE173*(1+$CG173+各项系数!$J$5+各项系数!$L$5)</f>
        <v>14.3097694308682</v>
      </c>
      <c r="CE173" s="262">
        <f t="shared" si="648"/>
        <v>13.7593936835271</v>
      </c>
      <c r="CF173" s="277">
        <f t="shared" si="753"/>
        <v>0</v>
      </c>
      <c r="CG173" s="277">
        <f t="shared" si="587"/>
        <v>0.02</v>
      </c>
      <c r="CH173" s="123"/>
      <c r="CI173" s="259">
        <f>CJ173+各项系数!$M$9*$NO173</f>
        <v>13.8848129199721</v>
      </c>
      <c r="CJ173" s="259">
        <f>CK173*(1+$DC173+(VLOOKUP($AM173,$A$12:$B$323,2,0))+各项系数!$J$6+各项系数!$M$5)*(1+$E$2)+各项系数!$M$9*$NK173</f>
        <v>13.698105488845</v>
      </c>
      <c r="CK173" s="260">
        <f>CL173+各项系数!$L$9*$NO173</f>
        <v>13.7293549008958</v>
      </c>
      <c r="CL173" s="260">
        <f>CM173*(1+$DD173+各项系数!$J$5+各项系数!$L$5)</f>
        <v>13.5426474697687</v>
      </c>
      <c r="CM173" s="260">
        <f t="shared" si="588"/>
        <v>13.1482014269599</v>
      </c>
      <c r="CN173" s="259">
        <f>CO173+各项系数!$M$9*$NO173</f>
        <v>14.4344927779935</v>
      </c>
      <c r="CO173" s="259">
        <f>CP173*(1+$DC173+(VLOOKUP($AM173,$A$12:$B$323,2,0))+各项系数!$J$6+各项系数!$M$5)*(1+$E$2)+各项系数!$M$9*$NK173</f>
        <v>14.2477853468664</v>
      </c>
      <c r="CP173" s="260">
        <f>CQ173+各项系数!$L$9*$NO173</f>
        <v>14.2846992714972</v>
      </c>
      <c r="CQ173" s="260">
        <f>CR173*(1+$DD173+各项系数!$J$5+各项系数!$L$5)</f>
        <v>14.0979918403702</v>
      </c>
      <c r="CR173" s="260">
        <f t="shared" si="589"/>
        <v>13.687370718806</v>
      </c>
      <c r="CS173" s="259">
        <f>CT173+各项系数!$M$9*$NU173</f>
        <v>15.1714372091724</v>
      </c>
      <c r="CT173" s="259">
        <f t="shared" si="590"/>
        <v>14.9787571496322</v>
      </c>
      <c r="CU173" s="260">
        <f>CV173+各项系数!$L$9*$NU173</f>
        <v>15.1331149218349</v>
      </c>
      <c r="CV173" s="260">
        <f>CW173*(1+$DD173+各项系数!$J$5+各项系数!$L$5)</f>
        <v>14.9404348622947</v>
      </c>
      <c r="CW173" s="262">
        <f t="shared" si="591"/>
        <v>14.5052765653346</v>
      </c>
      <c r="CX173" s="259">
        <f>CY173+各项系数!$M$9*$NU173</f>
        <v>16.0922312592316</v>
      </c>
      <c r="CY173" s="259">
        <f t="shared" si="592"/>
        <v>15.8995511996914</v>
      </c>
      <c r="CZ173" s="260">
        <f>DA173+各项系数!$L$9*$NU173</f>
        <v>16.0633978578414</v>
      </c>
      <c r="DA173" s="260">
        <f>DB173*(1+$DD173+各项系数!$J$5+各项系数!$L$5)</f>
        <v>15.8707177983012</v>
      </c>
      <c r="DB173" s="262">
        <f t="shared" si="593"/>
        <v>15.4084638818458</v>
      </c>
      <c r="DC173" s="277">
        <f t="shared" si="803"/>
        <v>0</v>
      </c>
      <c r="DD173" s="277">
        <f t="shared" si="594"/>
        <v>0.01</v>
      </c>
      <c r="DE173" s="69" t="s">
        <v>498</v>
      </c>
      <c r="DF173" s="69" t="s">
        <v>513</v>
      </c>
      <c r="DG173" s="259">
        <f>DH173+各项系数!$M$9*$NQ173</f>
        <v>14.1509492031355</v>
      </c>
      <c r="DH173" s="259">
        <f>DI173*(1+$EA173+(VLOOKUP($AM173,$A$12:$B$323,2,0))+各项系数!$J$6+各项系数!$M$5)*(1+$E$2)+各项系数!$M$9*$NK173</f>
        <v>13.9642417720084</v>
      </c>
      <c r="DI173" s="260">
        <f>DJ173+各项系数!$L$9*$NQ173</f>
        <v>13.9982337483027</v>
      </c>
      <c r="DJ173" s="260">
        <f>DK173*(1+$EB173+各项系数!$J$5+各项系数!$L$5)</f>
        <v>13.8115263171756</v>
      </c>
      <c r="DK173" s="260">
        <f t="shared" si="595"/>
        <v>13.280313766515</v>
      </c>
      <c r="DL173" s="259">
        <f>DM173+各项系数!$M$9*$NQ173</f>
        <v>14.935466800772</v>
      </c>
      <c r="DM173" s="259">
        <f>DN173*(1+$EA173+(VLOOKUP($AM173,$A$12:$B$323,2,0))+各项系数!$J$6+各项系数!$M$5)*(1+$E$2)+各项系数!$M$9*$NK173</f>
        <v>14.7487593696449</v>
      </c>
      <c r="DN173" s="260">
        <f>DO173+各项系数!$L$9*$NQ173</f>
        <v>14.7908358877617</v>
      </c>
      <c r="DO173" s="260">
        <f>DP173*(1+$EB173+各项系数!$J$5+各项系数!$L$5)</f>
        <v>14.6041284566346</v>
      </c>
      <c r="DP173" s="260">
        <f t="shared" si="596"/>
        <v>14.0424312083025</v>
      </c>
      <c r="DQ173" s="259">
        <f>DR173+各项系数!$M$9*$NV173</f>
        <v>15.4523680932224</v>
      </c>
      <c r="DR173" s="259">
        <f t="shared" si="597"/>
        <v>15.2596880336822</v>
      </c>
      <c r="DS173" s="260">
        <f>DT173+各项系数!$L$9*$NV173</f>
        <v>15.4169408301498</v>
      </c>
      <c r="DT173" s="260">
        <f>DU173*(1+$EB173+各项系数!$J$5+各项系数!$L$5)</f>
        <v>15.2242607706096</v>
      </c>
      <c r="DU173" s="262">
        <f t="shared" si="598"/>
        <v>14.6387122794323</v>
      </c>
      <c r="DV173" s="259">
        <f>DW173+各项系数!$M$9*$NV173</f>
        <v>15.3389226353282</v>
      </c>
      <c r="DW173" s="259">
        <f t="shared" si="599"/>
        <v>15.146242575788</v>
      </c>
      <c r="DX173" s="260">
        <f>DY173+各项系数!$L$9*$NV173</f>
        <v>15.3023263040897</v>
      </c>
      <c r="DY173" s="260">
        <f>DZ173*(1+$EB173+各项系数!$J$5+各项系数!$L$5)</f>
        <v>15.1096462445495</v>
      </c>
      <c r="DZ173" s="262">
        <f t="shared" si="600"/>
        <v>14.5285060043745</v>
      </c>
      <c r="EA173" s="277">
        <f t="shared" si="802"/>
        <v>0</v>
      </c>
      <c r="EB173" s="277">
        <f t="shared" si="601"/>
        <v>0.02</v>
      </c>
      <c r="EC173" s="302">
        <f t="shared" si="649"/>
        <v>12</v>
      </c>
      <c r="ED173" s="302" t="str">
        <f t="shared" si="756"/>
        <v>12*1.5</v>
      </c>
      <c r="EE173" s="251">
        <f t="shared" si="709"/>
        <v>1.5</v>
      </c>
      <c r="EF173" s="251">
        <f>LOOKUP(EH173,{1,7,10,14,19,24,30,37,48,61},{1,"1+6","2+8","4+10","1+6+12","2+8+14","4+10+16","1+6+12+18","3+9+15+21","1+6+12+18+24"})</f>
        <v>1</v>
      </c>
      <c r="EG173" s="250">
        <f t="shared" si="602"/>
        <v>12</v>
      </c>
      <c r="EH173" s="260">
        <f>VLOOKUP(EE173,各项系数!$B$87:$C$124,2,0)</f>
        <v>1</v>
      </c>
      <c r="EI173" s="250">
        <f>IF(EH173=0,0,VLOOKUP(EH173,各项系数!$D$142:$E$195,2,0))*1</f>
        <v>1</v>
      </c>
      <c r="EJ173" s="305">
        <f t="shared" si="650"/>
        <v>134.922667214547</v>
      </c>
      <c r="EK173" s="251">
        <f t="shared" si="689"/>
        <v>0</v>
      </c>
      <c r="EL173" s="251">
        <f t="shared" si="603"/>
        <v>0</v>
      </c>
      <c r="EM173" s="251">
        <f t="shared" si="690"/>
        <v>0</v>
      </c>
      <c r="EN173" s="251">
        <f>IF(EP173=0,0,LOOKUP(EP173,{1,7,10,14,19,24,30,37,48,61},{1,"1+6","2+8","4+10","1+6+12","2+8+14","4+10+16","1+6+12+18","3+9+15+21","1+6+12+18+24"}))</f>
        <v>0</v>
      </c>
      <c r="EO173" s="251">
        <f t="shared" si="691"/>
        <v>0</v>
      </c>
      <c r="EP173" s="251">
        <f>IF(EM173=0,0,IF(EM173&lt;10,1,IF(AND(EM173&gt;=10,EM173&lt;=35),7,LOOKUP(EM173,{50,70,95,120,150,185,240,300},{10,14,19,24,30,37,48,61})*1)))</f>
        <v>0</v>
      </c>
      <c r="EQ173" s="251">
        <f>IF(EP173=0,0,VLOOKUP(EP173,各项系数!$D$142:$E$195,2,0))*1</f>
        <v>0</v>
      </c>
      <c r="ER173" s="69">
        <f t="shared" si="710"/>
        <v>0</v>
      </c>
      <c r="ES173" s="566">
        <f t="shared" si="692"/>
        <v>12</v>
      </c>
      <c r="ET173" s="251">
        <f>VLOOKUP(ES173,各项系数!$D$142:$E$195,2,0)*1</f>
        <v>4.16</v>
      </c>
      <c r="EU173" s="311">
        <f>((各项系数!$F$76/4*$EJ173^2*$EG173*$EH173*1*10^-7)*(1-$H173)*AA173)*(VLOOKUP($EY$9,各项系数!$D$4:$F$143,3,0))*各项系数!$J$4</f>
        <v>0.151762965773325</v>
      </c>
      <c r="EV173" s="312">
        <f>EU173*(VLOOKUP($EY$9,各项系数!$D$4:$F$143,2,0))</f>
        <v>9.94047425815281</v>
      </c>
      <c r="EW173" s="324">
        <f>(IF($EO173=0,0,(各项系数!$F$76/4*$ER173^2*$EO173*$EP173*1*10^-7))*(1-$K173)*$AF173)*(VLOOKUP($EY$9,各项系数!$D$4:$F$143,3,0))*各项系数!$J$4</f>
        <v>0</v>
      </c>
      <c r="EX173" s="325">
        <f>EW173*(VLOOKUP($EY$9,各项系数!$D$4:$F$143,2,0))</f>
        <v>0</v>
      </c>
      <c r="EY173" s="251">
        <f>((各项系数!$F$76/4*$EJ173^2*$EG173*$EH173*1*10^-7)*(1-$H173)*AA173+IF($EO173=0,0,(各项系数!$F$76/4*$ER173^2*$EO173*$EP173*1*10^-7))*(1-$K173)*$AF173)*(VLOOKUP($EY$9,各项系数!$D$4:$F$143,3,0))*各项系数!$J$4</f>
        <v>0.151762965773325</v>
      </c>
      <c r="EZ173" s="123">
        <v>1</v>
      </c>
      <c r="FA173" s="251">
        <f t="shared" si="757"/>
        <v>0.151762965773325</v>
      </c>
      <c r="FB173" s="326">
        <f>FA173*(VLOOKUP($EY$9,各项系数!$D$4:$F$143,2,0))</f>
        <v>9.94047425815281</v>
      </c>
      <c r="FC173" s="327"/>
      <c r="FD173" s="302">
        <f>各项系数!$F$76/4*($MN173^2-MK173^2)*10^-2*(VLOOKUP(L173,各项系数!$D$1:$F$143,3,0))*10^-3*10^2*$EG173*各项系数!$J$4</f>
        <v>0.0591881715787104</v>
      </c>
      <c r="FE173" s="339">
        <f>FD173*VLOOKUP(L173,各项系数!$D$1:$F$143,2,0)</f>
        <v>0.68066397315517</v>
      </c>
      <c r="FF173" s="250">
        <f>各项系数!$F$76/4*($MO173^2-ML173^2)*10^-2*(VLOOKUP(L173,各项系数!$D$1:$F$143,3,0))*10^-3*10^2*$EO173*各项系数!$J$4</f>
        <v>0</v>
      </c>
      <c r="FG173" s="339">
        <f>FF173*VLOOKUP(L173,各项系数!$D$1:$F$143,2,0)</f>
        <v>0</v>
      </c>
      <c r="FH173" s="302">
        <f t="shared" si="651"/>
        <v>0.0591881715787104</v>
      </c>
      <c r="FI173" s="123">
        <v>1</v>
      </c>
      <c r="FJ173" s="251">
        <f t="shared" si="758"/>
        <v>0.0591881715787104</v>
      </c>
      <c r="FK173" s="339">
        <f>FJ173*VLOOKUP(L173,各项系数!$D$1:$F$143,2,0)</f>
        <v>0.68066397315517</v>
      </c>
      <c r="FL173" s="302"/>
      <c r="FM173" s="123"/>
      <c r="FN173" s="251"/>
      <c r="FO173" s="339"/>
      <c r="FP173" s="364">
        <f t="shared" si="759"/>
        <v>0.0591881715787104</v>
      </c>
      <c r="FQ173" s="364">
        <f t="shared" si="760"/>
        <v>0.68066397315517</v>
      </c>
      <c r="FR173" s="365">
        <f>各项系数!$F$76/4*($MQ173^2-$MN173^2*$EG173-$MO173^2*$EO173)*10^-2</f>
        <v>0.314952806914903</v>
      </c>
      <c r="FS173" s="366">
        <f t="shared" si="652"/>
        <v>1</v>
      </c>
      <c r="FT173" s="367">
        <f t="shared" si="604"/>
        <v>0.314952806914903</v>
      </c>
      <c r="FU173" s="388">
        <f>$FT173*(VLOOKUP($FT$9,各项系数!$D$1:$F$143,3,0))*10^-3*10^2*各项系数!$J$55</f>
        <v>0.0376053651456394</v>
      </c>
      <c r="FV173" s="389">
        <v>1</v>
      </c>
      <c r="FW173" s="390">
        <f t="shared" si="761"/>
        <v>0.0376053651456394</v>
      </c>
      <c r="FX173" s="367">
        <f>FW173*(VLOOKUP($FT$9,各项系数!$D$1:$F$143,2,0))</f>
        <v>0.112816095436918</v>
      </c>
      <c r="FY173" s="388">
        <f>IF($BK173&lt;&gt;$FY$9,0,各项系数!$F$76/4*($MS173^2-$MQ173^2)*10^-2*(VLOOKUP($FY$9,各项系数!$D$1:$F$143,3,0))*10^-3*10^2)*各项系数!$J$4</f>
        <v>0</v>
      </c>
      <c r="FZ173" s="389">
        <v>1</v>
      </c>
      <c r="GA173" s="390">
        <f t="shared" si="762"/>
        <v>0</v>
      </c>
      <c r="GB173" s="367">
        <f>GA173*(VLOOKUP($FY$9,各项系数!$D$1:$F$143,2,0))</f>
        <v>0</v>
      </c>
      <c r="GC173" s="388">
        <f>IF($BK173&lt;&gt;$GC$9,0,各项系数!$F$76/4*($MS173^2-$MQ173^2)*10^-2*(VLOOKUP($GC$9,各项系数!$D$1:$F$143,3,0))*10^-3*10^2)*各项系数!$J$4</f>
        <v>0.00313851042180371</v>
      </c>
      <c r="GD173" s="389">
        <v>1</v>
      </c>
      <c r="GE173" s="390">
        <f t="shared" si="763"/>
        <v>0.00313851042180371</v>
      </c>
      <c r="GF173" s="367">
        <f>GE173*(VLOOKUP($GC$9,各项系数!$D$1:$F$143,2,0))</f>
        <v>0.0404867844412678</v>
      </c>
      <c r="GG173" s="388">
        <f>IF($BK173&lt;&gt;$GG$9,0,各项系数!$F$76/4*($MS173^2-$MQ173^2)*10^-2*(VLOOKUP($GG$9,各项系数!$D$1:$F$143,3,0))*10^-3*10^2)*各项系数!$J$4</f>
        <v>0</v>
      </c>
      <c r="GH173" s="389">
        <v>1</v>
      </c>
      <c r="GI173" s="390">
        <f t="shared" si="764"/>
        <v>0</v>
      </c>
      <c r="GJ173" s="367">
        <f>GI173*(VLOOKUP($GG$9,各项系数!$D$1:$F$143,2,0))</f>
        <v>0</v>
      </c>
      <c r="GK173" s="388">
        <f>IF($BK173&lt;&gt;$GK$9,0,各项系数!$F$76/4*($MS173^2-$MQ173^2)*10^-2*(VLOOKUP($GK$9,各项系数!$D$1:$F$143,3,0))*10^-3*10^2)*各项系数!$J$4</f>
        <v>0</v>
      </c>
      <c r="GL173" s="389">
        <v>1</v>
      </c>
      <c r="GM173" s="390">
        <f t="shared" si="765"/>
        <v>0</v>
      </c>
      <c r="GN173" s="367">
        <f>GM173*(VLOOKUP($GK$9,各项系数!$D$1:$F$143,2,0))</f>
        <v>0</v>
      </c>
      <c r="GO173" s="390">
        <f t="shared" si="766"/>
        <v>0.00313851042180371</v>
      </c>
      <c r="GP173" s="390">
        <f t="shared" si="767"/>
        <v>0.0404867844412678</v>
      </c>
      <c r="GQ173" s="406">
        <f>各项系数!$F$76/4*($MU173^2-$MS173^2)*10^-2*(VLOOKUP($S173,各项系数!$D$1:$F$143,3,0))*10^-3*10^2*各项系数!$J$4</f>
        <v>0.179120624863257</v>
      </c>
      <c r="GR173" s="389">
        <v>1</v>
      </c>
      <c r="GS173" s="390">
        <f t="shared" si="768"/>
        <v>0.179120624863257</v>
      </c>
      <c r="GT173" s="390">
        <f t="shared" si="696"/>
        <v>1</v>
      </c>
      <c r="GU173" s="390">
        <f>ROUND($GS173*(VLOOKUP($S173,各项系数!$D$1:$F$143,2,0))+$E$3*GS173,GT173)</f>
        <v>1</v>
      </c>
      <c r="GV173" s="406">
        <f>各项系数!$F$76/4*($MT173^2-$MS173^2)*10^-2*(VLOOKUP($GV$9,各项系数!$D$1:$F$143,3,0))*10^-3*10^2*各项系数!$J$4*PI()/4*R173</f>
        <v>0.0163328682125904</v>
      </c>
      <c r="GW173" s="389">
        <v>1</v>
      </c>
      <c r="GX173" s="390">
        <f t="shared" si="769"/>
        <v>0.0163328682125904</v>
      </c>
      <c r="GY173" s="390">
        <f>$GX173*(VLOOKUP($GV$9,各项系数!$D$1:$F$143,2,0))</f>
        <v>1.10246860434985</v>
      </c>
      <c r="GZ173" s="406">
        <f>各项系数!$F$76/4*($MV173^2-$MS173^2)*10^-2*(VLOOKUP($GZ$9,各项系数!$D$1:$F$143,3,0))*10^-3*10^2*各项系数!$J$4</f>
        <v>0.109428981611619</v>
      </c>
      <c r="HA173" s="389">
        <v>1</v>
      </c>
      <c r="HB173" s="390">
        <f t="shared" si="653"/>
        <v>0.109428981611619</v>
      </c>
      <c r="HC173" s="390">
        <f>HB173*(VLOOKUP($GZ$9,各项系数!$D$1:$F$143,2,0))</f>
        <v>1.86029268739752</v>
      </c>
      <c r="HD173" s="406">
        <f>各项系数!$F$76/4*($MW173^2-$MT173^2)*10^-2*(VLOOKUP($HD$9,各项系数!$D$1:$F$143,3,0))*10^-3*10^2*各项系数!$J$4</f>
        <v>0.110734351058297</v>
      </c>
      <c r="HE173" s="389">
        <v>1</v>
      </c>
      <c r="HF173" s="390">
        <f t="shared" si="654"/>
        <v>0.110734351058297</v>
      </c>
      <c r="HG173" s="390">
        <f>HF173*(VLOOKUP($HD$9,各项系数!$D$1:$F$143,2,0))</f>
        <v>1.88248396799105</v>
      </c>
      <c r="HH173" s="406">
        <f>各项系数!$F$76/4*($MV173^2-$MS173^2)*10^-2*(VLOOKUP($HH$9,各项系数!$D$1:$F$143,3,0))*10^-3*10^2*各项系数!$J$4</f>
        <v>0.109428981611619</v>
      </c>
      <c r="HI173" s="420">
        <v>1</v>
      </c>
      <c r="HJ173" s="390">
        <f t="shared" si="655"/>
        <v>0.109428981611619</v>
      </c>
      <c r="HK173" s="390">
        <f>HJ173*(VLOOKUP($HH$9,各项系数!$D$1:$F$143,2,0))</f>
        <v>1.86029268739752</v>
      </c>
      <c r="HL173" s="406">
        <f>各项系数!$F$76/4*($MW173^2-$MT173^2)*10^-2*(VLOOKUP($HL$9,各项系数!$D$1:$F$143,3,0))*10^-3*10^2*各项系数!$J$4</f>
        <v>0.110734351058297</v>
      </c>
      <c r="HM173" s="420">
        <v>1</v>
      </c>
      <c r="HN173" s="390">
        <f t="shared" si="605"/>
        <v>0.110734351058297</v>
      </c>
      <c r="HO173" s="390">
        <f>HN173*(VLOOKUP($HL$9,各项系数!$D$1:$F$143,2,0))</f>
        <v>1.88248396799105</v>
      </c>
      <c r="HP173" s="406">
        <f>各项系数!$F$76/4*($MV173^2-$MS173^2)*10^-2*(VLOOKUP(AN173,各项系数!$D$1:$F$143,3,0))*10^-3*10^2*各项系数!$J$4</f>
        <v>0.110938346875227</v>
      </c>
      <c r="HQ173" s="389">
        <v>1</v>
      </c>
      <c r="HR173" s="390">
        <f t="shared" si="770"/>
        <v>0.110938346875227</v>
      </c>
      <c r="HS173" s="390">
        <f>HR173*(VLOOKUP(AN173,各项系数!$D$1:$F$143,2,0))</f>
        <v>1.10938346875227</v>
      </c>
      <c r="HT173" s="406">
        <f>各项系数!$F$76/4*($MW173^2-$MT173^2)*10^-2*(VLOOKUP(AN173,各项系数!$D$1:$F$143,3,0))*10^-3*10^2*各项系数!$J$4</f>
        <v>0.112261721417722</v>
      </c>
      <c r="HU173" s="389">
        <v>1</v>
      </c>
      <c r="HV173" s="390">
        <f t="shared" si="771"/>
        <v>0.112261721417722</v>
      </c>
      <c r="HW173" s="390">
        <f>HV173*(VLOOKUP(AN173,各项系数!$D$1:$F$143,2,0))</f>
        <v>1.12261721417722</v>
      </c>
      <c r="HX173" s="406">
        <f>各项系数!$F$76/4*($MV173^2-$MS173^2)*10^-2*(VLOOKUP($HX$9,各项系数!$D$1:$F$143,3,0))*10^-3*10^2*各项系数!$J$4</f>
        <v>0.110938346875227</v>
      </c>
      <c r="HY173" s="420">
        <v>1</v>
      </c>
      <c r="HZ173" s="390">
        <f t="shared" si="772"/>
        <v>0.110938346875227</v>
      </c>
      <c r="IA173" s="390">
        <f>HZ173*(VLOOKUP($HX$9,各项系数!$D$1:$F$143,2,0))</f>
        <v>1.2203218156275</v>
      </c>
      <c r="IB173" s="406">
        <f>各项系数!$F$76/4*($MW173^2-$MT173^2)*10^-2*(VLOOKUP($IB$9,各项系数!$D$1:$F$143,3,0))*10^-3*10^2*各项系数!$J$4</f>
        <v>0.112261721417722</v>
      </c>
      <c r="IC173" s="420">
        <v>1</v>
      </c>
      <c r="ID173" s="390">
        <f t="shared" si="773"/>
        <v>0.112261721417722</v>
      </c>
      <c r="IE173" s="390">
        <f>ID173*(VLOOKUP($IB$9,各项系数!$D$1:$F$143,2,0))</f>
        <v>1.23487893559494</v>
      </c>
      <c r="IF173" s="429"/>
      <c r="IG173" s="406">
        <f t="shared" si="656"/>
        <v>0.0278385789525668</v>
      </c>
      <c r="IH173" s="389">
        <v>1</v>
      </c>
      <c r="II173" s="390">
        <f t="shared" si="774"/>
        <v>0.0278385789525668</v>
      </c>
      <c r="IJ173" s="390">
        <f>II173*(VLOOKUP($IG$8,各项系数!$D$1:$F$143,2,0))</f>
        <v>0.695964473814169</v>
      </c>
      <c r="IK173" s="406">
        <f>(各项系数!$F$76/4*($MX173^2-$MK173^2)*$EG173)*10^-2*(VLOOKUP($IG$8,各项系数!$D$1:$F$143,3,0))*10^-3*10^2*各项系数!$J$4</f>
        <v>0.0278385789525668</v>
      </c>
      <c r="IL173" s="389">
        <f>IK173*(VLOOKUP($IG$8,各项系数!$D$1:$F$143,2,0))</f>
        <v>0.695964473814169</v>
      </c>
      <c r="IM173" s="390">
        <f>(各项系数!$F$76/4*(($MM173+3*$X173)^2-MM173^2)*$EO173)*10^-2*(VLOOKUP($IG$8,各项系数!$D$1:$F$143,3,0))*10^-3*10^2*各项系数!$J$4</f>
        <v>0</v>
      </c>
      <c r="IN173" s="389">
        <f>IM173*(VLOOKUP($IG$8,各项系数!$D$1:$F$143,2,0))</f>
        <v>0</v>
      </c>
      <c r="IO173" s="406">
        <f>各项系数!$F$76/4*($MZ173^2-$MX173^2)*10^-2*(VLOOKUP(L173,各项系数!$D$1:$F$143,3,0))*10^-3*10^2*$ES173*各项系数!$J$4</f>
        <v>0.0765180763018547</v>
      </c>
      <c r="IP173" s="389">
        <v>1</v>
      </c>
      <c r="IQ173" s="390">
        <f t="shared" si="775"/>
        <v>0.0765180763018547</v>
      </c>
      <c r="IR173" s="367">
        <f>IQ173*(VLOOKUP(L173,各项系数!$D$1:$F$143,2,0))</f>
        <v>0.879957877471329</v>
      </c>
      <c r="IS173" s="406">
        <f>IF($L173&lt;&gt;$IS$9,0,各项系数!$F$76/4*($MZ173^2-$MX173^2)*10^-2*各项系数!$F$12*10^-3*10^2)*$ES173*各项系数!$J$4</f>
        <v>0</v>
      </c>
      <c r="IT173" s="389">
        <v>1</v>
      </c>
      <c r="IU173" s="390">
        <f t="shared" si="776"/>
        <v>0</v>
      </c>
      <c r="IV173" s="367">
        <f>IU173*各项系数!$E$12</f>
        <v>0</v>
      </c>
      <c r="IW173" s="388">
        <f t="shared" si="777"/>
        <v>0.0765180763018547</v>
      </c>
      <c r="IX173" s="388">
        <f t="shared" si="778"/>
        <v>0.879957877471329</v>
      </c>
      <c r="IY173" s="447">
        <f>各项系数!$F$76/4*($NB173^2-$MZ173^2*$EG173-$NA173^2*$EO173)*10^-2</f>
        <v>0.467426648295929</v>
      </c>
      <c r="IZ173" s="366">
        <f t="shared" si="697"/>
        <v>1</v>
      </c>
      <c r="JA173" s="367">
        <f t="shared" si="606"/>
        <v>0.467426648295929</v>
      </c>
      <c r="JB173" s="364">
        <f>IF($DE173&lt;&gt;$JB$9,0,$JA173*各项系数!$F$32*10^-3*10^2)*各项系数!$J$4</f>
        <v>0</v>
      </c>
      <c r="JC173" s="123">
        <v>1</v>
      </c>
      <c r="JD173" s="251">
        <f t="shared" si="779"/>
        <v>0</v>
      </c>
      <c r="JE173" s="339">
        <f>JD173*各项系数!$E$32</f>
        <v>0</v>
      </c>
      <c r="JF173" s="364">
        <f>IF($DE173&lt;&gt;$JF$9,0,$JA173*VLOOKUP($JF$9,各项系数!$D$4:$F$540,2,0)*10^-3*10^2)*各项系数!$J$4</f>
        <v>0.232544757527225</v>
      </c>
      <c r="JG173" s="123">
        <v>1</v>
      </c>
      <c r="JH173" s="251">
        <f t="shared" si="607"/>
        <v>0.232544757527225</v>
      </c>
      <c r="JI173" s="339">
        <f>JH173*VLOOKUP($JF$9,各项系数!$D$4:$F$540,3,0)</f>
        <v>0.27905370903267</v>
      </c>
      <c r="JJ173" s="364">
        <f t="shared" si="780"/>
        <v>0.232544757527225</v>
      </c>
      <c r="JK173" s="251">
        <f t="shared" si="781"/>
        <v>0.27905370903267</v>
      </c>
      <c r="JL173" s="364">
        <f>IF($DF173&lt;&gt;$JL$9,0,各项系数!$F$76/4*($NE173^2-$NC173^2)*10^-2*各项系数!$F$39*10^-3*10^2)*各项系数!$J$4</f>
        <v>0.00158138564687355</v>
      </c>
      <c r="JM173" s="123">
        <v>1</v>
      </c>
      <c r="JN173" s="251">
        <f t="shared" si="782"/>
        <v>0.00158138564687355</v>
      </c>
      <c r="JO173" s="339">
        <f>JN173*各项系数!$E$39</f>
        <v>0.031627712937471</v>
      </c>
      <c r="JP173" s="364">
        <f>IF($DF173&lt;&gt;$JP$9,0,各项系数!$F$76/4*($NE173^2-$NC173^2)*10^-2*各项系数!$F$36*10^-3*10^2)*各项系数!$J$4</f>
        <v>0</v>
      </c>
      <c r="JQ173" s="123">
        <v>1</v>
      </c>
      <c r="JR173" s="251">
        <f t="shared" si="783"/>
        <v>0</v>
      </c>
      <c r="JS173" s="339">
        <f>JR173*各项系数!$E$36</f>
        <v>0</v>
      </c>
      <c r="JT173" s="364">
        <f>IF($DF173&lt;&gt;$JT$9,0,各项系数!$F$76/4*($NE173^2-$NC173^2)*10^-2*各项系数!$F$40*10^-3*10^2)*各项系数!$J$4</f>
        <v>0</v>
      </c>
      <c r="JU173" s="123">
        <v>1</v>
      </c>
      <c r="JV173" s="251">
        <f t="shared" si="784"/>
        <v>0</v>
      </c>
      <c r="JW173" s="339">
        <f>JV173*各项系数!$E$40</f>
        <v>0</v>
      </c>
      <c r="JX173" s="364">
        <f>IF($DF173&lt;&gt;$JX$9,0,各项系数!$F$76/4*($NE173^2-$NC173^2)*10^-2*各项系数!$F$38*10^-3*10^2)*各项系数!$J$4</f>
        <v>0</v>
      </c>
      <c r="JY173" s="123">
        <v>1</v>
      </c>
      <c r="JZ173" s="251">
        <f t="shared" si="785"/>
        <v>0</v>
      </c>
      <c r="KA173" s="339">
        <f>JZ173*各项系数!$E$38</f>
        <v>0</v>
      </c>
      <c r="KB173" s="364">
        <f>IF($DF173&lt;&gt;$KB$9,0,各项系数!$F$76/4*($NE173^2-$NC173^2)*10^-2*各项系数!$F$41*10^-3*10^2)*各项系数!$J$4</f>
        <v>0</v>
      </c>
      <c r="KC173" s="123">
        <v>1</v>
      </c>
      <c r="KD173" s="251">
        <f t="shared" si="786"/>
        <v>0</v>
      </c>
      <c r="KE173" s="339">
        <f>KD173*各项系数!$E$41</f>
        <v>0</v>
      </c>
      <c r="KF173" s="251">
        <f t="shared" si="787"/>
        <v>0.00158138564687355</v>
      </c>
      <c r="KG173" s="251">
        <f t="shared" si="788"/>
        <v>0.031627712937471</v>
      </c>
      <c r="KH173" s="302">
        <f>各项系数!$F$76/4*($NG173^2-$NE173^2)*10^-2*各项系数!$F$44*10^-3*10^2*各项系数!$J$4*0.75*$U173</f>
        <v>0.650001754016257</v>
      </c>
      <c r="KI173" s="123">
        <v>1</v>
      </c>
      <c r="KJ173" s="251">
        <f t="shared" si="789"/>
        <v>0.650001754016257</v>
      </c>
      <c r="KK173" s="251">
        <f>ROUND(KJ173*各项系数!$E$43,GT173)</f>
        <v>3.8</v>
      </c>
      <c r="KL173" s="302">
        <f>各项系数!$F$76/4*($NF173^2-$NE173^2)*10^-2*各项系数!$F$46*10^-3*10^2*各项系数!$J$4*PI()/4*R173</f>
        <v>0.0199087613770342</v>
      </c>
      <c r="KM173" s="123">
        <v>1</v>
      </c>
      <c r="KN173" s="251">
        <f t="shared" si="790"/>
        <v>0.0199087613770342</v>
      </c>
      <c r="KO173" s="251">
        <f>KN173*各项系数!$E$46</f>
        <v>1.34384139294981</v>
      </c>
      <c r="KP173" s="302">
        <f>各项系数!$F$76/4*($NH173^2-$NE173^2)*10^-2*(VLOOKUP($KP$9,各项系数!$D$1:$F$143,3,0))*10^-3*10^2*各项系数!$J$4</f>
        <v>0.130314892758473</v>
      </c>
      <c r="KQ173" s="123">
        <v>1</v>
      </c>
      <c r="KR173" s="251">
        <f t="shared" si="657"/>
        <v>0.130314892758473</v>
      </c>
      <c r="KS173" s="251">
        <f>KR173*(VLOOKUP($KP$9,各项系数!$D$1:$F$143,2,0))</f>
        <v>2.21535317689404</v>
      </c>
      <c r="KT173" s="302">
        <f>各项系数!$F$76/4*($NI173^2-$NF173^2)*10^-2*(VLOOKUP($KT$9,各项系数!$D$1:$F$143,3,0))*10^-3*10^2*各项系数!$J$4</f>
        <v>0.131620262205151</v>
      </c>
      <c r="KU173" s="123">
        <v>1</v>
      </c>
      <c r="KV173" s="251">
        <f t="shared" si="658"/>
        <v>0.131620262205151</v>
      </c>
      <c r="KW173" s="251">
        <f>KV173*(VLOOKUP($KT$9,各项系数!$D$1:$F$143,2,0))</f>
        <v>2.23754445748758</v>
      </c>
      <c r="KX173" s="251">
        <f>各项系数!$F$76/4*($NH173^2-$NE173^2)*10^-2*(VLOOKUP($KX$9,各项系数!$D$1:$F$143,3,0))*10^-3*10^2*各项系数!$J$4</f>
        <v>0.130314892758473</v>
      </c>
      <c r="KY173" s="479">
        <v>1</v>
      </c>
      <c r="KZ173" s="251">
        <f t="shared" si="659"/>
        <v>0.130314892758473</v>
      </c>
      <c r="LA173" s="251">
        <f>KZ173*(VLOOKUP($KX$9,各项系数!$D$1:$F$143,2,0))</f>
        <v>2.21535317689404</v>
      </c>
      <c r="LB173" s="251">
        <f>各项系数!$F$76/4*($NI173^2-$NF173^2)*10^-2*(VLOOKUP($LB$9,各项系数!$D$1:$F$143,3,0))*10^-3*10^2*各项系数!$J$4</f>
        <v>0.131620262205151</v>
      </c>
      <c r="LC173" s="479">
        <v>1</v>
      </c>
      <c r="LD173" s="251">
        <f t="shared" si="660"/>
        <v>0.131620262205151</v>
      </c>
      <c r="LE173" s="251">
        <f>LD173*(VLOOKUP($LB$9,各项系数!$D$1:$F$143,2,0))</f>
        <v>2.23754445748758</v>
      </c>
      <c r="LF173" s="302">
        <f>各项系数!$F$76/4*($NH173^2-$NE173^2)*10^-2*(VLOOKUP(AN173,各项系数!$D$1:$F$143,3,0))*10^-3*10^2*各项系数!$J$4</f>
        <v>0.132112339555142</v>
      </c>
      <c r="LG173" s="123">
        <v>1</v>
      </c>
      <c r="LH173" s="251">
        <f t="shared" si="791"/>
        <v>0.132112339555142</v>
      </c>
      <c r="LI173" s="251">
        <f>LH173*(VLOOKUP(AN173,各项系数!$D$1:$F$143,2,0))</f>
        <v>1.32112339555142</v>
      </c>
      <c r="LJ173" s="302">
        <f>各项系数!$F$76/4*($NI173^2-$NF173^2)*10^-2*(VLOOKUP(AN173,各项系数!$D$1:$F$143,3,0))*10^-3*10^2*各项系数!$J$4</f>
        <v>0.133435714097636</v>
      </c>
      <c r="LK173" s="123">
        <v>1</v>
      </c>
      <c r="LL173" s="251">
        <f t="shared" si="792"/>
        <v>0.133435714097636</v>
      </c>
      <c r="LM173" s="251">
        <f>LL173*(VLOOKUP(AN173,各项系数!$D$1:$F$143,2,0))</f>
        <v>1.33435714097636</v>
      </c>
      <c r="LN173" s="251">
        <f>各项系数!$F$76/4*($NH173^2-$NE173^2)*10^-2*(VLOOKUP($LN$9,各项系数!$D$1:$F$143,3,0))*10^-3*10^2*各项系数!$J$4</f>
        <v>0.132112339555142</v>
      </c>
      <c r="LO173" s="479">
        <v>1</v>
      </c>
      <c r="LP173" s="251">
        <f t="shared" si="793"/>
        <v>0.132112339555142</v>
      </c>
      <c r="LQ173" s="251">
        <f>LP173*(VLOOKUP($LN$9,各项系数!$D$1:$F$143,2,0))</f>
        <v>1.45323573510656</v>
      </c>
      <c r="LR173" s="251">
        <f>各项系数!$F$76/4*($NI173^2-$NF173^2)*10^-2*(VLOOKUP($LR$9,各项系数!$D$1:$F$143,3,0))*10^-3*10^2*各项系数!$J$4</f>
        <v>0.133435714097636</v>
      </c>
      <c r="LS173" s="479">
        <v>1</v>
      </c>
      <c r="LT173" s="251">
        <f t="shared" si="794"/>
        <v>0.133435714097636</v>
      </c>
      <c r="LU173" s="251">
        <f>LT173*(VLOOKUP($LR$9,各项系数!$D$1:$F$143,2,0))</f>
        <v>1.467792855074</v>
      </c>
      <c r="LV173" s="499">
        <f t="shared" si="661"/>
        <v>17.15698462</v>
      </c>
      <c r="LW173" s="499">
        <f t="shared" si="662"/>
        <v>17.15698462</v>
      </c>
      <c r="LX173" s="499">
        <f t="shared" si="663"/>
        <v>4.67385828696132</v>
      </c>
      <c r="LY173" s="515">
        <f t="shared" si="664"/>
        <v>0</v>
      </c>
      <c r="LZ173" s="516">
        <f t="shared" si="608"/>
        <v>1</v>
      </c>
      <c r="MA173" s="517">
        <f t="shared" si="609"/>
        <v>17.15698462</v>
      </c>
      <c r="MB173" s="517">
        <f t="shared" si="665"/>
        <v>1.34922667</v>
      </c>
      <c r="MC173" s="499">
        <f t="shared" si="666"/>
        <v>0</v>
      </c>
      <c r="MD173" s="499">
        <f t="shared" si="667"/>
        <v>0</v>
      </c>
      <c r="ME173" s="499">
        <f t="shared" si="668"/>
        <v>0</v>
      </c>
      <c r="MF173" s="499">
        <f t="shared" si="669"/>
        <v>0</v>
      </c>
      <c r="MG173" s="516">
        <f t="shared" si="670"/>
        <v>1</v>
      </c>
      <c r="MH173" s="517">
        <f t="shared" si="610"/>
        <v>0</v>
      </c>
      <c r="MI173" s="517">
        <f t="shared" si="671"/>
        <v>0</v>
      </c>
      <c r="MJ173" s="251">
        <f t="shared" si="611"/>
        <v>1.34922667</v>
      </c>
      <c r="MK173" s="251">
        <f t="shared" si="672"/>
        <v>1.34922667</v>
      </c>
      <c r="ML173" s="251">
        <f t="shared" si="795"/>
        <v>0</v>
      </c>
      <c r="MM173" s="251">
        <f t="shared" si="612"/>
        <v>0</v>
      </c>
      <c r="MN173" s="251">
        <f t="shared" si="613"/>
        <v>2.74922667</v>
      </c>
      <c r="MO173" s="251">
        <f t="shared" si="673"/>
        <v>0</v>
      </c>
      <c r="MP173" s="251">
        <f t="shared" si="674"/>
        <v>11.43678295</v>
      </c>
      <c r="MQ173" s="251">
        <f t="shared" si="796"/>
        <v>11.43678295</v>
      </c>
      <c r="MR173" s="314">
        <f t="shared" si="675"/>
        <v>11.43678295</v>
      </c>
      <c r="MS173" s="530">
        <f t="shared" si="614"/>
        <v>11.61278295</v>
      </c>
      <c r="MT173" s="530">
        <f t="shared" si="615"/>
        <v>11.77278295</v>
      </c>
      <c r="MU173" s="530">
        <f t="shared" si="616"/>
        <v>12.81278295</v>
      </c>
      <c r="MV173" s="530">
        <f t="shared" si="617"/>
        <v>15.21278295</v>
      </c>
      <c r="MW173" s="530">
        <f t="shared" si="618"/>
        <v>15.37278295</v>
      </c>
      <c r="MX173" s="326">
        <f t="shared" si="619"/>
        <v>1.94922667</v>
      </c>
      <c r="MY173" s="326">
        <f t="shared" si="620"/>
        <v>0</v>
      </c>
      <c r="MZ173" s="251">
        <f t="shared" si="621"/>
        <v>3.34922667</v>
      </c>
      <c r="NA173" s="251">
        <f t="shared" si="622"/>
        <v>0</v>
      </c>
      <c r="NB173" s="251">
        <f t="shared" si="676"/>
        <v>13.93278295</v>
      </c>
      <c r="NC173" s="326">
        <f t="shared" si="797"/>
        <v>13.93278295</v>
      </c>
      <c r="ND173" s="314">
        <f t="shared" si="677"/>
        <v>13.93278295</v>
      </c>
      <c r="NE173" s="537">
        <f t="shared" si="678"/>
        <v>14.17278295</v>
      </c>
      <c r="NF173" s="530">
        <f t="shared" si="623"/>
        <v>14.33278295</v>
      </c>
      <c r="NG173" s="538">
        <f t="shared" si="624"/>
        <v>15.37278295</v>
      </c>
      <c r="NH173" s="326">
        <f t="shared" si="625"/>
        <v>17.77278295</v>
      </c>
      <c r="NI173" s="530">
        <f t="shared" si="626"/>
        <v>17.93278295</v>
      </c>
      <c r="NK173" s="539">
        <f t="shared" si="627"/>
        <v>0.362633359794706</v>
      </c>
      <c r="NL173" s="539">
        <f t="shared" si="628"/>
        <v>11.8838245799384</v>
      </c>
      <c r="NM173" s="539">
        <f t="shared" si="629"/>
        <v>0.362633359794706</v>
      </c>
      <c r="NN173" s="539">
        <f t="shared" si="630"/>
        <v>11.9947629268137</v>
      </c>
      <c r="NO173" s="539">
        <f t="shared" si="631"/>
        <v>0.622358103756987</v>
      </c>
      <c r="NP173" s="539">
        <f t="shared" si="632"/>
        <v>13.1482014269599</v>
      </c>
      <c r="NQ173" s="539">
        <f t="shared" si="633"/>
        <v>0.622358103756987</v>
      </c>
      <c r="NR173" s="539">
        <f t="shared" si="634"/>
        <v>13.280313766515</v>
      </c>
      <c r="NS173" s="539">
        <f t="shared" si="635"/>
        <v>0.378966228007296</v>
      </c>
      <c r="NT173" s="539">
        <f t="shared" si="636"/>
        <v>0.378966228007296</v>
      </c>
      <c r="NU173" s="539">
        <f t="shared" si="637"/>
        <v>0.642266865134021</v>
      </c>
      <c r="NV173" s="539">
        <f t="shared" si="638"/>
        <v>0.642266865134021</v>
      </c>
      <c r="NW173">
        <f t="shared" si="639"/>
        <v>0.541753984657964</v>
      </c>
      <c r="NX173">
        <f>各项系数!$M$9*NK173</f>
        <v>0.108790007938412</v>
      </c>
      <c r="NY173">
        <f t="shared" si="640"/>
        <v>0.378966228007297</v>
      </c>
    </row>
    <row r="174" customHeight="1" spans="1:389">
      <c r="A174" s="85"/>
      <c r="B174" s="86"/>
      <c r="C174" s="218"/>
      <c r="D174" s="123" t="s">
        <v>393</v>
      </c>
      <c r="E174" s="77">
        <f t="shared" ref="E174:E190" si="805">MV174</f>
        <v>15.90008961</v>
      </c>
      <c r="F174" s="559">
        <f t="shared" si="798"/>
        <v>134.922667214547</v>
      </c>
      <c r="G174" s="23"/>
      <c r="H174" s="23"/>
      <c r="I174" s="174">
        <v>0</v>
      </c>
      <c r="J174" s="23"/>
      <c r="K174" s="23"/>
      <c r="L174" s="118" t="s">
        <v>469</v>
      </c>
      <c r="M174" s="124">
        <f t="shared" si="582"/>
        <v>0.7</v>
      </c>
      <c r="N174" s="124">
        <f t="shared" si="804"/>
        <v>0</v>
      </c>
      <c r="O174" s="69">
        <f t="shared" si="801"/>
        <v>0.08</v>
      </c>
      <c r="P174" s="120">
        <v>0.1</v>
      </c>
      <c r="Q174" s="162">
        <f t="shared" ref="Q174:Q183" si="806">$Q$12</f>
        <v>0.1</v>
      </c>
      <c r="R174" s="560">
        <v>0.8</v>
      </c>
      <c r="S174" s="171" t="str">
        <f>各项系数!$D$43</f>
        <v>钢带</v>
      </c>
      <c r="T174" s="123">
        <v>0.2</v>
      </c>
      <c r="U174" s="78">
        <v>4</v>
      </c>
      <c r="V174" s="172"/>
      <c r="W174" s="170">
        <f>$W$172</f>
        <v>1.8</v>
      </c>
      <c r="X174" s="164">
        <f t="shared" ref="X174:X183" si="807">$X$12</f>
        <v>0.2</v>
      </c>
      <c r="Y174" s="219"/>
      <c r="Z174" s="220"/>
      <c r="AA174" s="217">
        <v>1</v>
      </c>
      <c r="AB174" s="186">
        <f>PI()*EJ174*EJ174/4*EH174*(1-H174)*AA174*各项系数!$F$5*各项系数!$J$4*10^-7</f>
        <v>0.0126469138144438</v>
      </c>
      <c r="AC174" s="186">
        <f t="shared" ref="AC174:AC190" si="808">EJ174</f>
        <v>134.922667214547</v>
      </c>
      <c r="AD174" s="186">
        <f t="shared" si="584"/>
        <v>1.42974872274124</v>
      </c>
      <c r="AE174" s="186">
        <f>POWER(4*EU174/PI()/EG174/10^-7/EH174/(1-H174)/各项系数!$F$5/各项系数!$J$4,0.5)</f>
        <v>134.922667214547</v>
      </c>
      <c r="AF174" s="218">
        <v>1</v>
      </c>
      <c r="AG174" s="85">
        <f>IF(EM174=0,0,PI()*ER174*ER174/4*EP174*(1-K174)*(1+AF174)*各项系数!$F$5*各项系数!$J$4*10^-7)</f>
        <v>0</v>
      </c>
      <c r="AH174" s="85">
        <f t="shared" ref="AH174:AH190" si="809">ER174</f>
        <v>0</v>
      </c>
      <c r="AI174" s="85">
        <f t="shared" si="641"/>
        <v>0</v>
      </c>
      <c r="AJ174" s="85">
        <f>IF(OR(EP174="",EP174=0),0,POWER(4*EW174/PI()/EO174/10^-7/EP174/(1-K174)/各项系数!$F$5/各项系数!$J$4,0.5))</f>
        <v>0</v>
      </c>
      <c r="AK174" s="85" t="str">
        <f t="shared" si="585"/>
        <v>√</v>
      </c>
      <c r="AL174" s="85">
        <f t="shared" ref="AL174:AL190" si="810">AO174*(1+0.02)</f>
        <v>14.5097634824296</v>
      </c>
      <c r="AM174" s="250">
        <f t="shared" ref="AM174:AM190" si="811">EE174*1</f>
        <v>1.5</v>
      </c>
      <c r="AN174" s="118" t="s">
        <v>486</v>
      </c>
      <c r="AO174" s="259">
        <f>AP174+各项系数!$M$9*$NK174</f>
        <v>14.2252583161074</v>
      </c>
      <c r="AP174" s="259">
        <f>AQ174*(1+$BI174+(VLOOKUP($AM174,$A$12:$B$323,2,0))+各项系数!$J$6+各项系数!$M$5)*(1+$E$2)</f>
        <v>14.1038561607952</v>
      </c>
      <c r="AQ174" s="260">
        <f>AR174+各项系数!$L$9*$NK174</f>
        <v>14.2491979801931</v>
      </c>
      <c r="AR174" s="260">
        <f>AS174*(1+$BJ174+各项系数!$J$5+各项系数!$L$5)</f>
        <v>14.1277958248809</v>
      </c>
      <c r="AS174" s="260">
        <f t="shared" si="642"/>
        <v>13.7163066260979</v>
      </c>
      <c r="AT174" s="259">
        <f>AU174+各项系数!$M$9*$NM174</f>
        <v>15.0300344454603</v>
      </c>
      <c r="AU174" s="259">
        <f>AV174*(1+$BI174+(VLOOKUP($AM174,$A$12:$B$323,2,0))+各项系数!$J$6+各项系数!$M$5)*(1+$E$2)</f>
        <v>14.908632290148</v>
      </c>
      <c r="AV174" s="260">
        <f>AW174+各项系数!$L$9*$NM174</f>
        <v>15.0622674178097</v>
      </c>
      <c r="AW174" s="260">
        <f>AX174*(1+$BJ174+各项系数!$J$5+各项系数!$L$5)</f>
        <v>14.9408652624974</v>
      </c>
      <c r="AX174" s="260">
        <f t="shared" si="643"/>
        <v>14.5056944296091</v>
      </c>
      <c r="AY174" s="259">
        <f>AZ174+各项系数!$M$9*$NS174</f>
        <v>15.4390998489598</v>
      </c>
      <c r="AZ174" s="259">
        <f>BA174*(1+$BI174+(VLOOKUP($AM174,$A$12:$B$214,2,0))+各项系数!$J$6+各项系数!$M$5)*(1+$E$2)</f>
        <v>15.3125098173415</v>
      </c>
      <c r="BA174" s="260">
        <f>BB174+各项系数!$L$9*$NS174</f>
        <v>15.4703069482133</v>
      </c>
      <c r="BB174" s="260">
        <f>BC174*(1+$BJ174+各项系数!$J$5+各项系数!$L$5)</f>
        <v>15.343716916595</v>
      </c>
      <c r="BC174" s="262">
        <f t="shared" si="644"/>
        <v>14.8968125403835</v>
      </c>
      <c r="BD174" s="259">
        <f>BE174+各项系数!$M$9*$NS174</f>
        <v>16.2530081316718</v>
      </c>
      <c r="BE174" s="259">
        <f>BF174*(1+$BI174+(VLOOKUP($AM174,$A$12:$B$214,2,0))+各项系数!$J$6+各项系数!$M$5)*(1+$E$2)</f>
        <v>16.1264181000535</v>
      </c>
      <c r="BF174" s="260">
        <f>BG174+各项系数!$L$9*$NS174</f>
        <v>16.2926026470535</v>
      </c>
      <c r="BG174" s="260">
        <f>BH174*(1+$BJ174+各项系数!$J$5+各项系数!$L$5)</f>
        <v>16.1660126154352</v>
      </c>
      <c r="BH174" s="262">
        <f t="shared" si="645"/>
        <v>15.6951578790633</v>
      </c>
      <c r="BI174" s="277"/>
      <c r="BJ174" s="272">
        <f t="shared" si="800"/>
        <v>0.01</v>
      </c>
      <c r="BK174" s="123" t="s">
        <v>514</v>
      </c>
      <c r="BL174" s="259">
        <f>BM174+各项系数!$M$9*$NM174</f>
        <v>14.4810732286456</v>
      </c>
      <c r="BM174" s="259">
        <f>BN174*(1+$CF174+(VLOOKUP($AM174,$A$12:$B$323,2,0))+各项系数!$J$6+各项系数!$M$5)*(1+$E$2)</f>
        <v>14.3596710733333</v>
      </c>
      <c r="BN174" s="260">
        <f>BO174+各项系数!$L$9*$NM174</f>
        <v>14.5076490940931</v>
      </c>
      <c r="BO174" s="260">
        <f>BP174*(1+$CG174+各项系数!$J$5+各项系数!$L$5)</f>
        <v>14.3862469387808</v>
      </c>
      <c r="BP174" s="260">
        <f t="shared" si="646"/>
        <v>13.8329297488277</v>
      </c>
      <c r="BQ174" s="259">
        <f>BR174+各项系数!$M$9*$NM174</f>
        <v>15.1736118089245</v>
      </c>
      <c r="BR174" s="259">
        <f>BS174*(1+$CF174+(VLOOKUP($AM174,$A$12:$B$323,2,0))+各项系数!$J$6+各项系数!$M$5)*(1+$E$2)</f>
        <v>15.0522096536123</v>
      </c>
      <c r="BS174" s="260">
        <f>BT174+各项系数!$L$9*$NM174</f>
        <v>15.2073243621058</v>
      </c>
      <c r="BT174" s="260">
        <f>BU174*(1+$CG174+各项系数!$J$5+各项系数!$L$5)</f>
        <v>15.0859222067935</v>
      </c>
      <c r="BU174" s="260">
        <f t="shared" si="647"/>
        <v>14.5056944296091</v>
      </c>
      <c r="BV174" s="259">
        <f>BW174+各项系数!$M$9*$NT174</f>
        <v>15.5908419833516</v>
      </c>
      <c r="BW174" s="259">
        <f>BX174*(1+$CF174+(VLOOKUP($AM174,$A$12:$B$214,2,0))+各项系数!$J$6+各项系数!$M$5)*(1+$E$2)</f>
        <v>15.4642519517333</v>
      </c>
      <c r="BX174" s="260">
        <f>BY174+各项系数!$L$9*$NT$12</f>
        <v>15.623612802317</v>
      </c>
      <c r="BY174" s="260">
        <f>BZ174*(1+$CG174+各项系数!$J$5+各项系数!$L$5)</f>
        <v>15.615349399162</v>
      </c>
      <c r="BZ174" s="262">
        <f t="shared" si="586"/>
        <v>15.0147590376558</v>
      </c>
      <c r="CA174" s="259">
        <f>CB174+各项系数!$M$9*$NT174</f>
        <v>16.2912391075058</v>
      </c>
      <c r="CB174" s="259">
        <f>CC174*(1+$CF174+(VLOOKUP($AM174,$A$12:$B$214,2,0))+各项系数!$J$6+各项系数!$M$5)*(1+$E$2)</f>
        <v>16.1646490758875</v>
      </c>
      <c r="CC174" s="260">
        <f>CD174+各项系数!$L$9*$NT$12</f>
        <v>16.3312275973808</v>
      </c>
      <c r="CD174" s="260">
        <f>CE174*(1+$CG174+各项系数!$J$5+各项系数!$L$5)</f>
        <v>16.3229641942258</v>
      </c>
      <c r="CE174" s="262">
        <f t="shared" si="648"/>
        <v>15.6951578790633</v>
      </c>
      <c r="CF174" s="277">
        <f t="shared" si="753"/>
        <v>0</v>
      </c>
      <c r="CG174" s="277">
        <f t="shared" si="587"/>
        <v>0.02</v>
      </c>
      <c r="CH174" s="123"/>
      <c r="CI174" s="259">
        <f>CJ174+各项系数!$M$9*$NO174</f>
        <v>15.9678079856344</v>
      </c>
      <c r="CJ174" s="259">
        <f>CK174*(1+$DC174+(VLOOKUP($AM174,$A$12:$B$323,2,0))+各项系数!$J$6+各项系数!$M$5)*(1+$E$2)+各项系数!$M$9*$NK174</f>
        <v>15.7643149397721</v>
      </c>
      <c r="CK174" s="260">
        <f>CL174+各项系数!$L$9*$NO174</f>
        <v>15.8041147549604</v>
      </c>
      <c r="CL174" s="260">
        <f>CM174*(1+$DD174+各项系数!$J$5+各项系数!$L$5)</f>
        <v>15.6006217090982</v>
      </c>
      <c r="CM174" s="260">
        <f t="shared" si="588"/>
        <v>15.1462346690274</v>
      </c>
      <c r="CN174" s="259">
        <f>CO174+各项系数!$M$9*$NO174</f>
        <v>16.5440680387504</v>
      </c>
      <c r="CO174" s="259">
        <f>CP174*(1+$DC174+(VLOOKUP($AM174,$A$12:$B$323,2,0))+各项系数!$J$6+各项系数!$M$5)*(1+$E$2)+各项系数!$M$9*$NK174</f>
        <v>16.3405749928882</v>
      </c>
      <c r="CP174" s="260">
        <f>CQ174+各项系数!$L$9*$NO174</f>
        <v>16.3863132325479</v>
      </c>
      <c r="CQ174" s="260">
        <f>CR174*(1+$DD174+各项系数!$J$5+各项系数!$L$5)</f>
        <v>16.1828201866857</v>
      </c>
      <c r="CR174" s="260">
        <f t="shared" si="589"/>
        <v>15.7114759094036</v>
      </c>
      <c r="CS174" s="259">
        <f>CT174+各项系数!$M$9*$NU174</f>
        <v>17.3230037796712</v>
      </c>
      <c r="CT174" s="259">
        <f t="shared" si="590"/>
        <v>17.1131872320566</v>
      </c>
      <c r="CU174" s="260">
        <f>CV174+各项系数!$L$9*$NU174</f>
        <v>17.2895405456219</v>
      </c>
      <c r="CV174" s="260">
        <f>CW174*(1+$DD174+各项系数!$J$5+各项系数!$L$5)</f>
        <v>17.0797239980073</v>
      </c>
      <c r="CW174" s="262">
        <f t="shared" si="591"/>
        <v>16.5822563087449</v>
      </c>
      <c r="CX174" s="259">
        <f>CY174+各项系数!$M$9*$NU174</f>
        <v>18.2915879099041</v>
      </c>
      <c r="CY174" s="259">
        <f t="shared" si="592"/>
        <v>18.0817713622894</v>
      </c>
      <c r="CZ174" s="260">
        <f>DA174+各项系数!$L$9*$NU174</f>
        <v>18.2681060439376</v>
      </c>
      <c r="DA174" s="260">
        <f>DB174*(1+$DD174+各项系数!$J$5+各项系数!$L$5)</f>
        <v>18.0582894963229</v>
      </c>
      <c r="DB174" s="262">
        <f t="shared" si="593"/>
        <v>17.5323198993426</v>
      </c>
      <c r="DC174" s="277">
        <f t="shared" si="803"/>
        <v>0</v>
      </c>
      <c r="DD174" s="277">
        <f t="shared" si="594"/>
        <v>0.01</v>
      </c>
      <c r="DE174" s="69" t="s">
        <v>498</v>
      </c>
      <c r="DF174" s="69" t="s">
        <v>513</v>
      </c>
      <c r="DG174" s="259">
        <f>DH174+各项系数!$M$9*$NQ174</f>
        <v>16.2608497938333</v>
      </c>
      <c r="DH174" s="259">
        <f>DI174*(1+$EA174+(VLOOKUP($AM174,$A$12:$B$323,2,0))+各项系数!$J$6+各项系数!$M$5)*(1+$E$2)+各项系数!$M$9*$NK174</f>
        <v>16.0573567479711</v>
      </c>
      <c r="DI174" s="260">
        <f>DJ174+各项系数!$L$9*$NQ174</f>
        <v>16.1001763918557</v>
      </c>
      <c r="DJ174" s="260">
        <f>DK174*(1+$EB174+各项系数!$J$5+各项系数!$L$5)</f>
        <v>15.8966833459935</v>
      </c>
      <c r="DK174" s="260">
        <f t="shared" si="595"/>
        <v>15.2852724480707</v>
      </c>
      <c r="DL174" s="259">
        <f>DM174+各项系数!$M$9*$NQ174</f>
        <v>17.0864924609987</v>
      </c>
      <c r="DM174" s="259">
        <f>DN174*(1+$EA174+(VLOOKUP($AM174,$A$12:$B$323,2,0))+各项系数!$J$6+各项系数!$M$5)*(1+$E$2)+各项系数!$M$9*$NK174</f>
        <v>16.8829994151365</v>
      </c>
      <c r="DN174" s="260">
        <f>DO174+各项系数!$L$9*$NQ174</f>
        <v>16.934327399297</v>
      </c>
      <c r="DO174" s="260">
        <f>DP174*(1+$EB174+各项系数!$J$5+各项系数!$L$5)</f>
        <v>16.7308343534348</v>
      </c>
      <c r="DP174" s="260">
        <f t="shared" si="596"/>
        <v>16.0873407244565</v>
      </c>
      <c r="DQ174" s="259">
        <f>DR174+各项系数!$M$9*$NV174</f>
        <v>17.6316216012272</v>
      </c>
      <c r="DR174" s="259">
        <f t="shared" si="597"/>
        <v>17.4218050536125</v>
      </c>
      <c r="DS174" s="260">
        <f>DT174+各项系数!$L$9*$NV174</f>
        <v>17.6013387084386</v>
      </c>
      <c r="DT174" s="260">
        <f>DU174*(1+$EB174+各项系数!$J$5+各项系数!$L$5)</f>
        <v>17.3915221608239</v>
      </c>
      <c r="DU174" s="262">
        <f t="shared" si="598"/>
        <v>16.7226174623307</v>
      </c>
      <c r="DV174" s="259">
        <f>DW174+各项系数!$M$9*$NV174</f>
        <v>17.4083309462941</v>
      </c>
      <c r="DW174" s="259">
        <f t="shared" si="599"/>
        <v>17.1985143986795</v>
      </c>
      <c r="DX174" s="260">
        <f>DY174+各项系数!$L$9*$NV174</f>
        <v>17.3757470182658</v>
      </c>
      <c r="DY174" s="260">
        <f>DZ174*(1+$EB174+各项系数!$J$5+各项系数!$L$5)</f>
        <v>17.1659304706511</v>
      </c>
      <c r="DZ174" s="262">
        <f t="shared" si="600"/>
        <v>16.5057023756261</v>
      </c>
      <c r="EA174" s="277">
        <f t="shared" si="802"/>
        <v>0</v>
      </c>
      <c r="EB174" s="277">
        <f t="shared" si="601"/>
        <v>0.02</v>
      </c>
      <c r="EC174" s="302">
        <f t="shared" si="649"/>
        <v>14</v>
      </c>
      <c r="ED174" s="302" t="str">
        <f t="shared" si="756"/>
        <v>14*1.5</v>
      </c>
      <c r="EE174" s="251">
        <f t="shared" ref="EE174:EE190" si="812">IF($D174="",0,IF(COUNTIF($D174,"*+*")&gt;0,MID($D174,FIND("*",$D174)+1,FIND("+",$D174)-FIND("*",$D174)-1),RIGHT($D174,(LEN($D174)-FIND("*",$D174)))))*1</f>
        <v>1.5</v>
      </c>
      <c r="EF174" s="251">
        <f>LOOKUP(EH174,{1,7,10,14,19,24,30,37,48,61},{1,"1+6","2+8","4+10","1+6+12","2+8+14","4+10+16","1+6+12+18","3+9+15+21","1+6+12+18+24"})</f>
        <v>1</v>
      </c>
      <c r="EG174" s="250">
        <f t="shared" si="602"/>
        <v>14</v>
      </c>
      <c r="EH174" s="260">
        <f>VLOOKUP(EE174,各项系数!$B$87:$C$124,2,0)</f>
        <v>1</v>
      </c>
      <c r="EI174" s="250">
        <f>IF(EH174=0,0,VLOOKUP(EH174,各项系数!$D$142:$E$195,2,0))*1</f>
        <v>1</v>
      </c>
      <c r="EJ174" s="305">
        <f t="shared" si="650"/>
        <v>134.922667214547</v>
      </c>
      <c r="EK174" s="251">
        <f t="shared" ref="EK174:EK190" si="813">IF(COUNTIF($D174,"*+*")&gt;0,MID($D174,FIND("+",$D174)+1,LEN($D174)),0)</f>
        <v>0</v>
      </c>
      <c r="EL174" s="251">
        <f t="shared" si="603"/>
        <v>0</v>
      </c>
      <c r="EM174" s="251">
        <f t="shared" ref="EM174:EM190" si="814">EL174/1</f>
        <v>0</v>
      </c>
      <c r="EN174" s="251">
        <f>IF(EP174=0,0,LOOKUP(EP174,{1,7,10,14,19,24,30,37,48,61},{1,"1+6","2+8","4+10","1+6+12","2+8+14","4+10+16","1+6+12+18","3+9+15+21","1+6+12+18+24"}))</f>
        <v>0</v>
      </c>
      <c r="EO174" s="251">
        <f t="shared" ref="EO174:EO190" si="815">IF(EK174=0,0,MID(EK174,1,1))</f>
        <v>0</v>
      </c>
      <c r="EP174" s="251">
        <f>IF(EM174=0,0,IF(EM174&lt;10,1,IF(AND(EM174&gt;=10,EM174&lt;=35),7,LOOKUP(EM174,{50,70,95,120,150,185,240,300},{10,14,19,24,30,37,48,61})*1)))</f>
        <v>0</v>
      </c>
      <c r="EQ174" s="251">
        <f>IF(EP174=0,0,VLOOKUP(EP174,各项系数!$D$142:$E$195,2,0))*1</f>
        <v>0</v>
      </c>
      <c r="ER174" s="69">
        <f t="shared" ref="ER174:ER190" si="816">$I174-$J174</f>
        <v>0</v>
      </c>
      <c r="ES174" s="566">
        <f t="shared" ref="ES174:ES190" si="817">EO174+EG174</f>
        <v>14</v>
      </c>
      <c r="ET174" s="251">
        <f>VLOOKUP(ES174,各项系数!$D$142:$E$195,2,0)*1</f>
        <v>4.41</v>
      </c>
      <c r="EU174" s="311">
        <f>((各项系数!$F$76/4*$EJ174^2*$EG174*$EH174*1*10^-7)*(1-$H174)*AA174)*(VLOOKUP($EY$9,各项系数!$D$4:$F$143,3,0))*各项系数!$J$4</f>
        <v>0.177056793402213</v>
      </c>
      <c r="EV174" s="312">
        <f>EU174*(VLOOKUP($EY$9,各项系数!$D$4:$F$143,2,0))</f>
        <v>11.5972199678449</v>
      </c>
      <c r="EW174" s="324">
        <f>(IF($EO174=0,0,(各项系数!$F$76/4*$ER174^2*$EO174*$EP174*1*10^-7))*(1-$K174)*$AF174)*(VLOOKUP($EY$9,各项系数!$D$4:$F$143,3,0))*各项系数!$J$4</f>
        <v>0</v>
      </c>
      <c r="EX174" s="325">
        <f>EW174*(VLOOKUP($EY$9,各项系数!$D$4:$F$143,2,0))</f>
        <v>0</v>
      </c>
      <c r="EY174" s="251">
        <f>((各项系数!$F$76/4*$EJ174^2*$EG174*$EH174*1*10^-7)*(1-$H174)*AA174+IF($EO174=0,0,(各项系数!$F$76/4*$ER174^2*$EO174*$EP174*1*10^-7))*(1-$K174)*$AF174)*(VLOOKUP($EY$9,各项系数!$D$4:$F$143,3,0))*各项系数!$J$4</f>
        <v>0.177056793402213</v>
      </c>
      <c r="EZ174" s="123">
        <v>1</v>
      </c>
      <c r="FA174" s="251">
        <f t="shared" si="757"/>
        <v>0.177056793402213</v>
      </c>
      <c r="FB174" s="326">
        <f>FA174*(VLOOKUP($EY$9,各项系数!$D$4:$F$143,2,0))</f>
        <v>11.5972199678449</v>
      </c>
      <c r="FC174" s="327"/>
      <c r="FD174" s="302">
        <f>各项系数!$F$76/4*($MN174^2-MK174^2)*10^-2*(VLOOKUP(L174,各项系数!$D$1:$F$143,3,0))*10^-3*10^2*$EG174*各项系数!$J$4</f>
        <v>0.0690528668418288</v>
      </c>
      <c r="FE174" s="339">
        <f>FD174*VLOOKUP(L174,各项系数!$D$1:$F$143,2,0)</f>
        <v>0.794107968681031</v>
      </c>
      <c r="FF174" s="250">
        <f>各项系数!$F$76/4*($MO174^2-ML174^2)*10^-2*(VLOOKUP(L174,各项系数!$D$1:$F$143,3,0))*10^-3*10^2*$EO174*各项系数!$J$4</f>
        <v>0</v>
      </c>
      <c r="FG174" s="339">
        <f>FF174*VLOOKUP(L174,各项系数!$D$1:$F$143,2,0)</f>
        <v>0</v>
      </c>
      <c r="FH174" s="302">
        <f t="shared" si="651"/>
        <v>0.0690528668418288</v>
      </c>
      <c r="FI174" s="123">
        <v>1</v>
      </c>
      <c r="FJ174" s="251">
        <f t="shared" si="758"/>
        <v>0.0690528668418288</v>
      </c>
      <c r="FK174" s="339">
        <f>FJ174*VLOOKUP(L174,各项系数!$D$1:$F$143,2,0)</f>
        <v>0.794107968681031</v>
      </c>
      <c r="FL174" s="302"/>
      <c r="FM174" s="123"/>
      <c r="FN174" s="251"/>
      <c r="FO174" s="339"/>
      <c r="FP174" s="364">
        <f t="shared" si="759"/>
        <v>0.0690528668418288</v>
      </c>
      <c r="FQ174" s="364">
        <f t="shared" si="760"/>
        <v>0.794107968681031</v>
      </c>
      <c r="FR174" s="365">
        <f>各项系数!$F$76/4*($MQ174^2-$MN174^2*$EG174-$MO174^2*$EO174)*10^-2</f>
        <v>0.323411938303606</v>
      </c>
      <c r="FS174" s="366">
        <f t="shared" si="652"/>
        <v>1</v>
      </c>
      <c r="FT174" s="367">
        <f t="shared" si="604"/>
        <v>0.323411938303606</v>
      </c>
      <c r="FU174" s="388">
        <f>$FT174*(VLOOKUP($FT$9,各项系数!$D$1:$F$143,3,0))*10^-3*10^2*各项系数!$J$55</f>
        <v>0.0386153854334506</v>
      </c>
      <c r="FV174" s="389">
        <v>1</v>
      </c>
      <c r="FW174" s="390">
        <f t="shared" si="761"/>
        <v>0.0386153854334506</v>
      </c>
      <c r="FX174" s="367">
        <f>FW174*(VLOOKUP($FT$9,各项系数!$D$1:$F$143,2,0))</f>
        <v>0.115846156300352</v>
      </c>
      <c r="FY174" s="388">
        <f>IF($BK174&lt;&gt;$FY$9,0,各项系数!$F$76/4*($MS174^2-$MQ174^2)*10^-2*(VLOOKUP($FY$9,各项系数!$D$1:$F$143,3,0))*10^-3*10^2)*各项系数!$J$4</f>
        <v>0</v>
      </c>
      <c r="FZ174" s="389">
        <v>1</v>
      </c>
      <c r="GA174" s="390">
        <f t="shared" si="762"/>
        <v>0</v>
      </c>
      <c r="GB174" s="367">
        <f>GA174*(VLOOKUP($FY$9,各项系数!$D$1:$F$143,2,0))</f>
        <v>0</v>
      </c>
      <c r="GC174" s="388">
        <f>IF($BK174&lt;&gt;$GC$9,0,各项系数!$F$76/4*($MS174^2-$MQ174^2)*10^-2*(VLOOKUP($GC$9,各项系数!$D$1:$F$143,3,0))*10^-3*10^2)*各项系数!$J$4</f>
        <v>0.00332568263361399</v>
      </c>
      <c r="GD174" s="389">
        <v>1</v>
      </c>
      <c r="GE174" s="390">
        <f t="shared" si="763"/>
        <v>0.00332568263361399</v>
      </c>
      <c r="GF174" s="367">
        <f>GE174*(VLOOKUP($GC$9,各项系数!$D$1:$F$143,2,0))</f>
        <v>0.0429013059736205</v>
      </c>
      <c r="GG174" s="388">
        <f>IF($BK174&lt;&gt;$GG$9,0,各项系数!$F$76/4*($MS174^2-$MQ174^2)*10^-2*(VLOOKUP($GG$9,各项系数!$D$1:$F$143,3,0))*10^-3*10^2)*各项系数!$J$4</f>
        <v>0</v>
      </c>
      <c r="GH174" s="389">
        <v>1</v>
      </c>
      <c r="GI174" s="390">
        <f t="shared" si="764"/>
        <v>0</v>
      </c>
      <c r="GJ174" s="367">
        <f>GI174*(VLOOKUP($GG$9,各项系数!$D$1:$F$143,2,0))</f>
        <v>0</v>
      </c>
      <c r="GK174" s="388">
        <f>IF($BK174&lt;&gt;$GK$9,0,各项系数!$F$76/4*($MS174^2-$MQ174^2)*10^-2*(VLOOKUP($GK$9,各项系数!$D$1:$F$143,3,0))*10^-3*10^2)*各项系数!$J$4</f>
        <v>0</v>
      </c>
      <c r="GL174" s="389">
        <v>1</v>
      </c>
      <c r="GM174" s="390">
        <f t="shared" si="765"/>
        <v>0</v>
      </c>
      <c r="GN174" s="367">
        <f>GM174*(VLOOKUP($GK$9,各项系数!$D$1:$F$143,2,0))</f>
        <v>0</v>
      </c>
      <c r="GO174" s="390">
        <f t="shared" si="766"/>
        <v>0.00332568263361399</v>
      </c>
      <c r="GP174" s="390">
        <f t="shared" si="767"/>
        <v>0.0429013059736205</v>
      </c>
      <c r="GQ174" s="406">
        <f>各项系数!$F$76/4*($MU174^2-$MS174^2)*10^-2*(VLOOKUP($S174,各项系数!$D$1:$F$143,3,0))*10^-3*10^2*各项系数!$J$4</f>
        <v>0.189201111752765</v>
      </c>
      <c r="GR174" s="389">
        <v>1</v>
      </c>
      <c r="GS174" s="390">
        <f t="shared" si="768"/>
        <v>0.189201111752765</v>
      </c>
      <c r="GT174" s="390">
        <f t="shared" si="696"/>
        <v>1</v>
      </c>
      <c r="GU174" s="390">
        <f>ROUND($GS174*(VLOOKUP($S174,各项系数!$D$1:$F$143,2,0))+$E$3*GS174,GT174)</f>
        <v>1.1</v>
      </c>
      <c r="GV174" s="406">
        <f>各项系数!$F$76/4*($MT174^2-$MS174^2)*10^-2*(VLOOKUP($GV$9,各项系数!$D$1:$F$143,3,0))*10^-3*10^2*各项系数!$J$4*PI()/4*R174</f>
        <v>0.017292921020157</v>
      </c>
      <c r="GW174" s="389">
        <v>1</v>
      </c>
      <c r="GX174" s="390">
        <f t="shared" si="769"/>
        <v>0.017292921020157</v>
      </c>
      <c r="GY174" s="390">
        <f>$GX174*(VLOOKUP($GV$9,各项系数!$D$1:$F$143,2,0))</f>
        <v>1.1672721688606</v>
      </c>
      <c r="GZ174" s="406">
        <f>各项系数!$F$76/4*($MV174^2-$MS174^2)*10^-2*(VLOOKUP($GZ$9,各项系数!$D$1:$F$143,3,0))*10^-3*10^2*各项系数!$J$4</f>
        <v>0.11503641357701</v>
      </c>
      <c r="HA174" s="389">
        <v>1</v>
      </c>
      <c r="HB174" s="390">
        <f t="shared" si="653"/>
        <v>0.11503641357701</v>
      </c>
      <c r="HC174" s="390">
        <f>HB174*(VLOOKUP($GZ$9,各项系数!$D$1:$F$143,2,0))</f>
        <v>1.95561903080917</v>
      </c>
      <c r="HD174" s="406">
        <f>各项系数!$F$76/4*($MW174^2-$MT174^2)*10^-2*(VLOOKUP($HD$9,各项系数!$D$1:$F$143,3,0))*10^-3*10^2*各项系数!$J$4</f>
        <v>0.116341783023688</v>
      </c>
      <c r="HE174" s="389">
        <v>1</v>
      </c>
      <c r="HF174" s="390">
        <f t="shared" si="654"/>
        <v>0.116341783023688</v>
      </c>
      <c r="HG174" s="390">
        <f>HF174*(VLOOKUP($HD$9,各项系数!$D$1:$F$143,2,0))</f>
        <v>1.9778103114027</v>
      </c>
      <c r="HH174" s="406">
        <f>各项系数!$F$76/4*($MV174^2-$MS174^2)*10^-2*(VLOOKUP($HH$9,各项系数!$D$1:$F$143,3,0))*10^-3*10^2*各项系数!$J$4</f>
        <v>0.11503641357701</v>
      </c>
      <c r="HI174" s="420">
        <v>1</v>
      </c>
      <c r="HJ174" s="390">
        <f t="shared" si="655"/>
        <v>0.11503641357701</v>
      </c>
      <c r="HK174" s="390">
        <f>HJ174*(VLOOKUP($HH$9,各项系数!$D$1:$F$143,2,0))</f>
        <v>1.95561903080917</v>
      </c>
      <c r="HL174" s="406">
        <f>各项系数!$F$76/4*($MW174^2-$MT174^2)*10^-2*(VLOOKUP($HL$9,各项系数!$D$1:$F$143,3,0))*10^-3*10^2*各项系数!$J$4</f>
        <v>0.116341783023688</v>
      </c>
      <c r="HM174" s="420">
        <v>1</v>
      </c>
      <c r="HN174" s="390">
        <f t="shared" si="605"/>
        <v>0.116341783023688</v>
      </c>
      <c r="HO174" s="390">
        <f>HN174*(VLOOKUP($HL$9,各项系数!$D$1:$F$143,2,0))</f>
        <v>1.9778103114027</v>
      </c>
      <c r="HP174" s="406">
        <f>各项系数!$F$76/4*($MV174^2-$MS174^2)*10^-2*(VLOOKUP(AN174,各项系数!$D$1:$F$143,3,0))*10^-3*10^2*各项系数!$J$4</f>
        <v>0.116623122729796</v>
      </c>
      <c r="HQ174" s="389">
        <v>1</v>
      </c>
      <c r="HR174" s="390">
        <f t="shared" si="770"/>
        <v>0.116623122729796</v>
      </c>
      <c r="HS174" s="390">
        <f>HR174*(VLOOKUP(AN174,各项系数!$D$1:$F$143,2,0))</f>
        <v>1.16623122729796</v>
      </c>
      <c r="HT174" s="406">
        <f>各项系数!$F$76/4*($MW174^2-$MT174^2)*10^-2*(VLOOKUP(AN174,各项系数!$D$1:$F$143,3,0))*10^-3*10^2*各项系数!$J$4</f>
        <v>0.117946497272291</v>
      </c>
      <c r="HU174" s="389">
        <v>1</v>
      </c>
      <c r="HV174" s="390">
        <f t="shared" si="771"/>
        <v>0.117946497272291</v>
      </c>
      <c r="HW174" s="390">
        <f>HV174*(VLOOKUP(AN174,各项系数!$D$1:$F$143,2,0))</f>
        <v>1.17946497272291</v>
      </c>
      <c r="HX174" s="406">
        <f>各项系数!$F$76/4*($MV174^2-$MS174^2)*10^-2*(VLOOKUP($HX$9,各项系数!$D$1:$F$143,3,0))*10^-3*10^2*各项系数!$J$4</f>
        <v>0.116623122729796</v>
      </c>
      <c r="HY174" s="420">
        <v>1</v>
      </c>
      <c r="HZ174" s="390">
        <f t="shared" si="772"/>
        <v>0.116623122729796</v>
      </c>
      <c r="IA174" s="390">
        <f>HZ174*(VLOOKUP($HX$9,各项系数!$D$1:$F$143,2,0))</f>
        <v>1.28285435002776</v>
      </c>
      <c r="IB174" s="406">
        <f>各项系数!$F$76/4*($MW174^2-$MT174^2)*10^-2*(VLOOKUP($IB$9,各项系数!$D$1:$F$143,3,0))*10^-3*10^2*各项系数!$J$4</f>
        <v>0.117946497272291</v>
      </c>
      <c r="IC174" s="420">
        <v>1</v>
      </c>
      <c r="ID174" s="390">
        <f t="shared" si="773"/>
        <v>0.117946497272291</v>
      </c>
      <c r="IE174" s="390">
        <f>ID174*(VLOOKUP($IB$9,各项系数!$D$1:$F$143,2,0))</f>
        <v>1.2974114699952</v>
      </c>
      <c r="IF174" s="429"/>
      <c r="IG174" s="406">
        <f t="shared" si="656"/>
        <v>0.0324783421113279</v>
      </c>
      <c r="IH174" s="389">
        <v>1</v>
      </c>
      <c r="II174" s="390">
        <f t="shared" si="774"/>
        <v>0.0324783421113279</v>
      </c>
      <c r="IJ174" s="390">
        <f>II174*(VLOOKUP($IG$8,各项系数!$D$1:$F$143,2,0))</f>
        <v>0.811958552783197</v>
      </c>
      <c r="IK174" s="406">
        <f>(各项系数!$F$76/4*($MX174^2-$MK174^2)*$EG174)*10^-2*(VLOOKUP($IG$8,各项系数!$D$1:$F$143,3,0))*10^-3*10^2*各项系数!$J$4</f>
        <v>0.0324783421113279</v>
      </c>
      <c r="IL174" s="389">
        <f>IK174*(VLOOKUP($IG$8,各项系数!$D$1:$F$143,2,0))</f>
        <v>0.811958552783197</v>
      </c>
      <c r="IM174" s="390">
        <f>(各项系数!$F$76/4*(($MM174+3*$X174)^2-MM174^2)*$EO174)*10^-2*(VLOOKUP($IG$8,各项系数!$D$1:$F$143,3,0))*10^-3*10^2*各项系数!$J$4</f>
        <v>0</v>
      </c>
      <c r="IN174" s="389">
        <f>IM174*(VLOOKUP($IG$8,各项系数!$D$1:$F$143,2,0))</f>
        <v>0</v>
      </c>
      <c r="IO174" s="406">
        <f>各项系数!$F$76/4*($MZ174^2-$MX174^2)*10^-2*(VLOOKUP(L174,各项系数!$D$1:$F$143,3,0))*10^-3*10^2*$ES174*各项系数!$J$4</f>
        <v>0.0892710890188305</v>
      </c>
      <c r="IP174" s="389">
        <v>1</v>
      </c>
      <c r="IQ174" s="390">
        <f t="shared" si="775"/>
        <v>0.0892710890188305</v>
      </c>
      <c r="IR174" s="367">
        <f>IQ174*(VLOOKUP(L174,各项系数!$D$1:$F$143,2,0))</f>
        <v>1.02661752371655</v>
      </c>
      <c r="IS174" s="406">
        <f>IF($L174&lt;&gt;$IS$9,0,各项系数!$F$76/4*($MZ174^2-$MX174^2)*10^-2*各项系数!$F$12*10^-3*10^2)*$ES174*各项系数!$J$4</f>
        <v>0</v>
      </c>
      <c r="IT174" s="389">
        <v>1</v>
      </c>
      <c r="IU174" s="390">
        <f t="shared" si="776"/>
        <v>0</v>
      </c>
      <c r="IV174" s="367">
        <f>IU174*各项系数!$E$12</f>
        <v>0</v>
      </c>
      <c r="IW174" s="388">
        <f t="shared" si="777"/>
        <v>0.0892710890188305</v>
      </c>
      <c r="IX174" s="388">
        <f t="shared" si="778"/>
        <v>1.02661752371655</v>
      </c>
      <c r="IY174" s="447">
        <f>各项系数!$F$76/4*($NB174^2-$MZ174^2*$EG174-$NA174^2*$EO174)*10^-2</f>
        <v>0.479980984894649</v>
      </c>
      <c r="IZ174" s="366">
        <f t="shared" si="697"/>
        <v>1</v>
      </c>
      <c r="JA174" s="367">
        <f t="shared" si="606"/>
        <v>0.479980984894649</v>
      </c>
      <c r="JB174" s="364">
        <f>IF($DE174&lt;&gt;$JB$9,0,$JA174*各项系数!$F$32*10^-3*10^2)*各项系数!$J$4</f>
        <v>0</v>
      </c>
      <c r="JC174" s="123">
        <v>1</v>
      </c>
      <c r="JD174" s="251">
        <f t="shared" si="779"/>
        <v>0</v>
      </c>
      <c r="JE174" s="339">
        <f>JD174*各项系数!$E$32</f>
        <v>0</v>
      </c>
      <c r="JF174" s="364">
        <f>IF($DE174&lt;&gt;$JF$9,0,$JA174*VLOOKUP($JF$9,各项系数!$D$4:$F$540,2,0)*10^-3*10^2)*各项系数!$J$4</f>
        <v>0.238790539985088</v>
      </c>
      <c r="JG174" s="123">
        <v>1</v>
      </c>
      <c r="JH174" s="251">
        <f t="shared" si="607"/>
        <v>0.238790539985088</v>
      </c>
      <c r="JI174" s="339">
        <f>JH174*VLOOKUP($JF$9,各项系数!$D$4:$F$540,3,0)</f>
        <v>0.286548647982106</v>
      </c>
      <c r="JJ174" s="364">
        <f t="shared" si="780"/>
        <v>0.238790539985088</v>
      </c>
      <c r="JK174" s="251">
        <f t="shared" si="781"/>
        <v>0.286548647982106</v>
      </c>
      <c r="JL174" s="364">
        <f>IF($DF174&lt;&gt;$JL$9,0,各项系数!$F$76/4*($NE174^2-$NC174^2)*10^-2*各项系数!$F$39*10^-3*10^2)*各项系数!$J$4</f>
        <v>0.0016756093133791</v>
      </c>
      <c r="JM174" s="123">
        <v>1</v>
      </c>
      <c r="JN174" s="251">
        <f t="shared" si="782"/>
        <v>0.0016756093133791</v>
      </c>
      <c r="JO174" s="339">
        <f>JN174*各项系数!$E$39</f>
        <v>0.0335121862675819</v>
      </c>
      <c r="JP174" s="364">
        <f>IF($DF174&lt;&gt;$JP$9,0,各项系数!$F$76/4*($NE174^2-$NC174^2)*10^-2*各项系数!$F$36*10^-3*10^2)*各项系数!$J$4</f>
        <v>0</v>
      </c>
      <c r="JQ174" s="123">
        <v>1</v>
      </c>
      <c r="JR174" s="251">
        <f t="shared" si="783"/>
        <v>0</v>
      </c>
      <c r="JS174" s="339">
        <f>JR174*各项系数!$E$36</f>
        <v>0</v>
      </c>
      <c r="JT174" s="364">
        <f>IF($DF174&lt;&gt;$JT$9,0,各项系数!$F$76/4*($NE174^2-$NC174^2)*10^-2*各项系数!$F$40*10^-3*10^2)*各项系数!$J$4</f>
        <v>0</v>
      </c>
      <c r="JU174" s="123">
        <v>1</v>
      </c>
      <c r="JV174" s="251">
        <f t="shared" si="784"/>
        <v>0</v>
      </c>
      <c r="JW174" s="339">
        <f>JV174*各项系数!$E$40</f>
        <v>0</v>
      </c>
      <c r="JX174" s="364">
        <f>IF($DF174&lt;&gt;$JX$9,0,各项系数!$F$76/4*($NE174^2-$NC174^2)*10^-2*各项系数!$F$38*10^-3*10^2)*各项系数!$J$4</f>
        <v>0</v>
      </c>
      <c r="JY174" s="123">
        <v>1</v>
      </c>
      <c r="JZ174" s="251">
        <f t="shared" si="785"/>
        <v>0</v>
      </c>
      <c r="KA174" s="339">
        <f>JZ174*各项系数!$E$38</f>
        <v>0</v>
      </c>
      <c r="KB174" s="364">
        <f>IF($DF174&lt;&gt;$KB$9,0,各项系数!$F$76/4*($NE174^2-$NC174^2)*10^-2*各项系数!$F$41*10^-3*10^2)*各项系数!$J$4</f>
        <v>0</v>
      </c>
      <c r="KC174" s="123">
        <v>1</v>
      </c>
      <c r="KD174" s="251">
        <f t="shared" si="786"/>
        <v>0</v>
      </c>
      <c r="KE174" s="339">
        <f>KD174*各项系数!$E$41</f>
        <v>0</v>
      </c>
      <c r="KF174" s="251">
        <f t="shared" si="787"/>
        <v>0.0016756093133791</v>
      </c>
      <c r="KG174" s="251">
        <f t="shared" si="788"/>
        <v>0.0335121862675819</v>
      </c>
      <c r="KH174" s="302">
        <f>各项系数!$F$76/4*($NG174^2-$NE174^2)*10^-2*各项系数!$F$44*10^-3*10^2*各项系数!$J$4*0.75*$U174</f>
        <v>0.686843207619926</v>
      </c>
      <c r="KI174" s="123">
        <v>1</v>
      </c>
      <c r="KJ174" s="251">
        <f t="shared" si="789"/>
        <v>0.686843207619926</v>
      </c>
      <c r="KK174" s="251">
        <f>ROUND(KJ174*各项系数!$E$43,GT174)</f>
        <v>4</v>
      </c>
      <c r="KL174" s="302">
        <f>各项系数!$F$76/4*($NF174^2-$NE174^2)*10^-2*各项系数!$F$46*10^-3*10^2*各项系数!$J$4*PI()/4*R174</f>
        <v>0.021078339174705</v>
      </c>
      <c r="KM174" s="123">
        <v>1</v>
      </c>
      <c r="KN174" s="251">
        <f t="shared" si="790"/>
        <v>0.021078339174705</v>
      </c>
      <c r="KO174" s="251">
        <f>KN174*各项系数!$E$46</f>
        <v>1.42278789429259</v>
      </c>
      <c r="KP174" s="302">
        <f>各项系数!$F$76/4*($NH174^2-$NE174^2)*10^-2*(VLOOKUP($KP$9,各项系数!$D$1:$F$143,3,0))*10^-3*10^2*各项系数!$J$4</f>
        <v>0.137146108580125</v>
      </c>
      <c r="KQ174" s="123">
        <v>1</v>
      </c>
      <c r="KR174" s="251">
        <f t="shared" si="657"/>
        <v>0.137146108580125</v>
      </c>
      <c r="KS174" s="251">
        <f>KR174*(VLOOKUP($KP$9,各项系数!$D$1:$F$143,2,0))</f>
        <v>2.33148384586213</v>
      </c>
      <c r="KT174" s="302">
        <f>各项系数!$F$76/4*($NI174^2-$NF174^2)*10^-2*(VLOOKUP($KT$9,各项系数!$D$1:$F$143,3,0))*10^-3*10^2*各项系数!$J$4</f>
        <v>0.138451478026804</v>
      </c>
      <c r="KU174" s="123">
        <v>1</v>
      </c>
      <c r="KV174" s="251">
        <f t="shared" si="658"/>
        <v>0.138451478026804</v>
      </c>
      <c r="KW174" s="251">
        <f>KV174*(VLOOKUP($KT$9,各项系数!$D$1:$F$143,2,0))</f>
        <v>2.35367512645566</v>
      </c>
      <c r="KX174" s="251">
        <f>各项系数!$F$76/4*($NH174^2-$NE174^2)*10^-2*(VLOOKUP($KX$9,各项系数!$D$1:$F$143,3,0))*10^-3*10^2*各项系数!$J$4</f>
        <v>0.137146108580125</v>
      </c>
      <c r="KY174" s="479">
        <v>1</v>
      </c>
      <c r="KZ174" s="251">
        <f t="shared" si="659"/>
        <v>0.137146108580125</v>
      </c>
      <c r="LA174" s="251">
        <f>KZ174*(VLOOKUP($KX$9,各项系数!$D$1:$F$143,2,0))</f>
        <v>2.33148384586213</v>
      </c>
      <c r="LB174" s="251">
        <f>各项系数!$F$76/4*($NI174^2-$NF174^2)*10^-2*(VLOOKUP($LB$9,各项系数!$D$1:$F$143,3,0))*10^-3*10^2*各项系数!$J$4</f>
        <v>0.138451478026804</v>
      </c>
      <c r="LC174" s="479">
        <v>1</v>
      </c>
      <c r="LD174" s="251">
        <f t="shared" si="660"/>
        <v>0.138451478026804</v>
      </c>
      <c r="LE174" s="251">
        <f>LD174*(VLOOKUP($LB$9,各项系数!$D$1:$F$143,2,0))</f>
        <v>2.35367512645566</v>
      </c>
      <c r="LF174" s="302">
        <f>各项系数!$F$76/4*($NH174^2-$NE174^2)*10^-2*(VLOOKUP(AN174,各项系数!$D$1:$F$143,3,0))*10^-3*10^2*各项系数!$J$4</f>
        <v>0.139037779043299</v>
      </c>
      <c r="LG174" s="123">
        <v>1</v>
      </c>
      <c r="LH174" s="251">
        <f t="shared" si="791"/>
        <v>0.139037779043299</v>
      </c>
      <c r="LI174" s="251">
        <f>LH174*(VLOOKUP(AN174,各项系数!$D$1:$F$143,2,0))</f>
        <v>1.39037779043299</v>
      </c>
      <c r="LJ174" s="302">
        <f>各项系数!$F$76/4*($NI174^2-$NF174^2)*10^-2*(VLOOKUP(AN174,各项系数!$D$1:$F$143,3,0))*10^-3*10^2*各项系数!$J$4</f>
        <v>0.140361153585794</v>
      </c>
      <c r="LK174" s="123">
        <v>1</v>
      </c>
      <c r="LL174" s="251">
        <f t="shared" si="792"/>
        <v>0.140361153585794</v>
      </c>
      <c r="LM174" s="251">
        <f>LL174*(VLOOKUP(AN174,各项系数!$D$1:$F$143,2,0))</f>
        <v>1.40361153585794</v>
      </c>
      <c r="LN174" s="251">
        <f>各项系数!$F$76/4*($NH174^2-$NE174^2)*10^-2*(VLOOKUP($LN$9,各项系数!$D$1:$F$143,3,0))*10^-3*10^2*各项系数!$J$4</f>
        <v>0.139037779043299</v>
      </c>
      <c r="LO174" s="479">
        <v>1</v>
      </c>
      <c r="LP174" s="251">
        <f t="shared" si="793"/>
        <v>0.139037779043299</v>
      </c>
      <c r="LQ174" s="251">
        <f>LP174*(VLOOKUP($LN$9,各项系数!$D$1:$F$143,2,0))</f>
        <v>1.52941556947629</v>
      </c>
      <c r="LR174" s="251">
        <f>各项系数!$F$76/4*($NI174^2-$NF174^2)*10^-2*(VLOOKUP($LR$9,各项系数!$D$1:$F$143,3,0))*10^-3*10^2*各项系数!$J$4</f>
        <v>0.140361153585794</v>
      </c>
      <c r="LS174" s="479">
        <v>1</v>
      </c>
      <c r="LT174" s="251">
        <f t="shared" si="794"/>
        <v>0.140361153585794</v>
      </c>
      <c r="LU174" s="251">
        <f>LT174*(VLOOKUP($LR$9,各项系数!$D$1:$F$143,2,0))</f>
        <v>1.54397268944373</v>
      </c>
      <c r="LV174" s="499">
        <f t="shared" si="661"/>
        <v>20.01648205</v>
      </c>
      <c r="LW174" s="499">
        <f t="shared" si="662"/>
        <v>20.01648205</v>
      </c>
      <c r="LX174" s="499">
        <f t="shared" si="663"/>
        <v>5.04834393564281</v>
      </c>
      <c r="LY174" s="515">
        <f t="shared" si="664"/>
        <v>0</v>
      </c>
      <c r="LZ174" s="516">
        <f t="shared" si="608"/>
        <v>1</v>
      </c>
      <c r="MA174" s="517">
        <f t="shared" si="609"/>
        <v>20.01648205</v>
      </c>
      <c r="MB174" s="517">
        <f t="shared" si="665"/>
        <v>1.34922667</v>
      </c>
      <c r="MC174" s="499">
        <f t="shared" si="666"/>
        <v>0</v>
      </c>
      <c r="MD174" s="499">
        <f t="shared" si="667"/>
        <v>0</v>
      </c>
      <c r="ME174" s="499">
        <f t="shared" si="668"/>
        <v>0</v>
      </c>
      <c r="MF174" s="499">
        <f t="shared" si="669"/>
        <v>0</v>
      </c>
      <c r="MG174" s="516">
        <f t="shared" si="670"/>
        <v>1</v>
      </c>
      <c r="MH174" s="517">
        <f t="shared" si="610"/>
        <v>0</v>
      </c>
      <c r="MI174" s="517">
        <f t="shared" si="671"/>
        <v>0</v>
      </c>
      <c r="MJ174" s="251">
        <f t="shared" si="611"/>
        <v>1.34922667</v>
      </c>
      <c r="MK174" s="251">
        <f t="shared" si="672"/>
        <v>1.34922667</v>
      </c>
      <c r="ML174" s="251">
        <f t="shared" si="795"/>
        <v>0</v>
      </c>
      <c r="MM174" s="251">
        <f t="shared" si="612"/>
        <v>0</v>
      </c>
      <c r="MN174" s="251">
        <f t="shared" si="613"/>
        <v>2.74922667</v>
      </c>
      <c r="MO174" s="251">
        <f t="shared" si="673"/>
        <v>0</v>
      </c>
      <c r="MP174" s="251">
        <f t="shared" si="674"/>
        <v>12.12408961</v>
      </c>
      <c r="MQ174" s="251">
        <f t="shared" si="796"/>
        <v>12.12408961</v>
      </c>
      <c r="MR174" s="314">
        <f t="shared" si="675"/>
        <v>12.12408961</v>
      </c>
      <c r="MS174" s="530">
        <f t="shared" si="614"/>
        <v>12.30008961</v>
      </c>
      <c r="MT174" s="530">
        <f t="shared" si="615"/>
        <v>12.46008961</v>
      </c>
      <c r="MU174" s="530">
        <f t="shared" si="616"/>
        <v>13.50008961</v>
      </c>
      <c r="MV174" s="530">
        <f t="shared" si="617"/>
        <v>15.90008961</v>
      </c>
      <c r="MW174" s="530">
        <f t="shared" si="618"/>
        <v>16.06008961</v>
      </c>
      <c r="MX174" s="326">
        <f t="shared" si="619"/>
        <v>1.94922667</v>
      </c>
      <c r="MY174" s="326">
        <f t="shared" si="620"/>
        <v>0</v>
      </c>
      <c r="MZ174" s="251">
        <f t="shared" si="621"/>
        <v>3.34922667</v>
      </c>
      <c r="NA174" s="251">
        <f t="shared" si="622"/>
        <v>0</v>
      </c>
      <c r="NB174" s="251">
        <f t="shared" si="676"/>
        <v>14.77008961</v>
      </c>
      <c r="NC174" s="326">
        <f t="shared" si="797"/>
        <v>14.77008961</v>
      </c>
      <c r="ND174" s="314">
        <f t="shared" si="677"/>
        <v>14.77008961</v>
      </c>
      <c r="NE174" s="537">
        <f t="shared" si="678"/>
        <v>15.01008961</v>
      </c>
      <c r="NF174" s="530">
        <f t="shared" si="623"/>
        <v>15.17008961</v>
      </c>
      <c r="NG174" s="538">
        <f t="shared" si="624"/>
        <v>16.21008961</v>
      </c>
      <c r="NH174" s="326">
        <f t="shared" si="625"/>
        <v>18.61008961</v>
      </c>
      <c r="NI174" s="530">
        <f t="shared" si="626"/>
        <v>18.77008961</v>
      </c>
      <c r="NK174" s="539">
        <f t="shared" si="627"/>
        <v>0.404673851040902</v>
      </c>
      <c r="NL174" s="539">
        <f t="shared" si="628"/>
        <v>13.7163066260979</v>
      </c>
      <c r="NM174" s="539">
        <f t="shared" si="629"/>
        <v>0.404673851040902</v>
      </c>
      <c r="NN174" s="539">
        <f t="shared" si="630"/>
        <v>13.8329297488277</v>
      </c>
      <c r="NO174" s="539">
        <f t="shared" si="631"/>
        <v>0.678310152874138</v>
      </c>
      <c r="NP174" s="539">
        <f t="shared" si="632"/>
        <v>15.1462346690274</v>
      </c>
      <c r="NQ174" s="539">
        <f t="shared" si="633"/>
        <v>0.678310152874138</v>
      </c>
      <c r="NR174" s="539">
        <f t="shared" si="634"/>
        <v>15.2852724480707</v>
      </c>
      <c r="NS174" s="539">
        <f t="shared" si="635"/>
        <v>0.42196677206106</v>
      </c>
      <c r="NT174" s="539">
        <f t="shared" si="636"/>
        <v>0.42196677206106</v>
      </c>
      <c r="NU174" s="539">
        <f t="shared" si="637"/>
        <v>0.699388492048843</v>
      </c>
      <c r="NV174" s="539">
        <f t="shared" si="638"/>
        <v>0.699388492048843</v>
      </c>
      <c r="NW174">
        <f t="shared" si="639"/>
        <v>0.593874962793668</v>
      </c>
      <c r="NX174">
        <f>各项系数!$M$9*NK174</f>
        <v>0.121402155312271</v>
      </c>
      <c r="NY174">
        <f t="shared" si="640"/>
        <v>0.421966772061059</v>
      </c>
    </row>
    <row r="175" customHeight="1" spans="1:389">
      <c r="A175" s="85"/>
      <c r="B175" s="86"/>
      <c r="C175" s="218"/>
      <c r="D175" s="123" t="s">
        <v>398</v>
      </c>
      <c r="E175" s="77">
        <f t="shared" si="805"/>
        <v>16.69736535</v>
      </c>
      <c r="F175" s="559">
        <f t="shared" si="798"/>
        <v>134.922667214547</v>
      </c>
      <c r="G175" s="78"/>
      <c r="H175" s="23"/>
      <c r="I175" s="174">
        <v>0</v>
      </c>
      <c r="J175" s="23"/>
      <c r="K175" s="23"/>
      <c r="L175" s="118" t="s">
        <v>469</v>
      </c>
      <c r="M175" s="124">
        <f t="shared" si="582"/>
        <v>0.7</v>
      </c>
      <c r="N175" s="124">
        <f t="shared" si="804"/>
        <v>0</v>
      </c>
      <c r="O175" s="69">
        <f t="shared" si="801"/>
        <v>0.08</v>
      </c>
      <c r="P175" s="120">
        <v>0.1</v>
      </c>
      <c r="Q175" s="162">
        <f t="shared" si="806"/>
        <v>0.1</v>
      </c>
      <c r="R175" s="560">
        <v>0.8</v>
      </c>
      <c r="S175" s="171" t="str">
        <f>各项系数!$D$43</f>
        <v>钢带</v>
      </c>
      <c r="T175" s="123">
        <v>0.2</v>
      </c>
      <c r="U175" s="78">
        <v>4</v>
      </c>
      <c r="V175" s="172"/>
      <c r="W175" s="561">
        <v>1.8</v>
      </c>
      <c r="X175" s="164">
        <f t="shared" si="807"/>
        <v>0.2</v>
      </c>
      <c r="Y175" s="219"/>
      <c r="Z175" s="220"/>
      <c r="AA175" s="217">
        <v>1</v>
      </c>
      <c r="AB175" s="186">
        <f>PI()*EJ175*EJ175/4*EH175*(1-H175)*AA175*各项系数!$F$5*各项系数!$J$4*10^-7</f>
        <v>0.0126469138144438</v>
      </c>
      <c r="AC175" s="186">
        <f t="shared" si="808"/>
        <v>134.922667214547</v>
      </c>
      <c r="AD175" s="186">
        <f t="shared" si="584"/>
        <v>1.42974872274124</v>
      </c>
      <c r="AE175" s="186">
        <f>POWER(4*EU175/PI()/EG175/10^-7/EH175/(1-H175)/各项系数!$F$5/各项系数!$J$4,0.5)</f>
        <v>134.922667214547</v>
      </c>
      <c r="AF175" s="218">
        <v>1</v>
      </c>
      <c r="AG175" s="85">
        <f>IF(EM175=0,0,PI()*ER175*ER175/4*EP175*(1-K175)*(1+AF175)*各项系数!$F$5*各项系数!$J$4*10^-7)</f>
        <v>0</v>
      </c>
      <c r="AH175" s="85">
        <f t="shared" si="809"/>
        <v>0</v>
      </c>
      <c r="AI175" s="85">
        <f t="shared" si="641"/>
        <v>0</v>
      </c>
      <c r="AJ175" s="85">
        <f>IF(OR(EP175="",EP175=0),0,POWER(4*EW175/PI()/EO175/10^-7/EP175/(1-K175)/各项系数!$F$5/各项系数!$J$4,0.5))</f>
        <v>0</v>
      </c>
      <c r="AK175" s="85" t="str">
        <f t="shared" si="585"/>
        <v>√</v>
      </c>
      <c r="AL175" s="85">
        <f t="shared" si="810"/>
        <v>16.4645595798589</v>
      </c>
      <c r="AM175" s="250">
        <f t="shared" si="811"/>
        <v>1.5</v>
      </c>
      <c r="AN175" s="118" t="s">
        <v>486</v>
      </c>
      <c r="AO175" s="259">
        <f>AP175+各项系数!$M$9*$NK175</f>
        <v>16.141725078293</v>
      </c>
      <c r="AP175" s="259">
        <f>AQ175*(1+$BI175+(VLOOKUP($AM175,$A$12:$B$323,2,0))+各项系数!$J$6+各项系数!$M$5)*(1+$E$2)</f>
        <v>16.0063670183626</v>
      </c>
      <c r="AQ175" s="260">
        <f>AR175+各项系数!$L$9*$NK175</f>
        <v>16.1713144255027</v>
      </c>
      <c r="AR175" s="260">
        <f>AS175*(1+$BJ175+各项系数!$J$5+各项系数!$L$5)</f>
        <v>16.0359563655724</v>
      </c>
      <c r="AS175" s="260">
        <f t="shared" si="642"/>
        <v>15.568889675313</v>
      </c>
      <c r="AT175" s="259">
        <f>AU175+各项系数!$M$9*$NM175</f>
        <v>16.992006484691</v>
      </c>
      <c r="AU175" s="259">
        <f>AV175*(1+$BI175+(VLOOKUP($AM175,$A$12:$B$323,2,0))+各项系数!$J$6+各项系数!$M$5)*(1+$E$2)</f>
        <v>16.8566484247606</v>
      </c>
      <c r="AV175" s="260">
        <f>AW175+各项系数!$L$9*$NM175</f>
        <v>17.0303580771475</v>
      </c>
      <c r="AW175" s="260">
        <f>AX175*(1+$BJ175+各项系数!$J$5+各项系数!$L$5)</f>
        <v>16.8950000172171</v>
      </c>
      <c r="AX175" s="260">
        <f t="shared" si="643"/>
        <v>16.4029126380749</v>
      </c>
      <c r="AY175" s="259">
        <f>AZ175+各项系数!$M$9*$NS175</f>
        <v>17.4328689419211</v>
      </c>
      <c r="AZ175" s="259">
        <f>BA175*(1+$BI175+(VLOOKUP($AM175,$A$12:$B$214,2,0))+各项系数!$J$6+各项系数!$M$5)*(1+$E$2)</f>
        <v>17.2919889073016</v>
      </c>
      <c r="BA175" s="260">
        <f>BB175+各项系数!$L$9*$NS175</f>
        <v>17.4701847921819</v>
      </c>
      <c r="BB175" s="260">
        <f>BC175*(1+$BJ175+各项系数!$J$5+各项系数!$L$5)</f>
        <v>17.3293047575624</v>
      </c>
      <c r="BC175" s="262">
        <f t="shared" si="644"/>
        <v>16.8245677257887</v>
      </c>
      <c r="BD175" s="259">
        <f>BE175+各项系数!$M$9*$NS175</f>
        <v>18.2922825016782</v>
      </c>
      <c r="BE175" s="259">
        <f>BF175*(1+$BI175+(VLOOKUP($AM175,$A$12:$B$214,2,0))+各项系数!$J$6+各项系数!$M$5)*(1+$E$2)</f>
        <v>18.1514024670587</v>
      </c>
      <c r="BF175" s="260">
        <f>BG175+各项系数!$L$9*$NS175</f>
        <v>18.3384547050503</v>
      </c>
      <c r="BG175" s="260">
        <f>BH175*(1+$BJ175+各项系数!$J$5+各项系数!$L$5)</f>
        <v>18.1975746704308</v>
      </c>
      <c r="BH175" s="262">
        <f t="shared" si="645"/>
        <v>17.6675482237192</v>
      </c>
      <c r="BI175" s="277"/>
      <c r="BJ175" s="272">
        <f t="shared" si="800"/>
        <v>0.01</v>
      </c>
      <c r="BK175" s="123" t="s">
        <v>514</v>
      </c>
      <c r="BL175" s="259">
        <f>BM175+各项系数!$M$9*$NM175</f>
        <v>16.4226650188072</v>
      </c>
      <c r="BM175" s="259">
        <f>BN175*(1+$CF175+(VLOOKUP($AM175,$A$12:$B$323,2,0))+各项系数!$J$6+各项系数!$M$5)*(1+$E$2)</f>
        <v>16.2873069588769</v>
      </c>
      <c r="BN175" s="260">
        <f>BO175+各项系数!$L$9*$NM175</f>
        <v>16.4551494836097</v>
      </c>
      <c r="BO175" s="260">
        <f>BP175*(1+$CG175+各项系数!$J$5+各项系数!$L$5)</f>
        <v>16.3197914236793</v>
      </c>
      <c r="BP175" s="260">
        <f t="shared" si="646"/>
        <v>15.6921071381532</v>
      </c>
      <c r="BQ175" s="259">
        <f>BR175+各项系数!$M$9*$NM175</f>
        <v>17.1543625139826</v>
      </c>
      <c r="BR175" s="259">
        <f>BS175*(1+$CF175+(VLOOKUP($AM175,$A$12:$B$323,2,0))+各项系数!$J$6+各项系数!$M$5)*(1+$E$2)</f>
        <v>17.0190044540523</v>
      </c>
      <c r="BS175" s="260">
        <f>BT175+各项系数!$L$9*$NM175</f>
        <v>17.1943872035283</v>
      </c>
      <c r="BT175" s="260">
        <f>BU175*(1+$CG175+各项系数!$J$5+各项系数!$L$5)</f>
        <v>17.0590291435979</v>
      </c>
      <c r="BU175" s="260">
        <f t="shared" si="647"/>
        <v>16.4029126380749</v>
      </c>
      <c r="BV175" s="259">
        <f>BW175+各项系数!$M$9*$NT175</f>
        <v>17.5963359131224</v>
      </c>
      <c r="BW175" s="259">
        <f>BX175*(1+$CF175+(VLOOKUP($AM175,$A$12:$B$214,2,0))+各项系数!$J$6+各项系数!$M$5)*(1+$E$2)</f>
        <v>17.4554558785029</v>
      </c>
      <c r="BX175" s="260">
        <f>BY175+各项系数!$L$9*$NT$12</f>
        <v>17.6353363088532</v>
      </c>
      <c r="BY175" s="260">
        <f>BZ175*(1+$CG175+各项系数!$J$5+各项系数!$L$5)</f>
        <v>17.6270729056983</v>
      </c>
      <c r="BZ175" s="262">
        <f t="shared" si="586"/>
        <v>16.9491085631714</v>
      </c>
      <c r="CA175" s="259">
        <f>CB175+各项系数!$M$9*$NT175</f>
        <v>18.335891952173</v>
      </c>
      <c r="CB175" s="259">
        <f>CC175*(1+$CF175+(VLOOKUP($AM175,$A$12:$B$214,2,0))+各项系数!$J$6+各项系数!$M$5)*(1+$E$2)</f>
        <v>18.1950119175536</v>
      </c>
      <c r="CC175" s="260">
        <f>CD175+各项系数!$L$9*$NT$12</f>
        <v>18.3825135558229</v>
      </c>
      <c r="CD175" s="260">
        <f>CE175*(1+$CG175+各项系数!$J$5+各项系数!$L$5)</f>
        <v>18.374250152668</v>
      </c>
      <c r="CE175" s="262">
        <f t="shared" si="648"/>
        <v>17.6675482237192</v>
      </c>
      <c r="CF175" s="277">
        <f t="shared" si="753"/>
        <v>0</v>
      </c>
      <c r="CG175" s="277">
        <f t="shared" si="587"/>
        <v>0.02</v>
      </c>
      <c r="CH175" s="123"/>
      <c r="CI175" s="259">
        <f>CJ175+各项系数!$M$9*$NO175</f>
        <v>18.1042661425222</v>
      </c>
      <c r="CJ175" s="259">
        <f>CK175*(1+$DC175+(VLOOKUP($AM175,$A$12:$B$323,2,0))+各项系数!$J$6+各项系数!$M$5)*(1+$E$2)+各项系数!$M$9*$NK175</f>
        <v>17.8770839182714</v>
      </c>
      <c r="CK175" s="260">
        <f>CL175+各项系数!$L$9*$NO175</f>
        <v>17.924556332937</v>
      </c>
      <c r="CL175" s="260">
        <f>CM175*(1+$DD175+各项系数!$J$5+各项系数!$L$5)</f>
        <v>17.6973741086863</v>
      </c>
      <c r="CM175" s="260">
        <f t="shared" si="588"/>
        <v>17.181916610375</v>
      </c>
      <c r="CN175" s="259">
        <f>CO175+各项系数!$M$9*$NO175</f>
        <v>18.71135922277</v>
      </c>
      <c r="CO175" s="259">
        <f>CP175*(1+$DC175+(VLOOKUP($AM175,$A$12:$B$323,2,0))+各项系数!$J$6+各项系数!$M$5)*(1+$E$2)+各项系数!$M$9*$NK175</f>
        <v>18.4841769985193</v>
      </c>
      <c r="CP175" s="260">
        <f>CQ175+各项系数!$L$9*$NO175</f>
        <v>18.5379055754586</v>
      </c>
      <c r="CQ175" s="260">
        <f>CR175*(1+$DD175+各项系数!$J$5+各项系数!$L$5)</f>
        <v>18.3107233512078</v>
      </c>
      <c r="CR175" s="260">
        <f t="shared" si="589"/>
        <v>17.7774013118523</v>
      </c>
      <c r="CS175" s="259">
        <f>CT175+各项系数!$M$9*$NU175</f>
        <v>19.5396790699013</v>
      </c>
      <c r="CT175" s="259">
        <f t="shared" si="590"/>
        <v>19.3057663308185</v>
      </c>
      <c r="CU175" s="260">
        <f>CV175+各项系数!$L$9*$NU175</f>
        <v>19.5047144178809</v>
      </c>
      <c r="CV175" s="260">
        <f>CW175*(1+$DD175+各项系数!$J$5+各项系数!$L$5)</f>
        <v>19.2708016787982</v>
      </c>
      <c r="CW175" s="262">
        <f t="shared" si="591"/>
        <v>18.7095161930079</v>
      </c>
      <c r="CX175" s="259">
        <f>CY175+各项系数!$M$9*$NU175</f>
        <v>20.5636996939574</v>
      </c>
      <c r="CY175" s="259">
        <f t="shared" si="592"/>
        <v>20.3297869548746</v>
      </c>
      <c r="CZ175" s="260">
        <f>DA175+各项系数!$L$9*$NU175</f>
        <v>20.5392876893055</v>
      </c>
      <c r="DA175" s="260">
        <f>DB175*(1+$DD175+各项系数!$J$5+各项系数!$L$5)</f>
        <v>20.3053749502227</v>
      </c>
      <c r="DB175" s="262">
        <f t="shared" si="593"/>
        <v>19.7139562623522</v>
      </c>
      <c r="DC175" s="277">
        <f t="shared" si="803"/>
        <v>0</v>
      </c>
      <c r="DD175" s="277">
        <f t="shared" si="594"/>
        <v>0.01</v>
      </c>
      <c r="DE175" s="69" t="s">
        <v>498</v>
      </c>
      <c r="DF175" s="69" t="s">
        <v>513</v>
      </c>
      <c r="DG175" s="259">
        <f>DH175+各项系数!$M$9*$NQ175</f>
        <v>18.4257267614257</v>
      </c>
      <c r="DH175" s="259">
        <f>DI175*(1+$EA175+(VLOOKUP($AM175,$A$12:$B$323,2,0))+各项系数!$J$6+各项系数!$M$5)*(1+$E$2)+各项系数!$M$9*$NK175</f>
        <v>18.198544537175</v>
      </c>
      <c r="DI175" s="260">
        <f>DJ175+各项系数!$L$9*$NQ175</f>
        <v>18.2493296395682</v>
      </c>
      <c r="DJ175" s="260">
        <f>DK175*(1+$EB175+各项系数!$J$5+各项系数!$L$5)</f>
        <v>18.0221474153174</v>
      </c>
      <c r="DK175" s="260">
        <f t="shared" si="595"/>
        <v>17.3289878993437</v>
      </c>
      <c r="DL175" s="259">
        <f>DM175+各项系数!$M$9*$NQ175</f>
        <v>19.2990745099518</v>
      </c>
      <c r="DM175" s="259">
        <f>DN175*(1+$EA175+(VLOOKUP($AM175,$A$12:$B$323,2,0))+各项系数!$J$6+各项系数!$M$5)*(1+$E$2)+各项系数!$M$9*$NK175</f>
        <v>19.0718922857011</v>
      </c>
      <c r="DN175" s="260">
        <f>DO175+各项系数!$L$9*$NQ175</f>
        <v>19.1316773345835</v>
      </c>
      <c r="DO175" s="260">
        <f>DP175*(1+$EB175+各项系数!$J$5+各项系数!$L$5)</f>
        <v>18.9044951103327</v>
      </c>
      <c r="DP175" s="260">
        <f t="shared" si="596"/>
        <v>18.1773991445507</v>
      </c>
      <c r="DQ175" s="259">
        <f>DR175+各项系数!$M$9*$NV175</f>
        <v>19.8776221406408</v>
      </c>
      <c r="DR175" s="259">
        <f t="shared" si="597"/>
        <v>19.643709401558</v>
      </c>
      <c r="DS175" s="260">
        <f>DT175+各项系数!$L$9*$NV175</f>
        <v>19.8461400298626</v>
      </c>
      <c r="DT175" s="260">
        <f>DU175*(1+$EB175+各项系数!$J$5+各项系数!$L$5)</f>
        <v>19.6122272907798</v>
      </c>
      <c r="DU175" s="262">
        <f t="shared" si="598"/>
        <v>18.8579108565191</v>
      </c>
      <c r="DV175" s="259">
        <f>DW175+各项系数!$M$9*$NV175</f>
        <v>19.5510663005008</v>
      </c>
      <c r="DW175" s="259">
        <f t="shared" si="599"/>
        <v>19.3171535614181</v>
      </c>
      <c r="DX175" s="260">
        <f>DY175+各项系数!$L$9*$NV175</f>
        <v>19.5162189951688</v>
      </c>
      <c r="DY175" s="260">
        <f>DZ175*(1+$EB175+各项系数!$J$5+各项系数!$L$5)</f>
        <v>19.282306256086</v>
      </c>
      <c r="DZ175" s="262">
        <f t="shared" si="600"/>
        <v>18.5406790923904</v>
      </c>
      <c r="EA175" s="277">
        <f t="shared" si="802"/>
        <v>0</v>
      </c>
      <c r="EB175" s="277">
        <f t="shared" si="601"/>
        <v>0.02</v>
      </c>
      <c r="EC175" s="302">
        <f t="shared" si="649"/>
        <v>16</v>
      </c>
      <c r="ED175" s="302" t="str">
        <f t="shared" si="756"/>
        <v>16*1.5</v>
      </c>
      <c r="EE175" s="251">
        <f t="shared" si="812"/>
        <v>1.5</v>
      </c>
      <c r="EF175" s="251">
        <f>LOOKUP(EH175,{1,7,10,14,19,24,30,37,48,61},{1,"1+6","2+8","4+10","1+6+12","2+8+14","4+10+16","1+6+12+18","3+9+15+21","1+6+12+18+24"})</f>
        <v>1</v>
      </c>
      <c r="EG175" s="250">
        <f t="shared" si="602"/>
        <v>16</v>
      </c>
      <c r="EH175" s="260">
        <f>VLOOKUP(EE175,各项系数!$B$87:$C$124,2,0)</f>
        <v>1</v>
      </c>
      <c r="EI175" s="250">
        <f>IF(EH175=0,0,VLOOKUP(EH175,各项系数!$D$142:$E$195,2,0))*1</f>
        <v>1</v>
      </c>
      <c r="EJ175" s="305">
        <f t="shared" si="650"/>
        <v>134.922667214547</v>
      </c>
      <c r="EK175" s="251">
        <f t="shared" si="813"/>
        <v>0</v>
      </c>
      <c r="EL175" s="251">
        <f t="shared" si="603"/>
        <v>0</v>
      </c>
      <c r="EM175" s="251">
        <f t="shared" si="814"/>
        <v>0</v>
      </c>
      <c r="EN175" s="251">
        <f>IF(EP175=0,0,LOOKUP(EP175,{1,7,10,14,19,24,30,37,48,61},{1,"1+6","2+8","4+10","1+6+12","2+8+14","4+10+16","1+6+12+18","3+9+15+21","1+6+12+18+24"}))</f>
        <v>0</v>
      </c>
      <c r="EO175" s="251">
        <f t="shared" si="815"/>
        <v>0</v>
      </c>
      <c r="EP175" s="251">
        <f>IF(EM175=0,0,IF(EM175&lt;10,1,IF(AND(EM175&gt;=10,EM175&lt;=35),7,LOOKUP(EM175,{50,70,95,120,150,185,240,300},{10,14,19,24,30,37,48,61})*1)))</f>
        <v>0</v>
      </c>
      <c r="EQ175" s="251">
        <f>IF(EP175=0,0,VLOOKUP(EP175,各项系数!$D$142:$E$195,2,0))*1</f>
        <v>0</v>
      </c>
      <c r="ER175" s="69">
        <f t="shared" si="816"/>
        <v>0</v>
      </c>
      <c r="ES175" s="566">
        <f t="shared" si="817"/>
        <v>16</v>
      </c>
      <c r="ET175" s="251">
        <f>VLOOKUP(ES175,各项系数!$D$142:$E$195,2,0)*1</f>
        <v>4.7</v>
      </c>
      <c r="EU175" s="311">
        <f>((各项系数!$F$76/4*$EJ175^2*$EG175*$EH175*1*10^-7)*(1-$H175)*AA175)*(VLOOKUP($EY$9,各项系数!$D$4:$F$143,3,0))*各项系数!$J$4</f>
        <v>0.202350621031101</v>
      </c>
      <c r="EV175" s="312">
        <f>EU175*(VLOOKUP($EY$9,各项系数!$D$4:$F$143,2,0))</f>
        <v>13.2539656775371</v>
      </c>
      <c r="EW175" s="324">
        <f>(IF($EO175=0,0,(各项系数!$F$76/4*$ER175^2*$EO175*$EP175*1*10^-7))*(1-$K175)*$AF175)*(VLOOKUP($EY$9,各项系数!$D$4:$F$143,3,0))*各项系数!$J$4</f>
        <v>0</v>
      </c>
      <c r="EX175" s="325">
        <f>EW175*(VLOOKUP($EY$9,各项系数!$D$4:$F$143,2,0))</f>
        <v>0</v>
      </c>
      <c r="EY175" s="251">
        <f>((各项系数!$F$76/4*$EJ175^2*$EG175*$EH175*1*10^-7)*(1-$H175)*AA175+IF($EO175=0,0,(各项系数!$F$76/4*$ER175^2*$EO175*$EP175*1*10^-7))*(1-$K175)*$AF175)*(VLOOKUP($EY$9,各项系数!$D$4:$F$143,3,0))*各项系数!$J$4</f>
        <v>0.202350621031101</v>
      </c>
      <c r="EZ175" s="123">
        <v>1</v>
      </c>
      <c r="FA175" s="251">
        <f t="shared" si="757"/>
        <v>0.202350621031101</v>
      </c>
      <c r="FB175" s="326">
        <f>FA175*(VLOOKUP($EY$9,各项系数!$D$4:$F$143,2,0))</f>
        <v>13.2539656775371</v>
      </c>
      <c r="FC175" s="327"/>
      <c r="FD175" s="302">
        <f>各项系数!$F$76/4*($MN175^2-MK175^2)*10^-2*(VLOOKUP(L175,各项系数!$D$1:$F$143,3,0))*10^-3*10^2*$EG175*各项系数!$J$4</f>
        <v>0.0789175621049472</v>
      </c>
      <c r="FE175" s="339">
        <f>FD175*VLOOKUP(L175,各项系数!$D$1:$F$143,2,0)</f>
        <v>0.907551964206893</v>
      </c>
      <c r="FF175" s="250">
        <f>各项系数!$F$76/4*($MO175^2-ML175^2)*10^-2*(VLOOKUP(L175,各项系数!$D$1:$F$143,3,0))*10^-3*10^2*$EO175*各项系数!$J$4</f>
        <v>0</v>
      </c>
      <c r="FG175" s="339">
        <f>FF175*VLOOKUP(L175,各项系数!$D$1:$F$143,2,0)</f>
        <v>0</v>
      </c>
      <c r="FH175" s="302">
        <f t="shared" si="651"/>
        <v>0.0789175621049472</v>
      </c>
      <c r="FI175" s="123">
        <v>1</v>
      </c>
      <c r="FJ175" s="251">
        <f t="shared" si="758"/>
        <v>0.0789175621049472</v>
      </c>
      <c r="FK175" s="339">
        <f>FJ175*VLOOKUP(L175,各项系数!$D$1:$F$143,2,0)</f>
        <v>0.907551964206893</v>
      </c>
      <c r="FL175" s="302"/>
      <c r="FM175" s="123"/>
      <c r="FN175" s="251"/>
      <c r="FO175" s="339"/>
      <c r="FP175" s="364">
        <f t="shared" si="759"/>
        <v>0.0789175621049472</v>
      </c>
      <c r="FQ175" s="364">
        <f t="shared" si="760"/>
        <v>0.907551964206893</v>
      </c>
      <c r="FR175" s="365">
        <f>各项系数!$F$76/4*($MQ175^2-$MN175^2*$EG175-$MO175^2*$EO175)*10^-2</f>
        <v>0.36151662246028</v>
      </c>
      <c r="FS175" s="366">
        <f t="shared" si="652"/>
        <v>1</v>
      </c>
      <c r="FT175" s="367">
        <f t="shared" si="604"/>
        <v>0.36151662246028</v>
      </c>
      <c r="FU175" s="388">
        <f>$FT175*(VLOOKUP($FT$9,各项系数!$D$1:$F$143,3,0))*10^-3*10^2*各项系数!$J$55</f>
        <v>0.0431650847217574</v>
      </c>
      <c r="FV175" s="389">
        <v>1</v>
      </c>
      <c r="FW175" s="390">
        <f t="shared" si="761"/>
        <v>0.0431650847217574</v>
      </c>
      <c r="FX175" s="367">
        <f>FW175*(VLOOKUP($FT$9,各项系数!$D$1:$F$143,2,0))</f>
        <v>0.129495254165272</v>
      </c>
      <c r="FY175" s="388">
        <f>IF($BK175&lt;&gt;$FY$9,0,各项系数!$F$76/4*($MS175^2-$MQ175^2)*10^-2*(VLOOKUP($FY$9,各项系数!$D$1:$F$143,3,0))*10^-3*10^2)*各项系数!$J$4</f>
        <v>0</v>
      </c>
      <c r="FZ175" s="389">
        <v>1</v>
      </c>
      <c r="GA175" s="390">
        <f t="shared" si="762"/>
        <v>0</v>
      </c>
      <c r="GB175" s="367">
        <f>GA175*(VLOOKUP($FY$9,各项系数!$D$1:$F$143,2,0))</f>
        <v>0</v>
      </c>
      <c r="GC175" s="388">
        <f>IF($BK175&lt;&gt;$GC$9,0,各项系数!$F$76/4*($MS175^2-$MQ175^2)*10^-2*(VLOOKUP($GC$9,各项系数!$D$1:$F$143,3,0))*10^-3*10^2)*各项系数!$J$4</f>
        <v>0.00354280240323545</v>
      </c>
      <c r="GD175" s="389">
        <v>1</v>
      </c>
      <c r="GE175" s="390">
        <f t="shared" si="763"/>
        <v>0.00354280240323545</v>
      </c>
      <c r="GF175" s="367">
        <f>GE175*(VLOOKUP($GC$9,各项系数!$D$1:$F$143,2,0))</f>
        <v>0.0457021510017373</v>
      </c>
      <c r="GG175" s="388">
        <f>IF($BK175&lt;&gt;$GG$9,0,各项系数!$F$76/4*($MS175^2-$MQ175^2)*10^-2*(VLOOKUP($GG$9,各项系数!$D$1:$F$143,3,0))*10^-3*10^2)*各项系数!$J$4</f>
        <v>0</v>
      </c>
      <c r="GH175" s="389">
        <v>1</v>
      </c>
      <c r="GI175" s="390">
        <f t="shared" si="764"/>
        <v>0</v>
      </c>
      <c r="GJ175" s="367">
        <f>GI175*(VLOOKUP($GG$9,各项系数!$D$1:$F$143,2,0))</f>
        <v>0</v>
      </c>
      <c r="GK175" s="388">
        <f>IF($BK175&lt;&gt;$GK$9,0,各项系数!$F$76/4*($MS175^2-$MQ175^2)*10^-2*(VLOOKUP($GK$9,各项系数!$D$1:$F$143,3,0))*10^-3*10^2)*各项系数!$J$4</f>
        <v>0</v>
      </c>
      <c r="GL175" s="389">
        <v>1</v>
      </c>
      <c r="GM175" s="390">
        <f t="shared" si="765"/>
        <v>0</v>
      </c>
      <c r="GN175" s="367">
        <f>GM175*(VLOOKUP($GK$9,各项系数!$D$1:$F$143,2,0))</f>
        <v>0</v>
      </c>
      <c r="GO175" s="390">
        <f t="shared" si="766"/>
        <v>0.00354280240323545</v>
      </c>
      <c r="GP175" s="390">
        <f t="shared" si="767"/>
        <v>0.0457021510017373</v>
      </c>
      <c r="GQ175" s="406">
        <f>各项系数!$F$76/4*($MU175^2-$MS175^2)*10^-2*(VLOOKUP($S175,各项系数!$D$1:$F$143,3,0))*10^-3*10^2*各项系数!$J$4</f>
        <v>0.200894476755794</v>
      </c>
      <c r="GR175" s="389">
        <v>1</v>
      </c>
      <c r="GS175" s="390">
        <f t="shared" si="768"/>
        <v>0.200894476755794</v>
      </c>
      <c r="GT175" s="390">
        <f t="shared" si="696"/>
        <v>1</v>
      </c>
      <c r="GU175" s="390">
        <f>ROUND($GS175*(VLOOKUP($S175,各项系数!$D$1:$F$143,2,0))+$E$3*GS175,GT175)</f>
        <v>1.2</v>
      </c>
      <c r="GV175" s="406">
        <f>各项系数!$F$76/4*($MT175^2-$MS175^2)*10^-2*(VLOOKUP($GV$9,各项系数!$D$1:$F$143,3,0))*10^-3*10^2*各项系数!$J$4*PI()/4*R175</f>
        <v>0.0184065822970487</v>
      </c>
      <c r="GW175" s="389">
        <v>1</v>
      </c>
      <c r="GX175" s="390">
        <f t="shared" si="769"/>
        <v>0.0184065822970487</v>
      </c>
      <c r="GY175" s="390">
        <f>$GX175*(VLOOKUP($GV$9,各项系数!$D$1:$F$143,2,0))</f>
        <v>1.24244430505079</v>
      </c>
      <c r="GZ175" s="406">
        <f>各项系数!$F$76/4*($MV175^2-$MS175^2)*10^-2*(VLOOKUP($GZ$9,各项系数!$D$1:$F$143,3,0))*10^-3*10^2*各项系数!$J$4</f>
        <v>0.121541034774347</v>
      </c>
      <c r="HA175" s="389">
        <v>1</v>
      </c>
      <c r="HB175" s="390">
        <f t="shared" si="653"/>
        <v>0.121541034774347</v>
      </c>
      <c r="HC175" s="390">
        <f>HB175*(VLOOKUP($GZ$9,各项系数!$D$1:$F$143,2,0))</f>
        <v>2.0661975911639</v>
      </c>
      <c r="HD175" s="406">
        <f>各项系数!$F$76/4*($MW175^2-$MT175^2)*10^-2*(VLOOKUP($HD$9,各项系数!$D$1:$F$143,3,0))*10^-3*10^2*各项系数!$J$4</f>
        <v>0.122846404221025</v>
      </c>
      <c r="HE175" s="389">
        <v>1</v>
      </c>
      <c r="HF175" s="390">
        <f t="shared" si="654"/>
        <v>0.122846404221025</v>
      </c>
      <c r="HG175" s="390">
        <f>HF175*(VLOOKUP($HD$9,各项系数!$D$1:$F$143,2,0))</f>
        <v>2.08838887175743</v>
      </c>
      <c r="HH175" s="406">
        <f>各项系数!$F$76/4*($MV175^2-$MS175^2)*10^-2*(VLOOKUP($HH$9,各项系数!$D$1:$F$143,3,0))*10^-3*10^2*各项系数!$J$4</f>
        <v>0.121541034774347</v>
      </c>
      <c r="HI175" s="420">
        <v>1</v>
      </c>
      <c r="HJ175" s="390">
        <f t="shared" si="655"/>
        <v>0.121541034774347</v>
      </c>
      <c r="HK175" s="390">
        <f>HJ175*(VLOOKUP($HH$9,各项系数!$D$1:$F$143,2,0))</f>
        <v>2.0661975911639</v>
      </c>
      <c r="HL175" s="406">
        <f>各项系数!$F$76/4*($MW175^2-$MT175^2)*10^-2*(VLOOKUP($HL$9,各项系数!$D$1:$F$143,3,0))*10^-3*10^2*各项系数!$J$4</f>
        <v>0.122846404221025</v>
      </c>
      <c r="HM175" s="420">
        <v>1</v>
      </c>
      <c r="HN175" s="390">
        <f t="shared" si="605"/>
        <v>0.122846404221025</v>
      </c>
      <c r="HO175" s="390">
        <f>HN175*(VLOOKUP($HL$9,各项系数!$D$1:$F$143,2,0))</f>
        <v>2.08838887175743</v>
      </c>
      <c r="HP175" s="406">
        <f>各项系数!$F$76/4*($MV175^2-$MS175^2)*10^-2*(VLOOKUP(AN175,各项系数!$D$1:$F$143,3,0))*10^-3*10^2*各项系数!$J$4</f>
        <v>0.1232174628402</v>
      </c>
      <c r="HQ175" s="389">
        <v>1</v>
      </c>
      <c r="HR175" s="390">
        <f t="shared" si="770"/>
        <v>0.1232174628402</v>
      </c>
      <c r="HS175" s="390">
        <f>HR175*(VLOOKUP(AN175,各项系数!$D$1:$F$143,2,0))</f>
        <v>1.232174628402</v>
      </c>
      <c r="HT175" s="406">
        <f>各项系数!$F$76/4*($MW175^2-$MT175^2)*10^-2*(VLOOKUP(AN175,各项系数!$D$1:$F$143,3,0))*10^-3*10^2*各项系数!$J$4</f>
        <v>0.124540837382695</v>
      </c>
      <c r="HU175" s="389">
        <v>1</v>
      </c>
      <c r="HV175" s="390">
        <f t="shared" si="771"/>
        <v>0.124540837382695</v>
      </c>
      <c r="HW175" s="390">
        <f>HV175*(VLOOKUP(AN175,各项系数!$D$1:$F$143,2,0))</f>
        <v>1.24540837382695</v>
      </c>
      <c r="HX175" s="406">
        <f>各项系数!$F$76/4*($MV175^2-$MS175^2)*10^-2*(VLOOKUP($HX$9,各项系数!$D$1:$F$143,3,0))*10^-3*10^2*各项系数!$J$4</f>
        <v>0.1232174628402</v>
      </c>
      <c r="HY175" s="420">
        <v>1</v>
      </c>
      <c r="HZ175" s="390">
        <f t="shared" si="772"/>
        <v>0.1232174628402</v>
      </c>
      <c r="IA175" s="390">
        <f>HZ175*(VLOOKUP($HX$9,各项系数!$D$1:$F$143,2,0))</f>
        <v>1.3553920912422</v>
      </c>
      <c r="IB175" s="406">
        <f>各项系数!$F$76/4*($MW175^2-$MT175^2)*10^-2*(VLOOKUP($IB$9,各项系数!$D$1:$F$143,3,0))*10^-3*10^2*各项系数!$J$4</f>
        <v>0.124540837382695</v>
      </c>
      <c r="IC175" s="420">
        <v>1</v>
      </c>
      <c r="ID175" s="390">
        <f t="shared" si="773"/>
        <v>0.124540837382695</v>
      </c>
      <c r="IE175" s="390">
        <f>ID175*(VLOOKUP($IB$9,各项系数!$D$1:$F$143,2,0))</f>
        <v>1.36994921120964</v>
      </c>
      <c r="IF175" s="429"/>
      <c r="IG175" s="406">
        <f t="shared" si="656"/>
        <v>0.037118105270089</v>
      </c>
      <c r="IH175" s="389">
        <v>1</v>
      </c>
      <c r="II175" s="390">
        <f t="shared" si="774"/>
        <v>0.037118105270089</v>
      </c>
      <c r="IJ175" s="390">
        <f>II175*(VLOOKUP($IG$8,各项系数!$D$1:$F$143,2,0))</f>
        <v>0.927952631752225</v>
      </c>
      <c r="IK175" s="406">
        <f>(各项系数!$F$76/4*($MX175^2-$MK175^2)*$EG175)*10^-2*(VLOOKUP($IG$8,各项系数!$D$1:$F$143,3,0))*10^-3*10^2*各项系数!$J$4</f>
        <v>0.037118105270089</v>
      </c>
      <c r="IL175" s="389">
        <f>IK175*(VLOOKUP($IG$8,各项系数!$D$1:$F$143,2,0))</f>
        <v>0.927952631752225</v>
      </c>
      <c r="IM175" s="390">
        <f>(各项系数!$F$76/4*(($MM175+3*$X175)^2-MM175^2)*$EO175)*10^-2*(VLOOKUP($IG$8,各项系数!$D$1:$F$143,3,0))*10^-3*10^2*各项系数!$J$4</f>
        <v>0</v>
      </c>
      <c r="IN175" s="389">
        <f>IM175*(VLOOKUP($IG$8,各项系数!$D$1:$F$143,2,0))</f>
        <v>0</v>
      </c>
      <c r="IO175" s="406">
        <f>各项系数!$F$76/4*($MZ175^2-$MX175^2)*10^-2*(VLOOKUP(L175,各项系数!$D$1:$F$143,3,0))*10^-3*10^2*$ES175*各项系数!$J$4</f>
        <v>0.102024101735806</v>
      </c>
      <c r="IP175" s="389">
        <v>1</v>
      </c>
      <c r="IQ175" s="390">
        <f t="shared" si="775"/>
        <v>0.102024101735806</v>
      </c>
      <c r="IR175" s="367">
        <f>IQ175*(VLOOKUP(L175,各项系数!$D$1:$F$143,2,0))</f>
        <v>1.17327716996177</v>
      </c>
      <c r="IS175" s="406">
        <f>IF($L175&lt;&gt;$IS$9,0,各项系数!$F$76/4*($MZ175^2-$MX175^2)*10^-2*各项系数!$F$12*10^-3*10^2)*$ES175*各项系数!$J$4</f>
        <v>0</v>
      </c>
      <c r="IT175" s="389">
        <v>1</v>
      </c>
      <c r="IU175" s="390">
        <f t="shared" si="776"/>
        <v>0</v>
      </c>
      <c r="IV175" s="367">
        <f>IU175*各项系数!$E$12</f>
        <v>0</v>
      </c>
      <c r="IW175" s="388">
        <f t="shared" si="777"/>
        <v>0.102024101735806</v>
      </c>
      <c r="IX175" s="388">
        <f t="shared" si="778"/>
        <v>1.17327716996177</v>
      </c>
      <c r="IY175" s="447">
        <f>各项系数!$F$76/4*($NB175^2-$MZ175^2*$EG175-$NA175^2*$EO175)*10^-2</f>
        <v>0.536532773993925</v>
      </c>
      <c r="IZ175" s="366">
        <f t="shared" si="697"/>
        <v>1</v>
      </c>
      <c r="JA175" s="367">
        <f t="shared" si="606"/>
        <v>0.536532773993925</v>
      </c>
      <c r="JB175" s="364">
        <f>IF($DE175&lt;&gt;$JB$9,0,$JA175*各项系数!$F$32*10^-3*10^2)*各项系数!$J$4</f>
        <v>0</v>
      </c>
      <c r="JC175" s="123">
        <v>1</v>
      </c>
      <c r="JD175" s="251">
        <f t="shared" si="779"/>
        <v>0</v>
      </c>
      <c r="JE175" s="339">
        <f>JD175*各项系数!$E$32</f>
        <v>0</v>
      </c>
      <c r="JF175" s="364">
        <f>IF($DE175&lt;&gt;$JF$9,0,$JA175*VLOOKUP($JF$9,各项系数!$D$4:$F$540,2,0)*10^-3*10^2)*各项系数!$J$4</f>
        <v>0.266925055061978</v>
      </c>
      <c r="JG175" s="123">
        <v>1</v>
      </c>
      <c r="JH175" s="251">
        <f t="shared" si="607"/>
        <v>0.266925055061978</v>
      </c>
      <c r="JI175" s="339">
        <f>JH175*VLOOKUP($JF$9,各项系数!$D$4:$F$540,3,0)</f>
        <v>0.320310066074373</v>
      </c>
      <c r="JJ175" s="364">
        <f t="shared" si="780"/>
        <v>0.266925055061978</v>
      </c>
      <c r="JK175" s="251">
        <f t="shared" si="781"/>
        <v>0.320310066074373</v>
      </c>
      <c r="JL175" s="364">
        <f>IF($DF175&lt;&gt;$JL$9,0,各项系数!$F$76/4*($NE175^2-$NC175^2)*10^-2*各项系数!$F$39*10^-3*10^2)*各项系数!$J$4</f>
        <v>0.00178490876814599</v>
      </c>
      <c r="JM175" s="123">
        <v>1</v>
      </c>
      <c r="JN175" s="251">
        <f t="shared" si="782"/>
        <v>0.00178490876814599</v>
      </c>
      <c r="JO175" s="339">
        <f>JN175*各项系数!$E$39</f>
        <v>0.0356981753629198</v>
      </c>
      <c r="JP175" s="364">
        <f>IF($DF175&lt;&gt;$JP$9,0,各项系数!$F$76/4*($NE175^2-$NC175^2)*10^-2*各项系数!$F$36*10^-3*10^2)*各项系数!$J$4</f>
        <v>0</v>
      </c>
      <c r="JQ175" s="123">
        <v>1</v>
      </c>
      <c r="JR175" s="251">
        <f t="shared" si="783"/>
        <v>0</v>
      </c>
      <c r="JS175" s="339">
        <f>JR175*各项系数!$E$36</f>
        <v>0</v>
      </c>
      <c r="JT175" s="364">
        <f>IF($DF175&lt;&gt;$JT$9,0,各项系数!$F$76/4*($NE175^2-$NC175^2)*10^-2*各项系数!$F$40*10^-3*10^2)*各项系数!$J$4</f>
        <v>0</v>
      </c>
      <c r="JU175" s="123">
        <v>1</v>
      </c>
      <c r="JV175" s="251">
        <f t="shared" si="784"/>
        <v>0</v>
      </c>
      <c r="JW175" s="339">
        <f>JV175*各项系数!$E$40</f>
        <v>0</v>
      </c>
      <c r="JX175" s="364">
        <f>IF($DF175&lt;&gt;$JX$9,0,各项系数!$F$76/4*($NE175^2-$NC175^2)*10^-2*各项系数!$F$38*10^-3*10^2)*各项系数!$J$4</f>
        <v>0</v>
      </c>
      <c r="JY175" s="123">
        <v>1</v>
      </c>
      <c r="JZ175" s="251">
        <f t="shared" si="785"/>
        <v>0</v>
      </c>
      <c r="KA175" s="339">
        <f>JZ175*各项系数!$E$38</f>
        <v>0</v>
      </c>
      <c r="KB175" s="364">
        <f>IF($DF175&lt;&gt;$KB$9,0,各项系数!$F$76/4*($NE175^2-$NC175^2)*10^-2*各项系数!$F$41*10^-3*10^2)*各项系数!$J$4</f>
        <v>0</v>
      </c>
      <c r="KC175" s="123">
        <v>1</v>
      </c>
      <c r="KD175" s="251">
        <f t="shared" si="786"/>
        <v>0</v>
      </c>
      <c r="KE175" s="339">
        <f>KD175*各项系数!$E$41</f>
        <v>0</v>
      </c>
      <c r="KF175" s="251">
        <f t="shared" si="787"/>
        <v>0.00178490876814599</v>
      </c>
      <c r="KG175" s="251">
        <f t="shared" si="788"/>
        <v>0.0356981753629198</v>
      </c>
      <c r="KH175" s="302">
        <f>各项系数!$F$76/4*($NG175^2-$NE175^2)*10^-2*各项系数!$F$44*10^-3*10^2*各项系数!$J$4*0.75*$U175</f>
        <v>0.729579294433779</v>
      </c>
      <c r="KI175" s="123">
        <v>1</v>
      </c>
      <c r="KJ175" s="251">
        <f t="shared" si="789"/>
        <v>0.729579294433779</v>
      </c>
      <c r="KK175" s="251">
        <f>ROUND(KJ175*各项系数!$E$43,GT175)</f>
        <v>4.2</v>
      </c>
      <c r="KL175" s="302">
        <f>各项系数!$F$76/4*($NF175^2-$NE175^2)*10^-2*各项系数!$F$46*10^-3*10^2*各项系数!$J$4*PI()/4*R175</f>
        <v>0.0224350494401175</v>
      </c>
      <c r="KM175" s="123">
        <v>1</v>
      </c>
      <c r="KN175" s="251">
        <f t="shared" si="790"/>
        <v>0.0224350494401175</v>
      </c>
      <c r="KO175" s="251">
        <f>KN175*各项系数!$E$46</f>
        <v>1.51436583720793</v>
      </c>
      <c r="KP175" s="302">
        <f>各项系数!$F$76/4*($NH175^2-$NE175^2)*10^-2*(VLOOKUP($KP$9,各项系数!$D$1:$F$143,3,0))*10^-3*10^2*各项系数!$J$4</f>
        <v>0.145070319050725</v>
      </c>
      <c r="KQ175" s="123">
        <v>1</v>
      </c>
      <c r="KR175" s="251">
        <f t="shared" si="657"/>
        <v>0.145070319050725</v>
      </c>
      <c r="KS175" s="251">
        <f>KR175*(VLOOKUP($KP$9,各项系数!$D$1:$F$143,2,0))</f>
        <v>2.46619542386233</v>
      </c>
      <c r="KT175" s="302">
        <f>各项系数!$F$76/4*($NI175^2-$NF175^2)*10^-2*(VLOOKUP($KT$9,各项系数!$D$1:$F$143,3,0))*10^-3*10^2*各项系数!$J$4</f>
        <v>0.146375688497403</v>
      </c>
      <c r="KU175" s="123">
        <v>1</v>
      </c>
      <c r="KV175" s="251">
        <f t="shared" si="658"/>
        <v>0.146375688497403</v>
      </c>
      <c r="KW175" s="251">
        <f>KV175*(VLOOKUP($KT$9,各项系数!$D$1:$F$143,2,0))</f>
        <v>2.48838670445586</v>
      </c>
      <c r="KX175" s="251">
        <f>各项系数!$F$76/4*($NH175^2-$NE175^2)*10^-2*(VLOOKUP($KX$9,各项系数!$D$1:$F$143,3,0))*10^-3*10^2*各项系数!$J$4</f>
        <v>0.145070319050725</v>
      </c>
      <c r="KY175" s="479">
        <v>1</v>
      </c>
      <c r="KZ175" s="251">
        <f t="shared" si="659"/>
        <v>0.145070319050725</v>
      </c>
      <c r="LA175" s="251">
        <f>KZ175*(VLOOKUP($KX$9,各项系数!$D$1:$F$143,2,0))</f>
        <v>2.46619542386233</v>
      </c>
      <c r="LB175" s="251">
        <f>各项系数!$F$76/4*($NI175^2-$NF175^2)*10^-2*(VLOOKUP($LB$9,各项系数!$D$1:$F$143,3,0))*10^-3*10^2*各项系数!$J$4</f>
        <v>0.146375688497403</v>
      </c>
      <c r="LC175" s="479">
        <v>1</v>
      </c>
      <c r="LD175" s="251">
        <f t="shared" si="660"/>
        <v>0.146375688497403</v>
      </c>
      <c r="LE175" s="251">
        <f>LD175*(VLOOKUP($LB$9,各项系数!$D$1:$F$143,2,0))</f>
        <v>2.48838670445586</v>
      </c>
      <c r="LF175" s="302">
        <f>各项系数!$F$76/4*($NH175^2-$NE175^2)*10^-2*(VLOOKUP(AN175,各项系数!$D$1:$F$143,3,0))*10^-3*10^2*各项系数!$J$4</f>
        <v>0.147071288968666</v>
      </c>
      <c r="LG175" s="123">
        <v>1</v>
      </c>
      <c r="LH175" s="251">
        <f t="shared" si="791"/>
        <v>0.147071288968666</v>
      </c>
      <c r="LI175" s="251">
        <f>LH175*(VLOOKUP(AN175,各项系数!$D$1:$F$143,2,0))</f>
        <v>1.47071288968666</v>
      </c>
      <c r="LJ175" s="302">
        <f>各项系数!$F$76/4*($NI175^2-$NF175^2)*10^-2*(VLOOKUP(AN175,各项系数!$D$1:$F$143,3,0))*10^-3*10^2*各项系数!$J$4</f>
        <v>0.148394663511161</v>
      </c>
      <c r="LK175" s="123">
        <v>1</v>
      </c>
      <c r="LL175" s="251">
        <f t="shared" si="792"/>
        <v>0.148394663511161</v>
      </c>
      <c r="LM175" s="251">
        <f>LL175*(VLOOKUP(AN175,各项系数!$D$1:$F$143,2,0))</f>
        <v>1.48394663511161</v>
      </c>
      <c r="LN175" s="251">
        <f>各项系数!$F$76/4*($NH175^2-$NE175^2)*10^-2*(VLOOKUP($LN$9,各项系数!$D$1:$F$143,3,0))*10^-3*10^2*各项系数!$J$4</f>
        <v>0.147071288968666</v>
      </c>
      <c r="LO175" s="479">
        <v>1</v>
      </c>
      <c r="LP175" s="251">
        <f t="shared" si="793"/>
        <v>0.147071288968666</v>
      </c>
      <c r="LQ175" s="251">
        <f>LP175*(VLOOKUP($LN$9,各项系数!$D$1:$F$143,2,0))</f>
        <v>1.61778417865533</v>
      </c>
      <c r="LR175" s="251">
        <f>各项系数!$F$76/4*($NI175^2-$NF175^2)*10^-2*(VLOOKUP($LR$9,各项系数!$D$1:$F$143,3,0))*10^-3*10^2*各项系数!$J$4</f>
        <v>0.148394663511161</v>
      </c>
      <c r="LS175" s="479">
        <v>1</v>
      </c>
      <c r="LT175" s="251">
        <f t="shared" si="794"/>
        <v>0.148394663511161</v>
      </c>
      <c r="LU175" s="251">
        <f>LT175*(VLOOKUP($LR$9,各项系数!$D$1:$F$143,2,0))</f>
        <v>1.63234129862277</v>
      </c>
      <c r="LV175" s="499">
        <f t="shared" si="661"/>
        <v>22.87597949</v>
      </c>
      <c r="LW175" s="499">
        <f t="shared" si="662"/>
        <v>22.87597949</v>
      </c>
      <c r="LX175" s="499">
        <f t="shared" si="663"/>
        <v>5.39690667986936</v>
      </c>
      <c r="LY175" s="515">
        <f t="shared" si="664"/>
        <v>0</v>
      </c>
      <c r="LZ175" s="516">
        <f t="shared" si="608"/>
        <v>1</v>
      </c>
      <c r="MA175" s="517">
        <f t="shared" si="609"/>
        <v>22.87597949</v>
      </c>
      <c r="MB175" s="517">
        <f t="shared" si="665"/>
        <v>1.34922667</v>
      </c>
      <c r="MC175" s="499">
        <f t="shared" si="666"/>
        <v>0</v>
      </c>
      <c r="MD175" s="499">
        <f t="shared" si="667"/>
        <v>0</v>
      </c>
      <c r="ME175" s="499">
        <f t="shared" si="668"/>
        <v>0</v>
      </c>
      <c r="MF175" s="499">
        <f t="shared" si="669"/>
        <v>0</v>
      </c>
      <c r="MG175" s="516">
        <f t="shared" si="670"/>
        <v>1</v>
      </c>
      <c r="MH175" s="517">
        <f t="shared" si="610"/>
        <v>0</v>
      </c>
      <c r="MI175" s="517">
        <f t="shared" si="671"/>
        <v>0</v>
      </c>
      <c r="MJ175" s="251">
        <f t="shared" si="611"/>
        <v>1.34922667</v>
      </c>
      <c r="MK175" s="251">
        <f t="shared" si="672"/>
        <v>1.34922667</v>
      </c>
      <c r="ML175" s="251">
        <f t="shared" si="795"/>
        <v>0</v>
      </c>
      <c r="MM175" s="251">
        <f t="shared" si="612"/>
        <v>0</v>
      </c>
      <c r="MN175" s="251">
        <f t="shared" si="613"/>
        <v>2.74922667</v>
      </c>
      <c r="MO175" s="251">
        <f t="shared" si="673"/>
        <v>0</v>
      </c>
      <c r="MP175" s="251">
        <f t="shared" si="674"/>
        <v>12.92136535</v>
      </c>
      <c r="MQ175" s="251">
        <f t="shared" si="796"/>
        <v>12.92136535</v>
      </c>
      <c r="MR175" s="314">
        <f t="shared" si="675"/>
        <v>12.92136535</v>
      </c>
      <c r="MS175" s="530">
        <f t="shared" si="614"/>
        <v>13.09736535</v>
      </c>
      <c r="MT175" s="530">
        <f t="shared" si="615"/>
        <v>13.25736535</v>
      </c>
      <c r="MU175" s="530">
        <f t="shared" si="616"/>
        <v>14.29736535</v>
      </c>
      <c r="MV175" s="530">
        <f t="shared" si="617"/>
        <v>16.69736535</v>
      </c>
      <c r="MW175" s="530">
        <f t="shared" si="618"/>
        <v>16.85736535</v>
      </c>
      <c r="MX175" s="326">
        <f t="shared" si="619"/>
        <v>1.94922667</v>
      </c>
      <c r="MY175" s="326">
        <f t="shared" si="620"/>
        <v>0</v>
      </c>
      <c r="MZ175" s="251">
        <f t="shared" si="621"/>
        <v>3.34922667</v>
      </c>
      <c r="NA175" s="251">
        <f t="shared" si="622"/>
        <v>0</v>
      </c>
      <c r="NB175" s="251">
        <f t="shared" si="676"/>
        <v>15.74136535</v>
      </c>
      <c r="NC175" s="326">
        <f t="shared" si="797"/>
        <v>15.74136535</v>
      </c>
      <c r="ND175" s="314">
        <f t="shared" si="677"/>
        <v>15.74136535</v>
      </c>
      <c r="NE175" s="537">
        <f t="shared" si="678"/>
        <v>15.98136535</v>
      </c>
      <c r="NF175" s="530">
        <f t="shared" si="623"/>
        <v>16.14136535</v>
      </c>
      <c r="NG175" s="538">
        <f t="shared" si="624"/>
        <v>17.18136535</v>
      </c>
      <c r="NH175" s="326">
        <f t="shared" si="625"/>
        <v>19.58136535</v>
      </c>
      <c r="NI175" s="530">
        <f t="shared" si="626"/>
        <v>19.74136535</v>
      </c>
      <c r="NK175" s="539">
        <f t="shared" si="627"/>
        <v>0.451193533101241</v>
      </c>
      <c r="NL175" s="539">
        <f t="shared" si="628"/>
        <v>15.568889675313</v>
      </c>
      <c r="NM175" s="539">
        <f t="shared" si="629"/>
        <v>0.451193533101241</v>
      </c>
      <c r="NN175" s="539">
        <f t="shared" si="630"/>
        <v>15.6921071381532</v>
      </c>
      <c r="NO175" s="539">
        <f t="shared" si="631"/>
        <v>0.757274080835786</v>
      </c>
      <c r="NP175" s="539">
        <f t="shared" si="632"/>
        <v>17.181916610375</v>
      </c>
      <c r="NQ175" s="539">
        <f t="shared" si="633"/>
        <v>0.757274080835786</v>
      </c>
      <c r="NR175" s="539">
        <f t="shared" si="634"/>
        <v>17.3289878993437</v>
      </c>
      <c r="NS175" s="539">
        <f t="shared" si="635"/>
        <v>0.469600115398289</v>
      </c>
      <c r="NT175" s="539">
        <f t="shared" si="636"/>
        <v>0.469600115398289</v>
      </c>
      <c r="NU175" s="539">
        <f t="shared" si="637"/>
        <v>0.779709130275903</v>
      </c>
      <c r="NV175" s="539">
        <f t="shared" si="638"/>
        <v>0.779709130275903</v>
      </c>
      <c r="NW175">
        <f t="shared" si="639"/>
        <v>0.652088009857034</v>
      </c>
      <c r="NX175">
        <f>各项系数!$M$9*NK175</f>
        <v>0.135358059930372</v>
      </c>
      <c r="NY175">
        <f t="shared" si="640"/>
        <v>0.469600115398289</v>
      </c>
    </row>
    <row r="176" customHeight="1" spans="1:389">
      <c r="A176" s="85"/>
      <c r="B176" s="86"/>
      <c r="C176" s="218"/>
      <c r="D176" s="123" t="s">
        <v>403</v>
      </c>
      <c r="E176" s="77">
        <f t="shared" si="805"/>
        <v>17.52213335</v>
      </c>
      <c r="F176" s="559">
        <f t="shared" si="798"/>
        <v>134.922667214547</v>
      </c>
      <c r="G176" s="23"/>
      <c r="H176" s="23"/>
      <c r="I176" s="174">
        <v>0</v>
      </c>
      <c r="J176" s="23"/>
      <c r="K176" s="23"/>
      <c r="L176" s="118" t="s">
        <v>469</v>
      </c>
      <c r="M176" s="124">
        <f t="shared" si="582"/>
        <v>0.7</v>
      </c>
      <c r="N176" s="124">
        <f t="shared" si="804"/>
        <v>0</v>
      </c>
      <c r="O176" s="69">
        <f t="shared" si="801"/>
        <v>0.08</v>
      </c>
      <c r="P176" s="120">
        <v>0.1</v>
      </c>
      <c r="Q176" s="162">
        <f t="shared" si="806"/>
        <v>0.1</v>
      </c>
      <c r="R176" s="560">
        <v>0.8</v>
      </c>
      <c r="S176" s="171" t="str">
        <f>各项系数!$D$43</f>
        <v>钢带</v>
      </c>
      <c r="T176" s="123">
        <v>0.2</v>
      </c>
      <c r="U176" s="78">
        <v>4</v>
      </c>
      <c r="V176" s="172"/>
      <c r="W176" s="170">
        <f t="shared" ref="W176:W181" si="818">$W$175</f>
        <v>1.8</v>
      </c>
      <c r="X176" s="164">
        <f t="shared" si="807"/>
        <v>0.2</v>
      </c>
      <c r="Y176" s="219"/>
      <c r="Z176" s="220"/>
      <c r="AA176" s="217">
        <v>1</v>
      </c>
      <c r="AB176" s="186">
        <f>PI()*EJ176*EJ176/4*EH176*(1-H176)*AA176*各项系数!$F$5*各项系数!$J$4*10^-7</f>
        <v>0.0126469138144438</v>
      </c>
      <c r="AC176" s="186">
        <f t="shared" si="808"/>
        <v>134.922667214547</v>
      </c>
      <c r="AD176" s="186">
        <f t="shared" si="584"/>
        <v>1.42974872274124</v>
      </c>
      <c r="AE176" s="186">
        <f>POWER(4*EU176/PI()/EG176/10^-7/EH176/(1-H176)/各项系数!$F$5/各项系数!$J$4,0.5)</f>
        <v>134.922667214547</v>
      </c>
      <c r="AF176" s="218">
        <v>1</v>
      </c>
      <c r="AG176" s="85">
        <f>IF(EM176=0,0,PI()*ER176*ER176/4*EP176*(1-K176)*(1+AF176)*各项系数!$F$5*各项系数!$J$4*10^-7)</f>
        <v>0</v>
      </c>
      <c r="AH176" s="85">
        <f t="shared" si="809"/>
        <v>0</v>
      </c>
      <c r="AI176" s="85">
        <f t="shared" si="641"/>
        <v>0</v>
      </c>
      <c r="AJ176" s="85">
        <f>IF(OR(EP176="",EP176=0),0,POWER(4*EW176/PI()/EO176/10^-7/EP176/(1-K176)/各项系数!$F$5/各项系数!$J$4,0.5))</f>
        <v>0</v>
      </c>
      <c r="AK176" s="85" t="str">
        <f t="shared" si="585"/>
        <v>√</v>
      </c>
      <c r="AL176" s="85">
        <f t="shared" si="810"/>
        <v>19.3337210830801</v>
      </c>
      <c r="AM176" s="250">
        <f t="shared" si="811"/>
        <v>1.5</v>
      </c>
      <c r="AN176" s="118" t="s">
        <v>486</v>
      </c>
      <c r="AO176" s="259">
        <f>AP176+各项系数!$M$9*$NK176</f>
        <v>18.9546285128237</v>
      </c>
      <c r="AP176" s="259">
        <f>AQ176*(1+$BI176+(VLOOKUP($AM176,$A$12:$B$323,2,0))+各项系数!$J$6+各项系数!$M$5)*(1+$E$2)</f>
        <v>18.8015265885714</v>
      </c>
      <c r="AQ176" s="260">
        <f>AR176+各项系数!$L$9*$NK176</f>
        <v>18.9952784285426</v>
      </c>
      <c r="AR176" s="260">
        <f>AS176*(1+$BJ176+各项系数!$J$5+各项系数!$L$5)</f>
        <v>18.8421765042904</v>
      </c>
      <c r="AS176" s="260">
        <f t="shared" si="642"/>
        <v>18.2933752468838</v>
      </c>
      <c r="AT176" s="259">
        <f>AU176+各项系数!$M$9*$NM176</f>
        <v>19.8519843433574</v>
      </c>
      <c r="AU176" s="259">
        <f>AV176*(1+$BI176+(VLOOKUP($AM176,$A$12:$B$323,2,0))+各项系数!$J$6+各项系数!$M$5)*(1+$E$2)</f>
        <v>19.6988824191052</v>
      </c>
      <c r="AV176" s="260">
        <f>AW176+各项系数!$L$9*$NM176</f>
        <v>19.901881611543</v>
      </c>
      <c r="AW176" s="260">
        <f>AX176*(1+$BJ176+各项系数!$J$5+各项系数!$L$5)</f>
        <v>19.7487796872907</v>
      </c>
      <c r="AX176" s="260">
        <f t="shared" si="643"/>
        <v>19.1735725119328</v>
      </c>
      <c r="AY176" s="259">
        <f>AZ176+各项系数!$M$9*$NS176</f>
        <v>20.3257403041718</v>
      </c>
      <c r="AZ176" s="259">
        <f>BA176*(1+$BI176+(VLOOKUP($AM176,$A$12:$B$214,2,0))+各项系数!$J$6+各项系数!$M$5)*(1+$E$2)</f>
        <v>20.1667707862164</v>
      </c>
      <c r="BA176" s="260">
        <f>BB176+各项系数!$L$9*$NS176</f>
        <v>20.374591620748</v>
      </c>
      <c r="BB176" s="260">
        <f>BC176*(1+$BJ176+各项系数!$J$5+各项系数!$L$5)</f>
        <v>20.2156221027926</v>
      </c>
      <c r="BC176" s="262">
        <f t="shared" si="644"/>
        <v>19.6268175755268</v>
      </c>
      <c r="BD176" s="259">
        <f>BE176+各项系数!$M$9*$NS176</f>
        <v>21.2322282880647</v>
      </c>
      <c r="BE176" s="259">
        <f>BF176*(1+$BI176+(VLOOKUP($AM176,$A$12:$B$214,2,0))+各项系数!$J$6+各项系数!$M$5)*(1+$E$2)</f>
        <v>21.0732587701093</v>
      </c>
      <c r="BF176" s="260">
        <f>BG176+各项系数!$L$9*$NS176</f>
        <v>21.290421064972</v>
      </c>
      <c r="BG176" s="260">
        <f>BH176*(1+$BJ176+各项系数!$J$5+各项系数!$L$5)</f>
        <v>21.1314515470166</v>
      </c>
      <c r="BH176" s="262">
        <f t="shared" si="645"/>
        <v>20.5159723757443</v>
      </c>
      <c r="BI176" s="277"/>
      <c r="BJ176" s="272">
        <f t="shared" si="800"/>
        <v>0.01</v>
      </c>
      <c r="BK176" s="123" t="s">
        <v>514</v>
      </c>
      <c r="BL176" s="259">
        <f>BM176+各项系数!$M$9*$NM176</f>
        <v>19.2695576469372</v>
      </c>
      <c r="BM176" s="259">
        <f>BN176*(1+$CF176+(VLOOKUP($AM176,$A$12:$B$323,2,0))+各项系数!$J$6+各项系数!$M$5)*(1+$E$2)</f>
        <v>19.116455722685</v>
      </c>
      <c r="BN176" s="260">
        <f>BO176+各项系数!$L$9*$NM176</f>
        <v>19.3134529427005</v>
      </c>
      <c r="BO176" s="260">
        <f>BP176*(1+$CG176+各项系数!$J$5+各项系数!$L$5)</f>
        <v>19.1603510184483</v>
      </c>
      <c r="BP176" s="260">
        <f t="shared" si="646"/>
        <v>18.4234144408157</v>
      </c>
      <c r="BQ176" s="259">
        <f>BR176+各项系数!$M$9*$NM176</f>
        <v>20.0417643640806</v>
      </c>
      <c r="BR176" s="259">
        <f>BS176*(1+$CF176+(VLOOKUP($AM176,$A$12:$B$323,2,0))+各项系数!$J$6+各项系数!$M$5)*(1+$E$2)</f>
        <v>19.8886624398283</v>
      </c>
      <c r="BS176" s="260">
        <f>BT176+各项系数!$L$9*$NM176</f>
        <v>20.0936173366623</v>
      </c>
      <c r="BT176" s="260">
        <f>BU176*(1+$CG176+各项系数!$J$5+各项系数!$L$5)</f>
        <v>19.9405154124101</v>
      </c>
      <c r="BU176" s="260">
        <f t="shared" si="647"/>
        <v>19.1735725119328</v>
      </c>
      <c r="BV176" s="259">
        <f>BW176+各项系数!$M$9*$NT176</f>
        <v>20.5060612091918</v>
      </c>
      <c r="BW176" s="259">
        <f>BX176*(1+$CF176+(VLOOKUP($AM176,$A$12:$B$214,2,0))+各项系数!$J$6+各项系数!$M$5)*(1+$E$2)</f>
        <v>20.3470916912364</v>
      </c>
      <c r="BX176" s="260">
        <f>BY176+各项系数!$L$9*$NT$12</f>
        <v>20.5567707529161</v>
      </c>
      <c r="BY176" s="260">
        <f>BZ176*(1+$CG176+各项系数!$J$5+各项系数!$L$5)</f>
        <v>20.5485073497612</v>
      </c>
      <c r="BZ176" s="262">
        <f t="shared" si="586"/>
        <v>19.7581801440011</v>
      </c>
      <c r="CA176" s="259">
        <f>CB176+各项系数!$M$9*$NT176</f>
        <v>21.2861264702104</v>
      </c>
      <c r="CB176" s="259">
        <f>CC176*(1+$CF176+(VLOOKUP($AM176,$A$12:$B$214,2,0))+各项系数!$J$6+各项系数!$M$5)*(1+$E$2)</f>
        <v>21.127156952255</v>
      </c>
      <c r="CC176" s="260">
        <f>CD176+各项系数!$L$9*$NT$12</f>
        <v>21.344874673929</v>
      </c>
      <c r="CD176" s="260">
        <f>CE176*(1+$CG176+各项系数!$J$5+各项系数!$L$5)</f>
        <v>21.3366112707741</v>
      </c>
      <c r="CE176" s="262">
        <f t="shared" si="648"/>
        <v>20.5159723757443</v>
      </c>
      <c r="CF176" s="277">
        <f t="shared" si="753"/>
        <v>0</v>
      </c>
      <c r="CG176" s="277">
        <f t="shared" si="587"/>
        <v>0.02</v>
      </c>
      <c r="CH176" s="123"/>
      <c r="CI176" s="259">
        <f>CJ176+各项系数!$M$9*$NO176</f>
        <v>21.1803348143269</v>
      </c>
      <c r="CJ176" s="259">
        <f>CK176*(1+$DC176+(VLOOKUP($AM176,$A$12:$B$323,2,0))+各项系数!$J$6+各项系数!$M$5)*(1+$E$2)+各项系数!$M$9*$NK176</f>
        <v>20.9325999513538</v>
      </c>
      <c r="CK176" s="260">
        <f>CL176+各项系数!$L$9*$NO176</f>
        <v>20.9936330845641</v>
      </c>
      <c r="CL176" s="260">
        <f>CM176*(1+$DD176+各项系数!$J$5+各项系数!$L$5)</f>
        <v>20.745898221591</v>
      </c>
      <c r="CM176" s="260">
        <f t="shared" si="588"/>
        <v>20.1416487588262</v>
      </c>
      <c r="CN176" s="259">
        <f>CO176+各项系数!$M$9*$NO176</f>
        <v>21.819324129145</v>
      </c>
      <c r="CO176" s="259">
        <f>CP176*(1+$DC176+(VLOOKUP($AM176,$A$12:$B$323,2,0))+各项系数!$J$6+各项系数!$M$5)*(1+$E$2)+各项系数!$M$9*$NK176</f>
        <v>21.5715892661719</v>
      </c>
      <c r="CP176" s="260">
        <f>CQ176+各项系数!$L$9*$NO176</f>
        <v>21.6392072559301</v>
      </c>
      <c r="CQ176" s="260">
        <f>CR176*(1+$DD176+各项系数!$J$5+各项系数!$L$5)</f>
        <v>21.3914723929571</v>
      </c>
      <c r="CR176" s="260">
        <f t="shared" si="589"/>
        <v>20.7684197989874</v>
      </c>
      <c r="CS176" s="259">
        <f>CT176+各项系数!$M$9*$NU176</f>
        <v>22.6954242608124</v>
      </c>
      <c r="CT176" s="259">
        <f t="shared" si="590"/>
        <v>22.4405378349968</v>
      </c>
      <c r="CU176" s="260">
        <f>CV176+各项系数!$L$9*$NU176</f>
        <v>22.6717900939551</v>
      </c>
      <c r="CV176" s="260">
        <f>CW176*(1+$DD176+各项系数!$J$5+各项系数!$L$5)</f>
        <v>22.4169036681395</v>
      </c>
      <c r="CW176" s="262">
        <f t="shared" si="591"/>
        <v>21.7639841438247</v>
      </c>
      <c r="CX176" s="259">
        <f>CY176+各项系数!$M$9*$NU176</f>
        <v>23.7767929815333</v>
      </c>
      <c r="CY176" s="259">
        <f t="shared" si="592"/>
        <v>23.5219065557177</v>
      </c>
      <c r="CZ176" s="260">
        <f>DA176+各项系数!$L$9*$NU176</f>
        <v>23.7643024406119</v>
      </c>
      <c r="DA176" s="260">
        <f>DB176*(1+$DD176+各项系数!$J$5+各项系数!$L$5)</f>
        <v>23.5094160147963</v>
      </c>
      <c r="DB176" s="262">
        <f t="shared" si="593"/>
        <v>22.8246757425207</v>
      </c>
      <c r="DC176" s="277">
        <f t="shared" si="803"/>
        <v>0</v>
      </c>
      <c r="DD176" s="277">
        <f t="shared" si="594"/>
        <v>0.01</v>
      </c>
      <c r="DE176" s="69" t="s">
        <v>498</v>
      </c>
      <c r="DF176" s="69" t="s">
        <v>513</v>
      </c>
      <c r="DG176" s="259">
        <f>DH176+各项系数!$M$9*$NQ176</f>
        <v>21.5396456525106</v>
      </c>
      <c r="DH176" s="259">
        <f>DI176*(1+$EA176+(VLOOKUP($AM176,$A$12:$B$323,2,0))+各项系数!$J$6+各项系数!$M$5)*(1+$E$2)+各项系数!$M$9*$NK176</f>
        <v>21.2919107895375</v>
      </c>
      <c r="DI176" s="260">
        <f>DJ176+各项系数!$L$9*$NQ176</f>
        <v>21.3566466612298</v>
      </c>
      <c r="DJ176" s="260">
        <f>DK176*(1+$EB176+各项系数!$J$5+各项系数!$L$5)</f>
        <v>21.1089117982567</v>
      </c>
      <c r="DK176" s="260">
        <f t="shared" si="595"/>
        <v>20.2970305752469</v>
      </c>
      <c r="DL176" s="259">
        <f>DM176+各项系数!$M$9*$NQ176</f>
        <v>22.4623434848643</v>
      </c>
      <c r="DM176" s="259">
        <f>DN176*(1+$EA176+(VLOOKUP($AM176,$A$12:$B$323,2,0))+各项系数!$J$6+各项系数!$M$5)*(1+$E$2)+各项系数!$M$9*$NK176</f>
        <v>22.2146086218912</v>
      </c>
      <c r="DN176" s="260">
        <f>DO176+各项系数!$L$9*$NQ176</f>
        <v>22.2888529982208</v>
      </c>
      <c r="DO176" s="260">
        <f>DP176*(1+$EB176+各项系数!$J$5+各项系数!$L$5)</f>
        <v>22.0411181352477</v>
      </c>
      <c r="DP176" s="260">
        <f t="shared" si="596"/>
        <v>21.1933828223536</v>
      </c>
      <c r="DQ176" s="259">
        <f>DR176+各项系数!$M$9*$NV176</f>
        <v>23.0721552458039</v>
      </c>
      <c r="DR176" s="259">
        <f t="shared" si="597"/>
        <v>22.8172688199883</v>
      </c>
      <c r="DS176" s="260">
        <f>DT176+各项系数!$L$9*$NV176</f>
        <v>23.052403333995</v>
      </c>
      <c r="DT176" s="260">
        <f>DU176*(1+$EB176+各项系数!$J$5+各项系数!$L$5)</f>
        <v>22.7975169081794</v>
      </c>
      <c r="DU176" s="262">
        <f t="shared" si="598"/>
        <v>21.9206893347879</v>
      </c>
      <c r="DV176" s="259">
        <f>DW176+各项系数!$M$9*$NV176</f>
        <v>22.56849408964</v>
      </c>
      <c r="DW176" s="259">
        <f t="shared" si="599"/>
        <v>22.3136076638244</v>
      </c>
      <c r="DX176" s="260">
        <f>DY176+各项系数!$L$9*$NV176</f>
        <v>22.5435518931344</v>
      </c>
      <c r="DY176" s="260">
        <f>DZ176*(1+$EB176+各项系数!$J$5+各项系数!$L$5)</f>
        <v>22.2886654673187</v>
      </c>
      <c r="DZ176" s="262">
        <f t="shared" si="600"/>
        <v>21.4314091031911</v>
      </c>
      <c r="EA176" s="277">
        <f t="shared" si="802"/>
        <v>0</v>
      </c>
      <c r="EB176" s="277">
        <f t="shared" si="601"/>
        <v>0.02</v>
      </c>
      <c r="EC176" s="302">
        <f t="shared" si="649"/>
        <v>19</v>
      </c>
      <c r="ED176" s="302" t="str">
        <f t="shared" si="756"/>
        <v>19*1.5</v>
      </c>
      <c r="EE176" s="251">
        <f t="shared" si="812"/>
        <v>1.5</v>
      </c>
      <c r="EF176" s="251">
        <f>LOOKUP(EH176,{1,7,10,14,19,24,30,37,48,61},{1,"1+6","2+8","4+10","1+6+12","2+8+14","4+10+16","1+6+12+18","3+9+15+21","1+6+12+18+24"})</f>
        <v>1</v>
      </c>
      <c r="EG176" s="250">
        <f t="shared" si="602"/>
        <v>19</v>
      </c>
      <c r="EH176" s="260">
        <f>VLOOKUP(EE176,各项系数!$B$87:$C$124,2,0)</f>
        <v>1</v>
      </c>
      <c r="EI176" s="250">
        <f>IF(EH176=0,0,VLOOKUP(EH176,各项系数!$D$142:$E$195,2,0))*1</f>
        <v>1</v>
      </c>
      <c r="EJ176" s="305">
        <f t="shared" si="650"/>
        <v>134.922667214547</v>
      </c>
      <c r="EK176" s="251">
        <f t="shared" si="813"/>
        <v>0</v>
      </c>
      <c r="EL176" s="251">
        <f t="shared" si="603"/>
        <v>0</v>
      </c>
      <c r="EM176" s="251">
        <f t="shared" si="814"/>
        <v>0</v>
      </c>
      <c r="EN176" s="251">
        <f>IF(EP176=0,0,LOOKUP(EP176,{1,7,10,14,19,24,30,37,48,61},{1,"1+6","2+8","4+10","1+6+12","2+8+14","4+10+16","1+6+12+18","3+9+15+21","1+6+12+18+24"}))</f>
        <v>0</v>
      </c>
      <c r="EO176" s="251">
        <f t="shared" si="815"/>
        <v>0</v>
      </c>
      <c r="EP176" s="251">
        <f>IF(EM176=0,0,IF(EM176&lt;10,1,IF(AND(EM176&gt;=10,EM176&lt;=35),7,LOOKUP(EM176,{50,70,95,120,150,185,240,300},{10,14,19,24,30,37,48,61})*1)))</f>
        <v>0</v>
      </c>
      <c r="EQ176" s="251">
        <f>IF(EP176=0,0,VLOOKUP(EP176,各项系数!$D$142:$E$195,2,0))*1</f>
        <v>0</v>
      </c>
      <c r="ER176" s="69">
        <f t="shared" si="816"/>
        <v>0</v>
      </c>
      <c r="ES176" s="566">
        <f t="shared" si="817"/>
        <v>19</v>
      </c>
      <c r="ET176" s="251">
        <f>VLOOKUP(ES176,各项系数!$D$142:$E$195,2,0)*1</f>
        <v>5</v>
      </c>
      <c r="EU176" s="311">
        <f>((各项系数!$F$76/4*$EJ176^2*$EG176*$EH176*1*10^-7)*(1-$H176)*AA176)*(VLOOKUP($EY$9,各项系数!$D$4:$F$143,3,0))*各项系数!$J$4</f>
        <v>0.240291362474432</v>
      </c>
      <c r="EV176" s="312">
        <f>EU176*(VLOOKUP($EY$9,各项系数!$D$4:$F$143,2,0))</f>
        <v>15.7390842420753</v>
      </c>
      <c r="EW176" s="324">
        <f>(IF($EO176=0,0,(各项系数!$F$76/4*$ER176^2*$EO176*$EP176*1*10^-7))*(1-$K176)*$AF176)*(VLOOKUP($EY$9,各项系数!$D$4:$F$143,3,0))*各项系数!$J$4</f>
        <v>0</v>
      </c>
      <c r="EX176" s="325">
        <f>EW176*(VLOOKUP($EY$9,各项系数!$D$4:$F$143,2,0))</f>
        <v>0</v>
      </c>
      <c r="EY176" s="251">
        <f>((各项系数!$F$76/4*$EJ176^2*$EG176*$EH176*1*10^-7)*(1-$H176)*AA176+IF($EO176=0,0,(各项系数!$F$76/4*$ER176^2*$EO176*$EP176*1*10^-7))*(1-$K176)*$AF176)*(VLOOKUP($EY$9,各项系数!$D$4:$F$143,3,0))*各项系数!$J$4</f>
        <v>0.240291362474432</v>
      </c>
      <c r="EZ176" s="123">
        <v>1</v>
      </c>
      <c r="FA176" s="251">
        <f t="shared" si="757"/>
        <v>0.240291362474432</v>
      </c>
      <c r="FB176" s="326">
        <f>FA176*(VLOOKUP($EY$9,各项系数!$D$4:$F$143,2,0))</f>
        <v>15.7390842420753</v>
      </c>
      <c r="FC176" s="327"/>
      <c r="FD176" s="302">
        <f>各项系数!$F$76/4*($MN176^2-MK176^2)*10^-2*(VLOOKUP(L176,各项系数!$D$1:$F$143,3,0))*10^-3*10^2*$EG176*各项系数!$J$4</f>
        <v>0.0937146049996248</v>
      </c>
      <c r="FE176" s="339">
        <f>FD176*VLOOKUP(L176,各项系数!$D$1:$F$143,2,0)</f>
        <v>1.07771795749569</v>
      </c>
      <c r="FF176" s="250">
        <f>各项系数!$F$76/4*($MO176^2-ML176^2)*10^-2*(VLOOKUP(L176,各项系数!$D$1:$F$143,3,0))*10^-3*10^2*$EO176*各项系数!$J$4</f>
        <v>0</v>
      </c>
      <c r="FG176" s="339">
        <f>FF176*VLOOKUP(L176,各项系数!$D$1:$F$143,2,0)</f>
        <v>0</v>
      </c>
      <c r="FH176" s="302">
        <f t="shared" si="651"/>
        <v>0.0937146049996248</v>
      </c>
      <c r="FI176" s="123">
        <v>1</v>
      </c>
      <c r="FJ176" s="251">
        <f t="shared" si="758"/>
        <v>0.0937146049996248</v>
      </c>
      <c r="FK176" s="339">
        <f>FJ176*VLOOKUP(L176,各项系数!$D$1:$F$143,2,0)</f>
        <v>1.07771795749569</v>
      </c>
      <c r="FL176" s="302"/>
      <c r="FM176" s="123"/>
      <c r="FN176" s="251"/>
      <c r="FO176" s="339"/>
      <c r="FP176" s="364">
        <f t="shared" si="759"/>
        <v>0.0937146049996248</v>
      </c>
      <c r="FQ176" s="364">
        <f t="shared" si="760"/>
        <v>1.07771795749569</v>
      </c>
      <c r="FR176" s="365">
        <f>各项系数!$F$76/4*($MQ176^2-$MN176^2*$EG176-$MO176^2*$EO176)*10^-2</f>
        <v>0.356174012076169</v>
      </c>
      <c r="FS176" s="366">
        <f t="shared" si="652"/>
        <v>1</v>
      </c>
      <c r="FT176" s="367">
        <f t="shared" si="604"/>
        <v>0.356174012076169</v>
      </c>
      <c r="FU176" s="388">
        <f>$FT176*(VLOOKUP($FT$9,各项系数!$D$1:$F$143,3,0))*10^-3*10^2*各项系数!$J$55</f>
        <v>0.0425271770418946</v>
      </c>
      <c r="FV176" s="389">
        <v>1</v>
      </c>
      <c r="FW176" s="390">
        <f t="shared" si="761"/>
        <v>0.0425271770418946</v>
      </c>
      <c r="FX176" s="367">
        <f>FW176*(VLOOKUP($FT$9,各项系数!$D$1:$F$143,2,0))</f>
        <v>0.127581531125684</v>
      </c>
      <c r="FY176" s="388">
        <f>IF($BK176&lt;&gt;$FY$9,0,各项系数!$F$76/4*($MS176^2-$MQ176^2)*10^-2*(VLOOKUP($FY$9,各项系数!$D$1:$F$143,3,0))*10^-3*10^2)*各项系数!$J$4</f>
        <v>0</v>
      </c>
      <c r="FZ176" s="389">
        <v>1</v>
      </c>
      <c r="GA176" s="390">
        <f t="shared" si="762"/>
        <v>0</v>
      </c>
      <c r="GB176" s="367">
        <f>GA176*(VLOOKUP($FY$9,各项系数!$D$1:$F$143,2,0))</f>
        <v>0</v>
      </c>
      <c r="GC176" s="388">
        <f>IF($BK176&lt;&gt;$GC$9,0,各项系数!$F$76/4*($MS176^2-$MQ176^2)*10^-2*(VLOOKUP($GC$9,各项系数!$D$1:$F$143,3,0))*10^-3*10^2)*各项系数!$J$4</f>
        <v>0.00376740905958641</v>
      </c>
      <c r="GD176" s="389">
        <v>1</v>
      </c>
      <c r="GE176" s="390">
        <f t="shared" si="763"/>
        <v>0.00376740905958641</v>
      </c>
      <c r="GF176" s="367">
        <f>GE176*(VLOOKUP($GC$9,各项系数!$D$1:$F$143,2,0))</f>
        <v>0.0485995768686647</v>
      </c>
      <c r="GG176" s="388">
        <f>IF($BK176&lt;&gt;$GG$9,0,各项系数!$F$76/4*($MS176^2-$MQ176^2)*10^-2*(VLOOKUP($GG$9,各项系数!$D$1:$F$143,3,0))*10^-3*10^2)*各项系数!$J$4</f>
        <v>0</v>
      </c>
      <c r="GH176" s="389">
        <v>1</v>
      </c>
      <c r="GI176" s="390">
        <f t="shared" si="764"/>
        <v>0</v>
      </c>
      <c r="GJ176" s="367">
        <f>GI176*(VLOOKUP($GG$9,各项系数!$D$1:$F$143,2,0))</f>
        <v>0</v>
      </c>
      <c r="GK176" s="388">
        <f>IF($BK176&lt;&gt;$GK$9,0,各项系数!$F$76/4*($MS176^2-$MQ176^2)*10^-2*(VLOOKUP($GK$9,各项系数!$D$1:$F$143,3,0))*10^-3*10^2)*各项系数!$J$4</f>
        <v>0</v>
      </c>
      <c r="GL176" s="389">
        <v>1</v>
      </c>
      <c r="GM176" s="390">
        <f t="shared" si="765"/>
        <v>0</v>
      </c>
      <c r="GN176" s="367">
        <f>GM176*(VLOOKUP($GK$9,各项系数!$D$1:$F$143,2,0))</f>
        <v>0</v>
      </c>
      <c r="GO176" s="390">
        <f t="shared" si="766"/>
        <v>0.00376740905958641</v>
      </c>
      <c r="GP176" s="390">
        <f t="shared" si="767"/>
        <v>0.0485995768686647</v>
      </c>
      <c r="GQ176" s="406">
        <f>各项系数!$F$76/4*($MU176^2-$MS176^2)*10^-2*(VLOOKUP($S176,各项系数!$D$1:$F$143,3,0))*10^-3*10^2*各项系数!$J$4</f>
        <v>0.212991061140536</v>
      </c>
      <c r="GR176" s="389">
        <v>1</v>
      </c>
      <c r="GS176" s="390">
        <f t="shared" si="768"/>
        <v>0.212991061140536</v>
      </c>
      <c r="GT176" s="390">
        <f t="shared" si="696"/>
        <v>0</v>
      </c>
      <c r="GU176" s="390">
        <f>ROUND($GS176*(VLOOKUP($S176,各项系数!$D$1:$F$143,2,0))+$E$3*GS176,GT176)</f>
        <v>1</v>
      </c>
      <c r="GV176" s="406">
        <f>各项系数!$F$76/4*($MT176^2-$MS176^2)*10^-2*(VLOOKUP($GV$9,各项系数!$D$1:$F$143,3,0))*10^-3*10^2*各项系数!$J$4*PI()/4*R176</f>
        <v>0.0195586456773036</v>
      </c>
      <c r="GW176" s="389">
        <v>1</v>
      </c>
      <c r="GX176" s="390">
        <f t="shared" si="769"/>
        <v>0.0195586456773036</v>
      </c>
      <c r="GY176" s="390">
        <f>$GX176*(VLOOKUP($GV$9,各项系数!$D$1:$F$143,2,0))</f>
        <v>1.32020858321799</v>
      </c>
      <c r="GZ176" s="406">
        <f>各项系数!$F$76/4*($MV176^2-$MS176^2)*10^-2*(VLOOKUP($GZ$9,各项系数!$D$1:$F$143,3,0))*10^-3*10^2*各项系数!$J$4</f>
        <v>0.128269953198085</v>
      </c>
      <c r="HA176" s="389">
        <v>1</v>
      </c>
      <c r="HB176" s="390">
        <f t="shared" si="653"/>
        <v>0.128269953198085</v>
      </c>
      <c r="HC176" s="390">
        <f>HB176*(VLOOKUP($GZ$9,各项系数!$D$1:$F$143,2,0))</f>
        <v>2.18058920436744</v>
      </c>
      <c r="HD176" s="406">
        <f>各项系数!$F$76/4*($MW176^2-$MT176^2)*10^-2*(VLOOKUP($HD$9,各项系数!$D$1:$F$143,3,0))*10^-3*10^2*各项系数!$J$4</f>
        <v>0.129575322644763</v>
      </c>
      <c r="HE176" s="389">
        <v>1</v>
      </c>
      <c r="HF176" s="390">
        <f t="shared" si="654"/>
        <v>0.129575322644763</v>
      </c>
      <c r="HG176" s="390">
        <f>HF176*(VLOOKUP($HD$9,各项系数!$D$1:$F$143,2,0))</f>
        <v>2.20278048496097</v>
      </c>
      <c r="HH176" s="406">
        <f>各项系数!$F$76/4*($MV176^2-$MS176^2)*10^-2*(VLOOKUP($HH$9,各项系数!$D$1:$F$143,3,0))*10^-3*10^2*各项系数!$J$4</f>
        <v>0.128269953198085</v>
      </c>
      <c r="HI176" s="420">
        <v>1</v>
      </c>
      <c r="HJ176" s="390">
        <f t="shared" si="655"/>
        <v>0.128269953198085</v>
      </c>
      <c r="HK176" s="390">
        <f>HJ176*(VLOOKUP($HH$9,各项系数!$D$1:$F$143,2,0))</f>
        <v>2.18058920436744</v>
      </c>
      <c r="HL176" s="406">
        <f>各项系数!$F$76/4*($MW176^2-$MT176^2)*10^-2*(VLOOKUP($HL$9,各项系数!$D$1:$F$143,3,0))*10^-3*10^2*各项系数!$J$4</f>
        <v>0.129575322644763</v>
      </c>
      <c r="HM176" s="420">
        <v>1</v>
      </c>
      <c r="HN176" s="390">
        <f t="shared" si="605"/>
        <v>0.129575322644763</v>
      </c>
      <c r="HO176" s="390">
        <f>HN176*(VLOOKUP($HL$9,各项系数!$D$1:$F$143,2,0))</f>
        <v>2.20278048496097</v>
      </c>
      <c r="HP176" s="406">
        <f>各项系数!$F$76/4*($MV176^2-$MS176^2)*10^-2*(VLOOKUP(AN176,各项系数!$D$1:$F$143,3,0))*10^-3*10^2*各项系数!$J$4</f>
        <v>0.130039193931851</v>
      </c>
      <c r="HQ176" s="389">
        <v>1</v>
      </c>
      <c r="HR176" s="390">
        <f t="shared" si="770"/>
        <v>0.130039193931851</v>
      </c>
      <c r="HS176" s="390">
        <f>HR176*(VLOOKUP(AN176,各项系数!$D$1:$F$143,2,0))</f>
        <v>1.30039193931851</v>
      </c>
      <c r="HT176" s="406">
        <f>各项系数!$F$76/4*($MW176^2-$MT176^2)*10^-2*(VLOOKUP(AN176,各项系数!$D$1:$F$143,3,0))*10^-3*10^2*各项系数!$J$4</f>
        <v>0.131362568474346</v>
      </c>
      <c r="HU176" s="389">
        <v>1</v>
      </c>
      <c r="HV176" s="390">
        <f t="shared" si="771"/>
        <v>0.131362568474346</v>
      </c>
      <c r="HW176" s="390">
        <f>HV176*(VLOOKUP(AN176,各项系数!$D$1:$F$143,2,0))</f>
        <v>1.31362568474346</v>
      </c>
      <c r="HX176" s="406">
        <f>各项系数!$F$76/4*($MV176^2-$MS176^2)*10^-2*(VLOOKUP($HX$9,各项系数!$D$1:$F$143,3,0))*10^-3*10^2*各项系数!$J$4</f>
        <v>0.130039193931851</v>
      </c>
      <c r="HY176" s="420">
        <v>1</v>
      </c>
      <c r="HZ176" s="390">
        <f t="shared" si="772"/>
        <v>0.130039193931851</v>
      </c>
      <c r="IA176" s="390">
        <f>HZ176*(VLOOKUP($HX$9,各项系数!$D$1:$F$143,2,0))</f>
        <v>1.43043113325036</v>
      </c>
      <c r="IB176" s="406">
        <f>各项系数!$F$76/4*($MW176^2-$MT176^2)*10^-2*(VLOOKUP($IB$9,各项系数!$D$1:$F$143,3,0))*10^-3*10^2*各项系数!$J$4</f>
        <v>0.131362568474346</v>
      </c>
      <c r="IC176" s="420">
        <v>1</v>
      </c>
      <c r="ID176" s="390">
        <f t="shared" si="773"/>
        <v>0.131362568474346</v>
      </c>
      <c r="IE176" s="390">
        <f>ID176*(VLOOKUP($IB$9,各项系数!$D$1:$F$143,2,0))</f>
        <v>1.44498825321781</v>
      </c>
      <c r="IF176" s="429"/>
      <c r="IG176" s="406">
        <f t="shared" si="656"/>
        <v>0.0440777500082307</v>
      </c>
      <c r="IH176" s="389">
        <v>1</v>
      </c>
      <c r="II176" s="390">
        <f t="shared" si="774"/>
        <v>0.0440777500082307</v>
      </c>
      <c r="IJ176" s="390">
        <f>II176*(VLOOKUP($IG$8,各项系数!$D$1:$F$143,2,0))</f>
        <v>1.10194375020577</v>
      </c>
      <c r="IK176" s="406">
        <f>(各项系数!$F$76/4*($MX176^2-$MK176^2)*$EG176)*10^-2*(VLOOKUP($IG$8,各项系数!$D$1:$F$143,3,0))*10^-3*10^2*各项系数!$J$4</f>
        <v>0.0440777500082307</v>
      </c>
      <c r="IL176" s="389">
        <f>IK176*(VLOOKUP($IG$8,各项系数!$D$1:$F$143,2,0))</f>
        <v>1.10194375020577</v>
      </c>
      <c r="IM176" s="390">
        <f>(各项系数!$F$76/4*(($MM176+3*$X176)^2-MM176^2)*$EO176)*10^-2*(VLOOKUP($IG$8,各项系数!$D$1:$F$143,3,0))*10^-3*10^2*各项系数!$J$4</f>
        <v>0</v>
      </c>
      <c r="IN176" s="389">
        <f>IM176*(VLOOKUP($IG$8,各项系数!$D$1:$F$143,2,0))</f>
        <v>0</v>
      </c>
      <c r="IO176" s="406">
        <f>各项系数!$F$76/4*($MZ176^2-$MX176^2)*10^-2*(VLOOKUP(L176,各项系数!$D$1:$F$143,3,0))*10^-3*10^2*$ES176*各项系数!$J$4</f>
        <v>0.12115362081127</v>
      </c>
      <c r="IP176" s="389">
        <v>1</v>
      </c>
      <c r="IQ176" s="390">
        <f t="shared" si="775"/>
        <v>0.12115362081127</v>
      </c>
      <c r="IR176" s="367">
        <f>IQ176*(VLOOKUP(L176,各项系数!$D$1:$F$143,2,0))</f>
        <v>1.3932666393296</v>
      </c>
      <c r="IS176" s="406">
        <f>IF($L176&lt;&gt;$IS$9,0,各项系数!$F$76/4*($MZ176^2-$MX176^2)*10^-2*各项系数!$F$12*10^-3*10^2)*$ES176*各项系数!$J$4</f>
        <v>0</v>
      </c>
      <c r="IT176" s="389">
        <v>1</v>
      </c>
      <c r="IU176" s="390">
        <f t="shared" si="776"/>
        <v>0</v>
      </c>
      <c r="IV176" s="367">
        <f>IU176*各项系数!$E$12</f>
        <v>0</v>
      </c>
      <c r="IW176" s="388">
        <f t="shared" si="777"/>
        <v>0.12115362081127</v>
      </c>
      <c r="IX176" s="388">
        <f t="shared" si="778"/>
        <v>1.3932666393296</v>
      </c>
      <c r="IY176" s="447">
        <f>各项系数!$F$76/4*($NB176^2-$MZ176^2*$EG176-$NA176^2*$EO176)*10^-2</f>
        <v>0.528603717977006</v>
      </c>
      <c r="IZ176" s="366">
        <f t="shared" si="697"/>
        <v>1</v>
      </c>
      <c r="JA176" s="367">
        <f t="shared" si="606"/>
        <v>0.528603717977006</v>
      </c>
      <c r="JB176" s="364">
        <f>IF($DE176&lt;&gt;$JB$9,0,$JA176*各项系数!$F$32*10^-3*10^2)*各项系数!$J$4</f>
        <v>0</v>
      </c>
      <c r="JC176" s="123">
        <v>1</v>
      </c>
      <c r="JD176" s="251">
        <f t="shared" si="779"/>
        <v>0</v>
      </c>
      <c r="JE176" s="339">
        <f>JD176*各项系数!$E$32</f>
        <v>0</v>
      </c>
      <c r="JF176" s="364">
        <f>IF($DE176&lt;&gt;$JF$9,0,$JA176*VLOOKUP($JF$9,各项系数!$D$4:$F$540,2,0)*10^-3*10^2)*各项系数!$J$4</f>
        <v>0.26298034969356</v>
      </c>
      <c r="JG176" s="123">
        <v>1</v>
      </c>
      <c r="JH176" s="251">
        <f t="shared" si="607"/>
        <v>0.26298034969356</v>
      </c>
      <c r="JI176" s="339">
        <f>JH176*VLOOKUP($JF$9,各项系数!$D$4:$F$540,3,0)</f>
        <v>0.315576419632272</v>
      </c>
      <c r="JJ176" s="364">
        <f t="shared" si="780"/>
        <v>0.26298034969356</v>
      </c>
      <c r="JK176" s="251">
        <f t="shared" si="781"/>
        <v>0.315576419632272</v>
      </c>
      <c r="JL176" s="364">
        <f>IF($DF176&lt;&gt;$JL$9,0,各项系数!$F$76/4*($NE176^2-$NC176^2)*10^-2*各项系数!$F$39*10^-3*10^2)*各项系数!$J$4</f>
        <v>0.00189797716885288</v>
      </c>
      <c r="JM176" s="123">
        <v>1</v>
      </c>
      <c r="JN176" s="251">
        <f t="shared" si="782"/>
        <v>0.00189797716885288</v>
      </c>
      <c r="JO176" s="339">
        <f>JN176*各项系数!$E$39</f>
        <v>0.0379595433770577</v>
      </c>
      <c r="JP176" s="364">
        <f>IF($DF176&lt;&gt;$JP$9,0,各项系数!$F$76/4*($NE176^2-$NC176^2)*10^-2*各项系数!$F$36*10^-3*10^2)*各项系数!$J$4</f>
        <v>0</v>
      </c>
      <c r="JQ176" s="123">
        <v>1</v>
      </c>
      <c r="JR176" s="251">
        <f t="shared" si="783"/>
        <v>0</v>
      </c>
      <c r="JS176" s="339">
        <f>JR176*各项系数!$E$36</f>
        <v>0</v>
      </c>
      <c r="JT176" s="364">
        <f>IF($DF176&lt;&gt;$JT$9,0,各项系数!$F$76/4*($NE176^2-$NC176^2)*10^-2*各项系数!$F$40*10^-3*10^2)*各项系数!$J$4</f>
        <v>0</v>
      </c>
      <c r="JU176" s="123">
        <v>1</v>
      </c>
      <c r="JV176" s="251">
        <f t="shared" si="784"/>
        <v>0</v>
      </c>
      <c r="JW176" s="339">
        <f>JV176*各项系数!$E$40</f>
        <v>0</v>
      </c>
      <c r="JX176" s="364">
        <f>IF($DF176&lt;&gt;$JX$9,0,各项系数!$F$76/4*($NE176^2-$NC176^2)*10^-2*各项系数!$F$38*10^-3*10^2)*各项系数!$J$4</f>
        <v>0</v>
      </c>
      <c r="JY176" s="123">
        <v>1</v>
      </c>
      <c r="JZ176" s="251">
        <f t="shared" si="785"/>
        <v>0</v>
      </c>
      <c r="KA176" s="339">
        <f>JZ176*各项系数!$E$38</f>
        <v>0</v>
      </c>
      <c r="KB176" s="364">
        <f>IF($DF176&lt;&gt;$KB$9,0,各项系数!$F$76/4*($NE176^2-$NC176^2)*10^-2*各项系数!$F$41*10^-3*10^2)*各项系数!$J$4</f>
        <v>0</v>
      </c>
      <c r="KC176" s="123">
        <v>1</v>
      </c>
      <c r="KD176" s="251">
        <f t="shared" si="786"/>
        <v>0</v>
      </c>
      <c r="KE176" s="339">
        <f>KD176*各项系数!$E$41</f>
        <v>0</v>
      </c>
      <c r="KF176" s="251">
        <f t="shared" si="787"/>
        <v>0.00189797716885288</v>
      </c>
      <c r="KG176" s="251">
        <f t="shared" si="788"/>
        <v>0.0379595433770577</v>
      </c>
      <c r="KH176" s="302">
        <f>各项系数!$F$76/4*($NG176^2-$NE176^2)*10^-2*各项系数!$F$44*10^-3*10^2*各项系数!$J$4*0.75*$U176</f>
        <v>0.773789039110182</v>
      </c>
      <c r="KI176" s="123">
        <v>1</v>
      </c>
      <c r="KJ176" s="251">
        <f t="shared" si="789"/>
        <v>0.773789039110182</v>
      </c>
      <c r="KK176" s="251">
        <f>ROUND(KJ176*各项系数!$E$43,GT176)</f>
        <v>4</v>
      </c>
      <c r="KL176" s="302">
        <f>各项系数!$F$76/4*($NF176^2-$NE176^2)*10^-2*各项系数!$F$46*10^-3*10^2*各项系数!$J$4*PI()/4*R176</f>
        <v>0.0238385428084972</v>
      </c>
      <c r="KM176" s="123">
        <v>1</v>
      </c>
      <c r="KN176" s="251">
        <f t="shared" si="790"/>
        <v>0.0238385428084972</v>
      </c>
      <c r="KO176" s="251">
        <f>KN176*各项系数!$E$46</f>
        <v>1.60910163957356</v>
      </c>
      <c r="KP176" s="302">
        <f>各项系数!$F$76/4*($NH176^2-$NE176^2)*10^-2*(VLOOKUP($KP$9,各项系数!$D$1:$F$143,3,0))*10^-3*10^2*各项系数!$J$4</f>
        <v>0.153267778101976</v>
      </c>
      <c r="KQ176" s="123">
        <v>1</v>
      </c>
      <c r="KR176" s="251">
        <f t="shared" si="657"/>
        <v>0.153267778101976</v>
      </c>
      <c r="KS176" s="251">
        <f>KR176*(VLOOKUP($KP$9,各项系数!$D$1:$F$143,2,0))</f>
        <v>2.60555222773359</v>
      </c>
      <c r="KT176" s="302">
        <f>各项系数!$F$76/4*($NI176^2-$NF176^2)*10^-2*(VLOOKUP($KT$9,各项系数!$D$1:$F$143,3,0))*10^-3*10^2*各项系数!$J$4</f>
        <v>0.154573147548654</v>
      </c>
      <c r="KU176" s="123">
        <v>1</v>
      </c>
      <c r="KV176" s="251">
        <f t="shared" si="658"/>
        <v>0.154573147548654</v>
      </c>
      <c r="KW176" s="251">
        <f>KV176*(VLOOKUP($KT$9,各项系数!$D$1:$F$143,2,0))</f>
        <v>2.62774350832713</v>
      </c>
      <c r="KX176" s="251">
        <f>各项系数!$F$76/4*($NH176^2-$NE176^2)*10^-2*(VLOOKUP($KX$9,各项系数!$D$1:$F$143,3,0))*10^-3*10^2*各项系数!$J$4</f>
        <v>0.153267778101976</v>
      </c>
      <c r="KY176" s="479">
        <v>1</v>
      </c>
      <c r="KZ176" s="251">
        <f t="shared" si="659"/>
        <v>0.153267778101976</v>
      </c>
      <c r="LA176" s="251">
        <f>KZ176*(VLOOKUP($KX$9,各项系数!$D$1:$F$143,2,0))</f>
        <v>2.60555222773359</v>
      </c>
      <c r="LB176" s="251">
        <f>各项系数!$F$76/4*($NI176^2-$NF176^2)*10^-2*(VLOOKUP($LB$9,各项系数!$D$1:$F$143,3,0))*10^-3*10^2*各项系数!$J$4</f>
        <v>0.154573147548654</v>
      </c>
      <c r="LC176" s="479">
        <v>1</v>
      </c>
      <c r="LD176" s="251">
        <f t="shared" si="660"/>
        <v>0.154573147548654</v>
      </c>
      <c r="LE176" s="251">
        <f>LD176*(VLOOKUP($LB$9,各项系数!$D$1:$F$143,2,0))</f>
        <v>2.62774350832713</v>
      </c>
      <c r="LF176" s="302">
        <f>各项系数!$F$76/4*($NH176^2-$NE176^2)*10^-2*(VLOOKUP(AN176,各项系数!$D$1:$F$143,3,0))*10^-3*10^2*各项系数!$J$4</f>
        <v>0.155381816420624</v>
      </c>
      <c r="LG176" s="123">
        <v>1</v>
      </c>
      <c r="LH176" s="251">
        <f t="shared" si="791"/>
        <v>0.155381816420624</v>
      </c>
      <c r="LI176" s="251">
        <f>LH176*(VLOOKUP(AN176,各项系数!$D$1:$F$143,2,0))</f>
        <v>1.55381816420624</v>
      </c>
      <c r="LJ176" s="302">
        <f>各项系数!$F$76/4*($NI176^2-$NF176^2)*10^-2*(VLOOKUP(AN176,各项系数!$D$1:$F$143,3,0))*10^-3*10^2*各项系数!$J$4</f>
        <v>0.156705190963119</v>
      </c>
      <c r="LK176" s="123">
        <v>1</v>
      </c>
      <c r="LL176" s="251">
        <f t="shared" si="792"/>
        <v>0.156705190963119</v>
      </c>
      <c r="LM176" s="251">
        <f>LL176*(VLOOKUP(AN176,各项系数!$D$1:$F$143,2,0))</f>
        <v>1.56705190963119</v>
      </c>
      <c r="LN176" s="251">
        <f>各项系数!$F$76/4*($NH176^2-$NE176^2)*10^-2*(VLOOKUP($LN$9,各项系数!$D$1:$F$143,3,0))*10^-3*10^2*各项系数!$J$4</f>
        <v>0.155381816420624</v>
      </c>
      <c r="LO176" s="479">
        <v>1</v>
      </c>
      <c r="LP176" s="251">
        <f t="shared" si="793"/>
        <v>0.155381816420624</v>
      </c>
      <c r="LQ176" s="251">
        <f>LP176*(VLOOKUP($LN$9,各项系数!$D$1:$F$143,2,0))</f>
        <v>1.70919998062686</v>
      </c>
      <c r="LR176" s="251">
        <f>各项系数!$F$76/4*($NI176^2-$NF176^2)*10^-2*(VLOOKUP($LR$9,各项系数!$D$1:$F$143,3,0))*10^-3*10^2*各项系数!$J$4</f>
        <v>0.156705190963119</v>
      </c>
      <c r="LS176" s="479">
        <v>1</v>
      </c>
      <c r="LT176" s="251">
        <f t="shared" si="794"/>
        <v>0.156705190963119</v>
      </c>
      <c r="LU176" s="251">
        <f>LT176*(VLOOKUP($LR$9,各项系数!$D$1:$F$143,2,0))</f>
        <v>1.7237571005943</v>
      </c>
      <c r="LV176" s="499">
        <f t="shared" si="661"/>
        <v>27.16522565</v>
      </c>
      <c r="LW176" s="499">
        <f t="shared" si="662"/>
        <v>27.16522565</v>
      </c>
      <c r="LX176" s="499">
        <f t="shared" si="663"/>
        <v>5.88114270692643</v>
      </c>
      <c r="LY176" s="515">
        <f t="shared" si="664"/>
        <v>0</v>
      </c>
      <c r="LZ176" s="516">
        <f t="shared" si="608"/>
        <v>1</v>
      </c>
      <c r="MA176" s="517">
        <f t="shared" si="609"/>
        <v>27.16522565</v>
      </c>
      <c r="MB176" s="517">
        <f t="shared" si="665"/>
        <v>1.34922667</v>
      </c>
      <c r="MC176" s="499">
        <f t="shared" si="666"/>
        <v>0</v>
      </c>
      <c r="MD176" s="499">
        <f t="shared" si="667"/>
        <v>0</v>
      </c>
      <c r="ME176" s="499">
        <f t="shared" si="668"/>
        <v>0</v>
      </c>
      <c r="MF176" s="499">
        <f t="shared" si="669"/>
        <v>0</v>
      </c>
      <c r="MG176" s="516">
        <f t="shared" si="670"/>
        <v>1</v>
      </c>
      <c r="MH176" s="517">
        <f t="shared" si="610"/>
        <v>0</v>
      </c>
      <c r="MI176" s="517">
        <f t="shared" si="671"/>
        <v>0</v>
      </c>
      <c r="MJ176" s="251">
        <f t="shared" si="611"/>
        <v>1.34922667</v>
      </c>
      <c r="MK176" s="251">
        <f t="shared" si="672"/>
        <v>1.34922667</v>
      </c>
      <c r="ML176" s="251">
        <f t="shared" si="795"/>
        <v>0</v>
      </c>
      <c r="MM176" s="251">
        <f t="shared" si="612"/>
        <v>0</v>
      </c>
      <c r="MN176" s="251">
        <f t="shared" si="613"/>
        <v>2.74922667</v>
      </c>
      <c r="MO176" s="251">
        <f t="shared" si="673"/>
        <v>0</v>
      </c>
      <c r="MP176" s="251">
        <f t="shared" si="674"/>
        <v>13.74613335</v>
      </c>
      <c r="MQ176" s="251">
        <f t="shared" si="796"/>
        <v>13.74613335</v>
      </c>
      <c r="MR176" s="314">
        <f t="shared" si="675"/>
        <v>13.74613335</v>
      </c>
      <c r="MS176" s="530">
        <f t="shared" si="614"/>
        <v>13.92213335</v>
      </c>
      <c r="MT176" s="530">
        <f t="shared" si="615"/>
        <v>14.08213335</v>
      </c>
      <c r="MU176" s="530">
        <f t="shared" si="616"/>
        <v>15.12213335</v>
      </c>
      <c r="MV176" s="530">
        <f t="shared" si="617"/>
        <v>17.52213335</v>
      </c>
      <c r="MW176" s="530">
        <f t="shared" si="618"/>
        <v>17.68213335</v>
      </c>
      <c r="MX176" s="326">
        <f t="shared" si="619"/>
        <v>1.94922667</v>
      </c>
      <c r="MY176" s="326">
        <f t="shared" si="620"/>
        <v>0</v>
      </c>
      <c r="MZ176" s="251">
        <f t="shared" si="621"/>
        <v>3.34922667</v>
      </c>
      <c r="NA176" s="251">
        <f t="shared" si="622"/>
        <v>0</v>
      </c>
      <c r="NB176" s="251">
        <f t="shared" si="676"/>
        <v>16.74613335</v>
      </c>
      <c r="NC176" s="326">
        <f t="shared" si="797"/>
        <v>16.74613335</v>
      </c>
      <c r="ND176" s="314">
        <f t="shared" si="677"/>
        <v>16.74613335</v>
      </c>
      <c r="NE176" s="537">
        <f t="shared" si="678"/>
        <v>16.98613335</v>
      </c>
      <c r="NF176" s="530">
        <f t="shared" si="623"/>
        <v>17.14613335</v>
      </c>
      <c r="NG176" s="538">
        <f t="shared" si="624"/>
        <v>18.18613335</v>
      </c>
      <c r="NH176" s="326">
        <f t="shared" si="625"/>
        <v>20.58613335</v>
      </c>
      <c r="NI176" s="530">
        <f t="shared" si="626"/>
        <v>20.74613335</v>
      </c>
      <c r="NK176" s="539">
        <f t="shared" si="627"/>
        <v>0.510339747507389</v>
      </c>
      <c r="NL176" s="539">
        <f t="shared" si="628"/>
        <v>18.2933752468838</v>
      </c>
      <c r="NM176" s="539">
        <f t="shared" si="629"/>
        <v>0.510339747507389</v>
      </c>
      <c r="NN176" s="539">
        <f t="shared" si="630"/>
        <v>18.4234144408157</v>
      </c>
      <c r="NO176" s="539">
        <f t="shared" si="631"/>
        <v>0.82578287657697</v>
      </c>
      <c r="NP176" s="539">
        <f t="shared" si="632"/>
        <v>20.1416487588262</v>
      </c>
      <c r="NQ176" s="539">
        <f t="shared" si="633"/>
        <v>0.82578287657697</v>
      </c>
      <c r="NR176" s="539">
        <f t="shared" si="634"/>
        <v>20.2970305752469</v>
      </c>
      <c r="NS176" s="539">
        <f t="shared" si="635"/>
        <v>0.529898393184693</v>
      </c>
      <c r="NT176" s="539">
        <f t="shared" si="636"/>
        <v>0.529898393184693</v>
      </c>
      <c r="NU176" s="539">
        <f t="shared" si="637"/>
        <v>0.849621419385467</v>
      </c>
      <c r="NV176" s="539">
        <f t="shared" si="638"/>
        <v>0.849621419385467</v>
      </c>
      <c r="NW176">
        <f t="shared" si="639"/>
        <v>0.723330808647925</v>
      </c>
      <c r="NX176">
        <f>各项系数!$M$9*NK176</f>
        <v>0.153101924252217</v>
      </c>
      <c r="NY176">
        <f t="shared" si="640"/>
        <v>0.529898393184693</v>
      </c>
    </row>
    <row r="177" customHeight="1" spans="1:389">
      <c r="A177" s="85"/>
      <c r="B177" s="86"/>
      <c r="C177" s="218"/>
      <c r="D177" s="123" t="s">
        <v>130</v>
      </c>
      <c r="E177" s="77">
        <f t="shared" si="805"/>
        <v>18.42937815</v>
      </c>
      <c r="F177" s="559">
        <f t="shared" si="798"/>
        <v>134.922667214547</v>
      </c>
      <c r="G177" s="23"/>
      <c r="H177" s="23"/>
      <c r="I177" s="174">
        <v>0</v>
      </c>
      <c r="J177" s="23"/>
      <c r="K177" s="23"/>
      <c r="L177" s="118" t="s">
        <v>469</v>
      </c>
      <c r="M177" s="124">
        <f t="shared" si="582"/>
        <v>0.7</v>
      </c>
      <c r="N177" s="124">
        <f t="shared" si="804"/>
        <v>0</v>
      </c>
      <c r="O177" s="69">
        <f t="shared" si="801"/>
        <v>0.08</v>
      </c>
      <c r="P177" s="120">
        <v>0.1</v>
      </c>
      <c r="Q177" s="162">
        <f t="shared" si="806"/>
        <v>0.1</v>
      </c>
      <c r="R177" s="560">
        <v>0.8</v>
      </c>
      <c r="S177" s="171" t="str">
        <f>各项系数!$D$43</f>
        <v>钢带</v>
      </c>
      <c r="T177" s="123">
        <v>0.2</v>
      </c>
      <c r="U177" s="78">
        <v>4</v>
      </c>
      <c r="V177" s="172"/>
      <c r="W177" s="170">
        <f t="shared" si="818"/>
        <v>1.8</v>
      </c>
      <c r="X177" s="164">
        <f t="shared" si="807"/>
        <v>0.2</v>
      </c>
      <c r="Y177" s="219"/>
      <c r="Z177" s="220"/>
      <c r="AA177" s="217">
        <v>1</v>
      </c>
      <c r="AB177" s="186">
        <f>PI()*EJ177*EJ177/4*EH177*(1-H177)*AA177*各项系数!$F$5*各项系数!$J$4*10^-7</f>
        <v>0.0126469138144438</v>
      </c>
      <c r="AC177" s="186">
        <f t="shared" si="808"/>
        <v>134.922667214547</v>
      </c>
      <c r="AD177" s="186">
        <f t="shared" si="584"/>
        <v>1.42974872274124</v>
      </c>
      <c r="AE177" s="186">
        <f>POWER(4*EU177/PI()/EG177/10^-7/EH177/(1-H177)/各项系数!$F$5/各项系数!$J$4,0.5)</f>
        <v>134.922667214547</v>
      </c>
      <c r="AF177" s="218">
        <v>1</v>
      </c>
      <c r="AG177" s="85">
        <f>IF(EM177=0,0,PI()*ER177*ER177/4*EP177*(1-K177)*(1+AF177)*各项系数!$F$5*各项系数!$J$4*10^-7)</f>
        <v>0</v>
      </c>
      <c r="AH177" s="85">
        <f t="shared" si="809"/>
        <v>0</v>
      </c>
      <c r="AI177" s="85">
        <f t="shared" si="641"/>
        <v>0</v>
      </c>
      <c r="AJ177" s="85">
        <f>IF(OR(EP177="",EP177=0),0,POWER(4*EW177/PI()/EO177/10^-7/EP177/(1-K177)/各项系数!$F$5/各项系数!$J$4,0.5))</f>
        <v>0</v>
      </c>
      <c r="AK177" s="85" t="str">
        <f t="shared" si="585"/>
        <v>√</v>
      </c>
      <c r="AL177" s="85">
        <f t="shared" si="810"/>
        <v>20.4145469223041</v>
      </c>
      <c r="AM177" s="250">
        <f t="shared" si="811"/>
        <v>1.5</v>
      </c>
      <c r="AN177" s="118" t="s">
        <v>486</v>
      </c>
      <c r="AO177" s="259">
        <f>AP177+各项系数!$M$9*$NK177</f>
        <v>20.0142616885334</v>
      </c>
      <c r="AP177" s="259">
        <f>AQ177*(1+$BI177+(VLOOKUP($AM177,$A$12:$B$323,2,0))+各项系数!$J$6+各项系数!$M$5)*(1+$E$2)</f>
        <v>19.8484385085608</v>
      </c>
      <c r="AQ177" s="260">
        <f>AR177+各项系数!$L$9*$NK177</f>
        <v>20.0529788932722</v>
      </c>
      <c r="AR177" s="260">
        <f>AS177*(1+$BJ177+各项系数!$J$5+各项系数!$L$5)</f>
        <v>19.8871557132996</v>
      </c>
      <c r="AS177" s="260">
        <f t="shared" si="642"/>
        <v>19.307918168252</v>
      </c>
      <c r="AT177" s="259">
        <f>AU177+各项系数!$M$9*$NM177</f>
        <v>20.9633993856166</v>
      </c>
      <c r="AU177" s="259">
        <f>AV177*(1+$BI177+(VLOOKUP($AM177,$A$12:$B$323,2,0))+各项系数!$J$6+各项系数!$M$5)*(1+$E$2)</f>
        <v>20.797576205644</v>
      </c>
      <c r="AV177" s="260">
        <f>AW177+各项系数!$L$9*$NM177</f>
        <v>21.0118975607638</v>
      </c>
      <c r="AW177" s="260">
        <f>AX177*(1+$BJ177+各项系数!$J$5+各项系数!$L$5)</f>
        <v>20.8460743807912</v>
      </c>
      <c r="AX177" s="260">
        <f t="shared" si="643"/>
        <v>20.2389071658167</v>
      </c>
      <c r="AY177" s="259">
        <f>AZ177+各项系数!$M$9*$NS177</f>
        <v>21.4733382003735</v>
      </c>
      <c r="AZ177" s="259">
        <f>BA177*(1+$BI177+(VLOOKUP($AM177,$A$12:$B$214,2,0))+各项系数!$J$6+各项系数!$M$5)*(1+$E$2)</f>
        <v>21.3012672457822</v>
      </c>
      <c r="BA177" s="260">
        <f>BB177+各项系数!$L$9*$NS177</f>
        <v>21.5207791935565</v>
      </c>
      <c r="BB177" s="260">
        <f>BC177*(1+$BJ177+各项系数!$J$5+各项系数!$L$5)</f>
        <v>21.3487082389652</v>
      </c>
      <c r="BC177" s="262">
        <f t="shared" si="644"/>
        <v>20.7269012028789</v>
      </c>
      <c r="BD177" s="259">
        <f>BE177+各项系数!$M$9*$NS177</f>
        <v>22.4316080508159</v>
      </c>
      <c r="BE177" s="259">
        <f>BF177*(1+$BI177+(VLOOKUP($AM177,$A$12:$B$214,2,0))+各项系数!$J$6+各项系数!$M$5)*(1+$E$2)</f>
        <v>22.2595370962246</v>
      </c>
      <c r="BF177" s="260">
        <f>BG177+各项系数!$L$9*$NS177</f>
        <v>22.4889241222718</v>
      </c>
      <c r="BG177" s="260">
        <f>BH177*(1+$BJ177+各项系数!$J$5+各项系数!$L$5)</f>
        <v>22.3168531676805</v>
      </c>
      <c r="BH177" s="262">
        <f t="shared" si="645"/>
        <v>21.6668477356121</v>
      </c>
      <c r="BI177" s="277"/>
      <c r="BJ177" s="272">
        <f t="shared" si="800"/>
        <v>0.01</v>
      </c>
      <c r="BK177" s="123" t="s">
        <v>514</v>
      </c>
      <c r="BL177" s="259">
        <f>BM177+各项系数!$M$9*$NM177</f>
        <v>20.3469572274358</v>
      </c>
      <c r="BM177" s="259">
        <f>BN177*(1+$CF177+(VLOOKUP($AM177,$A$12:$B$323,2,0))+各项系数!$J$6+各项系数!$M$5)*(1+$E$2)</f>
        <v>20.1811340474632</v>
      </c>
      <c r="BN177" s="260">
        <f>BO177+各项系数!$L$9*$NM177</f>
        <v>20.3891028970127</v>
      </c>
      <c r="BO177" s="260">
        <f>BP177*(1+$CG177+各项系数!$J$5+各项系数!$L$5)</f>
        <v>20.2232797170401</v>
      </c>
      <c r="BP177" s="260">
        <f t="shared" si="646"/>
        <v>19.4454612663847</v>
      </c>
      <c r="BQ177" s="259">
        <f>BR177+各项系数!$M$9*$NM177</f>
        <v>21.1637240887439</v>
      </c>
      <c r="BR177" s="259">
        <f>BS177*(1+$CF177+(VLOOKUP($AM177,$A$12:$B$323,2,0))+各项系数!$J$6+各项系数!$M$5)*(1+$E$2)</f>
        <v>20.9979009087713</v>
      </c>
      <c r="BS177" s="260">
        <f>BT177+各项系数!$L$9*$NM177</f>
        <v>21.214286632422</v>
      </c>
      <c r="BT177" s="260">
        <f>BU177*(1+$CG177+各项系数!$J$5+各项系数!$L$5)</f>
        <v>21.0484634524494</v>
      </c>
      <c r="BU177" s="260">
        <f t="shared" si="647"/>
        <v>20.2389071658167</v>
      </c>
      <c r="BV177" s="259">
        <f>BW177+各项系数!$M$9*$NT177</f>
        <v>21.659304390108</v>
      </c>
      <c r="BW177" s="259">
        <f>BX177*(1+$CF177+(VLOOKUP($AM177,$A$12:$B$214,2,0))+各项系数!$J$6+各项系数!$M$5)*(1+$E$2)</f>
        <v>21.4872334355167</v>
      </c>
      <c r="BX177" s="260">
        <f>BY177+各项系数!$L$9*$NT$12</f>
        <v>21.7086617857312</v>
      </c>
      <c r="BY177" s="260">
        <f>BZ177*(1+$CG177+各项系数!$J$5+各项系数!$L$5)</f>
        <v>21.7003983825762</v>
      </c>
      <c r="BZ177" s="262">
        <f t="shared" si="586"/>
        <v>20.865767675554</v>
      </c>
      <c r="CA177" s="259">
        <f>CB177+各项系数!$M$9*$NT177</f>
        <v>22.4839297952913</v>
      </c>
      <c r="CB177" s="259">
        <f>CC177*(1+$CF177+(VLOOKUP($AM177,$A$12:$B$214,2,0))+各项系数!$J$6+各项系数!$M$5)*(1+$E$2)</f>
        <v>22.3118588407</v>
      </c>
      <c r="CC177" s="260">
        <f>CD177+各项系数!$L$9*$NT$12</f>
        <v>22.5417850481916</v>
      </c>
      <c r="CD177" s="260">
        <f>CE177*(1+$CG177+各项系数!$J$5+各项系数!$L$5)</f>
        <v>22.5335216450366</v>
      </c>
      <c r="CE177" s="262">
        <f t="shared" si="648"/>
        <v>21.6668477356121</v>
      </c>
      <c r="CF177" s="277">
        <f t="shared" si="753"/>
        <v>0</v>
      </c>
      <c r="CG177" s="277">
        <f t="shared" si="587"/>
        <v>0.02</v>
      </c>
      <c r="CH177" s="123"/>
      <c r="CI177" s="259">
        <f>CJ177+各项系数!$M$9*$NO177</f>
        <v>22.4776647129761</v>
      </c>
      <c r="CJ177" s="259">
        <f>CK177*(1+$DC177+(VLOOKUP($AM177,$A$12:$B$323,2,0))+各项系数!$J$6+各项系数!$M$5)*(1+$E$2)+各项系数!$M$9*$NK177</f>
        <v>22.1890724046732</v>
      </c>
      <c r="CK177" s="260">
        <f>CL177+各项系数!$L$9*$NO177</f>
        <v>22.2502012777334</v>
      </c>
      <c r="CL177" s="260">
        <f>CM177*(1+$DD177+各项系数!$J$5+各项系数!$L$5)</f>
        <v>21.9616089694305</v>
      </c>
      <c r="CM177" s="260">
        <f t="shared" si="588"/>
        <v>21.3219504557577</v>
      </c>
      <c r="CN177" s="259">
        <f>CO177+各项系数!$M$9*$NO177</f>
        <v>23.1517398858215</v>
      </c>
      <c r="CO177" s="259">
        <f>CP177*(1+$DC177+(VLOOKUP($AM177,$A$12:$B$323,2,0))+各项系数!$J$6+各项系数!$M$5)*(1+$E$2)+各项系数!$M$9*$NK177</f>
        <v>22.8631475775186</v>
      </c>
      <c r="CP177" s="260">
        <f>CQ177+各项系数!$L$9*$NO177</f>
        <v>22.9312228708284</v>
      </c>
      <c r="CQ177" s="260">
        <f>CR177*(1+$DD177+各项系数!$J$5+各项系数!$L$5)</f>
        <v>22.6426305625254</v>
      </c>
      <c r="CR177" s="260">
        <f t="shared" si="589"/>
        <v>21.9831364684713</v>
      </c>
      <c r="CS177" s="259">
        <f>CT177+各项系数!$M$9*$NU177</f>
        <v>24.0871953255124</v>
      </c>
      <c r="CT177" s="259">
        <f t="shared" si="590"/>
        <v>23.7909883015553</v>
      </c>
      <c r="CU177" s="260">
        <f>CV177+各项系数!$L$9*$NU177</f>
        <v>24.0361571040163</v>
      </c>
      <c r="CV177" s="260">
        <f>CW177*(1+$DD177+各项系数!$J$5+各项系数!$L$5)</f>
        <v>23.7399500800592</v>
      </c>
      <c r="CW177" s="262">
        <f t="shared" si="591"/>
        <v>23.0484952233584</v>
      </c>
      <c r="CX177" s="259">
        <f>CY177+各项系数!$M$9*$NU177</f>
        <v>25.2316469525647</v>
      </c>
      <c r="CY177" s="259">
        <f t="shared" si="592"/>
        <v>24.9354399286076</v>
      </c>
      <c r="CZ177" s="260">
        <f>DA177+各项系数!$L$9*$NU177</f>
        <v>25.1924024334285</v>
      </c>
      <c r="DA177" s="260">
        <f>DB177*(1+$DD177+各项系数!$J$5+各项系数!$L$5)</f>
        <v>24.8961954094715</v>
      </c>
      <c r="DB177" s="262">
        <f t="shared" si="593"/>
        <v>24.1710635043412</v>
      </c>
      <c r="DC177" s="277">
        <f t="shared" si="803"/>
        <v>0</v>
      </c>
      <c r="DD177" s="277">
        <f t="shared" si="594"/>
        <v>0.01</v>
      </c>
      <c r="DE177" s="69" t="s">
        <v>498</v>
      </c>
      <c r="DF177" s="69" t="s">
        <v>513</v>
      </c>
      <c r="DG177" s="259">
        <f>DH177+各项系数!$M$9*$NQ177</f>
        <v>22.8580684468784</v>
      </c>
      <c r="DH177" s="259">
        <f>DI177*(1+$EA177+(VLOOKUP($AM177,$A$12:$B$323,2,0))+各项系数!$J$6+各项系数!$M$5)*(1+$E$2)+各项系数!$M$9*$NK177</f>
        <v>22.5694761385754</v>
      </c>
      <c r="DI177" s="260">
        <f>DJ177+各项系数!$L$9*$NQ177</f>
        <v>22.6345251147735</v>
      </c>
      <c r="DJ177" s="260">
        <f>DK177*(1+$EB177+各项系数!$J$5+各项系数!$L$5)</f>
        <v>22.3459328064705</v>
      </c>
      <c r="DK177" s="260">
        <f t="shared" si="595"/>
        <v>21.4864738523755</v>
      </c>
      <c r="DL177" s="259">
        <f>DM177+各项系数!$M$9*$NQ177</f>
        <v>23.8350513714424</v>
      </c>
      <c r="DM177" s="259">
        <f>DN177*(1+$EA177+(VLOOKUP($AM177,$A$12:$B$323,2,0))+各项系数!$J$6+各项系数!$M$5)*(1+$E$2)+各项系数!$M$9*$NK177</f>
        <v>23.5464590631394</v>
      </c>
      <c r="DN177" s="260">
        <f>DO177+各项系数!$L$9*$NQ177</f>
        <v>23.6215759579378</v>
      </c>
      <c r="DO177" s="260">
        <f>DP177*(1+$EB177+各项系数!$J$5+各项系数!$L$5)</f>
        <v>23.3329836496348</v>
      </c>
      <c r="DP177" s="260">
        <f t="shared" si="596"/>
        <v>22.4355612015719</v>
      </c>
      <c r="DQ177" s="259">
        <f>DR177+各项系数!$M$9*$NV177</f>
        <v>24.4860506706914</v>
      </c>
      <c r="DR177" s="259">
        <f t="shared" si="597"/>
        <v>24.1898436467343</v>
      </c>
      <c r="DS177" s="260">
        <f>DT177+各项系数!$L$9*$NV177</f>
        <v>24.4391226982565</v>
      </c>
      <c r="DT177" s="260">
        <f>DU177*(1+$EB177+各项系数!$J$5+各项系数!$L$5)</f>
        <v>24.1429156742994</v>
      </c>
      <c r="DU177" s="262">
        <f t="shared" si="598"/>
        <v>23.2143419945187</v>
      </c>
      <c r="DV177" s="259">
        <f>DW177+各项系数!$M$9*$NV177</f>
        <v>23.961189473454</v>
      </c>
      <c r="DW177" s="259">
        <f t="shared" si="599"/>
        <v>23.6649824494969</v>
      </c>
      <c r="DX177" s="260">
        <f>DY177+各项系数!$L$9*$NV177</f>
        <v>23.9088527475216</v>
      </c>
      <c r="DY177" s="260">
        <f>DZ177*(1+$EB177+各项系数!$J$5+各项系数!$L$5)</f>
        <v>23.6126457235646</v>
      </c>
      <c r="DZ177" s="262">
        <f t="shared" si="600"/>
        <v>22.704467041889</v>
      </c>
      <c r="EA177" s="277">
        <f t="shared" si="802"/>
        <v>0</v>
      </c>
      <c r="EB177" s="277">
        <f t="shared" si="601"/>
        <v>0.02</v>
      </c>
      <c r="EC177" s="302">
        <f t="shared" si="649"/>
        <v>20</v>
      </c>
      <c r="ED177" s="302" t="str">
        <f t="shared" si="756"/>
        <v>20*1.5</v>
      </c>
      <c r="EE177" s="251">
        <f t="shared" si="812"/>
        <v>1.5</v>
      </c>
      <c r="EF177" s="251">
        <f>LOOKUP(EH177,{1,7,10,14,19,24,30,37,48,61},{1,"1+6","2+8","4+10","1+6+12","2+8+14","4+10+16","1+6+12+18","3+9+15+21","1+6+12+18+24"})</f>
        <v>1</v>
      </c>
      <c r="EG177" s="250">
        <f t="shared" si="602"/>
        <v>20</v>
      </c>
      <c r="EH177" s="260">
        <f>VLOOKUP(EE177,各项系数!$B$87:$C$124,2,0)</f>
        <v>1</v>
      </c>
      <c r="EI177" s="250">
        <f>IF(EH177=0,0,VLOOKUP(EH177,各项系数!$D$142:$E$195,2,0))*1</f>
        <v>1</v>
      </c>
      <c r="EJ177" s="305">
        <f t="shared" si="650"/>
        <v>134.922667214547</v>
      </c>
      <c r="EK177" s="251">
        <f t="shared" si="813"/>
        <v>0</v>
      </c>
      <c r="EL177" s="251">
        <f t="shared" si="603"/>
        <v>0</v>
      </c>
      <c r="EM177" s="251">
        <f t="shared" si="814"/>
        <v>0</v>
      </c>
      <c r="EN177" s="251">
        <f>IF(EP177=0,0,LOOKUP(EP177,{1,7,10,14,19,24,30,37,48,61},{1,"1+6","2+8","4+10","1+6+12","2+8+14","4+10+16","1+6+12+18","3+9+15+21","1+6+12+18+24"}))</f>
        <v>0</v>
      </c>
      <c r="EO177" s="251">
        <f t="shared" si="815"/>
        <v>0</v>
      </c>
      <c r="EP177" s="251">
        <f>IF(EM177=0,0,IF(EM177&lt;10,1,IF(AND(EM177&gt;=10,EM177&lt;=35),7,LOOKUP(EM177,{50,70,95,120,150,185,240,300},{10,14,19,24,30,37,48,61})*1)))</f>
        <v>0</v>
      </c>
      <c r="EQ177" s="251">
        <f>IF(EP177=0,0,VLOOKUP(EP177,各项系数!$D$142:$E$195,2,0))*1</f>
        <v>0</v>
      </c>
      <c r="ER177" s="69">
        <f t="shared" si="816"/>
        <v>0</v>
      </c>
      <c r="ES177" s="566">
        <f t="shared" si="817"/>
        <v>20</v>
      </c>
      <c r="ET177" s="251">
        <f>VLOOKUP(ES177,各项系数!$D$142:$E$195,2,0)*1</f>
        <v>5.33</v>
      </c>
      <c r="EU177" s="311">
        <f>((各项系数!$F$76/4*$EJ177^2*$EG177*$EH177*1*10^-7)*(1-$H177)*AA177)*(VLOOKUP($EY$9,各项系数!$D$4:$F$143,3,0))*各项系数!$J$4</f>
        <v>0.252938276288876</v>
      </c>
      <c r="EV177" s="312">
        <f>EU177*(VLOOKUP($EY$9,各项系数!$D$4:$F$143,2,0))</f>
        <v>16.5674570969214</v>
      </c>
      <c r="EW177" s="324">
        <f>(IF($EO177=0,0,(各项系数!$F$76/4*$ER177^2*$EO177*$EP177*1*10^-7))*(1-$K177)*$AF177)*(VLOOKUP($EY$9,各项系数!$D$4:$F$143,3,0))*各项系数!$J$4</f>
        <v>0</v>
      </c>
      <c r="EX177" s="325">
        <f>EW177*(VLOOKUP($EY$9,各项系数!$D$4:$F$143,2,0))</f>
        <v>0</v>
      </c>
      <c r="EY177" s="251">
        <f>((各项系数!$F$76/4*$EJ177^2*$EG177*$EH177*1*10^-7)*(1-$H177)*AA177+IF($EO177=0,0,(各项系数!$F$76/4*$ER177^2*$EO177*$EP177*1*10^-7))*(1-$K177)*$AF177)*(VLOOKUP($EY$9,各项系数!$D$4:$F$143,3,0))*各项系数!$J$4</f>
        <v>0.252938276288876</v>
      </c>
      <c r="EZ177" s="123">
        <v>1</v>
      </c>
      <c r="FA177" s="251">
        <f t="shared" si="757"/>
        <v>0.252938276288876</v>
      </c>
      <c r="FB177" s="326">
        <f>FA177*(VLOOKUP($EY$9,各项系数!$D$4:$F$143,2,0))</f>
        <v>16.5674570969214</v>
      </c>
      <c r="FC177" s="327"/>
      <c r="FD177" s="302">
        <f>各项系数!$F$76/4*($MN177^2-MK177^2)*10^-2*(VLOOKUP(L177,各项系数!$D$1:$F$143,3,0))*10^-3*10^2*$EG177*各项系数!$J$4</f>
        <v>0.098646952631184</v>
      </c>
      <c r="FE177" s="339">
        <f>FD177*VLOOKUP(L177,各项系数!$D$1:$F$143,2,0)</f>
        <v>1.13443995525862</v>
      </c>
      <c r="FF177" s="250">
        <f>各项系数!$F$76/4*($MO177^2-ML177^2)*10^-2*(VLOOKUP(L177,各项系数!$D$1:$F$143,3,0))*10^-3*10^2*$EO177*各项系数!$J$4</f>
        <v>0</v>
      </c>
      <c r="FG177" s="339">
        <f>FF177*VLOOKUP(L177,各项系数!$D$1:$F$143,2,0)</f>
        <v>0</v>
      </c>
      <c r="FH177" s="302">
        <f t="shared" si="651"/>
        <v>0.098646952631184</v>
      </c>
      <c r="FI177" s="123">
        <v>1</v>
      </c>
      <c r="FJ177" s="251">
        <f t="shared" si="758"/>
        <v>0.098646952631184</v>
      </c>
      <c r="FK177" s="339">
        <f>FJ177*VLOOKUP(L177,各项系数!$D$1:$F$143,2,0)</f>
        <v>1.13443995525862</v>
      </c>
      <c r="FL177" s="302"/>
      <c r="FM177" s="123"/>
      <c r="FN177" s="251"/>
      <c r="FO177" s="339"/>
      <c r="FP177" s="364">
        <f t="shared" si="759"/>
        <v>0.098646952631184</v>
      </c>
      <c r="FQ177" s="364">
        <f t="shared" si="760"/>
        <v>1.13443995525862</v>
      </c>
      <c r="FR177" s="365">
        <f>各项系数!$F$76/4*($MQ177^2-$MN177^2*$EG177-$MO177^2*$EO177)*10^-2</f>
        <v>0.499171941438024</v>
      </c>
      <c r="FS177" s="366">
        <f t="shared" si="652"/>
        <v>1</v>
      </c>
      <c r="FT177" s="367">
        <f t="shared" si="604"/>
        <v>0.499171941438024</v>
      </c>
      <c r="FU177" s="388">
        <f>$FT177*(VLOOKUP($FT$9,各项系数!$D$1:$F$143,3,0))*10^-3*10^2*各项系数!$J$55</f>
        <v>0.0596011298077001</v>
      </c>
      <c r="FV177" s="389">
        <v>1</v>
      </c>
      <c r="FW177" s="390">
        <f t="shared" si="761"/>
        <v>0.0596011298077001</v>
      </c>
      <c r="FX177" s="367">
        <f>FW177*(VLOOKUP($FT$9,各项系数!$D$1:$F$143,2,0))</f>
        <v>0.1788033894231</v>
      </c>
      <c r="FY177" s="388">
        <f>IF($BK177&lt;&gt;$FY$9,0,各项系数!$F$76/4*($MS177^2-$MQ177^2)*10^-2*(VLOOKUP($FY$9,各项系数!$D$1:$F$143,3,0))*10^-3*10^2)*各项系数!$J$4</f>
        <v>0</v>
      </c>
      <c r="FZ177" s="389">
        <v>1</v>
      </c>
      <c r="GA177" s="390">
        <f t="shared" si="762"/>
        <v>0</v>
      </c>
      <c r="GB177" s="367">
        <f>GA177*(VLOOKUP($FY$9,各项系数!$D$1:$F$143,2,0))</f>
        <v>0</v>
      </c>
      <c r="GC177" s="388">
        <f>IF($BK177&lt;&gt;$GC$9,0,各项系数!$F$76/4*($MS177^2-$MQ177^2)*10^-2*(VLOOKUP($GC$9,各项系数!$D$1:$F$143,3,0))*10^-3*10^2)*各项系数!$J$4</f>
        <v>0.0040144763815725</v>
      </c>
      <c r="GD177" s="389">
        <v>1</v>
      </c>
      <c r="GE177" s="390">
        <f t="shared" si="763"/>
        <v>0.0040144763815725</v>
      </c>
      <c r="GF177" s="367">
        <f>GE177*(VLOOKUP($GC$9,各项系数!$D$1:$F$143,2,0))</f>
        <v>0.0517867453222853</v>
      </c>
      <c r="GG177" s="388">
        <f>IF($BK177&lt;&gt;$GG$9,0,各项系数!$F$76/4*($MS177^2-$MQ177^2)*10^-2*(VLOOKUP($GG$9,各项系数!$D$1:$F$143,3,0))*10^-3*10^2)*各项系数!$J$4</f>
        <v>0</v>
      </c>
      <c r="GH177" s="389">
        <v>1</v>
      </c>
      <c r="GI177" s="390">
        <f t="shared" si="764"/>
        <v>0</v>
      </c>
      <c r="GJ177" s="367">
        <f>GI177*(VLOOKUP($GG$9,各项系数!$D$1:$F$143,2,0))</f>
        <v>0</v>
      </c>
      <c r="GK177" s="388">
        <f>IF($BK177&lt;&gt;$GK$9,0,各项系数!$F$76/4*($MS177^2-$MQ177^2)*10^-2*(VLOOKUP($GK$9,各项系数!$D$1:$F$143,3,0))*10^-3*10^2)*各项系数!$J$4</f>
        <v>0</v>
      </c>
      <c r="GL177" s="389">
        <v>1</v>
      </c>
      <c r="GM177" s="390">
        <f t="shared" si="765"/>
        <v>0</v>
      </c>
      <c r="GN177" s="367">
        <f>GM177*(VLOOKUP($GK$9,各项系数!$D$1:$F$143,2,0))</f>
        <v>0</v>
      </c>
      <c r="GO177" s="390">
        <f t="shared" si="766"/>
        <v>0.0040144763815725</v>
      </c>
      <c r="GP177" s="390">
        <f t="shared" si="767"/>
        <v>0.0517867453222853</v>
      </c>
      <c r="GQ177" s="406">
        <f>各项系数!$F$76/4*($MU177^2-$MS177^2)*10^-2*(VLOOKUP($S177,各项系数!$D$1:$F$143,3,0))*10^-3*10^2*各项系数!$J$4</f>
        <v>0.226297303963753</v>
      </c>
      <c r="GR177" s="389">
        <v>1</v>
      </c>
      <c r="GS177" s="390">
        <f t="shared" si="768"/>
        <v>0.226297303963753</v>
      </c>
      <c r="GT177" s="390">
        <f t="shared" si="696"/>
        <v>0</v>
      </c>
      <c r="GU177" s="390">
        <f>ROUND($GS177*(VLOOKUP($S177,各项系数!$D$1:$F$143,2,0))+$E$3*GS177,GT177)</f>
        <v>1</v>
      </c>
      <c r="GV177" s="406">
        <f>各项系数!$F$76/4*($MT177^2-$MS177^2)*10^-2*(VLOOKUP($GV$9,各项系数!$D$1:$F$143,3,0))*10^-3*10^2*各项系数!$J$4*PI()/4*R177</f>
        <v>0.0208259153955837</v>
      </c>
      <c r="GW177" s="389">
        <v>1</v>
      </c>
      <c r="GX177" s="390">
        <f t="shared" si="769"/>
        <v>0.0208259153955837</v>
      </c>
      <c r="GY177" s="390">
        <f>$GX177*(VLOOKUP($GV$9,各项系数!$D$1:$F$143,2,0))</f>
        <v>1.4057492892019</v>
      </c>
      <c r="GZ177" s="406">
        <f>各项系数!$F$76/4*($MV177^2-$MS177^2)*10^-2*(VLOOKUP($GZ$9,各项系数!$D$1:$F$143,3,0))*10^-3*10^2*各项系数!$J$4</f>
        <v>0.135671763464196</v>
      </c>
      <c r="HA177" s="389">
        <v>1</v>
      </c>
      <c r="HB177" s="390">
        <f t="shared" si="653"/>
        <v>0.135671763464196</v>
      </c>
      <c r="HC177" s="390">
        <f>HB177*(VLOOKUP($GZ$9,各项系数!$D$1:$F$143,2,0))</f>
        <v>2.30641997889134</v>
      </c>
      <c r="HD177" s="406">
        <f>各项系数!$F$76/4*($MW177^2-$MT177^2)*10^-2*(VLOOKUP($HD$9,各项系数!$D$1:$F$143,3,0))*10^-3*10^2*各项系数!$J$4</f>
        <v>0.136977132910875</v>
      </c>
      <c r="HE177" s="389">
        <v>1</v>
      </c>
      <c r="HF177" s="390">
        <f t="shared" si="654"/>
        <v>0.136977132910875</v>
      </c>
      <c r="HG177" s="390">
        <f>HF177*(VLOOKUP($HD$9,各项系数!$D$1:$F$143,2,0))</f>
        <v>2.32861125948487</v>
      </c>
      <c r="HH177" s="406">
        <f>各项系数!$F$76/4*($MV177^2-$MS177^2)*10^-2*(VLOOKUP($HH$9,各项系数!$D$1:$F$143,3,0))*10^-3*10^2*各项系数!$J$4</f>
        <v>0.135671763464196</v>
      </c>
      <c r="HI177" s="420">
        <v>1</v>
      </c>
      <c r="HJ177" s="390">
        <f t="shared" si="655"/>
        <v>0.135671763464196</v>
      </c>
      <c r="HK177" s="390">
        <f>HJ177*(VLOOKUP($HH$9,各项系数!$D$1:$F$143,2,0))</f>
        <v>2.30641997889134</v>
      </c>
      <c r="HL177" s="406">
        <f>各项系数!$F$76/4*($MW177^2-$MT177^2)*10^-2*(VLOOKUP($HL$9,各项系数!$D$1:$F$143,3,0))*10^-3*10^2*各项系数!$J$4</f>
        <v>0.136977132910875</v>
      </c>
      <c r="HM177" s="420">
        <v>1</v>
      </c>
      <c r="HN177" s="390">
        <f t="shared" si="605"/>
        <v>0.136977132910875</v>
      </c>
      <c r="HO177" s="390">
        <f>HN177*(VLOOKUP($HL$9,各项系数!$D$1:$F$143,2,0))</f>
        <v>2.32861125948487</v>
      </c>
      <c r="HP177" s="406">
        <f>各项系数!$F$76/4*($MV177^2-$MS177^2)*10^-2*(VLOOKUP(AN177,各项系数!$D$1:$F$143,3,0))*10^-3*10^2*各项系数!$J$4</f>
        <v>0.137543098132668</v>
      </c>
      <c r="HQ177" s="389">
        <v>1</v>
      </c>
      <c r="HR177" s="390">
        <f t="shared" si="770"/>
        <v>0.137543098132668</v>
      </c>
      <c r="HS177" s="390">
        <f>HR177*(VLOOKUP(AN177,各项系数!$D$1:$F$143,2,0))</f>
        <v>1.37543098132668</v>
      </c>
      <c r="HT177" s="406">
        <f>各项系数!$F$76/4*($MW177^2-$MT177^2)*10^-2*(VLOOKUP(AN177,各项系数!$D$1:$F$143,3,0))*10^-3*10^2*各项系数!$J$4</f>
        <v>0.138866472675163</v>
      </c>
      <c r="HU177" s="389">
        <v>1</v>
      </c>
      <c r="HV177" s="390">
        <f t="shared" si="771"/>
        <v>0.138866472675163</v>
      </c>
      <c r="HW177" s="390">
        <f>HV177*(VLOOKUP(AN177,各项系数!$D$1:$F$143,2,0))</f>
        <v>1.38866472675163</v>
      </c>
      <c r="HX177" s="406">
        <f>各项系数!$F$76/4*($MV177^2-$MS177^2)*10^-2*(VLOOKUP($HX$9,各项系数!$D$1:$F$143,3,0))*10^-3*10^2*各项系数!$J$4</f>
        <v>0.137543098132668</v>
      </c>
      <c r="HY177" s="420">
        <v>1</v>
      </c>
      <c r="HZ177" s="390">
        <f t="shared" si="772"/>
        <v>0.137543098132668</v>
      </c>
      <c r="IA177" s="390">
        <f>HZ177*(VLOOKUP($HX$9,各项系数!$D$1:$F$143,2,0))</f>
        <v>1.51297407945935</v>
      </c>
      <c r="IB177" s="406">
        <f>各项系数!$F$76/4*($MW177^2-$MT177^2)*10^-2*(VLOOKUP($IB$9,各项系数!$D$1:$F$143,3,0))*10^-3*10^2*各项系数!$J$4</f>
        <v>0.138866472675163</v>
      </c>
      <c r="IC177" s="420">
        <v>1</v>
      </c>
      <c r="ID177" s="390">
        <f t="shared" si="773"/>
        <v>0.138866472675163</v>
      </c>
      <c r="IE177" s="390">
        <f>ID177*(VLOOKUP($IB$9,各项系数!$D$1:$F$143,2,0))</f>
        <v>1.52753119942679</v>
      </c>
      <c r="IF177" s="429"/>
      <c r="IG177" s="406">
        <f t="shared" si="656"/>
        <v>0.0463976315876112</v>
      </c>
      <c r="IH177" s="389">
        <v>1</v>
      </c>
      <c r="II177" s="390">
        <f t="shared" si="774"/>
        <v>0.0463976315876112</v>
      </c>
      <c r="IJ177" s="390">
        <f>II177*(VLOOKUP($IG$8,各项系数!$D$1:$F$143,2,0))</f>
        <v>1.15994078969028</v>
      </c>
      <c r="IK177" s="406">
        <f>(各项系数!$F$76/4*($MX177^2-$MK177^2)*$EG177)*10^-2*(VLOOKUP($IG$8,各项系数!$D$1:$F$143,3,0))*10^-3*10^2*各项系数!$J$4</f>
        <v>0.0463976315876112</v>
      </c>
      <c r="IL177" s="389">
        <f>IK177*(VLOOKUP($IG$8,各项系数!$D$1:$F$143,2,0))</f>
        <v>1.15994078969028</v>
      </c>
      <c r="IM177" s="390">
        <f>(各项系数!$F$76/4*(($MM177+3*$X177)^2-MM177^2)*$EO177)*10^-2*(VLOOKUP($IG$8,各项系数!$D$1:$F$143,3,0))*10^-3*10^2*各项系数!$J$4</f>
        <v>0</v>
      </c>
      <c r="IN177" s="389">
        <f>IM177*(VLOOKUP($IG$8,各项系数!$D$1:$F$143,2,0))</f>
        <v>0</v>
      </c>
      <c r="IO177" s="406">
        <f>各项系数!$F$76/4*($MZ177^2-$MX177^2)*10^-2*(VLOOKUP(L177,各项系数!$D$1:$F$143,3,0))*10^-3*10^2*$ES177*各项系数!$J$4</f>
        <v>0.127530127169758</v>
      </c>
      <c r="IP177" s="389">
        <v>1</v>
      </c>
      <c r="IQ177" s="390">
        <f t="shared" si="775"/>
        <v>0.127530127169758</v>
      </c>
      <c r="IR177" s="367">
        <f>IQ177*(VLOOKUP(L177,各项系数!$D$1:$F$143,2,0))</f>
        <v>1.46659646245221</v>
      </c>
      <c r="IS177" s="406">
        <f>IF($L177&lt;&gt;$IS$9,0,各项系数!$F$76/4*($MZ177^2-$MX177^2)*10^-2*各项系数!$F$12*10^-3*10^2)*$ES177*各项系数!$J$4</f>
        <v>0</v>
      </c>
      <c r="IT177" s="389">
        <v>1</v>
      </c>
      <c r="IU177" s="390">
        <f t="shared" si="776"/>
        <v>0</v>
      </c>
      <c r="IV177" s="367">
        <f>IU177*各项系数!$E$12</f>
        <v>0</v>
      </c>
      <c r="IW177" s="388">
        <f t="shared" si="777"/>
        <v>0.127530127169758</v>
      </c>
      <c r="IX177" s="388">
        <f t="shared" si="778"/>
        <v>1.46659646245221</v>
      </c>
      <c r="IY177" s="447">
        <f>各项系数!$F$76/4*($NB177^2-$MZ177^2*$EG177-$NA177^2*$EO177)*10^-2</f>
        <v>0.740829300374357</v>
      </c>
      <c r="IZ177" s="366">
        <f t="shared" si="697"/>
        <v>1</v>
      </c>
      <c r="JA177" s="367">
        <f t="shared" si="606"/>
        <v>0.740829300374357</v>
      </c>
      <c r="JB177" s="364">
        <f>IF($DE177&lt;&gt;$JB$9,0,$JA177*各项系数!$F$32*10^-3*10^2)*各项系数!$J$4</f>
        <v>0</v>
      </c>
      <c r="JC177" s="123">
        <v>1</v>
      </c>
      <c r="JD177" s="251">
        <f t="shared" si="779"/>
        <v>0</v>
      </c>
      <c r="JE177" s="339">
        <f>JD177*各项系数!$E$32</f>
        <v>0</v>
      </c>
      <c r="JF177" s="364">
        <f>IF($DE177&lt;&gt;$JF$9,0,$JA177*VLOOKUP($JF$9,各项系数!$D$4:$F$540,2,0)*10^-3*10^2)*各项系数!$J$4</f>
        <v>0.368562576936243</v>
      </c>
      <c r="JG177" s="123">
        <v>1</v>
      </c>
      <c r="JH177" s="251">
        <f t="shared" si="607"/>
        <v>0.368562576936243</v>
      </c>
      <c r="JI177" s="339">
        <f>JH177*VLOOKUP($JF$9,各项系数!$D$4:$F$540,3,0)</f>
        <v>0.442275092323491</v>
      </c>
      <c r="JJ177" s="364">
        <f t="shared" si="780"/>
        <v>0.368562576936243</v>
      </c>
      <c r="JK177" s="251">
        <f t="shared" si="781"/>
        <v>0.442275092323491</v>
      </c>
      <c r="JL177" s="364">
        <f>IF($DF177&lt;&gt;$JL$9,0,各项系数!$F$76/4*($NE177^2-$NC177^2)*10^-2*各项系数!$F$39*10^-3*10^2)*各项系数!$J$4</f>
        <v>0.00202235240963048</v>
      </c>
      <c r="JM177" s="123">
        <v>1</v>
      </c>
      <c r="JN177" s="251">
        <f t="shared" si="782"/>
        <v>0.00202235240963048</v>
      </c>
      <c r="JO177" s="339">
        <f>JN177*各项系数!$E$39</f>
        <v>0.0404470481926097</v>
      </c>
      <c r="JP177" s="364">
        <f>IF($DF177&lt;&gt;$JP$9,0,各项系数!$F$76/4*($NE177^2-$NC177^2)*10^-2*各项系数!$F$36*10^-3*10^2)*各项系数!$J$4</f>
        <v>0</v>
      </c>
      <c r="JQ177" s="123">
        <v>1</v>
      </c>
      <c r="JR177" s="251">
        <f t="shared" si="783"/>
        <v>0</v>
      </c>
      <c r="JS177" s="339">
        <f>JR177*各项系数!$E$36</f>
        <v>0</v>
      </c>
      <c r="JT177" s="364">
        <f>IF($DF177&lt;&gt;$JT$9,0,各项系数!$F$76/4*($NE177^2-$NC177^2)*10^-2*各项系数!$F$40*10^-3*10^2)*各项系数!$J$4</f>
        <v>0</v>
      </c>
      <c r="JU177" s="123">
        <v>1</v>
      </c>
      <c r="JV177" s="251">
        <f t="shared" si="784"/>
        <v>0</v>
      </c>
      <c r="JW177" s="339">
        <f>JV177*各项系数!$E$40</f>
        <v>0</v>
      </c>
      <c r="JX177" s="364">
        <f>IF($DF177&lt;&gt;$JX$9,0,各项系数!$F$76/4*($NE177^2-$NC177^2)*10^-2*各项系数!$F$38*10^-3*10^2)*各项系数!$J$4</f>
        <v>0</v>
      </c>
      <c r="JY177" s="123">
        <v>1</v>
      </c>
      <c r="JZ177" s="251">
        <f t="shared" si="785"/>
        <v>0</v>
      </c>
      <c r="KA177" s="339">
        <f>JZ177*各项系数!$E$38</f>
        <v>0</v>
      </c>
      <c r="KB177" s="364">
        <f>IF($DF177&lt;&gt;$KB$9,0,各项系数!$F$76/4*($NE177^2-$NC177^2)*10^-2*各项系数!$F$41*10^-3*10^2)*各项系数!$J$4</f>
        <v>0</v>
      </c>
      <c r="KC177" s="123">
        <v>1</v>
      </c>
      <c r="KD177" s="251">
        <f t="shared" si="786"/>
        <v>0</v>
      </c>
      <c r="KE177" s="339">
        <f>KD177*各项系数!$E$41</f>
        <v>0</v>
      </c>
      <c r="KF177" s="251">
        <f t="shared" si="787"/>
        <v>0.00202235240963048</v>
      </c>
      <c r="KG177" s="251">
        <f t="shared" si="788"/>
        <v>0.0404470481926097</v>
      </c>
      <c r="KH177" s="302">
        <f>各项系数!$F$76/4*($NG177^2-$NE177^2)*10^-2*各项系数!$F$44*10^-3*10^2*各项系数!$J$4*0.75*$U177</f>
        <v>0.822419758254223</v>
      </c>
      <c r="KI177" s="123">
        <v>1</v>
      </c>
      <c r="KJ177" s="251">
        <f t="shared" si="789"/>
        <v>0.822419758254223</v>
      </c>
      <c r="KK177" s="251">
        <f>ROUND(KJ177*各项系数!$E$43,GT177)</f>
        <v>5</v>
      </c>
      <c r="KL177" s="302">
        <f>各项系数!$F$76/4*($NF177^2-$NE177^2)*10^-2*各项系数!$F$46*10^-3*10^2*各项系数!$J$4*PI()/4*R177</f>
        <v>0.0253823855137148</v>
      </c>
      <c r="KM177" s="123">
        <v>1</v>
      </c>
      <c r="KN177" s="251">
        <f t="shared" si="790"/>
        <v>0.0253823855137148</v>
      </c>
      <c r="KO177" s="251">
        <f>KN177*各项系数!$E$46</f>
        <v>1.71331102217575</v>
      </c>
      <c r="KP177" s="302">
        <f>各项系数!$F$76/4*($NH177^2-$NE177^2)*10^-2*(VLOOKUP($KP$9,各项系数!$D$1:$F$143,3,0))*10^-3*10^2*各项系数!$J$4</f>
        <v>0.162284983058352</v>
      </c>
      <c r="KQ177" s="123">
        <v>1</v>
      </c>
      <c r="KR177" s="251">
        <f t="shared" si="657"/>
        <v>0.162284983058352</v>
      </c>
      <c r="KS177" s="251">
        <f>KR177*(VLOOKUP($KP$9,各项系数!$D$1:$F$143,2,0))</f>
        <v>2.75884471199199</v>
      </c>
      <c r="KT177" s="302">
        <f>各项系数!$F$76/4*($NI177^2-$NF177^2)*10^-2*(VLOOKUP($KT$9,各项系数!$D$1:$F$143,3,0))*10^-3*10^2*各项系数!$J$4</f>
        <v>0.163590352505031</v>
      </c>
      <c r="KU177" s="123">
        <v>1</v>
      </c>
      <c r="KV177" s="251">
        <f t="shared" si="658"/>
        <v>0.163590352505031</v>
      </c>
      <c r="KW177" s="251">
        <f>KV177*(VLOOKUP($KT$9,各项系数!$D$1:$F$143,2,0))</f>
        <v>2.78103599258552</v>
      </c>
      <c r="KX177" s="251">
        <f>各项系数!$F$76/4*($NH177^2-$NE177^2)*10^-2*(VLOOKUP($KX$9,各项系数!$D$1:$F$143,3,0))*10^-3*10^2*各项系数!$J$4</f>
        <v>0.162284983058352</v>
      </c>
      <c r="KY177" s="479">
        <v>1</v>
      </c>
      <c r="KZ177" s="251">
        <f t="shared" si="659"/>
        <v>0.162284983058352</v>
      </c>
      <c r="LA177" s="251">
        <f>KZ177*(VLOOKUP($KX$9,各项系数!$D$1:$F$143,2,0))</f>
        <v>2.75884471199199</v>
      </c>
      <c r="LB177" s="251">
        <f>各项系数!$F$76/4*($NI177^2-$NF177^2)*10^-2*(VLOOKUP($LB$9,各项系数!$D$1:$F$143,3,0))*10^-3*10^2*各项系数!$J$4</f>
        <v>0.163590352505031</v>
      </c>
      <c r="LC177" s="479">
        <v>1</v>
      </c>
      <c r="LD177" s="251">
        <f t="shared" si="660"/>
        <v>0.163590352505031</v>
      </c>
      <c r="LE177" s="251">
        <f>LD177*(VLOOKUP($LB$9,各项系数!$D$1:$F$143,2,0))</f>
        <v>2.78103599258552</v>
      </c>
      <c r="LF177" s="302">
        <f>各项系数!$F$76/4*($NH177^2-$NE177^2)*10^-2*(VLOOKUP(AN177,各项系数!$D$1:$F$143,3,0))*10^-3*10^2*各项系数!$J$4</f>
        <v>0.164523396617778</v>
      </c>
      <c r="LG177" s="123">
        <v>1</v>
      </c>
      <c r="LH177" s="251">
        <f t="shared" si="791"/>
        <v>0.164523396617778</v>
      </c>
      <c r="LI177" s="251">
        <f>LH177*(VLOOKUP(AN177,各项系数!$D$1:$F$143,2,0))</f>
        <v>1.64523396617778</v>
      </c>
      <c r="LJ177" s="302">
        <f>各项系数!$F$76/4*($NI177^2-$NF177^2)*10^-2*(VLOOKUP(AN177,各项系数!$D$1:$F$143,3,0))*10^-3*10^2*各项系数!$J$4</f>
        <v>0.165846771160272</v>
      </c>
      <c r="LK177" s="123">
        <v>1</v>
      </c>
      <c r="LL177" s="251">
        <f t="shared" si="792"/>
        <v>0.165846771160272</v>
      </c>
      <c r="LM177" s="251">
        <f>LL177*(VLOOKUP(AN177,各项系数!$D$1:$F$143,2,0))</f>
        <v>1.65846771160272</v>
      </c>
      <c r="LN177" s="251">
        <f>各项系数!$F$76/4*($NH177^2-$NE177^2)*10^-2*(VLOOKUP($LN$9,各项系数!$D$1:$F$143,3,0))*10^-3*10^2*各项系数!$J$4</f>
        <v>0.164523396617778</v>
      </c>
      <c r="LO177" s="479">
        <v>1</v>
      </c>
      <c r="LP177" s="251">
        <f t="shared" si="793"/>
        <v>0.164523396617778</v>
      </c>
      <c r="LQ177" s="251">
        <f>LP177*(VLOOKUP($LN$9,各项系数!$D$1:$F$143,2,0))</f>
        <v>1.80975736279555</v>
      </c>
      <c r="LR177" s="251">
        <f>各项系数!$F$76/4*($NI177^2-$NF177^2)*10^-2*(VLOOKUP($LR$9,各项系数!$D$1:$F$143,3,0))*10^-3*10^2*各项系数!$J$4</f>
        <v>0.165846771160272</v>
      </c>
      <c r="LS177" s="479">
        <v>1</v>
      </c>
      <c r="LT177" s="251">
        <f t="shared" si="794"/>
        <v>0.165846771160272</v>
      </c>
      <c r="LU177" s="251">
        <f>LT177*(VLOOKUP($LR$9,各项系数!$D$1:$F$143,2,0))</f>
        <v>1.824314482763</v>
      </c>
      <c r="LV177" s="499">
        <f t="shared" si="661"/>
        <v>28.59497436</v>
      </c>
      <c r="LW177" s="499">
        <f t="shared" si="662"/>
        <v>28.59497436</v>
      </c>
      <c r="LX177" s="499">
        <f t="shared" si="663"/>
        <v>6.03392510194153</v>
      </c>
      <c r="LY177" s="515">
        <f t="shared" si="664"/>
        <v>0</v>
      </c>
      <c r="LZ177" s="516">
        <f t="shared" si="608"/>
        <v>1</v>
      </c>
      <c r="MA177" s="517">
        <f t="shared" si="609"/>
        <v>28.59497436</v>
      </c>
      <c r="MB177" s="517">
        <f t="shared" si="665"/>
        <v>1.34922667</v>
      </c>
      <c r="MC177" s="499">
        <f t="shared" si="666"/>
        <v>0</v>
      </c>
      <c r="MD177" s="499">
        <f t="shared" si="667"/>
        <v>0</v>
      </c>
      <c r="ME177" s="499">
        <f t="shared" si="668"/>
        <v>0</v>
      </c>
      <c r="MF177" s="499">
        <f t="shared" si="669"/>
        <v>0</v>
      </c>
      <c r="MG177" s="516">
        <f t="shared" si="670"/>
        <v>1</v>
      </c>
      <c r="MH177" s="517">
        <f t="shared" si="610"/>
        <v>0</v>
      </c>
      <c r="MI177" s="517">
        <f t="shared" si="671"/>
        <v>0</v>
      </c>
      <c r="MJ177" s="251">
        <f t="shared" si="611"/>
        <v>1.34922667</v>
      </c>
      <c r="MK177" s="251">
        <f t="shared" si="672"/>
        <v>1.34922667</v>
      </c>
      <c r="ML177" s="251">
        <f t="shared" si="795"/>
        <v>0</v>
      </c>
      <c r="MM177" s="251">
        <f t="shared" si="612"/>
        <v>0</v>
      </c>
      <c r="MN177" s="251">
        <f t="shared" si="613"/>
        <v>2.74922667</v>
      </c>
      <c r="MO177" s="251">
        <f t="shared" si="673"/>
        <v>0</v>
      </c>
      <c r="MP177" s="251">
        <f t="shared" si="674"/>
        <v>14.65337815</v>
      </c>
      <c r="MQ177" s="251">
        <f t="shared" si="796"/>
        <v>14.65337815</v>
      </c>
      <c r="MR177" s="314">
        <f t="shared" si="675"/>
        <v>14.65337815</v>
      </c>
      <c r="MS177" s="530">
        <f t="shared" si="614"/>
        <v>14.82937815</v>
      </c>
      <c r="MT177" s="530">
        <f t="shared" si="615"/>
        <v>14.98937815</v>
      </c>
      <c r="MU177" s="530">
        <f t="shared" si="616"/>
        <v>16.02937815</v>
      </c>
      <c r="MV177" s="530">
        <f t="shared" si="617"/>
        <v>18.42937815</v>
      </c>
      <c r="MW177" s="530">
        <f t="shared" si="618"/>
        <v>18.58937815</v>
      </c>
      <c r="MX177" s="326">
        <f t="shared" si="619"/>
        <v>1.94922667</v>
      </c>
      <c r="MY177" s="326">
        <f t="shared" si="620"/>
        <v>0</v>
      </c>
      <c r="MZ177" s="251">
        <f t="shared" si="621"/>
        <v>3.34922667</v>
      </c>
      <c r="NA177" s="251">
        <f t="shared" si="622"/>
        <v>0</v>
      </c>
      <c r="NB177" s="251">
        <f t="shared" si="676"/>
        <v>17.85137815</v>
      </c>
      <c r="NC177" s="326">
        <f t="shared" si="797"/>
        <v>17.85137815</v>
      </c>
      <c r="ND177" s="314">
        <f t="shared" si="677"/>
        <v>17.85137815</v>
      </c>
      <c r="NE177" s="537">
        <f t="shared" si="678"/>
        <v>18.09137815</v>
      </c>
      <c r="NF177" s="530">
        <f t="shared" si="623"/>
        <v>18.25137815</v>
      </c>
      <c r="NG177" s="538">
        <f t="shared" si="624"/>
        <v>19.29137815</v>
      </c>
      <c r="NH177" s="326">
        <f t="shared" si="625"/>
        <v>21.69137815</v>
      </c>
      <c r="NI177" s="530">
        <f t="shared" si="626"/>
        <v>21.85137815</v>
      </c>
      <c r="NK177" s="539">
        <f t="shared" si="627"/>
        <v>0.552743933242</v>
      </c>
      <c r="NL177" s="539">
        <f t="shared" si="628"/>
        <v>19.307918168252</v>
      </c>
      <c r="NM177" s="539">
        <f t="shared" si="629"/>
        <v>0.552743933242</v>
      </c>
      <c r="NN177" s="539">
        <f t="shared" si="630"/>
        <v>19.4454612663847</v>
      </c>
      <c r="NO177" s="539">
        <f t="shared" si="631"/>
        <v>0.961974361009895</v>
      </c>
      <c r="NP177" s="539">
        <f t="shared" si="632"/>
        <v>21.3219504557577</v>
      </c>
      <c r="NQ177" s="539">
        <f t="shared" si="633"/>
        <v>0.961974361009895</v>
      </c>
      <c r="NR177" s="539">
        <f t="shared" si="634"/>
        <v>21.4864738523755</v>
      </c>
      <c r="NS177" s="539">
        <f t="shared" si="635"/>
        <v>0.573569848637584</v>
      </c>
      <c r="NT177" s="539">
        <f t="shared" si="636"/>
        <v>0.573569848637584</v>
      </c>
      <c r="NU177" s="539">
        <f t="shared" si="637"/>
        <v>0.98735674652361</v>
      </c>
      <c r="NV177" s="539">
        <f t="shared" si="638"/>
        <v>0.98735674652361</v>
      </c>
      <c r="NW177">
        <f t="shared" si="639"/>
        <v>0.779041237205753</v>
      </c>
      <c r="NX177">
        <f>各项系数!$M$9*NK177</f>
        <v>0.1658231799726</v>
      </c>
      <c r="NY177">
        <f t="shared" si="640"/>
        <v>0.573569848637584</v>
      </c>
    </row>
    <row r="178" customHeight="1" spans="1:389">
      <c r="A178" s="85"/>
      <c r="B178" s="86"/>
      <c r="C178" s="218"/>
      <c r="D178" s="123" t="s">
        <v>140</v>
      </c>
      <c r="E178" s="77">
        <f t="shared" si="805"/>
        <v>20.27136002</v>
      </c>
      <c r="F178" s="559">
        <f t="shared" si="798"/>
        <v>134.922667214547</v>
      </c>
      <c r="G178" s="23"/>
      <c r="H178" s="23"/>
      <c r="I178" s="174">
        <v>0</v>
      </c>
      <c r="J178" s="23"/>
      <c r="K178" s="23"/>
      <c r="L178" s="118" t="s">
        <v>469</v>
      </c>
      <c r="M178" s="124">
        <f t="shared" si="582"/>
        <v>0.7</v>
      </c>
      <c r="N178" s="124">
        <f t="shared" si="804"/>
        <v>0</v>
      </c>
      <c r="O178" s="69">
        <f t="shared" ref="O178:O187" si="819">$O$36</f>
        <v>0.08</v>
      </c>
      <c r="P178" s="120">
        <v>0.1</v>
      </c>
      <c r="Q178" s="162">
        <f t="shared" si="806"/>
        <v>0.1</v>
      </c>
      <c r="R178" s="560">
        <v>0.8</v>
      </c>
      <c r="S178" s="171" t="str">
        <f>各项系数!$D$43</f>
        <v>钢带</v>
      </c>
      <c r="T178" s="123">
        <v>0.2</v>
      </c>
      <c r="U178" s="78">
        <v>4</v>
      </c>
      <c r="V178" s="172"/>
      <c r="W178" s="170">
        <f t="shared" si="818"/>
        <v>1.8</v>
      </c>
      <c r="X178" s="164">
        <f t="shared" si="807"/>
        <v>0.2</v>
      </c>
      <c r="Y178" s="219"/>
      <c r="Z178" s="220"/>
      <c r="AA178" s="217">
        <v>1</v>
      </c>
      <c r="AB178" s="186">
        <f>PI()*EJ178*EJ178/4*EH178*(1-H178)*AA178*各项系数!$F$5*各项系数!$J$4*10^-7</f>
        <v>0.0126469138144438</v>
      </c>
      <c r="AC178" s="186">
        <f t="shared" si="808"/>
        <v>134.922667214547</v>
      </c>
      <c r="AD178" s="186">
        <f t="shared" si="584"/>
        <v>1.42974872274124</v>
      </c>
      <c r="AE178" s="186">
        <f>POWER(4*EU178/PI()/EG178/10^-7/EH178/(1-H178)/各项系数!$F$5/各项系数!$J$4,0.5)</f>
        <v>134.922667214547</v>
      </c>
      <c r="AF178" s="218">
        <v>1</v>
      </c>
      <c r="AG178" s="85">
        <f>IF(EM178=0,0,PI()*ER178*ER178/4*EP178*(1-K178)*(1+AF178)*各项系数!$F$5*各项系数!$J$4*10^-7)</f>
        <v>0</v>
      </c>
      <c r="AH178" s="85">
        <f t="shared" si="809"/>
        <v>0</v>
      </c>
      <c r="AI178" s="85">
        <f t="shared" si="641"/>
        <v>0</v>
      </c>
      <c r="AJ178" s="85">
        <f>IF(OR(EP178="",EP178=0),0,POWER(4*EW178/PI()/EO178/10^-7/EP178/(1-K178)/各项系数!$F$5/各项系数!$J$4,0.5))</f>
        <v>0</v>
      </c>
      <c r="AK178" s="85" t="str">
        <f t="shared" si="585"/>
        <v>√</v>
      </c>
      <c r="AL178" s="85">
        <f t="shared" si="810"/>
        <v>24.4085872833701</v>
      </c>
      <c r="AM178" s="250">
        <f t="shared" si="811"/>
        <v>1.5</v>
      </c>
      <c r="AN178" s="118" t="s">
        <v>486</v>
      </c>
      <c r="AO178" s="259">
        <f>AP178+各项系数!$M$9*$NK178</f>
        <v>23.9299875327158</v>
      </c>
      <c r="AP178" s="259">
        <f>AQ178*(1+$BI178+(VLOOKUP($AM178,$A$12:$B$323,2,0))+各项系数!$J$6+各项系数!$M$5)*(1+$E$2)</f>
        <v>23.7307122254255</v>
      </c>
      <c r="AQ178" s="260">
        <f>AR178+各项系数!$L$9*$NK178</f>
        <v>23.9752598761623</v>
      </c>
      <c r="AR178" s="260">
        <f>AS178*(1+$BJ178+各项系数!$J$5+各项系数!$L$5)</f>
        <v>23.775984568872</v>
      </c>
      <c r="AS178" s="260">
        <f t="shared" si="642"/>
        <v>23.0834801639534</v>
      </c>
      <c r="AT178" s="259">
        <f>AU178+各项系数!$M$9*$NM178</f>
        <v>24.9842581105592</v>
      </c>
      <c r="AU178" s="259">
        <f>AV178*(1+$BI178+(VLOOKUP($AM178,$A$12:$B$323,2,0))+各项系数!$J$6+各项系数!$M$5)*(1+$E$2)</f>
        <v>24.7849828032689</v>
      </c>
      <c r="AV178" s="260">
        <f>AW178+各项系数!$L$9*$NM178</f>
        <v>25.0403948305404</v>
      </c>
      <c r="AW178" s="260">
        <f>AX178*(1+$BJ178+各项系数!$J$5+各项系数!$L$5)</f>
        <v>24.8411195232501</v>
      </c>
      <c r="AX178" s="260">
        <f t="shared" si="643"/>
        <v>24.1175917701457</v>
      </c>
      <c r="AY178" s="259">
        <f>AZ178+各项系数!$M$9*$NS178</f>
        <v>25.5676590834538</v>
      </c>
      <c r="AZ178" s="259">
        <f>BA178*(1+$BI178+(VLOOKUP($AM178,$A$12:$B$214,2,0))+各项系数!$J$6+各项系数!$M$5)*(1+$E$2)</f>
        <v>25.3613641190786</v>
      </c>
      <c r="BA178" s="260">
        <f>BB178+各项系数!$L$9*$NS178</f>
        <v>25.6227158204471</v>
      </c>
      <c r="BB178" s="260">
        <f>BC178*(1+$BJ178+各项系数!$J$5+各项系数!$L$5)</f>
        <v>25.416420856072</v>
      </c>
      <c r="BC178" s="262">
        <f t="shared" si="644"/>
        <v>24.6761367534679</v>
      </c>
      <c r="BD178" s="259">
        <f>BE178+各项系数!$M$9*$NS178</f>
        <v>26.6310618146563</v>
      </c>
      <c r="BE178" s="259">
        <f>BF178*(1+$BI178+(VLOOKUP($AM178,$A$12:$B$214,2,0))+各项系数!$J$6+各项系数!$M$5)*(1+$E$2)</f>
        <v>26.4247668502812</v>
      </c>
      <c r="BF178" s="260">
        <f>BG178+各项系数!$L$9*$NS178</f>
        <v>26.6970770360489</v>
      </c>
      <c r="BG178" s="260">
        <f>BH178*(1+$BJ178+各项系数!$J$5+各项系数!$L$5)</f>
        <v>26.4907820716737</v>
      </c>
      <c r="BH178" s="262">
        <f t="shared" si="645"/>
        <v>25.7192058948288</v>
      </c>
      <c r="BI178" s="277"/>
      <c r="BJ178" s="272">
        <f t="shared" si="800"/>
        <v>0.01</v>
      </c>
      <c r="BK178" s="123" t="s">
        <v>514</v>
      </c>
      <c r="BL178" s="259">
        <f>BM178+各项系数!$M$9*$NM178</f>
        <v>24.3157365766999</v>
      </c>
      <c r="BM178" s="259">
        <f>BN178*(1+$CF178+(VLOOKUP($AM178,$A$12:$B$323,2,0))+各项系数!$J$6+各项系数!$M$5)*(1+$E$2)</f>
        <v>24.1164612694096</v>
      </c>
      <c r="BN178" s="260">
        <f>BO178+各项系数!$L$9*$NM178</f>
        <v>24.3649841073041</v>
      </c>
      <c r="BO178" s="260">
        <f>BP178*(1+$CG178+各项系数!$J$5+各项系数!$L$5)</f>
        <v>24.1657088000137</v>
      </c>
      <c r="BP178" s="260">
        <f t="shared" si="646"/>
        <v>23.2362584615517</v>
      </c>
      <c r="BQ178" s="259">
        <f>BR178+各项系数!$M$9*$NM178</f>
        <v>25.2229740339001</v>
      </c>
      <c r="BR178" s="259">
        <f>BS178*(1+$CF178+(VLOOKUP($AM178,$A$12:$B$323,2,0))+各项系数!$J$6+各项系数!$M$5)*(1+$E$2)</f>
        <v>25.0236987266098</v>
      </c>
      <c r="BS178" s="260">
        <f>BT178+各项系数!$L$9*$NM178</f>
        <v>25.2815707482419</v>
      </c>
      <c r="BT178" s="260">
        <f>BU178*(1+$CG178+各项系数!$J$5+各项系数!$L$5)</f>
        <v>25.0822954409515</v>
      </c>
      <c r="BU178" s="260">
        <f t="shared" si="647"/>
        <v>24.1175917701457</v>
      </c>
      <c r="BV178" s="259">
        <f>BW178+各项系数!$M$9*$NT178</f>
        <v>25.7745228742321</v>
      </c>
      <c r="BW178" s="259">
        <f>BX178*(1+$CF178+(VLOOKUP($AM178,$A$12:$B$214,2,0))+各项系数!$J$6+各项系数!$M$5)*(1+$E$2)</f>
        <v>25.568227909857</v>
      </c>
      <c r="BX178" s="260">
        <f>BY178+各项系数!$L$9*$NT$12</f>
        <v>25.831711365788</v>
      </c>
      <c r="BY178" s="260">
        <f>BZ178*(1+$CG178+各项系数!$J$5+各项系数!$L$5)</f>
        <v>25.823447962633</v>
      </c>
      <c r="BZ178" s="262">
        <f t="shared" si="586"/>
        <v>24.8302384256087</v>
      </c>
      <c r="CA178" s="259">
        <f>CB178+各项系数!$M$9*$NT178</f>
        <v>26.6896188753076</v>
      </c>
      <c r="CB178" s="259">
        <f>CC178*(1+$CF178+(VLOOKUP($AM178,$A$12:$B$214,2,0))+各项系数!$J$6+各项系数!$M$5)*(1+$E$2)</f>
        <v>26.4833239109324</v>
      </c>
      <c r="CC178" s="260">
        <f>CD178+各项系数!$L$9*$NT$12</f>
        <v>26.7562375337769</v>
      </c>
      <c r="CD178" s="260">
        <f>CE178*(1+$CG178+各项系数!$J$5+各项系数!$L$5)</f>
        <v>26.747974130622</v>
      </c>
      <c r="CE178" s="262">
        <f t="shared" si="648"/>
        <v>25.7192058948288</v>
      </c>
      <c r="CF178" s="277">
        <f t="shared" si="753"/>
        <v>0</v>
      </c>
      <c r="CG178" s="277">
        <f t="shared" si="587"/>
        <v>0.02</v>
      </c>
      <c r="CH178" s="123"/>
      <c r="CI178" s="259">
        <f>CJ178+各项系数!$M$9*$NO178</f>
        <v>26.9678276960112</v>
      </c>
      <c r="CJ178" s="259">
        <f>CK178*(1+$DC178+(VLOOKUP($AM178,$A$12:$B$323,2,0))+各项系数!$J$6+各项系数!$M$5)*(1+$E$2)+各项系数!$M$9*$NK178</f>
        <v>26.6007601796405</v>
      </c>
      <c r="CK178" s="260">
        <f>CL178+各项系数!$L$9*$NO178</f>
        <v>26.6735551347243</v>
      </c>
      <c r="CL178" s="260">
        <f>CM178*(1+$DD178+各项系数!$J$5+各项系数!$L$5)</f>
        <v>26.3064876183537</v>
      </c>
      <c r="CM178" s="260">
        <f t="shared" si="588"/>
        <v>25.5402792411201</v>
      </c>
      <c r="CN178" s="259">
        <f>CO178+各项系数!$M$9*$NO178</f>
        <v>27.7131377929204</v>
      </c>
      <c r="CO178" s="259">
        <f>CP178*(1+$DC178+(VLOOKUP($AM178,$A$12:$B$323,2,0))+各项系数!$J$6+各项系数!$M$5)*(1+$E$2)+各项系数!$M$9*$NK178</f>
        <v>27.3460702765497</v>
      </c>
      <c r="CP178" s="260">
        <f>CQ178+各项系数!$L$9*$NO178</f>
        <v>27.4265457357642</v>
      </c>
      <c r="CQ178" s="260">
        <f>CR178*(1+$DD178+各项系数!$J$5+各项系数!$L$5)</f>
        <v>27.0594782193935</v>
      </c>
      <c r="CR178" s="260">
        <f t="shared" si="589"/>
        <v>26.2713380770811</v>
      </c>
      <c r="CS178" s="259">
        <f>CT178+各项系数!$M$9*$NU178</f>
        <v>28.7614783712093</v>
      </c>
      <c r="CT178" s="259">
        <f t="shared" si="590"/>
        <v>28.3858557986263</v>
      </c>
      <c r="CU178" s="260">
        <f>CV178+各项系数!$L$9*$NU178</f>
        <v>28.6783752259308</v>
      </c>
      <c r="CV178" s="260">
        <f>CW178*(1+$DD178+各项系数!$J$5+各项系数!$L$5)</f>
        <v>28.3027526533478</v>
      </c>
      <c r="CW178" s="262">
        <f t="shared" si="591"/>
        <v>27.4784006343183</v>
      </c>
      <c r="CX178" s="259">
        <f>CY178+各项系数!$M$9*$NU178</f>
        <v>30.0340074143367</v>
      </c>
      <c r="CY178" s="259">
        <f t="shared" si="592"/>
        <v>29.6583848417537</v>
      </c>
      <c r="CZ178" s="260">
        <f>DA178+各项系数!$L$9*$NU178</f>
        <v>29.964017823554</v>
      </c>
      <c r="DA178" s="260">
        <f>DB178*(1+$DD178+各项系数!$J$5+各项系数!$L$5)</f>
        <v>29.588395250971</v>
      </c>
      <c r="DB178" s="262">
        <f t="shared" si="593"/>
        <v>28.7265973310398</v>
      </c>
      <c r="DC178" s="277">
        <f t="shared" si="803"/>
        <v>0</v>
      </c>
      <c r="DD178" s="277">
        <f t="shared" si="594"/>
        <v>0.01</v>
      </c>
      <c r="DE178" s="69" t="s">
        <v>498</v>
      </c>
      <c r="DF178" s="69" t="s">
        <v>513</v>
      </c>
      <c r="DG178" s="259">
        <f>DH178+各项系数!$M$9*$NQ178</f>
        <v>27.4090901469864</v>
      </c>
      <c r="DH178" s="259">
        <f>DI178*(1+$EA178+(VLOOKUP($AM178,$A$12:$B$323,2,0))+各项系数!$J$6+各项系数!$M$5)*(1+$E$2)+各项系数!$M$9*$NK178</f>
        <v>27.0420226306158</v>
      </c>
      <c r="DI178" s="260">
        <f>DJ178+各项系数!$L$9*$NQ178</f>
        <v>27.1193648447418</v>
      </c>
      <c r="DJ178" s="260">
        <f>DK178*(1+$EB178+各项系数!$J$5+各项系数!$L$5)</f>
        <v>26.7522973283711</v>
      </c>
      <c r="DK178" s="260">
        <f t="shared" si="595"/>
        <v>25.7233628157414</v>
      </c>
      <c r="DL178" s="259">
        <f>DM178+各项系数!$M$9*$NQ178</f>
        <v>28.4962882589291</v>
      </c>
      <c r="DM178" s="259">
        <f>DN178*(1+$EA178+(VLOOKUP($AM178,$A$12:$B$323,2,0))+各项系数!$J$6+各项系数!$M$5)*(1+$E$2)+各项系数!$M$9*$NK178</f>
        <v>28.1292207425584</v>
      </c>
      <c r="DN178" s="260">
        <f>DO178+各项系数!$L$9*$NQ178</f>
        <v>28.2177666551506</v>
      </c>
      <c r="DO178" s="260">
        <f>DP178*(1+$EB178+各项系数!$J$5+各项系数!$L$5)</f>
        <v>27.8506991387799</v>
      </c>
      <c r="DP178" s="260">
        <f t="shared" si="596"/>
        <v>26.779518402673</v>
      </c>
      <c r="DQ178" s="259">
        <f>DR178+各项系数!$M$9*$NV178</f>
        <v>29.2232866189015</v>
      </c>
      <c r="DR178" s="259">
        <f t="shared" si="597"/>
        <v>28.8476640463185</v>
      </c>
      <c r="DS178" s="260">
        <f>DT178+各项系数!$L$9*$NV178</f>
        <v>29.1449424594045</v>
      </c>
      <c r="DT178" s="260">
        <f>DU178*(1+$EB178+各项系数!$J$5+各项系数!$L$5)</f>
        <v>28.7693198868215</v>
      </c>
      <c r="DU178" s="262">
        <f t="shared" si="598"/>
        <v>27.6628075834822</v>
      </c>
      <c r="DV178" s="259">
        <f>DW178+各项系数!$M$9*$NV178</f>
        <v>28.5067000759074</v>
      </c>
      <c r="DW178" s="259">
        <f t="shared" si="599"/>
        <v>28.1310775033244</v>
      </c>
      <c r="DX178" s="260">
        <f>DY178+各项系数!$L$9*$NV178</f>
        <v>28.420971411724</v>
      </c>
      <c r="DY178" s="260">
        <f>DZ178*(1+$EB178+各项系数!$J$5+各项系数!$L$5)</f>
        <v>28.045348839141</v>
      </c>
      <c r="DZ178" s="262">
        <f t="shared" si="600"/>
        <v>26.9666815760971</v>
      </c>
      <c r="EA178" s="277">
        <f t="shared" si="802"/>
        <v>0</v>
      </c>
      <c r="EB178" s="277">
        <f t="shared" si="601"/>
        <v>0.02</v>
      </c>
      <c r="EC178" s="302">
        <f t="shared" si="649"/>
        <v>24</v>
      </c>
      <c r="ED178" s="302" t="str">
        <f t="shared" si="756"/>
        <v>24*1.5</v>
      </c>
      <c r="EE178" s="251">
        <f t="shared" si="812"/>
        <v>1.5</v>
      </c>
      <c r="EF178" s="251">
        <f>LOOKUP(EH178,{1,7,10,14,19,24,30,37,48,61},{1,"1+6","2+8","4+10","1+6+12","2+8+14","4+10+16","1+6+12+18","3+9+15+21","1+6+12+18+24"})</f>
        <v>1</v>
      </c>
      <c r="EG178" s="250">
        <f t="shared" si="602"/>
        <v>24</v>
      </c>
      <c r="EH178" s="260">
        <f>VLOOKUP(EE178,各项系数!$B$87:$C$124,2,0)</f>
        <v>1</v>
      </c>
      <c r="EI178" s="250">
        <f>IF(EH178=0,0,VLOOKUP(EH178,各项系数!$D$142:$E$195,2,0))*1</f>
        <v>1</v>
      </c>
      <c r="EJ178" s="305">
        <f t="shared" si="650"/>
        <v>134.922667214547</v>
      </c>
      <c r="EK178" s="251">
        <f t="shared" si="813"/>
        <v>0</v>
      </c>
      <c r="EL178" s="251">
        <f t="shared" si="603"/>
        <v>0</v>
      </c>
      <c r="EM178" s="251">
        <f t="shared" si="814"/>
        <v>0</v>
      </c>
      <c r="EN178" s="251">
        <f>IF(EP178=0,0,LOOKUP(EP178,{1,7,10,14,19,24,30,37,48,61},{1,"1+6","2+8","4+10","1+6+12","2+8+14","4+10+16","1+6+12+18","3+9+15+21","1+6+12+18+24"}))</f>
        <v>0</v>
      </c>
      <c r="EO178" s="251">
        <f t="shared" si="815"/>
        <v>0</v>
      </c>
      <c r="EP178" s="251">
        <f>IF(EM178=0,0,IF(EM178&lt;10,1,IF(AND(EM178&gt;=10,EM178&lt;=35),7,LOOKUP(EM178,{50,70,95,120,150,185,240,300},{10,14,19,24,30,37,48,61})*1)))</f>
        <v>0</v>
      </c>
      <c r="EQ178" s="251">
        <f>IF(EP178=0,0,VLOOKUP(EP178,各项系数!$D$142:$E$195,2,0))*1</f>
        <v>0</v>
      </c>
      <c r="ER178" s="69">
        <f t="shared" si="816"/>
        <v>0</v>
      </c>
      <c r="ES178" s="566">
        <f t="shared" si="817"/>
        <v>24</v>
      </c>
      <c r="ET178" s="251">
        <f>VLOOKUP(ES178,各项系数!$D$142:$E$195,2,0)*1</f>
        <v>6</v>
      </c>
      <c r="EU178" s="311">
        <f>((各项系数!$F$76/4*$EJ178^2*$EG178*$EH178*1*10^-7)*(1-$H178)*AA178)*(VLOOKUP($EY$9,各项系数!$D$4:$F$143,3,0))*各项系数!$J$4</f>
        <v>0.303525931546651</v>
      </c>
      <c r="EV178" s="312">
        <f>EU178*(VLOOKUP($EY$9,各项系数!$D$4:$F$143,2,0))</f>
        <v>19.8809485163056</v>
      </c>
      <c r="EW178" s="324">
        <f>(IF($EO178=0,0,(各项系数!$F$76/4*$ER178^2*$EO178*$EP178*1*10^-7))*(1-$K178)*$AF178)*(VLOOKUP($EY$9,各项系数!$D$4:$F$143,3,0))*各项系数!$J$4</f>
        <v>0</v>
      </c>
      <c r="EX178" s="325">
        <f>EW178*(VLOOKUP($EY$9,各项系数!$D$4:$F$143,2,0))</f>
        <v>0</v>
      </c>
      <c r="EY178" s="251">
        <f>((各项系数!$F$76/4*$EJ178^2*$EG178*$EH178*1*10^-7)*(1-$H178)*AA178+IF($EO178=0,0,(各项系数!$F$76/4*$ER178^2*$EO178*$EP178*1*10^-7))*(1-$K178)*$AF178)*(VLOOKUP($EY$9,各项系数!$D$4:$F$143,3,0))*各项系数!$J$4</f>
        <v>0.303525931546651</v>
      </c>
      <c r="EZ178" s="123">
        <v>1</v>
      </c>
      <c r="FA178" s="251">
        <f t="shared" si="757"/>
        <v>0.303525931546651</v>
      </c>
      <c r="FB178" s="326">
        <f>FA178*(VLOOKUP($EY$9,各项系数!$D$4:$F$143,2,0))</f>
        <v>19.8809485163056</v>
      </c>
      <c r="FC178" s="327"/>
      <c r="FD178" s="302">
        <f>各项系数!$F$76/4*($MN178^2-MK178^2)*10^-2*(VLOOKUP(L178,各项系数!$D$1:$F$143,3,0))*10^-3*10^2*$EG178*各项系数!$J$4</f>
        <v>0.118376343157421</v>
      </c>
      <c r="FE178" s="339">
        <f>FD178*VLOOKUP(L178,各项系数!$D$1:$F$143,2,0)</f>
        <v>1.36132794631034</v>
      </c>
      <c r="FF178" s="250">
        <f>各项系数!$F$76/4*($MO178^2-ML178^2)*10^-2*(VLOOKUP(L178,各项系数!$D$1:$F$143,3,0))*10^-3*10^2*$EO178*各项系数!$J$4</f>
        <v>0</v>
      </c>
      <c r="FG178" s="339">
        <f>FF178*VLOOKUP(L178,各项系数!$D$1:$F$143,2,0)</f>
        <v>0</v>
      </c>
      <c r="FH178" s="302">
        <f t="shared" si="651"/>
        <v>0.118376343157421</v>
      </c>
      <c r="FI178" s="123">
        <v>1</v>
      </c>
      <c r="FJ178" s="251">
        <f t="shared" si="758"/>
        <v>0.118376343157421</v>
      </c>
      <c r="FK178" s="339">
        <f>FJ178*VLOOKUP(L178,各项系数!$D$1:$F$143,2,0)</f>
        <v>1.36132794631034</v>
      </c>
      <c r="FL178" s="302"/>
      <c r="FM178" s="123"/>
      <c r="FN178" s="251"/>
      <c r="FO178" s="339"/>
      <c r="FP178" s="364">
        <f t="shared" si="759"/>
        <v>0.118376343157421</v>
      </c>
      <c r="FQ178" s="364">
        <f t="shared" si="760"/>
        <v>1.36132794631034</v>
      </c>
      <c r="FR178" s="365">
        <f>各项系数!$F$76/4*($MQ178^2-$MN178^2*$EG178-$MO178^2*$EO178)*10^-2</f>
        <v>0.712348024152337</v>
      </c>
      <c r="FS178" s="366">
        <f t="shared" si="652"/>
        <v>1</v>
      </c>
      <c r="FT178" s="367">
        <f t="shared" si="604"/>
        <v>0.712348024152337</v>
      </c>
      <c r="FU178" s="388">
        <f>$FT178*(VLOOKUP($FT$9,各项系数!$D$1:$F$143,3,0))*10^-3*10^2*各项系数!$J$55</f>
        <v>0.085054354083789</v>
      </c>
      <c r="FV178" s="389">
        <v>1</v>
      </c>
      <c r="FW178" s="390">
        <f t="shared" si="761"/>
        <v>0.085054354083789</v>
      </c>
      <c r="FX178" s="367">
        <f>FW178*(VLOOKUP($FT$9,各项系数!$D$1:$F$143,2,0))</f>
        <v>0.255163062251367</v>
      </c>
      <c r="FY178" s="388">
        <f>IF($BK178&lt;&gt;$FY$9,0,各项系数!$F$76/4*($MS178^2-$MQ178^2)*10^-2*(VLOOKUP($FY$9,各项系数!$D$1:$F$143,3,0))*10^-3*10^2)*各项系数!$J$4</f>
        <v>0</v>
      </c>
      <c r="FZ178" s="389">
        <v>1</v>
      </c>
      <c r="GA178" s="390">
        <f t="shared" si="762"/>
        <v>0</v>
      </c>
      <c r="GB178" s="367">
        <f>GA178*(VLOOKUP($FY$9,各项系数!$D$1:$F$143,2,0))</f>
        <v>0</v>
      </c>
      <c r="GC178" s="388">
        <f>IF($BK178&lt;&gt;$GC$9,0,各项系数!$F$76/4*($MS178^2-$MQ178^2)*10^-2*(VLOOKUP($GC$9,各项系数!$D$1:$F$143,3,0))*10^-3*10^2)*各项系数!$J$4</f>
        <v>0.00451609791499742</v>
      </c>
      <c r="GD178" s="389">
        <v>1</v>
      </c>
      <c r="GE178" s="390">
        <f t="shared" si="763"/>
        <v>0.00451609791499742</v>
      </c>
      <c r="GF178" s="367">
        <f>GE178*(VLOOKUP($GC$9,各项系数!$D$1:$F$143,2,0))</f>
        <v>0.0582576631034667</v>
      </c>
      <c r="GG178" s="388">
        <f>IF($BK178&lt;&gt;$GG$9,0,各项系数!$F$76/4*($MS178^2-$MQ178^2)*10^-2*(VLOOKUP($GG$9,各项系数!$D$1:$F$143,3,0))*10^-3*10^2)*各项系数!$J$4</f>
        <v>0</v>
      </c>
      <c r="GH178" s="389">
        <v>1</v>
      </c>
      <c r="GI178" s="390">
        <f t="shared" si="764"/>
        <v>0</v>
      </c>
      <c r="GJ178" s="367">
        <f>GI178*(VLOOKUP($GG$9,各项系数!$D$1:$F$143,2,0))</f>
        <v>0</v>
      </c>
      <c r="GK178" s="388">
        <f>IF($BK178&lt;&gt;$GK$9,0,各项系数!$F$76/4*($MS178^2-$MQ178^2)*10^-2*(VLOOKUP($GK$9,各项系数!$D$1:$F$143,3,0))*10^-3*10^2)*各项系数!$J$4</f>
        <v>0</v>
      </c>
      <c r="GL178" s="389">
        <v>1</v>
      </c>
      <c r="GM178" s="390">
        <f t="shared" si="765"/>
        <v>0</v>
      </c>
      <c r="GN178" s="367">
        <f>GM178*(VLOOKUP($GK$9,各项系数!$D$1:$F$143,2,0))</f>
        <v>0</v>
      </c>
      <c r="GO178" s="390">
        <f t="shared" si="766"/>
        <v>0.00451609791499742</v>
      </c>
      <c r="GP178" s="390">
        <f t="shared" si="767"/>
        <v>0.0582576631034667</v>
      </c>
      <c r="GQ178" s="406">
        <f>各项系数!$F$76/4*($MU178^2-$MS178^2)*10^-2*(VLOOKUP($S178,各项系数!$D$1:$F$143,3,0))*10^-3*10^2*各项系数!$J$4</f>
        <v>0.253313009138566</v>
      </c>
      <c r="GR178" s="389">
        <v>1</v>
      </c>
      <c r="GS178" s="390">
        <f t="shared" si="768"/>
        <v>0.253313009138566</v>
      </c>
      <c r="GT178" s="390">
        <f t="shared" si="696"/>
        <v>0</v>
      </c>
      <c r="GU178" s="390">
        <f>ROUND($GS178*(VLOOKUP($S178,各项系数!$D$1:$F$143,2,0))+$E$3*GS178,GT178)</f>
        <v>1</v>
      </c>
      <c r="GV178" s="406">
        <f>各项系数!$F$76/4*($MT178^2-$MS178^2)*10^-2*(VLOOKUP($GV$9,各项系数!$D$1:$F$143,3,0))*10^-3*10^2*各项系数!$J$4*PI()/4*R178</f>
        <v>0.0233988569494752</v>
      </c>
      <c r="GW178" s="389">
        <v>1</v>
      </c>
      <c r="GX178" s="390">
        <f t="shared" si="769"/>
        <v>0.0233988569494752</v>
      </c>
      <c r="GY178" s="390">
        <f>$GX178*(VLOOKUP($GV$9,各项系数!$D$1:$F$143,2,0))</f>
        <v>1.57942284408958</v>
      </c>
      <c r="GZ178" s="406">
        <f>各项系数!$F$76/4*($MV178^2-$MS178^2)*10^-2*(VLOOKUP($GZ$9,各项系数!$D$1:$F$143,3,0))*10^-3*10^2*各项系数!$J$4</f>
        <v>0.150699681304406</v>
      </c>
      <c r="HA178" s="389">
        <v>1</v>
      </c>
      <c r="HB178" s="390">
        <f t="shared" si="653"/>
        <v>0.150699681304406</v>
      </c>
      <c r="HC178" s="390">
        <f>HB178*(VLOOKUP($GZ$9,各项系数!$D$1:$F$143,2,0))</f>
        <v>2.5618945821749</v>
      </c>
      <c r="HD178" s="406">
        <f>各项系数!$F$76/4*($MW178^2-$MT178^2)*10^-2*(VLOOKUP($HD$9,各项系数!$D$1:$F$143,3,0))*10^-3*10^2*各项系数!$J$4</f>
        <v>0.152005050751084</v>
      </c>
      <c r="HE178" s="389">
        <v>1</v>
      </c>
      <c r="HF178" s="390">
        <f t="shared" si="654"/>
        <v>0.152005050751084</v>
      </c>
      <c r="HG178" s="390">
        <f>HF178*(VLOOKUP($HD$9,各项系数!$D$1:$F$143,2,0))</f>
        <v>2.58408586276843</v>
      </c>
      <c r="HH178" s="406">
        <f>各项系数!$F$76/4*($MV178^2-$MS178^2)*10^-2*(VLOOKUP($HH$9,各项系数!$D$1:$F$143,3,0))*10^-3*10^2*各项系数!$J$4</f>
        <v>0.150699681304406</v>
      </c>
      <c r="HI178" s="420">
        <v>1</v>
      </c>
      <c r="HJ178" s="390">
        <f t="shared" si="655"/>
        <v>0.150699681304406</v>
      </c>
      <c r="HK178" s="390">
        <f>HJ178*(VLOOKUP($HH$9,各项系数!$D$1:$F$143,2,0))</f>
        <v>2.5618945821749</v>
      </c>
      <c r="HL178" s="406">
        <f>各项系数!$F$76/4*($MW178^2-$MT178^2)*10^-2*(VLOOKUP($HL$9,各项系数!$D$1:$F$143,3,0))*10^-3*10^2*各项系数!$J$4</f>
        <v>0.152005050751084</v>
      </c>
      <c r="HM178" s="420">
        <v>1</v>
      </c>
      <c r="HN178" s="390">
        <f t="shared" si="605"/>
        <v>0.152005050751084</v>
      </c>
      <c r="HO178" s="390">
        <f>HN178*(VLOOKUP($HL$9,各项系数!$D$1:$F$143,2,0))</f>
        <v>2.58408586276843</v>
      </c>
      <c r="HP178" s="406">
        <f>各项系数!$F$76/4*($MV178^2-$MS178^2)*10^-2*(VLOOKUP(AN178,各项系数!$D$1:$F$143,3,0))*10^-3*10^2*各项系数!$J$4</f>
        <v>0.15277829759826</v>
      </c>
      <c r="HQ178" s="389">
        <v>1</v>
      </c>
      <c r="HR178" s="390">
        <f t="shared" si="770"/>
        <v>0.15277829759826</v>
      </c>
      <c r="HS178" s="390">
        <f>HR178*(VLOOKUP(AN178,各项系数!$D$1:$F$143,2,0))</f>
        <v>1.5277829759826</v>
      </c>
      <c r="HT178" s="406">
        <f>各项系数!$F$76/4*($MW178^2-$MT178^2)*10^-2*(VLOOKUP(AN178,各项系数!$D$1:$F$143,3,0))*10^-3*10^2*各项系数!$J$4</f>
        <v>0.154101672140754</v>
      </c>
      <c r="HU178" s="389">
        <v>1</v>
      </c>
      <c r="HV178" s="390">
        <f t="shared" si="771"/>
        <v>0.154101672140754</v>
      </c>
      <c r="HW178" s="390">
        <f>HV178*(VLOOKUP(AN178,各项系数!$D$1:$F$143,2,0))</f>
        <v>1.54101672140754</v>
      </c>
      <c r="HX178" s="406">
        <f>各项系数!$F$76/4*($MV178^2-$MS178^2)*10^-2*(VLOOKUP($HX$9,各项系数!$D$1:$F$143,3,0))*10^-3*10^2*各项系数!$J$4</f>
        <v>0.15277829759826</v>
      </c>
      <c r="HY178" s="420">
        <v>1</v>
      </c>
      <c r="HZ178" s="390">
        <f t="shared" si="772"/>
        <v>0.15277829759826</v>
      </c>
      <c r="IA178" s="390">
        <f>HZ178*(VLOOKUP($HX$9,各项系数!$D$1:$F$143,2,0))</f>
        <v>1.68056127358086</v>
      </c>
      <c r="IB178" s="406">
        <f>各项系数!$F$76/4*($MW178^2-$MT178^2)*10^-2*(VLOOKUP($IB$9,各项系数!$D$1:$F$143,3,0))*10^-3*10^2*各项系数!$J$4</f>
        <v>0.154101672140754</v>
      </c>
      <c r="IC178" s="420">
        <v>1</v>
      </c>
      <c r="ID178" s="390">
        <f t="shared" si="773"/>
        <v>0.154101672140754</v>
      </c>
      <c r="IE178" s="390">
        <f>ID178*(VLOOKUP($IB$9,各项系数!$D$1:$F$143,2,0))</f>
        <v>1.6951183935483</v>
      </c>
      <c r="IF178" s="429"/>
      <c r="IG178" s="406">
        <f t="shared" si="656"/>
        <v>0.0556771579051335</v>
      </c>
      <c r="IH178" s="389">
        <v>1</v>
      </c>
      <c r="II178" s="390">
        <f t="shared" si="774"/>
        <v>0.0556771579051335</v>
      </c>
      <c r="IJ178" s="390">
        <f>II178*(VLOOKUP($IG$8,各项系数!$D$1:$F$143,2,0))</f>
        <v>1.39192894762834</v>
      </c>
      <c r="IK178" s="406">
        <f>(各项系数!$F$76/4*($MX178^2-$MK178^2)*$EG178)*10^-2*(VLOOKUP($IG$8,各项系数!$D$1:$F$143,3,0))*10^-3*10^2*各项系数!$J$4</f>
        <v>0.0556771579051335</v>
      </c>
      <c r="IL178" s="389">
        <f>IK178*(VLOOKUP($IG$8,各项系数!$D$1:$F$143,2,0))</f>
        <v>1.39192894762834</v>
      </c>
      <c r="IM178" s="390">
        <f>(各项系数!$F$76/4*(($MM178+3*$X178)^2-MM178^2)*$EO178)*10^-2*(VLOOKUP($IG$8,各项系数!$D$1:$F$143,3,0))*10^-3*10^2*各项系数!$J$4</f>
        <v>0</v>
      </c>
      <c r="IN178" s="389">
        <f>IM178*(VLOOKUP($IG$8,各项系数!$D$1:$F$143,2,0))</f>
        <v>0</v>
      </c>
      <c r="IO178" s="406">
        <f>各项系数!$F$76/4*($MZ178^2-$MX178^2)*10^-2*(VLOOKUP(L178,各项系数!$D$1:$F$143,3,0))*10^-3*10^2*$ES178*各项系数!$J$4</f>
        <v>0.153036152603709</v>
      </c>
      <c r="IP178" s="389">
        <v>1</v>
      </c>
      <c r="IQ178" s="390">
        <f t="shared" si="775"/>
        <v>0.153036152603709</v>
      </c>
      <c r="IR178" s="367">
        <f>IQ178*(VLOOKUP(L178,各项系数!$D$1:$F$143,2,0))</f>
        <v>1.75991575494266</v>
      </c>
      <c r="IS178" s="406">
        <f>IF($L178&lt;&gt;$IS$9,0,各项系数!$F$76/4*($MZ178^2-$MX178^2)*10^-2*各项系数!$F$12*10^-3*10^2)*$ES178*各项系数!$J$4</f>
        <v>0</v>
      </c>
      <c r="IT178" s="389">
        <v>1</v>
      </c>
      <c r="IU178" s="390">
        <f t="shared" si="776"/>
        <v>0</v>
      </c>
      <c r="IV178" s="367">
        <f>IU178*各项系数!$E$12</f>
        <v>0</v>
      </c>
      <c r="IW178" s="388">
        <f t="shared" si="777"/>
        <v>0.153036152603709</v>
      </c>
      <c r="IX178" s="388">
        <f t="shared" si="778"/>
        <v>1.75991575494266</v>
      </c>
      <c r="IY178" s="447">
        <f>各项系数!$F$76/4*($NB178^2-$MZ178^2*$EG178-$NA178^2*$EO178)*10^-2</f>
        <v>1.05720743595401</v>
      </c>
      <c r="IZ178" s="366">
        <f t="shared" si="697"/>
        <v>1</v>
      </c>
      <c r="JA178" s="367">
        <f t="shared" si="606"/>
        <v>1.05720743595401</v>
      </c>
      <c r="JB178" s="364">
        <f>IF($DE178&lt;&gt;$JB$9,0,$JA178*各项系数!$F$32*10^-3*10^2)*各项系数!$J$4</f>
        <v>0</v>
      </c>
      <c r="JC178" s="123">
        <v>1</v>
      </c>
      <c r="JD178" s="251">
        <f t="shared" si="779"/>
        <v>0</v>
      </c>
      <c r="JE178" s="339">
        <f>JD178*各项系数!$E$32</f>
        <v>0</v>
      </c>
      <c r="JF178" s="364">
        <f>IF($DE178&lt;&gt;$JF$9,0,$JA178*VLOOKUP($JF$9,各项系数!$D$4:$F$540,2,0)*10^-3*10^2)*各项系数!$J$4</f>
        <v>0.52596069938712</v>
      </c>
      <c r="JG178" s="123">
        <v>1</v>
      </c>
      <c r="JH178" s="251">
        <f t="shared" si="607"/>
        <v>0.52596069938712</v>
      </c>
      <c r="JI178" s="339">
        <f>JH178*VLOOKUP($JF$9,各项系数!$D$4:$F$540,3,0)</f>
        <v>0.631152839264544</v>
      </c>
      <c r="JJ178" s="364">
        <f t="shared" si="780"/>
        <v>0.52596069938712</v>
      </c>
      <c r="JK178" s="251">
        <f t="shared" si="781"/>
        <v>0.631152839264544</v>
      </c>
      <c r="JL178" s="364">
        <f>IF($DF178&lt;&gt;$JL$9,0,各项系数!$F$76/4*($NE178^2-$NC178^2)*10^-2*各项系数!$F$39*10^-3*10^2)*各项系数!$J$4</f>
        <v>0.00227487183825103</v>
      </c>
      <c r="JM178" s="123">
        <v>1</v>
      </c>
      <c r="JN178" s="251">
        <f t="shared" si="782"/>
        <v>0.00227487183825103</v>
      </c>
      <c r="JO178" s="339">
        <f>JN178*各项系数!$E$39</f>
        <v>0.0454974367650206</v>
      </c>
      <c r="JP178" s="364">
        <f>IF($DF178&lt;&gt;$JP$9,0,各项系数!$F$76/4*($NE178^2-$NC178^2)*10^-2*各项系数!$F$36*10^-3*10^2)*各项系数!$J$4</f>
        <v>0</v>
      </c>
      <c r="JQ178" s="123">
        <v>1</v>
      </c>
      <c r="JR178" s="251">
        <f t="shared" si="783"/>
        <v>0</v>
      </c>
      <c r="JS178" s="339">
        <f>JR178*各项系数!$E$36</f>
        <v>0</v>
      </c>
      <c r="JT178" s="364">
        <f>IF($DF178&lt;&gt;$JT$9,0,各项系数!$F$76/4*($NE178^2-$NC178^2)*10^-2*各项系数!$F$40*10^-3*10^2)*各项系数!$J$4</f>
        <v>0</v>
      </c>
      <c r="JU178" s="123">
        <v>1</v>
      </c>
      <c r="JV178" s="251">
        <f t="shared" si="784"/>
        <v>0</v>
      </c>
      <c r="JW178" s="339">
        <f>JV178*各项系数!$E$40</f>
        <v>0</v>
      </c>
      <c r="JX178" s="364">
        <f>IF($DF178&lt;&gt;$JX$9,0,各项系数!$F$76/4*($NE178^2-$NC178^2)*10^-2*各项系数!$F$38*10^-3*10^2)*各项系数!$J$4</f>
        <v>0</v>
      </c>
      <c r="JY178" s="123">
        <v>1</v>
      </c>
      <c r="JZ178" s="251">
        <f t="shared" si="785"/>
        <v>0</v>
      </c>
      <c r="KA178" s="339">
        <f>JZ178*各项系数!$E$38</f>
        <v>0</v>
      </c>
      <c r="KB178" s="364">
        <f>IF($DF178&lt;&gt;$KB$9,0,各项系数!$F$76/4*($NE178^2-$NC178^2)*10^-2*各项系数!$F$41*10^-3*10^2)*各项系数!$J$4</f>
        <v>0</v>
      </c>
      <c r="KC178" s="123">
        <v>1</v>
      </c>
      <c r="KD178" s="251">
        <f t="shared" si="786"/>
        <v>0</v>
      </c>
      <c r="KE178" s="339">
        <f>KD178*各项系数!$E$41</f>
        <v>0</v>
      </c>
      <c r="KF178" s="251">
        <f t="shared" si="787"/>
        <v>0.00227487183825103</v>
      </c>
      <c r="KG178" s="251">
        <f t="shared" si="788"/>
        <v>0.0454974367650206</v>
      </c>
      <c r="KH178" s="302">
        <f>各项系数!$F$76/4*($NG178^2-$NE178^2)*10^-2*各项系数!$F$44*10^-3*10^2*各项系数!$J$4*0.75*$U178</f>
        <v>0.921154854844854</v>
      </c>
      <c r="KI178" s="123">
        <v>1</v>
      </c>
      <c r="KJ178" s="251">
        <f t="shared" si="789"/>
        <v>0.921154854844854</v>
      </c>
      <c r="KK178" s="251">
        <f>ROUND(KJ178*各项系数!$E$43,GT178)</f>
        <v>5</v>
      </c>
      <c r="KL178" s="302">
        <f>各项系数!$F$76/4*($NF178^2-$NE178^2)*10^-2*各项系数!$F$46*10^-3*10^2*各项系数!$J$4*PI()/4*R178</f>
        <v>0.0285168540410855</v>
      </c>
      <c r="KM178" s="123">
        <v>1</v>
      </c>
      <c r="KN178" s="251">
        <f t="shared" si="790"/>
        <v>0.0285168540410855</v>
      </c>
      <c r="KO178" s="251">
        <f>KN178*各项系数!$E$46</f>
        <v>1.92488764777327</v>
      </c>
      <c r="KP178" s="302">
        <f>各项系数!$F$76/4*($NH178^2-$NE178^2)*10^-2*(VLOOKUP($KP$9,各项系数!$D$1:$F$143,3,0))*10^-3*10^2*各项系数!$J$4</f>
        <v>0.180592641633341</v>
      </c>
      <c r="KQ178" s="123">
        <v>1</v>
      </c>
      <c r="KR178" s="251">
        <f t="shared" si="657"/>
        <v>0.180592641633341</v>
      </c>
      <c r="KS178" s="251">
        <f>KR178*(VLOOKUP($KP$9,各项系数!$D$1:$F$143,2,0))</f>
        <v>3.0700749077668</v>
      </c>
      <c r="KT178" s="302">
        <f>各项系数!$F$76/4*($NI178^2-$NF178^2)*10^-2*(VLOOKUP($KT$9,各项系数!$D$1:$F$143,3,0))*10^-3*10^2*各项系数!$J$4</f>
        <v>0.18189801108002</v>
      </c>
      <c r="KU178" s="123">
        <v>1</v>
      </c>
      <c r="KV178" s="251">
        <f t="shared" si="658"/>
        <v>0.18189801108002</v>
      </c>
      <c r="KW178" s="251">
        <f>KV178*(VLOOKUP($KT$9,各项系数!$D$1:$F$143,2,0))</f>
        <v>3.09226618836034</v>
      </c>
      <c r="KX178" s="251">
        <f>各项系数!$F$76/4*($NH178^2-$NE178^2)*10^-2*(VLOOKUP($KX$9,各项系数!$D$1:$F$143,3,0))*10^-3*10^2*各项系数!$J$4</f>
        <v>0.180592641633341</v>
      </c>
      <c r="KY178" s="479">
        <v>1</v>
      </c>
      <c r="KZ178" s="251">
        <f t="shared" si="659"/>
        <v>0.180592641633341</v>
      </c>
      <c r="LA178" s="251">
        <f>KZ178*(VLOOKUP($KX$9,各项系数!$D$1:$F$143,2,0))</f>
        <v>3.0700749077668</v>
      </c>
      <c r="LB178" s="251">
        <f>各项系数!$F$76/4*($NI178^2-$NF178^2)*10^-2*(VLOOKUP($LB$9,各项系数!$D$1:$F$143,3,0))*10^-3*10^2*各项系数!$J$4</f>
        <v>0.18189801108002</v>
      </c>
      <c r="LC178" s="479">
        <v>1</v>
      </c>
      <c r="LD178" s="251">
        <f t="shared" si="660"/>
        <v>0.18189801108002</v>
      </c>
      <c r="LE178" s="251">
        <f>LD178*(VLOOKUP($LB$9,各项系数!$D$1:$F$143,2,0))</f>
        <v>3.09226618836034</v>
      </c>
      <c r="LF178" s="302">
        <f>各项系数!$F$76/4*($NH178^2-$NE178^2)*10^-2*(VLOOKUP(AN178,各项系数!$D$1:$F$143,3,0))*10^-3*10^2*各项系数!$J$4</f>
        <v>0.183083574621387</v>
      </c>
      <c r="LG178" s="123">
        <v>1</v>
      </c>
      <c r="LH178" s="251">
        <f t="shared" si="791"/>
        <v>0.183083574621387</v>
      </c>
      <c r="LI178" s="251">
        <f>LH178*(VLOOKUP(AN178,各项系数!$D$1:$F$143,2,0))</f>
        <v>1.83083574621387</v>
      </c>
      <c r="LJ178" s="302">
        <f>各项系数!$F$76/4*($NI178^2-$NF178^2)*10^-2*(VLOOKUP(AN178,各项系数!$D$1:$F$143,3,0))*10^-3*10^2*各项系数!$J$4</f>
        <v>0.184406949163882</v>
      </c>
      <c r="LK178" s="123">
        <v>1</v>
      </c>
      <c r="LL178" s="251">
        <f t="shared" si="792"/>
        <v>0.184406949163882</v>
      </c>
      <c r="LM178" s="251">
        <f>LL178*(VLOOKUP(AN178,各项系数!$D$1:$F$143,2,0))</f>
        <v>1.84406949163882</v>
      </c>
      <c r="LN178" s="251">
        <f>各项系数!$F$76/4*($NH178^2-$NE178^2)*10^-2*(VLOOKUP($LN$9,各项系数!$D$1:$F$143,3,0))*10^-3*10^2*各项系数!$J$4</f>
        <v>0.183083574621387</v>
      </c>
      <c r="LO178" s="479">
        <v>1</v>
      </c>
      <c r="LP178" s="251">
        <f t="shared" si="793"/>
        <v>0.183083574621387</v>
      </c>
      <c r="LQ178" s="251">
        <f>LP178*(VLOOKUP($LN$9,各项系数!$D$1:$F$143,2,0))</f>
        <v>2.01391932083526</v>
      </c>
      <c r="LR178" s="251">
        <f>各项系数!$F$76/4*($NI178^2-$NF178^2)*10^-2*(VLOOKUP($LR$9,各项系数!$D$1:$F$143,3,0))*10^-3*10^2*各项系数!$J$4</f>
        <v>0.184406949163882</v>
      </c>
      <c r="LS178" s="479">
        <v>1</v>
      </c>
      <c r="LT178" s="251">
        <f t="shared" si="794"/>
        <v>0.184406949163882</v>
      </c>
      <c r="LU178" s="251">
        <f>LT178*(VLOOKUP($LR$9,各项系数!$D$1:$F$143,2,0))</f>
        <v>2.0284764408027</v>
      </c>
      <c r="LV178" s="499">
        <f t="shared" si="661"/>
        <v>34.31396924</v>
      </c>
      <c r="LW178" s="499">
        <f t="shared" si="662"/>
        <v>34.31396924</v>
      </c>
      <c r="LX178" s="499">
        <f t="shared" si="663"/>
        <v>6.60983377803058</v>
      </c>
      <c r="LY178" s="515">
        <f t="shared" si="664"/>
        <v>0</v>
      </c>
      <c r="LZ178" s="516">
        <f t="shared" si="608"/>
        <v>1</v>
      </c>
      <c r="MA178" s="517">
        <f t="shared" si="609"/>
        <v>34.31396924</v>
      </c>
      <c r="MB178" s="517">
        <f t="shared" si="665"/>
        <v>1.34922667</v>
      </c>
      <c r="MC178" s="499">
        <f t="shared" si="666"/>
        <v>0</v>
      </c>
      <c r="MD178" s="499">
        <f t="shared" si="667"/>
        <v>0</v>
      </c>
      <c r="ME178" s="499">
        <f t="shared" si="668"/>
        <v>0</v>
      </c>
      <c r="MF178" s="499">
        <f t="shared" si="669"/>
        <v>0</v>
      </c>
      <c r="MG178" s="516">
        <f t="shared" si="670"/>
        <v>1</v>
      </c>
      <c r="MH178" s="517">
        <f t="shared" si="610"/>
        <v>0</v>
      </c>
      <c r="MI178" s="517">
        <f t="shared" si="671"/>
        <v>0</v>
      </c>
      <c r="MJ178" s="251">
        <f t="shared" si="611"/>
        <v>1.34922667</v>
      </c>
      <c r="MK178" s="251">
        <f t="shared" si="672"/>
        <v>1.34922667</v>
      </c>
      <c r="ML178" s="251">
        <f t="shared" si="795"/>
        <v>0</v>
      </c>
      <c r="MM178" s="251">
        <f t="shared" si="612"/>
        <v>0</v>
      </c>
      <c r="MN178" s="251">
        <f t="shared" si="613"/>
        <v>2.74922667</v>
      </c>
      <c r="MO178" s="251">
        <f t="shared" si="673"/>
        <v>0</v>
      </c>
      <c r="MP178" s="251">
        <f t="shared" si="674"/>
        <v>16.49536002</v>
      </c>
      <c r="MQ178" s="251">
        <f t="shared" si="796"/>
        <v>16.49536002</v>
      </c>
      <c r="MR178" s="314">
        <f t="shared" si="675"/>
        <v>16.49536002</v>
      </c>
      <c r="MS178" s="530">
        <f t="shared" si="614"/>
        <v>16.67136002</v>
      </c>
      <c r="MT178" s="530">
        <f t="shared" si="615"/>
        <v>16.83136002</v>
      </c>
      <c r="MU178" s="530">
        <f t="shared" si="616"/>
        <v>17.87136002</v>
      </c>
      <c r="MV178" s="530">
        <f t="shared" si="617"/>
        <v>20.27136002</v>
      </c>
      <c r="MW178" s="530">
        <f t="shared" si="618"/>
        <v>20.43136002</v>
      </c>
      <c r="MX178" s="326">
        <f t="shared" si="619"/>
        <v>1.94922667</v>
      </c>
      <c r="MY178" s="326">
        <f t="shared" si="620"/>
        <v>0</v>
      </c>
      <c r="MZ178" s="251">
        <f t="shared" si="621"/>
        <v>3.34922667</v>
      </c>
      <c r="NA178" s="251">
        <f t="shared" si="622"/>
        <v>0</v>
      </c>
      <c r="NB178" s="251">
        <f t="shared" si="676"/>
        <v>20.09536002</v>
      </c>
      <c r="NC178" s="326">
        <f t="shared" si="797"/>
        <v>20.09536002</v>
      </c>
      <c r="ND178" s="314">
        <f t="shared" si="677"/>
        <v>20.09536002</v>
      </c>
      <c r="NE178" s="537">
        <f t="shared" si="678"/>
        <v>20.33536002</v>
      </c>
      <c r="NF178" s="530">
        <f t="shared" si="623"/>
        <v>20.49536002</v>
      </c>
      <c r="NG178" s="538">
        <f t="shared" si="624"/>
        <v>21.53536002</v>
      </c>
      <c r="NH178" s="326">
        <f t="shared" si="625"/>
        <v>23.93536002</v>
      </c>
      <c r="NI178" s="530">
        <f t="shared" si="626"/>
        <v>24.09536002</v>
      </c>
      <c r="NK178" s="539">
        <f t="shared" si="627"/>
        <v>0.664251024301118</v>
      </c>
      <c r="NL178" s="539">
        <f t="shared" si="628"/>
        <v>23.0834801639534</v>
      </c>
      <c r="NM178" s="539">
        <f t="shared" si="629"/>
        <v>0.664251024301118</v>
      </c>
      <c r="NN178" s="539">
        <f t="shared" si="630"/>
        <v>23.2362584615517</v>
      </c>
      <c r="NO178" s="539">
        <f t="shared" si="631"/>
        <v>1.22355838790225</v>
      </c>
      <c r="NP178" s="539">
        <f t="shared" si="632"/>
        <v>25.5402792411201</v>
      </c>
      <c r="NQ178" s="539">
        <f t="shared" si="633"/>
        <v>1.22355838790225</v>
      </c>
      <c r="NR178" s="539">
        <f t="shared" si="634"/>
        <v>25.7233628157414</v>
      </c>
      <c r="NS178" s="539">
        <f t="shared" si="635"/>
        <v>0.687649881250593</v>
      </c>
      <c r="NT178" s="539">
        <f t="shared" si="636"/>
        <v>0.687649881250593</v>
      </c>
      <c r="NU178" s="539">
        <f t="shared" si="637"/>
        <v>1.25207524194334</v>
      </c>
      <c r="NV178" s="539">
        <f t="shared" si="638"/>
        <v>1.25207524194334</v>
      </c>
      <c r="NW178">
        <f t="shared" si="639"/>
        <v>0.917564033439684</v>
      </c>
      <c r="NX178">
        <f>各项系数!$M$9*NK178</f>
        <v>0.199275307290335</v>
      </c>
      <c r="NY178">
        <f t="shared" si="640"/>
        <v>0.687649881250593</v>
      </c>
    </row>
    <row r="179" customHeight="1" spans="1:389">
      <c r="A179" s="85"/>
      <c r="B179" s="86"/>
      <c r="C179" s="218"/>
      <c r="D179" s="123" t="s">
        <v>941</v>
      </c>
      <c r="E179" s="77">
        <f t="shared" si="805"/>
        <v>20.68374402</v>
      </c>
      <c r="F179" s="559">
        <f t="shared" si="798"/>
        <v>134.922667214547</v>
      </c>
      <c r="G179" s="23"/>
      <c r="H179" s="23"/>
      <c r="I179" s="174">
        <v>0</v>
      </c>
      <c r="J179" s="23"/>
      <c r="K179" s="23"/>
      <c r="L179" s="118" t="s">
        <v>469</v>
      </c>
      <c r="M179" s="124">
        <f t="shared" si="582"/>
        <v>0.7</v>
      </c>
      <c r="N179" s="124">
        <f t="shared" si="804"/>
        <v>0</v>
      </c>
      <c r="O179" s="69">
        <f t="shared" si="819"/>
        <v>0.08</v>
      </c>
      <c r="P179" s="120">
        <v>0.1</v>
      </c>
      <c r="Q179" s="162">
        <f t="shared" si="806"/>
        <v>0.1</v>
      </c>
      <c r="R179" s="560">
        <v>0.8</v>
      </c>
      <c r="S179" s="171" t="str">
        <f>各项系数!$D$43</f>
        <v>钢带</v>
      </c>
      <c r="T179" s="123">
        <v>0.2</v>
      </c>
      <c r="U179" s="78">
        <v>4</v>
      </c>
      <c r="V179" s="172"/>
      <c r="W179" s="170">
        <f t="shared" si="818"/>
        <v>1.8</v>
      </c>
      <c r="X179" s="164">
        <f t="shared" si="807"/>
        <v>0.2</v>
      </c>
      <c r="Y179" s="219"/>
      <c r="Z179" s="220"/>
      <c r="AA179" s="217">
        <v>1</v>
      </c>
      <c r="AB179" s="186">
        <f>PI()*EJ179*EJ179/4*EH179*(1-H179)*AA179*各项系数!$F$5*各项系数!$J$4*10^-7</f>
        <v>0.0126469138144438</v>
      </c>
      <c r="AC179" s="186">
        <f t="shared" si="808"/>
        <v>134.922667214547</v>
      </c>
      <c r="AD179" s="186">
        <f t="shared" si="584"/>
        <v>1.42974872274124</v>
      </c>
      <c r="AE179" s="186">
        <f>POWER(4*EU179/PI()/EG179/10^-7/EH179/(1-H179)/各项系数!$F$5/各项系数!$J$4,0.5)</f>
        <v>134.922667214547</v>
      </c>
      <c r="AF179" s="218">
        <v>1</v>
      </c>
      <c r="AG179" s="85">
        <f>IF(EM179=0,0,PI()*ER179*ER179/4*EP179*(1-K179)*(1+AF179)*各项系数!$F$5*各项系数!$J$4*10^-7)</f>
        <v>0</v>
      </c>
      <c r="AH179" s="85">
        <f t="shared" si="809"/>
        <v>0</v>
      </c>
      <c r="AI179" s="85">
        <f t="shared" si="641"/>
        <v>0</v>
      </c>
      <c r="AJ179" s="85">
        <f>IF(OR(EP179="",EP179=0),0,POWER(4*EW179/PI()/EO179/10^-7/EP179/(1-K179)/各项系数!$F$5/各项系数!$J$4,0.5))</f>
        <v>0</v>
      </c>
      <c r="AK179" s="85" t="str">
        <f t="shared" si="585"/>
        <v>√</v>
      </c>
      <c r="AL179" s="85">
        <f t="shared" si="810"/>
        <v>27.209888367395</v>
      </c>
      <c r="AM179" s="250">
        <f t="shared" si="811"/>
        <v>1.5</v>
      </c>
      <c r="AN179" s="118" t="s">
        <v>486</v>
      </c>
      <c r="AO179" s="259">
        <f>AP179+各项系数!$M$9*$NK179</f>
        <v>26.6763611445049</v>
      </c>
      <c r="AP179" s="259">
        <f>AQ179*(1+$BI179+(VLOOKUP($AM179,$A$12:$B$323,2,0))+各项系数!$J$6+各项系数!$M$5)*(1+$E$2)</f>
        <v>26.462711338804</v>
      </c>
      <c r="AQ179" s="260">
        <f>AR179+各项系数!$L$9*$NK179</f>
        <v>26.7354125467812</v>
      </c>
      <c r="AR179" s="260">
        <f>AS179*(1+$BJ179+各项系数!$J$5+各项系数!$L$5)</f>
        <v>26.5217627410804</v>
      </c>
      <c r="AS179" s="260">
        <f t="shared" si="642"/>
        <v>25.7492842146411</v>
      </c>
      <c r="AT179" s="259">
        <f>AU179+各项系数!$M$9*$NM179</f>
        <v>27.7541689344162</v>
      </c>
      <c r="AU179" s="259">
        <f>AV179*(1+$BI179+(VLOOKUP($AM179,$A$12:$B$323,2,0))+各项系数!$J$6+各项系数!$M$5)*(1+$E$2)</f>
        <v>27.5405191287154</v>
      </c>
      <c r="AV179" s="260">
        <f>AW179+各项系数!$L$9*$NM179</f>
        <v>27.8243272668371</v>
      </c>
      <c r="AW179" s="260">
        <f>AX179*(1+$BJ179+各项系数!$J$5+各项系数!$L$5)</f>
        <v>27.6106774611363</v>
      </c>
      <c r="AX179" s="260">
        <f t="shared" si="643"/>
        <v>26.806482971977</v>
      </c>
      <c r="AY179" s="259">
        <f>AZ179+各项系数!$M$9*$NS179</f>
        <v>28.3540166591028</v>
      </c>
      <c r="AZ179" s="259">
        <f>BA179*(1+$BI179+(VLOOKUP($AM179,$A$12:$B$214,2,0))+各项系数!$J$6+各项系数!$M$5)*(1+$E$2)</f>
        <v>28.1331743868101</v>
      </c>
      <c r="BA179" s="260">
        <f>BB179+各项系数!$L$9*$NS179</f>
        <v>28.4230899038292</v>
      </c>
      <c r="BB179" s="260">
        <f>BC179*(1+$BJ179+各项系数!$J$5+各项系数!$L$5)</f>
        <v>28.2022476315364</v>
      </c>
      <c r="BC179" s="262">
        <f t="shared" si="644"/>
        <v>27.3808229432393</v>
      </c>
      <c r="BD179" s="259">
        <f>BE179+各项系数!$M$9*$NS179</f>
        <v>29.4409566023733</v>
      </c>
      <c r="BE179" s="259">
        <f>BF179*(1+$BI179+(VLOOKUP($AM179,$A$12:$B$214,2,0))+各项系数!$J$6+各项系数!$M$5)*(1+$E$2)</f>
        <v>29.2201143300806</v>
      </c>
      <c r="BF179" s="260">
        <f>BG179+各项系数!$L$9*$NS179</f>
        <v>29.5212308851087</v>
      </c>
      <c r="BG179" s="260">
        <f>BH179*(1+$BJ179+各项系数!$J$5+各项系数!$L$5)</f>
        <v>29.300388612816</v>
      </c>
      <c r="BH179" s="262">
        <f t="shared" si="645"/>
        <v>28.4469792357437</v>
      </c>
      <c r="BI179" s="277"/>
      <c r="BJ179" s="272">
        <f t="shared" si="800"/>
        <v>0.01</v>
      </c>
      <c r="BK179" s="123" t="s">
        <v>514</v>
      </c>
      <c r="BL179" s="259">
        <f>BM179+各项系数!$M$9*$NM179</f>
        <v>27.0920074346886</v>
      </c>
      <c r="BM179" s="259">
        <f>BN179*(1+$CF179+(VLOOKUP($AM179,$A$12:$B$323,2,0))+各项系数!$J$6+各项系数!$M$5)*(1+$E$2)</f>
        <v>26.8783576289878</v>
      </c>
      <c r="BN179" s="260">
        <f>BO179+各项系数!$L$9*$NM179</f>
        <v>27.1553421185975</v>
      </c>
      <c r="BO179" s="260">
        <f>BP179*(1+$CG179+各项系数!$J$5+各项系数!$L$5)</f>
        <v>26.9416923128966</v>
      </c>
      <c r="BP179" s="260">
        <f t="shared" si="646"/>
        <v>25.9054733777852</v>
      </c>
      <c r="BQ179" s="259">
        <f>BR179+各项系数!$M$9*$NM179</f>
        <v>28.0194995028728</v>
      </c>
      <c r="BR179" s="259">
        <f>BS179*(1+$CF179+(VLOOKUP($AM179,$A$12:$B$323,2,0))+各项系数!$J$6+各项系数!$M$5)*(1+$E$2)</f>
        <v>27.805849697172</v>
      </c>
      <c r="BS179" s="260">
        <f>BT179+各项系数!$L$9*$NM179</f>
        <v>28.0923920965569</v>
      </c>
      <c r="BT179" s="260">
        <f>BU179*(1+$CG179+各项系数!$J$5+各项系数!$L$5)</f>
        <v>27.878742290856</v>
      </c>
      <c r="BU179" s="260">
        <f t="shared" si="647"/>
        <v>26.806482971977</v>
      </c>
      <c r="BV179" s="259">
        <f>BW179+各项系数!$M$9*$NT179</f>
        <v>28.5767636261167</v>
      </c>
      <c r="BW179" s="259">
        <f>BX179*(1+$CF179+(VLOOKUP($AM179,$A$12:$B$214,2,0))+各项系数!$J$6+各项系数!$M$5)*(1+$E$2)</f>
        <v>28.355921353824</v>
      </c>
      <c r="BX179" s="260">
        <f>BY179+各项系数!$L$9*$NT$12</f>
        <v>28.6481323033178</v>
      </c>
      <c r="BY179" s="260">
        <f>BZ179*(1+$CG179+各项系数!$J$5+各项系数!$L$5)</f>
        <v>28.6398689001629</v>
      </c>
      <c r="BZ179" s="262">
        <f t="shared" si="586"/>
        <v>27.5383354809258</v>
      </c>
      <c r="CA179" s="259">
        <f>CB179+各项系数!$M$9*$NT179</f>
        <v>29.5121142381761</v>
      </c>
      <c r="CB179" s="259">
        <f>CC179*(1+$CF179+(VLOOKUP($AM179,$A$12:$B$214,2,0))+各项系数!$J$6+各项系数!$M$5)*(1+$E$2)</f>
        <v>29.2912719658834</v>
      </c>
      <c r="CC179" s="260">
        <f>CD179+各项系数!$L$9*$NT$12</f>
        <v>29.5931218083284</v>
      </c>
      <c r="CD179" s="260">
        <f>CE179*(1+$CG179+各项系数!$J$5+各项系数!$L$5)</f>
        <v>29.5848584051734</v>
      </c>
      <c r="CE179" s="262">
        <f t="shared" si="648"/>
        <v>28.4469792357437</v>
      </c>
      <c r="CF179" s="277">
        <f t="shared" si="753"/>
        <v>0</v>
      </c>
      <c r="CG179" s="277">
        <f t="shared" si="587"/>
        <v>0.02</v>
      </c>
      <c r="CH179" s="123"/>
      <c r="CI179" s="259">
        <f>CJ179+各项系数!$M$9*$NO179</f>
        <v>29.9077309155663</v>
      </c>
      <c r="CJ179" s="259">
        <f>CK179*(1+$DC179+(VLOOKUP($AM179,$A$12:$B$323,2,0))+各项系数!$J$6+各项系数!$M$5)*(1+$E$2)+各项系数!$M$9*$NK179</f>
        <v>29.535673856353</v>
      </c>
      <c r="CK179" s="260">
        <f>CL179+各项系数!$L$9*$NO179</f>
        <v>29.6241907967793</v>
      </c>
      <c r="CL179" s="260">
        <f>CM179*(1+$DD179+各项系数!$J$5+各项系数!$L$5)</f>
        <v>29.252133737566</v>
      </c>
      <c r="CM179" s="260">
        <f t="shared" si="588"/>
        <v>28.4001298422971</v>
      </c>
      <c r="CN179" s="259">
        <f>CO179+各项系数!$M$9*$NO179</f>
        <v>30.6689891297607</v>
      </c>
      <c r="CO179" s="259">
        <f>CP179*(1+$DC179+(VLOOKUP($AM179,$A$12:$B$323,2,0))+各项系数!$J$6+各项系数!$M$5)*(1+$E$2)+各项系数!$M$9*$NK179</f>
        <v>30.2969320705474</v>
      </c>
      <c r="CP179" s="260">
        <f>CQ179+各项系数!$L$9*$NO179</f>
        <v>30.3932938622414</v>
      </c>
      <c r="CQ179" s="260">
        <f>CR179*(1+$DD179+各项系数!$J$5+各项系数!$L$5)</f>
        <v>30.0212368030281</v>
      </c>
      <c r="CR179" s="260">
        <f t="shared" si="589"/>
        <v>29.1468318476001</v>
      </c>
      <c r="CS179" s="259">
        <f>CT179+各项系数!$M$9*$NU179</f>
        <v>31.7357172840681</v>
      </c>
      <c r="CT179" s="259">
        <f t="shared" si="590"/>
        <v>31.3548946446372</v>
      </c>
      <c r="CU179" s="260">
        <f>CV179+各项系数!$L$9*$NU179</f>
        <v>31.6780103502094</v>
      </c>
      <c r="CV179" s="260">
        <f>CW179*(1+$DD179+各项系数!$J$5+各项系数!$L$5)</f>
        <v>31.2971877107785</v>
      </c>
      <c r="CW179" s="262">
        <f t="shared" si="591"/>
        <v>30.3856191366781</v>
      </c>
      <c r="CX179" s="259">
        <f>CY179+各项系数!$M$9*$NU179</f>
        <v>33.036920375528</v>
      </c>
      <c r="CY179" s="259">
        <f t="shared" si="592"/>
        <v>32.6560977360971</v>
      </c>
      <c r="CZ179" s="260">
        <f>DA179+各项系数!$L$9*$NU179</f>
        <v>32.9926224854486</v>
      </c>
      <c r="DA179" s="260">
        <f>DB179*(1+$DD179+各项系数!$J$5+各项系数!$L$5)</f>
        <v>32.6117998460178</v>
      </c>
      <c r="DB179" s="262">
        <f t="shared" si="593"/>
        <v>31.6619415980755</v>
      </c>
      <c r="DC179" s="277">
        <f t="shared" si="803"/>
        <v>0</v>
      </c>
      <c r="DD179" s="277">
        <f t="shared" si="594"/>
        <v>0.01</v>
      </c>
      <c r="DE179" s="69" t="s">
        <v>498</v>
      </c>
      <c r="DF179" s="69" t="s">
        <v>513</v>
      </c>
      <c r="DG179" s="259">
        <f>DH179+各项系数!$M$9*$NQ179</f>
        <v>30.3815775630294</v>
      </c>
      <c r="DH179" s="259">
        <f>DI179*(1+$EA179+(VLOOKUP($AM179,$A$12:$B$323,2,0))+各项系数!$J$6+各项系数!$M$5)*(1+$E$2)+各项系数!$M$9*$NK179</f>
        <v>30.0095205038161</v>
      </c>
      <c r="DI179" s="260">
        <f>DJ179+各项系数!$L$9*$NQ179</f>
        <v>30.1029204870835</v>
      </c>
      <c r="DJ179" s="260">
        <f>DK179*(1+$EB179+各项系数!$J$5+各项系数!$L$5)</f>
        <v>29.7308634278702</v>
      </c>
      <c r="DK179" s="260">
        <f t="shared" si="595"/>
        <v>28.5873686806445</v>
      </c>
      <c r="DL179" s="259">
        <f>DM179+各项系数!$M$9*$NQ179</f>
        <v>31.4934507168858</v>
      </c>
      <c r="DM179" s="259">
        <f>DN179*(1+$EA179+(VLOOKUP($AM179,$A$12:$B$323,2,0))+各项系数!$J$6+各项系数!$M$5)*(1+$E$2)+各项系数!$M$9*$NK179</f>
        <v>31.1213936576725</v>
      </c>
      <c r="DN179" s="260">
        <f>DO179+各项系数!$L$9*$NQ179</f>
        <v>31.2262516184802</v>
      </c>
      <c r="DO179" s="260">
        <f>DP179*(1+$EB179+各项系数!$J$5+各项系数!$L$5)</f>
        <v>30.8541945592669</v>
      </c>
      <c r="DP179" s="260">
        <f t="shared" si="596"/>
        <v>29.6674947685259</v>
      </c>
      <c r="DQ179" s="259">
        <f>DR179+各项系数!$M$9*$NV179</f>
        <v>32.2305785757341</v>
      </c>
      <c r="DR179" s="259">
        <f t="shared" si="597"/>
        <v>31.8497559363032</v>
      </c>
      <c r="DS179" s="260">
        <f>DT179+各项系数!$L$9*$NV179</f>
        <v>32.1779712429816</v>
      </c>
      <c r="DT179" s="260">
        <f>DU179*(1+$EB179+各项系数!$J$5+各项系数!$L$5)</f>
        <v>31.7971486035507</v>
      </c>
      <c r="DU179" s="262">
        <f t="shared" si="598"/>
        <v>30.574181349568</v>
      </c>
      <c r="DV179" s="259">
        <f>DW179+各项系数!$M$9*$NV179</f>
        <v>31.3122116748023</v>
      </c>
      <c r="DW179" s="259">
        <f t="shared" si="599"/>
        <v>30.9313890353714</v>
      </c>
      <c r="DX179" s="260">
        <f>DY179+各项系数!$L$9*$NV179</f>
        <v>31.2501404681465</v>
      </c>
      <c r="DY179" s="260">
        <f>DZ179*(1+$EB179+各项系数!$J$5+各项系数!$L$5)</f>
        <v>30.8693178287156</v>
      </c>
      <c r="DZ179" s="262">
        <f t="shared" si="600"/>
        <v>29.682036373765</v>
      </c>
      <c r="EA179" s="277">
        <f t="shared" si="802"/>
        <v>0</v>
      </c>
      <c r="EB179" s="277">
        <f t="shared" si="601"/>
        <v>0.02</v>
      </c>
      <c r="EC179" s="302">
        <f t="shared" si="649"/>
        <v>27</v>
      </c>
      <c r="ED179" s="302" t="str">
        <f t="shared" si="756"/>
        <v>27*1.5</v>
      </c>
      <c r="EE179" s="251">
        <f t="shared" si="812"/>
        <v>1.5</v>
      </c>
      <c r="EF179" s="251">
        <f>LOOKUP(EH179,{1,7,10,14,19,24,30,37,48,61},{1,"1+6","2+8","4+10","1+6+12","2+8+14","4+10+16","1+6+12+18","3+9+15+21","1+6+12+18+24"})</f>
        <v>1</v>
      </c>
      <c r="EG179" s="250">
        <f t="shared" si="602"/>
        <v>27</v>
      </c>
      <c r="EH179" s="260">
        <f>VLOOKUP(EE179,各项系数!$B$87:$C$124,2,0)</f>
        <v>1</v>
      </c>
      <c r="EI179" s="250">
        <f>IF(EH179=0,0,VLOOKUP(EH179,各项系数!$D$142:$E$195,2,0))*1</f>
        <v>1</v>
      </c>
      <c r="EJ179" s="305">
        <f t="shared" si="650"/>
        <v>134.922667214547</v>
      </c>
      <c r="EK179" s="251">
        <f t="shared" si="813"/>
        <v>0</v>
      </c>
      <c r="EL179" s="251">
        <f t="shared" si="603"/>
        <v>0</v>
      </c>
      <c r="EM179" s="251">
        <f t="shared" si="814"/>
        <v>0</v>
      </c>
      <c r="EN179" s="251">
        <f>IF(EP179=0,0,LOOKUP(EP179,{1,7,10,14,19,24,30,37,48,61},{1,"1+6","2+8","4+10","1+6+12","2+8+14","4+10+16","1+6+12+18","3+9+15+21","1+6+12+18+24"}))</f>
        <v>0</v>
      </c>
      <c r="EO179" s="251">
        <f t="shared" si="815"/>
        <v>0</v>
      </c>
      <c r="EP179" s="251">
        <f>IF(EM179=0,0,IF(EM179&lt;10,1,IF(AND(EM179&gt;=10,EM179&lt;=35),7,LOOKUP(EM179,{50,70,95,120,150,185,240,300},{10,14,19,24,30,37,48,61})*1)))</f>
        <v>0</v>
      </c>
      <c r="EQ179" s="251">
        <f>IF(EP179=0,0,VLOOKUP(EP179,各项系数!$D$142:$E$195,2,0))*1</f>
        <v>0</v>
      </c>
      <c r="ER179" s="69">
        <f t="shared" si="816"/>
        <v>0</v>
      </c>
      <c r="ES179" s="566">
        <f t="shared" si="817"/>
        <v>27</v>
      </c>
      <c r="ET179" s="251">
        <f>VLOOKUP(ES179,各项系数!$D$142:$E$195,2,0)*1</f>
        <v>6.15</v>
      </c>
      <c r="EU179" s="311">
        <f>((各项系数!$F$76/4*$EJ179^2*$EG179*$EH179*1*10^-7)*(1-$H179)*AA179)*(VLOOKUP($EY$9,各项系数!$D$4:$F$143,3,0))*各项系数!$J$4</f>
        <v>0.341466672989982</v>
      </c>
      <c r="EV179" s="312">
        <f>EU179*(VLOOKUP($EY$9,各项系数!$D$4:$F$143,2,0))</f>
        <v>22.3660670808438</v>
      </c>
      <c r="EW179" s="324">
        <f>(IF($EO179=0,0,(各项系数!$F$76/4*$ER179^2*$EO179*$EP179*1*10^-7))*(1-$K179)*$AF179)*(VLOOKUP($EY$9,各项系数!$D$4:$F$143,3,0))*各项系数!$J$4</f>
        <v>0</v>
      </c>
      <c r="EX179" s="325">
        <f>EW179*(VLOOKUP($EY$9,各项系数!$D$4:$F$143,2,0))</f>
        <v>0</v>
      </c>
      <c r="EY179" s="251">
        <f>((各项系数!$F$76/4*$EJ179^2*$EG179*$EH179*1*10^-7)*(1-$H179)*AA179+IF($EO179=0,0,(各项系数!$F$76/4*$ER179^2*$EO179*$EP179*1*10^-7))*(1-$K179)*$AF179)*(VLOOKUP($EY$9,各项系数!$D$4:$F$143,3,0))*各项系数!$J$4</f>
        <v>0.341466672989982</v>
      </c>
      <c r="EZ179" s="123">
        <v>1</v>
      </c>
      <c r="FA179" s="251">
        <f t="shared" si="757"/>
        <v>0.341466672989982</v>
      </c>
      <c r="FB179" s="326">
        <f>FA179*(VLOOKUP($EY$9,各项系数!$D$4:$F$143,2,0))</f>
        <v>22.3660670808438</v>
      </c>
      <c r="FC179" s="327"/>
      <c r="FD179" s="302">
        <f>各项系数!$F$76/4*($MN179^2-MK179^2)*10^-2*(VLOOKUP(L179,各项系数!$D$1:$F$143,3,0))*10^-3*10^2*$EG179*各项系数!$J$4</f>
        <v>0.133173386052098</v>
      </c>
      <c r="FE179" s="339">
        <f>FD179*VLOOKUP(L179,各项系数!$D$1:$F$143,2,0)</f>
        <v>1.53149393959913</v>
      </c>
      <c r="FF179" s="250">
        <f>各项系数!$F$76/4*($MO179^2-ML179^2)*10^-2*(VLOOKUP(L179,各项系数!$D$1:$F$143,3,0))*10^-3*10^2*$EO179*各项系数!$J$4</f>
        <v>0</v>
      </c>
      <c r="FG179" s="339">
        <f>FF179*VLOOKUP(L179,各项系数!$D$1:$F$143,2,0)</f>
        <v>0</v>
      </c>
      <c r="FH179" s="302">
        <f t="shared" si="651"/>
        <v>0.133173386052098</v>
      </c>
      <c r="FI179" s="123">
        <v>1</v>
      </c>
      <c r="FJ179" s="251">
        <f t="shared" si="758"/>
        <v>0.133173386052098</v>
      </c>
      <c r="FK179" s="339">
        <f>FJ179*VLOOKUP(L179,各项系数!$D$1:$F$143,2,0)</f>
        <v>1.53149393959913</v>
      </c>
      <c r="FL179" s="302"/>
      <c r="FM179" s="123"/>
      <c r="FN179" s="251"/>
      <c r="FO179" s="339"/>
      <c r="FP179" s="364">
        <f t="shared" si="759"/>
        <v>0.133173386052098</v>
      </c>
      <c r="FQ179" s="364">
        <f t="shared" si="760"/>
        <v>1.53149393959913</v>
      </c>
      <c r="FR179" s="365">
        <f>各项系数!$F$76/4*($MQ179^2-$MN179^2*$EG179-$MO179^2*$EO179)*10^-2</f>
        <v>0.642448874149597</v>
      </c>
      <c r="FS179" s="366">
        <f t="shared" si="652"/>
        <v>1</v>
      </c>
      <c r="FT179" s="367">
        <f t="shared" si="604"/>
        <v>0.642448874149597</v>
      </c>
      <c r="FU179" s="388">
        <f>$FT179*(VLOOKUP($FT$9,各项系数!$D$1:$F$143,3,0))*10^-3*10^2*各项系数!$J$55</f>
        <v>0.0767083955734619</v>
      </c>
      <c r="FV179" s="389">
        <v>1</v>
      </c>
      <c r="FW179" s="390">
        <f t="shared" si="761"/>
        <v>0.0767083955734619</v>
      </c>
      <c r="FX179" s="367">
        <f>FW179*(VLOOKUP($FT$9,各项系数!$D$1:$F$143,2,0))</f>
        <v>0.230125186720386</v>
      </c>
      <c r="FY179" s="388">
        <f>IF($BK179&lt;&gt;$FY$9,0,各项系数!$F$76/4*($MS179^2-$MQ179^2)*10^-2*(VLOOKUP($FY$9,各项系数!$D$1:$F$143,3,0))*10^-3*10^2)*各项系数!$J$4</f>
        <v>0</v>
      </c>
      <c r="FZ179" s="389">
        <v>1</v>
      </c>
      <c r="GA179" s="390">
        <f t="shared" si="762"/>
        <v>0</v>
      </c>
      <c r="GB179" s="367">
        <f>GA179*(VLOOKUP($FY$9,各项系数!$D$1:$F$143,2,0))</f>
        <v>0</v>
      </c>
      <c r="GC179" s="388">
        <f>IF($BK179&lt;&gt;$GC$9,0,各项系数!$F$76/4*($MS179^2-$MQ179^2)*10^-2*(VLOOKUP($GC$9,各项系数!$D$1:$F$143,3,0))*10^-3*10^2)*各项系数!$J$4</f>
        <v>0.00462840124317287</v>
      </c>
      <c r="GD179" s="389">
        <v>1</v>
      </c>
      <c r="GE179" s="390">
        <f t="shared" si="763"/>
        <v>0.00462840124317287</v>
      </c>
      <c r="GF179" s="367">
        <f>GE179*(VLOOKUP($GC$9,各项系数!$D$1:$F$143,2,0))</f>
        <v>0.0597063760369301</v>
      </c>
      <c r="GG179" s="388">
        <f>IF($BK179&lt;&gt;$GG$9,0,各项系数!$F$76/4*($MS179^2-$MQ179^2)*10^-2*(VLOOKUP($GG$9,各项系数!$D$1:$F$143,3,0))*10^-3*10^2)*各项系数!$J$4</f>
        <v>0</v>
      </c>
      <c r="GH179" s="389">
        <v>1</v>
      </c>
      <c r="GI179" s="390">
        <f t="shared" si="764"/>
        <v>0</v>
      </c>
      <c r="GJ179" s="367">
        <f>GI179*(VLOOKUP($GG$9,各项系数!$D$1:$F$143,2,0))</f>
        <v>0</v>
      </c>
      <c r="GK179" s="388">
        <f>IF($BK179&lt;&gt;$GK$9,0,各项系数!$F$76/4*($MS179^2-$MQ179^2)*10^-2*(VLOOKUP($GK$9,各项系数!$D$1:$F$143,3,0))*10^-3*10^2)*各项系数!$J$4</f>
        <v>0</v>
      </c>
      <c r="GL179" s="389">
        <v>1</v>
      </c>
      <c r="GM179" s="390">
        <f t="shared" si="765"/>
        <v>0</v>
      </c>
      <c r="GN179" s="367">
        <f>GM179*(VLOOKUP($GK$9,各项系数!$D$1:$F$143,2,0))</f>
        <v>0</v>
      </c>
      <c r="GO179" s="390">
        <f t="shared" si="766"/>
        <v>0.00462840124317287</v>
      </c>
      <c r="GP179" s="390">
        <f t="shared" si="767"/>
        <v>0.0597063760369301</v>
      </c>
      <c r="GQ179" s="406">
        <f>各项系数!$F$76/4*($MU179^2-$MS179^2)*10^-2*(VLOOKUP($S179,各项系数!$D$1:$F$143,3,0))*10^-3*10^2*各项系数!$J$4</f>
        <v>0.259361301330938</v>
      </c>
      <c r="GR179" s="389">
        <v>1</v>
      </c>
      <c r="GS179" s="390">
        <f t="shared" si="768"/>
        <v>0.259361301330938</v>
      </c>
      <c r="GT179" s="390">
        <f t="shared" si="696"/>
        <v>0</v>
      </c>
      <c r="GU179" s="390">
        <f>ROUND($GS179*(VLOOKUP($S179,各项系数!$D$1:$F$143,2,0))+$E$3*GS179,GT179)</f>
        <v>2</v>
      </c>
      <c r="GV179" s="406">
        <f>各项系数!$F$76/4*($MT179^2-$MS179^2)*10^-2*(VLOOKUP($GV$9,各项系数!$D$1:$F$143,3,0))*10^-3*10^2*各项系数!$J$4*PI()/4*R179</f>
        <v>0.0239748886396026</v>
      </c>
      <c r="GW179" s="389">
        <v>1</v>
      </c>
      <c r="GX179" s="390">
        <f t="shared" si="769"/>
        <v>0.0239748886396026</v>
      </c>
      <c r="GY179" s="390">
        <f>$GX179*(VLOOKUP($GV$9,各项系数!$D$1:$F$143,2,0))</f>
        <v>1.61830498317317</v>
      </c>
      <c r="GZ179" s="406">
        <f>各项系数!$F$76/4*($MV179^2-$MS179^2)*10^-2*(VLOOKUP($GZ$9,各项系数!$D$1:$F$143,3,0))*10^-3*10^2*各项系数!$J$4</f>
        <v>0.154064140516275</v>
      </c>
      <c r="HA179" s="389">
        <v>1</v>
      </c>
      <c r="HB179" s="390">
        <f t="shared" si="653"/>
        <v>0.154064140516275</v>
      </c>
      <c r="HC179" s="390">
        <f>HB179*(VLOOKUP($GZ$9,各项系数!$D$1:$F$143,2,0))</f>
        <v>2.61909038877667</v>
      </c>
      <c r="HD179" s="406">
        <f>各项系数!$F$76/4*($MW179^2-$MT179^2)*10^-2*(VLOOKUP($HD$9,各项系数!$D$1:$F$143,3,0))*10^-3*10^2*各项系数!$J$4</f>
        <v>0.155369509962953</v>
      </c>
      <c r="HE179" s="389">
        <v>1</v>
      </c>
      <c r="HF179" s="390">
        <f t="shared" si="654"/>
        <v>0.155369509962953</v>
      </c>
      <c r="HG179" s="390">
        <f>HF179*(VLOOKUP($HD$9,各项系数!$D$1:$F$143,2,0))</f>
        <v>2.6412816693702</v>
      </c>
      <c r="HH179" s="406">
        <f>各项系数!$F$76/4*($MV179^2-$MS179^2)*10^-2*(VLOOKUP($HH$9,各项系数!$D$1:$F$143,3,0))*10^-3*10^2*各项系数!$J$4</f>
        <v>0.154064140516275</v>
      </c>
      <c r="HI179" s="420">
        <v>1</v>
      </c>
      <c r="HJ179" s="390">
        <f t="shared" si="655"/>
        <v>0.154064140516275</v>
      </c>
      <c r="HK179" s="390">
        <f>HJ179*(VLOOKUP($HH$9,各项系数!$D$1:$F$143,2,0))</f>
        <v>2.61909038877667</v>
      </c>
      <c r="HL179" s="406">
        <f>各项系数!$F$76/4*($MW179^2-$MT179^2)*10^-2*(VLOOKUP($HL$9,各项系数!$D$1:$F$143,3,0))*10^-3*10^2*各项系数!$J$4</f>
        <v>0.155369509962953</v>
      </c>
      <c r="HM179" s="420">
        <v>1</v>
      </c>
      <c r="HN179" s="390">
        <f t="shared" si="605"/>
        <v>0.155369509962953</v>
      </c>
      <c r="HO179" s="390">
        <f>HN179*(VLOOKUP($HL$9,各项系数!$D$1:$F$143,2,0))</f>
        <v>2.6412816693702</v>
      </c>
      <c r="HP179" s="406">
        <f>各项系数!$F$76/4*($MV179^2-$MS179^2)*10^-2*(VLOOKUP(AN179,各项系数!$D$1:$F$143,3,0))*10^-3*10^2*各项系数!$J$4</f>
        <v>0.156189163144086</v>
      </c>
      <c r="HQ179" s="389">
        <v>1</v>
      </c>
      <c r="HR179" s="390">
        <f t="shared" si="770"/>
        <v>0.156189163144086</v>
      </c>
      <c r="HS179" s="390">
        <f>HR179*(VLOOKUP(AN179,各项系数!$D$1:$F$143,2,0))</f>
        <v>1.56189163144086</v>
      </c>
      <c r="HT179" s="406">
        <f>各项系数!$F$76/4*($MW179^2-$MT179^2)*10^-2*(VLOOKUP(AN179,各项系数!$D$1:$F$143,3,0))*10^-3*10^2*各项系数!$J$4</f>
        <v>0.15751253768658</v>
      </c>
      <c r="HU179" s="389">
        <v>1</v>
      </c>
      <c r="HV179" s="390">
        <f t="shared" si="771"/>
        <v>0.15751253768658</v>
      </c>
      <c r="HW179" s="390">
        <f>HV179*(VLOOKUP(AN179,各项系数!$D$1:$F$143,2,0))</f>
        <v>1.5751253768658</v>
      </c>
      <c r="HX179" s="406">
        <f>各项系数!$F$76/4*($MV179^2-$MS179^2)*10^-2*(VLOOKUP($HX$9,各项系数!$D$1:$F$143,3,0))*10^-3*10^2*各项系数!$J$4</f>
        <v>0.156189163144086</v>
      </c>
      <c r="HY179" s="420">
        <v>1</v>
      </c>
      <c r="HZ179" s="390">
        <f t="shared" si="772"/>
        <v>0.156189163144086</v>
      </c>
      <c r="IA179" s="390">
        <f>HZ179*(VLOOKUP($HX$9,各项系数!$D$1:$F$143,2,0))</f>
        <v>1.71808079458494</v>
      </c>
      <c r="IB179" s="406">
        <f>各项系数!$F$76/4*($MW179^2-$MT179^2)*10^-2*(VLOOKUP($IB$9,各项系数!$D$1:$F$143,3,0))*10^-3*10^2*各项系数!$J$4</f>
        <v>0.15751253768658</v>
      </c>
      <c r="IC179" s="420">
        <v>1</v>
      </c>
      <c r="ID179" s="390">
        <f t="shared" si="773"/>
        <v>0.15751253768658</v>
      </c>
      <c r="IE179" s="390">
        <f>ID179*(VLOOKUP($IB$9,各项系数!$D$1:$F$143,2,0))</f>
        <v>1.73263791455238</v>
      </c>
      <c r="IF179" s="429"/>
      <c r="IG179" s="406">
        <f t="shared" si="656"/>
        <v>0.0626368026432752</v>
      </c>
      <c r="IH179" s="389">
        <v>1</v>
      </c>
      <c r="II179" s="390">
        <f t="shared" si="774"/>
        <v>0.0626368026432752</v>
      </c>
      <c r="IJ179" s="390">
        <f>II179*(VLOOKUP($IG$8,各项系数!$D$1:$F$143,2,0))</f>
        <v>1.56592006608188</v>
      </c>
      <c r="IK179" s="406">
        <f>(各项系数!$F$76/4*($MX179^2-$MK179^2)*$EG179)*10^-2*(VLOOKUP($IG$8,各项系数!$D$1:$F$143,3,0))*10^-3*10^2*各项系数!$J$4</f>
        <v>0.0626368026432752</v>
      </c>
      <c r="IL179" s="389">
        <f>IK179*(VLOOKUP($IG$8,各项系数!$D$1:$F$143,2,0))</f>
        <v>1.56592006608188</v>
      </c>
      <c r="IM179" s="390">
        <f>(各项系数!$F$76/4*(($MM179+3*$X179)^2-MM179^2)*$EO179)*10^-2*(VLOOKUP($IG$8,各项系数!$D$1:$F$143,3,0))*10^-3*10^2*各项系数!$J$4</f>
        <v>0</v>
      </c>
      <c r="IN179" s="389">
        <f>IM179*(VLOOKUP($IG$8,各项系数!$D$1:$F$143,2,0))</f>
        <v>0</v>
      </c>
      <c r="IO179" s="406">
        <f>各项系数!$F$76/4*($MZ179^2-$MX179^2)*10^-2*(VLOOKUP(L179,各项系数!$D$1:$F$143,3,0))*10^-3*10^2*$ES179*各项系数!$J$4</f>
        <v>0.172165671679173</v>
      </c>
      <c r="IP179" s="389">
        <v>1</v>
      </c>
      <c r="IQ179" s="390">
        <f t="shared" si="775"/>
        <v>0.172165671679173</v>
      </c>
      <c r="IR179" s="367">
        <f>IQ179*(VLOOKUP(L179,各项系数!$D$1:$F$143,2,0))</f>
        <v>1.97990522431049</v>
      </c>
      <c r="IS179" s="406">
        <f>IF($L179&lt;&gt;$IS$9,0,各项系数!$F$76/4*($MZ179^2-$MX179^2)*10^-2*各项系数!$F$12*10^-3*10^2)*$ES179*各项系数!$J$4</f>
        <v>0</v>
      </c>
      <c r="IT179" s="389">
        <v>1</v>
      </c>
      <c r="IU179" s="390">
        <f t="shared" si="776"/>
        <v>0</v>
      </c>
      <c r="IV179" s="367">
        <f>IU179*各项系数!$E$12</f>
        <v>0</v>
      </c>
      <c r="IW179" s="388">
        <f t="shared" si="777"/>
        <v>0.172165671679173</v>
      </c>
      <c r="IX179" s="388">
        <f t="shared" si="778"/>
        <v>1.97990522431049</v>
      </c>
      <c r="IY179" s="447">
        <f>各项系数!$F$76/4*($NB179^2-$MZ179^2*$EG179-$NA179^2*$EO179)*10^-2</f>
        <v>0.953468956139249</v>
      </c>
      <c r="IZ179" s="366">
        <f t="shared" si="697"/>
        <v>1</v>
      </c>
      <c r="JA179" s="367">
        <f t="shared" si="606"/>
        <v>0.953468956139249</v>
      </c>
      <c r="JB179" s="364">
        <f>IF($DE179&lt;&gt;$JB$9,0,$JA179*各项系数!$F$32*10^-3*10^2)*各项系数!$J$4</f>
        <v>0</v>
      </c>
      <c r="JC179" s="123">
        <v>1</v>
      </c>
      <c r="JD179" s="251">
        <f t="shared" si="779"/>
        <v>0</v>
      </c>
      <c r="JE179" s="339">
        <f>JD179*各项系数!$E$32</f>
        <v>0</v>
      </c>
      <c r="JF179" s="364">
        <f>IF($DE179&lt;&gt;$JF$9,0,$JA179*VLOOKUP($JF$9,各项系数!$D$4:$F$540,2,0)*10^-3*10^2)*各项系数!$J$4</f>
        <v>0.474350805679276</v>
      </c>
      <c r="JG179" s="123">
        <v>1</v>
      </c>
      <c r="JH179" s="251">
        <f t="shared" si="607"/>
        <v>0.474350805679276</v>
      </c>
      <c r="JI179" s="339">
        <f>JH179*VLOOKUP($JF$9,各项系数!$D$4:$F$540,3,0)</f>
        <v>0.569220966815132</v>
      </c>
      <c r="JJ179" s="364">
        <f t="shared" si="780"/>
        <v>0.474350805679276</v>
      </c>
      <c r="JK179" s="251">
        <f t="shared" si="781"/>
        <v>0.569220966815132</v>
      </c>
      <c r="JL179" s="364">
        <f>IF($DF179&lt;&gt;$JL$9,0,各项系数!$F$76/4*($NE179^2-$NC179^2)*10^-2*各项系数!$F$39*10^-3*10^2)*各项系数!$J$4</f>
        <v>0.00233140603860448</v>
      </c>
      <c r="JM179" s="123">
        <v>1</v>
      </c>
      <c r="JN179" s="251">
        <f t="shared" si="782"/>
        <v>0.00233140603860448</v>
      </c>
      <c r="JO179" s="339">
        <f>JN179*各项系数!$E$39</f>
        <v>0.0466281207720896</v>
      </c>
      <c r="JP179" s="364">
        <f>IF($DF179&lt;&gt;$JP$9,0,各项系数!$F$76/4*($NE179^2-$NC179^2)*10^-2*各项系数!$F$36*10^-3*10^2)*各项系数!$J$4</f>
        <v>0</v>
      </c>
      <c r="JQ179" s="123">
        <v>1</v>
      </c>
      <c r="JR179" s="251">
        <f t="shared" si="783"/>
        <v>0</v>
      </c>
      <c r="JS179" s="339">
        <f>JR179*各项系数!$E$36</f>
        <v>0</v>
      </c>
      <c r="JT179" s="364">
        <f>IF($DF179&lt;&gt;$JT$9,0,各项系数!$F$76/4*($NE179^2-$NC179^2)*10^-2*各项系数!$F$40*10^-3*10^2)*各项系数!$J$4</f>
        <v>0</v>
      </c>
      <c r="JU179" s="123">
        <v>1</v>
      </c>
      <c r="JV179" s="251">
        <f t="shared" si="784"/>
        <v>0</v>
      </c>
      <c r="JW179" s="339">
        <f>JV179*各项系数!$E$40</f>
        <v>0</v>
      </c>
      <c r="JX179" s="364">
        <f>IF($DF179&lt;&gt;$JX$9,0,各项系数!$F$76/4*($NE179^2-$NC179^2)*10^-2*各项系数!$F$38*10^-3*10^2)*各项系数!$J$4</f>
        <v>0</v>
      </c>
      <c r="JY179" s="123">
        <v>1</v>
      </c>
      <c r="JZ179" s="251">
        <f t="shared" si="785"/>
        <v>0</v>
      </c>
      <c r="KA179" s="339">
        <f>JZ179*各项系数!$E$38</f>
        <v>0</v>
      </c>
      <c r="KB179" s="364">
        <f>IF($DF179&lt;&gt;$KB$9,0,各项系数!$F$76/4*($NE179^2-$NC179^2)*10^-2*各项系数!$F$41*10^-3*10^2)*各项系数!$J$4</f>
        <v>0</v>
      </c>
      <c r="KC179" s="123">
        <v>1</v>
      </c>
      <c r="KD179" s="251">
        <f t="shared" si="786"/>
        <v>0</v>
      </c>
      <c r="KE179" s="339">
        <f>KD179*各项系数!$E$41</f>
        <v>0</v>
      </c>
      <c r="KF179" s="251">
        <f t="shared" si="787"/>
        <v>0.00233140603860448</v>
      </c>
      <c r="KG179" s="251">
        <f t="shared" si="788"/>
        <v>0.0466281207720896</v>
      </c>
      <c r="KH179" s="302">
        <f>各项系数!$F$76/4*($NG179^2-$NE179^2)*10^-2*各项系数!$F$44*10^-3*10^2*各项系数!$J$4*0.75*$U179</f>
        <v>0.943259727183056</v>
      </c>
      <c r="KI179" s="123">
        <v>1</v>
      </c>
      <c r="KJ179" s="251">
        <f t="shared" si="789"/>
        <v>0.943259727183056</v>
      </c>
      <c r="KK179" s="251">
        <f>ROUND(KJ179*各项系数!$E$43,GT179)</f>
        <v>5</v>
      </c>
      <c r="KL179" s="302">
        <f>各项系数!$F$76/4*($NF179^2-$NE179^2)*10^-2*各项系数!$F$46*10^-3*10^2*各项系数!$J$4*PI()/4*R179</f>
        <v>0.0292186007252756</v>
      </c>
      <c r="KM179" s="123">
        <v>1</v>
      </c>
      <c r="KN179" s="251">
        <f t="shared" si="790"/>
        <v>0.0292186007252756</v>
      </c>
      <c r="KO179" s="251">
        <f>KN179*各项系数!$E$46</f>
        <v>1.9722555489561</v>
      </c>
      <c r="KP179" s="302">
        <f>各项系数!$F$76/4*($NH179^2-$NE179^2)*10^-2*(VLOOKUP($KP$9,各项系数!$D$1:$F$143,3,0))*10^-3*10^2*各项系数!$J$4</f>
        <v>0.184691371158967</v>
      </c>
      <c r="KQ179" s="123">
        <v>1</v>
      </c>
      <c r="KR179" s="251">
        <f t="shared" si="657"/>
        <v>0.184691371158967</v>
      </c>
      <c r="KS179" s="251">
        <f>KR179*(VLOOKUP($KP$9,各项系数!$D$1:$F$143,2,0))</f>
        <v>3.13975330970243</v>
      </c>
      <c r="KT179" s="302">
        <f>各项系数!$F$76/4*($NI179^2-$NF179^2)*10^-2*(VLOOKUP($KT$9,各项系数!$D$1:$F$143,3,0))*10^-3*10^2*各项系数!$J$4</f>
        <v>0.185996740605645</v>
      </c>
      <c r="KU179" s="123">
        <v>1</v>
      </c>
      <c r="KV179" s="251">
        <f t="shared" si="658"/>
        <v>0.185996740605645</v>
      </c>
      <c r="KW179" s="251">
        <f>KV179*(VLOOKUP($KT$9,各项系数!$D$1:$F$143,2,0))</f>
        <v>3.16194459029597</v>
      </c>
      <c r="KX179" s="251">
        <f>各项系数!$F$76/4*($NH179^2-$NE179^2)*10^-2*(VLOOKUP($KX$9,各项系数!$D$1:$F$143,3,0))*10^-3*10^2*各项系数!$J$4</f>
        <v>0.184691371158967</v>
      </c>
      <c r="KY179" s="479">
        <v>1</v>
      </c>
      <c r="KZ179" s="251">
        <f t="shared" si="659"/>
        <v>0.184691371158967</v>
      </c>
      <c r="LA179" s="251">
        <f>KZ179*(VLOOKUP($KX$9,各项系数!$D$1:$F$143,2,0))</f>
        <v>3.13975330970243</v>
      </c>
      <c r="LB179" s="251">
        <f>各项系数!$F$76/4*($NI179^2-$NF179^2)*10^-2*(VLOOKUP($LB$9,各项系数!$D$1:$F$143,3,0))*10^-3*10^2*各项系数!$J$4</f>
        <v>0.185996740605645</v>
      </c>
      <c r="LC179" s="479">
        <v>1</v>
      </c>
      <c r="LD179" s="251">
        <f t="shared" si="660"/>
        <v>0.185996740605645</v>
      </c>
      <c r="LE179" s="251">
        <f>LD179*(VLOOKUP($LB$9,各项系数!$D$1:$F$143,2,0))</f>
        <v>3.16194459029597</v>
      </c>
      <c r="LF179" s="302">
        <f>各项系数!$F$76/4*($NH179^2-$NE179^2)*10^-2*(VLOOKUP(AN179,各项系数!$D$1:$F$143,3,0))*10^-3*10^2*各项系数!$J$4</f>
        <v>0.187238838347366</v>
      </c>
      <c r="LG179" s="123">
        <v>1</v>
      </c>
      <c r="LH179" s="251">
        <f t="shared" si="791"/>
        <v>0.187238838347366</v>
      </c>
      <c r="LI179" s="251">
        <f>LH179*(VLOOKUP(AN179,各项系数!$D$1:$F$143,2,0))</f>
        <v>1.87238838347366</v>
      </c>
      <c r="LJ179" s="302">
        <f>各项系数!$F$76/4*($NI179^2-$NF179^2)*10^-2*(VLOOKUP(AN179,各项系数!$D$1:$F$143,3,0))*10^-3*10^2*各项系数!$J$4</f>
        <v>0.188562212889861</v>
      </c>
      <c r="LK179" s="123">
        <v>1</v>
      </c>
      <c r="LL179" s="251">
        <f t="shared" si="792"/>
        <v>0.188562212889861</v>
      </c>
      <c r="LM179" s="251">
        <f>LL179*(VLOOKUP(AN179,各项系数!$D$1:$F$143,2,0))</f>
        <v>1.88562212889861</v>
      </c>
      <c r="LN179" s="251">
        <f>各项系数!$F$76/4*($NH179^2-$NE179^2)*10^-2*(VLOOKUP($LN$9,各项系数!$D$1:$F$143,3,0))*10^-3*10^2*各项系数!$J$4</f>
        <v>0.187238838347366</v>
      </c>
      <c r="LO179" s="479">
        <v>1</v>
      </c>
      <c r="LP179" s="251">
        <f t="shared" si="793"/>
        <v>0.187238838347366</v>
      </c>
      <c r="LQ179" s="251">
        <f>LP179*(VLOOKUP($LN$9,各项系数!$D$1:$F$143,2,0))</f>
        <v>2.05962722182103</v>
      </c>
      <c r="LR179" s="251">
        <f>各项系数!$F$76/4*($NI179^2-$NF179^2)*10^-2*(VLOOKUP($LR$9,各项系数!$D$1:$F$143,3,0))*10^-3*10^2*各项系数!$J$4</f>
        <v>0.188562212889861</v>
      </c>
      <c r="LS179" s="479">
        <v>1</v>
      </c>
      <c r="LT179" s="251">
        <f t="shared" si="794"/>
        <v>0.188562212889861</v>
      </c>
      <c r="LU179" s="251">
        <f>LT179*(VLOOKUP($LR$9,各项系数!$D$1:$F$143,2,0))</f>
        <v>2.07418434178847</v>
      </c>
      <c r="LV179" s="499">
        <f t="shared" si="661"/>
        <v>38.60321539</v>
      </c>
      <c r="LW179" s="499">
        <f t="shared" si="662"/>
        <v>38.60321539</v>
      </c>
      <c r="LX179" s="499">
        <f t="shared" si="663"/>
        <v>7.01078742998795</v>
      </c>
      <c r="LY179" s="515">
        <f t="shared" si="664"/>
        <v>0</v>
      </c>
      <c r="LZ179" s="516">
        <f t="shared" si="608"/>
        <v>1</v>
      </c>
      <c r="MA179" s="517">
        <f t="shared" si="609"/>
        <v>38.60321539</v>
      </c>
      <c r="MB179" s="517">
        <f t="shared" si="665"/>
        <v>1.34922667</v>
      </c>
      <c r="MC179" s="499">
        <f t="shared" si="666"/>
        <v>0</v>
      </c>
      <c r="MD179" s="499">
        <f t="shared" si="667"/>
        <v>0</v>
      </c>
      <c r="ME179" s="499">
        <f t="shared" si="668"/>
        <v>0</v>
      </c>
      <c r="MF179" s="499">
        <f t="shared" si="669"/>
        <v>0</v>
      </c>
      <c r="MG179" s="516">
        <f t="shared" si="670"/>
        <v>1</v>
      </c>
      <c r="MH179" s="517">
        <f t="shared" si="610"/>
        <v>0</v>
      </c>
      <c r="MI179" s="517">
        <f t="shared" si="671"/>
        <v>0</v>
      </c>
      <c r="MJ179" s="251">
        <f t="shared" si="611"/>
        <v>1.34922667</v>
      </c>
      <c r="MK179" s="251">
        <f t="shared" si="672"/>
        <v>1.34922667</v>
      </c>
      <c r="ML179" s="251">
        <f t="shared" si="795"/>
        <v>0</v>
      </c>
      <c r="MM179" s="251">
        <f t="shared" si="612"/>
        <v>0</v>
      </c>
      <c r="MN179" s="251">
        <f t="shared" si="613"/>
        <v>2.74922667</v>
      </c>
      <c r="MO179" s="251">
        <f t="shared" si="673"/>
        <v>0</v>
      </c>
      <c r="MP179" s="251">
        <f t="shared" si="674"/>
        <v>16.90774402</v>
      </c>
      <c r="MQ179" s="251">
        <f t="shared" si="796"/>
        <v>16.90774402</v>
      </c>
      <c r="MR179" s="314">
        <f t="shared" si="675"/>
        <v>16.90774402</v>
      </c>
      <c r="MS179" s="530">
        <f t="shared" si="614"/>
        <v>17.08374402</v>
      </c>
      <c r="MT179" s="530">
        <f t="shared" si="615"/>
        <v>17.24374402</v>
      </c>
      <c r="MU179" s="530">
        <f t="shared" si="616"/>
        <v>18.28374402</v>
      </c>
      <c r="MV179" s="530">
        <f t="shared" si="617"/>
        <v>20.68374402</v>
      </c>
      <c r="MW179" s="530">
        <f t="shared" si="618"/>
        <v>20.84374402</v>
      </c>
      <c r="MX179" s="326">
        <f t="shared" si="619"/>
        <v>1.94922667</v>
      </c>
      <c r="MY179" s="326">
        <f t="shared" si="620"/>
        <v>0</v>
      </c>
      <c r="MZ179" s="251">
        <f t="shared" si="621"/>
        <v>3.34922667</v>
      </c>
      <c r="NA179" s="251">
        <f t="shared" si="622"/>
        <v>0</v>
      </c>
      <c r="NB179" s="251">
        <f t="shared" si="676"/>
        <v>20.59774402</v>
      </c>
      <c r="NC179" s="326">
        <f t="shared" si="797"/>
        <v>20.59774402</v>
      </c>
      <c r="ND179" s="314">
        <f t="shared" si="677"/>
        <v>20.59774402</v>
      </c>
      <c r="NE179" s="537">
        <f t="shared" si="678"/>
        <v>20.83774402</v>
      </c>
      <c r="NF179" s="530">
        <f t="shared" si="623"/>
        <v>20.99774402</v>
      </c>
      <c r="NG179" s="538">
        <f t="shared" si="624"/>
        <v>22.03774402</v>
      </c>
      <c r="NH179" s="326">
        <f t="shared" si="625"/>
        <v>24.43774402</v>
      </c>
      <c r="NI179" s="530">
        <f t="shared" si="626"/>
        <v>24.59774402</v>
      </c>
      <c r="NK179" s="539">
        <f t="shared" si="627"/>
        <v>0.712166019002801</v>
      </c>
      <c r="NL179" s="539">
        <f t="shared" si="628"/>
        <v>25.7492842146411</v>
      </c>
      <c r="NM179" s="539">
        <f t="shared" si="629"/>
        <v>0.712166019002801</v>
      </c>
      <c r="NN179" s="539">
        <f t="shared" si="630"/>
        <v>25.9054733777852</v>
      </c>
      <c r="NO179" s="539">
        <f t="shared" si="631"/>
        <v>1.24019019737768</v>
      </c>
      <c r="NP179" s="539">
        <f t="shared" si="632"/>
        <v>28.4001298422971</v>
      </c>
      <c r="NQ179" s="539">
        <f t="shared" si="633"/>
        <v>1.24019019737768</v>
      </c>
      <c r="NR179" s="539">
        <f t="shared" si="634"/>
        <v>28.5873686806445</v>
      </c>
      <c r="NS179" s="539">
        <f t="shared" si="635"/>
        <v>0.736140907642403</v>
      </c>
      <c r="NT179" s="539">
        <f t="shared" si="636"/>
        <v>0.736140907642403</v>
      </c>
      <c r="NU179" s="539">
        <f t="shared" si="637"/>
        <v>1.26940879810295</v>
      </c>
      <c r="NV179" s="539">
        <f t="shared" si="638"/>
        <v>1.26940879810295</v>
      </c>
      <c r="NW179">
        <f t="shared" si="639"/>
        <v>0.971527320333738</v>
      </c>
      <c r="NX179">
        <f>各项系数!$M$9*NK179</f>
        <v>0.21364980570084</v>
      </c>
      <c r="NY179">
        <f t="shared" si="640"/>
        <v>0.736140907642403</v>
      </c>
    </row>
    <row r="180" customHeight="1" spans="1:389">
      <c r="A180" s="85"/>
      <c r="B180" s="86"/>
      <c r="C180" s="218"/>
      <c r="D180" s="123" t="s">
        <v>151</v>
      </c>
      <c r="E180" s="77">
        <f t="shared" si="805"/>
        <v>21.39854295</v>
      </c>
      <c r="F180" s="559">
        <f t="shared" si="798"/>
        <v>134.922667214547</v>
      </c>
      <c r="G180" s="23"/>
      <c r="H180" s="23"/>
      <c r="I180" s="174">
        <v>0</v>
      </c>
      <c r="J180" s="23"/>
      <c r="K180" s="23"/>
      <c r="L180" s="118" t="s">
        <v>469</v>
      </c>
      <c r="M180" s="124">
        <f t="shared" si="582"/>
        <v>0.7</v>
      </c>
      <c r="N180" s="124">
        <f t="shared" si="804"/>
        <v>0</v>
      </c>
      <c r="O180" s="69">
        <f t="shared" si="819"/>
        <v>0.08</v>
      </c>
      <c r="P180" s="120">
        <v>0.1</v>
      </c>
      <c r="Q180" s="162">
        <f t="shared" si="806"/>
        <v>0.1</v>
      </c>
      <c r="R180" s="560">
        <v>0.8</v>
      </c>
      <c r="S180" s="171" t="str">
        <f>各项系数!$D$43</f>
        <v>钢带</v>
      </c>
      <c r="T180" s="123">
        <v>0.2</v>
      </c>
      <c r="U180" s="78">
        <v>4</v>
      </c>
      <c r="V180" s="172"/>
      <c r="W180" s="170">
        <f t="shared" si="818"/>
        <v>1.8</v>
      </c>
      <c r="X180" s="164">
        <f t="shared" si="807"/>
        <v>0.2</v>
      </c>
      <c r="Y180" s="219"/>
      <c r="Z180" s="220"/>
      <c r="AA180" s="217">
        <v>1</v>
      </c>
      <c r="AB180" s="186">
        <f>PI()*EJ180*EJ180/4*EH180*(1-H180)*AA180*各项系数!$F$5*各项系数!$J$4*10^-7</f>
        <v>0.0126469138144438</v>
      </c>
      <c r="AC180" s="186">
        <f t="shared" si="808"/>
        <v>134.922667214547</v>
      </c>
      <c r="AD180" s="186">
        <f t="shared" si="584"/>
        <v>1.42974872274124</v>
      </c>
      <c r="AE180" s="186">
        <f>POWER(4*EU180/PI()/EG180/10^-7/EH180/(1-H180)/各项系数!$F$5/各项系数!$J$4,0.5)</f>
        <v>134.922667214547</v>
      </c>
      <c r="AF180" s="218">
        <v>1</v>
      </c>
      <c r="AG180" s="85">
        <f>IF(EM180=0,0,PI()*ER180*ER180/4*EP180*(1-K180)*(1+AF180)*各项系数!$F$5*各项系数!$J$4*10^-7)</f>
        <v>0</v>
      </c>
      <c r="AH180" s="85">
        <f t="shared" si="809"/>
        <v>0</v>
      </c>
      <c r="AI180" s="85">
        <f t="shared" si="641"/>
        <v>0</v>
      </c>
      <c r="AJ180" s="85">
        <f>IF(OR(EP180="",EP180=0),0,POWER(4*EW180/PI()/EO180/10^-7/EP180/(1-K180)/各项系数!$F$5/各项系数!$J$4,0.5))</f>
        <v>0</v>
      </c>
      <c r="AK180" s="85" t="str">
        <f t="shared" si="585"/>
        <v>√</v>
      </c>
      <c r="AL180" s="85">
        <f t="shared" si="810"/>
        <v>30.0780152309324</v>
      </c>
      <c r="AM180" s="250">
        <f t="shared" si="811"/>
        <v>1.5</v>
      </c>
      <c r="AN180" s="118" t="s">
        <v>486</v>
      </c>
      <c r="AO180" s="259">
        <f>AP180+各项系数!$M$9*$NK180</f>
        <v>29.4882502264043</v>
      </c>
      <c r="AP180" s="259">
        <f>AQ180*(1+$BI180+(VLOOKUP($AM180,$A$12:$B$323,2,0))+各项系数!$J$6+各项系数!$M$5)*(1+$E$2)</f>
        <v>29.2563822767269</v>
      </c>
      <c r="AQ180" s="260">
        <f>AR180+各项系数!$L$9*$NK180</f>
        <v>29.5578725770124</v>
      </c>
      <c r="AR180" s="260">
        <f>AS180*(1+$BJ180+各项系数!$J$5+各项系数!$L$5)</f>
        <v>29.326004627335</v>
      </c>
      <c r="AS180" s="260">
        <f t="shared" si="642"/>
        <v>28.4718491527524</v>
      </c>
      <c r="AT180" s="259">
        <f>AU180+各项系数!$M$9*$NM180</f>
        <v>30.6068558503765</v>
      </c>
      <c r="AU180" s="259">
        <f>AV180*(1+$BI180+(VLOOKUP($AM180,$A$12:$B$323,2,0))+各项系数!$J$6+各项系数!$M$5)*(1+$E$2)</f>
        <v>30.374987900699</v>
      </c>
      <c r="AV180" s="260">
        <f>AW180+各项系数!$L$9*$NM180</f>
        <v>30.6880055573843</v>
      </c>
      <c r="AW180" s="260">
        <f>AX180*(1+$BJ180+各项系数!$J$5+各项系数!$L$5)</f>
        <v>30.4561376077069</v>
      </c>
      <c r="AX180" s="260">
        <f t="shared" si="643"/>
        <v>29.5690656385504</v>
      </c>
      <c r="AY180" s="259">
        <f>AZ180+各项系数!$M$9*$NS180</f>
        <v>31.2352112780364</v>
      </c>
      <c r="AZ180" s="259">
        <f>BA180*(1+$BI180+(VLOOKUP($AM180,$A$12:$B$214,2,0))+各项系数!$J$6+各项系数!$M$5)*(1+$E$2)</f>
        <v>30.9958513252896</v>
      </c>
      <c r="BA180" s="260">
        <f>BB180+各项系数!$L$9*$NS180</f>
        <v>31.3152670491914</v>
      </c>
      <c r="BB180" s="260">
        <f>BC180*(1+$BJ180+各项系数!$J$5+各项系数!$L$5)</f>
        <v>31.0759070964446</v>
      </c>
      <c r="BC180" s="262">
        <f t="shared" si="644"/>
        <v>30.1707835887811</v>
      </c>
      <c r="BD180" s="259">
        <f>BE180+各项系数!$M$9*$NS180</f>
        <v>32.3629490553677</v>
      </c>
      <c r="BE180" s="259">
        <f>BF180*(1+$BI180+(VLOOKUP($AM180,$A$12:$B$214,2,0))+各项系数!$J$6+各项系数!$M$5)*(1+$E$2)</f>
        <v>32.1235891026209</v>
      </c>
      <c r="BF180" s="260">
        <f>BG180+各项系数!$L$9*$NS180</f>
        <v>32.4546262907869</v>
      </c>
      <c r="BG180" s="260">
        <f>BH180*(1+$BJ180+各项系数!$J$5+各项系数!$L$5)</f>
        <v>32.2152663380401</v>
      </c>
      <c r="BH180" s="262">
        <f t="shared" si="645"/>
        <v>31.2769576097477</v>
      </c>
      <c r="BI180" s="277"/>
      <c r="BJ180" s="272">
        <f t="shared" si="800"/>
        <v>0.01</v>
      </c>
      <c r="BK180" s="123" t="s">
        <v>514</v>
      </c>
      <c r="BL180" s="259">
        <f>BM180+各项系数!$M$9*$NM180</f>
        <v>29.9369304016741</v>
      </c>
      <c r="BM180" s="259">
        <f>BN180*(1+$CF180+(VLOOKUP($AM180,$A$12:$B$323,2,0))+各项系数!$J$6+各项系数!$M$5)*(1+$E$2)</f>
        <v>29.7050624519967</v>
      </c>
      <c r="BN180" s="260">
        <f>BO180+各项系数!$L$9*$NM180</f>
        <v>30.0111764518051</v>
      </c>
      <c r="BO180" s="260">
        <f>BP180*(1+$CG180+各项系数!$J$5+各项系数!$L$5)</f>
        <v>29.7793085021276</v>
      </c>
      <c r="BP180" s="260">
        <f t="shared" si="646"/>
        <v>28.633950482815</v>
      </c>
      <c r="BQ180" s="259">
        <f>BR180+各项系数!$M$9*$NM180</f>
        <v>30.8995304620668</v>
      </c>
      <c r="BR180" s="259">
        <f>BS180*(1+$CF180+(VLOOKUP($AM180,$A$12:$B$323,2,0))+各项系数!$J$6+各项系数!$M$5)*(1+$E$2)</f>
        <v>30.6676625123894</v>
      </c>
      <c r="BS180" s="260">
        <f>BT180+各项系数!$L$9*$NM180</f>
        <v>30.9836962137698</v>
      </c>
      <c r="BT180" s="260">
        <f>BU180*(1+$CG180+各项系数!$J$5+各项系数!$L$5)</f>
        <v>30.7518282640924</v>
      </c>
      <c r="BU180" s="260">
        <f t="shared" si="647"/>
        <v>29.5690656385504</v>
      </c>
      <c r="BV180" s="259">
        <f>BW180+各项系数!$M$9*$NT180</f>
        <v>31.473330412735</v>
      </c>
      <c r="BW180" s="259">
        <f>BX180*(1+$CF180+(VLOOKUP($AM180,$A$12:$B$214,2,0))+各项系数!$J$6+各项系数!$M$5)*(1+$E$2)</f>
        <v>31.2339704599882</v>
      </c>
      <c r="BX180" s="260">
        <f>BY180+各项系数!$L$9*$NT$12</f>
        <v>31.5558400282767</v>
      </c>
      <c r="BY180" s="260">
        <f>BZ180*(1+$CG180+各项系数!$J$5+各项系数!$L$5)</f>
        <v>31.5475766251217</v>
      </c>
      <c r="BZ180" s="262">
        <f t="shared" si="586"/>
        <v>30.3342082933862</v>
      </c>
      <c r="CA180" s="259">
        <f>CB180+各项系数!$M$9*$NT180</f>
        <v>32.443789017003</v>
      </c>
      <c r="CB180" s="259">
        <f>CC180*(1+$CF180+(VLOOKUP($AM180,$A$12:$B$214,2,0))+各项系数!$J$6+各项系数!$M$5)*(1+$E$2)</f>
        <v>32.2044290642562</v>
      </c>
      <c r="CC180" s="260">
        <f>CD180+各项系数!$L$9*$NT$12</f>
        <v>32.5362993172926</v>
      </c>
      <c r="CD180" s="260">
        <f>CE180*(1+$CG180+各项系数!$J$5+各项系数!$L$5)</f>
        <v>32.5280359141376</v>
      </c>
      <c r="CE180" s="262">
        <f t="shared" si="648"/>
        <v>31.2769576097477</v>
      </c>
      <c r="CF180" s="277">
        <f t="shared" si="753"/>
        <v>0</v>
      </c>
      <c r="CG180" s="277">
        <f t="shared" si="587"/>
        <v>0.02</v>
      </c>
      <c r="CH180" s="123"/>
      <c r="CI180" s="259">
        <f>CJ180+各项系数!$M$9*$NO180</f>
        <v>33.0003709609227</v>
      </c>
      <c r="CJ180" s="259">
        <f>CK180*(1+$DC180+(VLOOKUP($AM180,$A$12:$B$323,2,0))+各项系数!$J$6+各项系数!$M$5)*(1+$E$2)+各项系数!$M$9*$NK180</f>
        <v>32.6034224163875</v>
      </c>
      <c r="CK180" s="260">
        <f>CL180+各项系数!$L$9*$NO180</f>
        <v>32.7051469657608</v>
      </c>
      <c r="CL180" s="260">
        <f>CM180*(1+$DD180+各项系数!$J$5+各项系数!$L$5)</f>
        <v>32.3081984212256</v>
      </c>
      <c r="CM180" s="260">
        <f t="shared" si="588"/>
        <v>31.3671829332288</v>
      </c>
      <c r="CN180" s="259">
        <f>CO180+各项系数!$M$9*$NO180</f>
        <v>33.7892725782211</v>
      </c>
      <c r="CO180" s="259">
        <f>CP180*(1+$DC180+(VLOOKUP($AM180,$A$12:$B$323,2,0))+各项系数!$J$6+各项系数!$M$5)*(1+$E$2)+各项系数!$M$9*$NK180</f>
        <v>33.3923240336859</v>
      </c>
      <c r="CP180" s="260">
        <f>CQ180+各项系数!$L$9*$NO180</f>
        <v>33.5021783026959</v>
      </c>
      <c r="CQ180" s="260">
        <f>CR180*(1+$DD180+各项系数!$J$5+各项系数!$L$5)</f>
        <v>33.1052297581607</v>
      </c>
      <c r="CR180" s="260">
        <f t="shared" si="589"/>
        <v>32.1409997652046</v>
      </c>
      <c r="CS180" s="259">
        <f>CT180+各项系数!$M$9*$NU180</f>
        <v>34.8945701840959</v>
      </c>
      <c r="CT180" s="259">
        <f t="shared" si="590"/>
        <v>34.4884911510687</v>
      </c>
      <c r="CU180" s="260">
        <f>CV180+各项系数!$L$9*$NU180</f>
        <v>34.8438989200533</v>
      </c>
      <c r="CV180" s="260">
        <f>CW180*(1+$DD180+各项系数!$J$5+各项系数!$L$5)</f>
        <v>34.4378198870261</v>
      </c>
      <c r="CW180" s="262">
        <f t="shared" si="591"/>
        <v>33.4347765893457</v>
      </c>
      <c r="CX180" s="259">
        <f>CY180+各项系数!$M$9*$NU180</f>
        <v>36.2454749591417</v>
      </c>
      <c r="CY180" s="259">
        <f t="shared" si="592"/>
        <v>35.8393959261145</v>
      </c>
      <c r="CZ180" s="260">
        <f>DA180+各项系数!$L$9*$NU180</f>
        <v>36.2087249203016</v>
      </c>
      <c r="DA180" s="260">
        <f>DB180*(1+$DD180+各项系数!$J$5+各项系数!$L$5)</f>
        <v>35.8026458872744</v>
      </c>
      <c r="DB180" s="262">
        <f t="shared" si="593"/>
        <v>34.7598503759946</v>
      </c>
      <c r="DC180" s="277">
        <f t="shared" si="803"/>
        <v>0</v>
      </c>
      <c r="DD180" s="277">
        <f t="shared" si="594"/>
        <v>0.01</v>
      </c>
      <c r="DE180" s="69" t="s">
        <v>498</v>
      </c>
      <c r="DF180" s="69" t="s">
        <v>513</v>
      </c>
      <c r="DG180" s="259">
        <f>DH180+各项系数!$M$9*$NQ180</f>
        <v>33.5109996515964</v>
      </c>
      <c r="DH180" s="259">
        <f>DI180*(1+$EA180+(VLOOKUP($AM180,$A$12:$B$323,2,0))+各项系数!$J$6+各项系数!$M$5)*(1+$E$2)+各项系数!$M$9*$NK180</f>
        <v>33.1140511070612</v>
      </c>
      <c r="DI180" s="260">
        <f>DJ180+各项系数!$L$9*$NQ180</f>
        <v>33.2210377423557</v>
      </c>
      <c r="DJ180" s="260">
        <f>DK180*(1+$EB180+各项系数!$J$5+各项系数!$L$5)</f>
        <v>32.8240891978205</v>
      </c>
      <c r="DK180" s="260">
        <f t="shared" si="595"/>
        <v>31.5616242286736</v>
      </c>
      <c r="DL180" s="259">
        <f>DM180+各项系数!$M$9*$NQ180</f>
        <v>34.6656428779396</v>
      </c>
      <c r="DM180" s="259">
        <f>DN180*(1+$EA180+(VLOOKUP($AM180,$A$12:$B$323,2,0))+各项系数!$J$6+各项系数!$M$5)*(1+$E$2)+各项系数!$M$9*$NK180</f>
        <v>34.2686943334044</v>
      </c>
      <c r="DN180" s="260">
        <f>DO180+各项系数!$L$9*$NQ180</f>
        <v>34.3875796966326</v>
      </c>
      <c r="DO180" s="260">
        <f>DP180*(1+$EB180+各项系数!$J$5+各项系数!$L$5)</f>
        <v>33.9906311520974</v>
      </c>
      <c r="DP180" s="260">
        <f t="shared" si="596"/>
        <v>32.683299184709</v>
      </c>
      <c r="DQ180" s="259">
        <f>DR180+各项系数!$M$9*$NV180</f>
        <v>35.4270261879448</v>
      </c>
      <c r="DR180" s="259">
        <f t="shared" si="597"/>
        <v>35.0209471549177</v>
      </c>
      <c r="DS180" s="260">
        <f>DT180+各项系数!$L$9*$NV180</f>
        <v>35.3818419427335</v>
      </c>
      <c r="DT180" s="260">
        <f>DU180*(1+$EB180+各项系数!$J$5+各项系数!$L$5)</f>
        <v>34.9757629097064</v>
      </c>
      <c r="DU180" s="262">
        <f t="shared" si="598"/>
        <v>33.630541259333</v>
      </c>
      <c r="DV180" s="259">
        <f>DW180+各项系数!$M$9*$NV180</f>
        <v>34.3249739596484</v>
      </c>
      <c r="DW180" s="259">
        <f t="shared" si="599"/>
        <v>33.9188949266212</v>
      </c>
      <c r="DX180" s="260">
        <f>DY180+各项系数!$L$9*$NV180</f>
        <v>34.2684329426361</v>
      </c>
      <c r="DY180" s="260">
        <f>DZ180*(1+$EB180+各项系数!$J$5+各项系数!$L$5)</f>
        <v>33.8623539096089</v>
      </c>
      <c r="DZ180" s="262">
        <f t="shared" si="600"/>
        <v>32.5599556823163</v>
      </c>
      <c r="EA180" s="277">
        <f t="shared" si="802"/>
        <v>0</v>
      </c>
      <c r="EB180" s="277">
        <f t="shared" si="601"/>
        <v>0.02</v>
      </c>
      <c r="EC180" s="302">
        <f t="shared" si="649"/>
        <v>30</v>
      </c>
      <c r="ED180" s="302" t="str">
        <f t="shared" si="756"/>
        <v>30*1.5</v>
      </c>
      <c r="EE180" s="251">
        <f t="shared" si="812"/>
        <v>1.5</v>
      </c>
      <c r="EF180" s="251">
        <f>LOOKUP(EH180,{1,7,10,14,19,24,30,37,48,61},{1,"1+6","2+8","4+10","1+6+12","2+8+14","4+10+16","1+6+12+18","3+9+15+21","1+6+12+18+24"})</f>
        <v>1</v>
      </c>
      <c r="EG180" s="250">
        <f t="shared" si="602"/>
        <v>30</v>
      </c>
      <c r="EH180" s="260">
        <f>VLOOKUP(EE180,各项系数!$B$87:$C$124,2,0)</f>
        <v>1</v>
      </c>
      <c r="EI180" s="250">
        <f>IF(EH180=0,0,VLOOKUP(EH180,各项系数!$D$142:$E$195,2,0))*1</f>
        <v>1</v>
      </c>
      <c r="EJ180" s="305">
        <f t="shared" si="650"/>
        <v>134.922667214547</v>
      </c>
      <c r="EK180" s="251">
        <f t="shared" si="813"/>
        <v>0</v>
      </c>
      <c r="EL180" s="251">
        <f t="shared" si="603"/>
        <v>0</v>
      </c>
      <c r="EM180" s="251">
        <f t="shared" si="814"/>
        <v>0</v>
      </c>
      <c r="EN180" s="251">
        <f>IF(EP180=0,0,LOOKUP(EP180,{1,7,10,14,19,24,30,37,48,61},{1,"1+6","2+8","4+10","1+6+12","2+8+14","4+10+16","1+6+12+18","3+9+15+21","1+6+12+18+24"}))</f>
        <v>0</v>
      </c>
      <c r="EO180" s="251">
        <f t="shared" si="815"/>
        <v>0</v>
      </c>
      <c r="EP180" s="251">
        <f>IF(EM180=0,0,IF(EM180&lt;10,1,IF(AND(EM180&gt;=10,EM180&lt;=35),7,LOOKUP(EM180,{50,70,95,120,150,185,240,300},{10,14,19,24,30,37,48,61})*1)))</f>
        <v>0</v>
      </c>
      <c r="EQ180" s="251">
        <f>IF(EP180=0,0,VLOOKUP(EP180,各项系数!$D$142:$E$195,2,0))*1</f>
        <v>0</v>
      </c>
      <c r="ER180" s="69">
        <f t="shared" si="816"/>
        <v>0</v>
      </c>
      <c r="ES180" s="566">
        <f t="shared" si="817"/>
        <v>30</v>
      </c>
      <c r="ET180" s="251">
        <f>VLOOKUP(ES180,各项系数!$D$142:$E$195,2,0)*1</f>
        <v>6.41</v>
      </c>
      <c r="EU180" s="311">
        <f>((各项系数!$F$76/4*$EJ180^2*$EG180*$EH180*1*10^-7)*(1-$H180)*AA180)*(VLOOKUP($EY$9,各项系数!$D$4:$F$143,3,0))*各项系数!$J$4</f>
        <v>0.379407414433313</v>
      </c>
      <c r="EV180" s="312">
        <f>EU180*(VLOOKUP($EY$9,各项系数!$D$4:$F$143,2,0))</f>
        <v>24.851185645382</v>
      </c>
      <c r="EW180" s="324">
        <f>(IF($EO180=0,0,(各项系数!$F$76/4*$ER180^2*$EO180*$EP180*1*10^-7))*(1-$K180)*$AF180)*(VLOOKUP($EY$9,各项系数!$D$4:$F$143,3,0))*各项系数!$J$4</f>
        <v>0</v>
      </c>
      <c r="EX180" s="325">
        <f>EW180*(VLOOKUP($EY$9,各项系数!$D$4:$F$143,2,0))</f>
        <v>0</v>
      </c>
      <c r="EY180" s="251">
        <f>((各项系数!$F$76/4*$EJ180^2*$EG180*$EH180*1*10^-7)*(1-$H180)*AA180+IF($EO180=0,0,(各项系数!$F$76/4*$ER180^2*$EO180*$EP180*1*10^-7))*(1-$K180)*$AF180)*(VLOOKUP($EY$9,各项系数!$D$4:$F$143,3,0))*各项系数!$J$4</f>
        <v>0.379407414433313</v>
      </c>
      <c r="EZ180" s="123">
        <v>1</v>
      </c>
      <c r="FA180" s="251">
        <f t="shared" si="757"/>
        <v>0.379407414433313</v>
      </c>
      <c r="FB180" s="326">
        <f>FA180*(VLOOKUP($EY$9,各项系数!$D$4:$F$143,2,0))</f>
        <v>24.851185645382</v>
      </c>
      <c r="FC180" s="327"/>
      <c r="FD180" s="302">
        <f>各项系数!$F$76/4*($MN180^2-MK180^2)*10^-2*(VLOOKUP(L180,各项系数!$D$1:$F$143,3,0))*10^-3*10^2*$EG180*各项系数!$J$4</f>
        <v>0.147970428946776</v>
      </c>
      <c r="FE180" s="339">
        <f>FD180*VLOOKUP(L180,各项系数!$D$1:$F$143,2,0)</f>
        <v>1.70165993288792</v>
      </c>
      <c r="FF180" s="250">
        <f>各项系数!$F$76/4*($MO180^2-ML180^2)*10^-2*(VLOOKUP(L180,各项系数!$D$1:$F$143,3,0))*10^-3*10^2*$EO180*各项系数!$J$4</f>
        <v>0</v>
      </c>
      <c r="FG180" s="339">
        <f>FF180*VLOOKUP(L180,各项系数!$D$1:$F$143,2,0)</f>
        <v>0</v>
      </c>
      <c r="FH180" s="302">
        <f t="shared" si="651"/>
        <v>0.147970428946776</v>
      </c>
      <c r="FI180" s="123">
        <v>1</v>
      </c>
      <c r="FJ180" s="251">
        <f t="shared" si="758"/>
        <v>0.147970428946776</v>
      </c>
      <c r="FK180" s="339">
        <f>FJ180*VLOOKUP(L180,各项系数!$D$1:$F$143,2,0)</f>
        <v>1.70165993288792</v>
      </c>
      <c r="FL180" s="302"/>
      <c r="FM180" s="123"/>
      <c r="FN180" s="251"/>
      <c r="FO180" s="339"/>
      <c r="FP180" s="364">
        <f t="shared" si="759"/>
        <v>0.147970428946776</v>
      </c>
      <c r="FQ180" s="364">
        <f t="shared" si="760"/>
        <v>1.70165993288792</v>
      </c>
      <c r="FR180" s="365">
        <f>各项系数!$F$76/4*($MQ180^2-$MN180^2*$EG180-$MO180^2*$EO180)*10^-2</f>
        <v>0.658215509249268</v>
      </c>
      <c r="FS180" s="366">
        <f t="shared" si="652"/>
        <v>1</v>
      </c>
      <c r="FT180" s="367">
        <f t="shared" si="604"/>
        <v>0.658215509249268</v>
      </c>
      <c r="FU180" s="388">
        <f>$FT180*(VLOOKUP($FT$9,各项系数!$D$1:$F$143,3,0))*10^-3*10^2*各项系数!$J$55</f>
        <v>0.0785909318043626</v>
      </c>
      <c r="FV180" s="389">
        <v>1</v>
      </c>
      <c r="FW180" s="390">
        <f t="shared" si="761"/>
        <v>0.0785909318043626</v>
      </c>
      <c r="FX180" s="367">
        <f>FW180*(VLOOKUP($FT$9,各项系数!$D$1:$F$143,2,0))</f>
        <v>0.235772795413088</v>
      </c>
      <c r="FY180" s="388">
        <f>IF($BK180&lt;&gt;$FY$9,0,各项系数!$F$76/4*($MS180^2-$MQ180^2)*10^-2*(VLOOKUP($FY$9,各项系数!$D$1:$F$143,3,0))*10^-3*10^2)*各项系数!$J$4</f>
        <v>0</v>
      </c>
      <c r="FZ180" s="389">
        <v>1</v>
      </c>
      <c r="GA180" s="390">
        <f t="shared" si="762"/>
        <v>0</v>
      </c>
      <c r="GB180" s="367">
        <f>GA180*(VLOOKUP($FY$9,各项系数!$D$1:$F$143,2,0))</f>
        <v>0</v>
      </c>
      <c r="GC180" s="388">
        <f>IF($BK180&lt;&gt;$GC$9,0,各项系数!$F$76/4*($MS180^2-$MQ180^2)*10^-2*(VLOOKUP($GC$9,各项系数!$D$1:$F$143,3,0))*10^-3*10^2)*各项系数!$J$4</f>
        <v>0.00482306034443595</v>
      </c>
      <c r="GD180" s="389">
        <v>1</v>
      </c>
      <c r="GE180" s="390">
        <f t="shared" si="763"/>
        <v>0.00482306034443595</v>
      </c>
      <c r="GF180" s="367">
        <f>GE180*(VLOOKUP($GC$9,各项系数!$D$1:$F$143,2,0))</f>
        <v>0.0622174784432238</v>
      </c>
      <c r="GG180" s="388">
        <f>IF($BK180&lt;&gt;$GG$9,0,各项系数!$F$76/4*($MS180^2-$MQ180^2)*10^-2*(VLOOKUP($GG$9,各项系数!$D$1:$F$143,3,0))*10^-3*10^2)*各项系数!$J$4</f>
        <v>0</v>
      </c>
      <c r="GH180" s="389">
        <v>1</v>
      </c>
      <c r="GI180" s="390">
        <f t="shared" si="764"/>
        <v>0</v>
      </c>
      <c r="GJ180" s="367">
        <f>GI180*(VLOOKUP($GG$9,各项系数!$D$1:$F$143,2,0))</f>
        <v>0</v>
      </c>
      <c r="GK180" s="388">
        <f>IF($BK180&lt;&gt;$GK$9,0,各项系数!$F$76/4*($MS180^2-$MQ180^2)*10^-2*(VLOOKUP($GK$9,各项系数!$D$1:$F$143,3,0))*10^-3*10^2)*各项系数!$J$4</f>
        <v>0</v>
      </c>
      <c r="GL180" s="389">
        <v>1</v>
      </c>
      <c r="GM180" s="390">
        <f t="shared" si="765"/>
        <v>0</v>
      </c>
      <c r="GN180" s="367">
        <f>GM180*(VLOOKUP($GK$9,各项系数!$D$1:$F$143,2,0))</f>
        <v>0</v>
      </c>
      <c r="GO180" s="390">
        <f t="shared" si="766"/>
        <v>0.00482306034443595</v>
      </c>
      <c r="GP180" s="390">
        <f t="shared" si="767"/>
        <v>0.0622174784432238</v>
      </c>
      <c r="GQ180" s="406">
        <f>各项系数!$F$76/4*($MU180^2-$MS180^2)*10^-2*(VLOOKUP($S180,各项系数!$D$1:$F$143,3,0))*10^-3*10^2*各项系数!$J$4</f>
        <v>0.269845007748826</v>
      </c>
      <c r="GR180" s="389">
        <v>1</v>
      </c>
      <c r="GS180" s="390">
        <f t="shared" si="768"/>
        <v>0.269845007748826</v>
      </c>
      <c r="GT180" s="390">
        <f t="shared" si="696"/>
        <v>0</v>
      </c>
      <c r="GU180" s="390">
        <f>ROUND($GS180*(VLOOKUP($S180,各项系数!$D$1:$F$143,2,0))+$E$3*GS180,GT180)</f>
        <v>2</v>
      </c>
      <c r="GV180" s="406">
        <f>各项系数!$F$76/4*($MT180^2-$MS180^2)*10^-2*(VLOOKUP($GV$9,各项系数!$D$1:$F$143,3,0))*10^-3*10^2*各项系数!$J$4*PI()/4*R180</f>
        <v>0.0249733435645005</v>
      </c>
      <c r="GW180" s="389">
        <v>1</v>
      </c>
      <c r="GX180" s="390">
        <f t="shared" si="769"/>
        <v>0.0249733435645005</v>
      </c>
      <c r="GY180" s="390">
        <f>$GX180*(VLOOKUP($GV$9,各项系数!$D$1:$F$143,2,0))</f>
        <v>1.68570069060378</v>
      </c>
      <c r="GZ180" s="406">
        <f>各项系数!$F$76/4*($MV180^2-$MS180^2)*10^-2*(VLOOKUP($GZ$9,各项系数!$D$1:$F$143,3,0))*10^-3*10^2*各项系数!$J$4</f>
        <v>0.159895869789652</v>
      </c>
      <c r="HA180" s="389">
        <v>1</v>
      </c>
      <c r="HB180" s="390">
        <f t="shared" si="653"/>
        <v>0.159895869789652</v>
      </c>
      <c r="HC180" s="390">
        <f>HB180*(VLOOKUP($GZ$9,各项系数!$D$1:$F$143,2,0))</f>
        <v>2.71822978642409</v>
      </c>
      <c r="HD180" s="406">
        <f>各项系数!$F$76/4*($MW180^2-$MT180^2)*10^-2*(VLOOKUP($HD$9,各项系数!$D$1:$F$143,3,0))*10^-3*10^2*各项系数!$J$4</f>
        <v>0.161201239236331</v>
      </c>
      <c r="HE180" s="389">
        <v>1</v>
      </c>
      <c r="HF180" s="390">
        <f t="shared" si="654"/>
        <v>0.161201239236331</v>
      </c>
      <c r="HG180" s="390">
        <f>HF180*(VLOOKUP($HD$9,各项系数!$D$1:$F$143,2,0))</f>
        <v>2.74042106701762</v>
      </c>
      <c r="HH180" s="406">
        <f>各项系数!$F$76/4*($MV180^2-$MS180^2)*10^-2*(VLOOKUP($HH$9,各项系数!$D$1:$F$143,3,0))*10^-3*10^2*各项系数!$J$4</f>
        <v>0.159895869789652</v>
      </c>
      <c r="HI180" s="420">
        <v>1</v>
      </c>
      <c r="HJ180" s="390">
        <f t="shared" si="655"/>
        <v>0.159895869789652</v>
      </c>
      <c r="HK180" s="390">
        <f>HJ180*(VLOOKUP($HH$9,各项系数!$D$1:$F$143,2,0))</f>
        <v>2.71822978642409</v>
      </c>
      <c r="HL180" s="406">
        <f>各项系数!$F$76/4*($MW180^2-$MT180^2)*10^-2*(VLOOKUP($HL$9,各项系数!$D$1:$F$143,3,0))*10^-3*10^2*各项系数!$J$4</f>
        <v>0.161201239236331</v>
      </c>
      <c r="HM180" s="420">
        <v>1</v>
      </c>
      <c r="HN180" s="390">
        <f t="shared" si="605"/>
        <v>0.161201239236331</v>
      </c>
      <c r="HO180" s="390">
        <f>HN180*(VLOOKUP($HL$9,各项系数!$D$1:$F$143,2,0))</f>
        <v>2.74042106701762</v>
      </c>
      <c r="HP180" s="406">
        <f>各项系数!$F$76/4*($MV180^2-$MS180^2)*10^-2*(VLOOKUP(AN180,各项系数!$D$1:$F$143,3,0))*10^-3*10^2*各项系数!$J$4</f>
        <v>0.162101330062613</v>
      </c>
      <c r="HQ180" s="389">
        <v>1</v>
      </c>
      <c r="HR180" s="390">
        <f t="shared" si="770"/>
        <v>0.162101330062613</v>
      </c>
      <c r="HS180" s="390">
        <f>HR180*(VLOOKUP(AN180,各项系数!$D$1:$F$143,2,0))</f>
        <v>1.62101330062613</v>
      </c>
      <c r="HT180" s="406">
        <f>各项系数!$F$76/4*($MW180^2-$MT180^2)*10^-2*(VLOOKUP(AN180,各项系数!$D$1:$F$143,3,0))*10^-3*10^2*各项系数!$J$4</f>
        <v>0.163424704605108</v>
      </c>
      <c r="HU180" s="389">
        <v>1</v>
      </c>
      <c r="HV180" s="390">
        <f t="shared" si="771"/>
        <v>0.163424704605108</v>
      </c>
      <c r="HW180" s="390">
        <f>HV180*(VLOOKUP(AN180,各项系数!$D$1:$F$143,2,0))</f>
        <v>1.63424704605108</v>
      </c>
      <c r="HX180" s="406">
        <f>各项系数!$F$76/4*($MV180^2-$MS180^2)*10^-2*(VLOOKUP($HX$9,各项系数!$D$1:$F$143,3,0))*10^-3*10^2*各项系数!$J$4</f>
        <v>0.162101330062613</v>
      </c>
      <c r="HY180" s="420">
        <v>1</v>
      </c>
      <c r="HZ180" s="390">
        <f t="shared" si="772"/>
        <v>0.162101330062613</v>
      </c>
      <c r="IA180" s="390">
        <f>HZ180*(VLOOKUP($HX$9,各项系数!$D$1:$F$143,2,0))</f>
        <v>1.78311463068874</v>
      </c>
      <c r="IB180" s="406">
        <f>各项系数!$F$76/4*($MW180^2-$MT180^2)*10^-2*(VLOOKUP($IB$9,各项系数!$D$1:$F$143,3,0))*10^-3*10^2*各项系数!$J$4</f>
        <v>0.163424704605108</v>
      </c>
      <c r="IC180" s="420">
        <v>1</v>
      </c>
      <c r="ID180" s="390">
        <f t="shared" si="773"/>
        <v>0.163424704605108</v>
      </c>
      <c r="IE180" s="390">
        <f>ID180*(VLOOKUP($IB$9,各项系数!$D$1:$F$143,2,0))</f>
        <v>1.79767175065619</v>
      </c>
      <c r="IF180" s="429"/>
      <c r="IG180" s="406">
        <f t="shared" si="656"/>
        <v>0.0695964473814169</v>
      </c>
      <c r="IH180" s="389">
        <v>1</v>
      </c>
      <c r="II180" s="390">
        <f t="shared" si="774"/>
        <v>0.0695964473814169</v>
      </c>
      <c r="IJ180" s="390">
        <f>II180*(VLOOKUP($IG$8,各项系数!$D$1:$F$143,2,0))</f>
        <v>1.73991118453542</v>
      </c>
      <c r="IK180" s="406">
        <f>(各项系数!$F$76/4*($MX180^2-$MK180^2)*$EG180)*10^-2*(VLOOKUP($IG$8,各项系数!$D$1:$F$143,3,0))*10^-3*10^2*各项系数!$J$4</f>
        <v>0.0695964473814169</v>
      </c>
      <c r="IL180" s="389">
        <f>IK180*(VLOOKUP($IG$8,各项系数!$D$1:$F$143,2,0))</f>
        <v>1.73991118453542</v>
      </c>
      <c r="IM180" s="390">
        <f>(各项系数!$F$76/4*(($MM180+3*$X180)^2-MM180^2)*$EO180)*10^-2*(VLOOKUP($IG$8,各项系数!$D$1:$F$143,3,0))*10^-3*10^2*各项系数!$J$4</f>
        <v>0</v>
      </c>
      <c r="IN180" s="389">
        <f>IM180*(VLOOKUP($IG$8,各项系数!$D$1:$F$143,2,0))</f>
        <v>0</v>
      </c>
      <c r="IO180" s="406">
        <f>各项系数!$F$76/4*($MZ180^2-$MX180^2)*10^-2*(VLOOKUP(L180,各项系数!$D$1:$F$143,3,0))*10^-3*10^2*$ES180*各项系数!$J$4</f>
        <v>0.191295190754637</v>
      </c>
      <c r="IP180" s="389">
        <v>1</v>
      </c>
      <c r="IQ180" s="390">
        <f t="shared" si="775"/>
        <v>0.191295190754637</v>
      </c>
      <c r="IR180" s="367">
        <f>IQ180*(VLOOKUP(L180,各项系数!$D$1:$F$143,2,0))</f>
        <v>2.19989469367832</v>
      </c>
      <c r="IS180" s="406">
        <f>IF($L180&lt;&gt;$IS$9,0,各项系数!$F$76/4*($MZ180^2-$MX180^2)*10^-2*各项系数!$F$12*10^-3*10^2)*$ES180*各项系数!$J$4</f>
        <v>0</v>
      </c>
      <c r="IT180" s="389">
        <v>1</v>
      </c>
      <c r="IU180" s="390">
        <f t="shared" si="776"/>
        <v>0</v>
      </c>
      <c r="IV180" s="367">
        <f>IU180*各项系数!$E$12</f>
        <v>0</v>
      </c>
      <c r="IW180" s="388">
        <f t="shared" si="777"/>
        <v>0.191295190754637</v>
      </c>
      <c r="IX180" s="388">
        <f t="shared" si="778"/>
        <v>2.19989469367832</v>
      </c>
      <c r="IY180" s="447">
        <f>各项系数!$F$76/4*($NB180^2-$MZ180^2*$EG180-$NA180^2*$EO180)*10^-2</f>
        <v>0.976868479298505</v>
      </c>
      <c r="IZ180" s="366">
        <f t="shared" si="697"/>
        <v>1</v>
      </c>
      <c r="JA180" s="367">
        <f t="shared" si="606"/>
        <v>0.976868479298505</v>
      </c>
      <c r="JB180" s="364">
        <f>IF($DE180&lt;&gt;$JB$9,0,$JA180*各项系数!$F$32*10^-3*10^2)*各项系数!$J$4</f>
        <v>0</v>
      </c>
      <c r="JC180" s="123">
        <v>1</v>
      </c>
      <c r="JD180" s="251">
        <f t="shared" si="779"/>
        <v>0</v>
      </c>
      <c r="JE180" s="339">
        <f>JD180*各项系数!$E$32</f>
        <v>0</v>
      </c>
      <c r="JF180" s="364">
        <f>IF($DE180&lt;&gt;$JF$9,0,$JA180*VLOOKUP($JF$9,各项系数!$D$4:$F$540,2,0)*10^-3*10^2)*各项系数!$J$4</f>
        <v>0.485992068451006</v>
      </c>
      <c r="JG180" s="123">
        <v>1</v>
      </c>
      <c r="JH180" s="251">
        <f t="shared" si="607"/>
        <v>0.485992068451006</v>
      </c>
      <c r="JI180" s="339">
        <f>JH180*VLOOKUP($JF$9,各项系数!$D$4:$F$540,3,0)</f>
        <v>0.583190482141207</v>
      </c>
      <c r="JJ180" s="364">
        <f t="shared" si="780"/>
        <v>0.485992068451006</v>
      </c>
      <c r="JK180" s="251">
        <f t="shared" si="781"/>
        <v>0.583190482141207</v>
      </c>
      <c r="JL180" s="364">
        <f>IF($DF180&lt;&gt;$JL$9,0,各项系数!$F$76/4*($NE180^2-$NC180^2)*10^-2*各项系数!$F$39*10^-3*10^2)*各项系数!$J$4</f>
        <v>0.00242939865217536</v>
      </c>
      <c r="JM180" s="123">
        <v>1</v>
      </c>
      <c r="JN180" s="251">
        <f t="shared" si="782"/>
        <v>0.00242939865217536</v>
      </c>
      <c r="JO180" s="339">
        <f>JN180*各项系数!$E$39</f>
        <v>0.0485879730435072</v>
      </c>
      <c r="JP180" s="364">
        <f>IF($DF180&lt;&gt;$JP$9,0,各项系数!$F$76/4*($NE180^2-$NC180^2)*10^-2*各项系数!$F$36*10^-3*10^2)*各项系数!$J$4</f>
        <v>0</v>
      </c>
      <c r="JQ180" s="123">
        <v>1</v>
      </c>
      <c r="JR180" s="251">
        <f t="shared" si="783"/>
        <v>0</v>
      </c>
      <c r="JS180" s="339">
        <f>JR180*各项系数!$E$36</f>
        <v>0</v>
      </c>
      <c r="JT180" s="364">
        <f>IF($DF180&lt;&gt;$JT$9,0,各项系数!$F$76/4*($NE180^2-$NC180^2)*10^-2*各项系数!$F$40*10^-3*10^2)*各项系数!$J$4</f>
        <v>0</v>
      </c>
      <c r="JU180" s="123">
        <v>1</v>
      </c>
      <c r="JV180" s="251">
        <f t="shared" si="784"/>
        <v>0</v>
      </c>
      <c r="JW180" s="339">
        <f>JV180*各项系数!$E$40</f>
        <v>0</v>
      </c>
      <c r="JX180" s="364">
        <f>IF($DF180&lt;&gt;$JX$9,0,各项系数!$F$76/4*($NE180^2-$NC180^2)*10^-2*各项系数!$F$38*10^-3*10^2)*各项系数!$J$4</f>
        <v>0</v>
      </c>
      <c r="JY180" s="123">
        <v>1</v>
      </c>
      <c r="JZ180" s="251">
        <f t="shared" si="785"/>
        <v>0</v>
      </c>
      <c r="KA180" s="339">
        <f>JZ180*各项系数!$E$38</f>
        <v>0</v>
      </c>
      <c r="KB180" s="364">
        <f>IF($DF180&lt;&gt;$KB$9,0,各项系数!$F$76/4*($NE180^2-$NC180^2)*10^-2*各项系数!$F$41*10^-3*10^2)*各项系数!$J$4</f>
        <v>0</v>
      </c>
      <c r="KC180" s="123">
        <v>1</v>
      </c>
      <c r="KD180" s="251">
        <f t="shared" si="786"/>
        <v>0</v>
      </c>
      <c r="KE180" s="339">
        <f>KD180*各项系数!$E$41</f>
        <v>0</v>
      </c>
      <c r="KF180" s="251">
        <f t="shared" si="787"/>
        <v>0.00242939865217536</v>
      </c>
      <c r="KG180" s="251">
        <f t="shared" si="788"/>
        <v>0.0485879730435072</v>
      </c>
      <c r="KH180" s="302">
        <f>各项系数!$F$76/4*($NG180^2-$NE180^2)*10^-2*各项系数!$F$44*10^-3*10^2*各项系数!$J$4*0.75*$U180</f>
        <v>0.981574839089271</v>
      </c>
      <c r="KI180" s="123">
        <v>1</v>
      </c>
      <c r="KJ180" s="251">
        <f t="shared" si="789"/>
        <v>0.981574839089271</v>
      </c>
      <c r="KK180" s="251">
        <f>ROUND(KJ180*各项系数!$E$43,GT180)</f>
        <v>6</v>
      </c>
      <c r="KL180" s="302">
        <f>各项系数!$F$76/4*($NF180^2-$NE180^2)*10^-2*各项系数!$F$46*10^-3*10^2*各项系数!$J$4*PI()/4*R180</f>
        <v>0.0304349616398818</v>
      </c>
      <c r="KM180" s="123">
        <v>1</v>
      </c>
      <c r="KN180" s="251">
        <f t="shared" si="790"/>
        <v>0.0304349616398818</v>
      </c>
      <c r="KO180" s="251">
        <f>KN180*各项系数!$E$46</f>
        <v>2.05435991069202</v>
      </c>
      <c r="KP180" s="302">
        <f>各项系数!$F$76/4*($NH180^2-$NE180^2)*10^-2*(VLOOKUP($KP$9,各项系数!$D$1:$F$143,3,0))*10^-3*10^2*各项系数!$J$4</f>
        <v>0.191795835642856</v>
      </c>
      <c r="KQ180" s="123">
        <v>1</v>
      </c>
      <c r="KR180" s="251">
        <f t="shared" si="657"/>
        <v>0.191795835642856</v>
      </c>
      <c r="KS180" s="251">
        <f>KR180*(VLOOKUP($KP$9,各项系数!$D$1:$F$143,2,0))</f>
        <v>3.26052920592855</v>
      </c>
      <c r="KT180" s="302">
        <f>各项系数!$F$76/4*($NI180^2-$NF180^2)*10^-2*(VLOOKUP($KT$9,各项系数!$D$1:$F$143,3,0))*10^-3*10^2*各项系数!$J$4</f>
        <v>0.193101205089534</v>
      </c>
      <c r="KU180" s="123">
        <v>1</v>
      </c>
      <c r="KV180" s="251">
        <f t="shared" si="658"/>
        <v>0.193101205089534</v>
      </c>
      <c r="KW180" s="251">
        <f>KV180*(VLOOKUP($KT$9,各项系数!$D$1:$F$143,2,0))</f>
        <v>3.28272048652208</v>
      </c>
      <c r="KX180" s="251">
        <f>各项系数!$F$76/4*($NH180^2-$NE180^2)*10^-2*(VLOOKUP($KX$9,各项系数!$D$1:$F$143,3,0))*10^-3*10^2*各项系数!$J$4</f>
        <v>0.191795835642856</v>
      </c>
      <c r="KY180" s="479">
        <v>1</v>
      </c>
      <c r="KZ180" s="251">
        <f t="shared" si="659"/>
        <v>0.191795835642856</v>
      </c>
      <c r="LA180" s="251">
        <f>KZ180*(VLOOKUP($KX$9,各项系数!$D$1:$F$143,2,0))</f>
        <v>3.26052920592855</v>
      </c>
      <c r="LB180" s="251">
        <f>各项系数!$F$76/4*($NI180^2-$NF180^2)*10^-2*(VLOOKUP($LB$9,各项系数!$D$1:$F$143,3,0))*10^-3*10^2*各项系数!$J$4</f>
        <v>0.193101205089534</v>
      </c>
      <c r="LC180" s="479">
        <v>1</v>
      </c>
      <c r="LD180" s="251">
        <f t="shared" si="660"/>
        <v>0.193101205089534</v>
      </c>
      <c r="LE180" s="251">
        <f>LD180*(VLOOKUP($LB$9,各项系数!$D$1:$F$143,2,0))</f>
        <v>3.28272048652208</v>
      </c>
      <c r="LF180" s="302">
        <f>各项系数!$F$76/4*($NH180^2-$NE180^2)*10^-2*(VLOOKUP(AN180,各项系数!$D$1:$F$143,3,0))*10^-3*10^2*各项系数!$J$4</f>
        <v>0.194441295444826</v>
      </c>
      <c r="LG180" s="123">
        <v>1</v>
      </c>
      <c r="LH180" s="251">
        <f t="shared" si="791"/>
        <v>0.194441295444826</v>
      </c>
      <c r="LI180" s="251">
        <f>LH180*(VLOOKUP(AN180,各项系数!$D$1:$F$143,2,0))</f>
        <v>1.94441295444826</v>
      </c>
      <c r="LJ180" s="302">
        <f>各项系数!$F$76/4*($NI180^2-$NF180^2)*10^-2*(VLOOKUP(AN180,各项系数!$D$1:$F$143,3,0))*10^-3*10^2*各项系数!$J$4</f>
        <v>0.195764669987321</v>
      </c>
      <c r="LK180" s="123">
        <v>1</v>
      </c>
      <c r="LL180" s="251">
        <f t="shared" si="792"/>
        <v>0.195764669987321</v>
      </c>
      <c r="LM180" s="251">
        <f>LL180*(VLOOKUP(AN180,各项系数!$D$1:$F$143,2,0))</f>
        <v>1.95764669987321</v>
      </c>
      <c r="LN180" s="251">
        <f>各项系数!$F$76/4*($NH180^2-$NE180^2)*10^-2*(VLOOKUP($LN$9,各项系数!$D$1:$F$143,3,0))*10^-3*10^2*各项系数!$J$4</f>
        <v>0.194441295444826</v>
      </c>
      <c r="LO180" s="479">
        <v>1</v>
      </c>
      <c r="LP180" s="251">
        <f t="shared" si="793"/>
        <v>0.194441295444826</v>
      </c>
      <c r="LQ180" s="251">
        <f>LP180*(VLOOKUP($LN$9,各项系数!$D$1:$F$143,2,0))</f>
        <v>2.13885424989309</v>
      </c>
      <c r="LR180" s="251">
        <f>各项系数!$F$76/4*($NI180^2-$NF180^2)*10^-2*(VLOOKUP($LR$9,各项系数!$D$1:$F$143,3,0))*10^-3*10^2*各项系数!$J$4</f>
        <v>0.195764669987321</v>
      </c>
      <c r="LS180" s="479">
        <v>1</v>
      </c>
      <c r="LT180" s="251">
        <f t="shared" si="794"/>
        <v>0.195764669987321</v>
      </c>
      <c r="LU180" s="251">
        <f>LT180*(VLOOKUP($LR$9,各项系数!$D$1:$F$143,2,0))</f>
        <v>2.15341136986053</v>
      </c>
      <c r="LV180" s="499">
        <f t="shared" si="661"/>
        <v>42.89246155</v>
      </c>
      <c r="LW180" s="499">
        <f t="shared" si="662"/>
        <v>42.89246155</v>
      </c>
      <c r="LX180" s="499">
        <f t="shared" si="663"/>
        <v>7.39001882382531</v>
      </c>
      <c r="LY180" s="515">
        <f t="shared" si="664"/>
        <v>0</v>
      </c>
      <c r="LZ180" s="516">
        <f t="shared" si="608"/>
        <v>1</v>
      </c>
      <c r="MA180" s="517">
        <f t="shared" si="609"/>
        <v>42.89246155</v>
      </c>
      <c r="MB180" s="517">
        <f t="shared" si="665"/>
        <v>1.34922667</v>
      </c>
      <c r="MC180" s="499">
        <f t="shared" si="666"/>
        <v>0</v>
      </c>
      <c r="MD180" s="499">
        <f t="shared" si="667"/>
        <v>0</v>
      </c>
      <c r="ME180" s="499">
        <f t="shared" si="668"/>
        <v>0</v>
      </c>
      <c r="MF180" s="499">
        <f t="shared" si="669"/>
        <v>0</v>
      </c>
      <c r="MG180" s="516">
        <f t="shared" si="670"/>
        <v>1</v>
      </c>
      <c r="MH180" s="517">
        <f t="shared" si="610"/>
        <v>0</v>
      </c>
      <c r="MI180" s="517">
        <f t="shared" si="671"/>
        <v>0</v>
      </c>
      <c r="MJ180" s="251">
        <f t="shared" si="611"/>
        <v>1.34922667</v>
      </c>
      <c r="MK180" s="251">
        <f t="shared" si="672"/>
        <v>1.34922667</v>
      </c>
      <c r="ML180" s="251">
        <f t="shared" si="795"/>
        <v>0</v>
      </c>
      <c r="MM180" s="251">
        <f t="shared" si="612"/>
        <v>0</v>
      </c>
      <c r="MN180" s="251">
        <f t="shared" si="613"/>
        <v>2.74922667</v>
      </c>
      <c r="MO180" s="251">
        <f t="shared" si="673"/>
        <v>0</v>
      </c>
      <c r="MP180" s="251">
        <f t="shared" si="674"/>
        <v>17.62254295</v>
      </c>
      <c r="MQ180" s="251">
        <f t="shared" si="796"/>
        <v>17.62254295</v>
      </c>
      <c r="MR180" s="314">
        <f t="shared" si="675"/>
        <v>17.62254295</v>
      </c>
      <c r="MS180" s="530">
        <f t="shared" si="614"/>
        <v>17.79854295</v>
      </c>
      <c r="MT180" s="530">
        <f t="shared" si="615"/>
        <v>17.95854295</v>
      </c>
      <c r="MU180" s="530">
        <f t="shared" si="616"/>
        <v>18.99854295</v>
      </c>
      <c r="MV180" s="530">
        <f t="shared" si="617"/>
        <v>21.39854295</v>
      </c>
      <c r="MW180" s="530">
        <f t="shared" si="618"/>
        <v>21.55854295</v>
      </c>
      <c r="MX180" s="326">
        <f t="shared" si="619"/>
        <v>1.94922667</v>
      </c>
      <c r="MY180" s="326">
        <f t="shared" si="620"/>
        <v>0</v>
      </c>
      <c r="MZ180" s="251">
        <f t="shared" si="621"/>
        <v>3.34922667</v>
      </c>
      <c r="NA180" s="251">
        <f t="shared" si="622"/>
        <v>0</v>
      </c>
      <c r="NB180" s="251">
        <f t="shared" si="676"/>
        <v>21.46854295</v>
      </c>
      <c r="NC180" s="326">
        <f t="shared" si="797"/>
        <v>21.46854295</v>
      </c>
      <c r="ND180" s="314">
        <f t="shared" si="677"/>
        <v>21.46854295</v>
      </c>
      <c r="NE180" s="537">
        <f t="shared" si="678"/>
        <v>21.70854295</v>
      </c>
      <c r="NF180" s="530">
        <f t="shared" si="623"/>
        <v>21.86854295</v>
      </c>
      <c r="NG180" s="538">
        <f t="shared" si="624"/>
        <v>22.90854295</v>
      </c>
      <c r="NH180" s="326">
        <f t="shared" si="625"/>
        <v>25.30854295</v>
      </c>
      <c r="NI180" s="530">
        <f t="shared" si="626"/>
        <v>25.46854295</v>
      </c>
      <c r="NK180" s="539">
        <f t="shared" si="627"/>
        <v>0.772893165591501</v>
      </c>
      <c r="NL180" s="539">
        <f t="shared" si="628"/>
        <v>28.4718491527524</v>
      </c>
      <c r="NM180" s="539">
        <f t="shared" si="629"/>
        <v>0.772893165591501</v>
      </c>
      <c r="NN180" s="539">
        <f t="shared" si="630"/>
        <v>28.633950482815</v>
      </c>
      <c r="NO180" s="539">
        <f t="shared" si="631"/>
        <v>1.32316181511737</v>
      </c>
      <c r="NP180" s="539">
        <f t="shared" si="632"/>
        <v>31.3671829332288</v>
      </c>
      <c r="NQ180" s="539">
        <f t="shared" si="633"/>
        <v>1.32316181511737</v>
      </c>
      <c r="NR180" s="539">
        <f t="shared" si="634"/>
        <v>31.5616242286736</v>
      </c>
      <c r="NS180" s="539">
        <f t="shared" si="635"/>
        <v>0.797866509156002</v>
      </c>
      <c r="NT180" s="539">
        <f t="shared" si="636"/>
        <v>0.797866509156002</v>
      </c>
      <c r="NU180" s="539">
        <f t="shared" si="637"/>
        <v>1.35359677675726</v>
      </c>
      <c r="NV180" s="539">
        <f t="shared" si="638"/>
        <v>1.35359677675726</v>
      </c>
      <c r="NW180">
        <f t="shared" si="639"/>
        <v>1.04273817334033</v>
      </c>
      <c r="NX180">
        <f>各项系数!$M$9*NK180</f>
        <v>0.23186794967745</v>
      </c>
      <c r="NY180">
        <f t="shared" si="640"/>
        <v>0.797866509156002</v>
      </c>
    </row>
    <row r="181" customHeight="1" spans="1:389">
      <c r="A181" s="85"/>
      <c r="B181" s="86"/>
      <c r="C181" s="218"/>
      <c r="D181" s="123" t="s">
        <v>167</v>
      </c>
      <c r="E181" s="77">
        <f t="shared" si="805"/>
        <v>23.02058669</v>
      </c>
      <c r="F181" s="559">
        <f t="shared" si="798"/>
        <v>134.922667214547</v>
      </c>
      <c r="G181" s="23"/>
      <c r="H181" s="23"/>
      <c r="I181" s="174">
        <v>0</v>
      </c>
      <c r="J181" s="23"/>
      <c r="K181" s="23"/>
      <c r="L181" s="118" t="s">
        <v>469</v>
      </c>
      <c r="M181" s="124">
        <f t="shared" si="582"/>
        <v>0.7</v>
      </c>
      <c r="N181" s="124">
        <f t="shared" si="804"/>
        <v>0</v>
      </c>
      <c r="O181" s="69">
        <f t="shared" si="819"/>
        <v>0.08</v>
      </c>
      <c r="P181" s="120">
        <v>0.1</v>
      </c>
      <c r="Q181" s="162">
        <f t="shared" si="806"/>
        <v>0.1</v>
      </c>
      <c r="R181" s="560">
        <v>0.8</v>
      </c>
      <c r="S181" s="171" t="str">
        <f>各项系数!$D$43</f>
        <v>钢带</v>
      </c>
      <c r="T181" s="123">
        <v>0.2</v>
      </c>
      <c r="U181" s="78">
        <v>4</v>
      </c>
      <c r="V181" s="172"/>
      <c r="W181" s="170">
        <f t="shared" si="818"/>
        <v>1.8</v>
      </c>
      <c r="X181" s="164">
        <f t="shared" si="807"/>
        <v>0.2</v>
      </c>
      <c r="Y181" s="219"/>
      <c r="Z181" s="220"/>
      <c r="AA181" s="217">
        <v>1</v>
      </c>
      <c r="AB181" s="186">
        <f>PI()*EJ181*EJ181/4*EH181*(1-H181)*AA181*各项系数!$F$5*各项系数!$J$4*10^-7</f>
        <v>0.0126469138144438</v>
      </c>
      <c r="AC181" s="186">
        <f t="shared" si="808"/>
        <v>134.922667214547</v>
      </c>
      <c r="AD181" s="186">
        <f t="shared" si="584"/>
        <v>1.42974872274124</v>
      </c>
      <c r="AE181" s="186">
        <f>POWER(4*EU181/PI()/EG181/10^-7/EH181/(1-H181)/各项系数!$F$5/各项系数!$J$4,0.5)</f>
        <v>134.922667214547</v>
      </c>
      <c r="AF181" s="218">
        <v>1</v>
      </c>
      <c r="AG181" s="85">
        <f>IF(EM181=0,0,PI()*ER181*ER181/4*EP181*(1-K181)*(1+AF181)*各项系数!$F$5*各项系数!$J$4*10^-7)</f>
        <v>0</v>
      </c>
      <c r="AH181" s="85">
        <f t="shared" si="809"/>
        <v>0</v>
      </c>
      <c r="AI181" s="85">
        <f t="shared" si="641"/>
        <v>0</v>
      </c>
      <c r="AJ181" s="85">
        <f>IF(OR(EP181="",EP181=0),0,POWER(4*EW181/PI()/EO181/10^-7/EP181/(1-K181)/各项系数!$F$5/各项系数!$J$4,0.5))</f>
        <v>0</v>
      </c>
      <c r="AK181" s="85" t="str">
        <f t="shared" si="585"/>
        <v>√</v>
      </c>
      <c r="AL181" s="85">
        <f t="shared" si="810"/>
        <v>36.7736856824378</v>
      </c>
      <c r="AM181" s="250">
        <f t="shared" si="811"/>
        <v>1.5</v>
      </c>
      <c r="AN181" s="118" t="s">
        <v>486</v>
      </c>
      <c r="AO181" s="259">
        <f>AP181+各项系数!$M$9*$NK181</f>
        <v>36.0526330219978</v>
      </c>
      <c r="AP181" s="259">
        <f>AQ181*(1+$BI181+(VLOOKUP($AM181,$A$12:$B$323,2,0))+各项系数!$J$6+各项系数!$M$5)*(1+$E$2)</f>
        <v>35.7777522573115</v>
      </c>
      <c r="AQ181" s="260">
        <f>AR181+各项系数!$L$9*$NK181</f>
        <v>36.1464460065786</v>
      </c>
      <c r="AR181" s="260">
        <f>AS181*(1+$BJ181+各项系数!$J$5+各项系数!$L$5)</f>
        <v>35.8715652418924</v>
      </c>
      <c r="AS181" s="260">
        <f t="shared" si="642"/>
        <v>34.8267623707693</v>
      </c>
      <c r="AT181" s="259">
        <f>AU181+各项系数!$M$9*$NM181</f>
        <v>37.2638183471509</v>
      </c>
      <c r="AU181" s="259">
        <f>AV181*(1+$BI181+(VLOOKUP($AM181,$A$12:$B$323,2,0))+各项系数!$J$6+各项系数!$M$5)*(1+$E$2)</f>
        <v>36.9889375824646</v>
      </c>
      <c r="AV181" s="260">
        <f>AW181+各项系数!$L$9*$NM181</f>
        <v>37.3701127323344</v>
      </c>
      <c r="AW181" s="260">
        <f>AX181*(1+$BJ181+各项系数!$J$5+各项系数!$L$5)</f>
        <v>37.0952319676481</v>
      </c>
      <c r="AX181" s="260">
        <f t="shared" si="643"/>
        <v>36.0147883181049</v>
      </c>
      <c r="AY181" s="259">
        <f>AZ181+各项系数!$M$9*$NS181</f>
        <v>37.9568643321256</v>
      </c>
      <c r="AZ181" s="259">
        <f>BA181*(1+$BI181+(VLOOKUP($AM181,$A$12:$B$214,2,0))+各项系数!$J$6+各项系数!$M$5)*(1+$E$2)</f>
        <v>37.6738118469728</v>
      </c>
      <c r="BA181" s="260">
        <f>BB181+各项系数!$L$9*$NS181</f>
        <v>38.0620447029428</v>
      </c>
      <c r="BB181" s="260">
        <f>BC181*(1+$BJ181+各项系数!$J$5+各项系数!$L$5)</f>
        <v>37.7789922177901</v>
      </c>
      <c r="BC181" s="262">
        <f t="shared" si="644"/>
        <v>36.6786332211554</v>
      </c>
      <c r="BD181" s="259">
        <f>BE181+各项系数!$M$9*$NS181</f>
        <v>39.1771818106378</v>
      </c>
      <c r="BE181" s="259">
        <f>BF181*(1+$BI181+(VLOOKUP($AM181,$A$12:$B$214,2,0))+各项系数!$J$6+各项系数!$M$5)*(1+$E$2)</f>
        <v>38.894129325485</v>
      </c>
      <c r="BF181" s="260">
        <f>BG181+各项系数!$L$9*$NS181</f>
        <v>39.2949376899222</v>
      </c>
      <c r="BG181" s="260">
        <f>BH181*(1+$BJ181+各项系数!$J$5+各项系数!$L$5)</f>
        <v>39.0118852047695</v>
      </c>
      <c r="BH181" s="262">
        <f t="shared" si="645"/>
        <v>37.8756167036597</v>
      </c>
      <c r="BI181" s="277"/>
      <c r="BJ181" s="272">
        <f t="shared" si="800"/>
        <v>0.01</v>
      </c>
      <c r="BK181" s="123" t="s">
        <v>514</v>
      </c>
      <c r="BL181" s="259">
        <f>BM181+各项系数!$M$9*$NM181</f>
        <v>36.5780245246664</v>
      </c>
      <c r="BM181" s="259">
        <f>BN181*(1+$CF181+(VLOOKUP($AM181,$A$12:$B$323,2,0))+各项系数!$J$6+各项系数!$M$5)*(1+$E$2)</f>
        <v>36.3031437599801</v>
      </c>
      <c r="BN181" s="260">
        <f>BO181+各项系数!$L$9*$NM181</f>
        <v>36.6772517276016</v>
      </c>
      <c r="BO181" s="260">
        <f>BP181*(1+$CG181+各项系数!$J$5+各项系数!$L$5)</f>
        <v>36.4023709629153</v>
      </c>
      <c r="BP181" s="260">
        <f t="shared" si="646"/>
        <v>35.0022797720339</v>
      </c>
      <c r="BQ181" s="259">
        <f>BR181+各项系数!$M$9*$NM181</f>
        <v>37.6202927219235</v>
      </c>
      <c r="BR181" s="259">
        <f>BS181*(1+$CF181+(VLOOKUP($AM181,$A$12:$B$323,2,0))+各项系数!$J$6+各项系数!$M$5)*(1+$E$2)</f>
        <v>37.3454119572372</v>
      </c>
      <c r="BS181" s="260">
        <f>BT181+各项系数!$L$9*$NM181</f>
        <v>37.7302606155154</v>
      </c>
      <c r="BT181" s="260">
        <f>BU181*(1+$CG181+各项系数!$J$5+各项系数!$L$5)</f>
        <v>37.4553798508291</v>
      </c>
      <c r="BU181" s="260">
        <f t="shared" si="647"/>
        <v>36.0147883181049</v>
      </c>
      <c r="BV181" s="259">
        <f>BW181+各项系数!$M$9*$NT181</f>
        <v>38.2299616902769</v>
      </c>
      <c r="BW181" s="259">
        <f>BX181*(1+$CF181+(VLOOKUP($AM181,$A$12:$B$214,2,0))+各项系数!$J$6+各项系数!$M$5)*(1+$E$2)</f>
        <v>37.9469092051241</v>
      </c>
      <c r="BX181" s="260">
        <f>BY181+各项系数!$L$9*$NT$12</f>
        <v>38.337956359996</v>
      </c>
      <c r="BY181" s="260">
        <f>BZ181*(1+$CG181+各项系数!$J$5+各项系数!$L$5)</f>
        <v>38.3296929568411</v>
      </c>
      <c r="BZ181" s="262">
        <f t="shared" si="586"/>
        <v>36.8554739969626</v>
      </c>
      <c r="CA181" s="259">
        <f>CB181+各项系数!$M$9*$NT181</f>
        <v>39.2800884314092</v>
      </c>
      <c r="CB181" s="259">
        <f>CC181*(1+$CF181+(VLOOKUP($AM181,$A$12:$B$214,2,0))+各项系数!$J$6+各项系数!$M$5)*(1+$E$2)</f>
        <v>38.9970359462564</v>
      </c>
      <c r="CC181" s="260">
        <f>CD181+各项系数!$L$9*$NT$12</f>
        <v>39.398904774961</v>
      </c>
      <c r="CD181" s="260">
        <f>CE181*(1+$CG181+各项系数!$J$5+各项系数!$L$5)</f>
        <v>39.3906413718061</v>
      </c>
      <c r="CE181" s="262">
        <f t="shared" si="648"/>
        <v>37.8756167036597</v>
      </c>
      <c r="CF181" s="277">
        <f t="shared" si="753"/>
        <v>0</v>
      </c>
      <c r="CG181" s="277">
        <f t="shared" si="587"/>
        <v>0.02</v>
      </c>
      <c r="CH181" s="123"/>
      <c r="CI181" s="259">
        <f>CJ181+各项系数!$M$9*$NO181</f>
        <v>40.2352310900967</v>
      </c>
      <c r="CJ181" s="259">
        <f>CK181*(1+$DC181+(VLOOKUP($AM181,$A$12:$B$323,2,0))+各项系数!$J$6+各项系数!$M$5)*(1+$E$2)+各项系数!$M$9*$NK181</f>
        <v>39.7765011010309</v>
      </c>
      <c r="CK181" s="260">
        <f>CL181+各项系数!$L$9*$NO181</f>
        <v>39.9086889637751</v>
      </c>
      <c r="CL181" s="260">
        <f>CM181*(1+$DD181+各项系数!$J$5+各项系数!$L$5)</f>
        <v>39.4499589747094</v>
      </c>
      <c r="CM181" s="260">
        <f t="shared" si="588"/>
        <v>38.3009310434072</v>
      </c>
      <c r="CN181" s="259">
        <f>CO181+各项系数!$M$9*$NO181</f>
        <v>41.086861969097</v>
      </c>
      <c r="CO181" s="259">
        <f>CP181*(1+$DC181+(VLOOKUP($AM181,$A$12:$B$323,2,0))+各项系数!$J$6+各项系数!$M$5)*(1+$E$2)+各项系数!$M$9*$NK181</f>
        <v>40.6281319800313</v>
      </c>
      <c r="CP181" s="260">
        <f>CQ181+各项系数!$L$9*$NO181</f>
        <v>40.7690959944888</v>
      </c>
      <c r="CQ181" s="260">
        <f>CR181*(1+$DD181+各项系数!$J$5+各项系数!$L$5)</f>
        <v>40.310366005423</v>
      </c>
      <c r="CR181" s="260">
        <f t="shared" si="589"/>
        <v>39.136277675168</v>
      </c>
      <c r="CS181" s="259">
        <f>CT181+各项系数!$M$9*$NU181</f>
        <v>42.2780109196496</v>
      </c>
      <c r="CT181" s="259">
        <f t="shared" si="590"/>
        <v>41.8093223810018</v>
      </c>
      <c r="CU181" s="260">
        <f>CV181+各项系数!$L$9*$NU181</f>
        <v>42.2401721367971</v>
      </c>
      <c r="CV181" s="260">
        <f>CW181*(1+$DD181+各项系数!$J$5+各项系数!$L$5)</f>
        <v>41.7714835981493</v>
      </c>
      <c r="CW181" s="262">
        <f t="shared" si="591"/>
        <v>40.5548384448051</v>
      </c>
      <c r="CX181" s="259">
        <f>CY181+各项系数!$M$9*$NU181</f>
        <v>43.7417002851835</v>
      </c>
      <c r="CY181" s="259">
        <f t="shared" si="592"/>
        <v>43.2730117465357</v>
      </c>
      <c r="CZ181" s="260">
        <f>DA181+各项系数!$L$9*$NU181</f>
        <v>43.7189449853866</v>
      </c>
      <c r="DA181" s="260">
        <f>DB181*(1+$DD181+各项系数!$J$5+各项系数!$L$5)</f>
        <v>43.2502564467388</v>
      </c>
      <c r="DB181" s="262">
        <f t="shared" si="593"/>
        <v>41.9905402395522</v>
      </c>
      <c r="DC181" s="277">
        <f t="shared" si="803"/>
        <v>0</v>
      </c>
      <c r="DD181" s="277">
        <f t="shared" si="594"/>
        <v>0.01</v>
      </c>
      <c r="DE181" s="69" t="s">
        <v>498</v>
      </c>
      <c r="DF181" s="69" t="s">
        <v>513</v>
      </c>
      <c r="DG181" s="259">
        <f>DH181+各项系数!$M$9*$NQ181</f>
        <v>40.8313144408888</v>
      </c>
      <c r="DH181" s="259">
        <f>DI181*(1+$EA181+(VLOOKUP($AM181,$A$12:$B$323,2,0))+各项系数!$J$6+各项系数!$M$5)*(1+$E$2)+各项系数!$M$9*$NK181</f>
        <v>40.372584451823</v>
      </c>
      <c r="DI181" s="260">
        <f>DJ181+各项系数!$L$9*$NQ181</f>
        <v>40.5109150203442</v>
      </c>
      <c r="DJ181" s="260">
        <f>DK181*(1+$EB181+各项系数!$J$5+各项系数!$L$5)</f>
        <v>40.0521850312785</v>
      </c>
      <c r="DK181" s="260">
        <f t="shared" si="595"/>
        <v>38.5117163762293</v>
      </c>
      <c r="DL181" s="259">
        <f>DM181+各项系数!$M$9*$NQ181</f>
        <v>42.0830128324203</v>
      </c>
      <c r="DM181" s="259">
        <f>DN181*(1+$EA181+(VLOOKUP($AM181,$A$12:$B$323,2,0))+各项系数!$J$6+各项系数!$M$5)*(1+$E$2)+各项系数!$M$9*$NK181</f>
        <v>41.6242828433546</v>
      </c>
      <c r="DN181" s="260">
        <f>DO181+各项系数!$L$9*$NQ181</f>
        <v>41.7755123041708</v>
      </c>
      <c r="DO181" s="260">
        <f>DP181*(1+$EB181+各项系数!$J$5+各项系数!$L$5)</f>
        <v>41.3167823151051</v>
      </c>
      <c r="DP181" s="260">
        <f t="shared" si="596"/>
        <v>39.7276753029857</v>
      </c>
      <c r="DQ181" s="259">
        <f>DR181+各项系数!$M$9*$NV181</f>
        <v>42.8977657170678</v>
      </c>
      <c r="DR181" s="259">
        <f t="shared" si="597"/>
        <v>42.42907717842</v>
      </c>
      <c r="DS181" s="260">
        <f>DT181+各项系数!$L$9*$NV181</f>
        <v>42.8663135769044</v>
      </c>
      <c r="DT181" s="260">
        <f>DU181*(1+$EB181+各项系数!$J$5+各项系数!$L$5)</f>
        <v>42.3976250382566</v>
      </c>
      <c r="DU181" s="262">
        <f t="shared" si="598"/>
        <v>40.7669471521698</v>
      </c>
      <c r="DV181" s="259">
        <f>DW181+各项系数!$M$9*$NV181</f>
        <v>41.3643727209729</v>
      </c>
      <c r="DW181" s="259">
        <f t="shared" si="599"/>
        <v>40.895684182325</v>
      </c>
      <c r="DX181" s="260">
        <f>DY181+各项系数!$L$9*$NV181</f>
        <v>41.3171187940241</v>
      </c>
      <c r="DY181" s="260">
        <f>DZ181*(1+$EB181+各项系数!$J$5+各项系数!$L$5)</f>
        <v>40.8484302553762</v>
      </c>
      <c r="DZ181" s="262">
        <f t="shared" si="600"/>
        <v>39.2773367840156</v>
      </c>
      <c r="EA181" s="277">
        <f t="shared" si="802"/>
        <v>0</v>
      </c>
      <c r="EB181" s="277">
        <f t="shared" si="601"/>
        <v>0.02</v>
      </c>
      <c r="EC181" s="302">
        <f t="shared" si="649"/>
        <v>37</v>
      </c>
      <c r="ED181" s="302" t="str">
        <f t="shared" si="756"/>
        <v>37*1.5</v>
      </c>
      <c r="EE181" s="251">
        <f t="shared" si="812"/>
        <v>1.5</v>
      </c>
      <c r="EF181" s="251">
        <f>LOOKUP(EH181,{1,7,10,14,19,24,30,37,48,61},{1,"1+6","2+8","4+10","1+6+12","2+8+14","4+10+16","1+6+12+18","3+9+15+21","1+6+12+18+24"})</f>
        <v>1</v>
      </c>
      <c r="EG181" s="250">
        <f t="shared" si="602"/>
        <v>37</v>
      </c>
      <c r="EH181" s="260">
        <f>VLOOKUP(EE181,各项系数!$B$87:$C$124,2,0)</f>
        <v>1</v>
      </c>
      <c r="EI181" s="250">
        <f>IF(EH181=0,0,VLOOKUP(EH181,各项系数!$D$142:$E$195,2,0))*1</f>
        <v>1</v>
      </c>
      <c r="EJ181" s="305">
        <f t="shared" si="650"/>
        <v>134.922667214547</v>
      </c>
      <c r="EK181" s="251">
        <f t="shared" si="813"/>
        <v>0</v>
      </c>
      <c r="EL181" s="251">
        <f t="shared" si="603"/>
        <v>0</v>
      </c>
      <c r="EM181" s="251">
        <f t="shared" si="814"/>
        <v>0</v>
      </c>
      <c r="EN181" s="251">
        <f>IF(EP181=0,0,LOOKUP(EP181,{1,7,10,14,19,24,30,37,48,61},{1,"1+6","2+8","4+10","1+6+12","2+8+14","4+10+16","1+6+12+18","3+9+15+21","1+6+12+18+24"}))</f>
        <v>0</v>
      </c>
      <c r="EO181" s="251">
        <f t="shared" si="815"/>
        <v>0</v>
      </c>
      <c r="EP181" s="251">
        <f>IF(EM181=0,0,IF(EM181&lt;10,1,IF(AND(EM181&gt;=10,EM181&lt;=35),7,LOOKUP(EM181,{50,70,95,120,150,185,240,300},{10,14,19,24,30,37,48,61})*1)))</f>
        <v>0</v>
      </c>
      <c r="EQ181" s="251">
        <f>IF(EP181=0,0,VLOOKUP(EP181,各项系数!$D$142:$E$195,2,0))*1</f>
        <v>0</v>
      </c>
      <c r="ER181" s="69">
        <f t="shared" si="816"/>
        <v>0</v>
      </c>
      <c r="ES181" s="566">
        <f t="shared" si="817"/>
        <v>37</v>
      </c>
      <c r="ET181" s="251">
        <f>VLOOKUP(ES181,各项系数!$D$142:$E$195,2,0)*1</f>
        <v>7</v>
      </c>
      <c r="EU181" s="311">
        <f>((各项系数!$F$76/4*$EJ181^2*$EG181*$EH181*1*10^-7)*(1-$H181)*AA181)*(VLOOKUP($EY$9,各项系数!$D$4:$F$143,3,0))*各项系数!$J$4</f>
        <v>0.46793581113442</v>
      </c>
      <c r="EV181" s="312">
        <f>EU181*(VLOOKUP($EY$9,各项系数!$D$4:$F$143,2,0))</f>
        <v>30.6497956293045</v>
      </c>
      <c r="EW181" s="324">
        <f>(IF($EO181=0,0,(各项系数!$F$76/4*$ER181^2*$EO181*$EP181*1*10^-7))*(1-$K181)*$AF181)*(VLOOKUP($EY$9,各项系数!$D$4:$F$143,3,0))*各项系数!$J$4</f>
        <v>0</v>
      </c>
      <c r="EX181" s="325">
        <f>EW181*(VLOOKUP($EY$9,各项系数!$D$4:$F$143,2,0))</f>
        <v>0</v>
      </c>
      <c r="EY181" s="251">
        <f>((各项系数!$F$76/4*$EJ181^2*$EG181*$EH181*1*10^-7)*(1-$H181)*AA181+IF($EO181=0,0,(各项系数!$F$76/4*$ER181^2*$EO181*$EP181*1*10^-7))*(1-$K181)*$AF181)*(VLOOKUP($EY$9,各项系数!$D$4:$F$143,3,0))*各项系数!$J$4</f>
        <v>0.46793581113442</v>
      </c>
      <c r="EZ181" s="123">
        <v>1</v>
      </c>
      <c r="FA181" s="251">
        <f t="shared" si="757"/>
        <v>0.46793581113442</v>
      </c>
      <c r="FB181" s="326">
        <f>FA181*(VLOOKUP($EY$9,各项系数!$D$4:$F$143,2,0))</f>
        <v>30.6497956293045</v>
      </c>
      <c r="FC181" s="327"/>
      <c r="FD181" s="302">
        <f>各项系数!$F$76/4*($MN181^2-MK181^2)*10^-2*(VLOOKUP(L181,各项系数!$D$1:$F$143,3,0))*10^-3*10^2*$EG181*各项系数!$J$4</f>
        <v>0.18249686236769</v>
      </c>
      <c r="FE181" s="339">
        <f>FD181*VLOOKUP(L181,各项系数!$D$1:$F$143,2,0)</f>
        <v>2.09871391722844</v>
      </c>
      <c r="FF181" s="250">
        <f>各项系数!$F$76/4*($MO181^2-ML181^2)*10^-2*(VLOOKUP(L181,各项系数!$D$1:$F$143,3,0))*10^-3*10^2*$EO181*各项系数!$J$4</f>
        <v>0</v>
      </c>
      <c r="FG181" s="339">
        <f>FF181*VLOOKUP(L181,各项系数!$D$1:$F$143,2,0)</f>
        <v>0</v>
      </c>
      <c r="FH181" s="302">
        <f t="shared" si="651"/>
        <v>0.18249686236769</v>
      </c>
      <c r="FI181" s="123">
        <v>1</v>
      </c>
      <c r="FJ181" s="251">
        <f t="shared" si="758"/>
        <v>0.18249686236769</v>
      </c>
      <c r="FK181" s="339">
        <f>FJ181*VLOOKUP(L181,各项系数!$D$1:$F$143,2,0)</f>
        <v>2.09871391722844</v>
      </c>
      <c r="FL181" s="302"/>
      <c r="FM181" s="123"/>
      <c r="FN181" s="251"/>
      <c r="FO181" s="339"/>
      <c r="FP181" s="364">
        <f t="shared" si="759"/>
        <v>0.18249686236769</v>
      </c>
      <c r="FQ181" s="364">
        <f t="shared" si="760"/>
        <v>2.09871391722844</v>
      </c>
      <c r="FR181" s="365">
        <f>各项系数!$F$76/4*($MQ181^2-$MN181^2*$EG181-$MO181^2*$EO181)*10^-2</f>
        <v>0.712348024152337</v>
      </c>
      <c r="FS181" s="366">
        <f t="shared" si="652"/>
        <v>1</v>
      </c>
      <c r="FT181" s="367">
        <f t="shared" si="604"/>
        <v>0.712348024152337</v>
      </c>
      <c r="FU181" s="388">
        <f>$FT181*(VLOOKUP($FT$9,各项系数!$D$1:$F$143,3,0))*10^-3*10^2*各项系数!$J$55</f>
        <v>0.085054354083789</v>
      </c>
      <c r="FV181" s="389">
        <v>1</v>
      </c>
      <c r="FW181" s="390">
        <f t="shared" si="761"/>
        <v>0.085054354083789</v>
      </c>
      <c r="FX181" s="367">
        <f>FW181*(VLOOKUP($FT$9,各项系数!$D$1:$F$143,2,0))</f>
        <v>0.255163062251367</v>
      </c>
      <c r="FY181" s="388">
        <f>IF($BK181&lt;&gt;$FY$9,0,各项系数!$F$76/4*($MS181^2-$MQ181^2)*10^-2*(VLOOKUP($FY$9,各项系数!$D$1:$F$143,3,0))*10^-3*10^2)*各项系数!$J$4</f>
        <v>0</v>
      </c>
      <c r="FZ181" s="389">
        <v>1</v>
      </c>
      <c r="GA181" s="390">
        <f t="shared" si="762"/>
        <v>0</v>
      </c>
      <c r="GB181" s="367">
        <f>GA181*(VLOOKUP($FY$9,各项系数!$D$1:$F$143,2,0))</f>
        <v>0</v>
      </c>
      <c r="GC181" s="388">
        <f>IF($BK181&lt;&gt;$GC$9,0,各项系数!$F$76/4*($MS181^2-$MQ181^2)*10^-2*(VLOOKUP($GC$9,各项系数!$D$1:$F$143,3,0))*10^-3*10^2)*各项系数!$J$4</f>
        <v>0.0052647867704084</v>
      </c>
      <c r="GD181" s="389">
        <v>1</v>
      </c>
      <c r="GE181" s="390">
        <f t="shared" si="763"/>
        <v>0.0052647867704084</v>
      </c>
      <c r="GF181" s="367">
        <f>GE181*(VLOOKUP($GC$9,各项系数!$D$1:$F$143,2,0))</f>
        <v>0.0679157493382683</v>
      </c>
      <c r="GG181" s="388">
        <f>IF($BK181&lt;&gt;$GG$9,0,各项系数!$F$76/4*($MS181^2-$MQ181^2)*10^-2*(VLOOKUP($GG$9,各项系数!$D$1:$F$143,3,0))*10^-3*10^2)*各项系数!$J$4</f>
        <v>0</v>
      </c>
      <c r="GH181" s="389">
        <v>1</v>
      </c>
      <c r="GI181" s="390">
        <f t="shared" si="764"/>
        <v>0</v>
      </c>
      <c r="GJ181" s="367">
        <f>GI181*(VLOOKUP($GG$9,各项系数!$D$1:$F$143,2,0))</f>
        <v>0</v>
      </c>
      <c r="GK181" s="388">
        <f>IF($BK181&lt;&gt;$GK$9,0,各项系数!$F$76/4*($MS181^2-$MQ181^2)*10^-2*(VLOOKUP($GK$9,各项系数!$D$1:$F$143,3,0))*10^-3*10^2)*各项系数!$J$4</f>
        <v>0</v>
      </c>
      <c r="GL181" s="389">
        <v>1</v>
      </c>
      <c r="GM181" s="390">
        <f t="shared" si="765"/>
        <v>0</v>
      </c>
      <c r="GN181" s="367">
        <f>GM181*(VLOOKUP($GK$9,各项系数!$D$1:$F$143,2,0))</f>
        <v>0</v>
      </c>
      <c r="GO181" s="390">
        <f t="shared" si="766"/>
        <v>0.0052647867704084</v>
      </c>
      <c r="GP181" s="390">
        <f t="shared" si="767"/>
        <v>0.0679157493382683</v>
      </c>
      <c r="GQ181" s="406">
        <f>各项系数!$F$76/4*($MU181^2-$MS181^2)*10^-2*(VLOOKUP($S181,各项系数!$D$1:$F$143,3,0))*10^-3*10^2*各项系数!$J$4</f>
        <v>0.293634957136597</v>
      </c>
      <c r="GR181" s="389">
        <v>1</v>
      </c>
      <c r="GS181" s="390">
        <f t="shared" si="768"/>
        <v>0.293634957136597</v>
      </c>
      <c r="GT181" s="390">
        <f t="shared" si="696"/>
        <v>0</v>
      </c>
      <c r="GU181" s="390">
        <f>ROUND($GS181*(VLOOKUP($S181,各项系数!$D$1:$F$143,2,0))+$E$3*GS181,GT181)</f>
        <v>2</v>
      </c>
      <c r="GV181" s="406">
        <f>各项系数!$F$76/4*($MT181^2-$MS181^2)*10^-2*(VLOOKUP($GV$9,各项系数!$D$1:$F$143,3,0))*10^-3*10^2*各项系数!$J$4*PI()/4*R181</f>
        <v>0.0272390682216472</v>
      </c>
      <c r="GW181" s="389">
        <v>1</v>
      </c>
      <c r="GX181" s="390">
        <f t="shared" si="769"/>
        <v>0.0272390682216472</v>
      </c>
      <c r="GY181" s="390">
        <f>$GX181*(VLOOKUP($GV$9,各项系数!$D$1:$F$143,2,0))</f>
        <v>1.83863710496118</v>
      </c>
      <c r="GZ181" s="406">
        <f>各项系数!$F$76/4*($MV181^2-$MS181^2)*10^-2*(VLOOKUP($GZ$9,各项系数!$D$1:$F$143,3,0))*10^-3*10^2*各项系数!$J$4</f>
        <v>0.173129409410727</v>
      </c>
      <c r="HA181" s="389">
        <v>1</v>
      </c>
      <c r="HB181" s="390">
        <f t="shared" si="653"/>
        <v>0.173129409410727</v>
      </c>
      <c r="HC181" s="390">
        <f>HB181*(VLOOKUP($GZ$9,各项系数!$D$1:$F$143,2,0))</f>
        <v>2.94319995998236</v>
      </c>
      <c r="HD181" s="406">
        <f>各项系数!$F$76/4*($MW181^2-$MT181^2)*10^-2*(VLOOKUP($HD$9,各项系数!$D$1:$F$143,3,0))*10^-3*10^2*各项系数!$J$4</f>
        <v>0.174434778857405</v>
      </c>
      <c r="HE181" s="389">
        <v>1</v>
      </c>
      <c r="HF181" s="390">
        <f t="shared" si="654"/>
        <v>0.174434778857405</v>
      </c>
      <c r="HG181" s="390">
        <f>HF181*(VLOOKUP($HD$9,各项系数!$D$1:$F$143,2,0))</f>
        <v>2.96539124057589</v>
      </c>
      <c r="HH181" s="406">
        <f>各项系数!$F$76/4*($MV181^2-$MS181^2)*10^-2*(VLOOKUP($HH$9,各项系数!$D$1:$F$143,3,0))*10^-3*10^2*各项系数!$J$4</f>
        <v>0.173129409410727</v>
      </c>
      <c r="HI181" s="420">
        <v>1</v>
      </c>
      <c r="HJ181" s="390">
        <f t="shared" si="655"/>
        <v>0.173129409410727</v>
      </c>
      <c r="HK181" s="390">
        <f>HJ181*(VLOOKUP($HH$9,各项系数!$D$1:$F$143,2,0))</f>
        <v>2.94319995998236</v>
      </c>
      <c r="HL181" s="406">
        <f>各项系数!$F$76/4*($MW181^2-$MT181^2)*10^-2*(VLOOKUP($HL$9,各项系数!$D$1:$F$143,3,0))*10^-3*10^2*各项系数!$J$4</f>
        <v>0.174434778857405</v>
      </c>
      <c r="HM181" s="420">
        <v>1</v>
      </c>
      <c r="HN181" s="390">
        <f t="shared" si="605"/>
        <v>0.174434778857405</v>
      </c>
      <c r="HO181" s="390">
        <f>HN181*(VLOOKUP($HL$9,各项系数!$D$1:$F$143,2,0))</f>
        <v>2.96539124057589</v>
      </c>
      <c r="HP181" s="406">
        <f>各项系数!$F$76/4*($MV181^2-$MS181^2)*10^-2*(VLOOKUP(AN181,各项系数!$D$1:$F$143,3,0))*10^-3*10^2*各项系数!$J$4</f>
        <v>0.175517401264668</v>
      </c>
      <c r="HQ181" s="389">
        <v>1</v>
      </c>
      <c r="HR181" s="390">
        <f t="shared" si="770"/>
        <v>0.175517401264668</v>
      </c>
      <c r="HS181" s="390">
        <f>HR181*(VLOOKUP(AN181,各项系数!$D$1:$F$143,2,0))</f>
        <v>1.75517401264668</v>
      </c>
      <c r="HT181" s="406">
        <f>各项系数!$F$76/4*($MW181^2-$MT181^2)*10^-2*(VLOOKUP(AN181,各项系数!$D$1:$F$143,3,0))*10^-3*10^2*各项系数!$J$4</f>
        <v>0.176840775807163</v>
      </c>
      <c r="HU181" s="389">
        <v>1</v>
      </c>
      <c r="HV181" s="390">
        <f t="shared" si="771"/>
        <v>0.176840775807163</v>
      </c>
      <c r="HW181" s="390">
        <f>HV181*(VLOOKUP(AN181,各项系数!$D$1:$F$143,2,0))</f>
        <v>1.76840775807163</v>
      </c>
      <c r="HX181" s="406">
        <f>各项系数!$F$76/4*($MV181^2-$MS181^2)*10^-2*(VLOOKUP($HX$9,各项系数!$D$1:$F$143,3,0))*10^-3*10^2*各项系数!$J$4</f>
        <v>0.175517401264668</v>
      </c>
      <c r="HY181" s="420">
        <v>1</v>
      </c>
      <c r="HZ181" s="390">
        <f t="shared" si="772"/>
        <v>0.175517401264668</v>
      </c>
      <c r="IA181" s="390">
        <f>HZ181*(VLOOKUP($HX$9,各项系数!$D$1:$F$143,2,0))</f>
        <v>1.93069141391135</v>
      </c>
      <c r="IB181" s="406">
        <f>各项系数!$F$76/4*($MW181^2-$MT181^2)*10^-2*(VLOOKUP($IB$9,各项系数!$D$1:$F$143,3,0))*10^-3*10^2*各项系数!$J$4</f>
        <v>0.176840775807163</v>
      </c>
      <c r="IC181" s="420">
        <v>1</v>
      </c>
      <c r="ID181" s="390">
        <f t="shared" si="773"/>
        <v>0.176840775807163</v>
      </c>
      <c r="IE181" s="390">
        <f>ID181*(VLOOKUP($IB$9,各项系数!$D$1:$F$143,2,0))</f>
        <v>1.94524853387879</v>
      </c>
      <c r="IF181" s="429"/>
      <c r="IG181" s="406">
        <f t="shared" si="656"/>
        <v>0.0858356184370808</v>
      </c>
      <c r="IH181" s="389">
        <v>1</v>
      </c>
      <c r="II181" s="390">
        <f t="shared" si="774"/>
        <v>0.0858356184370808</v>
      </c>
      <c r="IJ181" s="390">
        <f>II181*(VLOOKUP($IG$8,各项系数!$D$1:$F$143,2,0))</f>
        <v>2.14589046092702</v>
      </c>
      <c r="IK181" s="406">
        <f>(各项系数!$F$76/4*($MX181^2-$MK181^2)*$EG181)*10^-2*(VLOOKUP($IG$8,各项系数!$D$1:$F$143,3,0))*10^-3*10^2*各项系数!$J$4</f>
        <v>0.0858356184370808</v>
      </c>
      <c r="IL181" s="389">
        <f>IK181*(VLOOKUP($IG$8,各项系数!$D$1:$F$143,2,0))</f>
        <v>2.14589046092702</v>
      </c>
      <c r="IM181" s="390">
        <f>(各项系数!$F$76/4*(($MM181+3*$X181)^2-MM181^2)*$EO181)*10^-2*(VLOOKUP($IG$8,各项系数!$D$1:$F$143,3,0))*10^-3*10^2*各项系数!$J$4</f>
        <v>0</v>
      </c>
      <c r="IN181" s="389">
        <f>IM181*(VLOOKUP($IG$8,各项系数!$D$1:$F$143,2,0))</f>
        <v>0</v>
      </c>
      <c r="IO181" s="406">
        <f>各项系数!$F$76/4*($MZ181^2-$MX181^2)*10^-2*(VLOOKUP(L181,各项系数!$D$1:$F$143,3,0))*10^-3*10^2*$ES181*各项系数!$J$4</f>
        <v>0.235930735264052</v>
      </c>
      <c r="IP181" s="389">
        <v>1</v>
      </c>
      <c r="IQ181" s="390">
        <f t="shared" si="775"/>
        <v>0.235930735264052</v>
      </c>
      <c r="IR181" s="367">
        <f>IQ181*(VLOOKUP(L181,各项系数!$D$1:$F$143,2,0))</f>
        <v>2.7132034555366</v>
      </c>
      <c r="IS181" s="406">
        <f>IF($L181&lt;&gt;$IS$9,0,各项系数!$F$76/4*($MZ181^2-$MX181^2)*10^-2*各项系数!$F$12*10^-3*10^2)*$ES181*各项系数!$J$4</f>
        <v>0</v>
      </c>
      <c r="IT181" s="389">
        <v>1</v>
      </c>
      <c r="IU181" s="390">
        <f t="shared" si="776"/>
        <v>0</v>
      </c>
      <c r="IV181" s="367">
        <f>IU181*各项系数!$E$12</f>
        <v>0</v>
      </c>
      <c r="IW181" s="388">
        <f t="shared" si="777"/>
        <v>0.235930735264052</v>
      </c>
      <c r="IX181" s="388">
        <f t="shared" si="778"/>
        <v>2.7132034555366</v>
      </c>
      <c r="IY181" s="447">
        <f>各项系数!$F$76/4*($NB181^2-$MZ181^2*$EG181-$NA181^2*$EO181)*10^-2</f>
        <v>1.05720743595401</v>
      </c>
      <c r="IZ181" s="366">
        <f t="shared" si="697"/>
        <v>1</v>
      </c>
      <c r="JA181" s="367">
        <f t="shared" si="606"/>
        <v>1.05720743595401</v>
      </c>
      <c r="JB181" s="364">
        <f>IF($DE181&lt;&gt;$JB$9,0,$JA181*各项系数!$F$32*10^-3*10^2)*各项系数!$J$4</f>
        <v>0</v>
      </c>
      <c r="JC181" s="123">
        <v>1</v>
      </c>
      <c r="JD181" s="251">
        <f t="shared" si="779"/>
        <v>0</v>
      </c>
      <c r="JE181" s="339">
        <f>JD181*各项系数!$E$32</f>
        <v>0</v>
      </c>
      <c r="JF181" s="364">
        <f>IF($DE181&lt;&gt;$JF$9,0,$JA181*VLOOKUP($JF$9,各项系数!$D$4:$F$540,2,0)*10^-3*10^2)*各项系数!$J$4</f>
        <v>0.52596069938712</v>
      </c>
      <c r="JG181" s="123">
        <v>1</v>
      </c>
      <c r="JH181" s="251">
        <f t="shared" si="607"/>
        <v>0.52596069938712</v>
      </c>
      <c r="JI181" s="339">
        <f>JH181*VLOOKUP($JF$9,各项系数!$D$4:$F$540,3,0)</f>
        <v>0.631152839264544</v>
      </c>
      <c r="JJ181" s="364">
        <f t="shared" si="780"/>
        <v>0.52596069938712</v>
      </c>
      <c r="JK181" s="251">
        <f t="shared" si="781"/>
        <v>0.631152839264544</v>
      </c>
      <c r="JL181" s="364">
        <f>IF($DF181&lt;&gt;$JL$9,0,各项系数!$F$76/4*($NE181^2-$NC181^2)*10^-2*各项系数!$F$39*10^-3*10^2)*各项系数!$J$4</f>
        <v>0.00265176650764916</v>
      </c>
      <c r="JM181" s="123">
        <v>1</v>
      </c>
      <c r="JN181" s="251">
        <f t="shared" si="782"/>
        <v>0.00265176650764916</v>
      </c>
      <c r="JO181" s="339">
        <f>JN181*各项系数!$E$39</f>
        <v>0.0530353301529832</v>
      </c>
      <c r="JP181" s="364">
        <f>IF($DF181&lt;&gt;$JP$9,0,各项系数!$F$76/4*($NE181^2-$NC181^2)*10^-2*各项系数!$F$36*10^-3*10^2)*各项系数!$J$4</f>
        <v>0</v>
      </c>
      <c r="JQ181" s="123">
        <v>1</v>
      </c>
      <c r="JR181" s="251">
        <f t="shared" si="783"/>
        <v>0</v>
      </c>
      <c r="JS181" s="339">
        <f>JR181*各项系数!$E$36</f>
        <v>0</v>
      </c>
      <c r="JT181" s="364">
        <f>IF($DF181&lt;&gt;$JT$9,0,各项系数!$F$76/4*($NE181^2-$NC181^2)*10^-2*各项系数!$F$40*10^-3*10^2)*各项系数!$J$4</f>
        <v>0</v>
      </c>
      <c r="JU181" s="123">
        <v>1</v>
      </c>
      <c r="JV181" s="251">
        <f t="shared" si="784"/>
        <v>0</v>
      </c>
      <c r="JW181" s="339">
        <f>JV181*各项系数!$E$40</f>
        <v>0</v>
      </c>
      <c r="JX181" s="364">
        <f>IF($DF181&lt;&gt;$JX$9,0,各项系数!$F$76/4*($NE181^2-$NC181^2)*10^-2*各项系数!$F$38*10^-3*10^2)*各项系数!$J$4</f>
        <v>0</v>
      </c>
      <c r="JY181" s="123">
        <v>1</v>
      </c>
      <c r="JZ181" s="251">
        <f t="shared" si="785"/>
        <v>0</v>
      </c>
      <c r="KA181" s="339">
        <f>JZ181*各项系数!$E$38</f>
        <v>0</v>
      </c>
      <c r="KB181" s="364">
        <f>IF($DF181&lt;&gt;$KB$9,0,各项系数!$F$76/4*($NE181^2-$NC181^2)*10^-2*各项系数!$F$41*10^-3*10^2)*各项系数!$J$4</f>
        <v>0</v>
      </c>
      <c r="KC181" s="123">
        <v>1</v>
      </c>
      <c r="KD181" s="251">
        <f t="shared" si="786"/>
        <v>0</v>
      </c>
      <c r="KE181" s="339">
        <f>KD181*各项系数!$E$41</f>
        <v>0</v>
      </c>
      <c r="KF181" s="251">
        <f t="shared" si="787"/>
        <v>0.00265176650764916</v>
      </c>
      <c r="KG181" s="251">
        <f t="shared" si="788"/>
        <v>0.0530353301529832</v>
      </c>
      <c r="KH181" s="302">
        <f>各项系数!$F$76/4*($NG181^2-$NE181^2)*10^-2*各项系数!$F$44*10^-3*10^2*各项系数!$J$4*0.75*$U181</f>
        <v>1.06852067057953</v>
      </c>
      <c r="KI181" s="123">
        <v>1</v>
      </c>
      <c r="KJ181" s="251">
        <f t="shared" si="789"/>
        <v>1.06852067057953</v>
      </c>
      <c r="KK181" s="251">
        <f>ROUND(KJ181*各项系数!$E$43,GT181)</f>
        <v>6</v>
      </c>
      <c r="KL181" s="302">
        <f>各项系数!$F$76/4*($NF181^2-$NE181^2)*10^-2*各项系数!$F$46*10^-3*10^2*各项系数!$J$4*PI()/4*R181</f>
        <v>0.0331951652736743</v>
      </c>
      <c r="KM181" s="123">
        <v>1</v>
      </c>
      <c r="KN181" s="251">
        <f t="shared" si="790"/>
        <v>0.0331951652736743</v>
      </c>
      <c r="KO181" s="251">
        <f>KN181*各项系数!$E$46</f>
        <v>2.24067365597302</v>
      </c>
      <c r="KP181" s="302">
        <f>各项系数!$F$76/4*($NH181^2-$NE181^2)*10^-2*(VLOOKUP($KP$9,各项系数!$D$1:$F$143,3,0))*10^-3*10^2*各项系数!$J$4</f>
        <v>0.207917505164707</v>
      </c>
      <c r="KQ181" s="123">
        <v>1</v>
      </c>
      <c r="KR181" s="251">
        <f t="shared" si="657"/>
        <v>0.207917505164707</v>
      </c>
      <c r="KS181" s="251">
        <f>KR181*(VLOOKUP($KP$9,各项系数!$D$1:$F$143,2,0))</f>
        <v>3.53459758780001</v>
      </c>
      <c r="KT181" s="302">
        <f>各项系数!$F$76/4*($NI181^2-$NF181^2)*10^-2*(VLOOKUP($KT$9,各项系数!$D$1:$F$143,3,0))*10^-3*10^2*各项系数!$J$4</f>
        <v>0.209222874611385</v>
      </c>
      <c r="KU181" s="123">
        <v>1</v>
      </c>
      <c r="KV181" s="251">
        <f t="shared" si="658"/>
        <v>0.209222874611385</v>
      </c>
      <c r="KW181" s="251">
        <f>KV181*(VLOOKUP($KT$9,各项系数!$D$1:$F$143,2,0))</f>
        <v>3.55678886839354</v>
      </c>
      <c r="KX181" s="251">
        <f>各项系数!$F$76/4*($NH181^2-$NE181^2)*10^-2*(VLOOKUP($KX$9,各项系数!$D$1:$F$143,3,0))*10^-3*10^2*各项系数!$J$4</f>
        <v>0.207917505164707</v>
      </c>
      <c r="KY181" s="479">
        <v>1</v>
      </c>
      <c r="KZ181" s="251">
        <f t="shared" si="659"/>
        <v>0.207917505164707</v>
      </c>
      <c r="LA181" s="251">
        <f>KZ181*(VLOOKUP($KX$9,各项系数!$D$1:$F$143,2,0))</f>
        <v>3.53459758780001</v>
      </c>
      <c r="LB181" s="251">
        <f>各项系数!$F$76/4*($NI181^2-$NF181^2)*10^-2*(VLOOKUP($LB$9,各项系数!$D$1:$F$143,3,0))*10^-3*10^2*各项系数!$J$4</f>
        <v>0.209222874611385</v>
      </c>
      <c r="LC181" s="479">
        <v>1</v>
      </c>
      <c r="LD181" s="251">
        <f t="shared" si="660"/>
        <v>0.209222874611385</v>
      </c>
      <c r="LE181" s="251">
        <f>LD181*(VLOOKUP($LB$9,各项系数!$D$1:$F$143,2,0))</f>
        <v>3.55678886839354</v>
      </c>
      <c r="LF181" s="302">
        <f>各项系数!$F$76/4*($NH181^2-$NE181^2)*10^-2*(VLOOKUP(AN181,各项系数!$D$1:$F$143,3,0))*10^-3*10^2*各项系数!$J$4</f>
        <v>0.210785332822151</v>
      </c>
      <c r="LG181" s="123">
        <v>1</v>
      </c>
      <c r="LH181" s="251">
        <f t="shared" si="791"/>
        <v>0.210785332822151</v>
      </c>
      <c r="LI181" s="251">
        <f>LH181*(VLOOKUP(AN181,各项系数!$D$1:$F$143,2,0))</f>
        <v>2.10785332822151</v>
      </c>
      <c r="LJ181" s="302">
        <f>各项系数!$F$76/4*($NI181^2-$NF181^2)*10^-2*(VLOOKUP(AN181,各项系数!$D$1:$F$143,3,0))*10^-3*10^2*各项系数!$J$4</f>
        <v>0.212108707364645</v>
      </c>
      <c r="LK181" s="123">
        <v>1</v>
      </c>
      <c r="LL181" s="251">
        <f t="shared" si="792"/>
        <v>0.212108707364645</v>
      </c>
      <c r="LM181" s="251">
        <f>LL181*(VLOOKUP(AN181,各项系数!$D$1:$F$143,2,0))</f>
        <v>2.12108707364645</v>
      </c>
      <c r="LN181" s="251">
        <f>各项系数!$F$76/4*($NH181^2-$NE181^2)*10^-2*(VLOOKUP($LN$9,各项系数!$D$1:$F$143,3,0))*10^-3*10^2*各项系数!$J$4</f>
        <v>0.210785332822151</v>
      </c>
      <c r="LO181" s="479">
        <v>1</v>
      </c>
      <c r="LP181" s="251">
        <f t="shared" si="793"/>
        <v>0.210785332822151</v>
      </c>
      <c r="LQ181" s="251">
        <f>LP181*(VLOOKUP($LN$9,各项系数!$D$1:$F$143,2,0))</f>
        <v>2.31863866104366</v>
      </c>
      <c r="LR181" s="251">
        <f>各项系数!$F$76/4*($NI181^2-$NF181^2)*10^-2*(VLOOKUP($LR$9,各项系数!$D$1:$F$143,3,0))*10^-3*10^2*各项系数!$J$4</f>
        <v>0.212108707364645</v>
      </c>
      <c r="LS181" s="479">
        <v>1</v>
      </c>
      <c r="LT181" s="251">
        <f t="shared" si="794"/>
        <v>0.212108707364645</v>
      </c>
      <c r="LU181" s="251">
        <f>LT181*(VLOOKUP($LR$9,各项系数!$D$1:$F$143,2,0))</f>
        <v>2.3331957810111</v>
      </c>
      <c r="LV181" s="499">
        <f t="shared" si="661"/>
        <v>52.90070257</v>
      </c>
      <c r="LW181" s="499">
        <f t="shared" si="662"/>
        <v>52.90070257</v>
      </c>
      <c r="LX181" s="499">
        <f t="shared" si="663"/>
        <v>8.2070254329079</v>
      </c>
      <c r="LY181" s="515">
        <f t="shared" si="664"/>
        <v>0</v>
      </c>
      <c r="LZ181" s="516">
        <f t="shared" si="608"/>
        <v>1</v>
      </c>
      <c r="MA181" s="517">
        <f t="shared" si="609"/>
        <v>52.90070257</v>
      </c>
      <c r="MB181" s="517">
        <f t="shared" si="665"/>
        <v>1.34922667</v>
      </c>
      <c r="MC181" s="499">
        <f t="shared" si="666"/>
        <v>0</v>
      </c>
      <c r="MD181" s="499">
        <f t="shared" si="667"/>
        <v>0</v>
      </c>
      <c r="ME181" s="499">
        <f t="shared" si="668"/>
        <v>0</v>
      </c>
      <c r="MF181" s="499">
        <f t="shared" si="669"/>
        <v>0</v>
      </c>
      <c r="MG181" s="516">
        <f t="shared" si="670"/>
        <v>1</v>
      </c>
      <c r="MH181" s="517">
        <f t="shared" si="610"/>
        <v>0</v>
      </c>
      <c r="MI181" s="517">
        <f t="shared" si="671"/>
        <v>0</v>
      </c>
      <c r="MJ181" s="251">
        <f t="shared" si="611"/>
        <v>1.34922667</v>
      </c>
      <c r="MK181" s="251">
        <f t="shared" si="672"/>
        <v>1.34922667</v>
      </c>
      <c r="ML181" s="251">
        <f t="shared" si="795"/>
        <v>0</v>
      </c>
      <c r="MM181" s="251">
        <f t="shared" si="612"/>
        <v>0</v>
      </c>
      <c r="MN181" s="251">
        <f t="shared" si="613"/>
        <v>2.74922667</v>
      </c>
      <c r="MO181" s="251">
        <f t="shared" si="673"/>
        <v>0</v>
      </c>
      <c r="MP181" s="251">
        <f t="shared" si="674"/>
        <v>19.24458669</v>
      </c>
      <c r="MQ181" s="251">
        <f t="shared" si="796"/>
        <v>19.24458669</v>
      </c>
      <c r="MR181" s="314">
        <f t="shared" si="675"/>
        <v>19.24458669</v>
      </c>
      <c r="MS181" s="530">
        <f t="shared" si="614"/>
        <v>19.42058669</v>
      </c>
      <c r="MT181" s="530">
        <f t="shared" si="615"/>
        <v>19.58058669</v>
      </c>
      <c r="MU181" s="530">
        <f t="shared" si="616"/>
        <v>20.62058669</v>
      </c>
      <c r="MV181" s="530">
        <f t="shared" si="617"/>
        <v>23.02058669</v>
      </c>
      <c r="MW181" s="530">
        <f t="shared" si="618"/>
        <v>23.18058669</v>
      </c>
      <c r="MX181" s="326">
        <f t="shared" si="619"/>
        <v>1.94922667</v>
      </c>
      <c r="MY181" s="326">
        <f t="shared" si="620"/>
        <v>0</v>
      </c>
      <c r="MZ181" s="251">
        <f t="shared" si="621"/>
        <v>3.34922667</v>
      </c>
      <c r="NA181" s="251">
        <f t="shared" si="622"/>
        <v>0</v>
      </c>
      <c r="NB181" s="251">
        <f t="shared" si="676"/>
        <v>23.44458669</v>
      </c>
      <c r="NC181" s="326">
        <f t="shared" si="797"/>
        <v>23.44458669</v>
      </c>
      <c r="ND181" s="314">
        <f t="shared" si="677"/>
        <v>23.44458669</v>
      </c>
      <c r="NE181" s="537">
        <f t="shared" si="678"/>
        <v>23.68458669</v>
      </c>
      <c r="NF181" s="530">
        <f t="shared" si="623"/>
        <v>23.84458669</v>
      </c>
      <c r="NG181" s="538">
        <f t="shared" si="624"/>
        <v>24.88458669</v>
      </c>
      <c r="NH181" s="326">
        <f t="shared" si="625"/>
        <v>27.28458669</v>
      </c>
      <c r="NI181" s="530">
        <f t="shared" si="626"/>
        <v>27.44458669</v>
      </c>
      <c r="NK181" s="539">
        <f t="shared" si="627"/>
        <v>0.916269215620976</v>
      </c>
      <c r="NL181" s="539">
        <f t="shared" si="628"/>
        <v>34.8267623707693</v>
      </c>
      <c r="NM181" s="539">
        <f t="shared" si="629"/>
        <v>0.916269215620976</v>
      </c>
      <c r="NN181" s="539">
        <f t="shared" si="630"/>
        <v>35.0022797720339</v>
      </c>
      <c r="NO181" s="539">
        <f t="shared" si="631"/>
        <v>1.52909996355247</v>
      </c>
      <c r="NP181" s="539">
        <f t="shared" si="632"/>
        <v>38.3009310434072</v>
      </c>
      <c r="NQ181" s="539">
        <f t="shared" si="633"/>
        <v>1.52909996355247</v>
      </c>
      <c r="NR181" s="539">
        <f t="shared" si="634"/>
        <v>38.5117163762293</v>
      </c>
      <c r="NS181" s="539">
        <f t="shared" si="635"/>
        <v>0.943508283842623</v>
      </c>
      <c r="NT181" s="539">
        <f t="shared" si="636"/>
        <v>0.943508283842623</v>
      </c>
      <c r="NU181" s="539">
        <f t="shared" si="637"/>
        <v>1.56229512882615</v>
      </c>
      <c r="NV181" s="539">
        <f t="shared" si="638"/>
        <v>1.56229512882615</v>
      </c>
      <c r="NW181">
        <f t="shared" si="639"/>
        <v>1.20990417275757</v>
      </c>
      <c r="NX181">
        <f>各项系数!$M$9*NK181</f>
        <v>0.274880764686293</v>
      </c>
      <c r="NY181">
        <f t="shared" si="640"/>
        <v>0.943508283842623</v>
      </c>
    </row>
    <row r="182" customHeight="1" spans="1:389">
      <c r="A182" s="85"/>
      <c r="B182" s="86"/>
      <c r="C182" s="218"/>
      <c r="D182" s="123" t="s">
        <v>155</v>
      </c>
      <c r="E182" s="77">
        <f t="shared" si="805"/>
        <v>9.40939077</v>
      </c>
      <c r="F182" s="559">
        <f>$F$17</f>
        <v>172.412400708262</v>
      </c>
      <c r="G182" s="23"/>
      <c r="H182" s="23"/>
      <c r="I182" s="174">
        <v>0</v>
      </c>
      <c r="J182" s="23"/>
      <c r="K182" s="23"/>
      <c r="L182" s="118" t="s">
        <v>469</v>
      </c>
      <c r="M182" s="124">
        <f t="shared" si="582"/>
        <v>0.7</v>
      </c>
      <c r="N182" s="124">
        <f t="shared" si="804"/>
        <v>0</v>
      </c>
      <c r="O182" s="69">
        <f t="shared" si="819"/>
        <v>0.08</v>
      </c>
      <c r="P182" s="120">
        <v>0.1</v>
      </c>
      <c r="Q182" s="162">
        <f t="shared" si="806"/>
        <v>0.1</v>
      </c>
      <c r="R182" s="560">
        <v>0.8</v>
      </c>
      <c r="S182" s="171" t="str">
        <f>各项系数!$D$43</f>
        <v>钢带</v>
      </c>
      <c r="T182" s="123">
        <v>0.2</v>
      </c>
      <c r="U182" s="78">
        <v>4</v>
      </c>
      <c r="V182" s="172"/>
      <c r="W182" s="561">
        <v>1.5</v>
      </c>
      <c r="X182" s="164">
        <f t="shared" si="807"/>
        <v>0.2</v>
      </c>
      <c r="Y182" s="219"/>
      <c r="Z182" s="220"/>
      <c r="AA182" s="217">
        <v>1</v>
      </c>
      <c r="AB182" s="186">
        <f>PI()*EJ182*EJ182/4*EH182*(1-H182)*AA182*各项系数!$F$5*各项系数!$J$4*10^-7</f>
        <v>0.0206515056889029</v>
      </c>
      <c r="AC182" s="186">
        <f t="shared" si="808"/>
        <v>172.412400708262</v>
      </c>
      <c r="AD182" s="186">
        <f t="shared" si="584"/>
        <v>2.3346774015073</v>
      </c>
      <c r="AE182" s="186">
        <f>POWER(4*EU182/PI()/EG182/10^-7/EH182/(1-H182)/各项系数!$F$5/各项系数!$J$4,0.5)</f>
        <v>172.412400708262</v>
      </c>
      <c r="AF182" s="218">
        <v>1</v>
      </c>
      <c r="AG182" s="85">
        <f>IF(EM182=0,0,PI()*ER182*ER182/4*EP182*(1-K182)*(1+AF182)*各项系数!$F$5*各项系数!$J$4*10^-7)</f>
        <v>0</v>
      </c>
      <c r="AH182" s="85">
        <f t="shared" si="809"/>
        <v>0</v>
      </c>
      <c r="AI182" s="85">
        <f t="shared" si="641"/>
        <v>0</v>
      </c>
      <c r="AJ182" s="85">
        <f>IF(OR(EP182="",EP182=0),0,POWER(4*EW182/PI()/EO182/10^-7/EP182/(1-K182)/各项系数!$F$5/各项系数!$J$4,0.5))</f>
        <v>0</v>
      </c>
      <c r="AK182" s="85" t="str">
        <f t="shared" si="585"/>
        <v>√</v>
      </c>
      <c r="AL182" s="85">
        <f t="shared" si="810"/>
        <v>3.54120986428732</v>
      </c>
      <c r="AM182" s="250">
        <f t="shared" si="811"/>
        <v>2.5</v>
      </c>
      <c r="AN182" s="118" t="s">
        <v>486</v>
      </c>
      <c r="AO182" s="259">
        <f>AP182+各项系数!$M$9*$NK182</f>
        <v>3.47177437675227</v>
      </c>
      <c r="AP182" s="259">
        <f>AQ182*(1+$BI182+(VLOOKUP($AM182,$A$12:$B$323,2,0))+各项系数!$J$6+各项系数!$M$5)*(1+$E$2)</f>
        <v>3.43877984400984</v>
      </c>
      <c r="AQ182" s="260">
        <f>AR182+各项系数!$L$9*$NK182</f>
        <v>3.50895902449983</v>
      </c>
      <c r="AR182" s="260">
        <f>AS182*(1+$BJ182+各项系数!$J$5+各项系数!$L$5)</f>
        <v>3.47596449175739</v>
      </c>
      <c r="AS182" s="260">
        <f t="shared" si="642"/>
        <v>3.40780832525235</v>
      </c>
      <c r="AT182" s="259">
        <f>AU182+各项系数!$M$9*$NM182</f>
        <v>3.84063013990838</v>
      </c>
      <c r="AU182" s="259">
        <f>AV182*(1+$BI182+(VLOOKUP($AM182,$A$12:$B$323,2,0))+各项系数!$J$6+各项系数!$M$5)*(1+$E$2)</f>
        <v>3.80763560716594</v>
      </c>
      <c r="AV182" s="260">
        <f>AW182+各项系数!$L$9*$NM182</f>
        <v>3.88534245629178</v>
      </c>
      <c r="AW182" s="260">
        <f>AX182*(1+$BJ182+各项系数!$J$5+各项系数!$L$5)</f>
        <v>3.85234792354934</v>
      </c>
      <c r="AX182" s="260">
        <f t="shared" si="643"/>
        <v>3.77681168975426</v>
      </c>
      <c r="AY182" s="259">
        <f>AZ182+各项系数!$M$9*$NS182</f>
        <v>4.09979800473036</v>
      </c>
      <c r="AZ182" s="259">
        <f>BA182*(1+$BI182+(VLOOKUP($AM182,$A$12:$B$214,2,0))+各项系数!$J$6+各项系数!$M$5)*(1+$E$2)</f>
        <v>4.06408409291419</v>
      </c>
      <c r="BA182" s="260">
        <f>BB182+各项系数!$L$9*$NS182</f>
        <v>4.14702458460631</v>
      </c>
      <c r="BB182" s="260">
        <f>BC182*(1+$BJ182+各项系数!$J$5+各项系数!$L$5)</f>
        <v>4.11131067279014</v>
      </c>
      <c r="BC182" s="262">
        <f t="shared" si="644"/>
        <v>4.03069673802955</v>
      </c>
      <c r="BD182" s="259">
        <f>BE182+各项系数!$M$9*$NS182</f>
        <v>4.4761153946819</v>
      </c>
      <c r="BE182" s="259">
        <f>BF182*(1+$BI182+(VLOOKUP($AM182,$A$12:$B$214,2,0))+各项系数!$J$6+各项系数!$M$5)*(1+$E$2)</f>
        <v>4.44040148286573</v>
      </c>
      <c r="BF182" s="260">
        <f>BG182+各项系数!$L$9*$NS182</f>
        <v>4.53102192129156</v>
      </c>
      <c r="BG182" s="260">
        <f>BH182*(1+$BJ182+各项系数!$J$5+各项系数!$L$5)</f>
        <v>4.49530800947539</v>
      </c>
      <c r="BH182" s="262">
        <f t="shared" si="645"/>
        <v>4.40716471517195</v>
      </c>
      <c r="BI182" s="277"/>
      <c r="BJ182" s="565">
        <v>0</v>
      </c>
      <c r="BK182" s="123" t="s">
        <v>514</v>
      </c>
      <c r="BL182" s="259">
        <f>BM182+各项系数!$M$9*$NM182</f>
        <v>3.5601994244009</v>
      </c>
      <c r="BM182" s="259">
        <f>BN182*(1+$CF182+(VLOOKUP($AM182,$A$12:$B$323,2,0))+各项系数!$J$6+各项系数!$M$5)*(1+$E$2)</f>
        <v>3.52720489165846</v>
      </c>
      <c r="BN182" s="260">
        <f>BO182+各项系数!$L$9*$NM182</f>
        <v>3.59918866495762</v>
      </c>
      <c r="BO182" s="260">
        <f>BP182*(1+$CG182+各项系数!$J$5+各项系数!$L$5)</f>
        <v>3.56619413221518</v>
      </c>
      <c r="BP182" s="260">
        <f t="shared" si="646"/>
        <v>3.46232440020891</v>
      </c>
      <c r="BQ182" s="259">
        <f>BR182+各项系数!$M$9*$NM182</f>
        <v>3.87764289446797</v>
      </c>
      <c r="BR182" s="259">
        <f>BS182*(1+$CF182+(VLOOKUP($AM182,$A$12:$B$323,2,0))+各项系数!$J$6+各项系数!$M$5)*(1+$E$2)</f>
        <v>3.84464836172554</v>
      </c>
      <c r="BS182" s="260">
        <f>BT182+各项系数!$L$9*$NM182</f>
        <v>3.92311057318932</v>
      </c>
      <c r="BT182" s="260">
        <f>BU182*(1+$CG182+各项系数!$J$5+各项系数!$L$5)</f>
        <v>3.89011604044688</v>
      </c>
      <c r="BU182" s="260">
        <f t="shared" si="647"/>
        <v>3.77681168975426</v>
      </c>
      <c r="BV182" s="259">
        <f>BW182+各项系数!$M$9*$NT182</f>
        <v>4.16853903888889</v>
      </c>
      <c r="BW182" s="259">
        <f>BX182*(1+$CF182+(VLOOKUP($AM182,$A$12:$B$214,2,0))+各项系数!$J$6+各项系数!$M$5)*(1+$E$2)</f>
        <v>4.13282512707272</v>
      </c>
      <c r="BX182" s="260">
        <f>BY182+各项系数!$L$9*$NT$12</f>
        <v>4.21716849701298</v>
      </c>
      <c r="BY182" s="260">
        <f>BZ182*(1+$CG182+各项系数!$J$5+各项系数!$L$5)</f>
        <v>4.20890509385801</v>
      </c>
      <c r="BZ182" s="262">
        <f t="shared" si="586"/>
        <v>4.08631562510486</v>
      </c>
      <c r="CA182" s="259">
        <f>CB182+各项系数!$M$9*$NT182</f>
        <v>4.49240411040261</v>
      </c>
      <c r="CB182" s="259">
        <f>CC182*(1+$CF182+(VLOOKUP($AM182,$A$12:$B$214,2,0))+各项系数!$J$6+各项系数!$M$5)*(1+$E$2)</f>
        <v>4.45669019858644</v>
      </c>
      <c r="CC182" s="260">
        <f>CD182+各项系数!$L$9*$NT$12</f>
        <v>4.54764305978208</v>
      </c>
      <c r="CD182" s="260">
        <f>CE182*(1+$CG182+各项系数!$J$5+各项系数!$L$5)</f>
        <v>4.53937965662711</v>
      </c>
      <c r="CE182" s="262">
        <f t="shared" si="648"/>
        <v>4.40716471517195</v>
      </c>
      <c r="CF182" s="277">
        <f t="shared" si="753"/>
        <v>0</v>
      </c>
      <c r="CG182" s="277">
        <f t="shared" si="587"/>
        <v>0.01</v>
      </c>
      <c r="CH182" s="123"/>
      <c r="CI182" s="259">
        <f>CJ182+各项系数!$M$9*$NO182</f>
        <v>3.7787931037798</v>
      </c>
      <c r="CJ182" s="259">
        <f>CK182*(1+$DC182+(VLOOKUP($AM182,$A$12:$B$323,2,0))+各项系数!$J$6+各项系数!$M$5)*(1+$E$2)+各项系数!$M$9*$NK182</f>
        <v>3.73950184561918</v>
      </c>
      <c r="CK182" s="260">
        <f>CL182+各项系数!$L$9*$NO182</f>
        <v>3.78215031926198</v>
      </c>
      <c r="CL182" s="260">
        <f>CM182*(1+$DD182+各项系数!$J$5+各项系数!$L$5)</f>
        <v>3.74285906110136</v>
      </c>
      <c r="CM182" s="260">
        <f t="shared" si="588"/>
        <v>3.66946966774643</v>
      </c>
      <c r="CN182" s="259">
        <f>CO182+各项系数!$M$9*$NO182</f>
        <v>4.06075815250509</v>
      </c>
      <c r="CO182" s="259">
        <f>CP182*(1+$DC182+(VLOOKUP($AM182,$A$12:$B$323,2,0))+各项系数!$J$6+各项系数!$M$5)*(1+$E$2)+各项系数!$M$9*$NK182</f>
        <v>4.02146689434447</v>
      </c>
      <c r="CP182" s="260">
        <f>CQ182+各项系数!$L$9*$NO182</f>
        <v>4.06986975673676</v>
      </c>
      <c r="CQ182" s="260">
        <f>CR182*(1+$DD182+各项系数!$J$5+各项系数!$L$5)</f>
        <v>4.03057849857615</v>
      </c>
      <c r="CR182" s="260">
        <f t="shared" si="589"/>
        <v>3.95154754762367</v>
      </c>
      <c r="CS182" s="259">
        <f>CT182+各项系数!$M$9*$NU182</f>
        <v>4.49372981074882</v>
      </c>
      <c r="CT182" s="259">
        <f t="shared" si="590"/>
        <v>4.4511906900567</v>
      </c>
      <c r="CU182" s="260">
        <f>CV182+各项系数!$L$9*$NU182</f>
        <v>4.54203131638438</v>
      </c>
      <c r="CV182" s="260">
        <f>CW182*(1+$DD182+各项系数!$J$5+各项系数!$L$5)</f>
        <v>4.49949219569226</v>
      </c>
      <c r="CW182" s="262">
        <f t="shared" si="591"/>
        <v>4.41126685852183</v>
      </c>
      <c r="CX182" s="259">
        <f>CY182+各项系数!$M$9*$NU182</f>
        <v>4.92886098359741</v>
      </c>
      <c r="CY182" s="259">
        <f t="shared" si="592"/>
        <v>4.88632186290529</v>
      </c>
      <c r="CZ182" s="260">
        <f>DA182+各项系数!$L$9*$NU182</f>
        <v>4.9860427172503</v>
      </c>
      <c r="DA182" s="260">
        <f>DB182*(1+$DD182+各项系数!$J$5+各项系数!$L$5)</f>
        <v>4.94350359655818</v>
      </c>
      <c r="DB182" s="262">
        <f t="shared" si="593"/>
        <v>4.84657215348841</v>
      </c>
      <c r="DC182" s="277">
        <f t="shared" si="803"/>
        <v>0</v>
      </c>
      <c r="DD182" s="277">
        <f t="shared" si="594"/>
        <v>0</v>
      </c>
      <c r="DE182" s="69" t="s">
        <v>498</v>
      </c>
      <c r="DF182" s="69" t="s">
        <v>513</v>
      </c>
      <c r="DG182" s="259">
        <f>DH182+各项系数!$M$9*$NQ182</f>
        <v>3.87855669100288</v>
      </c>
      <c r="DH182" s="259">
        <f>DI182*(1+$EA182+(VLOOKUP($AM182,$A$12:$B$323,2,0))+各项系数!$J$6+各项系数!$M$5)*(1+$E$2)+各项系数!$M$9*$NK182</f>
        <v>3.83926543284227</v>
      </c>
      <c r="DI182" s="260">
        <f>DJ182+各项系数!$L$9*$NQ182</f>
        <v>3.88394989806105</v>
      </c>
      <c r="DJ182" s="260">
        <f>DK182*(1+$EB182+各项系数!$J$5+各项系数!$L$5)</f>
        <v>3.84465863990043</v>
      </c>
      <c r="DK182" s="260">
        <f t="shared" si="595"/>
        <v>3.73267829116546</v>
      </c>
      <c r="DL182" s="259">
        <f>DM182+各项系数!$M$9*$NQ182</f>
        <v>4.24661629126367</v>
      </c>
      <c r="DM182" s="259">
        <f>DN182*(1+$EA182+(VLOOKUP($AM182,$A$12:$B$323,2,0))+各项系数!$J$6+各项系数!$M$5)*(1+$E$2)+各项系数!$M$9*$NK182</f>
        <v>4.20732503310305</v>
      </c>
      <c r="DN182" s="260">
        <f>DO182+各项系数!$L$9*$NQ182</f>
        <v>4.25952091873532</v>
      </c>
      <c r="DO182" s="260">
        <f>DP182*(1+$EB182+各项系数!$J$5+各项系数!$L$5)</f>
        <v>4.2202296605747</v>
      </c>
      <c r="DP182" s="260">
        <f t="shared" si="596"/>
        <v>4.09731035007253</v>
      </c>
      <c r="DQ182" s="259">
        <f>DR182+各项系数!$M$9*$NV182</f>
        <v>4.60187618899416</v>
      </c>
      <c r="DR182" s="259">
        <f t="shared" si="597"/>
        <v>4.55933706830204</v>
      </c>
      <c r="DS182" s="260">
        <f>DT182+各项系数!$L$9*$NV182</f>
        <v>4.65238476357351</v>
      </c>
      <c r="DT182" s="260">
        <f>DU182*(1+$EB182+各项系数!$J$5+各项系数!$L$5)</f>
        <v>4.60984564288139</v>
      </c>
      <c r="DU182" s="262">
        <f t="shared" si="598"/>
        <v>4.4755782940596</v>
      </c>
      <c r="DV182" s="259">
        <f>DW182+各项系数!$M$9*$NV182</f>
        <v>4.80736995675399</v>
      </c>
      <c r="DW182" s="259">
        <f t="shared" si="599"/>
        <v>4.76483083606187</v>
      </c>
      <c r="DX182" s="260">
        <f>DY182+各项系数!$L$9*$NV182</f>
        <v>4.86207228169579</v>
      </c>
      <c r="DY182" s="260">
        <f>DZ182*(1+$EB182+各项系数!$J$5+各项系数!$L$5)</f>
        <v>4.81953316100367</v>
      </c>
      <c r="DZ182" s="262">
        <f t="shared" si="600"/>
        <v>4.67915840874142</v>
      </c>
      <c r="EA182" s="277">
        <f t="shared" si="802"/>
        <v>0</v>
      </c>
      <c r="EB182" s="277">
        <f t="shared" si="601"/>
        <v>0.01</v>
      </c>
      <c r="EC182" s="302">
        <f t="shared" si="649"/>
        <v>2</v>
      </c>
      <c r="ED182" s="302" t="str">
        <f t="shared" si="756"/>
        <v>2*2.5</v>
      </c>
      <c r="EE182" s="251">
        <f t="shared" si="812"/>
        <v>2.5</v>
      </c>
      <c r="EF182" s="251">
        <f>LOOKUP(EH182,{1,7,10,14,19,24,30,37,48,61},{1,"1+6","2+8","4+10","1+6+12","2+8+14","4+10+16","1+6+12+18","3+9+15+21","1+6+12+18+24"})</f>
        <v>1</v>
      </c>
      <c r="EG182" s="250">
        <f t="shared" si="602"/>
        <v>2</v>
      </c>
      <c r="EH182" s="260">
        <f>VLOOKUP(EE182,各项系数!$B$87:$C$124,2,0)</f>
        <v>1</v>
      </c>
      <c r="EI182" s="250">
        <f>IF(EH182=0,0,VLOOKUP(EH182,各项系数!$D$142:$E$195,2,0))*1</f>
        <v>1</v>
      </c>
      <c r="EJ182" s="305">
        <f t="shared" si="650"/>
        <v>172.412400708262</v>
      </c>
      <c r="EK182" s="251">
        <f t="shared" si="813"/>
        <v>0</v>
      </c>
      <c r="EL182" s="251">
        <f t="shared" si="603"/>
        <v>0</v>
      </c>
      <c r="EM182" s="251">
        <f t="shared" si="814"/>
        <v>0</v>
      </c>
      <c r="EN182" s="251">
        <f>IF(EP182=0,0,LOOKUP(EP182,{1,7,10,14,19,24,30,37,48,61},{1,"1+6","2+8","4+10","1+6+12","2+8+14","4+10+16","1+6+12+18","3+9+15+21","1+6+12+18+24"}))</f>
        <v>0</v>
      </c>
      <c r="EO182" s="251">
        <f t="shared" si="815"/>
        <v>0</v>
      </c>
      <c r="EP182" s="251">
        <f>IF(EM182=0,0,IF(EM182&lt;10,1,IF(AND(EM182&gt;=10,EM182&lt;=35),7,LOOKUP(EM182,{50,70,95,120,150,185,240,300},{10,14,19,24,30,37,48,61})*1)))</f>
        <v>0</v>
      </c>
      <c r="EQ182" s="251">
        <f>IF(EP182=0,0,VLOOKUP(EP182,各项系数!$D$142:$E$195,2,0))*1</f>
        <v>0</v>
      </c>
      <c r="ER182" s="69">
        <f t="shared" si="816"/>
        <v>0</v>
      </c>
      <c r="ES182" s="566">
        <f t="shared" si="817"/>
        <v>2</v>
      </c>
      <c r="ET182" s="251">
        <f>VLOOKUP(ES182,各项系数!$D$142:$E$195,2,0)*1</f>
        <v>2</v>
      </c>
      <c r="EU182" s="311">
        <f>((各项系数!$F$76/4*$EJ182^2*$EG182*$EH182*1*10^-7)*(1-$H182)*AA182)*(VLOOKUP($EY$9,各项系数!$D$4:$F$143,3,0))*各项系数!$J$4</f>
        <v>0.0413030113778058</v>
      </c>
      <c r="EV182" s="312">
        <f>EU182*(VLOOKUP($EY$9,各项系数!$D$4:$F$143,2,0))</f>
        <v>2.70534724524628</v>
      </c>
      <c r="EW182" s="324">
        <f>(IF($EO182=0,0,(各项系数!$F$76/4*$ER182^2*$EO182*$EP182*1*10^-7))*(1-$K182)*$AF182)*(VLOOKUP($EY$9,各项系数!$D$4:$F$143,3,0))*各项系数!$J$4</f>
        <v>0</v>
      </c>
      <c r="EX182" s="325">
        <f>EW182*(VLOOKUP($EY$9,各项系数!$D$4:$F$143,2,0))</f>
        <v>0</v>
      </c>
      <c r="EY182" s="251">
        <f>((各项系数!$F$76/4*$EJ182^2*$EG182*$EH182*1*10^-7)*(1-$H182)*AA182+IF($EO182=0,0,(各项系数!$F$76/4*$ER182^2*$EO182*$EP182*1*10^-7))*(1-$K182)*$AF182)*(VLOOKUP($EY$9,各项系数!$D$4:$F$143,3,0))*各项系数!$J$4</f>
        <v>0.0413030113778058</v>
      </c>
      <c r="EZ182" s="123">
        <v>1</v>
      </c>
      <c r="FA182" s="251">
        <f t="shared" si="757"/>
        <v>0.0413030113778058</v>
      </c>
      <c r="FB182" s="326">
        <f>FA182*(VLOOKUP($EY$9,各项系数!$D$4:$F$143,2,0))</f>
        <v>2.70534724524628</v>
      </c>
      <c r="FC182" s="327"/>
      <c r="FD182" s="302">
        <f>各项系数!$F$76/4*($MN182^2-MK182^2)*10^-2*(VLOOKUP(L182,各项系数!$D$1:$F$143,3,0))*10^-3*10^2*$EG182*各项系数!$J$4</f>
        <v>0.0116693994806629</v>
      </c>
      <c r="FE182" s="339">
        <f>FD182*VLOOKUP(L182,各项系数!$D$1:$F$143,2,0)</f>
        <v>0.134198094027623</v>
      </c>
      <c r="FF182" s="250">
        <f>各项系数!$F$76/4*($MO182^2-ML182^2)*10^-2*(VLOOKUP(L182,各项系数!$D$1:$F$143,3,0))*10^-3*10^2*$EO182*各项系数!$J$4</f>
        <v>0</v>
      </c>
      <c r="FG182" s="339">
        <f>FF182*VLOOKUP(L182,各项系数!$D$1:$F$143,2,0)</f>
        <v>0</v>
      </c>
      <c r="FH182" s="302">
        <f t="shared" si="651"/>
        <v>0.0116693994806629</v>
      </c>
      <c r="FI182" s="123">
        <v>1</v>
      </c>
      <c r="FJ182" s="251">
        <f t="shared" si="758"/>
        <v>0.0116693994806629</v>
      </c>
      <c r="FK182" s="339">
        <f>FJ182*VLOOKUP(L182,各项系数!$D$1:$F$143,2,0)</f>
        <v>0.134198094027623</v>
      </c>
      <c r="FL182" s="302"/>
      <c r="FM182" s="123"/>
      <c r="FN182" s="251"/>
      <c r="FO182" s="339"/>
      <c r="FP182" s="364">
        <f t="shared" si="759"/>
        <v>0.0116693994806629</v>
      </c>
      <c r="FQ182" s="364">
        <f t="shared" si="760"/>
        <v>0.134198094027623</v>
      </c>
      <c r="FR182" s="365">
        <f>各项系数!$F$76/4*($MQ182^2-$MN182^2*$EG182-$MO182^2*$EO182)*10^-2</f>
        <v>0.153312090725059</v>
      </c>
      <c r="FS182" s="366">
        <f t="shared" si="652"/>
        <v>0.05</v>
      </c>
      <c r="FT182" s="367">
        <f t="shared" si="604"/>
        <v>0.00766560453625295</v>
      </c>
      <c r="FU182" s="388">
        <f>$FT182*(VLOOKUP($FT$9,各项系数!$D$1:$F$143,3,0))*10^-3*10^2*各项系数!$J$55</f>
        <v>0.000915273181628602</v>
      </c>
      <c r="FV182" s="389">
        <v>1</v>
      </c>
      <c r="FW182" s="390">
        <f t="shared" si="761"/>
        <v>0.000915273181628602</v>
      </c>
      <c r="FX182" s="367">
        <f>FW182*(VLOOKUP($FT$9,各项系数!$D$1:$F$143,2,0))</f>
        <v>0.00274581954488581</v>
      </c>
      <c r="FY182" s="388">
        <f>IF($BK182&lt;&gt;$FY$9,0,各项系数!$F$76/4*($MS182^2-$MQ182^2)*10^-2*(VLOOKUP($FY$9,各项系数!$D$1:$F$143,3,0))*10^-3*10^2)*各项系数!$J$4</f>
        <v>0</v>
      </c>
      <c r="FZ182" s="389">
        <v>1</v>
      </c>
      <c r="GA182" s="390">
        <f t="shared" si="762"/>
        <v>0</v>
      </c>
      <c r="GB182" s="367">
        <f>GA182*(VLOOKUP($FY$9,各项系数!$D$1:$F$143,2,0))</f>
        <v>0</v>
      </c>
      <c r="GC182" s="388">
        <f>IF($BK182&lt;&gt;$GC$9,0,各项系数!$F$76/4*($MS182^2-$MQ182^2)*10^-2*(VLOOKUP($GC$9,各项系数!$D$1:$F$143,3,0))*10^-3*10^2)*各项系数!$J$4</f>
        <v>0.00157801681146688</v>
      </c>
      <c r="GD182" s="389">
        <v>1</v>
      </c>
      <c r="GE182" s="390">
        <f t="shared" si="763"/>
        <v>0.00157801681146688</v>
      </c>
      <c r="GF182" s="367">
        <f>GE182*(VLOOKUP($GC$9,各项系数!$D$1:$F$143,2,0))</f>
        <v>0.0203564168679227</v>
      </c>
      <c r="GG182" s="388">
        <f>IF($BK182&lt;&gt;$GG$9,0,各项系数!$F$76/4*($MS182^2-$MQ182^2)*10^-2*(VLOOKUP($GG$9,各项系数!$D$1:$F$143,3,0))*10^-3*10^2)*各项系数!$J$4</f>
        <v>0</v>
      </c>
      <c r="GH182" s="389">
        <v>1</v>
      </c>
      <c r="GI182" s="390">
        <f t="shared" si="764"/>
        <v>0</v>
      </c>
      <c r="GJ182" s="367">
        <f>GI182*(VLOOKUP($GG$9,各项系数!$D$1:$F$143,2,0))</f>
        <v>0</v>
      </c>
      <c r="GK182" s="388">
        <f>IF($BK182&lt;&gt;$GK$9,0,各项系数!$F$76/4*($MS182^2-$MQ182^2)*10^-2*(VLOOKUP($GK$9,各项系数!$D$1:$F$143,3,0))*10^-3*10^2)*各项系数!$J$4</f>
        <v>0</v>
      </c>
      <c r="GL182" s="389">
        <v>1</v>
      </c>
      <c r="GM182" s="390">
        <f t="shared" si="765"/>
        <v>0</v>
      </c>
      <c r="GN182" s="367">
        <f>GM182*(VLOOKUP($GK$9,各项系数!$D$1:$F$143,2,0))</f>
        <v>0</v>
      </c>
      <c r="GO182" s="390">
        <f t="shared" si="766"/>
        <v>0.00157801681146688</v>
      </c>
      <c r="GP182" s="390">
        <f t="shared" si="767"/>
        <v>0.0203564168679227</v>
      </c>
      <c r="GQ182" s="406">
        <f>各项系数!$F$76/4*($MU182^2-$MS182^2)*10^-2*(VLOOKUP($S182,各项系数!$D$1:$F$143,3,0))*10^-3*10^2*各项系数!$J$4</f>
        <v>0.102804287914832</v>
      </c>
      <c r="GR182" s="389">
        <v>1</v>
      </c>
      <c r="GS182" s="390">
        <f t="shared" si="768"/>
        <v>0.102804287914832</v>
      </c>
      <c r="GT182" s="390">
        <f t="shared" si="696"/>
        <v>1</v>
      </c>
      <c r="GU182" s="390">
        <f>ROUND($GS182*(VLOOKUP($S182,各项系数!$D$1:$F$143,2,0))+$E$3*GS182,GT182)</f>
        <v>0.6</v>
      </c>
      <c r="GV182" s="406">
        <f>各项系数!$F$76/4*($MT182^2-$MS182^2)*10^-2*(VLOOKUP($GV$9,各项系数!$D$1:$F$143,3,0))*10^-3*10^2*各项系数!$J$4*PI()/4*R182</f>
        <v>0.00906459691244072</v>
      </c>
      <c r="GW182" s="389">
        <v>1</v>
      </c>
      <c r="GX182" s="390">
        <f t="shared" si="769"/>
        <v>0.00906459691244072</v>
      </c>
      <c r="GY182" s="390">
        <f>$GX182*(VLOOKUP($GV$9,各项系数!$D$1:$F$143,2,0))</f>
        <v>0.611860291589748</v>
      </c>
      <c r="GZ182" s="406">
        <f>各项系数!$F$76/4*($MV182^2-$MS182^2)*10^-2*(VLOOKUP($GZ$9,各项系数!$D$1:$F$143,3,0))*10^-3*10^2*各项系数!$J$4</f>
        <v>0.053774359651032</v>
      </c>
      <c r="HA182" s="389">
        <v>1</v>
      </c>
      <c r="HB182" s="390">
        <f t="shared" si="653"/>
        <v>0.053774359651032</v>
      </c>
      <c r="HC182" s="390">
        <f>HB182*(VLOOKUP($GZ$9,各项系数!$D$1:$F$143,2,0))</f>
        <v>0.914164114067545</v>
      </c>
      <c r="HD182" s="406">
        <f>各项系数!$F$76/4*($MW182^2-$MT182^2)*10^-2*(VLOOKUP($HD$9,各项系数!$D$1:$F$143,3,0))*10^-3*10^2*各项系数!$J$4</f>
        <v>0.054862167523264</v>
      </c>
      <c r="HE182" s="389">
        <v>1</v>
      </c>
      <c r="HF182" s="390">
        <f t="shared" si="654"/>
        <v>0.054862167523264</v>
      </c>
      <c r="HG182" s="390">
        <f>HF182*(VLOOKUP($HD$9,各项系数!$D$1:$F$143,2,0))</f>
        <v>0.932656847895489</v>
      </c>
      <c r="HH182" s="406">
        <f>各项系数!$F$76/4*($MV182^2-$MS182^2)*10^-2*(VLOOKUP($HH$9,各项系数!$D$1:$F$143,3,0))*10^-3*10^2*各项系数!$J$4</f>
        <v>0.053774359651032</v>
      </c>
      <c r="HI182" s="420">
        <v>1</v>
      </c>
      <c r="HJ182" s="390">
        <f t="shared" si="655"/>
        <v>0.053774359651032</v>
      </c>
      <c r="HK182" s="390">
        <f>HJ182*(VLOOKUP($HH$9,各项系数!$D$1:$F$143,2,0))</f>
        <v>0.914164114067545</v>
      </c>
      <c r="HL182" s="406">
        <f>各项系数!$F$76/4*($MW182^2-$MT182^2)*10^-2*(VLOOKUP($HL$9,各项系数!$D$1:$F$143,3,0))*10^-3*10^2*各项系数!$J$4</f>
        <v>0.054862167523264</v>
      </c>
      <c r="HM182" s="420">
        <v>1</v>
      </c>
      <c r="HN182" s="390">
        <f t="shared" si="605"/>
        <v>0.054862167523264</v>
      </c>
      <c r="HO182" s="390">
        <f>HN182*(VLOOKUP($HL$9,各项系数!$D$1:$F$143,2,0))</f>
        <v>0.932656847895489</v>
      </c>
      <c r="HP182" s="406">
        <f>各项系数!$F$76/4*($MV182^2-$MS182^2)*10^-2*(VLOOKUP(AN182,各项系数!$D$1:$F$143,3,0))*10^-3*10^2*各项系数!$J$4</f>
        <v>0.0545160749565635</v>
      </c>
      <c r="HQ182" s="389">
        <v>1</v>
      </c>
      <c r="HR182" s="390">
        <f t="shared" si="770"/>
        <v>0.0545160749565635</v>
      </c>
      <c r="HS182" s="390">
        <f>HR182*(VLOOKUP(AN182,各项系数!$D$1:$F$143,2,0))</f>
        <v>0.545160749565635</v>
      </c>
      <c r="HT182" s="406">
        <f>各项系数!$F$76/4*($MW182^2-$MT182^2)*10^-2*(VLOOKUP(AN182,各项系数!$D$1:$F$143,3,0))*10^-3*10^2*各项系数!$J$4</f>
        <v>0.0556188870753091</v>
      </c>
      <c r="HU182" s="389">
        <v>1</v>
      </c>
      <c r="HV182" s="390">
        <f t="shared" si="771"/>
        <v>0.0556188870753091</v>
      </c>
      <c r="HW182" s="390">
        <f>HV182*(VLOOKUP(AN182,各项系数!$D$1:$F$143,2,0))</f>
        <v>0.556188870753091</v>
      </c>
      <c r="HX182" s="406">
        <f>各项系数!$F$76/4*($MV182^2-$MS182^2)*10^-2*(VLOOKUP($HX$9,各项系数!$D$1:$F$143,3,0))*10^-3*10^2*各项系数!$J$4</f>
        <v>0.0545160749565635</v>
      </c>
      <c r="HY182" s="420">
        <v>1</v>
      </c>
      <c r="HZ182" s="390">
        <f t="shared" si="772"/>
        <v>0.0545160749565635</v>
      </c>
      <c r="IA182" s="390">
        <f>HZ182*(VLOOKUP($HX$9,各项系数!$D$1:$F$143,2,0))</f>
        <v>0.599676824522199</v>
      </c>
      <c r="IB182" s="406">
        <f>各项系数!$F$76/4*($MW182^2-$MT182^2)*10^-2*(VLOOKUP($IB$9,各项系数!$D$1:$F$143,3,0))*10^-3*10^2*各项系数!$J$4</f>
        <v>0.0556188870753091</v>
      </c>
      <c r="IC182" s="420">
        <v>1</v>
      </c>
      <c r="ID182" s="390">
        <f t="shared" si="773"/>
        <v>0.0556188870753091</v>
      </c>
      <c r="IE182" s="390">
        <f>ID182*(VLOOKUP($IB$9,各项系数!$D$1:$F$143,2,0))</f>
        <v>0.6118077578284</v>
      </c>
      <c r="IF182" s="429"/>
      <c r="IG182" s="406">
        <f t="shared" si="656"/>
        <v>0.00569446042875467</v>
      </c>
      <c r="IH182" s="389">
        <v>1</v>
      </c>
      <c r="II182" s="390">
        <f t="shared" si="774"/>
        <v>0.00569446042875467</v>
      </c>
      <c r="IJ182" s="390">
        <f>II182*(VLOOKUP($IG$8,各项系数!$D$1:$F$143,2,0))</f>
        <v>0.142361510718867</v>
      </c>
      <c r="IK182" s="406">
        <f>(各项系数!$F$76/4*($MX182^2-$MK182^2)*$EG182)*10^-2*(VLOOKUP($IG$8,各项系数!$D$1:$F$143,3,0))*10^-3*10^2*各项系数!$J$4</f>
        <v>0.00569446042875467</v>
      </c>
      <c r="IL182" s="389">
        <f>IK182*(VLOOKUP($IG$8,各项系数!$D$1:$F$143,2,0))</f>
        <v>0.142361510718867</v>
      </c>
      <c r="IM182" s="390">
        <f>(各项系数!$F$76/4*(($MM182+3*$X182)^2-MM182^2)*$EO182)*10^-2*(VLOOKUP($IG$8,各项系数!$D$1:$F$143,3,0))*10^-3*10^2*各项系数!$J$4</f>
        <v>0</v>
      </c>
      <c r="IN182" s="389">
        <f>IM182*(VLOOKUP($IG$8,各项系数!$D$1:$F$143,2,0))</f>
        <v>0</v>
      </c>
      <c r="IO182" s="406">
        <f>各项系数!$F$76/4*($MZ182^2-$MX182^2)*10^-2*(VLOOKUP(L182,各项系数!$D$1:$F$143,3,0))*10^-3*10^2*$ES182*各项系数!$J$4</f>
        <v>0.0145577169345203</v>
      </c>
      <c r="IP182" s="389">
        <v>1</v>
      </c>
      <c r="IQ182" s="390">
        <f t="shared" si="775"/>
        <v>0.0145577169345203</v>
      </c>
      <c r="IR182" s="367">
        <f>IQ182*(VLOOKUP(L182,各项系数!$D$1:$F$143,2,0))</f>
        <v>0.167413744746983</v>
      </c>
      <c r="IS182" s="406">
        <f>IF($L182&lt;&gt;$IS$9,0,各项系数!$F$76/4*($MZ182^2-$MX182^2)*10^-2*各项系数!$F$12*10^-3*10^2)*$ES182*各项系数!$J$4</f>
        <v>0</v>
      </c>
      <c r="IT182" s="389">
        <v>1</v>
      </c>
      <c r="IU182" s="390">
        <f t="shared" si="776"/>
        <v>0</v>
      </c>
      <c r="IV182" s="367">
        <f>IU182*各项系数!$E$12</f>
        <v>0</v>
      </c>
      <c r="IW182" s="388">
        <f t="shared" si="777"/>
        <v>0.0145577169345203</v>
      </c>
      <c r="IX182" s="388">
        <f t="shared" si="778"/>
        <v>0.167413744746983</v>
      </c>
      <c r="IY182" s="447">
        <f>各项系数!$F$76/4*($NB182^2-$MZ182^2*$EG182-$NA182^2*$EO182)*10^-2</f>
        <v>0.217855307733837</v>
      </c>
      <c r="IZ182" s="366">
        <f t="shared" si="697"/>
        <v>0.05</v>
      </c>
      <c r="JA182" s="367">
        <f t="shared" si="606"/>
        <v>0.0108927653866919</v>
      </c>
      <c r="JB182" s="364">
        <f>IF($DE182&lt;&gt;$JB$9,0,$JA182*各项系数!$F$32*10^-3*10^2)*各项系数!$J$4</f>
        <v>0</v>
      </c>
      <c r="JC182" s="123">
        <v>1</v>
      </c>
      <c r="JD182" s="251">
        <f t="shared" si="779"/>
        <v>0</v>
      </c>
      <c r="JE182" s="339">
        <f>JD182*各项系数!$E$32</f>
        <v>0</v>
      </c>
      <c r="JF182" s="364">
        <f>IF($DE182&lt;&gt;$JF$9,0,$JA182*VLOOKUP($JF$9,各项系数!$D$4:$F$540,2,0)*10^-3*10^2)*各项系数!$J$4</f>
        <v>0.0054191507798792</v>
      </c>
      <c r="JG182" s="123">
        <v>1</v>
      </c>
      <c r="JH182" s="251">
        <f t="shared" si="607"/>
        <v>0.0054191507798792</v>
      </c>
      <c r="JI182" s="339">
        <f>JH182*VLOOKUP($JF$9,各项系数!$D$4:$F$540,3,0)</f>
        <v>0.00650298093585504</v>
      </c>
      <c r="JJ182" s="364">
        <f t="shared" si="780"/>
        <v>0.0054191507798792</v>
      </c>
      <c r="JK182" s="251">
        <f t="shared" si="781"/>
        <v>0.00650298093585504</v>
      </c>
      <c r="JL182" s="364">
        <f>IF($DF182&lt;&gt;$JL$9,0,各项系数!$F$76/4*($NE182^2-$NC182^2)*10^-2*各项系数!$F$39*10^-3*10^2)*各项系数!$J$4</f>
        <v>0.000787897595407109</v>
      </c>
      <c r="JM182" s="123">
        <v>1</v>
      </c>
      <c r="JN182" s="251">
        <f t="shared" si="782"/>
        <v>0.000787897595407109</v>
      </c>
      <c r="JO182" s="339">
        <f>JN182*各项系数!$E$39</f>
        <v>0.0157579519081422</v>
      </c>
      <c r="JP182" s="364">
        <f>IF($DF182&lt;&gt;$JP$9,0,各项系数!$F$76/4*($NE182^2-$NC182^2)*10^-2*各项系数!$F$36*10^-3*10^2)*各项系数!$J$4</f>
        <v>0</v>
      </c>
      <c r="JQ182" s="123">
        <v>1</v>
      </c>
      <c r="JR182" s="251">
        <f t="shared" si="783"/>
        <v>0</v>
      </c>
      <c r="JS182" s="339">
        <f>JR182*各项系数!$E$36</f>
        <v>0</v>
      </c>
      <c r="JT182" s="364">
        <f>IF($DF182&lt;&gt;$JT$9,0,各项系数!$F$76/4*($NE182^2-$NC182^2)*10^-2*各项系数!$F$40*10^-3*10^2)*各项系数!$J$4</f>
        <v>0</v>
      </c>
      <c r="JU182" s="123">
        <v>1</v>
      </c>
      <c r="JV182" s="251">
        <f t="shared" si="784"/>
        <v>0</v>
      </c>
      <c r="JW182" s="339">
        <f>JV182*各项系数!$E$40</f>
        <v>0</v>
      </c>
      <c r="JX182" s="364">
        <f>IF($DF182&lt;&gt;$JX$9,0,各项系数!$F$76/4*($NE182^2-$NC182^2)*10^-2*各项系数!$F$38*10^-3*10^2)*各项系数!$J$4</f>
        <v>0</v>
      </c>
      <c r="JY182" s="123">
        <v>1</v>
      </c>
      <c r="JZ182" s="251">
        <f t="shared" si="785"/>
        <v>0</v>
      </c>
      <c r="KA182" s="339">
        <f>JZ182*各项系数!$E$38</f>
        <v>0</v>
      </c>
      <c r="KB182" s="364">
        <f>IF($DF182&lt;&gt;$KB$9,0,各项系数!$F$76/4*($NE182^2-$NC182^2)*10^-2*各项系数!$F$41*10^-3*10^2)*各项系数!$J$4</f>
        <v>0</v>
      </c>
      <c r="KC182" s="123">
        <v>1</v>
      </c>
      <c r="KD182" s="251">
        <f t="shared" si="786"/>
        <v>0</v>
      </c>
      <c r="KE182" s="339">
        <f>KD182*各项系数!$E$41</f>
        <v>0</v>
      </c>
      <c r="KF182" s="251">
        <f t="shared" si="787"/>
        <v>0.000787897595407109</v>
      </c>
      <c r="KG182" s="251">
        <f t="shared" si="788"/>
        <v>0.0157579519081422</v>
      </c>
      <c r="KH182" s="302">
        <f>各项系数!$F$76/4*($NG182^2-$NE182^2)*10^-2*各项系数!$F$44*10^-3*10^2*各项系数!$J$4*0.75*$U182</f>
        <v>0.363903254745715</v>
      </c>
      <c r="KI182" s="123">
        <v>1</v>
      </c>
      <c r="KJ182" s="251">
        <f t="shared" si="789"/>
        <v>0.363903254745715</v>
      </c>
      <c r="KK182" s="251">
        <f>ROUND(KJ182*各项系数!$E$43,GT182)</f>
        <v>2.1</v>
      </c>
      <c r="KL182" s="302">
        <f>各项系数!$F$76/4*($NF182^2-$NE182^2)*10^-2*各项系数!$F$46*10^-3*10^2*各项系数!$J$4*PI()/4*R182</f>
        <v>0.0108262084383398</v>
      </c>
      <c r="KM182" s="123">
        <v>1</v>
      </c>
      <c r="KN182" s="251">
        <f t="shared" si="790"/>
        <v>0.0108262084383398</v>
      </c>
      <c r="KO182" s="251">
        <f>KN182*各项系数!$E$46</f>
        <v>0.730769069587937</v>
      </c>
      <c r="KP182" s="302">
        <f>各项系数!$F$76/4*($NH182^2-$NE182^2)*10^-2*(VLOOKUP($KP$9,各项系数!$D$1:$F$143,3,0))*10^-3*10^2*各项系数!$J$4</f>
        <v>0.0623486421480234</v>
      </c>
      <c r="KQ182" s="123">
        <v>1</v>
      </c>
      <c r="KR182" s="251">
        <f t="shared" si="657"/>
        <v>0.0623486421480234</v>
      </c>
      <c r="KS182" s="251">
        <f>KR182*(VLOOKUP($KP$9,各项系数!$D$1:$F$143,2,0))</f>
        <v>1.0599269165164</v>
      </c>
      <c r="KT182" s="302">
        <f>各项系数!$F$76/4*($NI182^2-$NF182^2)*10^-2*(VLOOKUP($KT$9,各项系数!$D$1:$F$143,3,0))*10^-3*10^2*各项系数!$J$4</f>
        <v>0.0634364500202554</v>
      </c>
      <c r="KU182" s="123">
        <v>1</v>
      </c>
      <c r="KV182" s="251">
        <f t="shared" si="658"/>
        <v>0.0634364500202554</v>
      </c>
      <c r="KW182" s="251">
        <f>KV182*(VLOOKUP($KT$9,各项系数!$D$1:$F$143,2,0))</f>
        <v>1.07841965034434</v>
      </c>
      <c r="KX182" s="251">
        <f>各项系数!$F$76/4*($NH182^2-$NE182^2)*10^-2*(VLOOKUP($KX$9,各项系数!$D$1:$F$143,3,0))*10^-3*10^2*各项系数!$J$4</f>
        <v>0.0623486421480234</v>
      </c>
      <c r="KY182" s="479">
        <v>1</v>
      </c>
      <c r="KZ182" s="251">
        <f t="shared" si="659"/>
        <v>0.0623486421480234</v>
      </c>
      <c r="LA182" s="251">
        <f>KZ182*(VLOOKUP($KX$9,各项系数!$D$1:$F$143,2,0))</f>
        <v>1.0599269165164</v>
      </c>
      <c r="LB182" s="251">
        <f>各项系数!$F$76/4*($NI182^2-$NF182^2)*10^-2*(VLOOKUP($LB$9,各项系数!$D$1:$F$143,3,0))*10^-3*10^2*各项系数!$J$4</f>
        <v>0.0634364500202554</v>
      </c>
      <c r="LC182" s="479">
        <v>1</v>
      </c>
      <c r="LD182" s="251">
        <f t="shared" si="660"/>
        <v>0.0634364500202554</v>
      </c>
      <c r="LE182" s="251">
        <f>LD182*(VLOOKUP($LB$9,各项系数!$D$1:$F$143,2,0))</f>
        <v>1.07841965034434</v>
      </c>
      <c r="LF182" s="302">
        <f>各项系数!$F$76/4*($NH182^2-$NE182^2)*10^-2*(VLOOKUP(AN182,各项系数!$D$1:$F$143,3,0))*10^-3*10^2*各项系数!$J$4</f>
        <v>0.0632086234190307</v>
      </c>
      <c r="LG182" s="123">
        <v>1</v>
      </c>
      <c r="LH182" s="251">
        <f t="shared" si="791"/>
        <v>0.0632086234190307</v>
      </c>
      <c r="LI182" s="251">
        <f>LH182*(VLOOKUP(AN182,各项系数!$D$1:$F$143,2,0))</f>
        <v>0.632086234190307</v>
      </c>
      <c r="LJ182" s="302">
        <f>各项系数!$F$76/4*($NI182^2-$NF182^2)*10^-2*(VLOOKUP(AN182,各项系数!$D$1:$F$143,3,0))*10^-3*10^2*各项系数!$J$4</f>
        <v>0.0643114355377762</v>
      </c>
      <c r="LK182" s="123">
        <v>1</v>
      </c>
      <c r="LL182" s="251">
        <f t="shared" si="792"/>
        <v>0.0643114355377762</v>
      </c>
      <c r="LM182" s="251">
        <f>LL182*(VLOOKUP(AN182,各项系数!$D$1:$F$143,2,0))</f>
        <v>0.643114355377762</v>
      </c>
      <c r="LN182" s="251">
        <f>各项系数!$F$76/4*($NH182^2-$NE182^2)*10^-2*(VLOOKUP($LN$9,各项系数!$D$1:$F$143,3,0))*10^-3*10^2*各项系数!$J$4</f>
        <v>0.0632086234190307</v>
      </c>
      <c r="LO182" s="479">
        <v>1</v>
      </c>
      <c r="LP182" s="251">
        <f t="shared" si="793"/>
        <v>0.0632086234190307</v>
      </c>
      <c r="LQ182" s="251">
        <f>LP182*(VLOOKUP($LN$9,各项系数!$D$1:$F$143,2,0))</f>
        <v>0.695294857609337</v>
      </c>
      <c r="LR182" s="251">
        <f>各项系数!$F$76/4*($NI182^2-$NF182^2)*10^-2*(VLOOKUP($LR$9,各项系数!$D$1:$F$143,3,0))*10^-3*10^2*各项系数!$J$4</f>
        <v>0.0643114355377762</v>
      </c>
      <c r="LS182" s="479">
        <v>1</v>
      </c>
      <c r="LT182" s="251">
        <f t="shared" si="794"/>
        <v>0.0643114355377762</v>
      </c>
      <c r="LU182" s="251">
        <f>LT182*(VLOOKUP($LR$9,各项系数!$D$1:$F$143,2,0))</f>
        <v>0.707425790915538</v>
      </c>
      <c r="LV182" s="499">
        <f t="shared" si="661"/>
        <v>4.66935482</v>
      </c>
      <c r="LW182" s="499">
        <f t="shared" si="662"/>
        <v>4.66935482</v>
      </c>
      <c r="LX182" s="499">
        <f t="shared" si="663"/>
        <v>2.43827955846407</v>
      </c>
      <c r="LY182" s="515">
        <f t="shared" si="664"/>
        <v>0</v>
      </c>
      <c r="LZ182" s="516">
        <f t="shared" si="608"/>
        <v>1</v>
      </c>
      <c r="MA182" s="517">
        <f t="shared" si="609"/>
        <v>4.66935482</v>
      </c>
      <c r="MB182" s="517">
        <f t="shared" si="665"/>
        <v>1.72412401</v>
      </c>
      <c r="MC182" s="499">
        <f t="shared" si="666"/>
        <v>0</v>
      </c>
      <c r="MD182" s="499">
        <f t="shared" si="667"/>
        <v>0</v>
      </c>
      <c r="ME182" s="499">
        <f t="shared" si="668"/>
        <v>0</v>
      </c>
      <c r="MF182" s="499">
        <f t="shared" si="669"/>
        <v>0</v>
      </c>
      <c r="MG182" s="516">
        <f t="shared" si="670"/>
        <v>1</v>
      </c>
      <c r="MH182" s="517">
        <f t="shared" si="610"/>
        <v>0</v>
      </c>
      <c r="MI182" s="517">
        <f t="shared" si="671"/>
        <v>0</v>
      </c>
      <c r="MJ182" s="251">
        <f t="shared" si="611"/>
        <v>1.72412401</v>
      </c>
      <c r="MK182" s="251">
        <f t="shared" si="672"/>
        <v>1.72412401</v>
      </c>
      <c r="ML182" s="251">
        <f t="shared" si="795"/>
        <v>0</v>
      </c>
      <c r="MM182" s="251">
        <f t="shared" si="612"/>
        <v>0</v>
      </c>
      <c r="MN182" s="251">
        <f t="shared" si="613"/>
        <v>3.12412401</v>
      </c>
      <c r="MO182" s="251">
        <f t="shared" si="673"/>
        <v>0</v>
      </c>
      <c r="MP182" s="251">
        <f t="shared" si="674"/>
        <v>6.24824802</v>
      </c>
      <c r="MQ182" s="251">
        <f t="shared" si="796"/>
        <v>6.24824802</v>
      </c>
      <c r="MR182" s="314">
        <f t="shared" si="675"/>
        <v>6.23339077</v>
      </c>
      <c r="MS182" s="530">
        <f t="shared" si="614"/>
        <v>6.40939077</v>
      </c>
      <c r="MT182" s="530">
        <f t="shared" si="615"/>
        <v>6.56939077</v>
      </c>
      <c r="MU182" s="530">
        <f t="shared" si="616"/>
        <v>7.60939077</v>
      </c>
      <c r="MV182" s="530">
        <f t="shared" si="617"/>
        <v>9.40939077</v>
      </c>
      <c r="MW182" s="530">
        <f t="shared" si="618"/>
        <v>9.56939077</v>
      </c>
      <c r="MX182" s="326">
        <f t="shared" si="619"/>
        <v>2.32412401</v>
      </c>
      <c r="MY182" s="326">
        <f t="shared" si="620"/>
        <v>0</v>
      </c>
      <c r="MZ182" s="251">
        <f t="shared" si="621"/>
        <v>3.72412401</v>
      </c>
      <c r="NA182" s="251">
        <f t="shared" si="622"/>
        <v>0</v>
      </c>
      <c r="NB182" s="251">
        <f t="shared" si="676"/>
        <v>7.44824802</v>
      </c>
      <c r="NC182" s="326">
        <f t="shared" si="797"/>
        <v>7.44824802</v>
      </c>
      <c r="ND182" s="314">
        <f t="shared" si="677"/>
        <v>7.43053737</v>
      </c>
      <c r="NE182" s="537">
        <f t="shared" si="678"/>
        <v>7.67053737</v>
      </c>
      <c r="NF182" s="530">
        <f t="shared" si="623"/>
        <v>7.83053737</v>
      </c>
      <c r="NG182" s="538">
        <f t="shared" si="624"/>
        <v>8.87053737</v>
      </c>
      <c r="NH182" s="326">
        <f t="shared" si="625"/>
        <v>10.67053737</v>
      </c>
      <c r="NI182" s="530">
        <f t="shared" si="626"/>
        <v>10.83053737</v>
      </c>
      <c r="NK182" s="539">
        <f t="shared" si="627"/>
        <v>0.109981775808128</v>
      </c>
      <c r="NL182" s="539">
        <f t="shared" si="628"/>
        <v>3.40780832525235</v>
      </c>
      <c r="NM182" s="539">
        <f t="shared" si="629"/>
        <v>0.109981775808128</v>
      </c>
      <c r="NN182" s="539">
        <f t="shared" si="630"/>
        <v>3.46232440020891</v>
      </c>
      <c r="NO182" s="539">
        <f t="shared" si="631"/>
        <v>0.130970860535398</v>
      </c>
      <c r="NP182" s="539">
        <f t="shared" si="632"/>
        <v>3.66946966774643</v>
      </c>
      <c r="NQ182" s="539">
        <f t="shared" si="633"/>
        <v>0.130970860535398</v>
      </c>
      <c r="NR182" s="539">
        <f t="shared" si="634"/>
        <v>3.73267829116546</v>
      </c>
      <c r="NS182" s="539">
        <f t="shared" si="635"/>
        <v>0.119046372720568</v>
      </c>
      <c r="NT182" s="539">
        <f t="shared" si="636"/>
        <v>0.119046372720568</v>
      </c>
      <c r="NU182" s="539">
        <f t="shared" si="637"/>
        <v>0.141797068973738</v>
      </c>
      <c r="NV182" s="539">
        <f t="shared" si="638"/>
        <v>0.141797068973738</v>
      </c>
      <c r="NW182">
        <f t="shared" si="639"/>
        <v>0.212786063722959</v>
      </c>
      <c r="NX182">
        <f>各项系数!$M$9*NK182</f>
        <v>0.0329945327424383</v>
      </c>
      <c r="NY182">
        <f t="shared" si="640"/>
        <v>0.119046372720568</v>
      </c>
    </row>
    <row r="183" customHeight="1" spans="1:389">
      <c r="A183" s="85"/>
      <c r="B183" s="86"/>
      <c r="C183" s="218"/>
      <c r="D183" s="123" t="s">
        <v>154</v>
      </c>
      <c r="E183" s="77">
        <f t="shared" si="805"/>
        <v>9.92410786</v>
      </c>
      <c r="F183" s="559">
        <f t="shared" ref="F183:F198" si="820">$F$17</f>
        <v>172.412400708262</v>
      </c>
      <c r="G183" s="78"/>
      <c r="H183" s="23"/>
      <c r="I183" s="174">
        <v>0</v>
      </c>
      <c r="J183" s="23"/>
      <c r="K183" s="23"/>
      <c r="L183" s="118" t="s">
        <v>469</v>
      </c>
      <c r="M183" s="124">
        <f t="shared" si="582"/>
        <v>0.7</v>
      </c>
      <c r="N183" s="124">
        <f t="shared" si="804"/>
        <v>0</v>
      </c>
      <c r="O183" s="69">
        <f t="shared" si="819"/>
        <v>0.08</v>
      </c>
      <c r="P183" s="120">
        <v>0.1</v>
      </c>
      <c r="Q183" s="162">
        <f t="shared" si="806"/>
        <v>0.1</v>
      </c>
      <c r="R183" s="560">
        <v>0.8</v>
      </c>
      <c r="S183" s="171" t="str">
        <f>各项系数!$D$43</f>
        <v>钢带</v>
      </c>
      <c r="T183" s="123">
        <v>0.2</v>
      </c>
      <c r="U183" s="78">
        <v>4</v>
      </c>
      <c r="V183" s="172"/>
      <c r="W183" s="170">
        <f t="shared" ref="W183:W185" si="821">$W$182</f>
        <v>1.5</v>
      </c>
      <c r="X183" s="164">
        <f t="shared" si="807"/>
        <v>0.2</v>
      </c>
      <c r="Y183" s="219"/>
      <c r="Z183" s="220"/>
      <c r="AA183" s="217">
        <v>1</v>
      </c>
      <c r="AB183" s="186">
        <f>PI()*EJ183*EJ183/4*EH183*(1-H183)*AA183*各项系数!$F$5*各项系数!$J$4*10^-7</f>
        <v>0.0206515056889029</v>
      </c>
      <c r="AC183" s="186">
        <f t="shared" si="808"/>
        <v>172.412400708262</v>
      </c>
      <c r="AD183" s="186">
        <f t="shared" si="584"/>
        <v>2.3346774015073</v>
      </c>
      <c r="AE183" s="186">
        <f>POWER(4*EU183/PI()/EG183/10^-7/EH183/(1-H183)/各项系数!$F$5/各项系数!$J$4,0.5)</f>
        <v>172.412400708262</v>
      </c>
      <c r="AF183" s="218">
        <v>1</v>
      </c>
      <c r="AG183" s="85">
        <f>IF(EM183=0,0,PI()*ER183*ER183/4*EP183*(1-K183)*(1+AF183)*各项系数!$F$5*各项系数!$J$4*10^-7)</f>
        <v>0</v>
      </c>
      <c r="AH183" s="85">
        <f t="shared" si="809"/>
        <v>0</v>
      </c>
      <c r="AI183" s="85">
        <f t="shared" si="641"/>
        <v>0</v>
      </c>
      <c r="AJ183" s="85">
        <f>IF(OR(EP183="",EP183=0),0,POWER(4*EW183/PI()/EO183/10^-7/EP183/(1-K183)/各项系数!$F$5/各项系数!$J$4,0.5))</f>
        <v>0</v>
      </c>
      <c r="AK183" s="85" t="str">
        <f t="shared" si="585"/>
        <v>√</v>
      </c>
      <c r="AL183" s="85">
        <f t="shared" si="810"/>
        <v>5.09958326489433</v>
      </c>
      <c r="AM183" s="250">
        <f t="shared" si="811"/>
        <v>2.5</v>
      </c>
      <c r="AN183" s="118" t="s">
        <v>486</v>
      </c>
      <c r="AO183" s="259">
        <f>AP183+各项系数!$M$9*$NK183</f>
        <v>4.99959143617092</v>
      </c>
      <c r="AP183" s="259">
        <f>AQ183*(1+$BI183+(VLOOKUP($AM183,$A$12:$B$323,2,0))+各项系数!$J$6+各项系数!$M$5)*(1+$E$2)</f>
        <v>4.95320277663539</v>
      </c>
      <c r="AQ183" s="260">
        <f>AR183+各项系数!$L$9*$NK183</f>
        <v>5.05428854758714</v>
      </c>
      <c r="AR183" s="260">
        <f>AS183*(1+$BJ183+各项系数!$J$5+各项系数!$L$5)</f>
        <v>5.00789988805162</v>
      </c>
      <c r="AS183" s="260">
        <f t="shared" si="642"/>
        <v>4.90970577259962</v>
      </c>
      <c r="AT183" s="259">
        <f>AU183+各项系数!$M$9*$NM183</f>
        <v>5.39245111701959</v>
      </c>
      <c r="AU183" s="259">
        <f>AV183*(1+$BI183+(VLOOKUP($AM183,$A$12:$B$323,2,0))+各项系数!$J$6+各项系数!$M$5)*(1+$E$2)</f>
        <v>5.34606245748407</v>
      </c>
      <c r="AV183" s="260">
        <f>AW183+各项系数!$L$9*$NM183</f>
        <v>5.45516577294293</v>
      </c>
      <c r="AW183" s="260">
        <f>AX183*(1+$BJ183+各项系数!$J$5+各项系数!$L$5)</f>
        <v>5.40877711340741</v>
      </c>
      <c r="AX183" s="260">
        <f t="shared" si="643"/>
        <v>5.30272266020334</v>
      </c>
      <c r="AY183" s="259">
        <f>AZ183+各项系数!$M$9*$NS183</f>
        <v>5.67655346431616</v>
      </c>
      <c r="AZ183" s="259">
        <f>BA183*(1+$BI183+(VLOOKUP($AM183,$A$12:$B$214,2,0))+各项系数!$J$6+各项系数!$M$5)*(1+$E$2)</f>
        <v>5.62722973352053</v>
      </c>
      <c r="BA183" s="260">
        <f>BB183+各项系数!$L$9*$NS183</f>
        <v>5.7420711566536</v>
      </c>
      <c r="BB183" s="260">
        <f>BC183*(1+$BJ183+各项系数!$J$5+各项系数!$L$5)</f>
        <v>5.69274742585797</v>
      </c>
      <c r="BC183" s="262">
        <f t="shared" si="644"/>
        <v>5.58112492731174</v>
      </c>
      <c r="BD183" s="259">
        <f>BE183+各项系数!$M$9*$NS183</f>
        <v>6.07687477196027</v>
      </c>
      <c r="BE183" s="259">
        <f>BF183*(1+$BI183+(VLOOKUP($AM183,$A$12:$B$214,2,0))+各项系数!$J$6+各项系数!$M$5)*(1+$E$2)</f>
        <v>6.02755104116464</v>
      </c>
      <c r="BF183" s="260">
        <f>BG183+各项系数!$L$9*$NS183</f>
        <v>6.15056228690269</v>
      </c>
      <c r="BG183" s="260">
        <f>BH183*(1+$BJ183+各项系数!$J$5+各项系数!$L$5)</f>
        <v>6.10123855610706</v>
      </c>
      <c r="BH183" s="262">
        <f t="shared" si="645"/>
        <v>5.98160642755594</v>
      </c>
      <c r="BI183" s="275">
        <v>0</v>
      </c>
      <c r="BJ183" s="272">
        <f t="shared" ref="BJ183:BJ198" si="822">$BJ$182</f>
        <v>0</v>
      </c>
      <c r="BK183" s="123" t="s">
        <v>514</v>
      </c>
      <c r="BL183" s="259">
        <f>BM183+各项系数!$M$9*$NM183</f>
        <v>5.10631615396152</v>
      </c>
      <c r="BM183" s="259">
        <f>BN183*(1+$CF183+(VLOOKUP($AM183,$A$12:$B$323,2,0))+各项系数!$J$6+各项系数!$M$5)*(1+$E$2)</f>
        <v>5.059927494426</v>
      </c>
      <c r="BN183" s="260">
        <f>BO183+各项系数!$L$9*$NM183</f>
        <v>5.16319132084286</v>
      </c>
      <c r="BO183" s="260">
        <f>BP183*(1+$CG183+各项系数!$J$5+各项系数!$L$5)</f>
        <v>5.11680266130734</v>
      </c>
      <c r="BP183" s="260">
        <f t="shared" si="646"/>
        <v>4.9677695740848</v>
      </c>
      <c r="BQ183" s="259">
        <f>BR183+各项系数!$M$9*$NM183</f>
        <v>5.44441779908959</v>
      </c>
      <c r="BR183" s="259">
        <f>BS183*(1+$CF183+(VLOOKUP($AM183,$A$12:$B$323,2,0))+各项系数!$J$6+各项系数!$M$5)*(1+$E$2)</f>
        <v>5.39802913955407</v>
      </c>
      <c r="BS183" s="260">
        <f>BT183+各项系数!$L$9*$NM183</f>
        <v>5.50819299954496</v>
      </c>
      <c r="BT183" s="260">
        <f>BU183*(1+$CG183+各项系数!$J$5+各项系数!$L$5)</f>
        <v>5.46180434000944</v>
      </c>
      <c r="BU183" s="260">
        <f t="shared" si="647"/>
        <v>5.30272266020334</v>
      </c>
      <c r="BV183" s="259">
        <f>BW183+各项系数!$M$9*$NT183</f>
        <v>5.75073214728776</v>
      </c>
      <c r="BW183" s="259">
        <f>BX183*(1+$CF183+(VLOOKUP($AM183,$A$12:$B$214,2,0))+各项系数!$J$6+各项系数!$M$5)*(1+$E$2)</f>
        <v>5.70140841649213</v>
      </c>
      <c r="BX183" s="260">
        <f>BY183+各项系数!$L$9*$NT$12</f>
        <v>5.8177636902981</v>
      </c>
      <c r="BY183" s="260">
        <f>BZ183*(1+$CG183+各项系数!$J$5+各项系数!$L$5)</f>
        <v>5.80950028714312</v>
      </c>
      <c r="BZ183" s="262">
        <f t="shared" si="586"/>
        <v>5.64029154091565</v>
      </c>
      <c r="CA183" s="259">
        <f>CB183+各项系数!$M$9*$NT183</f>
        <v>6.09525539386247</v>
      </c>
      <c r="CB183" s="259">
        <f>CC183*(1+$CF183+(VLOOKUP($AM183,$A$12:$B$214,2,0))+各项系数!$J$6+各项系数!$M$5)*(1+$E$2)</f>
        <v>6.04593166306684</v>
      </c>
      <c r="CC183" s="260">
        <f>CD183+各项系数!$L$9*$NT$12</f>
        <v>6.16931802353759</v>
      </c>
      <c r="CD183" s="260">
        <f>CE183*(1+$CG183+各项系数!$J$5+各项系数!$L$5)</f>
        <v>6.16105462038262</v>
      </c>
      <c r="CE183" s="262">
        <f t="shared" si="648"/>
        <v>5.98160642755594</v>
      </c>
      <c r="CF183" s="275">
        <f>(BI183+$CF$2)-BI183/1.3</f>
        <v>0</v>
      </c>
      <c r="CG183" s="277">
        <f t="shared" si="587"/>
        <v>0.01</v>
      </c>
      <c r="CH183" s="123"/>
      <c r="CI183" s="259">
        <f>CJ183+各项系数!$M$9*$NO183</f>
        <v>5.51707269689203</v>
      </c>
      <c r="CJ183" s="259">
        <f>CK183*(1+$DC183+(VLOOKUP($AM183,$A$12:$B$323,2,0))+各项系数!$J$6+各项系数!$M$5)*(1+$E$2)+各项系数!$M$9*$NK183</f>
        <v>5.44178752137795</v>
      </c>
      <c r="CK183" s="260">
        <f>CL183+各项系数!$L$9*$NO183</f>
        <v>5.50550904269636</v>
      </c>
      <c r="CL183" s="260">
        <f>CM183*(1+$DD183+各项系数!$J$5+各项系数!$L$5)</f>
        <v>5.43022386718228</v>
      </c>
      <c r="CM183" s="260">
        <f t="shared" si="588"/>
        <v>5.32374888939439</v>
      </c>
      <c r="CN183" s="259">
        <f>CO183+各项系数!$M$9*$NO183</f>
        <v>5.81623084325937</v>
      </c>
      <c r="CO183" s="259">
        <f>CP183*(1+$DC183+(VLOOKUP($AM183,$A$12:$B$323,2,0))+各项系数!$J$6+各项系数!$M$5)*(1+$E$2)+各项系数!$M$9*$NK183</f>
        <v>5.74094566774529</v>
      </c>
      <c r="CP183" s="260">
        <f>CQ183+各项系数!$L$9*$NO183</f>
        <v>5.81077245735691</v>
      </c>
      <c r="CQ183" s="260">
        <f>CR183*(1+$DD183+各项系数!$J$5+各项系数!$L$5)</f>
        <v>5.73548728184283</v>
      </c>
      <c r="CR183" s="260">
        <f t="shared" si="589"/>
        <v>5.62302674690474</v>
      </c>
      <c r="CS183" s="259">
        <f>CT183+各项系数!$M$9*$NU183</f>
        <v>6.27695248551461</v>
      </c>
      <c r="CT183" s="259">
        <f t="shared" si="590"/>
        <v>6.19816233076734</v>
      </c>
      <c r="CU183" s="260">
        <f>CV183+各项系数!$L$9*$NU183</f>
        <v>6.32465543955851</v>
      </c>
      <c r="CV183" s="260">
        <f>CW183*(1+$DD183+各项系数!$J$5+各项系数!$L$5)</f>
        <v>6.24586528481124</v>
      </c>
      <c r="CW183" s="262">
        <f t="shared" si="591"/>
        <v>6.12339733805023</v>
      </c>
      <c r="CX183" s="259">
        <f>CY183+各项系数!$M$9*$NU183</f>
        <v>6.74069762091989</v>
      </c>
      <c r="CY183" s="259">
        <f t="shared" si="592"/>
        <v>6.66190746617262</v>
      </c>
      <c r="CZ183" s="260">
        <f>DA183+各项系数!$L$9*$NU183</f>
        <v>6.79786476140064</v>
      </c>
      <c r="DA183" s="260">
        <f>DB183*(1+$DD183+各项系数!$J$5+各项系数!$L$5)</f>
        <v>6.71907460665336</v>
      </c>
      <c r="DB183" s="262">
        <f t="shared" si="593"/>
        <v>6.58732804573859</v>
      </c>
      <c r="DC183" s="275">
        <f>(BI183+$DC$2)-BI183/1.3</f>
        <v>0</v>
      </c>
      <c r="DD183" s="277">
        <f t="shared" si="594"/>
        <v>0</v>
      </c>
      <c r="DE183" s="69" t="s">
        <v>498</v>
      </c>
      <c r="DF183" s="69" t="s">
        <v>513</v>
      </c>
      <c r="DG183" s="259">
        <f>DH183+各项系数!$M$9*$NQ183</f>
        <v>5.63731705492485</v>
      </c>
      <c r="DH183" s="259">
        <f>DI183*(1+$EA183+(VLOOKUP($AM183,$A$12:$B$323,2,0))+各项系数!$J$6+各项系数!$M$5)*(1+$E$2)+各项系数!$M$9*$NK183</f>
        <v>5.56203187941077</v>
      </c>
      <c r="DI183" s="260">
        <f>DJ183+各项系数!$L$9*$NQ183</f>
        <v>5.62820736721964</v>
      </c>
      <c r="DJ183" s="260">
        <f>DK183*(1+$EB183+各项系数!$J$5+各项系数!$L$5)</f>
        <v>5.55292219170557</v>
      </c>
      <c r="DK183" s="260">
        <f t="shared" si="595"/>
        <v>5.3911865938889</v>
      </c>
      <c r="DL183" s="259">
        <f>DM183+各项系数!$M$9*$NQ183</f>
        <v>6.03000231234941</v>
      </c>
      <c r="DM183" s="259">
        <f>DN183*(1+$EA183+(VLOOKUP($AM183,$A$12:$B$323,2,0))+各项系数!$J$6+各项系数!$M$5)*(1+$E$2)+各项系数!$M$9*$NK183</f>
        <v>5.95471713683534</v>
      </c>
      <c r="DN183" s="260">
        <f>DO183+各项系数!$L$9*$NQ183</f>
        <v>6.02890660948961</v>
      </c>
      <c r="DO183" s="260">
        <f>DP183*(1+$EB183+各项系数!$J$5+各项系数!$L$5)</f>
        <v>5.95362143397553</v>
      </c>
      <c r="DP183" s="260">
        <f t="shared" si="596"/>
        <v>5.78021498444226</v>
      </c>
      <c r="DQ183" s="259">
        <f>DR183+各项系数!$M$9*$NV183</f>
        <v>6.40614657689692</v>
      </c>
      <c r="DR183" s="259">
        <f t="shared" si="597"/>
        <v>6.32735642214965</v>
      </c>
      <c r="DS183" s="260">
        <f>DT183+各项系数!$L$9*$NV183</f>
        <v>6.45648614505066</v>
      </c>
      <c r="DT183" s="260">
        <f>DU183*(1+$EB183+各项系数!$J$5+各项系数!$L$5)</f>
        <v>6.37769599030339</v>
      </c>
      <c r="DU183" s="262">
        <f t="shared" si="598"/>
        <v>6.19193785466349</v>
      </c>
      <c r="DV183" s="259">
        <f>DW183+各项系数!$M$9*$NV183</f>
        <v>6.55177228484673</v>
      </c>
      <c r="DW183" s="259">
        <f t="shared" si="599"/>
        <v>6.47298213009945</v>
      </c>
      <c r="DX183" s="260">
        <f>DY183+各项系数!$L$9*$NV183</f>
        <v>6.60508380622393</v>
      </c>
      <c r="DY183" s="260">
        <f>DZ183*(1+$EB183+各项系数!$J$5+各项系数!$L$5)</f>
        <v>6.52629365147666</v>
      </c>
      <c r="DZ183" s="262">
        <f t="shared" si="600"/>
        <v>6.33620742861812</v>
      </c>
      <c r="EA183" s="275">
        <f>(BI183+$EA$2)-BI183/1.3</f>
        <v>0</v>
      </c>
      <c r="EB183" s="277">
        <f t="shared" si="601"/>
        <v>0.01</v>
      </c>
      <c r="EC183" s="302">
        <f t="shared" si="649"/>
        <v>3</v>
      </c>
      <c r="ED183" s="302" t="str">
        <f t="shared" si="756"/>
        <v>3*2.5</v>
      </c>
      <c r="EE183" s="251">
        <f t="shared" si="812"/>
        <v>2.5</v>
      </c>
      <c r="EF183" s="251">
        <f>LOOKUP(EH183,{1,7,10,14,19,24,30,37,48,61},{1,"1+6","2+8","4+10","1+6+12","2+8+14","4+10+16","1+6+12+18","3+9+15+21","1+6+12+18+24"})</f>
        <v>1</v>
      </c>
      <c r="EG183" s="250">
        <f t="shared" si="602"/>
        <v>3</v>
      </c>
      <c r="EH183" s="260">
        <f>VLOOKUP(EE183,各项系数!$B$87:$C$124,2,0)</f>
        <v>1</v>
      </c>
      <c r="EI183" s="250">
        <f>IF(EH183=0,0,VLOOKUP(EH183,各项系数!$D$142:$E$195,2,0))*1</f>
        <v>1</v>
      </c>
      <c r="EJ183" s="305">
        <f t="shared" si="650"/>
        <v>172.412400708262</v>
      </c>
      <c r="EK183" s="251">
        <f t="shared" si="813"/>
        <v>0</v>
      </c>
      <c r="EL183" s="251">
        <f t="shared" si="603"/>
        <v>0</v>
      </c>
      <c r="EM183" s="251">
        <f t="shared" si="814"/>
        <v>0</v>
      </c>
      <c r="EN183" s="251">
        <f>IF(EP183=0,0,LOOKUP(EP183,{1,7,10,14,19,24,30,37,48,61},{1,"1+6","2+8","4+10","1+6+12","2+8+14","4+10+16","1+6+12+18","3+9+15+21","1+6+12+18+24"}))</f>
        <v>0</v>
      </c>
      <c r="EO183" s="251">
        <f t="shared" si="815"/>
        <v>0</v>
      </c>
      <c r="EP183" s="251">
        <f>IF(EM183=0,0,IF(EM183&lt;10,1,IF(AND(EM183&gt;=10,EM183&lt;=35),7,LOOKUP(EM183,{50,70,95,120,150,185,240,300},{10,14,19,24,30,37,48,61})*1)))</f>
        <v>0</v>
      </c>
      <c r="EQ183" s="251">
        <f>IF(EP183=0,0,VLOOKUP(EP183,各项系数!$D$142:$E$195,2,0))*1</f>
        <v>0</v>
      </c>
      <c r="ER183" s="69">
        <f t="shared" si="816"/>
        <v>0</v>
      </c>
      <c r="ES183" s="566">
        <f t="shared" si="817"/>
        <v>3</v>
      </c>
      <c r="ET183" s="251">
        <f>VLOOKUP(ES183,各项系数!$D$142:$E$195,2,0)*1</f>
        <v>2.16</v>
      </c>
      <c r="EU183" s="311">
        <f>((各项系数!$F$76/4*$EJ183^2*$EG183*$EH183*1*10^-7)*(1-$H183)*AA183)*(VLOOKUP($EY$9,各项系数!$D$4:$F$143,3,0))*各项系数!$J$4</f>
        <v>0.0619545170667087</v>
      </c>
      <c r="EV183" s="312">
        <f>EU183*(VLOOKUP($EY$9,各项系数!$D$4:$F$143,2,0))</f>
        <v>4.05802086786942</v>
      </c>
      <c r="EW183" s="324">
        <f>(IF($EO183=0,0,(各项系数!$F$76/4*$ER183^2*$EO183*$EP183*1*10^-7))*(1-$K183)*$AF183)*(VLOOKUP($EY$9,各项系数!$D$4:$F$143,3,0))*各项系数!$J$4</f>
        <v>0</v>
      </c>
      <c r="EX183" s="325">
        <f>EW183*(VLOOKUP($EY$9,各项系数!$D$4:$F$143,2,0))</f>
        <v>0</v>
      </c>
      <c r="EY183" s="251">
        <f>((各项系数!$F$76/4*$EJ183^2*$EG183*$EH183*1*10^-7)*(1-$H183)*AA183+IF($EO183=0,0,(各项系数!$F$76/4*$ER183^2*$EO183*$EP183*1*10^-7))*(1-$K183)*$AF183)*(VLOOKUP($EY$9,各项系数!$D$4:$F$143,3,0))*各项系数!$J$4</f>
        <v>0.0619545170667087</v>
      </c>
      <c r="EZ183" s="123">
        <v>1</v>
      </c>
      <c r="FA183" s="251">
        <f t="shared" si="757"/>
        <v>0.0619545170667087</v>
      </c>
      <c r="FB183" s="326">
        <f>FA183*(VLOOKUP($EY$9,各项系数!$D$4:$F$143,2,0))</f>
        <v>4.05802086786942</v>
      </c>
      <c r="FC183" s="327"/>
      <c r="FD183" s="302">
        <f>各项系数!$F$76/4*($MN183^2-MK183^2)*10^-2*(VLOOKUP(L183,各项系数!$D$1:$F$143,3,0))*10^-3*10^2*$EG183*各项系数!$J$4</f>
        <v>0.0175040992209944</v>
      </c>
      <c r="FE183" s="339">
        <f>FD183*VLOOKUP(L183,各项系数!$D$1:$F$143,2,0)</f>
        <v>0.201297141041435</v>
      </c>
      <c r="FF183" s="250">
        <f>各项系数!$F$76/4*($MO183^2-ML183^2)*10^-2*(VLOOKUP(L183,各项系数!$D$1:$F$143,3,0))*10^-3*10^2*$EO183*各项系数!$J$4</f>
        <v>0</v>
      </c>
      <c r="FG183" s="339">
        <f>FF183*VLOOKUP(L183,各项系数!$D$1:$F$143,2,0)</f>
        <v>0</v>
      </c>
      <c r="FH183" s="302">
        <f t="shared" si="651"/>
        <v>0.0175040992209944</v>
      </c>
      <c r="FI183" s="123">
        <v>1</v>
      </c>
      <c r="FJ183" s="251">
        <f t="shared" si="758"/>
        <v>0.0175040992209944</v>
      </c>
      <c r="FK183" s="339">
        <f>FJ183*VLOOKUP(L183,各项系数!$D$1:$F$143,2,0)</f>
        <v>0.201297141041435</v>
      </c>
      <c r="FL183" s="302"/>
      <c r="FM183" s="123"/>
      <c r="FN183" s="251"/>
      <c r="FO183" s="339"/>
      <c r="FP183" s="364">
        <f t="shared" si="759"/>
        <v>0.0175040992209944</v>
      </c>
      <c r="FQ183" s="364">
        <f t="shared" si="760"/>
        <v>0.201297141041435</v>
      </c>
      <c r="FR183" s="365">
        <f>各项系数!$F$76/4*($MQ183^2-$MN183^2*$EG183-$MO183^2*$EO183)*10^-2</f>
        <v>0.12767830898623</v>
      </c>
      <c r="FS183" s="366">
        <f t="shared" si="652"/>
        <v>1</v>
      </c>
      <c r="FT183" s="367">
        <f t="shared" si="604"/>
        <v>0.12767830898623</v>
      </c>
      <c r="FU183" s="388">
        <f>$FT183*(VLOOKUP($FT$9,各项系数!$D$1:$F$143,3,0))*10^-3*10^2*各项系数!$J$55</f>
        <v>0.0152447900929559</v>
      </c>
      <c r="FV183" s="389">
        <v>1</v>
      </c>
      <c r="FW183" s="390">
        <f t="shared" si="761"/>
        <v>0.0152447900929559</v>
      </c>
      <c r="FX183" s="367">
        <f>FW183*(VLOOKUP($FT$9,各项系数!$D$1:$F$143,2,0))</f>
        <v>0.0457343702788676</v>
      </c>
      <c r="FY183" s="388">
        <f>IF($BK183&lt;&gt;$FY$9,0,各项系数!$F$76/4*($MS183^2-$MQ183^2)*10^-2*(VLOOKUP($FY$9,各项系数!$D$1:$F$143,3,0))*10^-3*10^2)*各项系数!$J$4</f>
        <v>0</v>
      </c>
      <c r="FZ183" s="389">
        <v>1</v>
      </c>
      <c r="GA183" s="390">
        <f t="shared" si="762"/>
        <v>0</v>
      </c>
      <c r="GB183" s="367">
        <f>GA183*(VLOOKUP($FY$9,各项系数!$D$1:$F$143,2,0))</f>
        <v>0</v>
      </c>
      <c r="GC183" s="388">
        <f>IF($BK183&lt;&gt;$GC$9,0,各项系数!$F$76/4*($MS183^2-$MQ183^2)*10^-2*(VLOOKUP($GC$9,各项系数!$D$1:$F$143,3,0))*10^-3*10^2)*各项系数!$J$4</f>
        <v>0.00186165725257188</v>
      </c>
      <c r="GD183" s="389">
        <v>1</v>
      </c>
      <c r="GE183" s="390">
        <f t="shared" si="763"/>
        <v>0.00186165725257188</v>
      </c>
      <c r="GF183" s="367">
        <f>GE183*(VLOOKUP($GC$9,各项系数!$D$1:$F$143,2,0))</f>
        <v>0.0240153785581773</v>
      </c>
      <c r="GG183" s="388">
        <f>IF($BK183&lt;&gt;$GG$9,0,各项系数!$F$76/4*($MS183^2-$MQ183^2)*10^-2*(VLOOKUP($GG$9,各项系数!$D$1:$F$143,3,0))*10^-3*10^2)*各项系数!$J$4</f>
        <v>0</v>
      </c>
      <c r="GH183" s="389">
        <v>1</v>
      </c>
      <c r="GI183" s="390">
        <f t="shared" si="764"/>
        <v>0</v>
      </c>
      <c r="GJ183" s="367">
        <f>GI183*(VLOOKUP($GG$9,各项系数!$D$1:$F$143,2,0))</f>
        <v>0</v>
      </c>
      <c r="GK183" s="388">
        <f>IF($BK183&lt;&gt;$GK$9,0,各项系数!$F$76/4*($MS183^2-$MQ183^2)*10^-2*(VLOOKUP($GK$9,各项系数!$D$1:$F$143,3,0))*10^-3*10^2)*各项系数!$J$4</f>
        <v>0</v>
      </c>
      <c r="GL183" s="389">
        <v>1</v>
      </c>
      <c r="GM183" s="390">
        <f t="shared" si="765"/>
        <v>0</v>
      </c>
      <c r="GN183" s="367">
        <f>GM183*(VLOOKUP($GK$9,各项系数!$D$1:$F$143,2,0))</f>
        <v>0</v>
      </c>
      <c r="GO183" s="390">
        <f t="shared" si="766"/>
        <v>0.00186165725257188</v>
      </c>
      <c r="GP183" s="390">
        <f t="shared" si="767"/>
        <v>0.0240153785581773</v>
      </c>
      <c r="GQ183" s="406">
        <f>各项系数!$F$76/4*($MU183^2-$MS183^2)*10^-2*(VLOOKUP($S183,各项系数!$D$1:$F$143,3,0))*10^-3*10^2*各项系数!$J$4</f>
        <v>0.110353463820607</v>
      </c>
      <c r="GR183" s="389">
        <v>1</v>
      </c>
      <c r="GS183" s="390">
        <f t="shared" si="768"/>
        <v>0.110353463820607</v>
      </c>
      <c r="GT183" s="390">
        <f t="shared" si="696"/>
        <v>1</v>
      </c>
      <c r="GU183" s="390">
        <f>ROUND($GS183*(VLOOKUP($S183,各项系数!$D$1:$F$143,2,0))+$E$3*GS183,GT183)</f>
        <v>0.6</v>
      </c>
      <c r="GV183" s="406">
        <f>各项系数!$F$76/4*($MT183^2-$MS183^2)*10^-2*(VLOOKUP($GV$9,各项系数!$D$1:$F$143,3,0))*10^-3*10^2*各项系数!$J$4*PI()/4*R183</f>
        <v>0.00978357086703193</v>
      </c>
      <c r="GW183" s="389">
        <v>1</v>
      </c>
      <c r="GX183" s="390">
        <f t="shared" si="769"/>
        <v>0.00978357086703193</v>
      </c>
      <c r="GY183" s="390">
        <f>$GX183*(VLOOKUP($GV$9,各项系数!$D$1:$F$143,2,0))</f>
        <v>0.660391033524655</v>
      </c>
      <c r="GZ183" s="406">
        <f>各项系数!$F$76/4*($MV183^2-$MS183^2)*10^-2*(VLOOKUP($GZ$9,各项系数!$D$1:$F$143,3,0))*10^-3*10^2*各项系数!$J$4</f>
        <v>0.0572738177914967</v>
      </c>
      <c r="HA183" s="389">
        <v>1</v>
      </c>
      <c r="HB183" s="390">
        <f t="shared" si="653"/>
        <v>0.0572738177914967</v>
      </c>
      <c r="HC183" s="390">
        <f>HB183*(VLOOKUP($GZ$9,各项系数!$D$1:$F$143,2,0))</f>
        <v>0.973654902455444</v>
      </c>
      <c r="HD183" s="406">
        <f>各项系数!$F$76/4*($MW183^2-$MT183^2)*10^-2*(VLOOKUP($HD$9,各项系数!$D$1:$F$143,3,0))*10^-3*10^2*各项系数!$J$4</f>
        <v>0.0583616256637287</v>
      </c>
      <c r="HE183" s="389">
        <v>1</v>
      </c>
      <c r="HF183" s="390">
        <f t="shared" si="654"/>
        <v>0.0583616256637287</v>
      </c>
      <c r="HG183" s="390">
        <f>HF183*(VLOOKUP($HD$9,各项系数!$D$1:$F$143,2,0))</f>
        <v>0.992147636283388</v>
      </c>
      <c r="HH183" s="406">
        <f>各项系数!$F$76/4*($MV183^2-$MS183^2)*10^-2*(VLOOKUP($HH$9,各项系数!$D$1:$F$143,3,0))*10^-3*10^2*各项系数!$J$4</f>
        <v>0.0572738177914967</v>
      </c>
      <c r="HI183" s="420">
        <v>1</v>
      </c>
      <c r="HJ183" s="390">
        <f t="shared" si="655"/>
        <v>0.0572738177914967</v>
      </c>
      <c r="HK183" s="390">
        <f>HJ183*(VLOOKUP($HH$9,各项系数!$D$1:$F$143,2,0))</f>
        <v>0.973654902455444</v>
      </c>
      <c r="HL183" s="406">
        <f>各项系数!$F$76/4*($MW183^2-$MT183^2)*10^-2*(VLOOKUP($HL$9,各项系数!$D$1:$F$143,3,0))*10^-3*10^2*各项系数!$J$4</f>
        <v>0.0583616256637287</v>
      </c>
      <c r="HM183" s="420">
        <v>1</v>
      </c>
      <c r="HN183" s="390">
        <f t="shared" si="605"/>
        <v>0.0583616256637287</v>
      </c>
      <c r="HO183" s="390">
        <f>HN183*(VLOOKUP($HL$9,各项系数!$D$1:$F$143,2,0))</f>
        <v>0.992147636283388</v>
      </c>
      <c r="HP183" s="406">
        <f>各项系数!$F$76/4*($MV183^2-$MS183^2)*10^-2*(VLOOKUP(AN183,各项系数!$D$1:$F$143,3,0))*10^-3*10^2*各项系数!$J$4</f>
        <v>0.0580638014851725</v>
      </c>
      <c r="HQ183" s="389">
        <v>1</v>
      </c>
      <c r="HR183" s="390">
        <f t="shared" si="770"/>
        <v>0.0580638014851725</v>
      </c>
      <c r="HS183" s="390">
        <f>HR183*(VLOOKUP(AN183,各项系数!$D$1:$F$143,2,0))</f>
        <v>0.580638014851725</v>
      </c>
      <c r="HT183" s="406">
        <f>各项系数!$F$76/4*($MW183^2-$MT183^2)*10^-2*(VLOOKUP(AN183,各项系数!$D$1:$F$143,3,0))*10^-3*10^2*各项系数!$J$4</f>
        <v>0.059166613603918</v>
      </c>
      <c r="HU183" s="389">
        <v>1</v>
      </c>
      <c r="HV183" s="390">
        <f t="shared" si="771"/>
        <v>0.059166613603918</v>
      </c>
      <c r="HW183" s="390">
        <f>HV183*(VLOOKUP(AN183,各项系数!$D$1:$F$143,2,0))</f>
        <v>0.591666136039181</v>
      </c>
      <c r="HX183" s="406">
        <f>各项系数!$F$76/4*($MV183^2-$MS183^2)*10^-2*(VLOOKUP($HX$9,各项系数!$D$1:$F$143,3,0))*10^-3*10^2*各项系数!$J$4</f>
        <v>0.0580638014851725</v>
      </c>
      <c r="HY183" s="420">
        <v>1</v>
      </c>
      <c r="HZ183" s="390">
        <f t="shared" si="772"/>
        <v>0.0580638014851725</v>
      </c>
      <c r="IA183" s="390">
        <f>HZ183*(VLOOKUP($HX$9,各项系数!$D$1:$F$143,2,0))</f>
        <v>0.638701816336897</v>
      </c>
      <c r="IB183" s="406">
        <f>各项系数!$F$76/4*($MW183^2-$MT183^2)*10^-2*(VLOOKUP($IB$9,各项系数!$D$1:$F$143,3,0))*10^-3*10^2*各项系数!$J$4</f>
        <v>0.059166613603918</v>
      </c>
      <c r="IC183" s="420">
        <v>1</v>
      </c>
      <c r="ID183" s="390">
        <f t="shared" si="773"/>
        <v>0.059166613603918</v>
      </c>
      <c r="IE183" s="390">
        <f>ID183*(VLOOKUP($IB$9,各项系数!$D$1:$F$143,2,0))</f>
        <v>0.650832749643099</v>
      </c>
      <c r="IF183" s="429"/>
      <c r="IG183" s="406">
        <f t="shared" si="656"/>
        <v>0.00854169064313201</v>
      </c>
      <c r="IH183" s="389">
        <v>1</v>
      </c>
      <c r="II183" s="390">
        <f t="shared" si="774"/>
        <v>0.00854169064313201</v>
      </c>
      <c r="IJ183" s="390">
        <f>II183*(VLOOKUP($IG$8,各项系数!$D$1:$F$143,2,0))</f>
        <v>0.2135422660783</v>
      </c>
      <c r="IK183" s="406">
        <f>(各项系数!$F$76/4*($MX183^2-$MK183^2)*$EG183)*10^-2*(VLOOKUP($IG$8,各项系数!$D$1:$F$143,3,0))*10^-3*10^2*各项系数!$J$4</f>
        <v>0.00854169064313201</v>
      </c>
      <c r="IL183" s="389">
        <f>IK183*(VLOOKUP($IG$8,各项系数!$D$1:$F$143,2,0))</f>
        <v>0.2135422660783</v>
      </c>
      <c r="IM183" s="390">
        <f>(各项系数!$F$76/4*(($MM183+3*$X183)^2-MM183^2)*$EO183)*10^-2*(VLOOKUP($IG$8,各项系数!$D$1:$F$143,3,0))*10^-3*10^2*各项系数!$J$4</f>
        <v>0</v>
      </c>
      <c r="IN183" s="389">
        <f>IM183*(VLOOKUP($IG$8,各项系数!$D$1:$F$143,2,0))</f>
        <v>0</v>
      </c>
      <c r="IO183" s="406">
        <f>各项系数!$F$76/4*($MZ183^2-$MX183^2)*10^-2*(VLOOKUP(L183,各项系数!$D$1:$F$143,3,0))*10^-3*10^2*$ES183*各项系数!$J$4</f>
        <v>0.0218365754017804</v>
      </c>
      <c r="IP183" s="389">
        <v>1</v>
      </c>
      <c r="IQ183" s="390">
        <f t="shared" si="775"/>
        <v>0.0218365754017804</v>
      </c>
      <c r="IR183" s="367">
        <f>IQ183*(VLOOKUP(L183,各项系数!$D$1:$F$143,2,0))</f>
        <v>0.251120617120475</v>
      </c>
      <c r="IS183" s="406">
        <f>IF($L183&lt;&gt;$IS$9,0,各项系数!$F$76/4*($MZ183^2-$MX183^2)*10^-2*各项系数!$F$12*10^-3*10^2)*$ES183*各项系数!$J$4</f>
        <v>0</v>
      </c>
      <c r="IT183" s="389">
        <v>1</v>
      </c>
      <c r="IU183" s="390">
        <f t="shared" si="776"/>
        <v>0</v>
      </c>
      <c r="IV183" s="367">
        <f>IU183*各项系数!$E$12</f>
        <v>0</v>
      </c>
      <c r="IW183" s="388">
        <f t="shared" si="777"/>
        <v>0.0218365754017804</v>
      </c>
      <c r="IX183" s="388">
        <f t="shared" si="778"/>
        <v>0.251120617120475</v>
      </c>
      <c r="IY183" s="447">
        <f>各项系数!$F$76/4*($NB183^2-$MZ183^2*$EG183-$NA183^2*$EO183)*10^-2</f>
        <v>0.181429900078569</v>
      </c>
      <c r="IZ183" s="366">
        <f t="shared" si="697"/>
        <v>1</v>
      </c>
      <c r="JA183" s="367">
        <f t="shared" si="606"/>
        <v>0.181429900078569</v>
      </c>
      <c r="JB183" s="364">
        <f>IF($DE183&lt;&gt;$JB$9,0,$JA183*各项系数!$F$32*10^-3*10^2)*各项系数!$J$4</f>
        <v>0</v>
      </c>
      <c r="JC183" s="123">
        <v>1</v>
      </c>
      <c r="JD183" s="251">
        <f t="shared" si="779"/>
        <v>0</v>
      </c>
      <c r="JE183" s="339">
        <f>JD183*各项系数!$E$32</f>
        <v>0</v>
      </c>
      <c r="JF183" s="364">
        <f>IF($DE183&lt;&gt;$JF$9,0,$JA183*VLOOKUP($JF$9,各项系数!$D$4:$F$540,2,0)*10^-3*10^2)*各项系数!$J$4</f>
        <v>0.0902613752890881</v>
      </c>
      <c r="JG183" s="123">
        <v>1</v>
      </c>
      <c r="JH183" s="251">
        <f t="shared" si="607"/>
        <v>0.0902613752890881</v>
      </c>
      <c r="JI183" s="339">
        <f>JH183*VLOOKUP($JF$9,各项系数!$D$4:$F$540,3,0)</f>
        <v>0.108313650346906</v>
      </c>
      <c r="JJ183" s="364">
        <f t="shared" si="780"/>
        <v>0.0902613752890881</v>
      </c>
      <c r="JK183" s="251">
        <f t="shared" si="781"/>
        <v>0.108313650346906</v>
      </c>
      <c r="JL183" s="364">
        <f>IF($DF183&lt;&gt;$JL$9,0,各项系数!$F$76/4*($NE183^2-$NC183^2)*10^-2*各项系数!$F$39*10^-3*10^2)*各项系数!$J$4</f>
        <v>0.000918722151709568</v>
      </c>
      <c r="JM183" s="123">
        <v>1</v>
      </c>
      <c r="JN183" s="251">
        <f t="shared" si="782"/>
        <v>0.000918722151709568</v>
      </c>
      <c r="JO183" s="339">
        <f>JN183*各项系数!$E$39</f>
        <v>0.0183744430341914</v>
      </c>
      <c r="JP183" s="364">
        <f>IF($DF183&lt;&gt;$JP$9,0,各项系数!$F$76/4*($NE183^2-$NC183^2)*10^-2*各项系数!$F$36*10^-3*10^2)*各项系数!$J$4</f>
        <v>0</v>
      </c>
      <c r="JQ183" s="123">
        <v>1</v>
      </c>
      <c r="JR183" s="251">
        <f t="shared" si="783"/>
        <v>0</v>
      </c>
      <c r="JS183" s="339">
        <f>JR183*各项系数!$E$36</f>
        <v>0</v>
      </c>
      <c r="JT183" s="364">
        <f>IF($DF183&lt;&gt;$JT$9,0,各项系数!$F$76/4*($NE183^2-$NC183^2)*10^-2*各项系数!$F$40*10^-3*10^2)*各项系数!$J$4</f>
        <v>0</v>
      </c>
      <c r="JU183" s="123">
        <v>1</v>
      </c>
      <c r="JV183" s="251">
        <f t="shared" si="784"/>
        <v>0</v>
      </c>
      <c r="JW183" s="339">
        <f>JV183*各项系数!$E$40</f>
        <v>0</v>
      </c>
      <c r="JX183" s="364">
        <f>IF($DF183&lt;&gt;$JX$9,0,各项系数!$F$76/4*($NE183^2-$NC183^2)*10^-2*各项系数!$F$38*10^-3*10^2)*各项系数!$J$4</f>
        <v>0</v>
      </c>
      <c r="JY183" s="123">
        <v>1</v>
      </c>
      <c r="JZ183" s="251">
        <f t="shared" si="785"/>
        <v>0</v>
      </c>
      <c r="KA183" s="339">
        <f>JZ183*各项系数!$E$38</f>
        <v>0</v>
      </c>
      <c r="KB183" s="364">
        <f>IF($DF183&lt;&gt;$KB$9,0,各项系数!$F$76/4*($NE183^2-$NC183^2)*10^-2*各项系数!$F$41*10^-3*10^2)*各项系数!$J$4</f>
        <v>0</v>
      </c>
      <c r="KC183" s="123">
        <v>1</v>
      </c>
      <c r="KD183" s="251">
        <f t="shared" si="786"/>
        <v>0</v>
      </c>
      <c r="KE183" s="339">
        <f>KD183*各项系数!$E$41</f>
        <v>0</v>
      </c>
      <c r="KF183" s="251">
        <f t="shared" si="787"/>
        <v>0.000918722151709568</v>
      </c>
      <c r="KG183" s="251">
        <f t="shared" si="788"/>
        <v>0.0183744430341914</v>
      </c>
      <c r="KH183" s="302">
        <f>各项系数!$F$76/4*($NG183^2-$NE183^2)*10^-2*各项系数!$F$44*10^-3*10^2*各项系数!$J$4*0.75*$U183</f>
        <v>0.39090032740714</v>
      </c>
      <c r="KI183" s="123">
        <v>1</v>
      </c>
      <c r="KJ183" s="251">
        <f t="shared" si="789"/>
        <v>0.39090032740714</v>
      </c>
      <c r="KK183" s="251">
        <f>ROUND(KJ183*各项系数!$E$43,GT183)</f>
        <v>2.3</v>
      </c>
      <c r="KL183" s="302">
        <f>各项系数!$F$76/4*($NF183^2-$NE183^2)*10^-2*各项系数!$F$46*10^-3*10^2*各项系数!$J$4*PI()/4*R183</f>
        <v>0.0116832641106428</v>
      </c>
      <c r="KM183" s="123">
        <v>1</v>
      </c>
      <c r="KN183" s="251">
        <f t="shared" si="790"/>
        <v>0.0116832641106428</v>
      </c>
      <c r="KO183" s="251">
        <f>KN183*各项系数!$E$46</f>
        <v>0.788620327468388</v>
      </c>
      <c r="KP183" s="302">
        <f>各项系数!$F$76/4*($NH183^2-$NE183^2)*10^-2*(VLOOKUP($KP$9,各项系数!$D$1:$F$143,3,0))*10^-3*10^2*各项系数!$J$4</f>
        <v>0.0665201847054687</v>
      </c>
      <c r="KQ183" s="123">
        <v>1</v>
      </c>
      <c r="KR183" s="251">
        <f t="shared" si="657"/>
        <v>0.0665201847054687</v>
      </c>
      <c r="KS183" s="251">
        <f>KR183*(VLOOKUP($KP$9,各项系数!$D$1:$F$143,2,0))</f>
        <v>1.13084313999297</v>
      </c>
      <c r="KT183" s="302">
        <f>各项系数!$F$76/4*($NI183^2-$NF183^2)*10^-2*(VLOOKUP($KT$9,各项系数!$D$1:$F$143,3,0))*10^-3*10^2*各项系数!$J$4</f>
        <v>0.0676079925777007</v>
      </c>
      <c r="KU183" s="123">
        <v>1</v>
      </c>
      <c r="KV183" s="251">
        <f t="shared" si="658"/>
        <v>0.0676079925777007</v>
      </c>
      <c r="KW183" s="251">
        <f>KV183*(VLOOKUP($KT$9,各项系数!$D$1:$F$143,2,0))</f>
        <v>1.14933587382091</v>
      </c>
      <c r="KX183" s="251">
        <f>各项系数!$F$76/4*($NH183^2-$NE183^2)*10^-2*(VLOOKUP($KX$9,各项系数!$D$1:$F$143,3,0))*10^-3*10^2*各项系数!$J$4</f>
        <v>0.0665201847054687</v>
      </c>
      <c r="KY183" s="479">
        <v>1</v>
      </c>
      <c r="KZ183" s="251">
        <f t="shared" si="659"/>
        <v>0.0665201847054687</v>
      </c>
      <c r="LA183" s="251">
        <f>KZ183*(VLOOKUP($KX$9,各项系数!$D$1:$F$143,2,0))</f>
        <v>1.13084313999297</v>
      </c>
      <c r="LB183" s="251">
        <f>各项系数!$F$76/4*($NI183^2-$NF183^2)*10^-2*(VLOOKUP($LB$9,各项系数!$D$1:$F$143,3,0))*10^-3*10^2*各项系数!$J$4</f>
        <v>0.0676079925777007</v>
      </c>
      <c r="LC183" s="479">
        <v>1</v>
      </c>
      <c r="LD183" s="251">
        <f t="shared" si="660"/>
        <v>0.0676079925777007</v>
      </c>
      <c r="LE183" s="251">
        <f>LD183*(VLOOKUP($LB$9,各项系数!$D$1:$F$143,2,0))</f>
        <v>1.14933587382091</v>
      </c>
      <c r="LF183" s="302">
        <f>各项系数!$F$76/4*($NH183^2-$NE183^2)*10^-2*(VLOOKUP(AN183,各项系数!$D$1:$F$143,3,0))*10^-3*10^2*各项系数!$J$4</f>
        <v>0.0674377044945097</v>
      </c>
      <c r="LG183" s="123">
        <v>1</v>
      </c>
      <c r="LH183" s="251">
        <f t="shared" si="791"/>
        <v>0.0674377044945097</v>
      </c>
      <c r="LI183" s="251">
        <f>LH183*(VLOOKUP(AN183,各项系数!$D$1:$F$143,2,0))</f>
        <v>0.674377044945097</v>
      </c>
      <c r="LJ183" s="302">
        <f>各项系数!$F$76/4*($NI183^2-$NF183^2)*10^-2*(VLOOKUP(AN183,各项系数!$D$1:$F$143,3,0))*10^-3*10^2*各项系数!$J$4</f>
        <v>0.0685405166132552</v>
      </c>
      <c r="LK183" s="123">
        <v>1</v>
      </c>
      <c r="LL183" s="251">
        <f t="shared" si="792"/>
        <v>0.0685405166132552</v>
      </c>
      <c r="LM183" s="251">
        <f>LL183*(VLOOKUP(AN183,各项系数!$D$1:$F$143,2,0))</f>
        <v>0.685405166132552</v>
      </c>
      <c r="LN183" s="251">
        <f>各项系数!$F$76/4*($NH183^2-$NE183^2)*10^-2*(VLOOKUP($LN$9,各项系数!$D$1:$F$143,3,0))*10^-3*10^2*各项系数!$J$4</f>
        <v>0.0674377044945097</v>
      </c>
      <c r="LO183" s="479">
        <v>1</v>
      </c>
      <c r="LP183" s="251">
        <f t="shared" si="793"/>
        <v>0.0674377044945097</v>
      </c>
      <c r="LQ183" s="251">
        <f>LP183*(VLOOKUP($LN$9,各项系数!$D$1:$F$143,2,0))</f>
        <v>0.741814749439606</v>
      </c>
      <c r="LR183" s="251">
        <f>各项系数!$F$76/4*($NI183^2-$NF183^2)*10^-2*(VLOOKUP($LR$9,各项系数!$D$1:$F$143,3,0))*10^-3*10^2*各项系数!$J$4</f>
        <v>0.0685405166132552</v>
      </c>
      <c r="LS183" s="479">
        <v>1</v>
      </c>
      <c r="LT183" s="251">
        <f t="shared" si="794"/>
        <v>0.0685405166132552</v>
      </c>
      <c r="LU183" s="251">
        <f>LT183*(VLOOKUP($LR$9,各项系数!$D$1:$F$143,2,0))</f>
        <v>0.753945682745807</v>
      </c>
      <c r="LV183" s="499">
        <f t="shared" si="661"/>
        <v>7.00403223</v>
      </c>
      <c r="LW183" s="499">
        <f t="shared" si="662"/>
        <v>7.00403223</v>
      </c>
      <c r="LX183" s="499">
        <f t="shared" si="663"/>
        <v>2.98627038424782</v>
      </c>
      <c r="LY183" s="515">
        <f t="shared" si="664"/>
        <v>0</v>
      </c>
      <c r="LZ183" s="516">
        <f t="shared" si="608"/>
        <v>1</v>
      </c>
      <c r="MA183" s="517">
        <f t="shared" si="609"/>
        <v>7.00403223</v>
      </c>
      <c r="MB183" s="517">
        <f t="shared" si="665"/>
        <v>1.72412401</v>
      </c>
      <c r="MC183" s="499">
        <f t="shared" si="666"/>
        <v>0</v>
      </c>
      <c r="MD183" s="499">
        <f t="shared" si="667"/>
        <v>0</v>
      </c>
      <c r="ME183" s="499">
        <f t="shared" si="668"/>
        <v>0</v>
      </c>
      <c r="MF183" s="499">
        <f t="shared" si="669"/>
        <v>0</v>
      </c>
      <c r="MG183" s="516">
        <f t="shared" si="670"/>
        <v>1</v>
      </c>
      <c r="MH183" s="517">
        <f t="shared" si="610"/>
        <v>0</v>
      </c>
      <c r="MI183" s="517">
        <f t="shared" si="671"/>
        <v>0</v>
      </c>
      <c r="MJ183" s="251">
        <f t="shared" si="611"/>
        <v>1.72412401</v>
      </c>
      <c r="MK183" s="251">
        <f t="shared" si="672"/>
        <v>1.72412401</v>
      </c>
      <c r="ML183" s="251">
        <f t="shared" si="795"/>
        <v>0</v>
      </c>
      <c r="MM183" s="251">
        <f t="shared" si="612"/>
        <v>0</v>
      </c>
      <c r="MN183" s="251">
        <f t="shared" si="613"/>
        <v>3.12412401</v>
      </c>
      <c r="MO183" s="251">
        <f t="shared" si="673"/>
        <v>0</v>
      </c>
      <c r="MP183" s="251">
        <f t="shared" si="674"/>
        <v>6.74810786</v>
      </c>
      <c r="MQ183" s="251">
        <f t="shared" si="796"/>
        <v>6.74810786</v>
      </c>
      <c r="MR183" s="314">
        <f t="shared" si="675"/>
        <v>6.74810786</v>
      </c>
      <c r="MS183" s="530">
        <f t="shared" si="614"/>
        <v>6.92410786</v>
      </c>
      <c r="MT183" s="530">
        <f t="shared" si="615"/>
        <v>7.08410786</v>
      </c>
      <c r="MU183" s="530">
        <f t="shared" si="616"/>
        <v>8.12410786</v>
      </c>
      <c r="MV183" s="530">
        <f t="shared" si="617"/>
        <v>9.92410786</v>
      </c>
      <c r="MW183" s="530">
        <f t="shared" si="618"/>
        <v>10.08410786</v>
      </c>
      <c r="MX183" s="326">
        <f t="shared" si="619"/>
        <v>2.32412401</v>
      </c>
      <c r="MY183" s="326">
        <f t="shared" si="620"/>
        <v>0</v>
      </c>
      <c r="MZ183" s="251">
        <f t="shared" si="621"/>
        <v>3.72412401</v>
      </c>
      <c r="NA183" s="251">
        <f t="shared" si="622"/>
        <v>0</v>
      </c>
      <c r="NB183" s="251">
        <f t="shared" si="676"/>
        <v>8.04410786</v>
      </c>
      <c r="NC183" s="326">
        <f t="shared" si="797"/>
        <v>8.04410786</v>
      </c>
      <c r="ND183" s="314">
        <f t="shared" si="677"/>
        <v>8.04410786</v>
      </c>
      <c r="NE183" s="537">
        <f t="shared" si="678"/>
        <v>8.28410786</v>
      </c>
      <c r="NF183" s="530">
        <f t="shared" si="623"/>
        <v>8.44410786</v>
      </c>
      <c r="NG183" s="538">
        <f t="shared" si="624"/>
        <v>9.48410786</v>
      </c>
      <c r="NH183" s="326">
        <f t="shared" si="625"/>
        <v>11.28410786</v>
      </c>
      <c r="NI183" s="530">
        <f t="shared" si="626"/>
        <v>11.44410786</v>
      </c>
      <c r="NK183" s="539">
        <f t="shared" si="627"/>
        <v>0.154628865118403</v>
      </c>
      <c r="NL183" s="539">
        <f t="shared" si="628"/>
        <v>4.90970577259962</v>
      </c>
      <c r="NM183" s="539">
        <f t="shared" si="629"/>
        <v>0.154628865118403</v>
      </c>
      <c r="NN183" s="539">
        <f t="shared" si="630"/>
        <v>4.9677695740848</v>
      </c>
      <c r="NO183" s="539">
        <f t="shared" si="631"/>
        <v>0.250950585046928</v>
      </c>
      <c r="NP183" s="539">
        <f t="shared" si="632"/>
        <v>5.32374888939439</v>
      </c>
      <c r="NQ183" s="539">
        <f t="shared" si="633"/>
        <v>0.250950585046928</v>
      </c>
      <c r="NR183" s="539">
        <f t="shared" si="634"/>
        <v>5.3911865938889</v>
      </c>
      <c r="NS183" s="539">
        <f t="shared" si="635"/>
        <v>0.164412435985435</v>
      </c>
      <c r="NT183" s="539">
        <f t="shared" si="636"/>
        <v>0.164412435985435</v>
      </c>
      <c r="NU183" s="539">
        <f t="shared" si="637"/>
        <v>0.262633849157571</v>
      </c>
      <c r="NV183" s="539">
        <f t="shared" si="638"/>
        <v>0.262633849157571</v>
      </c>
      <c r="NW183">
        <f t="shared" si="639"/>
        <v>0.26498232893901</v>
      </c>
      <c r="NX183">
        <f>各项系数!$M$9*NK183</f>
        <v>0.046388659535521</v>
      </c>
      <c r="NY183">
        <f t="shared" si="640"/>
        <v>0.164412435985435</v>
      </c>
    </row>
    <row r="184" customHeight="1" spans="1:389">
      <c r="A184" s="85"/>
      <c r="B184" s="86"/>
      <c r="C184" s="218"/>
      <c r="D184" s="123" t="s">
        <v>153</v>
      </c>
      <c r="E184" s="77">
        <f t="shared" si="805"/>
        <v>10.7363801</v>
      </c>
      <c r="F184" s="559">
        <f t="shared" si="820"/>
        <v>172.412400708262</v>
      </c>
      <c r="G184" s="78"/>
      <c r="H184" s="23"/>
      <c r="I184" s="174">
        <v>0</v>
      </c>
      <c r="J184" s="23"/>
      <c r="K184" s="23"/>
      <c r="L184" s="118" t="s">
        <v>469</v>
      </c>
      <c r="M184" s="124">
        <f t="shared" si="582"/>
        <v>0.7</v>
      </c>
      <c r="N184" s="124">
        <f t="shared" si="804"/>
        <v>0</v>
      </c>
      <c r="O184" s="69">
        <f t="shared" si="819"/>
        <v>0.08</v>
      </c>
      <c r="P184" s="120">
        <v>0.1</v>
      </c>
      <c r="Q184" s="162">
        <f t="shared" ref="Q184:Q193" si="823">$Q$12</f>
        <v>0.1</v>
      </c>
      <c r="R184" s="560">
        <v>0.8</v>
      </c>
      <c r="S184" s="171" t="str">
        <f>各项系数!$D$43</f>
        <v>钢带</v>
      </c>
      <c r="T184" s="123">
        <v>0.2</v>
      </c>
      <c r="U184" s="78">
        <v>4</v>
      </c>
      <c r="V184" s="172"/>
      <c r="W184" s="170">
        <f t="shared" si="821"/>
        <v>1.5</v>
      </c>
      <c r="X184" s="164">
        <f t="shared" ref="X184:X193" si="824">$X$12</f>
        <v>0.2</v>
      </c>
      <c r="Y184" s="219"/>
      <c r="Z184" s="220"/>
      <c r="AA184" s="217">
        <v>1</v>
      </c>
      <c r="AB184" s="186">
        <f>PI()*EJ184*EJ184/4*EH184*(1-H184)*AA184*各项系数!$F$5*各项系数!$J$4*10^-7</f>
        <v>0.0206515056889029</v>
      </c>
      <c r="AC184" s="186">
        <f t="shared" si="808"/>
        <v>172.412400708262</v>
      </c>
      <c r="AD184" s="186">
        <f t="shared" si="584"/>
        <v>2.3346774015073</v>
      </c>
      <c r="AE184" s="186">
        <f>POWER(4*EU184/PI()/EG184/10^-7/EH184/(1-H184)/各项系数!$F$5/各项系数!$J$4,0.5)</f>
        <v>172.412400708262</v>
      </c>
      <c r="AF184" s="218">
        <v>1</v>
      </c>
      <c r="AG184" s="85">
        <f>IF(EM184=0,0,PI()*ER184*ER184/4*EP184*(1-K184)*(1+AF184)*各项系数!$F$5*各项系数!$J$4*10^-7)</f>
        <v>0</v>
      </c>
      <c r="AH184" s="85">
        <f t="shared" si="809"/>
        <v>0</v>
      </c>
      <c r="AI184" s="85">
        <f t="shared" si="641"/>
        <v>0</v>
      </c>
      <c r="AJ184" s="85">
        <f>IF(OR(EP184="",EP184=0),0,POWER(4*EW184/PI()/EO184/10^-7/EP184/(1-K184)/各项系数!$F$5/各项系数!$J$4,0.5))</f>
        <v>0</v>
      </c>
      <c r="AK184" s="85" t="str">
        <f t="shared" si="585"/>
        <v>√</v>
      </c>
      <c r="AL184" s="85">
        <f t="shared" si="810"/>
        <v>6.63313825508945</v>
      </c>
      <c r="AM184" s="250">
        <f t="shared" si="811"/>
        <v>2.5</v>
      </c>
      <c r="AN184" s="118" t="s">
        <v>486</v>
      </c>
      <c r="AO184" s="259">
        <f>AP184+各项系数!$M$9*$NK184</f>
        <v>6.50307672067593</v>
      </c>
      <c r="AP184" s="259">
        <f>AQ184*(1+$BI184+(VLOOKUP($AM184,$A$12:$B$323,2,0))+各项系数!$J$6+各项系数!$M$5)*(1+$E$2)</f>
        <v>6.44647234165625</v>
      </c>
      <c r="AQ184" s="260">
        <f>AR184+各项系数!$L$9*$NK184</f>
        <v>6.57803300169005</v>
      </c>
      <c r="AR184" s="260">
        <f>AS184*(1+$BJ184+各项系数!$J$5+各项系数!$L$5)</f>
        <v>6.52142862267038</v>
      </c>
      <c r="AS184" s="260">
        <f t="shared" si="642"/>
        <v>6.39355747320625</v>
      </c>
      <c r="AT184" s="259">
        <f>AU184+各项系数!$M$9*$NM184</f>
        <v>6.93381685346942</v>
      </c>
      <c r="AU184" s="259">
        <f>AV184*(1+$BI184+(VLOOKUP($AM184,$A$12:$B$323,2,0))+各项系数!$J$6+各项系数!$M$5)*(1+$E$2)</f>
        <v>6.87721247444974</v>
      </c>
      <c r="AV184" s="260">
        <f>AW184+各项系数!$L$9*$NM184</f>
        <v>7.01756374943851</v>
      </c>
      <c r="AW184" s="260">
        <f>AX184*(1+$BJ184+各项系数!$J$5+各项系数!$L$5)</f>
        <v>6.96095937041884</v>
      </c>
      <c r="AX184" s="260">
        <f t="shared" si="643"/>
        <v>6.82446997099886</v>
      </c>
      <c r="AY184" s="259">
        <f>AZ184+各项系数!$M$9*$NS184</f>
        <v>7.25726817193163</v>
      </c>
      <c r="AZ184" s="259">
        <f>BA184*(1+$BI184+(VLOOKUP($AM184,$A$12:$B$214,2,0))+各项系数!$J$6+各项系数!$M$5)*(1+$E$2)</f>
        <v>7.19738833898575</v>
      </c>
      <c r="BA184" s="260">
        <f>BB184+各项系数!$L$9*$NS184</f>
        <v>7.34427381529158</v>
      </c>
      <c r="BB184" s="260">
        <f>BC184*(1+$BJ184+各项系数!$J$5+各项系数!$L$5)</f>
        <v>7.2843939823457</v>
      </c>
      <c r="BC184" s="262">
        <f t="shared" si="644"/>
        <v>7.1415627277899</v>
      </c>
      <c r="BD184" s="259">
        <f>BE184+各项系数!$M$9*$NS184</f>
        <v>7.69546993152055</v>
      </c>
      <c r="BE184" s="259">
        <f>BF184*(1+$BI184+(VLOOKUP($AM184,$A$12:$B$214,2,0))+各项系数!$J$6+各项系数!$M$5)*(1+$E$2)</f>
        <v>7.63559009857467</v>
      </c>
      <c r="BF184" s="260">
        <f>BG184+各项系数!$L$9*$NS184</f>
        <v>7.79141846793334</v>
      </c>
      <c r="BG184" s="260">
        <f>BH184*(1+$BJ184+各项系数!$J$5+各项系数!$L$5)</f>
        <v>7.73153863498746</v>
      </c>
      <c r="BH184" s="262">
        <f t="shared" si="645"/>
        <v>7.579939838223</v>
      </c>
      <c r="BI184" s="277"/>
      <c r="BJ184" s="272">
        <f t="shared" si="822"/>
        <v>0</v>
      </c>
      <c r="BK184" s="123" t="s">
        <v>514</v>
      </c>
      <c r="BL184" s="259">
        <f>BM184+各项系数!$M$9*$NM184</f>
        <v>6.62999446036055</v>
      </c>
      <c r="BM184" s="259">
        <f>BN184*(1+$CF184+(VLOOKUP($AM184,$A$12:$B$323,2,0))+各项系数!$J$6+各项系数!$M$5)*(1+$E$2)</f>
        <v>6.57339008134087</v>
      </c>
      <c r="BN184" s="260">
        <f>BO184+各项系数!$L$9*$NM184</f>
        <v>6.70754089932742</v>
      </c>
      <c r="BO184" s="260">
        <f>BP184*(1+$CG184+各项系数!$J$5+各项系数!$L$5)</f>
        <v>6.65093652030775</v>
      </c>
      <c r="BP184" s="260">
        <f t="shared" si="646"/>
        <v>6.45721992262888</v>
      </c>
      <c r="BQ184" s="259">
        <f>BR184+各项系数!$M$9*$NM184</f>
        <v>7.00069665918521</v>
      </c>
      <c r="BR184" s="259">
        <f>BS184*(1+$CF184+(VLOOKUP($AM184,$A$12:$B$323,2,0))+各项系数!$J$6+各项系数!$M$5)*(1+$E$2)</f>
        <v>6.94409228016553</v>
      </c>
      <c r="BS184" s="260">
        <f>BT184+各项系数!$L$9*$NM184</f>
        <v>7.0858084491485</v>
      </c>
      <c r="BT184" s="260">
        <f>BU184*(1+$CG184+各项系数!$J$5+各项系数!$L$5)</f>
        <v>7.02920407012882</v>
      </c>
      <c r="BU184" s="260">
        <f t="shared" si="647"/>
        <v>6.82446997099886</v>
      </c>
      <c r="BV184" s="259">
        <f>BW184+各项系数!$M$9*$NT184</f>
        <v>7.34204544046874</v>
      </c>
      <c r="BW184" s="259">
        <f>BX184*(1+$CF184+(VLOOKUP($AM184,$A$12:$B$214,2,0))+各项系数!$J$6+各项系数!$M$5)*(1+$E$2)</f>
        <v>7.28216560752286</v>
      </c>
      <c r="BX184" s="260">
        <f>BY184+各项系数!$L$9*$NT$12</f>
        <v>7.43078123216619</v>
      </c>
      <c r="BY184" s="260">
        <f>BZ184*(1+$CG184+各项系数!$J$5+各项系数!$L$5)</f>
        <v>7.42251782901121</v>
      </c>
      <c r="BZ184" s="262">
        <f t="shared" si="586"/>
        <v>7.20632798933127</v>
      </c>
      <c r="CA184" s="259">
        <f>CB184+各项系数!$M$9*$NT184</f>
        <v>7.71916924074005</v>
      </c>
      <c r="CB184" s="259">
        <f>CC184*(1+$CF184+(VLOOKUP($AM184,$A$12:$B$214,2,0))+各项系数!$J$6+各项系数!$M$5)*(1+$E$2)</f>
        <v>7.65928940779417</v>
      </c>
      <c r="CC184" s="260">
        <f>CD184+各项系数!$L$9*$NT$12</f>
        <v>7.81560143652466</v>
      </c>
      <c r="CD184" s="260">
        <f>CE184*(1+$CG184+各项系数!$J$5+各项系数!$L$5)</f>
        <v>7.80733803336969</v>
      </c>
      <c r="CE184" s="262">
        <f t="shared" si="648"/>
        <v>7.579939838223</v>
      </c>
      <c r="CF184" s="277">
        <f t="shared" si="753"/>
        <v>0</v>
      </c>
      <c r="CG184" s="277">
        <f t="shared" si="587"/>
        <v>0.01</v>
      </c>
      <c r="CH184" s="123"/>
      <c r="CI184" s="259">
        <f>CJ184+各项系数!$M$9*$NO184</f>
        <v>7.1439926360759</v>
      </c>
      <c r="CJ184" s="259">
        <f>CK184*(1+$DC184+(VLOOKUP($AM184,$A$12:$B$323,2,0))+各项系数!$J$6+各项系数!$M$5)*(1+$E$2)+各项系数!$M$9*$NK184</f>
        <v>7.05433740503725</v>
      </c>
      <c r="CK184" s="260">
        <f>CL184+各项系数!$L$9*$NO184</f>
        <v>7.14054390409956</v>
      </c>
      <c r="CL184" s="260">
        <f>CM184*(1+$DD184+各项系数!$J$5+各项系数!$L$5)</f>
        <v>7.05088867306091</v>
      </c>
      <c r="CM184" s="260">
        <f t="shared" si="588"/>
        <v>6.91263595398128</v>
      </c>
      <c r="CN184" s="259">
        <f>CO184+各项系数!$M$9*$NO184</f>
        <v>7.47028311719755</v>
      </c>
      <c r="CO184" s="259">
        <f>CP184*(1+$DC184+(VLOOKUP($AM184,$A$12:$B$323,2,0))+各项系数!$J$6+各项系数!$M$5)*(1+$E$2)+各项系数!$M$9*$NK184</f>
        <v>7.3806278861589</v>
      </c>
      <c r="CP184" s="260">
        <f>CQ184+各项系数!$L$9*$NO184</f>
        <v>7.47349337463186</v>
      </c>
      <c r="CQ184" s="260">
        <f>CR184*(1+$DD184+各项系数!$J$5+各项系数!$L$5)</f>
        <v>7.3838381435932</v>
      </c>
      <c r="CR184" s="260">
        <f t="shared" si="589"/>
        <v>7.23905700352275</v>
      </c>
      <c r="CS184" s="259">
        <f>CT184+各项系数!$M$9*$NU184</f>
        <v>7.98571833532626</v>
      </c>
      <c r="CT184" s="259">
        <f t="shared" si="590"/>
        <v>7.8921523705914</v>
      </c>
      <c r="CU184" s="260">
        <f>CV184+各项系数!$L$9*$NU184</f>
        <v>8.05321670468511</v>
      </c>
      <c r="CV184" s="260">
        <f>CW184*(1+$DD184+各项系数!$J$5+各项系数!$L$5)</f>
        <v>7.95965073995025</v>
      </c>
      <c r="CW184" s="262">
        <f t="shared" si="591"/>
        <v>7.80357915681397</v>
      </c>
      <c r="CX184" s="259">
        <f>CY184+各项系数!$M$9*$NU184</f>
        <v>8.4946190088019</v>
      </c>
      <c r="CY184" s="259">
        <f t="shared" si="592"/>
        <v>8.40105304406704</v>
      </c>
      <c r="CZ184" s="260">
        <f>DA184+各项系数!$L$9*$NU184</f>
        <v>8.57250310619086</v>
      </c>
      <c r="DA184" s="260">
        <f>DB184*(1+$DD184+各项系数!$J$5+各项系数!$L$5)</f>
        <v>8.47893714145601</v>
      </c>
      <c r="DB184" s="262">
        <f t="shared" si="593"/>
        <v>8.31268347201569</v>
      </c>
      <c r="DC184" s="277">
        <f t="shared" si="803"/>
        <v>0</v>
      </c>
      <c r="DD184" s="277">
        <f t="shared" si="594"/>
        <v>0</v>
      </c>
      <c r="DE184" s="69" t="s">
        <v>498</v>
      </c>
      <c r="DF184" s="69" t="s">
        <v>513</v>
      </c>
      <c r="DG184" s="259">
        <f>DH184+各项系数!$M$9*$NQ184</f>
        <v>7.28654471165859</v>
      </c>
      <c r="DH184" s="259">
        <f>DI184*(1+$EA184+(VLOOKUP($AM184,$A$12:$B$323,2,0))+各项系数!$J$6+各项系数!$M$5)*(1+$E$2)+各项系数!$M$9*$NK184</f>
        <v>7.19688948061993</v>
      </c>
      <c r="DI184" s="260">
        <f>DJ184+各项系数!$L$9*$NQ184</f>
        <v>7.28600520571455</v>
      </c>
      <c r="DJ184" s="260">
        <f>DK184*(1+$EB184+各项系数!$J$5+各项系数!$L$5)</f>
        <v>7.19634997467589</v>
      </c>
      <c r="DK184" s="260">
        <f t="shared" si="595"/>
        <v>6.98674754822902</v>
      </c>
      <c r="DL184" s="259">
        <f>DM184+各项系数!$M$9*$NQ184</f>
        <v>7.71809158419023</v>
      </c>
      <c r="DM184" s="259">
        <f>DN184*(1+$EA184+(VLOOKUP($AM184,$A$12:$B$323,2,0))+各项系数!$J$6+各项系数!$M$5)*(1+$E$2)+各项系数!$M$9*$NK184</f>
        <v>7.62843635315157</v>
      </c>
      <c r="DN184" s="260">
        <f>DO184+各项系数!$L$9*$NQ184</f>
        <v>7.72635915727745</v>
      </c>
      <c r="DO184" s="260">
        <f>DP184*(1+$EB184+各项系数!$J$5+各项系数!$L$5)</f>
        <v>7.63670392623879</v>
      </c>
      <c r="DP184" s="260">
        <f t="shared" si="596"/>
        <v>7.41427565654252</v>
      </c>
      <c r="DQ184" s="259">
        <f>DR184+各项系数!$M$9*$NV184</f>
        <v>8.13811483284936</v>
      </c>
      <c r="DR184" s="259">
        <f t="shared" si="597"/>
        <v>8.04454886811451</v>
      </c>
      <c r="DS184" s="260">
        <f>DT184+各项系数!$L$9*$NV184</f>
        <v>8.20872333481072</v>
      </c>
      <c r="DT184" s="260">
        <f>DU184*(1+$EB184+各项系数!$J$5+各项系数!$L$5)</f>
        <v>8.11515737007587</v>
      </c>
      <c r="DU184" s="262">
        <f t="shared" si="598"/>
        <v>7.87879356318046</v>
      </c>
      <c r="DV184" s="259">
        <f>DW184+各项系数!$M$9*$NV184</f>
        <v>8.23810843893244</v>
      </c>
      <c r="DW184" s="259">
        <f t="shared" si="599"/>
        <v>8.14454247419759</v>
      </c>
      <c r="DX184" s="260">
        <f>DY184+各项系数!$L$9*$NV184</f>
        <v>8.31075762673223</v>
      </c>
      <c r="DY184" s="260">
        <f>DZ184*(1+$EB184+各项系数!$J$5+各项系数!$L$5)</f>
        <v>8.21719166199738</v>
      </c>
      <c r="DZ184" s="262">
        <f t="shared" si="600"/>
        <v>7.97785598252173</v>
      </c>
      <c r="EA184" s="277">
        <f t="shared" si="802"/>
        <v>0</v>
      </c>
      <c r="EB184" s="277">
        <f t="shared" si="601"/>
        <v>0.01</v>
      </c>
      <c r="EC184" s="302">
        <f t="shared" si="649"/>
        <v>4</v>
      </c>
      <c r="ED184" s="302" t="str">
        <f t="shared" si="756"/>
        <v>4*2.5</v>
      </c>
      <c r="EE184" s="251">
        <f t="shared" si="812"/>
        <v>2.5</v>
      </c>
      <c r="EF184" s="251">
        <f>LOOKUP(EH184,{1,7,10,14,19,24,30,37,48,61},{1,"1+6","2+8","4+10","1+6+12","2+8+14","4+10+16","1+6+12+18","3+9+15+21","1+6+12+18+24"})</f>
        <v>1</v>
      </c>
      <c r="EG184" s="250">
        <f t="shared" si="602"/>
        <v>4</v>
      </c>
      <c r="EH184" s="260">
        <f>VLOOKUP(EE184,各项系数!$B$87:$C$124,2,0)</f>
        <v>1</v>
      </c>
      <c r="EI184" s="250">
        <f>IF(EH184=0,0,VLOOKUP(EH184,各项系数!$D$142:$E$195,2,0))*1</f>
        <v>1</v>
      </c>
      <c r="EJ184" s="305">
        <f t="shared" si="650"/>
        <v>172.412400708262</v>
      </c>
      <c r="EK184" s="251">
        <f t="shared" si="813"/>
        <v>0</v>
      </c>
      <c r="EL184" s="251">
        <f t="shared" si="603"/>
        <v>0</v>
      </c>
      <c r="EM184" s="251">
        <f t="shared" si="814"/>
        <v>0</v>
      </c>
      <c r="EN184" s="251">
        <f>IF(EP184=0,0,LOOKUP(EP184,{1,7,10,14,19,24,30,37,48,61},{1,"1+6","2+8","4+10","1+6+12","2+8+14","4+10+16","1+6+12+18","3+9+15+21","1+6+12+18+24"}))</f>
        <v>0</v>
      </c>
      <c r="EO184" s="251">
        <f t="shared" si="815"/>
        <v>0</v>
      </c>
      <c r="EP184" s="251">
        <f>IF(EM184=0,0,IF(EM184&lt;10,1,IF(AND(EM184&gt;=10,EM184&lt;=35),7,LOOKUP(EM184,{50,70,95,120,150,185,240,300},{10,14,19,24,30,37,48,61})*1)))</f>
        <v>0</v>
      </c>
      <c r="EQ184" s="251">
        <f>IF(EP184=0,0,VLOOKUP(EP184,各项系数!$D$142:$E$195,2,0))*1</f>
        <v>0</v>
      </c>
      <c r="ER184" s="69">
        <f t="shared" si="816"/>
        <v>0</v>
      </c>
      <c r="ES184" s="566">
        <f t="shared" si="817"/>
        <v>4</v>
      </c>
      <c r="ET184" s="251">
        <f>VLOOKUP(ES184,各项系数!$D$142:$E$195,2,0)*1</f>
        <v>2.42</v>
      </c>
      <c r="EU184" s="311">
        <f>((各项系数!$F$76/4*$EJ184^2*$EG184*$EH184*1*10^-7)*(1-$H184)*AA184)*(VLOOKUP($EY$9,各项系数!$D$4:$F$143,3,0))*各项系数!$J$4</f>
        <v>0.0826060227556116</v>
      </c>
      <c r="EV184" s="312">
        <f>EU184*(VLOOKUP($EY$9,各项系数!$D$4:$F$143,2,0))</f>
        <v>5.41069449049256</v>
      </c>
      <c r="EW184" s="324">
        <f>(IF($EO184=0,0,(各项系数!$F$76/4*$ER184^2*$EO184*$EP184*1*10^-7))*(1-$K184)*$AF184)*(VLOOKUP($EY$9,各项系数!$D$4:$F$143,3,0))*各项系数!$J$4</f>
        <v>0</v>
      </c>
      <c r="EX184" s="325">
        <f>EW184*(VLOOKUP($EY$9,各项系数!$D$4:$F$143,2,0))</f>
        <v>0</v>
      </c>
      <c r="EY184" s="251">
        <f>((各项系数!$F$76/4*$EJ184^2*$EG184*$EH184*1*10^-7)*(1-$H184)*AA184+IF($EO184=0,0,(各项系数!$F$76/4*$ER184^2*$EO184*$EP184*1*10^-7))*(1-$K184)*$AF184)*(VLOOKUP($EY$9,各项系数!$D$4:$F$143,3,0))*各项系数!$J$4</f>
        <v>0.0826060227556116</v>
      </c>
      <c r="EZ184" s="123">
        <v>1</v>
      </c>
      <c r="FA184" s="251">
        <f t="shared" si="757"/>
        <v>0.0826060227556116</v>
      </c>
      <c r="FB184" s="326">
        <f>FA184*(VLOOKUP($EY$9,各项系数!$D$4:$F$143,2,0))</f>
        <v>5.41069449049256</v>
      </c>
      <c r="FC184" s="327"/>
      <c r="FD184" s="302">
        <f>各项系数!$F$76/4*($MN184^2-MK184^2)*10^-2*(VLOOKUP(L184,各项系数!$D$1:$F$143,3,0))*10^-3*10^2*$EG184*各项系数!$J$4</f>
        <v>0.0233387989613258</v>
      </c>
      <c r="FE184" s="339">
        <f>FD184*VLOOKUP(L184,各项系数!$D$1:$F$143,2,0)</f>
        <v>0.268396188055247</v>
      </c>
      <c r="FF184" s="250">
        <f>各项系数!$F$76/4*($MO184^2-ML184^2)*10^-2*(VLOOKUP(L184,各项系数!$D$1:$F$143,3,0))*10^-3*10^2*$EO184*各项系数!$J$4</f>
        <v>0</v>
      </c>
      <c r="FG184" s="339">
        <f>FF184*VLOOKUP(L184,各项系数!$D$1:$F$143,2,0)</f>
        <v>0</v>
      </c>
      <c r="FH184" s="302">
        <f t="shared" si="651"/>
        <v>0.0233387989613258</v>
      </c>
      <c r="FI184" s="123">
        <v>1</v>
      </c>
      <c r="FJ184" s="251">
        <f t="shared" si="758"/>
        <v>0.0233387989613258</v>
      </c>
      <c r="FK184" s="339">
        <f>FJ184*VLOOKUP(L184,各项系数!$D$1:$F$143,2,0)</f>
        <v>0.268396188055247</v>
      </c>
      <c r="FL184" s="302"/>
      <c r="FM184" s="123"/>
      <c r="FN184" s="251"/>
      <c r="FO184" s="339"/>
      <c r="FP184" s="364">
        <f t="shared" si="759"/>
        <v>0.0233387989613258</v>
      </c>
      <c r="FQ184" s="364">
        <f t="shared" si="760"/>
        <v>0.268396188055247</v>
      </c>
      <c r="FR184" s="365">
        <f>各项系数!$F$76/4*($MQ184^2-$MN184^2*$EG184-$MO184^2*$EO184)*10^-2</f>
        <v>0.142304282112215</v>
      </c>
      <c r="FS184" s="366">
        <f t="shared" si="652"/>
        <v>1</v>
      </c>
      <c r="FT184" s="367">
        <f t="shared" si="604"/>
        <v>0.142304282112215</v>
      </c>
      <c r="FU184" s="388">
        <f>$FT184*(VLOOKUP($FT$9,各项系数!$D$1:$F$143,3,0))*10^-3*10^2*各项系数!$J$55</f>
        <v>0.0169911312841985</v>
      </c>
      <c r="FV184" s="389">
        <v>1</v>
      </c>
      <c r="FW184" s="390">
        <f t="shared" si="761"/>
        <v>0.0169911312841985</v>
      </c>
      <c r="FX184" s="367">
        <f>FW184*(VLOOKUP($FT$9,各项系数!$D$1:$F$143,2,0))</f>
        <v>0.0509733938525954</v>
      </c>
      <c r="FY184" s="388">
        <f>IF($BK184&lt;&gt;$FY$9,0,各项系数!$F$76/4*($MS184^2-$MQ184^2)*10^-2*(VLOOKUP($FY$9,各项系数!$D$1:$F$143,3,0))*10^-3*10^2)*各项系数!$J$4</f>
        <v>0</v>
      </c>
      <c r="FZ184" s="389">
        <v>1</v>
      </c>
      <c r="GA184" s="390">
        <f t="shared" si="762"/>
        <v>0</v>
      </c>
      <c r="GB184" s="367">
        <f>GA184*(VLOOKUP($FY$9,各项系数!$D$1:$F$143,2,0))</f>
        <v>0</v>
      </c>
      <c r="GC184" s="388">
        <f>IF($BK184&lt;&gt;$GC$9,0,各项系数!$F$76/4*($MS184^2-$MQ184^2)*10^-2*(VLOOKUP($GC$9,各项系数!$D$1:$F$143,3,0))*10^-3*10^2)*各项系数!$J$4</f>
        <v>0.00208286097516189</v>
      </c>
      <c r="GD184" s="389">
        <v>1</v>
      </c>
      <c r="GE184" s="390">
        <f t="shared" si="763"/>
        <v>0.00208286097516189</v>
      </c>
      <c r="GF184" s="367">
        <f>GE184*(VLOOKUP($GC$9,各项系数!$D$1:$F$143,2,0))</f>
        <v>0.0268689065795884</v>
      </c>
      <c r="GG184" s="388">
        <f>IF($BK184&lt;&gt;$GG$9,0,各项系数!$F$76/4*($MS184^2-$MQ184^2)*10^-2*(VLOOKUP($GG$9,各项系数!$D$1:$F$143,3,0))*10^-3*10^2)*各项系数!$J$4</f>
        <v>0</v>
      </c>
      <c r="GH184" s="389">
        <v>1</v>
      </c>
      <c r="GI184" s="390">
        <f t="shared" si="764"/>
        <v>0</v>
      </c>
      <c r="GJ184" s="367">
        <f>GI184*(VLOOKUP($GG$9,各项系数!$D$1:$F$143,2,0))</f>
        <v>0</v>
      </c>
      <c r="GK184" s="388">
        <f>IF($BK184&lt;&gt;$GK$9,0,各项系数!$F$76/4*($MS184^2-$MQ184^2)*10^-2*(VLOOKUP($GK$9,各项系数!$D$1:$F$143,3,0))*10^-3*10^2)*各项系数!$J$4</f>
        <v>0</v>
      </c>
      <c r="GL184" s="389">
        <v>1</v>
      </c>
      <c r="GM184" s="390">
        <f t="shared" si="765"/>
        <v>0</v>
      </c>
      <c r="GN184" s="367">
        <f>GM184*(VLOOKUP($GK$9,各项系数!$D$1:$F$143,2,0))</f>
        <v>0</v>
      </c>
      <c r="GO184" s="390">
        <f t="shared" si="766"/>
        <v>0.00208286097516189</v>
      </c>
      <c r="GP184" s="390">
        <f t="shared" si="767"/>
        <v>0.0268689065795884</v>
      </c>
      <c r="GQ184" s="406">
        <f>各项系数!$F$76/4*($MU184^2-$MS184^2)*10^-2*(VLOOKUP($S184,各项系数!$D$1:$F$143,3,0))*10^-3*10^2*各项系数!$J$4</f>
        <v>0.122266777254862</v>
      </c>
      <c r="GR184" s="389">
        <v>1</v>
      </c>
      <c r="GS184" s="390">
        <f t="shared" si="768"/>
        <v>0.122266777254862</v>
      </c>
      <c r="GT184" s="390">
        <f t="shared" si="696"/>
        <v>1</v>
      </c>
      <c r="GU184" s="390">
        <f>ROUND($GS184*(VLOOKUP($S184,各项系数!$D$1:$F$143,2,0))+$E$3*GS184,GT184)</f>
        <v>0.7</v>
      </c>
      <c r="GV184" s="406">
        <f>各项系数!$F$76/4*($MT184^2-$MS184^2)*10^-2*(VLOOKUP($GV$9,各项系数!$D$1:$F$143,3,0))*10^-3*10^2*各项系数!$J$4*PI()/4*R184</f>
        <v>0.0109181797540177</v>
      </c>
      <c r="GW184" s="389">
        <v>1</v>
      </c>
      <c r="GX184" s="390">
        <f t="shared" si="769"/>
        <v>0.0109181797540177</v>
      </c>
      <c r="GY184" s="390">
        <f>$GX184*(VLOOKUP($GV$9,各项系数!$D$1:$F$143,2,0))</f>
        <v>0.736977133396194</v>
      </c>
      <c r="GZ184" s="406">
        <f>各项系数!$F$76/4*($MV184^2-$MS184^2)*10^-2*(VLOOKUP($GZ$9,各项系数!$D$1:$F$143,3,0))*10^-3*10^2*各项系数!$J$4</f>
        <v>0.0627962936481687</v>
      </c>
      <c r="HA184" s="389">
        <v>1</v>
      </c>
      <c r="HB184" s="390">
        <f t="shared" si="653"/>
        <v>0.0627962936481687</v>
      </c>
      <c r="HC184" s="390">
        <f>HB184*(VLOOKUP($GZ$9,各项系数!$D$1:$F$143,2,0))</f>
        <v>1.06753699201887</v>
      </c>
      <c r="HD184" s="406">
        <f>各项系数!$F$76/4*($MW184^2-$MT184^2)*10^-2*(VLOOKUP($HD$9,各项系数!$D$1:$F$143,3,0))*10^-3*10^2*各项系数!$J$4</f>
        <v>0.0638841015204007</v>
      </c>
      <c r="HE184" s="389">
        <v>1</v>
      </c>
      <c r="HF184" s="390">
        <f t="shared" si="654"/>
        <v>0.0638841015204007</v>
      </c>
      <c r="HG184" s="390">
        <f>HF184*(VLOOKUP($HD$9,各项系数!$D$1:$F$143,2,0))</f>
        <v>1.08602972584681</v>
      </c>
      <c r="HH184" s="406">
        <f>各项系数!$F$76/4*($MV184^2-$MS184^2)*10^-2*(VLOOKUP($HH$9,各项系数!$D$1:$F$143,3,0))*10^-3*10^2*各项系数!$J$4</f>
        <v>0.0627962936481687</v>
      </c>
      <c r="HI184" s="420">
        <v>1</v>
      </c>
      <c r="HJ184" s="390">
        <f t="shared" si="655"/>
        <v>0.0627962936481687</v>
      </c>
      <c r="HK184" s="390">
        <f>HJ184*(VLOOKUP($HH$9,各项系数!$D$1:$F$143,2,0))</f>
        <v>1.06753699201887</v>
      </c>
      <c r="HL184" s="406">
        <f>各项系数!$F$76/4*($MW184^2-$MT184^2)*10^-2*(VLOOKUP($HL$9,各项系数!$D$1:$F$143,3,0))*10^-3*10^2*各项系数!$J$4</f>
        <v>0.0638841015204007</v>
      </c>
      <c r="HM184" s="420">
        <v>1</v>
      </c>
      <c r="HN184" s="390">
        <f t="shared" si="605"/>
        <v>0.0638841015204007</v>
      </c>
      <c r="HO184" s="390">
        <f>HN184*(VLOOKUP($HL$9,各项系数!$D$1:$F$143,2,0))</f>
        <v>1.08602972584681</v>
      </c>
      <c r="HP184" s="406">
        <f>各项系数!$F$76/4*($MV184^2-$MS184^2)*10^-2*(VLOOKUP(AN184,各项系数!$D$1:$F$143,3,0))*10^-3*10^2*各项系数!$J$4</f>
        <v>0.0636624494226262</v>
      </c>
      <c r="HQ184" s="389">
        <v>1</v>
      </c>
      <c r="HR184" s="390">
        <f t="shared" si="770"/>
        <v>0.0636624494226262</v>
      </c>
      <c r="HS184" s="390">
        <f>HR184*(VLOOKUP(AN184,各项系数!$D$1:$F$143,2,0))</f>
        <v>0.636624494226262</v>
      </c>
      <c r="HT184" s="406">
        <f>各项系数!$F$76/4*($MW184^2-$MT184^2)*10^-2*(VLOOKUP(AN184,各项系数!$D$1:$F$143,3,0))*10^-3*10^2*各项系数!$J$4</f>
        <v>0.0647652615413718</v>
      </c>
      <c r="HU184" s="389">
        <v>1</v>
      </c>
      <c r="HV184" s="390">
        <f t="shared" si="771"/>
        <v>0.0647652615413718</v>
      </c>
      <c r="HW184" s="390">
        <f>HV184*(VLOOKUP(AN184,各项系数!$D$1:$F$143,2,0))</f>
        <v>0.647652615413718</v>
      </c>
      <c r="HX184" s="406">
        <f>各项系数!$F$76/4*($MV184^2-$MS184^2)*10^-2*(VLOOKUP($HX$9,各项系数!$D$1:$F$143,3,0))*10^-3*10^2*各项系数!$J$4</f>
        <v>0.0636624494226262</v>
      </c>
      <c r="HY184" s="420">
        <v>1</v>
      </c>
      <c r="HZ184" s="390">
        <f t="shared" si="772"/>
        <v>0.0636624494226262</v>
      </c>
      <c r="IA184" s="390">
        <f>HZ184*(VLOOKUP($HX$9,各项系数!$D$1:$F$143,2,0))</f>
        <v>0.700286943648888</v>
      </c>
      <c r="IB184" s="406">
        <f>各项系数!$F$76/4*($MW184^2-$MT184^2)*10^-2*(VLOOKUP($IB$9,各项系数!$D$1:$F$143,3,0))*10^-3*10^2*各项系数!$J$4</f>
        <v>0.0647652615413718</v>
      </c>
      <c r="IC184" s="420">
        <v>1</v>
      </c>
      <c r="ID184" s="390">
        <f t="shared" si="773"/>
        <v>0.0647652615413718</v>
      </c>
      <c r="IE184" s="390">
        <f>ID184*(VLOOKUP($IB$9,各项系数!$D$1:$F$143,2,0))</f>
        <v>0.712417876955089</v>
      </c>
      <c r="IF184" s="429"/>
      <c r="IG184" s="406">
        <f t="shared" si="656"/>
        <v>0.0113889208575093</v>
      </c>
      <c r="IH184" s="389">
        <v>1</v>
      </c>
      <c r="II184" s="390">
        <f t="shared" si="774"/>
        <v>0.0113889208575093</v>
      </c>
      <c r="IJ184" s="390">
        <f>II184*(VLOOKUP($IG$8,各项系数!$D$1:$F$143,2,0))</f>
        <v>0.284723021437734</v>
      </c>
      <c r="IK184" s="406">
        <f>(各项系数!$F$76/4*($MX184^2-$MK184^2)*$EG184)*10^-2*(VLOOKUP($IG$8,各项系数!$D$1:$F$143,3,0))*10^-3*10^2*各项系数!$J$4</f>
        <v>0.0113889208575093</v>
      </c>
      <c r="IL184" s="389">
        <f>IK184*(VLOOKUP($IG$8,各项系数!$D$1:$F$143,2,0))</f>
        <v>0.284723021437734</v>
      </c>
      <c r="IM184" s="390">
        <f>(各项系数!$F$76/4*(($MM184+3*$X184)^2-MM184^2)*$EO184)*10^-2*(VLOOKUP($IG$8,各项系数!$D$1:$F$143,3,0))*10^-3*10^2*各项系数!$J$4</f>
        <v>0</v>
      </c>
      <c r="IN184" s="389">
        <f>IM184*(VLOOKUP($IG$8,各项系数!$D$1:$F$143,2,0))</f>
        <v>0</v>
      </c>
      <c r="IO184" s="406">
        <f>各项系数!$F$76/4*($MZ184^2-$MX184^2)*10^-2*(VLOOKUP(L184,各项系数!$D$1:$F$143,3,0))*10^-3*10^2*$ES184*各项系数!$J$4</f>
        <v>0.0291154338690406</v>
      </c>
      <c r="IP184" s="389">
        <v>1</v>
      </c>
      <c r="IQ184" s="390">
        <f t="shared" si="775"/>
        <v>0.0291154338690406</v>
      </c>
      <c r="IR184" s="367">
        <f>IQ184*(VLOOKUP(L184,各项系数!$D$1:$F$143,2,0))</f>
        <v>0.334827489493967</v>
      </c>
      <c r="IS184" s="406">
        <f>IF($L184&lt;&gt;$IS$9,0,各项系数!$F$76/4*($MZ184^2-$MX184^2)*10^-2*各项系数!$F$12*10^-3*10^2)*$ES184*各项系数!$J$4</f>
        <v>0</v>
      </c>
      <c r="IT184" s="389">
        <v>1</v>
      </c>
      <c r="IU184" s="390">
        <f t="shared" si="776"/>
        <v>0</v>
      </c>
      <c r="IV184" s="367">
        <f>IU184*各项系数!$E$12</f>
        <v>0</v>
      </c>
      <c r="IW184" s="388">
        <f t="shared" si="777"/>
        <v>0.0291154338690406</v>
      </c>
      <c r="IX184" s="388">
        <f t="shared" si="778"/>
        <v>0.334827489493967</v>
      </c>
      <c r="IY184" s="447">
        <f>各项系数!$F$76/4*($NB184^2-$MZ184^2*$EG184-$NA184^2*$EO184)*10^-2</f>
        <v>0.20221329604397</v>
      </c>
      <c r="IZ184" s="366">
        <f t="shared" si="697"/>
        <v>1</v>
      </c>
      <c r="JA184" s="367">
        <f t="shared" si="606"/>
        <v>0.20221329604397</v>
      </c>
      <c r="JB184" s="364">
        <f>IF($DE184&lt;&gt;$JB$9,0,$JA184*各项系数!$F$32*10^-3*10^2)*各项系数!$J$4</f>
        <v>0</v>
      </c>
      <c r="JC184" s="123">
        <v>1</v>
      </c>
      <c r="JD184" s="251">
        <f t="shared" si="779"/>
        <v>0</v>
      </c>
      <c r="JE184" s="339">
        <f>JD184*各项系数!$E$32</f>
        <v>0</v>
      </c>
      <c r="JF184" s="364">
        <f>IF($DE184&lt;&gt;$JF$9,0,$JA184*VLOOKUP($JF$9,各项系数!$D$4:$F$540,2,0)*10^-3*10^2)*各项系数!$J$4</f>
        <v>0.100601114781875</v>
      </c>
      <c r="JG184" s="123">
        <v>1</v>
      </c>
      <c r="JH184" s="251">
        <f t="shared" si="607"/>
        <v>0.100601114781875</v>
      </c>
      <c r="JI184" s="339">
        <f>JH184*VLOOKUP($JF$9,各项系数!$D$4:$F$540,3,0)</f>
        <v>0.12072133773825</v>
      </c>
      <c r="JJ184" s="364">
        <f t="shared" si="780"/>
        <v>0.100601114781875</v>
      </c>
      <c r="JK184" s="251">
        <f t="shared" si="781"/>
        <v>0.12072133773825</v>
      </c>
      <c r="JL184" s="364">
        <f>IF($DF184&lt;&gt;$JL$9,0,各项系数!$F$76/4*($NE184^2-$NC184^2)*10^-2*各项系数!$F$39*10^-3*10^2)*各项系数!$J$4</f>
        <v>0.00102768361706843</v>
      </c>
      <c r="JM184" s="123">
        <v>1</v>
      </c>
      <c r="JN184" s="251">
        <f t="shared" si="782"/>
        <v>0.00102768361706843</v>
      </c>
      <c r="JO184" s="339">
        <f>JN184*各项系数!$E$39</f>
        <v>0.0205536723413687</v>
      </c>
      <c r="JP184" s="364">
        <f>IF($DF184&lt;&gt;$JP$9,0,各项系数!$F$76/4*($NE184^2-$NC184^2)*10^-2*各项系数!$F$36*10^-3*10^2)*各项系数!$J$4</f>
        <v>0</v>
      </c>
      <c r="JQ184" s="123">
        <v>1</v>
      </c>
      <c r="JR184" s="251">
        <f t="shared" si="783"/>
        <v>0</v>
      </c>
      <c r="JS184" s="339">
        <f>JR184*各项系数!$E$36</f>
        <v>0</v>
      </c>
      <c r="JT184" s="364">
        <f>IF($DF184&lt;&gt;$JT$9,0,各项系数!$F$76/4*($NE184^2-$NC184^2)*10^-2*各项系数!$F$40*10^-3*10^2)*各项系数!$J$4</f>
        <v>0</v>
      </c>
      <c r="JU184" s="123">
        <v>1</v>
      </c>
      <c r="JV184" s="251">
        <f t="shared" si="784"/>
        <v>0</v>
      </c>
      <c r="JW184" s="339">
        <f>JV184*各项系数!$E$40</f>
        <v>0</v>
      </c>
      <c r="JX184" s="364">
        <f>IF($DF184&lt;&gt;$JX$9,0,各项系数!$F$76/4*($NE184^2-$NC184^2)*10^-2*各项系数!$F$38*10^-3*10^2)*各项系数!$J$4</f>
        <v>0</v>
      </c>
      <c r="JY184" s="123">
        <v>1</v>
      </c>
      <c r="JZ184" s="251">
        <f t="shared" si="785"/>
        <v>0</v>
      </c>
      <c r="KA184" s="339">
        <f>JZ184*各项系数!$E$38</f>
        <v>0</v>
      </c>
      <c r="KB184" s="364">
        <f>IF($DF184&lt;&gt;$KB$9,0,各项系数!$F$76/4*($NE184^2-$NC184^2)*10^-2*各项系数!$F$41*10^-3*10^2)*各项系数!$J$4</f>
        <v>0</v>
      </c>
      <c r="KC184" s="123">
        <v>1</v>
      </c>
      <c r="KD184" s="251">
        <f t="shared" si="786"/>
        <v>0</v>
      </c>
      <c r="KE184" s="339">
        <f>KD184*各项系数!$E$41</f>
        <v>0</v>
      </c>
      <c r="KF184" s="251">
        <f t="shared" si="787"/>
        <v>0.00102768361706843</v>
      </c>
      <c r="KG184" s="251">
        <f t="shared" si="788"/>
        <v>0.0205536723413687</v>
      </c>
      <c r="KH184" s="302">
        <f>各项系数!$F$76/4*($NG184^2-$NE184^2)*10^-2*各项系数!$F$44*10^-3*10^2*各项系数!$J$4*0.75*$U184</f>
        <v>0.433504260362456</v>
      </c>
      <c r="KI184" s="123">
        <v>1</v>
      </c>
      <c r="KJ184" s="251">
        <f t="shared" si="789"/>
        <v>0.433504260362456</v>
      </c>
      <c r="KK184" s="251">
        <f>ROUND(KJ184*各项系数!$E$43,GT184)</f>
        <v>2.5</v>
      </c>
      <c r="KL184" s="302">
        <f>各项系数!$F$76/4*($NF184^2-$NE184^2)*10^-2*各项系数!$F$46*10^-3*10^2*各项系数!$J$4*PI()/4*R184</f>
        <v>0.0130357789873368</v>
      </c>
      <c r="KM184" s="123">
        <v>1</v>
      </c>
      <c r="KN184" s="251">
        <f t="shared" si="790"/>
        <v>0.0130357789873368</v>
      </c>
      <c r="KO184" s="251">
        <f>KN184*各项系数!$E$46</f>
        <v>0.879915081645233</v>
      </c>
      <c r="KP184" s="302">
        <f>各项系数!$F$76/4*($NH184^2-$NE184^2)*10^-2*(VLOOKUP($KP$9,各项系数!$D$1:$F$143,3,0))*10^-3*10^2*各项系数!$J$4</f>
        <v>0.0731032732375669</v>
      </c>
      <c r="KQ184" s="123">
        <v>1</v>
      </c>
      <c r="KR184" s="251">
        <f t="shared" si="657"/>
        <v>0.0731032732375669</v>
      </c>
      <c r="KS184" s="251">
        <f>KR184*(VLOOKUP($KP$9,各项系数!$D$1:$F$143,2,0))</f>
        <v>1.24275564503864</v>
      </c>
      <c r="KT184" s="302">
        <f>各项系数!$F$76/4*($NI184^2-$NF184^2)*10^-2*(VLOOKUP($KT$9,各项系数!$D$1:$F$143,3,0))*10^-3*10^2*各项系数!$J$4</f>
        <v>0.0741910811097989</v>
      </c>
      <c r="KU184" s="123">
        <v>1</v>
      </c>
      <c r="KV184" s="251">
        <f t="shared" si="658"/>
        <v>0.0741910811097989</v>
      </c>
      <c r="KW184" s="251">
        <f>KV184*(VLOOKUP($KT$9,各项系数!$D$1:$F$143,2,0))</f>
        <v>1.26124837886658</v>
      </c>
      <c r="KX184" s="251">
        <f>各项系数!$F$76/4*($NH184^2-$NE184^2)*10^-2*(VLOOKUP($KX$9,各项系数!$D$1:$F$143,3,0))*10^-3*10^2*各项系数!$J$4</f>
        <v>0.0731032732375669</v>
      </c>
      <c r="KY184" s="479">
        <v>1</v>
      </c>
      <c r="KZ184" s="251">
        <f t="shared" si="659"/>
        <v>0.0731032732375669</v>
      </c>
      <c r="LA184" s="251">
        <f>KZ184*(VLOOKUP($KX$9,各项系数!$D$1:$F$143,2,0))</f>
        <v>1.24275564503864</v>
      </c>
      <c r="LB184" s="251">
        <f>各项系数!$F$76/4*($NI184^2-$NF184^2)*10^-2*(VLOOKUP($LB$9,各项系数!$D$1:$F$143,3,0))*10^-3*10^2*各项系数!$J$4</f>
        <v>0.0741910811097989</v>
      </c>
      <c r="LC184" s="479">
        <v>1</v>
      </c>
      <c r="LD184" s="251">
        <f t="shared" si="660"/>
        <v>0.0741910811097989</v>
      </c>
      <c r="LE184" s="251">
        <f>LD184*(VLOOKUP($LB$9,各项系数!$D$1:$F$143,2,0))</f>
        <v>1.26124837886658</v>
      </c>
      <c r="LF184" s="302">
        <f>各项系数!$F$76/4*($NH184^2-$NE184^2)*10^-2*(VLOOKUP(AN184,各项系数!$D$1:$F$143,3,0))*10^-3*10^2*各项系数!$J$4</f>
        <v>0.0741115942477403</v>
      </c>
      <c r="LG184" s="123">
        <v>1</v>
      </c>
      <c r="LH184" s="251">
        <f t="shared" si="791"/>
        <v>0.0741115942477403</v>
      </c>
      <c r="LI184" s="251">
        <f>LH184*(VLOOKUP(AN184,各项系数!$D$1:$F$143,2,0))</f>
        <v>0.741115942477403</v>
      </c>
      <c r="LJ184" s="302">
        <f>各项系数!$F$76/4*($NI184^2-$NF184^2)*10^-2*(VLOOKUP(AN184,各项系数!$D$1:$F$143,3,0))*10^-3*10^2*各项系数!$J$4</f>
        <v>0.0752144063664858</v>
      </c>
      <c r="LK184" s="123">
        <v>1</v>
      </c>
      <c r="LL184" s="251">
        <f t="shared" si="792"/>
        <v>0.0752144063664858</v>
      </c>
      <c r="LM184" s="251">
        <f>LL184*(VLOOKUP(AN184,各项系数!$D$1:$F$143,2,0))</f>
        <v>0.752144063664858</v>
      </c>
      <c r="LN184" s="251">
        <f>各项系数!$F$76/4*($NH184^2-$NE184^2)*10^-2*(VLOOKUP($LN$9,各项系数!$D$1:$F$143,3,0))*10^-3*10^2*各项系数!$J$4</f>
        <v>0.0741115942477403</v>
      </c>
      <c r="LO184" s="479">
        <v>1</v>
      </c>
      <c r="LP184" s="251">
        <f t="shared" si="793"/>
        <v>0.0741115942477403</v>
      </c>
      <c r="LQ184" s="251">
        <f>LP184*(VLOOKUP($LN$9,各项系数!$D$1:$F$143,2,0))</f>
        <v>0.815227536725143</v>
      </c>
      <c r="LR184" s="251">
        <f>各项系数!$F$76/4*($NI184^2-$NF184^2)*10^-2*(VLOOKUP($LR$9,各项系数!$D$1:$F$143,3,0))*10^-3*10^2*各项系数!$J$4</f>
        <v>0.0752144063664858</v>
      </c>
      <c r="LS184" s="479">
        <v>1</v>
      </c>
      <c r="LT184" s="251">
        <f t="shared" si="794"/>
        <v>0.0752144063664858</v>
      </c>
      <c r="LU184" s="251">
        <f>LT184*(VLOOKUP($LR$9,各项系数!$D$1:$F$143,2,0))</f>
        <v>0.827358470031344</v>
      </c>
      <c r="LV184" s="499">
        <f t="shared" si="661"/>
        <v>9.33870964</v>
      </c>
      <c r="LW184" s="499">
        <f t="shared" si="662"/>
        <v>9.33870964</v>
      </c>
      <c r="LX184" s="499">
        <f t="shared" si="663"/>
        <v>3.44824802043697</v>
      </c>
      <c r="LY184" s="515">
        <f t="shared" si="664"/>
        <v>0</v>
      </c>
      <c r="LZ184" s="516">
        <f t="shared" si="608"/>
        <v>1</v>
      </c>
      <c r="MA184" s="517">
        <f t="shared" si="609"/>
        <v>9.33870964</v>
      </c>
      <c r="MB184" s="517">
        <f t="shared" si="665"/>
        <v>1.72412401</v>
      </c>
      <c r="MC184" s="499">
        <f t="shared" si="666"/>
        <v>0</v>
      </c>
      <c r="MD184" s="499">
        <f t="shared" si="667"/>
        <v>0</v>
      </c>
      <c r="ME184" s="499">
        <f t="shared" si="668"/>
        <v>0</v>
      </c>
      <c r="MF184" s="499">
        <f t="shared" si="669"/>
        <v>0</v>
      </c>
      <c r="MG184" s="516">
        <f t="shared" si="670"/>
        <v>1</v>
      </c>
      <c r="MH184" s="517">
        <f t="shared" si="610"/>
        <v>0</v>
      </c>
      <c r="MI184" s="517">
        <f t="shared" si="671"/>
        <v>0</v>
      </c>
      <c r="MJ184" s="251">
        <f t="shared" si="611"/>
        <v>1.72412401</v>
      </c>
      <c r="MK184" s="251">
        <f t="shared" si="672"/>
        <v>1.72412401</v>
      </c>
      <c r="ML184" s="251">
        <f t="shared" si="795"/>
        <v>0</v>
      </c>
      <c r="MM184" s="251">
        <f t="shared" si="612"/>
        <v>0</v>
      </c>
      <c r="MN184" s="251">
        <f t="shared" si="613"/>
        <v>3.12412401</v>
      </c>
      <c r="MO184" s="251">
        <f t="shared" si="673"/>
        <v>0</v>
      </c>
      <c r="MP184" s="251">
        <f t="shared" si="674"/>
        <v>7.5603801</v>
      </c>
      <c r="MQ184" s="251">
        <f t="shared" si="796"/>
        <v>7.5603801</v>
      </c>
      <c r="MR184" s="314">
        <f t="shared" si="675"/>
        <v>7.5603801</v>
      </c>
      <c r="MS184" s="530">
        <f t="shared" si="614"/>
        <v>7.7363801</v>
      </c>
      <c r="MT184" s="530">
        <f t="shared" si="615"/>
        <v>7.8963801</v>
      </c>
      <c r="MU184" s="530">
        <f t="shared" si="616"/>
        <v>8.9363801</v>
      </c>
      <c r="MV184" s="530">
        <f t="shared" si="617"/>
        <v>10.7363801</v>
      </c>
      <c r="MW184" s="530">
        <f t="shared" si="618"/>
        <v>10.8963801</v>
      </c>
      <c r="MX184" s="326">
        <f t="shared" si="619"/>
        <v>2.32412401</v>
      </c>
      <c r="MY184" s="326">
        <f t="shared" si="620"/>
        <v>0</v>
      </c>
      <c r="MZ184" s="251">
        <f t="shared" si="621"/>
        <v>3.72412401</v>
      </c>
      <c r="NA184" s="251">
        <f t="shared" si="622"/>
        <v>0</v>
      </c>
      <c r="NB184" s="251">
        <f t="shared" si="676"/>
        <v>9.0123801</v>
      </c>
      <c r="NC184" s="326">
        <f t="shared" si="797"/>
        <v>9.0123801</v>
      </c>
      <c r="ND184" s="314">
        <f t="shared" si="677"/>
        <v>9.0123801</v>
      </c>
      <c r="NE184" s="537">
        <f t="shared" si="678"/>
        <v>9.2523801</v>
      </c>
      <c r="NF184" s="530">
        <f t="shared" si="623"/>
        <v>9.4123801</v>
      </c>
      <c r="NG184" s="538">
        <f t="shared" si="624"/>
        <v>10.4523801</v>
      </c>
      <c r="NH184" s="326">
        <f t="shared" si="625"/>
        <v>12.2523801</v>
      </c>
      <c r="NI184" s="530">
        <f t="shared" si="626"/>
        <v>12.4123801</v>
      </c>
      <c r="NK184" s="539">
        <f t="shared" si="627"/>
        <v>0.188681263398924</v>
      </c>
      <c r="NL184" s="539">
        <f t="shared" si="628"/>
        <v>6.39355747320625</v>
      </c>
      <c r="NM184" s="539">
        <f t="shared" si="629"/>
        <v>0.188681263398924</v>
      </c>
      <c r="NN184" s="539">
        <f t="shared" si="630"/>
        <v>6.45721992262888</v>
      </c>
      <c r="NO184" s="539">
        <f t="shared" si="631"/>
        <v>0.298850770128845</v>
      </c>
      <c r="NP184" s="539">
        <f t="shared" si="632"/>
        <v>6.91263595398128</v>
      </c>
      <c r="NQ184" s="539">
        <f t="shared" si="633"/>
        <v>0.298850770128845</v>
      </c>
      <c r="NR184" s="539">
        <f t="shared" si="634"/>
        <v>6.98674754822902</v>
      </c>
      <c r="NS184" s="539">
        <f t="shared" si="635"/>
        <v>0.199599443152942</v>
      </c>
      <c r="NT184" s="539">
        <f t="shared" si="636"/>
        <v>0.199599443152942</v>
      </c>
      <c r="NU184" s="539">
        <f t="shared" si="637"/>
        <v>0.311886549116182</v>
      </c>
      <c r="NV184" s="539">
        <f t="shared" si="638"/>
        <v>0.311886549116182</v>
      </c>
      <c r="NW184">
        <f t="shared" si="639"/>
        <v>0.310948040653786</v>
      </c>
      <c r="NX184">
        <f>各项系数!$M$9*NK184</f>
        <v>0.0566043790196772</v>
      </c>
      <c r="NY184">
        <f t="shared" si="640"/>
        <v>0.199599443152942</v>
      </c>
    </row>
    <row r="185" customHeight="1" spans="1:389">
      <c r="A185" s="85"/>
      <c r="B185" s="86"/>
      <c r="C185" s="218"/>
      <c r="D185" s="123" t="s">
        <v>152</v>
      </c>
      <c r="E185" s="77">
        <f t="shared" si="805"/>
        <v>11.61113483</v>
      </c>
      <c r="F185" s="559">
        <f t="shared" si="820"/>
        <v>172.412400708262</v>
      </c>
      <c r="G185" s="23"/>
      <c r="H185" s="23"/>
      <c r="I185" s="174">
        <v>0</v>
      </c>
      <c r="J185" s="23"/>
      <c r="K185" s="23"/>
      <c r="L185" s="118" t="s">
        <v>469</v>
      </c>
      <c r="M185" s="124">
        <f t="shared" si="582"/>
        <v>0.7</v>
      </c>
      <c r="N185" s="124">
        <f t="shared" si="804"/>
        <v>0</v>
      </c>
      <c r="O185" s="69">
        <f t="shared" si="819"/>
        <v>0.08</v>
      </c>
      <c r="P185" s="120">
        <v>0.1</v>
      </c>
      <c r="Q185" s="162">
        <f t="shared" si="823"/>
        <v>0.1</v>
      </c>
      <c r="R185" s="560">
        <v>0.8</v>
      </c>
      <c r="S185" s="171" t="str">
        <f>各项系数!$D$43</f>
        <v>钢带</v>
      </c>
      <c r="T185" s="123">
        <v>0.2</v>
      </c>
      <c r="U185" s="78">
        <v>4</v>
      </c>
      <c r="V185" s="172"/>
      <c r="W185" s="170">
        <f t="shared" si="821"/>
        <v>1.5</v>
      </c>
      <c r="X185" s="164">
        <f t="shared" si="824"/>
        <v>0.2</v>
      </c>
      <c r="Y185" s="219"/>
      <c r="Z185" s="220"/>
      <c r="AA185" s="217">
        <v>1</v>
      </c>
      <c r="AB185" s="186">
        <f>PI()*EJ185*EJ185/4*EH185*(1-H185)*AA185*各项系数!$F$5*各项系数!$J$4*10^-7</f>
        <v>0.0206515056889029</v>
      </c>
      <c r="AC185" s="186">
        <f t="shared" si="808"/>
        <v>172.412400708262</v>
      </c>
      <c r="AD185" s="186">
        <f t="shared" si="584"/>
        <v>2.3346774015073</v>
      </c>
      <c r="AE185" s="186">
        <f>POWER(4*EU185/PI()/EG185/10^-7/EH185/(1-H185)/各项系数!$F$5/各项系数!$J$4,0.5)</f>
        <v>172.412400708262</v>
      </c>
      <c r="AF185" s="218">
        <v>1</v>
      </c>
      <c r="AG185" s="85">
        <f>IF(EM185=0,0,PI()*ER185*ER185/4*EP185*(1-K185)*(1+AF185)*各项系数!$F$5*各项系数!$J$4*10^-7)</f>
        <v>0</v>
      </c>
      <c r="AH185" s="85">
        <f t="shared" si="809"/>
        <v>0</v>
      </c>
      <c r="AI185" s="85">
        <f t="shared" si="641"/>
        <v>0</v>
      </c>
      <c r="AJ185" s="85">
        <f>IF(OR(EP185="",EP185=0),0,POWER(4*EW185/PI()/EO185/10^-7/EP185/(1-K185)/各项系数!$F$5/各项系数!$J$4,0.5))</f>
        <v>0</v>
      </c>
      <c r="AK185" s="85" t="str">
        <f t="shared" si="585"/>
        <v>√</v>
      </c>
      <c r="AL185" s="85">
        <f t="shared" si="810"/>
        <v>8.17972322211102</v>
      </c>
      <c r="AM185" s="250">
        <f t="shared" si="811"/>
        <v>2.5</v>
      </c>
      <c r="AN185" s="118" t="s">
        <v>486</v>
      </c>
      <c r="AO185" s="259">
        <f>AP185+各项系数!$M$9*$NK185</f>
        <v>8.01933649226571</v>
      </c>
      <c r="AP185" s="259">
        <f>AQ185*(1+$BI185+(VLOOKUP($AM185,$A$12:$B$323,2,0))+各项系数!$J$6+各项系数!$M$5)*(1+$E$2)</f>
        <v>7.95171540444191</v>
      </c>
      <c r="AQ185" s="260">
        <f>AR185+各项系数!$L$9*$NK185</f>
        <v>8.11399531065501</v>
      </c>
      <c r="AR185" s="260">
        <f>AS185*(1+$BJ185+各项系数!$J$5+各项系数!$L$5)</f>
        <v>8.04637422283121</v>
      </c>
      <c r="AS185" s="260">
        <f t="shared" si="642"/>
        <v>7.88860217924628</v>
      </c>
      <c r="AT185" s="259">
        <f>AU185+各项系数!$M$9*$NM185</f>
        <v>8.49087095838919</v>
      </c>
      <c r="AU185" s="259">
        <f>AV185*(1+$BI185+(VLOOKUP($AM185,$A$12:$B$323,2,0))+各项系数!$J$6+各项系数!$M$5)*(1+$E$2)</f>
        <v>8.42324987056539</v>
      </c>
      <c r="AV185" s="260">
        <f>AW185+各项系数!$L$9*$NM185</f>
        <v>8.59515292914836</v>
      </c>
      <c r="AW185" s="260">
        <f>AX185*(1+$BJ185+各项系数!$J$5+各项系数!$L$5)</f>
        <v>8.52753184132456</v>
      </c>
      <c r="AX185" s="260">
        <f t="shared" si="643"/>
        <v>8.36032533463192</v>
      </c>
      <c r="AY185" s="259">
        <f>AZ185+各项系数!$M$9*$NS185</f>
        <v>8.8566980924373</v>
      </c>
      <c r="AZ185" s="259">
        <f>BA185*(1+$BI185+(VLOOKUP($AM185,$A$12:$B$214,2,0))+各项系数!$J$6+各项系数!$M$5)*(1+$E$2)</f>
        <v>8.78543498473501</v>
      </c>
      <c r="BA185" s="260">
        <f>BB185+各项系数!$L$9*$NS185</f>
        <v>8.96472957626021</v>
      </c>
      <c r="BB185" s="260">
        <f>BC185*(1+$BJ185+各项系数!$J$5+各项系数!$L$5)</f>
        <v>8.89346646855791</v>
      </c>
      <c r="BC185" s="262">
        <f t="shared" si="644"/>
        <v>8.71908477309599</v>
      </c>
      <c r="BD185" s="259">
        <f>BE185+各项系数!$M$9*$NS185</f>
        <v>9.33569418535622</v>
      </c>
      <c r="BE185" s="259">
        <f>BF185*(1+$BI185+(VLOOKUP($AM185,$A$12:$B$214,2,0))+各项系数!$J$6+各项系数!$M$5)*(1+$E$2)</f>
        <v>9.26443107765392</v>
      </c>
      <c r="BF185" s="260">
        <f>BG185+各项系数!$L$9*$NS185</f>
        <v>9.45350109964686</v>
      </c>
      <c r="BG185" s="260">
        <f>BH185*(1+$BJ185+各项系数!$J$5+各项系数!$L$5)</f>
        <v>9.38223799194456</v>
      </c>
      <c r="BH185" s="262">
        <f t="shared" si="645"/>
        <v>9.19827254112212</v>
      </c>
      <c r="BI185" s="277"/>
      <c r="BJ185" s="272">
        <f t="shared" si="822"/>
        <v>0</v>
      </c>
      <c r="BK185" s="123" t="s">
        <v>514</v>
      </c>
      <c r="BL185" s="259">
        <f>BM185+各项系数!$M$9*$NM185</f>
        <v>8.16699165884624</v>
      </c>
      <c r="BM185" s="259">
        <f>BN185*(1+$CF185+(VLOOKUP($AM185,$A$12:$B$323,2,0))+各项系数!$J$6+各项系数!$M$5)*(1+$E$2)</f>
        <v>8.09937057102244</v>
      </c>
      <c r="BN185" s="260">
        <f>BO185+各项系数!$L$9*$NM185</f>
        <v>8.26466384798209</v>
      </c>
      <c r="BO185" s="260">
        <f>BP185*(1+$CG185+各项系数!$J$5+各项系数!$L$5)</f>
        <v>8.19704276015828</v>
      </c>
      <c r="BP185" s="260">
        <f t="shared" si="646"/>
        <v>7.95829394190125</v>
      </c>
      <c r="BQ185" s="259">
        <f>BR185+各项系数!$M$9*$NM185</f>
        <v>8.57280214666859</v>
      </c>
      <c r="BR185" s="259">
        <f>BS185*(1+$CF185+(VLOOKUP($AM185,$A$12:$B$323,2,0))+各项系数!$J$6+各项系数!$M$5)*(1+$E$2)</f>
        <v>8.50518105884479</v>
      </c>
      <c r="BS185" s="260">
        <f>BT185+各项系数!$L$9*$NM185</f>
        <v>8.67875618249468</v>
      </c>
      <c r="BT185" s="260">
        <f>BU185*(1+$CG185+各项系数!$J$5+各项系数!$L$5)</f>
        <v>8.61113509467088</v>
      </c>
      <c r="BU185" s="260">
        <f t="shared" si="647"/>
        <v>8.36032533463192</v>
      </c>
      <c r="BV185" s="259">
        <f>BW185+各项系数!$M$9*$NT185</f>
        <v>8.95186545653385</v>
      </c>
      <c r="BW185" s="259">
        <f>BX185*(1+$CF185+(VLOOKUP($AM185,$A$12:$B$214,2,0))+各项系数!$J$6+各项系数!$M$5)*(1+$E$2)</f>
        <v>8.88060234883155</v>
      </c>
      <c r="BX185" s="260">
        <f>BY185+各项系数!$L$9*$NT$12</f>
        <v>9.06183913146076</v>
      </c>
      <c r="BY185" s="260">
        <f>BZ185*(1+$CG185+各项系数!$J$5+各项系数!$L$5)</f>
        <v>9.05357572830579</v>
      </c>
      <c r="BZ185" s="262">
        <f t="shared" si="586"/>
        <v>8.7898793478697</v>
      </c>
      <c r="CA185" s="259">
        <f>CB185+各项系数!$M$9*$NT185</f>
        <v>9.36409754580284</v>
      </c>
      <c r="CB185" s="259">
        <f>CC185*(1+$CF185+(VLOOKUP($AM185,$A$12:$B$214,2,0))+各项系数!$J$6+各项系数!$M$5)*(1+$E$2)</f>
        <v>9.29283443810054</v>
      </c>
      <c r="CC185" s="260">
        <f>CD185+各项系数!$L$9*$NT$12</f>
        <v>9.48248412051076</v>
      </c>
      <c r="CD185" s="260">
        <f>CE185*(1+$CG185+各项系数!$J$5+各项系数!$L$5)</f>
        <v>9.47422071735578</v>
      </c>
      <c r="CE185" s="262">
        <f t="shared" si="648"/>
        <v>9.19827254112212</v>
      </c>
      <c r="CF185" s="277">
        <f t="shared" si="753"/>
        <v>0</v>
      </c>
      <c r="CG185" s="277">
        <f t="shared" si="587"/>
        <v>0.01</v>
      </c>
      <c r="CH185" s="123"/>
      <c r="CI185" s="259">
        <f>CJ185+各项系数!$M$9*$NO185</f>
        <v>8.80092135926045</v>
      </c>
      <c r="CJ185" s="259">
        <f>CK185*(1+$DC185+(VLOOKUP($AM185,$A$12:$B$323,2,0))+各项系数!$J$6+各项系数!$M$5)*(1+$E$2)+各项系数!$M$9*$NK185</f>
        <v>8.6927922356943</v>
      </c>
      <c r="CK185" s="260">
        <f>CL185+各项系数!$L$9*$NO185</f>
        <v>8.80119504884745</v>
      </c>
      <c r="CL185" s="260">
        <f>CM185*(1+$DD185+各项系数!$J$5+各项系数!$L$5)</f>
        <v>8.6930659252813</v>
      </c>
      <c r="CM185" s="260">
        <f t="shared" si="588"/>
        <v>8.52261365223657</v>
      </c>
      <c r="CN185" s="259">
        <f>CO185+各项系数!$M$9*$NO185</f>
        <v>9.15643127827616</v>
      </c>
      <c r="CO185" s="259">
        <f>CP185*(1+$DC185+(VLOOKUP($AM185,$A$12:$B$323,2,0))+各项系数!$J$6+各项系数!$M$5)*(1+$E$2)+各项系数!$M$9*$NK185</f>
        <v>9.04830215471002</v>
      </c>
      <c r="CP185" s="260">
        <f>CQ185+各项系数!$L$9*$NO185</f>
        <v>9.16396027233287</v>
      </c>
      <c r="CQ185" s="260">
        <f>CR185*(1+$DD185+各项系数!$J$5+各项系数!$L$5)</f>
        <v>9.05583114876672</v>
      </c>
      <c r="CR185" s="260">
        <f t="shared" si="589"/>
        <v>8.87826583212424</v>
      </c>
      <c r="CS185" s="259">
        <f>CT185+各项系数!$M$9*$NU185</f>
        <v>9.73077364462416</v>
      </c>
      <c r="CT185" s="259">
        <f t="shared" si="590"/>
        <v>9.61829682101284</v>
      </c>
      <c r="CU185" s="260">
        <f>CV185+各项系数!$L$9*$NU185</f>
        <v>9.81458859287025</v>
      </c>
      <c r="CV185" s="260">
        <f>CW185*(1+$DD185+各项系数!$J$5+各项系数!$L$5)</f>
        <v>9.70211176925893</v>
      </c>
      <c r="CW185" s="262">
        <f t="shared" si="591"/>
        <v>9.51187428358719</v>
      </c>
      <c r="CX185" s="259">
        <f>CY185+各项系数!$M$9*$NU185</f>
        <v>10.288303359565</v>
      </c>
      <c r="CY185" s="259">
        <f t="shared" si="592"/>
        <v>10.1758265359537</v>
      </c>
      <c r="CZ185" s="260">
        <f>DA185+各项系数!$L$9*$NU185</f>
        <v>10.3834964652589</v>
      </c>
      <c r="DA185" s="260">
        <f>DB185*(1+$DD185+各项系数!$J$5+各项系数!$L$5)</f>
        <v>10.2710196416475</v>
      </c>
      <c r="DB185" s="262">
        <f t="shared" si="593"/>
        <v>10.0696270996545</v>
      </c>
      <c r="DC185" s="277">
        <f t="shared" si="803"/>
        <v>0</v>
      </c>
      <c r="DD185" s="277">
        <f t="shared" si="594"/>
        <v>0</v>
      </c>
      <c r="DE185" s="69" t="s">
        <v>498</v>
      </c>
      <c r="DF185" s="69" t="s">
        <v>513</v>
      </c>
      <c r="DG185" s="259">
        <f>DH185+各项系数!$M$9*$NQ185</f>
        <v>8.96650604254305</v>
      </c>
      <c r="DH185" s="259">
        <f>DI185*(1+$EA185+(VLOOKUP($AM185,$A$12:$B$323,2,0))+各项系数!$J$6+各项系数!$M$5)*(1+$E$2)+各项系数!$M$9*$NK185</f>
        <v>8.85837691897691</v>
      </c>
      <c r="DI185" s="260">
        <f>DJ185+各项系数!$L$9*$NQ185</f>
        <v>8.97015901138072</v>
      </c>
      <c r="DJ185" s="260">
        <f>DK185*(1+$EB185+各项系数!$J$5+各项系数!$L$5)</f>
        <v>8.86202988781457</v>
      </c>
      <c r="DK185" s="260">
        <f t="shared" si="595"/>
        <v>8.60391251244133</v>
      </c>
      <c r="DL185" s="259">
        <f>DM185+各项系数!$M$9*$NQ185</f>
        <v>9.43990388559136</v>
      </c>
      <c r="DM185" s="259">
        <f>DN185*(1+$EA185+(VLOOKUP($AM185,$A$12:$B$323,2,0))+各项系数!$J$6+各项系数!$M$5)*(1+$E$2)+各项系数!$M$9*$NK185</f>
        <v>9.33177476202521</v>
      </c>
      <c r="DN185" s="260">
        <f>DO185+各项系数!$L$9*$NQ185</f>
        <v>9.4532180348994</v>
      </c>
      <c r="DO185" s="260">
        <f>DP185*(1+$EB185+各项系数!$J$5+各项系数!$L$5)</f>
        <v>9.34508891133325</v>
      </c>
      <c r="DP185" s="260">
        <f t="shared" si="596"/>
        <v>9.07290185566335</v>
      </c>
      <c r="DQ185" s="259">
        <f>DR185+各项系数!$M$9*$NV185</f>
        <v>9.90716626064666</v>
      </c>
      <c r="DR185" s="259">
        <f t="shared" si="597"/>
        <v>9.79468943703534</v>
      </c>
      <c r="DS185" s="260">
        <f>DT185+各项系数!$L$9*$NV185</f>
        <v>9.99458105819933</v>
      </c>
      <c r="DT185" s="260">
        <f>DU185*(1+$EB185+各项系数!$J$5+各项系数!$L$5)</f>
        <v>9.88210423458801</v>
      </c>
      <c r="DU185" s="262">
        <f t="shared" si="598"/>
        <v>9.59427595591069</v>
      </c>
      <c r="DV185" s="259">
        <f>DW185+各项系数!$M$9*$NV185</f>
        <v>9.96451712027261</v>
      </c>
      <c r="DW185" s="259">
        <f t="shared" si="599"/>
        <v>9.85204029666129</v>
      </c>
      <c r="DX185" s="260">
        <f>DY185+各项系数!$L$9*$NV185</f>
        <v>10.0531023435319</v>
      </c>
      <c r="DY185" s="260">
        <f>DZ185*(1+$EB185+各项系数!$J$5+各项系数!$L$5)</f>
        <v>9.94062551992061</v>
      </c>
      <c r="DZ185" s="262">
        <f t="shared" si="600"/>
        <v>9.651092737787</v>
      </c>
      <c r="EA185" s="277">
        <f t="shared" si="802"/>
        <v>0</v>
      </c>
      <c r="EB185" s="277">
        <f t="shared" si="601"/>
        <v>0.01</v>
      </c>
      <c r="EC185" s="302">
        <f t="shared" si="649"/>
        <v>5</v>
      </c>
      <c r="ED185" s="302" t="str">
        <f t="shared" si="756"/>
        <v>5*2.5</v>
      </c>
      <c r="EE185" s="251">
        <f t="shared" si="812"/>
        <v>2.5</v>
      </c>
      <c r="EF185" s="251">
        <f>LOOKUP(EH185,{1,7,10,14,19,24,30,37,48,61},{1,"1+6","2+8","4+10","1+6+12","2+8+14","4+10+16","1+6+12+18","3+9+15+21","1+6+12+18+24"})</f>
        <v>1</v>
      </c>
      <c r="EG185" s="250">
        <f t="shared" si="602"/>
        <v>5</v>
      </c>
      <c r="EH185" s="260">
        <f>VLOOKUP(EE185,各项系数!$B$87:$C$124,2,0)</f>
        <v>1</v>
      </c>
      <c r="EI185" s="250">
        <f>IF(EH185=0,0,VLOOKUP(EH185,各项系数!$D$142:$E$195,2,0))*1</f>
        <v>1</v>
      </c>
      <c r="EJ185" s="305">
        <f t="shared" si="650"/>
        <v>172.412400708262</v>
      </c>
      <c r="EK185" s="251">
        <f t="shared" si="813"/>
        <v>0</v>
      </c>
      <c r="EL185" s="251">
        <f t="shared" si="603"/>
        <v>0</v>
      </c>
      <c r="EM185" s="251">
        <f t="shared" si="814"/>
        <v>0</v>
      </c>
      <c r="EN185" s="251">
        <f>IF(EP185=0,0,LOOKUP(EP185,{1,7,10,14,19,24,30,37,48,61},{1,"1+6","2+8","4+10","1+6+12","2+8+14","4+10+16","1+6+12+18","3+9+15+21","1+6+12+18+24"}))</f>
        <v>0</v>
      </c>
      <c r="EO185" s="251">
        <f t="shared" si="815"/>
        <v>0</v>
      </c>
      <c r="EP185" s="251">
        <f>IF(EM185=0,0,IF(EM185&lt;10,1,IF(AND(EM185&gt;=10,EM185&lt;=35),7,LOOKUP(EM185,{50,70,95,120,150,185,240,300},{10,14,19,24,30,37,48,61})*1)))</f>
        <v>0</v>
      </c>
      <c r="EQ185" s="251">
        <f>IF(EP185=0,0,VLOOKUP(EP185,各项系数!$D$142:$E$195,2,0))*1</f>
        <v>0</v>
      </c>
      <c r="ER185" s="69">
        <f t="shared" si="816"/>
        <v>0</v>
      </c>
      <c r="ES185" s="566">
        <f t="shared" si="817"/>
        <v>5</v>
      </c>
      <c r="ET185" s="251">
        <f>VLOOKUP(ES185,各项系数!$D$142:$E$195,2,0)*1</f>
        <v>2.7</v>
      </c>
      <c r="EU185" s="311">
        <f>((各项系数!$F$76/4*$EJ185^2*$EG185*$EH185*1*10^-7)*(1-$H185)*AA185)*(VLOOKUP($EY$9,各项系数!$D$4:$F$143,3,0))*各项系数!$J$4</f>
        <v>0.103257528444514</v>
      </c>
      <c r="EV185" s="312">
        <f>EU185*(VLOOKUP($EY$9,各项系数!$D$4:$F$143,2,0))</f>
        <v>6.7633681131157</v>
      </c>
      <c r="EW185" s="324">
        <f>(IF($EO185=0,0,(各项系数!$F$76/4*$ER185^2*$EO185*$EP185*1*10^-7))*(1-$K185)*$AF185)*(VLOOKUP($EY$9,各项系数!$D$4:$F$143,3,0))*各项系数!$J$4</f>
        <v>0</v>
      </c>
      <c r="EX185" s="325">
        <f>EW185*(VLOOKUP($EY$9,各项系数!$D$4:$F$143,2,0))</f>
        <v>0</v>
      </c>
      <c r="EY185" s="251">
        <f>((各项系数!$F$76/4*$EJ185^2*$EG185*$EH185*1*10^-7)*(1-$H185)*AA185+IF($EO185=0,0,(各项系数!$F$76/4*$ER185^2*$EO185*$EP185*1*10^-7))*(1-$K185)*$AF185)*(VLOOKUP($EY$9,各项系数!$D$4:$F$143,3,0))*各项系数!$J$4</f>
        <v>0.103257528444514</v>
      </c>
      <c r="EZ185" s="123">
        <v>1</v>
      </c>
      <c r="FA185" s="251">
        <f t="shared" si="757"/>
        <v>0.103257528444514</v>
      </c>
      <c r="FB185" s="326">
        <f>FA185*(VLOOKUP($EY$9,各项系数!$D$4:$F$143,2,0))</f>
        <v>6.7633681131157</v>
      </c>
      <c r="FC185" s="327"/>
      <c r="FD185" s="302">
        <f>各项系数!$F$76/4*($MN185^2-MK185^2)*10^-2*(VLOOKUP(L185,各项系数!$D$1:$F$143,3,0))*10^-3*10^2*$EG185*各项系数!$J$4</f>
        <v>0.0291734987016573</v>
      </c>
      <c r="FE185" s="339">
        <f>FD185*VLOOKUP(L185,各项系数!$D$1:$F$143,2,0)</f>
        <v>0.335495235069059</v>
      </c>
      <c r="FF185" s="250">
        <f>各项系数!$F$76/4*($MO185^2-ML185^2)*10^-2*(VLOOKUP(L185,各项系数!$D$1:$F$143,3,0))*10^-3*10^2*$EO185*各项系数!$J$4</f>
        <v>0</v>
      </c>
      <c r="FG185" s="339">
        <f>FF185*VLOOKUP(L185,各项系数!$D$1:$F$143,2,0)</f>
        <v>0</v>
      </c>
      <c r="FH185" s="302">
        <f t="shared" si="651"/>
        <v>0.0291734987016573</v>
      </c>
      <c r="FI185" s="123">
        <v>1</v>
      </c>
      <c r="FJ185" s="251">
        <f t="shared" si="758"/>
        <v>0.0291734987016573</v>
      </c>
      <c r="FK185" s="339">
        <f>FJ185*VLOOKUP(L185,各项系数!$D$1:$F$143,2,0)</f>
        <v>0.335495235069059</v>
      </c>
      <c r="FL185" s="302"/>
      <c r="FM185" s="123"/>
      <c r="FN185" s="251"/>
      <c r="FO185" s="339"/>
      <c r="FP185" s="364">
        <f t="shared" si="759"/>
        <v>0.0291734987016573</v>
      </c>
      <c r="FQ185" s="364">
        <f t="shared" si="760"/>
        <v>0.335495235069059</v>
      </c>
      <c r="FR185" s="365">
        <f>各项系数!$F$76/4*($MQ185^2-$MN185^2*$EG185-$MO185^2*$EO185)*10^-2</f>
        <v>0.175542344277689</v>
      </c>
      <c r="FS185" s="366">
        <f t="shared" si="652"/>
        <v>1</v>
      </c>
      <c r="FT185" s="367">
        <f t="shared" si="604"/>
        <v>0.175542344277689</v>
      </c>
      <c r="FU185" s="388">
        <f>$FT185*(VLOOKUP($FT$9,各项系数!$D$1:$F$143,3,0))*10^-3*10^2*各项系数!$J$55</f>
        <v>0.0209597559067561</v>
      </c>
      <c r="FV185" s="389">
        <v>1</v>
      </c>
      <c r="FW185" s="390">
        <f t="shared" si="761"/>
        <v>0.0209597559067561</v>
      </c>
      <c r="FX185" s="367">
        <f>FW185*(VLOOKUP($FT$9,各项系数!$D$1:$F$143,2,0))</f>
        <v>0.0628792677202682</v>
      </c>
      <c r="FY185" s="388">
        <f>IF($BK185&lt;&gt;$FY$9,0,各项系数!$F$76/4*($MS185^2-$MQ185^2)*10^-2*(VLOOKUP($FY$9,各项系数!$D$1:$F$143,3,0))*10^-3*10^2)*各项系数!$J$4</f>
        <v>0</v>
      </c>
      <c r="FZ185" s="389">
        <v>1</v>
      </c>
      <c r="GA185" s="390">
        <f t="shared" si="762"/>
        <v>0</v>
      </c>
      <c r="GB185" s="367">
        <f>GA185*(VLOOKUP($FY$9,各项系数!$D$1:$F$143,2,0))</f>
        <v>0</v>
      </c>
      <c r="GC185" s="388">
        <f>IF($BK185&lt;&gt;$GC$9,0,各项系数!$F$76/4*($MS185^2-$MQ185^2)*10^-2*(VLOOKUP($GC$9,各项系数!$D$1:$F$143,3,0))*10^-3*10^2)*各项系数!$J$4</f>
        <v>0.00232108037144363</v>
      </c>
      <c r="GD185" s="389">
        <v>1</v>
      </c>
      <c r="GE185" s="390">
        <f t="shared" si="763"/>
        <v>0.00232108037144363</v>
      </c>
      <c r="GF185" s="367">
        <f>GE185*(VLOOKUP($GC$9,各项系数!$D$1:$F$143,2,0))</f>
        <v>0.0299419367916228</v>
      </c>
      <c r="GG185" s="388">
        <f>IF($BK185&lt;&gt;$GG$9,0,各项系数!$F$76/4*($MS185^2-$MQ185^2)*10^-2*(VLOOKUP($GG$9,各项系数!$D$1:$F$143,3,0))*10^-3*10^2)*各项系数!$J$4</f>
        <v>0</v>
      </c>
      <c r="GH185" s="389">
        <v>1</v>
      </c>
      <c r="GI185" s="390">
        <f t="shared" si="764"/>
        <v>0</v>
      </c>
      <c r="GJ185" s="367">
        <f>GI185*(VLOOKUP($GG$9,各项系数!$D$1:$F$143,2,0))</f>
        <v>0</v>
      </c>
      <c r="GK185" s="388">
        <f>IF($BK185&lt;&gt;$GK$9,0,各项系数!$F$76/4*($MS185^2-$MQ185^2)*10^-2*(VLOOKUP($GK$9,各项系数!$D$1:$F$143,3,0))*10^-3*10^2)*各项系数!$J$4</f>
        <v>0</v>
      </c>
      <c r="GL185" s="389">
        <v>1</v>
      </c>
      <c r="GM185" s="390">
        <f t="shared" si="765"/>
        <v>0</v>
      </c>
      <c r="GN185" s="367">
        <f>GM185*(VLOOKUP($GK$9,各项系数!$D$1:$F$143,2,0))</f>
        <v>0</v>
      </c>
      <c r="GO185" s="390">
        <f t="shared" si="766"/>
        <v>0.00232108037144363</v>
      </c>
      <c r="GP185" s="390">
        <f t="shared" si="767"/>
        <v>0.0299419367916228</v>
      </c>
      <c r="GQ185" s="406">
        <f>各项系数!$F$76/4*($MU185^2-$MS185^2)*10^-2*(VLOOKUP($S185,各项系数!$D$1:$F$143,3,0))*10^-3*10^2*各项系数!$J$4</f>
        <v>0.135096499561495</v>
      </c>
      <c r="GR185" s="389">
        <v>1</v>
      </c>
      <c r="GS185" s="390">
        <f t="shared" si="768"/>
        <v>0.135096499561495</v>
      </c>
      <c r="GT185" s="390">
        <f t="shared" si="696"/>
        <v>1</v>
      </c>
      <c r="GU185" s="390">
        <f>ROUND($GS185*(VLOOKUP($S185,各项系数!$D$1:$F$143,2,0))+$E$3*GS185,GT185)</f>
        <v>0.8</v>
      </c>
      <c r="GV185" s="406">
        <f>各项系数!$F$76/4*($MT185^2-$MS185^2)*10^-2*(VLOOKUP($GV$9,各项系数!$D$1:$F$143,3,0))*10^-3*10^2*各项系数!$J$4*PI()/4*R185</f>
        <v>0.012140066261663</v>
      </c>
      <c r="GW185" s="389">
        <v>1</v>
      </c>
      <c r="GX185" s="390">
        <f t="shared" si="769"/>
        <v>0.012140066261663</v>
      </c>
      <c r="GY185" s="390">
        <f>$GX185*(VLOOKUP($GV$9,各项系数!$D$1:$F$143,2,0))</f>
        <v>0.819454472662252</v>
      </c>
      <c r="GZ185" s="406">
        <f>各项系数!$F$76/4*($MV185^2-$MS185^2)*10^-2*(VLOOKUP($GZ$9,各项系数!$D$1:$F$143,3,0))*10^-3*10^2*各项系数!$J$4</f>
        <v>0.0687435754079573</v>
      </c>
      <c r="HA185" s="389">
        <v>1</v>
      </c>
      <c r="HB185" s="390">
        <f t="shared" si="653"/>
        <v>0.0687435754079573</v>
      </c>
      <c r="HC185" s="390">
        <f>HB185*(VLOOKUP($GZ$9,各项系数!$D$1:$F$143,2,0))</f>
        <v>1.16864078193527</v>
      </c>
      <c r="HD185" s="406">
        <f>各项系数!$F$76/4*($MW185^2-$MT185^2)*10^-2*(VLOOKUP($HD$9,各项系数!$D$1:$F$143,3,0))*10^-3*10^2*各项系数!$J$4</f>
        <v>0.0698313832801894</v>
      </c>
      <c r="HE185" s="389">
        <v>1</v>
      </c>
      <c r="HF185" s="390">
        <f t="shared" si="654"/>
        <v>0.0698313832801894</v>
      </c>
      <c r="HG185" s="390">
        <f>HF185*(VLOOKUP($HD$9,各项系数!$D$1:$F$143,2,0))</f>
        <v>1.18713351576322</v>
      </c>
      <c r="HH185" s="406">
        <f>各项系数!$F$76/4*($MV185^2-$MS185^2)*10^-2*(VLOOKUP($HH$9,各项系数!$D$1:$F$143,3,0))*10^-3*10^2*各项系数!$J$4</f>
        <v>0.0687435754079573</v>
      </c>
      <c r="HI185" s="420">
        <v>1</v>
      </c>
      <c r="HJ185" s="390">
        <f t="shared" si="655"/>
        <v>0.0687435754079573</v>
      </c>
      <c r="HK185" s="390">
        <f>HJ185*(VLOOKUP($HH$9,各项系数!$D$1:$F$143,2,0))</f>
        <v>1.16864078193527</v>
      </c>
      <c r="HL185" s="406">
        <f>各项系数!$F$76/4*($MW185^2-$MT185^2)*10^-2*(VLOOKUP($HL$9,各项系数!$D$1:$F$143,3,0))*10^-3*10^2*各项系数!$J$4</f>
        <v>0.0698313832801894</v>
      </c>
      <c r="HM185" s="420">
        <v>1</v>
      </c>
      <c r="HN185" s="390">
        <f t="shared" si="605"/>
        <v>0.0698313832801894</v>
      </c>
      <c r="HO185" s="390">
        <f>HN185*(VLOOKUP($HL$9,各项系数!$D$1:$F$143,2,0))</f>
        <v>1.18713351576322</v>
      </c>
      <c r="HP185" s="406">
        <f>各项系数!$F$76/4*($MV185^2-$MS185^2)*10^-2*(VLOOKUP(AN185,各项系数!$D$1:$F$143,3,0))*10^-3*10^2*各项系数!$J$4</f>
        <v>0.0696917626549637</v>
      </c>
      <c r="HQ185" s="389">
        <v>1</v>
      </c>
      <c r="HR185" s="390">
        <f t="shared" si="770"/>
        <v>0.0696917626549637</v>
      </c>
      <c r="HS185" s="390">
        <f>HR185*(VLOOKUP(AN185,各项系数!$D$1:$F$143,2,0))</f>
        <v>0.696917626549637</v>
      </c>
      <c r="HT185" s="406">
        <f>各项系数!$F$76/4*($MW185^2-$MT185^2)*10^-2*(VLOOKUP(AN185,各项系数!$D$1:$F$143,3,0))*10^-3*10^2*各项系数!$J$4</f>
        <v>0.0707945747737092</v>
      </c>
      <c r="HU185" s="389">
        <v>1</v>
      </c>
      <c r="HV185" s="390">
        <f t="shared" si="771"/>
        <v>0.0707945747737092</v>
      </c>
      <c r="HW185" s="390">
        <f>HV185*(VLOOKUP(AN185,各项系数!$D$1:$F$143,2,0))</f>
        <v>0.707945747737092</v>
      </c>
      <c r="HX185" s="406">
        <f>各项系数!$F$76/4*($MV185^2-$MS185^2)*10^-2*(VLOOKUP($HX$9,各项系数!$D$1:$F$143,3,0))*10^-3*10^2*各项系数!$J$4</f>
        <v>0.0696917626549637</v>
      </c>
      <c r="HY185" s="420">
        <v>1</v>
      </c>
      <c r="HZ185" s="390">
        <f t="shared" si="772"/>
        <v>0.0696917626549637</v>
      </c>
      <c r="IA185" s="390">
        <f>HZ185*(VLOOKUP($HX$9,各项系数!$D$1:$F$143,2,0))</f>
        <v>0.7666093892046</v>
      </c>
      <c r="IB185" s="406">
        <f>各项系数!$F$76/4*($MW185^2-$MT185^2)*10^-2*(VLOOKUP($IB$9,各项系数!$D$1:$F$143,3,0))*10^-3*10^2*各项系数!$J$4</f>
        <v>0.0707945747737092</v>
      </c>
      <c r="IC185" s="420">
        <v>1</v>
      </c>
      <c r="ID185" s="390">
        <f t="shared" si="773"/>
        <v>0.0707945747737092</v>
      </c>
      <c r="IE185" s="390">
        <f>ID185*(VLOOKUP($IB$9,各项系数!$D$1:$F$143,2,0))</f>
        <v>0.778740322510801</v>
      </c>
      <c r="IF185" s="429"/>
      <c r="IG185" s="406">
        <f t="shared" si="656"/>
        <v>0.0142361510718867</v>
      </c>
      <c r="IH185" s="389">
        <v>1</v>
      </c>
      <c r="II185" s="390">
        <f t="shared" si="774"/>
        <v>0.0142361510718867</v>
      </c>
      <c r="IJ185" s="390">
        <f>II185*(VLOOKUP($IG$8,各项系数!$D$1:$F$143,2,0))</f>
        <v>0.355903776797167</v>
      </c>
      <c r="IK185" s="406">
        <f>(各项系数!$F$76/4*($MX185^2-$MK185^2)*$EG185)*10^-2*(VLOOKUP($IG$8,各项系数!$D$1:$F$143,3,0))*10^-3*10^2*各项系数!$J$4</f>
        <v>0.0142361510718867</v>
      </c>
      <c r="IL185" s="389">
        <f>IK185*(VLOOKUP($IG$8,各项系数!$D$1:$F$143,2,0))</f>
        <v>0.355903776797167</v>
      </c>
      <c r="IM185" s="390">
        <f>(各项系数!$F$76/4*(($MM185+3*$X185)^2-MM185^2)*$EO185)*10^-2*(VLOOKUP($IG$8,各项系数!$D$1:$F$143,3,0))*10^-3*10^2*各项系数!$J$4</f>
        <v>0</v>
      </c>
      <c r="IN185" s="389">
        <f>IM185*(VLOOKUP($IG$8,各项系数!$D$1:$F$143,2,0))</f>
        <v>0</v>
      </c>
      <c r="IO185" s="406">
        <f>各项系数!$F$76/4*($MZ185^2-$MX185^2)*10^-2*(VLOOKUP(L185,各项系数!$D$1:$F$143,3,0))*10^-3*10^2*$ES185*各项系数!$J$4</f>
        <v>0.0363942923363007</v>
      </c>
      <c r="IP185" s="389">
        <v>1</v>
      </c>
      <c r="IQ185" s="390">
        <f t="shared" si="775"/>
        <v>0.0363942923363007</v>
      </c>
      <c r="IR185" s="367">
        <f>IQ185*(VLOOKUP(L185,各项系数!$D$1:$F$143,2,0))</f>
        <v>0.418534361867458</v>
      </c>
      <c r="IS185" s="406">
        <f>IF($L185&lt;&gt;$IS$9,0,各项系数!$F$76/4*($MZ185^2-$MX185^2)*10^-2*各项系数!$F$12*10^-3*10^2)*$ES185*各项系数!$J$4</f>
        <v>0</v>
      </c>
      <c r="IT185" s="389">
        <v>1</v>
      </c>
      <c r="IU185" s="390">
        <f t="shared" si="776"/>
        <v>0</v>
      </c>
      <c r="IV185" s="367">
        <f>IU185*各项系数!$E$12</f>
        <v>0</v>
      </c>
      <c r="IW185" s="388">
        <f t="shared" si="777"/>
        <v>0.0363942923363007</v>
      </c>
      <c r="IX185" s="388">
        <f t="shared" si="778"/>
        <v>0.418534361867458</v>
      </c>
      <c r="IY185" s="447">
        <f>各项系数!$F$76/4*($NB185^2-$MZ185^2*$EG185-$NA185^2*$EO185)*10^-2</f>
        <v>0.24944432782908</v>
      </c>
      <c r="IZ185" s="366">
        <f t="shared" si="697"/>
        <v>1</v>
      </c>
      <c r="JA185" s="367">
        <f t="shared" si="606"/>
        <v>0.24944432782908</v>
      </c>
      <c r="JB185" s="364">
        <f>IF($DE185&lt;&gt;$JB$9,0,$JA185*各项系数!$F$32*10^-3*10^2)*各项系数!$J$4</f>
        <v>0</v>
      </c>
      <c r="JC185" s="123">
        <v>1</v>
      </c>
      <c r="JD185" s="251">
        <f t="shared" si="779"/>
        <v>0</v>
      </c>
      <c r="JE185" s="339">
        <f>JD185*各项系数!$E$32</f>
        <v>0</v>
      </c>
      <c r="JF185" s="364">
        <f>IF($DE185&lt;&gt;$JF$9,0,$JA185*VLOOKUP($JF$9,各项系数!$D$4:$F$540,2,0)*10^-3*10^2)*各项系数!$J$4</f>
        <v>0.124098553094967</v>
      </c>
      <c r="JG185" s="123">
        <v>1</v>
      </c>
      <c r="JH185" s="251">
        <f t="shared" si="607"/>
        <v>0.124098553094967</v>
      </c>
      <c r="JI185" s="339">
        <f>JH185*VLOOKUP($JF$9,各项系数!$D$4:$F$540,3,0)</f>
        <v>0.148918263713961</v>
      </c>
      <c r="JJ185" s="364">
        <f t="shared" si="780"/>
        <v>0.124098553094967</v>
      </c>
      <c r="JK185" s="251">
        <f t="shared" si="781"/>
        <v>0.148918263713961</v>
      </c>
      <c r="JL185" s="364">
        <f>IF($DF185&lt;&gt;$JL$9,0,各项系数!$F$76/4*($NE185^2-$NC185^2)*10^-2*各项系数!$F$39*10^-3*10^2)*各项系数!$J$4</f>
        <v>0.00114502673473407</v>
      </c>
      <c r="JM185" s="123">
        <v>1</v>
      </c>
      <c r="JN185" s="251">
        <f t="shared" si="782"/>
        <v>0.00114502673473407</v>
      </c>
      <c r="JO185" s="339">
        <f>JN185*各项系数!$E$39</f>
        <v>0.0229005346946815</v>
      </c>
      <c r="JP185" s="364">
        <f>IF($DF185&lt;&gt;$JP$9,0,各项系数!$F$76/4*($NE185^2-$NC185^2)*10^-2*各项系数!$F$36*10^-3*10^2)*各项系数!$J$4</f>
        <v>0</v>
      </c>
      <c r="JQ185" s="123">
        <v>1</v>
      </c>
      <c r="JR185" s="251">
        <f t="shared" si="783"/>
        <v>0</v>
      </c>
      <c r="JS185" s="339">
        <f>JR185*各项系数!$E$36</f>
        <v>0</v>
      </c>
      <c r="JT185" s="364">
        <f>IF($DF185&lt;&gt;$JT$9,0,各项系数!$F$76/4*($NE185^2-$NC185^2)*10^-2*各项系数!$F$40*10^-3*10^2)*各项系数!$J$4</f>
        <v>0</v>
      </c>
      <c r="JU185" s="123">
        <v>1</v>
      </c>
      <c r="JV185" s="251">
        <f t="shared" si="784"/>
        <v>0</v>
      </c>
      <c r="JW185" s="339">
        <f>JV185*各项系数!$E$40</f>
        <v>0</v>
      </c>
      <c r="JX185" s="364">
        <f>IF($DF185&lt;&gt;$JX$9,0,各项系数!$F$76/4*($NE185^2-$NC185^2)*10^-2*各项系数!$F$38*10^-3*10^2)*各项系数!$J$4</f>
        <v>0</v>
      </c>
      <c r="JY185" s="123">
        <v>1</v>
      </c>
      <c r="JZ185" s="251">
        <f t="shared" si="785"/>
        <v>0</v>
      </c>
      <c r="KA185" s="339">
        <f>JZ185*各项系数!$E$38</f>
        <v>0</v>
      </c>
      <c r="KB185" s="364">
        <f>IF($DF185&lt;&gt;$KB$9,0,各项系数!$F$76/4*($NE185^2-$NC185^2)*10^-2*各项系数!$F$41*10^-3*10^2)*各项系数!$J$4</f>
        <v>0</v>
      </c>
      <c r="KC185" s="123">
        <v>1</v>
      </c>
      <c r="KD185" s="251">
        <f t="shared" si="786"/>
        <v>0</v>
      </c>
      <c r="KE185" s="339">
        <f>KD185*各项系数!$E$41</f>
        <v>0</v>
      </c>
      <c r="KF185" s="251">
        <f t="shared" si="787"/>
        <v>0.00114502673473407</v>
      </c>
      <c r="KG185" s="251">
        <f t="shared" si="788"/>
        <v>0.0229005346946815</v>
      </c>
      <c r="KH185" s="302">
        <f>各项系数!$F$76/4*($NG185^2-$NE185^2)*10^-2*各项系数!$F$44*10^-3*10^2*各项系数!$J$4*0.75*$U185</f>
        <v>0.479385419369721</v>
      </c>
      <c r="KI185" s="123">
        <v>1</v>
      </c>
      <c r="KJ185" s="251">
        <f t="shared" si="789"/>
        <v>0.479385419369721</v>
      </c>
      <c r="KK185" s="251">
        <f>ROUND(KJ185*各项系数!$E$43,GT185)</f>
        <v>2.8</v>
      </c>
      <c r="KL185" s="302">
        <f>各项系数!$F$76/4*($NF185^2-$NE185^2)*10^-2*各项系数!$F$46*10^-3*10^2*各项系数!$J$4*PI()/4*R185</f>
        <v>0.0144923334838987</v>
      </c>
      <c r="KM185" s="123">
        <v>1</v>
      </c>
      <c r="KN185" s="251">
        <f t="shared" si="790"/>
        <v>0.0144923334838987</v>
      </c>
      <c r="KO185" s="251">
        <f>KN185*各项系数!$E$46</f>
        <v>0.978232510163162</v>
      </c>
      <c r="KP185" s="302">
        <f>各项系数!$F$76/4*($NH185^2-$NE185^2)*10^-2*(VLOOKUP($KP$9,各项系数!$D$1:$F$143,3,0))*10^-3*10^2*各项系数!$J$4</f>
        <v>0.0801927532631991</v>
      </c>
      <c r="KQ185" s="123">
        <v>1</v>
      </c>
      <c r="KR185" s="251">
        <f t="shared" si="657"/>
        <v>0.0801927532631991</v>
      </c>
      <c r="KS185" s="251">
        <f>KR185*(VLOOKUP($KP$9,各项系数!$D$1:$F$143,2,0))</f>
        <v>1.36327680547438</v>
      </c>
      <c r="KT185" s="302">
        <f>各项系数!$F$76/4*($NI185^2-$NF185^2)*10^-2*(VLOOKUP($KT$9,各项系数!$D$1:$F$143,3,0))*10^-3*10^2*各项系数!$J$4</f>
        <v>0.0812805611354312</v>
      </c>
      <c r="KU185" s="123">
        <v>1</v>
      </c>
      <c r="KV185" s="251">
        <f t="shared" si="658"/>
        <v>0.0812805611354312</v>
      </c>
      <c r="KW185" s="251">
        <f>KV185*(VLOOKUP($KT$9,各项系数!$D$1:$F$143,2,0))</f>
        <v>1.38176953930233</v>
      </c>
      <c r="KX185" s="251">
        <f>各项系数!$F$76/4*($NH185^2-$NE185^2)*10^-2*(VLOOKUP($KX$9,各项系数!$D$1:$F$143,3,0))*10^-3*10^2*各项系数!$J$4</f>
        <v>0.0801927532631991</v>
      </c>
      <c r="KY185" s="479">
        <v>1</v>
      </c>
      <c r="KZ185" s="251">
        <f t="shared" si="659"/>
        <v>0.0801927532631991</v>
      </c>
      <c r="LA185" s="251">
        <f>KZ185*(VLOOKUP($KX$9,各项系数!$D$1:$F$143,2,0))</f>
        <v>1.36327680547438</v>
      </c>
      <c r="LB185" s="251">
        <f>各项系数!$F$76/4*($NI185^2-$NF185^2)*10^-2*(VLOOKUP($LB$9,各项系数!$D$1:$F$143,3,0))*10^-3*10^2*各项系数!$J$4</f>
        <v>0.0812805611354312</v>
      </c>
      <c r="LC185" s="479">
        <v>1</v>
      </c>
      <c r="LD185" s="251">
        <f t="shared" si="660"/>
        <v>0.0812805611354312</v>
      </c>
      <c r="LE185" s="251">
        <f>LD185*(VLOOKUP($LB$9,各项系数!$D$1:$F$143,2,0))</f>
        <v>1.38176953930233</v>
      </c>
      <c r="LF185" s="302">
        <f>各项系数!$F$76/4*($NH185^2-$NE185^2)*10^-2*(VLOOKUP(AN185,各项系数!$D$1:$F$143,3,0))*10^-3*10^2*各项系数!$J$4</f>
        <v>0.0812988602047605</v>
      </c>
      <c r="LG185" s="123">
        <v>1</v>
      </c>
      <c r="LH185" s="251">
        <f t="shared" si="791"/>
        <v>0.0812988602047605</v>
      </c>
      <c r="LI185" s="251">
        <f>LH185*(VLOOKUP(AN185,各项系数!$D$1:$F$143,2,0))</f>
        <v>0.812988602047605</v>
      </c>
      <c r="LJ185" s="302">
        <f>各项系数!$F$76/4*($NI185^2-$NF185^2)*10^-2*(VLOOKUP(AN185,各项系数!$D$1:$F$143,3,0))*10^-3*10^2*各项系数!$J$4</f>
        <v>0.0824016723235061</v>
      </c>
      <c r="LK185" s="123">
        <v>1</v>
      </c>
      <c r="LL185" s="251">
        <f t="shared" si="792"/>
        <v>0.0824016723235061</v>
      </c>
      <c r="LM185" s="251">
        <f>LL185*(VLOOKUP(AN185,各项系数!$D$1:$F$143,2,0))</f>
        <v>0.82401672323506</v>
      </c>
      <c r="LN185" s="251">
        <f>各项系数!$F$76/4*($NH185^2-$NE185^2)*10^-2*(VLOOKUP($LN$9,各项系数!$D$1:$F$143,3,0))*10^-3*10^2*各项系数!$J$4</f>
        <v>0.0812988602047605</v>
      </c>
      <c r="LO185" s="479">
        <v>1</v>
      </c>
      <c r="LP185" s="251">
        <f t="shared" si="793"/>
        <v>0.0812988602047605</v>
      </c>
      <c r="LQ185" s="251">
        <f>LP185*(VLOOKUP($LN$9,各项系数!$D$1:$F$143,2,0))</f>
        <v>0.894287462252365</v>
      </c>
      <c r="LR185" s="251">
        <f>各项系数!$F$76/4*($NI185^2-$NF185^2)*10^-2*(VLOOKUP($LR$9,各项系数!$D$1:$F$143,3,0))*10^-3*10^2*各项系数!$J$4</f>
        <v>0.0824016723235061</v>
      </c>
      <c r="LS185" s="479">
        <v>1</v>
      </c>
      <c r="LT185" s="251">
        <f t="shared" si="794"/>
        <v>0.0824016723235061</v>
      </c>
      <c r="LU185" s="251">
        <f>LT185*(VLOOKUP($LR$9,各项系数!$D$1:$F$143,2,0))</f>
        <v>0.906418395558567</v>
      </c>
      <c r="LV185" s="499">
        <f t="shared" si="661"/>
        <v>11.67338705</v>
      </c>
      <c r="LW185" s="499">
        <f t="shared" si="662"/>
        <v>11.67338705</v>
      </c>
      <c r="LX185" s="499">
        <f t="shared" si="663"/>
        <v>3.85525848848807</v>
      </c>
      <c r="LY185" s="515">
        <f t="shared" si="664"/>
        <v>0</v>
      </c>
      <c r="LZ185" s="516">
        <f t="shared" si="608"/>
        <v>1</v>
      </c>
      <c r="MA185" s="517">
        <f t="shared" si="609"/>
        <v>11.67338705</v>
      </c>
      <c r="MB185" s="517">
        <f t="shared" si="665"/>
        <v>1.72412401</v>
      </c>
      <c r="MC185" s="499">
        <f t="shared" si="666"/>
        <v>0</v>
      </c>
      <c r="MD185" s="499">
        <f t="shared" si="667"/>
        <v>0</v>
      </c>
      <c r="ME185" s="499">
        <f t="shared" si="668"/>
        <v>0</v>
      </c>
      <c r="MF185" s="499">
        <f t="shared" si="669"/>
        <v>0</v>
      </c>
      <c r="MG185" s="516">
        <f t="shared" si="670"/>
        <v>1</v>
      </c>
      <c r="MH185" s="517">
        <f t="shared" si="610"/>
        <v>0</v>
      </c>
      <c r="MI185" s="517">
        <f t="shared" si="671"/>
        <v>0</v>
      </c>
      <c r="MJ185" s="251">
        <f t="shared" si="611"/>
        <v>1.72412401</v>
      </c>
      <c r="MK185" s="251">
        <f t="shared" si="672"/>
        <v>1.72412401</v>
      </c>
      <c r="ML185" s="251">
        <f t="shared" si="795"/>
        <v>0</v>
      </c>
      <c r="MM185" s="251">
        <f t="shared" si="612"/>
        <v>0</v>
      </c>
      <c r="MN185" s="251">
        <f t="shared" si="613"/>
        <v>3.12412401</v>
      </c>
      <c r="MO185" s="251">
        <f t="shared" si="673"/>
        <v>0</v>
      </c>
      <c r="MP185" s="251">
        <f t="shared" si="674"/>
        <v>8.43513483</v>
      </c>
      <c r="MQ185" s="251">
        <f t="shared" si="796"/>
        <v>8.43513483</v>
      </c>
      <c r="MR185" s="314">
        <f t="shared" si="675"/>
        <v>8.43513483</v>
      </c>
      <c r="MS185" s="530">
        <f t="shared" si="614"/>
        <v>8.61113483</v>
      </c>
      <c r="MT185" s="530">
        <f t="shared" si="615"/>
        <v>8.77113483</v>
      </c>
      <c r="MU185" s="530">
        <f t="shared" si="616"/>
        <v>9.81113483</v>
      </c>
      <c r="MV185" s="530">
        <f t="shared" si="617"/>
        <v>11.61113483</v>
      </c>
      <c r="MW185" s="530">
        <f t="shared" si="618"/>
        <v>11.77113483</v>
      </c>
      <c r="MX185" s="326">
        <f t="shared" si="619"/>
        <v>2.32412401</v>
      </c>
      <c r="MY185" s="326">
        <f t="shared" si="620"/>
        <v>0</v>
      </c>
      <c r="MZ185" s="251">
        <f t="shared" si="621"/>
        <v>3.72412401</v>
      </c>
      <c r="NA185" s="251">
        <f t="shared" si="622"/>
        <v>0</v>
      </c>
      <c r="NB185" s="251">
        <f t="shared" si="676"/>
        <v>10.05513483</v>
      </c>
      <c r="NC185" s="326">
        <f t="shared" si="797"/>
        <v>10.05513483</v>
      </c>
      <c r="ND185" s="314">
        <f t="shared" si="677"/>
        <v>10.05513483</v>
      </c>
      <c r="NE185" s="537">
        <f t="shared" si="678"/>
        <v>10.29513483</v>
      </c>
      <c r="NF185" s="530">
        <f t="shared" si="623"/>
        <v>10.45513483</v>
      </c>
      <c r="NG185" s="538">
        <f t="shared" si="624"/>
        <v>11.49513483</v>
      </c>
      <c r="NH185" s="326">
        <f t="shared" si="625"/>
        <v>13.29513483</v>
      </c>
      <c r="NI185" s="530">
        <f t="shared" si="626"/>
        <v>13.45513483</v>
      </c>
      <c r="NK185" s="539">
        <f t="shared" si="627"/>
        <v>0.225403626079335</v>
      </c>
      <c r="NL185" s="539">
        <f t="shared" si="628"/>
        <v>7.88860217924628</v>
      </c>
      <c r="NM185" s="539">
        <f t="shared" si="629"/>
        <v>0.225403626079335</v>
      </c>
      <c r="NN185" s="539">
        <f t="shared" si="630"/>
        <v>7.95829394190125</v>
      </c>
      <c r="NO185" s="539">
        <f t="shared" si="631"/>
        <v>0.360430411887164</v>
      </c>
      <c r="NP185" s="539">
        <f t="shared" si="632"/>
        <v>8.52261365223657</v>
      </c>
      <c r="NQ185" s="539">
        <f t="shared" si="633"/>
        <v>0.360430411887164</v>
      </c>
      <c r="NR185" s="539">
        <f t="shared" si="634"/>
        <v>8.60391251244133</v>
      </c>
      <c r="NS185" s="539">
        <f t="shared" si="635"/>
        <v>0.237543692340998</v>
      </c>
      <c r="NT185" s="539">
        <f t="shared" si="636"/>
        <v>0.237543692340998</v>
      </c>
      <c r="NU185" s="539">
        <f t="shared" si="637"/>
        <v>0.374922745371063</v>
      </c>
      <c r="NV185" s="539">
        <f t="shared" si="638"/>
        <v>0.374922745371063</v>
      </c>
      <c r="NW185">
        <f t="shared" si="639"/>
        <v>0.360500125640831</v>
      </c>
      <c r="NX185">
        <f>各项系数!$M$9*NK185</f>
        <v>0.0676210878238005</v>
      </c>
      <c r="NY185">
        <f t="shared" si="640"/>
        <v>0.237543692340998</v>
      </c>
    </row>
    <row r="186" customHeight="1" spans="1:389">
      <c r="A186" s="85"/>
      <c r="B186" s="86"/>
      <c r="C186" s="218"/>
      <c r="D186" s="123" t="s">
        <v>182</v>
      </c>
      <c r="E186" s="77">
        <f t="shared" si="805"/>
        <v>13.14837203</v>
      </c>
      <c r="F186" s="559">
        <f t="shared" si="820"/>
        <v>172.412400708262</v>
      </c>
      <c r="G186" s="23"/>
      <c r="H186" s="23"/>
      <c r="I186" s="174">
        <v>0</v>
      </c>
      <c r="J186" s="23"/>
      <c r="K186" s="23"/>
      <c r="L186" s="118" t="s">
        <v>469</v>
      </c>
      <c r="M186" s="124">
        <f t="shared" si="582"/>
        <v>0.7</v>
      </c>
      <c r="N186" s="124">
        <f t="shared" si="804"/>
        <v>0</v>
      </c>
      <c r="O186" s="69">
        <f t="shared" si="819"/>
        <v>0.08</v>
      </c>
      <c r="P186" s="120">
        <v>0.1</v>
      </c>
      <c r="Q186" s="162">
        <f t="shared" si="823"/>
        <v>0.1</v>
      </c>
      <c r="R186" s="560">
        <v>0.8</v>
      </c>
      <c r="S186" s="171" t="str">
        <f>各项系数!$D$43</f>
        <v>钢带</v>
      </c>
      <c r="T186" s="123">
        <v>0.2</v>
      </c>
      <c r="U186" s="78">
        <v>4</v>
      </c>
      <c r="V186" s="172"/>
      <c r="W186" s="561">
        <v>1.8</v>
      </c>
      <c r="X186" s="164">
        <f t="shared" si="824"/>
        <v>0.2</v>
      </c>
      <c r="Y186" s="219"/>
      <c r="Z186" s="220"/>
      <c r="AA186" s="217">
        <v>1</v>
      </c>
      <c r="AB186" s="186">
        <f>PI()*EJ186*EJ186/4*EH186*(1-H186)*AA186*各项系数!$F$5*各项系数!$J$4*10^-7</f>
        <v>0.0206515056889029</v>
      </c>
      <c r="AC186" s="186">
        <f t="shared" si="808"/>
        <v>172.412400708262</v>
      </c>
      <c r="AD186" s="186">
        <f t="shared" si="584"/>
        <v>2.3346774015073</v>
      </c>
      <c r="AE186" s="186">
        <f>POWER(4*EU186/PI()/EG186/10^-7/EH186/(1-H186)/各项系数!$F$5/各项系数!$J$4,0.5)</f>
        <v>172.412400708262</v>
      </c>
      <c r="AF186" s="218">
        <v>1</v>
      </c>
      <c r="AG186" s="85">
        <f>IF(EM186=0,0,PI()*ER186*ER186/4*EP186*(1-K186)*(1+AF186)*各项系数!$F$5*各项系数!$J$4*10^-7)</f>
        <v>0</v>
      </c>
      <c r="AH186" s="85">
        <f t="shared" si="809"/>
        <v>0</v>
      </c>
      <c r="AI186" s="85">
        <f t="shared" si="641"/>
        <v>0</v>
      </c>
      <c r="AJ186" s="85">
        <f>IF(OR(EP186="",EP186=0),0,POWER(4*EW186/PI()/EO186/10^-7/EP186/(1-K186)/各项系数!$F$5/各项系数!$J$4,0.5))</f>
        <v>0</v>
      </c>
      <c r="AK186" s="85" t="str">
        <f t="shared" si="585"/>
        <v>√</v>
      </c>
      <c r="AL186" s="85">
        <f t="shared" si="810"/>
        <v>9.93178313766575</v>
      </c>
      <c r="AM186" s="250">
        <f t="shared" si="811"/>
        <v>2.5</v>
      </c>
      <c r="AN186" s="118" t="s">
        <v>486</v>
      </c>
      <c r="AO186" s="259">
        <f>AP186+各项系数!$M$9*$NK186</f>
        <v>9.73704229182916</v>
      </c>
      <c r="AP186" s="259">
        <f>AQ186*(1+$BI186+(VLOOKUP($AM186,$A$12:$B$323,2,0))+各项系数!$J$6+各项系数!$M$5)*(1+$E$2)</f>
        <v>9.65219774383498</v>
      </c>
      <c r="AQ186" s="260">
        <f>AR186+各项系数!$L$9*$NK186</f>
        <v>9.84918137126018</v>
      </c>
      <c r="AR186" s="260">
        <f>AS186*(1+$BJ186+各项系数!$J$5+各项系数!$L$5)</f>
        <v>9.764336823266</v>
      </c>
      <c r="AS186" s="260">
        <f t="shared" si="642"/>
        <v>9.57287923849608</v>
      </c>
      <c r="AT186" s="259">
        <f>AU186+各项系数!$M$9*$NM186</f>
        <v>10.372122168006</v>
      </c>
      <c r="AU186" s="259">
        <f>AV186*(1+$BI186+(VLOOKUP($AM186,$A$12:$B$323,2,0))+各项系数!$J$6+各项系数!$M$5)*(1+$E$2)</f>
        <v>10.2872776200119</v>
      </c>
      <c r="AV186" s="260">
        <f>AW186+各项系数!$L$9*$NM186</f>
        <v>10.4972220612366</v>
      </c>
      <c r="AW186" s="260">
        <f>AX186*(1+$BJ186+各项系数!$J$5+各项系数!$L$5)</f>
        <v>10.4123775132424</v>
      </c>
      <c r="AX186" s="260">
        <f t="shared" si="643"/>
        <v>10.2082132482769</v>
      </c>
      <c r="AY186" s="259">
        <f>AZ186+各项系数!$M$9*$NS186</f>
        <v>10.6657195068083</v>
      </c>
      <c r="AZ186" s="259">
        <f>BA186*(1+$BI186+(VLOOKUP($AM186,$A$12:$B$214,2,0))+各项系数!$J$6+各项系数!$M$5)*(1+$E$2)</f>
        <v>10.5768401897055</v>
      </c>
      <c r="BA186" s="260">
        <f>BB186+各项系数!$L$9*$NS186</f>
        <v>10.7926940711281</v>
      </c>
      <c r="BB186" s="260">
        <f>BC186*(1+$BJ186+各项系数!$J$5+各项系数!$L$5)</f>
        <v>10.7038147540253</v>
      </c>
      <c r="BC186" s="262">
        <f t="shared" si="644"/>
        <v>10.4939360333581</v>
      </c>
      <c r="BD186" s="259">
        <f>BE186+各项系数!$M$9*$NS186</f>
        <v>11.3097533351397</v>
      </c>
      <c r="BE186" s="259">
        <f>BF186*(1+$BI186+(VLOOKUP($AM186,$A$12:$B$214,2,0))+各项系数!$J$6+各项系数!$M$5)*(1+$E$2)</f>
        <v>11.2208740180369</v>
      </c>
      <c r="BF186" s="260">
        <f>BG186+各项系数!$L$9*$NS186</f>
        <v>11.4498714469764</v>
      </c>
      <c r="BG186" s="260">
        <f>BH186*(1+$BJ186+各项系数!$J$5+各项系数!$L$5)</f>
        <v>11.3609921298737</v>
      </c>
      <c r="BH186" s="262">
        <f t="shared" si="645"/>
        <v>11.1382275783075</v>
      </c>
      <c r="BI186" s="277"/>
      <c r="BJ186" s="272">
        <f t="shared" si="822"/>
        <v>0</v>
      </c>
      <c r="BK186" s="123" t="s">
        <v>514</v>
      </c>
      <c r="BL186" s="259">
        <f>BM186+各项系数!$M$9*$NM186</f>
        <v>9.92560224100209</v>
      </c>
      <c r="BM186" s="259">
        <f>BN186*(1+$CF186+(VLOOKUP($AM186,$A$12:$B$323,2,0))+各项系数!$J$6+各项系数!$M$5)*(1+$E$2)</f>
        <v>9.84075769300791</v>
      </c>
      <c r="BN186" s="260">
        <f>BO186+各项系数!$L$9*$NM186</f>
        <v>10.0415894826611</v>
      </c>
      <c r="BO186" s="260">
        <f>BP186*(1+$CG186+各项系数!$J$5+各项系数!$L$5)</f>
        <v>9.95674493466695</v>
      </c>
      <c r="BP186" s="260">
        <f t="shared" si="646"/>
        <v>9.66674265501645</v>
      </c>
      <c r="BQ186" s="259">
        <f>BR186+各项系数!$M$9*$NM186</f>
        <v>10.4721626578391</v>
      </c>
      <c r="BR186" s="259">
        <f>BS186*(1+$CF186+(VLOOKUP($AM186,$A$12:$B$323,2,0))+各项系数!$J$6+各项系数!$M$5)*(1+$E$2)</f>
        <v>10.387318109845</v>
      </c>
      <c r="BS186" s="260">
        <f>BT186+各项系数!$L$9*$NM186</f>
        <v>10.5993041937194</v>
      </c>
      <c r="BT186" s="260">
        <f>BU186*(1+$CG186+各项系数!$J$5+各项系数!$L$5)</f>
        <v>10.5144596457252</v>
      </c>
      <c r="BU186" s="260">
        <f t="shared" si="647"/>
        <v>10.2082132482769</v>
      </c>
      <c r="BV186" s="259">
        <f>BW186+各项系数!$M$9*$NT186</f>
        <v>10.7856380311652</v>
      </c>
      <c r="BW186" s="259">
        <f>BX186*(1+$CF186+(VLOOKUP($AM186,$A$12:$B$214,2,0))+各项系数!$J$6+各项系数!$M$5)*(1+$E$2)</f>
        <v>10.6967587140624</v>
      </c>
      <c r="BX186" s="260">
        <f>BY186+各项系数!$L$9*$NT$12</f>
        <v>10.9150599123086</v>
      </c>
      <c r="BY186" s="260">
        <f>BZ186*(1+$CG186+各项系数!$J$5+各项系数!$L$5)</f>
        <v>10.9067965091536</v>
      </c>
      <c r="BZ186" s="262">
        <f t="shared" si="586"/>
        <v>10.589122824421</v>
      </c>
      <c r="CA186" s="259">
        <f>CB186+各项系数!$M$9*$NT186</f>
        <v>11.3399043697383</v>
      </c>
      <c r="CB186" s="259">
        <f>CC186*(1+$CF186+(VLOOKUP($AM186,$A$12:$B$214,2,0))+各项系数!$J$6+各项系数!$M$5)*(1+$E$2)</f>
        <v>11.2510250526355</v>
      </c>
      <c r="CC186" s="260">
        <f>CD186+各项系数!$L$9*$NT$12</f>
        <v>11.4806378088117</v>
      </c>
      <c r="CD186" s="260">
        <f>CE186*(1+$CG186+各项系数!$J$5+各项系数!$L$5)</f>
        <v>11.4723744056567</v>
      </c>
      <c r="CE186" s="262">
        <f t="shared" si="648"/>
        <v>11.1382275783075</v>
      </c>
      <c r="CF186" s="277">
        <f t="shared" si="753"/>
        <v>0</v>
      </c>
      <c r="CG186" s="277">
        <f t="shared" si="587"/>
        <v>0.01</v>
      </c>
      <c r="CH186" s="123"/>
      <c r="CI186" s="259">
        <f>CJ186+各项系数!$M$9*$NO186</f>
        <v>10.711308529167</v>
      </c>
      <c r="CJ186" s="259">
        <f>CK186*(1+$DC186+(VLOOKUP($AM186,$A$12:$B$323,2,0))+各项系数!$J$6+各项系数!$M$5)*(1+$E$2)+各项系数!$M$9*$NK186</f>
        <v>10.5739710578483</v>
      </c>
      <c r="CK186" s="260">
        <f>CL186+各项系数!$L$9*$NO186</f>
        <v>10.7031903161776</v>
      </c>
      <c r="CL186" s="260">
        <f>CM186*(1+$DD186+各项系数!$J$5+各项系数!$L$5)</f>
        <v>10.5658528448589</v>
      </c>
      <c r="CM186" s="260">
        <f t="shared" si="588"/>
        <v>10.3586792596656</v>
      </c>
      <c r="CN186" s="259">
        <f>CO186+各项系数!$M$9*$NO186</f>
        <v>11.1922769403969</v>
      </c>
      <c r="CO186" s="259">
        <f>CP186*(1+$DC186+(VLOOKUP($AM186,$A$12:$B$323,2,0))+各项系数!$J$6+各项系数!$M$5)*(1+$E$2)+各项系数!$M$9*$NK186</f>
        <v>11.0549394690782</v>
      </c>
      <c r="CP186" s="260">
        <f>CQ186+各项系数!$L$9*$NO186</f>
        <v>11.1939744092694</v>
      </c>
      <c r="CQ186" s="260">
        <f>CR186*(1+$DD186+各项系数!$J$5+各项系数!$L$5)</f>
        <v>11.0566369379506</v>
      </c>
      <c r="CR186" s="260">
        <f t="shared" si="589"/>
        <v>10.8398401352457</v>
      </c>
      <c r="CS186" s="259">
        <f>CT186+各项系数!$M$9*$NU186</f>
        <v>11.7323670541696</v>
      </c>
      <c r="CT186" s="259">
        <f t="shared" si="590"/>
        <v>11.5902137045791</v>
      </c>
      <c r="CU186" s="260">
        <f>CV186+各项系数!$L$9*$NU186</f>
        <v>11.826748678142</v>
      </c>
      <c r="CV186" s="260">
        <f>CW186*(1+$DD186+各项系数!$J$5+各项系数!$L$5)</f>
        <v>11.6845953285515</v>
      </c>
      <c r="CW186" s="262">
        <f t="shared" si="591"/>
        <v>11.4554856162269</v>
      </c>
      <c r="CX186" s="259">
        <f>CY186+各项系数!$M$9*$NU186</f>
        <v>12.4807144251011</v>
      </c>
      <c r="CY186" s="259">
        <f t="shared" si="592"/>
        <v>12.3385610755107</v>
      </c>
      <c r="CZ186" s="260">
        <f>DA186+各项系数!$L$9*$NU186</f>
        <v>12.5903684443986</v>
      </c>
      <c r="DA186" s="260">
        <f>DB186*(1+$DD186+各项系数!$J$5+各项系数!$L$5)</f>
        <v>12.4482150948082</v>
      </c>
      <c r="DB186" s="262">
        <f t="shared" si="593"/>
        <v>12.2041324458904</v>
      </c>
      <c r="DC186" s="277">
        <f t="shared" si="803"/>
        <v>0</v>
      </c>
      <c r="DD186" s="277">
        <f t="shared" si="594"/>
        <v>0</v>
      </c>
      <c r="DE186" s="69" t="s">
        <v>498</v>
      </c>
      <c r="DF186" s="69" t="s">
        <v>513</v>
      </c>
      <c r="DG186" s="259">
        <f>DH186+各项系数!$M$9*$NQ186</f>
        <v>10.9231315547136</v>
      </c>
      <c r="DH186" s="259">
        <f>DI186*(1+$EA186+(VLOOKUP($AM186,$A$12:$B$323,2,0))+各项系数!$J$6+各项系数!$M$5)*(1+$E$2)+各项系数!$M$9*$NK186</f>
        <v>10.7857940833949</v>
      </c>
      <c r="DI186" s="260">
        <f>DJ186+各项系数!$L$9*$NQ186</f>
        <v>10.9193362606129</v>
      </c>
      <c r="DJ186" s="260">
        <f>DK186*(1+$EB186+各项系数!$J$5+各项系数!$L$5)</f>
        <v>10.7819987892942</v>
      </c>
      <c r="DK186" s="260">
        <f t="shared" si="595"/>
        <v>10.467959989606</v>
      </c>
      <c r="DL186" s="259">
        <f>DM186+各项系数!$M$9*$NQ186</f>
        <v>11.5594659597748</v>
      </c>
      <c r="DM186" s="259">
        <f>DN186*(1+$EA186+(VLOOKUP($AM186,$A$12:$B$323,2,0))+各项系数!$J$6+各项系数!$M$5)*(1+$E$2)+各项系数!$M$9*$NK186</f>
        <v>11.422128488456</v>
      </c>
      <c r="DN186" s="260">
        <f>DO186+各项系数!$L$9*$NQ186</f>
        <v>11.5686570821039</v>
      </c>
      <c r="DO186" s="260">
        <f>DP186*(1+$EB186+各项系数!$J$5+各项系数!$L$5)</f>
        <v>11.4313196107852</v>
      </c>
      <c r="DP186" s="260">
        <f t="shared" si="596"/>
        <v>11.0983685541604</v>
      </c>
      <c r="DQ186" s="259">
        <f>DR186+各项系数!$M$9*$NV186</f>
        <v>11.9562745962737</v>
      </c>
      <c r="DR186" s="259">
        <f t="shared" si="597"/>
        <v>11.8141212466832</v>
      </c>
      <c r="DS186" s="260">
        <f>DT186+各项系数!$L$9*$NV186</f>
        <v>12.0552257619217</v>
      </c>
      <c r="DT186" s="260">
        <f>DU186*(1+$EB186+各项系数!$J$5+各项系数!$L$5)</f>
        <v>11.9130724123312</v>
      </c>
      <c r="DU186" s="262">
        <f t="shared" si="598"/>
        <v>11.5660897207099</v>
      </c>
      <c r="DV186" s="259">
        <f>DW186+各项系数!$M$9*$NV186</f>
        <v>12.093352621228</v>
      </c>
      <c r="DW186" s="259">
        <f t="shared" si="599"/>
        <v>11.9511992716376</v>
      </c>
      <c r="DX186" s="260">
        <f>DY186+各项系数!$L$9*$NV186</f>
        <v>12.1951012975894</v>
      </c>
      <c r="DY186" s="260">
        <f>DZ186*(1+$EB186+各项系数!$J$5+各项系数!$L$5)</f>
        <v>12.0529479479989</v>
      </c>
      <c r="DZ186" s="262">
        <f t="shared" si="600"/>
        <v>11.7018912116494</v>
      </c>
      <c r="EA186" s="277">
        <f t="shared" si="802"/>
        <v>0</v>
      </c>
      <c r="EB186" s="277">
        <f t="shared" si="601"/>
        <v>0.01</v>
      </c>
      <c r="EC186" s="302">
        <f t="shared" si="649"/>
        <v>6</v>
      </c>
      <c r="ED186" s="302" t="str">
        <f t="shared" si="756"/>
        <v>6*2.5</v>
      </c>
      <c r="EE186" s="251">
        <f t="shared" si="812"/>
        <v>2.5</v>
      </c>
      <c r="EF186" s="251">
        <f>LOOKUP(EH186,{1,7,10,14,19,24,30,37,48,61},{1,"1+6","2+8","4+10","1+6+12","2+8+14","4+10+16","1+6+12+18","3+9+15+21","1+6+12+18+24"})</f>
        <v>1</v>
      </c>
      <c r="EG186" s="250">
        <f t="shared" si="602"/>
        <v>6</v>
      </c>
      <c r="EH186" s="260">
        <f>VLOOKUP(EE186,各项系数!$B$87:$C$124,2,0)</f>
        <v>1</v>
      </c>
      <c r="EI186" s="250">
        <f>IF(EH186=0,0,VLOOKUP(EH186,各项系数!$D$142:$E$195,2,0))*1</f>
        <v>1</v>
      </c>
      <c r="EJ186" s="305">
        <f t="shared" si="650"/>
        <v>172.412400708262</v>
      </c>
      <c r="EK186" s="251">
        <f t="shared" si="813"/>
        <v>0</v>
      </c>
      <c r="EL186" s="251">
        <f t="shared" si="603"/>
        <v>0</v>
      </c>
      <c r="EM186" s="251">
        <f t="shared" si="814"/>
        <v>0</v>
      </c>
      <c r="EN186" s="251">
        <f>IF(EP186=0,0,LOOKUP(EP186,{1,7,10,14,19,24,30,37,48,61},{1,"1+6","2+8","4+10","1+6+12","2+8+14","4+10+16","1+6+12+18","3+9+15+21","1+6+12+18+24"}))</f>
        <v>0</v>
      </c>
      <c r="EO186" s="251">
        <f t="shared" si="815"/>
        <v>0</v>
      </c>
      <c r="EP186" s="251">
        <f>IF(EM186=0,0,IF(EM186&lt;10,1,IF(AND(EM186&gt;=10,EM186&lt;=35),7,LOOKUP(EM186,{50,70,95,120,150,185,240,300},{10,14,19,24,30,37,48,61})*1)))</f>
        <v>0</v>
      </c>
      <c r="EQ186" s="251">
        <f>IF(EP186=0,0,VLOOKUP(EP186,各项系数!$D$142:$E$195,2,0))*1</f>
        <v>0</v>
      </c>
      <c r="ER186" s="69">
        <f t="shared" si="816"/>
        <v>0</v>
      </c>
      <c r="ES186" s="566">
        <f t="shared" si="817"/>
        <v>6</v>
      </c>
      <c r="ET186" s="251">
        <f>VLOOKUP(ES186,各项系数!$D$142:$E$195,2,0)*1</f>
        <v>3</v>
      </c>
      <c r="EU186" s="311">
        <f>((各项系数!$F$76/4*$EJ186^2*$EG186*$EH186*1*10^-7)*(1-$H186)*AA186)*(VLOOKUP($EY$9,各项系数!$D$4:$F$143,3,0))*各项系数!$J$4</f>
        <v>0.123909034133417</v>
      </c>
      <c r="EV186" s="312">
        <f>EU186*(VLOOKUP($EY$9,各项系数!$D$4:$F$143,2,0))</f>
        <v>8.11604173573884</v>
      </c>
      <c r="EW186" s="324">
        <f>(IF($EO186=0,0,(各项系数!$F$76/4*$ER186^2*$EO186*$EP186*1*10^-7))*(1-$K186)*$AF186)*(VLOOKUP($EY$9,各项系数!$D$4:$F$143,3,0))*各项系数!$J$4</f>
        <v>0</v>
      </c>
      <c r="EX186" s="325">
        <f>EW186*(VLOOKUP($EY$9,各项系数!$D$4:$F$143,2,0))</f>
        <v>0</v>
      </c>
      <c r="EY186" s="251">
        <f>((各项系数!$F$76/4*$EJ186^2*$EG186*$EH186*1*10^-7)*(1-$H186)*AA186+IF($EO186=0,0,(各项系数!$F$76/4*$ER186^2*$EO186*$EP186*1*10^-7))*(1-$K186)*$AF186)*(VLOOKUP($EY$9,各项系数!$D$4:$F$143,3,0))*各项系数!$J$4</f>
        <v>0.123909034133417</v>
      </c>
      <c r="EZ186" s="123">
        <v>1</v>
      </c>
      <c r="FA186" s="251">
        <f t="shared" si="757"/>
        <v>0.123909034133417</v>
      </c>
      <c r="FB186" s="326">
        <f>FA186*(VLOOKUP($EY$9,各项系数!$D$4:$F$143,2,0))</f>
        <v>8.11604173573884</v>
      </c>
      <c r="FC186" s="327"/>
      <c r="FD186" s="302">
        <f>各项系数!$F$76/4*($MN186^2-MK186^2)*10^-2*(VLOOKUP(L186,各项系数!$D$1:$F$143,3,0))*10^-3*10^2*$EG186*各项系数!$J$4</f>
        <v>0.0350081984419887</v>
      </c>
      <c r="FE186" s="339">
        <f>FD186*VLOOKUP(L186,各项系数!$D$1:$F$143,2,0)</f>
        <v>0.40259428208287</v>
      </c>
      <c r="FF186" s="250">
        <f>各项系数!$F$76/4*($MO186^2-ML186^2)*10^-2*(VLOOKUP(L186,各项系数!$D$1:$F$143,3,0))*10^-3*10^2*$EO186*各项系数!$J$4</f>
        <v>0</v>
      </c>
      <c r="FG186" s="339">
        <f>FF186*VLOOKUP(L186,各项系数!$D$1:$F$143,2,0)</f>
        <v>0</v>
      </c>
      <c r="FH186" s="302">
        <f t="shared" si="651"/>
        <v>0.0350081984419887</v>
      </c>
      <c r="FI186" s="123">
        <v>1</v>
      </c>
      <c r="FJ186" s="251">
        <f t="shared" si="758"/>
        <v>0.0350081984419887</v>
      </c>
      <c r="FK186" s="339">
        <f>FJ186*VLOOKUP(L186,各项系数!$D$1:$F$143,2,0)</f>
        <v>0.40259428208287</v>
      </c>
      <c r="FL186" s="302"/>
      <c r="FM186" s="123"/>
      <c r="FN186" s="251"/>
      <c r="FO186" s="339"/>
      <c r="FP186" s="364">
        <f t="shared" si="759"/>
        <v>0.0350081984419887</v>
      </c>
      <c r="FQ186" s="364">
        <f t="shared" si="760"/>
        <v>0.40259428208287</v>
      </c>
      <c r="FR186" s="365">
        <f>各项系数!$F$76/4*($MQ186^2-$MN186^2*$EG186-$MO186^2*$EO186)*10^-2</f>
        <v>0.229968136087588</v>
      </c>
      <c r="FS186" s="366">
        <f t="shared" si="652"/>
        <v>1</v>
      </c>
      <c r="FT186" s="367">
        <f t="shared" si="604"/>
        <v>0.229968136087588</v>
      </c>
      <c r="FU186" s="388">
        <f>$FT186*(VLOOKUP($FT$9,各项系数!$D$1:$F$143,3,0))*10^-3*10^2*各项系数!$J$55</f>
        <v>0.027458195448858</v>
      </c>
      <c r="FV186" s="389">
        <v>1</v>
      </c>
      <c r="FW186" s="390">
        <f t="shared" si="761"/>
        <v>0.027458195448858</v>
      </c>
      <c r="FX186" s="367">
        <f>FW186*(VLOOKUP($FT$9,各项系数!$D$1:$F$143,2,0))</f>
        <v>0.082374586346574</v>
      </c>
      <c r="FY186" s="388">
        <f>IF($BK186&lt;&gt;$FY$9,0,各项系数!$F$76/4*($MS186^2-$MQ186^2)*10^-2*(VLOOKUP($FY$9,各项系数!$D$1:$F$143,3,0))*10^-3*10^2)*各项系数!$J$4</f>
        <v>0</v>
      </c>
      <c r="FZ186" s="389">
        <v>1</v>
      </c>
      <c r="GA186" s="390">
        <f t="shared" si="762"/>
        <v>0</v>
      </c>
      <c r="GB186" s="367">
        <f>GA186*(VLOOKUP($FY$9,各项系数!$D$1:$F$143,2,0))</f>
        <v>0</v>
      </c>
      <c r="GC186" s="388">
        <f>IF($BK186&lt;&gt;$GC$9,0,各项系数!$F$76/4*($MS186^2-$MQ186^2)*10^-2*(VLOOKUP($GC$9,各项系数!$D$1:$F$143,3,0))*10^-3*10^2)*各项系数!$J$4</f>
        <v>0.00257631543597056</v>
      </c>
      <c r="GD186" s="389">
        <v>1</v>
      </c>
      <c r="GE186" s="390">
        <f t="shared" si="763"/>
        <v>0.00257631543597056</v>
      </c>
      <c r="GF186" s="367">
        <f>GE186*(VLOOKUP($GC$9,各项系数!$D$1:$F$143,2,0))</f>
        <v>0.0332344691240203</v>
      </c>
      <c r="GG186" s="388">
        <f>IF($BK186&lt;&gt;$GG$9,0,各项系数!$F$76/4*($MS186^2-$MQ186^2)*10^-2*(VLOOKUP($GG$9,各项系数!$D$1:$F$143,3,0))*10^-3*10^2)*各项系数!$J$4</f>
        <v>0</v>
      </c>
      <c r="GH186" s="389">
        <v>1</v>
      </c>
      <c r="GI186" s="390">
        <f t="shared" si="764"/>
        <v>0</v>
      </c>
      <c r="GJ186" s="367">
        <f>GI186*(VLOOKUP($GG$9,各项系数!$D$1:$F$143,2,0))</f>
        <v>0</v>
      </c>
      <c r="GK186" s="388">
        <f>IF($BK186&lt;&gt;$GK$9,0,各项系数!$F$76/4*($MS186^2-$MQ186^2)*10^-2*(VLOOKUP($GK$9,各项系数!$D$1:$F$143,3,0))*10^-3*10^2)*各项系数!$J$4</f>
        <v>0</v>
      </c>
      <c r="GL186" s="389">
        <v>1</v>
      </c>
      <c r="GM186" s="390">
        <f t="shared" si="765"/>
        <v>0</v>
      </c>
      <c r="GN186" s="367">
        <f>GM186*(VLOOKUP($GK$9,各项系数!$D$1:$F$143,2,0))</f>
        <v>0</v>
      </c>
      <c r="GO186" s="390">
        <f t="shared" si="766"/>
        <v>0.00257631543597056</v>
      </c>
      <c r="GP186" s="390">
        <f t="shared" si="767"/>
        <v>0.0332344691240203</v>
      </c>
      <c r="GQ186" s="406">
        <f>各项系数!$F$76/4*($MU186^2-$MS186^2)*10^-2*(VLOOKUP($S186,各项系数!$D$1:$F$143,3,0))*10^-3*10^2*各项系数!$J$4</f>
        <v>0.148842630447175</v>
      </c>
      <c r="GR186" s="389">
        <v>1</v>
      </c>
      <c r="GS186" s="390">
        <f t="shared" si="768"/>
        <v>0.148842630447175</v>
      </c>
      <c r="GT186" s="390">
        <f t="shared" si="696"/>
        <v>1</v>
      </c>
      <c r="GU186" s="390">
        <f>ROUND($GS186*(VLOOKUP($S186,各项系数!$D$1:$F$143,2,0))+$E$3*GS186,GT186)</f>
        <v>0.9</v>
      </c>
      <c r="GV186" s="406">
        <f>各项系数!$F$76/4*($MT186^2-$MS186^2)*10^-2*(VLOOKUP($GV$9,各项系数!$D$1:$F$143,3,0))*10^-3*10^2*各项系数!$J$4*PI()/4*R186</f>
        <v>0.0134492303620312</v>
      </c>
      <c r="GW186" s="389">
        <v>1</v>
      </c>
      <c r="GX186" s="390">
        <f t="shared" si="769"/>
        <v>0.0134492303620312</v>
      </c>
      <c r="GY186" s="390">
        <f>$GX186*(VLOOKUP($GV$9,各项系数!$D$1:$F$143,2,0))</f>
        <v>0.907823049437105</v>
      </c>
      <c r="GZ186" s="406">
        <f>各项系数!$F$76/4*($MV186^2-$MS186^2)*10^-2*(VLOOKUP($GZ$9,各项系数!$D$1:$F$143,3,0))*10^-3*10^2*各项系数!$J$4</f>
        <v>0.0925863632343858</v>
      </c>
      <c r="HA186" s="389">
        <v>1</v>
      </c>
      <c r="HB186" s="390">
        <f t="shared" si="653"/>
        <v>0.0925863632343858</v>
      </c>
      <c r="HC186" s="390">
        <f>HB186*(VLOOKUP($GZ$9,各项系数!$D$1:$F$143,2,0))</f>
        <v>1.57396817498456</v>
      </c>
      <c r="HD186" s="406">
        <f>各项系数!$F$76/4*($MW186^2-$MT186^2)*10^-2*(VLOOKUP($HD$9,各项系数!$D$1:$F$143,3,0))*10^-3*10^2*各项系数!$J$4</f>
        <v>0.0938917326810643</v>
      </c>
      <c r="HE186" s="389">
        <v>1</v>
      </c>
      <c r="HF186" s="390">
        <f t="shared" si="654"/>
        <v>0.0938917326810643</v>
      </c>
      <c r="HG186" s="390">
        <f>HF186*(VLOOKUP($HD$9,各项系数!$D$1:$F$143,2,0))</f>
        <v>1.59615945557809</v>
      </c>
      <c r="HH186" s="406">
        <f>各项系数!$F$76/4*($MV186^2-$MS186^2)*10^-2*(VLOOKUP($HH$9,各项系数!$D$1:$F$143,3,0))*10^-3*10^2*各项系数!$J$4</f>
        <v>0.0925863632343858</v>
      </c>
      <c r="HI186" s="420">
        <v>1</v>
      </c>
      <c r="HJ186" s="390">
        <f t="shared" si="655"/>
        <v>0.0925863632343858</v>
      </c>
      <c r="HK186" s="390">
        <f>HJ186*(VLOOKUP($HH$9,各项系数!$D$1:$F$143,2,0))</f>
        <v>1.57396817498456</v>
      </c>
      <c r="HL186" s="406">
        <f>各项系数!$F$76/4*($MW186^2-$MT186^2)*10^-2*(VLOOKUP($HL$9,各项系数!$D$1:$F$143,3,0))*10^-3*10^2*各项系数!$J$4</f>
        <v>0.0938917326810643</v>
      </c>
      <c r="HM186" s="420">
        <v>1</v>
      </c>
      <c r="HN186" s="390">
        <f t="shared" si="605"/>
        <v>0.0938917326810643</v>
      </c>
      <c r="HO186" s="390">
        <f>HN186*(VLOOKUP($HL$9,各项系数!$D$1:$F$143,2,0))</f>
        <v>1.59615945557809</v>
      </c>
      <c r="HP186" s="406">
        <f>各项系数!$F$76/4*($MV186^2-$MS186^2)*10^-2*(VLOOKUP(AN186,各项系数!$D$1:$F$143,3,0))*10^-3*10^2*各项系数!$J$4</f>
        <v>0.0938634165203774</v>
      </c>
      <c r="HQ186" s="389">
        <v>1</v>
      </c>
      <c r="HR186" s="390">
        <f t="shared" si="770"/>
        <v>0.0938634165203774</v>
      </c>
      <c r="HS186" s="390">
        <f>HR186*(VLOOKUP(AN186,各项系数!$D$1:$F$143,2,0))</f>
        <v>0.938634165203774</v>
      </c>
      <c r="HT186" s="406">
        <f>各项系数!$F$76/4*($MW186^2-$MT186^2)*10^-2*(VLOOKUP(AN186,各项系数!$D$1:$F$143,3,0))*10^-3*10^2*各项系数!$J$4</f>
        <v>0.095186791062872</v>
      </c>
      <c r="HU186" s="389">
        <v>1</v>
      </c>
      <c r="HV186" s="390">
        <f t="shared" si="771"/>
        <v>0.095186791062872</v>
      </c>
      <c r="HW186" s="390">
        <f>HV186*(VLOOKUP(AN186,各项系数!$D$1:$F$143,2,0))</f>
        <v>0.95186791062872</v>
      </c>
      <c r="HX186" s="406">
        <f>各项系数!$F$76/4*($MV186^2-$MS186^2)*10^-2*(VLOOKUP($HX$9,各项系数!$D$1:$F$143,3,0))*10^-3*10^2*各项系数!$J$4</f>
        <v>0.0938634165203774</v>
      </c>
      <c r="HY186" s="420">
        <v>1</v>
      </c>
      <c r="HZ186" s="390">
        <f t="shared" si="772"/>
        <v>0.0938634165203774</v>
      </c>
      <c r="IA186" s="390">
        <f>HZ186*(VLOOKUP($HX$9,各项系数!$D$1:$F$143,2,0))</f>
        <v>1.03249758172415</v>
      </c>
      <c r="IB186" s="406">
        <f>各项系数!$F$76/4*($MW186^2-$MT186^2)*10^-2*(VLOOKUP($IB$9,各项系数!$D$1:$F$143,3,0))*10^-3*10^2*各项系数!$J$4</f>
        <v>0.095186791062872</v>
      </c>
      <c r="IC186" s="420">
        <v>1</v>
      </c>
      <c r="ID186" s="390">
        <f t="shared" si="773"/>
        <v>0.095186791062872</v>
      </c>
      <c r="IE186" s="390">
        <f>ID186*(VLOOKUP($IB$9,各项系数!$D$1:$F$143,2,0))</f>
        <v>1.04705470169159</v>
      </c>
      <c r="IF186" s="429"/>
      <c r="IG186" s="406">
        <f t="shared" si="656"/>
        <v>0.017083381286264</v>
      </c>
      <c r="IH186" s="389">
        <v>1</v>
      </c>
      <c r="II186" s="390">
        <f t="shared" si="774"/>
        <v>0.017083381286264</v>
      </c>
      <c r="IJ186" s="390">
        <f>II186*(VLOOKUP($IG$8,各项系数!$D$1:$F$143,2,0))</f>
        <v>0.4270845321566</v>
      </c>
      <c r="IK186" s="406">
        <f>(各项系数!$F$76/4*($MX186^2-$MK186^2)*$EG186)*10^-2*(VLOOKUP($IG$8,各项系数!$D$1:$F$143,3,0))*10^-3*10^2*各项系数!$J$4</f>
        <v>0.017083381286264</v>
      </c>
      <c r="IL186" s="389">
        <f>IK186*(VLOOKUP($IG$8,各项系数!$D$1:$F$143,2,0))</f>
        <v>0.4270845321566</v>
      </c>
      <c r="IM186" s="390">
        <f>(各项系数!$F$76/4*(($MM186+3*$X186)^2-MM186^2)*$EO186)*10^-2*(VLOOKUP($IG$8,各项系数!$D$1:$F$143,3,0))*10^-3*10^2*各项系数!$J$4</f>
        <v>0</v>
      </c>
      <c r="IN186" s="389">
        <f>IM186*(VLOOKUP($IG$8,各项系数!$D$1:$F$143,2,0))</f>
        <v>0</v>
      </c>
      <c r="IO186" s="406">
        <f>各项系数!$F$76/4*($MZ186^2-$MX186^2)*10^-2*(VLOOKUP(L186,各项系数!$D$1:$F$143,3,0))*10^-3*10^2*$ES186*各项系数!$J$4</f>
        <v>0.0436731508035609</v>
      </c>
      <c r="IP186" s="389">
        <v>1</v>
      </c>
      <c r="IQ186" s="390">
        <f t="shared" si="775"/>
        <v>0.0436731508035609</v>
      </c>
      <c r="IR186" s="367">
        <f>IQ186*(VLOOKUP(L186,各项系数!$D$1:$F$143,2,0))</f>
        <v>0.50224123424095</v>
      </c>
      <c r="IS186" s="406">
        <f>IF($L186&lt;&gt;$IS$9,0,各项系数!$F$76/4*($MZ186^2-$MX186^2)*10^-2*各项系数!$F$12*10^-3*10^2)*$ES186*各项系数!$J$4</f>
        <v>0</v>
      </c>
      <c r="IT186" s="389">
        <v>1</v>
      </c>
      <c r="IU186" s="390">
        <f t="shared" si="776"/>
        <v>0</v>
      </c>
      <c r="IV186" s="367">
        <f>IU186*各项系数!$E$12</f>
        <v>0</v>
      </c>
      <c r="IW186" s="388">
        <f t="shared" si="777"/>
        <v>0.0436731508035609</v>
      </c>
      <c r="IX186" s="388">
        <f t="shared" si="778"/>
        <v>0.50224123424095</v>
      </c>
      <c r="IY186" s="447">
        <f>各项系数!$F$76/4*($NB186^2-$MZ186^2*$EG186-$NA186^2*$EO186)*10^-2</f>
        <v>0.326782961600755</v>
      </c>
      <c r="IZ186" s="366">
        <f t="shared" si="697"/>
        <v>1</v>
      </c>
      <c r="JA186" s="367">
        <f t="shared" si="606"/>
        <v>0.326782961600755</v>
      </c>
      <c r="JB186" s="364">
        <f>IF($DE186&lt;&gt;$JB$9,0,$JA186*各项系数!$F$32*10^-3*10^2)*各项系数!$J$4</f>
        <v>0</v>
      </c>
      <c r="JC186" s="123">
        <v>1</v>
      </c>
      <c r="JD186" s="251">
        <f t="shared" si="779"/>
        <v>0</v>
      </c>
      <c r="JE186" s="339">
        <f>JD186*各项系数!$E$32</f>
        <v>0</v>
      </c>
      <c r="JF186" s="364">
        <f>IF($DE186&lt;&gt;$JF$9,0,$JA186*VLOOKUP($JF$9,各项系数!$D$4:$F$540,2,0)*10^-3*10^2)*各项系数!$J$4</f>
        <v>0.162574523396376</v>
      </c>
      <c r="JG186" s="123">
        <v>1</v>
      </c>
      <c r="JH186" s="251">
        <f t="shared" si="607"/>
        <v>0.162574523396376</v>
      </c>
      <c r="JI186" s="339">
        <f>JH186*VLOOKUP($JF$9,各项系数!$D$4:$F$540,3,0)</f>
        <v>0.195089428075651</v>
      </c>
      <c r="JJ186" s="364">
        <f t="shared" si="780"/>
        <v>0.162574523396376</v>
      </c>
      <c r="JK186" s="251">
        <f t="shared" si="781"/>
        <v>0.195089428075651</v>
      </c>
      <c r="JL186" s="364">
        <f>IF($DF186&lt;&gt;$JL$9,0,各项系数!$F$76/4*($NE186^2-$NC186^2)*10^-2*各项系数!$F$39*10^-3*10^2)*各项系数!$J$4</f>
        <v>0.00127075150245585</v>
      </c>
      <c r="JM186" s="123">
        <v>1</v>
      </c>
      <c r="JN186" s="251">
        <f t="shared" si="782"/>
        <v>0.00127075150245585</v>
      </c>
      <c r="JO186" s="339">
        <f>JN186*各项系数!$E$39</f>
        <v>0.0254150300491169</v>
      </c>
      <c r="JP186" s="364">
        <f>IF($DF186&lt;&gt;$JP$9,0,各项系数!$F$76/4*($NE186^2-$NC186^2)*10^-2*各项系数!$F$36*10^-3*10^2)*各项系数!$J$4</f>
        <v>0</v>
      </c>
      <c r="JQ186" s="123">
        <v>1</v>
      </c>
      <c r="JR186" s="251">
        <f t="shared" si="783"/>
        <v>0</v>
      </c>
      <c r="JS186" s="339">
        <f>JR186*各项系数!$E$36</f>
        <v>0</v>
      </c>
      <c r="JT186" s="364">
        <f>IF($DF186&lt;&gt;$JT$9,0,各项系数!$F$76/4*($NE186^2-$NC186^2)*10^-2*各项系数!$F$40*10^-3*10^2)*各项系数!$J$4</f>
        <v>0</v>
      </c>
      <c r="JU186" s="123">
        <v>1</v>
      </c>
      <c r="JV186" s="251">
        <f t="shared" si="784"/>
        <v>0</v>
      </c>
      <c r="JW186" s="339">
        <f>JV186*各项系数!$E$40</f>
        <v>0</v>
      </c>
      <c r="JX186" s="364">
        <f>IF($DF186&lt;&gt;$JX$9,0,各项系数!$F$76/4*($NE186^2-$NC186^2)*10^-2*各项系数!$F$38*10^-3*10^2)*各项系数!$J$4</f>
        <v>0</v>
      </c>
      <c r="JY186" s="123">
        <v>1</v>
      </c>
      <c r="JZ186" s="251">
        <f t="shared" si="785"/>
        <v>0</v>
      </c>
      <c r="KA186" s="339">
        <f>JZ186*各项系数!$E$38</f>
        <v>0</v>
      </c>
      <c r="KB186" s="364">
        <f>IF($DF186&lt;&gt;$KB$9,0,各项系数!$F$76/4*($NE186^2-$NC186^2)*10^-2*各项系数!$F$41*10^-3*10^2)*各项系数!$J$4</f>
        <v>0</v>
      </c>
      <c r="KC186" s="123">
        <v>1</v>
      </c>
      <c r="KD186" s="251">
        <f t="shared" si="786"/>
        <v>0</v>
      </c>
      <c r="KE186" s="339">
        <f>KD186*各项系数!$E$41</f>
        <v>0</v>
      </c>
      <c r="KF186" s="251">
        <f t="shared" si="787"/>
        <v>0.00127075150245585</v>
      </c>
      <c r="KG186" s="251">
        <f t="shared" si="788"/>
        <v>0.0254150300491169</v>
      </c>
      <c r="KH186" s="302">
        <f>各项系数!$F$76/4*($NG186^2-$NE186^2)*10^-2*各项系数!$F$44*10^-3*10^2*各项系数!$J$4*0.75*$U186</f>
        <v>0.528543803548932</v>
      </c>
      <c r="KI186" s="123">
        <v>1</v>
      </c>
      <c r="KJ186" s="251">
        <f t="shared" si="789"/>
        <v>0.528543803548932</v>
      </c>
      <c r="KK186" s="251">
        <f>ROUND(KJ186*各项系数!$E$43,GT186)</f>
        <v>3.1</v>
      </c>
      <c r="KL186" s="302">
        <f>各项系数!$F$76/4*($NF186^2-$NE186^2)*10^-2*各项系数!$F$46*10^-3*10^2*各项系数!$J$4*PI()/4*R186</f>
        <v>0.0160529275723918</v>
      </c>
      <c r="KM186" s="123">
        <v>1</v>
      </c>
      <c r="KN186" s="251">
        <f t="shared" si="790"/>
        <v>0.0160529275723918</v>
      </c>
      <c r="KO186" s="251">
        <f>KN186*各项系数!$E$46</f>
        <v>1.08357261113644</v>
      </c>
      <c r="KP186" s="302">
        <f>各项系数!$F$76/4*($NH186^2-$NE186^2)*10^-2*(VLOOKUP($KP$9,各项系数!$D$1:$F$143,3,0))*10^-3*10^2*各项系数!$J$4</f>
        <v>0.107793917288189</v>
      </c>
      <c r="KQ186" s="123">
        <v>1</v>
      </c>
      <c r="KR186" s="251">
        <f t="shared" si="657"/>
        <v>0.107793917288189</v>
      </c>
      <c r="KS186" s="251">
        <f>KR186*(VLOOKUP($KP$9,各项系数!$D$1:$F$143,2,0))</f>
        <v>1.83249659389922</v>
      </c>
      <c r="KT186" s="302">
        <f>各项系数!$F$76/4*($NI186^2-$NF186^2)*10^-2*(VLOOKUP($KT$9,各项系数!$D$1:$F$143,3,0))*10^-3*10^2*各项系数!$J$4</f>
        <v>0.109099286734868</v>
      </c>
      <c r="KU186" s="123">
        <v>1</v>
      </c>
      <c r="KV186" s="251">
        <f t="shared" si="658"/>
        <v>0.109099286734868</v>
      </c>
      <c r="KW186" s="251">
        <f>KV186*(VLOOKUP($KT$9,各项系数!$D$1:$F$143,2,0))</f>
        <v>1.85468787449275</v>
      </c>
      <c r="KX186" s="251">
        <f>各项系数!$F$76/4*($NH186^2-$NE186^2)*10^-2*(VLOOKUP($KX$9,各项系数!$D$1:$F$143,3,0))*10^-3*10^2*各项系数!$J$4</f>
        <v>0.107793917288189</v>
      </c>
      <c r="KY186" s="479">
        <v>1</v>
      </c>
      <c r="KZ186" s="251">
        <f t="shared" si="659"/>
        <v>0.107793917288189</v>
      </c>
      <c r="LA186" s="251">
        <f>KZ186*(VLOOKUP($KX$9,各项系数!$D$1:$F$143,2,0))</f>
        <v>1.83249659389922</v>
      </c>
      <c r="LB186" s="251">
        <f>各项系数!$F$76/4*($NI186^2-$NF186^2)*10^-2*(VLOOKUP($LB$9,各项系数!$D$1:$F$143,3,0))*10^-3*10^2*各项系数!$J$4</f>
        <v>0.109099286734868</v>
      </c>
      <c r="LC186" s="479">
        <v>1</v>
      </c>
      <c r="LD186" s="251">
        <f t="shared" si="660"/>
        <v>0.109099286734868</v>
      </c>
      <c r="LE186" s="251">
        <f>LD186*(VLOOKUP($LB$9,各项系数!$D$1:$F$143,2,0))</f>
        <v>1.85468787449275</v>
      </c>
      <c r="LF186" s="302">
        <f>各项系数!$F$76/4*($NH186^2-$NE186^2)*10^-2*(VLOOKUP(AN186,各项系数!$D$1:$F$143,3,0))*10^-3*10^2*各项系数!$J$4</f>
        <v>0.10928072994044</v>
      </c>
      <c r="LG186" s="123">
        <v>1</v>
      </c>
      <c r="LH186" s="251">
        <f t="shared" si="791"/>
        <v>0.10928072994044</v>
      </c>
      <c r="LI186" s="251">
        <f>LH186*(VLOOKUP(AN186,各项系数!$D$1:$F$143,2,0))</f>
        <v>1.0928072994044</v>
      </c>
      <c r="LJ186" s="302">
        <f>各项系数!$F$76/4*($NI186^2-$NF186^2)*10^-2*(VLOOKUP(AN186,各项系数!$D$1:$F$143,3,0))*10^-3*10^2*各项系数!$J$4</f>
        <v>0.110604104482935</v>
      </c>
      <c r="LK186" s="123">
        <v>1</v>
      </c>
      <c r="LL186" s="251">
        <f t="shared" si="792"/>
        <v>0.110604104482935</v>
      </c>
      <c r="LM186" s="251">
        <f>LL186*(VLOOKUP(AN186,各项系数!$D$1:$F$143,2,0))</f>
        <v>1.10604104482935</v>
      </c>
      <c r="LN186" s="251">
        <f>各项系数!$F$76/4*($NH186^2-$NE186^2)*10^-2*(VLOOKUP($LN$9,各项系数!$D$1:$F$143,3,0))*10^-3*10^2*各项系数!$J$4</f>
        <v>0.10928072994044</v>
      </c>
      <c r="LO186" s="479">
        <v>1</v>
      </c>
      <c r="LP186" s="251">
        <f t="shared" si="793"/>
        <v>0.10928072994044</v>
      </c>
      <c r="LQ186" s="251">
        <f>LP186*(VLOOKUP($LN$9,各项系数!$D$1:$F$143,2,0))</f>
        <v>1.20208802934484</v>
      </c>
      <c r="LR186" s="251">
        <f>各项系数!$F$76/4*($NI186^2-$NF186^2)*10^-2*(VLOOKUP($LR$9,各项系数!$D$1:$F$143,3,0))*10^-3*10^2*各项系数!$J$4</f>
        <v>0.110604104482935</v>
      </c>
      <c r="LS186" s="479">
        <v>1</v>
      </c>
      <c r="LT186" s="251">
        <f t="shared" si="794"/>
        <v>0.110604104482935</v>
      </c>
      <c r="LU186" s="251">
        <f>LT186*(VLOOKUP($LR$9,各项系数!$D$1:$F$143,2,0))</f>
        <v>1.21664514931228</v>
      </c>
      <c r="LV186" s="499">
        <f t="shared" si="661"/>
        <v>14.00806446</v>
      </c>
      <c r="LW186" s="499">
        <f t="shared" si="662"/>
        <v>14.00806446</v>
      </c>
      <c r="LX186" s="499">
        <f t="shared" si="663"/>
        <v>4.22322407831638</v>
      </c>
      <c r="LY186" s="515">
        <f t="shared" si="664"/>
        <v>0</v>
      </c>
      <c r="LZ186" s="516">
        <f t="shared" si="608"/>
        <v>1</v>
      </c>
      <c r="MA186" s="517">
        <f t="shared" si="609"/>
        <v>14.00806446</v>
      </c>
      <c r="MB186" s="517">
        <f t="shared" si="665"/>
        <v>1.72412401</v>
      </c>
      <c r="MC186" s="499">
        <f t="shared" si="666"/>
        <v>0</v>
      </c>
      <c r="MD186" s="499">
        <f t="shared" si="667"/>
        <v>0</v>
      </c>
      <c r="ME186" s="499">
        <f t="shared" si="668"/>
        <v>0</v>
      </c>
      <c r="MF186" s="499">
        <f t="shared" si="669"/>
        <v>0</v>
      </c>
      <c r="MG186" s="516">
        <f t="shared" si="670"/>
        <v>1</v>
      </c>
      <c r="MH186" s="517">
        <f t="shared" si="610"/>
        <v>0</v>
      </c>
      <c r="MI186" s="517">
        <f t="shared" si="671"/>
        <v>0</v>
      </c>
      <c r="MJ186" s="251">
        <f t="shared" si="611"/>
        <v>1.72412401</v>
      </c>
      <c r="MK186" s="251">
        <f t="shared" si="672"/>
        <v>1.72412401</v>
      </c>
      <c r="ML186" s="251">
        <f t="shared" si="795"/>
        <v>0</v>
      </c>
      <c r="MM186" s="251">
        <f t="shared" si="612"/>
        <v>0</v>
      </c>
      <c r="MN186" s="251">
        <f t="shared" si="613"/>
        <v>3.12412401</v>
      </c>
      <c r="MO186" s="251">
        <f t="shared" si="673"/>
        <v>0</v>
      </c>
      <c r="MP186" s="251">
        <f t="shared" si="674"/>
        <v>9.37237203</v>
      </c>
      <c r="MQ186" s="251">
        <f t="shared" si="796"/>
        <v>9.37237203</v>
      </c>
      <c r="MR186" s="314">
        <f t="shared" si="675"/>
        <v>9.37237203</v>
      </c>
      <c r="MS186" s="530">
        <f t="shared" si="614"/>
        <v>9.54837203</v>
      </c>
      <c r="MT186" s="530">
        <f t="shared" si="615"/>
        <v>9.70837203</v>
      </c>
      <c r="MU186" s="530">
        <f t="shared" si="616"/>
        <v>10.74837203</v>
      </c>
      <c r="MV186" s="530">
        <f t="shared" si="617"/>
        <v>13.14837203</v>
      </c>
      <c r="MW186" s="530">
        <f t="shared" si="618"/>
        <v>13.30837203</v>
      </c>
      <c r="MX186" s="326">
        <f t="shared" si="619"/>
        <v>2.32412401</v>
      </c>
      <c r="MY186" s="326">
        <f t="shared" si="620"/>
        <v>0</v>
      </c>
      <c r="MZ186" s="251">
        <f t="shared" si="621"/>
        <v>3.72412401</v>
      </c>
      <c r="NA186" s="251">
        <f t="shared" si="622"/>
        <v>0</v>
      </c>
      <c r="NB186" s="251">
        <f t="shared" si="676"/>
        <v>11.17237203</v>
      </c>
      <c r="NC186" s="326">
        <f t="shared" si="797"/>
        <v>11.17237203</v>
      </c>
      <c r="ND186" s="314">
        <f t="shared" si="677"/>
        <v>11.17237203</v>
      </c>
      <c r="NE186" s="537">
        <f t="shared" si="678"/>
        <v>11.41237203</v>
      </c>
      <c r="NF186" s="530">
        <f t="shared" si="623"/>
        <v>11.57237203</v>
      </c>
      <c r="NG186" s="538">
        <f t="shared" si="624"/>
        <v>12.61237203</v>
      </c>
      <c r="NH186" s="326">
        <f t="shared" si="625"/>
        <v>15.01237203</v>
      </c>
      <c r="NI186" s="530">
        <f t="shared" si="626"/>
        <v>15.17237203</v>
      </c>
      <c r="NK186" s="539">
        <f t="shared" si="627"/>
        <v>0.282815159980612</v>
      </c>
      <c r="NL186" s="539">
        <f t="shared" si="628"/>
        <v>9.57287923849608</v>
      </c>
      <c r="NM186" s="539">
        <f t="shared" si="629"/>
        <v>0.282815159980612</v>
      </c>
      <c r="NN186" s="539">
        <f t="shared" si="630"/>
        <v>9.66674265501645</v>
      </c>
      <c r="NO186" s="539">
        <f t="shared" si="631"/>
        <v>0.457791571062514</v>
      </c>
      <c r="NP186" s="539">
        <f t="shared" si="632"/>
        <v>10.3586792596656</v>
      </c>
      <c r="NQ186" s="539">
        <f t="shared" si="633"/>
        <v>0.457791571062514</v>
      </c>
      <c r="NR186" s="539">
        <f t="shared" si="634"/>
        <v>10.467959989606</v>
      </c>
      <c r="NS186" s="539">
        <f t="shared" si="635"/>
        <v>0.296264390342643</v>
      </c>
      <c r="NT186" s="539">
        <f t="shared" si="636"/>
        <v>0.296264390342643</v>
      </c>
      <c r="NU186" s="539">
        <f t="shared" si="637"/>
        <v>0.473844498634906</v>
      </c>
      <c r="NV186" s="539">
        <f t="shared" si="638"/>
        <v>0.473844498634906</v>
      </c>
      <c r="NW186">
        <f t="shared" si="639"/>
        <v>0.431657790427787</v>
      </c>
      <c r="NX186">
        <f>各项系数!$M$9*NK186</f>
        <v>0.0848445479941836</v>
      </c>
      <c r="NY186">
        <f t="shared" si="640"/>
        <v>0.296264390342643</v>
      </c>
    </row>
    <row r="187" customHeight="1" spans="1:389">
      <c r="A187" s="85"/>
      <c r="B187" s="86"/>
      <c r="C187" s="218"/>
      <c r="D187" s="123" t="s">
        <v>195</v>
      </c>
      <c r="E187" s="77">
        <f t="shared" si="805"/>
        <v>13.14837203</v>
      </c>
      <c r="F187" s="559">
        <f t="shared" si="820"/>
        <v>172.412400708262</v>
      </c>
      <c r="G187" s="23"/>
      <c r="H187" s="23"/>
      <c r="I187" s="174">
        <v>0</v>
      </c>
      <c r="J187" s="23"/>
      <c r="K187" s="23"/>
      <c r="L187" s="118" t="s">
        <v>469</v>
      </c>
      <c r="M187" s="124">
        <f t="shared" si="582"/>
        <v>0.7</v>
      </c>
      <c r="N187" s="124">
        <f t="shared" si="804"/>
        <v>0</v>
      </c>
      <c r="O187" s="69">
        <f t="shared" si="819"/>
        <v>0.08</v>
      </c>
      <c r="P187" s="120">
        <v>0.1</v>
      </c>
      <c r="Q187" s="162">
        <f t="shared" si="823"/>
        <v>0.1</v>
      </c>
      <c r="R187" s="560">
        <v>0.8</v>
      </c>
      <c r="S187" s="171" t="str">
        <f>各项系数!$D$43</f>
        <v>钢带</v>
      </c>
      <c r="T187" s="123">
        <v>0.2</v>
      </c>
      <c r="U187" s="78">
        <v>4</v>
      </c>
      <c r="V187" s="172"/>
      <c r="W187" s="170">
        <f>$W$186</f>
        <v>1.8</v>
      </c>
      <c r="X187" s="164">
        <f t="shared" si="824"/>
        <v>0.2</v>
      </c>
      <c r="Y187" s="219"/>
      <c r="Z187" s="220"/>
      <c r="AA187" s="217">
        <v>1</v>
      </c>
      <c r="AB187" s="186">
        <f>PI()*EJ187*EJ187/4*EH187*(1-H187)*AA187*各项系数!$F$5*各项系数!$J$4*10^-7</f>
        <v>0.0206515056889029</v>
      </c>
      <c r="AC187" s="186">
        <f t="shared" si="808"/>
        <v>172.412400708262</v>
      </c>
      <c r="AD187" s="186">
        <f t="shared" si="584"/>
        <v>2.3346774015073</v>
      </c>
      <c r="AE187" s="186">
        <f>POWER(4*EU187/PI()/EG187/10^-7/EH187/(1-H187)/各项系数!$F$5/各项系数!$J$4,0.5)</f>
        <v>172.412400708262</v>
      </c>
      <c r="AF187" s="218">
        <v>1</v>
      </c>
      <c r="AG187" s="85">
        <f>IF(EM187=0,0,PI()*ER187*ER187/4*EP187*(1-K187)*(1+AF187)*各项系数!$F$5*各项系数!$J$4*10^-7)</f>
        <v>0</v>
      </c>
      <c r="AH187" s="85">
        <f t="shared" si="809"/>
        <v>0</v>
      </c>
      <c r="AI187" s="85">
        <f t="shared" si="641"/>
        <v>0</v>
      </c>
      <c r="AJ187" s="85">
        <f>IF(OR(EP187="",EP187=0),0,POWER(4*EW187/PI()/EO187/10^-7/EP187/(1-K187)/各项系数!$F$5/各项系数!$J$4,0.5))</f>
        <v>0</v>
      </c>
      <c r="AK187" s="85" t="str">
        <f t="shared" si="585"/>
        <v>√</v>
      </c>
      <c r="AL187" s="85">
        <f t="shared" si="810"/>
        <v>11.3618778420247</v>
      </c>
      <c r="AM187" s="250">
        <f t="shared" si="811"/>
        <v>2.5</v>
      </c>
      <c r="AN187" s="118" t="s">
        <v>486</v>
      </c>
      <c r="AO187" s="259">
        <f>AP187+各项系数!$M$9*$NK187</f>
        <v>11.1390959235537</v>
      </c>
      <c r="AP187" s="259">
        <f>AQ187*(1+$BI187+(VLOOKUP($AM187,$A$12:$B$323,2,0))+各项系数!$J$6+各项系数!$M$5)*(1+$E$2)</f>
        <v>11.0490513334756</v>
      </c>
      <c r="AQ187" s="260">
        <f>AR187+各项系数!$L$9*$NK187</f>
        <v>11.2745421770159</v>
      </c>
      <c r="AR187" s="260">
        <f>AS187*(1+$BJ187+各项系数!$J$5+各项系数!$L$5)</f>
        <v>11.1844975869379</v>
      </c>
      <c r="AS187" s="260">
        <f t="shared" si="642"/>
        <v>10.9651937126842</v>
      </c>
      <c r="AT187" s="259">
        <f>AU187+各项系数!$M$9*$NM187</f>
        <v>11.7741757997305</v>
      </c>
      <c r="AU187" s="259">
        <f>AV187*(1+$BI187+(VLOOKUP($AM187,$A$12:$B$323,2,0))+各项系数!$J$6+各项系数!$M$5)*(1+$E$2)</f>
        <v>11.6841312096525</v>
      </c>
      <c r="AV187" s="260">
        <f>AW187+各项系数!$L$9*$NM187</f>
        <v>11.9225828669923</v>
      </c>
      <c r="AW187" s="260">
        <f>AX187*(1+$BJ187+各项系数!$J$5+各项系数!$L$5)</f>
        <v>11.8325382769143</v>
      </c>
      <c r="AX187" s="260">
        <f t="shared" si="643"/>
        <v>11.600527722465</v>
      </c>
      <c r="AY187" s="259">
        <f>AZ187+各项系数!$M$9*$NS187</f>
        <v>12.0677731385328</v>
      </c>
      <c r="AZ187" s="259">
        <f>BA187*(1+$BI187+(VLOOKUP($AM187,$A$12:$B$214,2,0))+各项系数!$J$6+各项系数!$M$5)*(1+$E$2)</f>
        <v>11.9736937793461</v>
      </c>
      <c r="BA187" s="260">
        <f>BB187+各项系数!$L$9*$NS187</f>
        <v>12.2180548768838</v>
      </c>
      <c r="BB187" s="260">
        <f>BC187*(1+$BJ187+各项系数!$J$5+各项系数!$L$5)</f>
        <v>12.1239755176971</v>
      </c>
      <c r="BC187" s="262">
        <f t="shared" si="644"/>
        <v>11.8862505075462</v>
      </c>
      <c r="BD187" s="259">
        <f>BE187+各项系数!$M$9*$NS187</f>
        <v>12.7118069668642</v>
      </c>
      <c r="BE187" s="259">
        <f>BF187*(1+$BI187+(VLOOKUP($AM187,$A$12:$B$214,2,0))+各项系数!$J$6+各项系数!$M$5)*(1+$E$2)</f>
        <v>12.6177276076775</v>
      </c>
      <c r="BF187" s="260">
        <f>BG187+各项系数!$L$9*$NS187</f>
        <v>12.8752322527322</v>
      </c>
      <c r="BG187" s="260">
        <f>BH187*(1+$BJ187+各项系数!$J$5+各项系数!$L$5)</f>
        <v>12.7811528935455</v>
      </c>
      <c r="BH187" s="262">
        <f t="shared" si="645"/>
        <v>12.5305420524956</v>
      </c>
      <c r="BI187" s="277"/>
      <c r="BJ187" s="272">
        <f t="shared" si="822"/>
        <v>0</v>
      </c>
      <c r="BK187" s="123" t="s">
        <v>514</v>
      </c>
      <c r="BL187" s="259">
        <f>BM187+各项系数!$M$9*$NM187</f>
        <v>11.3413005545736</v>
      </c>
      <c r="BM187" s="259">
        <f>BN187*(1+$CF187+(VLOOKUP($AM187,$A$12:$B$323,2,0))+各项系数!$J$6+各项系数!$M$5)*(1+$E$2)</f>
        <v>11.2512559644956</v>
      </c>
      <c r="BN187" s="260">
        <f>BO187+各项系数!$L$9*$NM187</f>
        <v>11.4808734331588</v>
      </c>
      <c r="BO187" s="260">
        <f>BP187*(1+$CG187+各项系数!$J$5+各项系数!$L$5)</f>
        <v>11.3908288430807</v>
      </c>
      <c r="BP187" s="260">
        <f t="shared" si="646"/>
        <v>11.0590571292045</v>
      </c>
      <c r="BQ187" s="259">
        <f>BR187+各项系数!$M$9*$NM187</f>
        <v>11.8878609714107</v>
      </c>
      <c r="BR187" s="259">
        <f>BS187*(1+$CF187+(VLOOKUP($AM187,$A$12:$B$323,2,0))+各项系数!$J$6+各项系数!$M$5)*(1+$E$2)</f>
        <v>11.7978163813326</v>
      </c>
      <c r="BS187" s="260">
        <f>BT187+各项系数!$L$9*$NM187</f>
        <v>12.038588144217</v>
      </c>
      <c r="BT187" s="260">
        <f>BU187*(1+$CG187+各项系数!$J$5+各项系数!$L$5)</f>
        <v>11.9485435541389</v>
      </c>
      <c r="BU187" s="260">
        <f t="shared" si="647"/>
        <v>11.600527722465</v>
      </c>
      <c r="BV187" s="259">
        <f>BW187+各项系数!$M$9*$NT187</f>
        <v>12.1962403034946</v>
      </c>
      <c r="BW187" s="259">
        <f>BX187*(1+$CF187+(VLOOKUP($AM187,$A$12:$B$214,2,0))+各项系数!$J$6+各项系数!$M$5)*(1+$E$2)</f>
        <v>12.1021609443079</v>
      </c>
      <c r="BX187" s="260">
        <f>BY187+各项系数!$L$9*$NT$12</f>
        <v>12.3491438207223</v>
      </c>
      <c r="BY187" s="260">
        <f>BZ187*(1+$CG187+各项系数!$J$5+各项系数!$L$5)</f>
        <v>12.3408804175674</v>
      </c>
      <c r="BZ187" s="262">
        <f t="shared" si="586"/>
        <v>11.9814372986091</v>
      </c>
      <c r="CA187" s="259">
        <f>CB187+各项系数!$M$9*$NT187</f>
        <v>12.7505066420676</v>
      </c>
      <c r="CB187" s="259">
        <f>CC187*(1+$CF187+(VLOOKUP($AM187,$A$12:$B$214,2,0))+各项系数!$J$6+各项系数!$M$5)*(1+$E$2)</f>
        <v>12.6564272828809</v>
      </c>
      <c r="CC187" s="260">
        <f>CD187+各项系数!$L$9*$NT$12</f>
        <v>12.9147217172254</v>
      </c>
      <c r="CD187" s="260">
        <f>CE187*(1+$CG187+各项系数!$J$5+各项系数!$L$5)</f>
        <v>12.9064583140705</v>
      </c>
      <c r="CE187" s="262">
        <f t="shared" si="648"/>
        <v>12.5305420524956</v>
      </c>
      <c r="CF187" s="277">
        <f t="shared" si="753"/>
        <v>0</v>
      </c>
      <c r="CG187" s="277">
        <f t="shared" si="587"/>
        <v>0.01</v>
      </c>
      <c r="CH187" s="123"/>
      <c r="CI187" s="259">
        <f>CJ187+各项系数!$M$9*$NO187</f>
        <v>12.1445551350956</v>
      </c>
      <c r="CJ187" s="259">
        <f>CK187*(1+$DC187+(VLOOKUP($AM187,$A$12:$B$323,2,0))+各项系数!$J$6+各项系数!$M$5)*(1+$E$2)+各项系数!$M$9*$NK187</f>
        <v>12.0142418378053</v>
      </c>
      <c r="CK187" s="260">
        <f>CL187+各项系数!$L$9*$NO187</f>
        <v>12.1675482119666</v>
      </c>
      <c r="CL187" s="260">
        <f>CM187*(1+$DD187+各项系数!$J$5+各项系数!$L$5)</f>
        <v>12.0372349146763</v>
      </c>
      <c r="CM187" s="260">
        <f t="shared" si="588"/>
        <v>11.8012107006631</v>
      </c>
      <c r="CN187" s="259">
        <f>CO187+各项系数!$M$9*$NO187</f>
        <v>12.6255235463256</v>
      </c>
      <c r="CO187" s="259">
        <f>CP187*(1+$DC187+(VLOOKUP($AM187,$A$12:$B$323,2,0))+各项系数!$J$6+各项系数!$M$5)*(1+$E$2)+各项系数!$M$9*$NK187</f>
        <v>12.4952102490353</v>
      </c>
      <c r="CP187" s="260">
        <f>CQ187+各项系数!$L$9*$NO187</f>
        <v>12.6583323050584</v>
      </c>
      <c r="CQ187" s="260">
        <f>CR187*(1+$DD187+各项系数!$J$5+各项系数!$L$5)</f>
        <v>12.5280190077681</v>
      </c>
      <c r="CR187" s="260">
        <f t="shared" si="589"/>
        <v>12.2823715762432</v>
      </c>
      <c r="CS187" s="259">
        <f>CT187+各项系数!$M$9*$NU187</f>
        <v>13.1604136180143</v>
      </c>
      <c r="CT187" s="259">
        <f t="shared" si="590"/>
        <v>13.0252844424523</v>
      </c>
      <c r="CU187" s="260">
        <f>CV187+各项系数!$L$9*$NU187</f>
        <v>13.2911065739309</v>
      </c>
      <c r="CV187" s="260">
        <f>CW187*(1+$DD187+各项系数!$J$5+各项系数!$L$5)</f>
        <v>13.155977398369</v>
      </c>
      <c r="CW187" s="262">
        <f t="shared" si="591"/>
        <v>12.8980170572245</v>
      </c>
      <c r="CX187" s="259">
        <f>CY187+各项系数!$M$9*$NU187</f>
        <v>13.9087609889459</v>
      </c>
      <c r="CY187" s="259">
        <f t="shared" si="592"/>
        <v>13.7736318133839</v>
      </c>
      <c r="CZ187" s="260">
        <f>DA187+各项系数!$L$9*$NU187</f>
        <v>14.0547263401876</v>
      </c>
      <c r="DA187" s="260">
        <f>DB187*(1+$DD187+各项系数!$J$5+各项系数!$L$5)</f>
        <v>13.9195971646256</v>
      </c>
      <c r="DB187" s="262">
        <f t="shared" si="593"/>
        <v>13.6466638868879</v>
      </c>
      <c r="DC187" s="277">
        <f t="shared" si="803"/>
        <v>0</v>
      </c>
      <c r="DD187" s="277">
        <f t="shared" si="594"/>
        <v>0</v>
      </c>
      <c r="DE187" s="69" t="s">
        <v>498</v>
      </c>
      <c r="DF187" s="69" t="s">
        <v>513</v>
      </c>
      <c r="DG187" s="259">
        <f>DH187+各项系数!$M$9*$NQ187</f>
        <v>12.370514968764</v>
      </c>
      <c r="DH187" s="259">
        <f>DI187*(1+$EA187+(VLOOKUP($AM187,$A$12:$B$323,2,0))+各项系数!$J$6+各项系数!$M$5)*(1+$E$2)+各项系数!$M$9*$NK187</f>
        <v>12.2402016714737</v>
      </c>
      <c r="DI187" s="260">
        <f>DJ187+各项系数!$L$9*$NQ187</f>
        <v>12.3981194708119</v>
      </c>
      <c r="DJ187" s="260">
        <f>DK187*(1+$EB187+各项系数!$J$5+各项系数!$L$5)</f>
        <v>12.2678061735216</v>
      </c>
      <c r="DK187" s="260">
        <f t="shared" si="595"/>
        <v>11.9104914306035</v>
      </c>
      <c r="DL187" s="259">
        <f>DM187+各项系数!$M$9*$NQ187</f>
        <v>13.0068493738252</v>
      </c>
      <c r="DM187" s="259">
        <f>DN187*(1+$EA187+(VLOOKUP($AM187,$A$12:$B$323,2,0))+各项系数!$J$6+各项系数!$M$5)*(1+$E$2)+各项系数!$M$9*$NK187</f>
        <v>12.8765360765349</v>
      </c>
      <c r="DN187" s="260">
        <f>DO187+各项系数!$L$9*$NQ187</f>
        <v>13.0474402923029</v>
      </c>
      <c r="DO187" s="260">
        <f>DP187*(1+$EB187+各项系数!$J$5+各项系数!$L$5)</f>
        <v>12.9171269950126</v>
      </c>
      <c r="DP187" s="260">
        <f t="shared" si="596"/>
        <v>12.5408999951579</v>
      </c>
      <c r="DQ187" s="259">
        <f>DR187+各项系数!$M$9*$NV187</f>
        <v>13.3984579682402</v>
      </c>
      <c r="DR187" s="259">
        <f t="shared" si="597"/>
        <v>13.2633287926782</v>
      </c>
      <c r="DS187" s="260">
        <f>DT187+各项系数!$L$9*$NV187</f>
        <v>13.5340089721206</v>
      </c>
      <c r="DT187" s="260">
        <f>DU187*(1+$EB187+各项系数!$J$5+各项系数!$L$5)</f>
        <v>13.3988797965586</v>
      </c>
      <c r="DU187" s="262">
        <f t="shared" si="598"/>
        <v>13.0086211617074</v>
      </c>
      <c r="DV187" s="259">
        <f>DW187+各项系数!$M$9*$NV187</f>
        <v>13.4510422762207</v>
      </c>
      <c r="DW187" s="259">
        <f t="shared" si="599"/>
        <v>13.3159131006587</v>
      </c>
      <c r="DX187" s="260">
        <f>DY187+各项系数!$L$9*$NV187</f>
        <v>13.5876664292436</v>
      </c>
      <c r="DY187" s="260">
        <f>DZ187*(1+$EB187+各项系数!$J$5+各项系数!$L$5)</f>
        <v>13.4525372536816</v>
      </c>
      <c r="DZ187" s="262">
        <f t="shared" si="600"/>
        <v>13.0607157802734</v>
      </c>
      <c r="EA187" s="277">
        <f t="shared" si="802"/>
        <v>0</v>
      </c>
      <c r="EB187" s="277">
        <f t="shared" si="601"/>
        <v>0.01</v>
      </c>
      <c r="EC187" s="302">
        <f t="shared" si="649"/>
        <v>7</v>
      </c>
      <c r="ED187" s="302" t="str">
        <f t="shared" si="756"/>
        <v>7*2.5</v>
      </c>
      <c r="EE187" s="251">
        <f t="shared" si="812"/>
        <v>2.5</v>
      </c>
      <c r="EF187" s="251">
        <f>LOOKUP(EH187,{1,7,10,14,19,24,30,37,48,61},{1,"1+6","2+8","4+10","1+6+12","2+8+14","4+10+16","1+6+12+18","3+9+15+21","1+6+12+18+24"})</f>
        <v>1</v>
      </c>
      <c r="EG187" s="250">
        <f t="shared" si="602"/>
        <v>7</v>
      </c>
      <c r="EH187" s="260">
        <f>VLOOKUP(EE187,各项系数!$B$87:$C$124,2,0)</f>
        <v>1</v>
      </c>
      <c r="EI187" s="250">
        <f>IF(EH187=0,0,VLOOKUP(EH187,各项系数!$D$142:$E$195,2,0))*1</f>
        <v>1</v>
      </c>
      <c r="EJ187" s="305">
        <f t="shared" si="650"/>
        <v>172.412400708262</v>
      </c>
      <c r="EK187" s="251">
        <f t="shared" si="813"/>
        <v>0</v>
      </c>
      <c r="EL187" s="251">
        <f t="shared" si="603"/>
        <v>0</v>
      </c>
      <c r="EM187" s="251">
        <f t="shared" si="814"/>
        <v>0</v>
      </c>
      <c r="EN187" s="251">
        <f>IF(EP187=0,0,LOOKUP(EP187,{1,7,10,14,19,24,30,37,48,61},{1,"1+6","2+8","4+10","1+6+12","2+8+14","4+10+16","1+6+12+18","3+9+15+21","1+6+12+18+24"}))</f>
        <v>0</v>
      </c>
      <c r="EO187" s="251">
        <f t="shared" si="815"/>
        <v>0</v>
      </c>
      <c r="EP187" s="251">
        <f>IF(EM187=0,0,IF(EM187&lt;10,1,IF(AND(EM187&gt;=10,EM187&lt;=35),7,LOOKUP(EM187,{50,70,95,120,150,185,240,300},{10,14,19,24,30,37,48,61})*1)))</f>
        <v>0</v>
      </c>
      <c r="EQ187" s="251">
        <f>IF(EP187=0,0,VLOOKUP(EP187,各项系数!$D$142:$E$195,2,0))*1</f>
        <v>0</v>
      </c>
      <c r="ER187" s="69">
        <f t="shared" si="816"/>
        <v>0</v>
      </c>
      <c r="ES187" s="566">
        <f t="shared" si="817"/>
        <v>7</v>
      </c>
      <c r="ET187" s="251">
        <f>VLOOKUP(ES187,各项系数!$D$142:$E$195,2,0)*1</f>
        <v>3</v>
      </c>
      <c r="EU187" s="311">
        <f>((各项系数!$F$76/4*$EJ187^2*$EG187*$EH187*1*10^-7)*(1-$H187)*AA187)*(VLOOKUP($EY$9,各项系数!$D$4:$F$143,3,0))*各项系数!$J$4</f>
        <v>0.14456053982232</v>
      </c>
      <c r="EV187" s="312">
        <f>EU187*(VLOOKUP($EY$9,各项系数!$D$4:$F$143,2,0))</f>
        <v>9.46871535836198</v>
      </c>
      <c r="EW187" s="324">
        <f>(IF($EO187=0,0,(各项系数!$F$76/4*$ER187^2*$EO187*$EP187*1*10^-7))*(1-$K187)*$AF187)*(VLOOKUP($EY$9,各项系数!$D$4:$F$143,3,0))*各项系数!$J$4</f>
        <v>0</v>
      </c>
      <c r="EX187" s="325">
        <f>EW187*(VLOOKUP($EY$9,各项系数!$D$4:$F$143,2,0))</f>
        <v>0</v>
      </c>
      <c r="EY187" s="251">
        <f>((各项系数!$F$76/4*$EJ187^2*$EG187*$EH187*1*10^-7)*(1-$H187)*AA187+IF($EO187=0,0,(各项系数!$F$76/4*$ER187^2*$EO187*$EP187*1*10^-7))*(1-$K187)*$AF187)*(VLOOKUP($EY$9,各项系数!$D$4:$F$143,3,0))*各项系数!$J$4</f>
        <v>0.14456053982232</v>
      </c>
      <c r="EZ187" s="123">
        <v>1</v>
      </c>
      <c r="FA187" s="251">
        <f t="shared" si="757"/>
        <v>0.14456053982232</v>
      </c>
      <c r="FB187" s="326">
        <f>FA187*(VLOOKUP($EY$9,各项系数!$D$4:$F$143,2,0))</f>
        <v>9.46871535836198</v>
      </c>
      <c r="FC187" s="327"/>
      <c r="FD187" s="302">
        <f>各项系数!$F$76/4*($MN187^2-MK187^2)*10^-2*(VLOOKUP(L187,各项系数!$D$1:$F$143,3,0))*10^-3*10^2*$EG187*各项系数!$J$4</f>
        <v>0.0408428981823202</v>
      </c>
      <c r="FE187" s="339">
        <f>FD187*VLOOKUP(L187,各项系数!$D$1:$F$143,2,0)</f>
        <v>0.469693329096682</v>
      </c>
      <c r="FF187" s="250">
        <f>各项系数!$F$76/4*($MO187^2-ML187^2)*10^-2*(VLOOKUP(L187,各项系数!$D$1:$F$143,3,0))*10^-3*10^2*$EO187*各项系数!$J$4</f>
        <v>0</v>
      </c>
      <c r="FG187" s="339">
        <f>FF187*VLOOKUP(L187,各项系数!$D$1:$F$143,2,0)</f>
        <v>0</v>
      </c>
      <c r="FH187" s="302">
        <f t="shared" si="651"/>
        <v>0.0408428981823202</v>
      </c>
      <c r="FI187" s="123">
        <v>1</v>
      </c>
      <c r="FJ187" s="251">
        <f t="shared" si="758"/>
        <v>0.0408428981823202</v>
      </c>
      <c r="FK187" s="339">
        <f>FJ187*VLOOKUP(L187,各项系数!$D$1:$F$143,2,0)</f>
        <v>0.469693329096682</v>
      </c>
      <c r="FL187" s="302"/>
      <c r="FM187" s="123"/>
      <c r="FN187" s="251"/>
      <c r="FO187" s="339"/>
      <c r="FP187" s="364">
        <f t="shared" si="759"/>
        <v>0.0408428981823202</v>
      </c>
      <c r="FQ187" s="364">
        <f t="shared" si="760"/>
        <v>0.469693329096682</v>
      </c>
      <c r="FR187" s="365">
        <f>各项系数!$F$76/4*($MQ187^2-$MN187^2*$EG187-$MO187^2*$EO187)*10^-2</f>
        <v>0.153312090725058</v>
      </c>
      <c r="FS187" s="366">
        <f t="shared" si="652"/>
        <v>1</v>
      </c>
      <c r="FT187" s="367">
        <f t="shared" si="604"/>
        <v>0.153312090725058</v>
      </c>
      <c r="FU187" s="388">
        <f>$FT187*(VLOOKUP($FT$9,各项系数!$D$1:$F$143,3,0))*10^-3*10^2*各项系数!$J$55</f>
        <v>0.0183054636325719</v>
      </c>
      <c r="FV187" s="389">
        <v>1</v>
      </c>
      <c r="FW187" s="390">
        <f t="shared" si="761"/>
        <v>0.0183054636325719</v>
      </c>
      <c r="FX187" s="367">
        <f>FW187*(VLOOKUP($FT$9,各项系数!$D$1:$F$143,2,0))</f>
        <v>0.0549163908977158</v>
      </c>
      <c r="FY187" s="388">
        <f>IF($BK187&lt;&gt;$FY$9,0,各项系数!$F$76/4*($MS187^2-$MQ187^2)*10^-2*(VLOOKUP($FY$9,各项系数!$D$1:$F$143,3,0))*10^-3*10^2)*各项系数!$J$4</f>
        <v>0</v>
      </c>
      <c r="FZ187" s="389">
        <v>1</v>
      </c>
      <c r="GA187" s="390">
        <f t="shared" si="762"/>
        <v>0</v>
      </c>
      <c r="GB187" s="367">
        <f>GA187*(VLOOKUP($FY$9,各项系数!$D$1:$F$143,2,0))</f>
        <v>0</v>
      </c>
      <c r="GC187" s="388">
        <f>IF($BK187&lt;&gt;$GC$9,0,各项系数!$F$76/4*($MS187^2-$MQ187^2)*10^-2*(VLOOKUP($GC$9,各项系数!$D$1:$F$143,3,0))*10^-3*10^2)*各项系数!$J$4</f>
        <v>0.00257631543597056</v>
      </c>
      <c r="GD187" s="389">
        <v>1</v>
      </c>
      <c r="GE187" s="390">
        <f t="shared" si="763"/>
        <v>0.00257631543597056</v>
      </c>
      <c r="GF187" s="367">
        <f>GE187*(VLOOKUP($GC$9,各项系数!$D$1:$F$143,2,0))</f>
        <v>0.0332344691240203</v>
      </c>
      <c r="GG187" s="388">
        <f>IF($BK187&lt;&gt;$GG$9,0,各项系数!$F$76/4*($MS187^2-$MQ187^2)*10^-2*(VLOOKUP($GG$9,各项系数!$D$1:$F$143,3,0))*10^-3*10^2)*各项系数!$J$4</f>
        <v>0</v>
      </c>
      <c r="GH187" s="389">
        <v>1</v>
      </c>
      <c r="GI187" s="390">
        <f t="shared" si="764"/>
        <v>0</v>
      </c>
      <c r="GJ187" s="367">
        <f>GI187*(VLOOKUP($GG$9,各项系数!$D$1:$F$143,2,0))</f>
        <v>0</v>
      </c>
      <c r="GK187" s="388">
        <f>IF($BK187&lt;&gt;$GK$9,0,各项系数!$F$76/4*($MS187^2-$MQ187^2)*10^-2*(VLOOKUP($GK$9,各项系数!$D$1:$F$143,3,0))*10^-3*10^2)*各项系数!$J$4</f>
        <v>0</v>
      </c>
      <c r="GL187" s="389">
        <v>1</v>
      </c>
      <c r="GM187" s="390">
        <f t="shared" si="765"/>
        <v>0</v>
      </c>
      <c r="GN187" s="367">
        <f>GM187*(VLOOKUP($GK$9,各项系数!$D$1:$F$143,2,0))</f>
        <v>0</v>
      </c>
      <c r="GO187" s="390">
        <f t="shared" si="766"/>
        <v>0.00257631543597056</v>
      </c>
      <c r="GP187" s="390">
        <f t="shared" si="767"/>
        <v>0.0332344691240203</v>
      </c>
      <c r="GQ187" s="406">
        <f>各项系数!$F$76/4*($MU187^2-$MS187^2)*10^-2*(VLOOKUP($S187,各项系数!$D$1:$F$143,3,0))*10^-3*10^2*各项系数!$J$4</f>
        <v>0.148842630447175</v>
      </c>
      <c r="GR187" s="389">
        <v>1</v>
      </c>
      <c r="GS187" s="390">
        <f t="shared" si="768"/>
        <v>0.148842630447175</v>
      </c>
      <c r="GT187" s="390">
        <f t="shared" si="696"/>
        <v>1</v>
      </c>
      <c r="GU187" s="390">
        <f>ROUND($GS187*(VLOOKUP($S187,各项系数!$D$1:$F$143,2,0))+$E$3*GS187,GT187)</f>
        <v>0.9</v>
      </c>
      <c r="GV187" s="406">
        <f>各项系数!$F$76/4*($MT187^2-$MS187^2)*10^-2*(VLOOKUP($GV$9,各项系数!$D$1:$F$143,3,0))*10^-3*10^2*各项系数!$J$4*PI()/4*R187</f>
        <v>0.0134492303620312</v>
      </c>
      <c r="GW187" s="389">
        <v>1</v>
      </c>
      <c r="GX187" s="390">
        <f t="shared" si="769"/>
        <v>0.0134492303620312</v>
      </c>
      <c r="GY187" s="390">
        <f>$GX187*(VLOOKUP($GV$9,各项系数!$D$1:$F$143,2,0))</f>
        <v>0.907823049437105</v>
      </c>
      <c r="GZ187" s="406">
        <f>各项系数!$F$76/4*($MV187^2-$MS187^2)*10^-2*(VLOOKUP($GZ$9,各项系数!$D$1:$F$143,3,0))*10^-3*10^2*各项系数!$J$4</f>
        <v>0.0925863632343858</v>
      </c>
      <c r="HA187" s="389">
        <v>1</v>
      </c>
      <c r="HB187" s="390">
        <f t="shared" si="653"/>
        <v>0.0925863632343858</v>
      </c>
      <c r="HC187" s="390">
        <f>HB187*(VLOOKUP($GZ$9,各项系数!$D$1:$F$143,2,0))</f>
        <v>1.57396817498456</v>
      </c>
      <c r="HD187" s="406">
        <f>各项系数!$F$76/4*($MW187^2-$MT187^2)*10^-2*(VLOOKUP($HD$9,各项系数!$D$1:$F$143,3,0))*10^-3*10^2*各项系数!$J$4</f>
        <v>0.0938917326810643</v>
      </c>
      <c r="HE187" s="389">
        <v>1</v>
      </c>
      <c r="HF187" s="390">
        <f t="shared" si="654"/>
        <v>0.0938917326810643</v>
      </c>
      <c r="HG187" s="390">
        <f>HF187*(VLOOKUP($HD$9,各项系数!$D$1:$F$143,2,0))</f>
        <v>1.59615945557809</v>
      </c>
      <c r="HH187" s="406">
        <f>各项系数!$F$76/4*($MV187^2-$MS187^2)*10^-2*(VLOOKUP($HH$9,各项系数!$D$1:$F$143,3,0))*10^-3*10^2*各项系数!$J$4</f>
        <v>0.0925863632343858</v>
      </c>
      <c r="HI187" s="420">
        <v>1</v>
      </c>
      <c r="HJ187" s="390">
        <f t="shared" si="655"/>
        <v>0.0925863632343858</v>
      </c>
      <c r="HK187" s="390">
        <f>HJ187*(VLOOKUP($HH$9,各项系数!$D$1:$F$143,2,0))</f>
        <v>1.57396817498456</v>
      </c>
      <c r="HL187" s="406">
        <f>各项系数!$F$76/4*($MW187^2-$MT187^2)*10^-2*(VLOOKUP($HL$9,各项系数!$D$1:$F$143,3,0))*10^-3*10^2*各项系数!$J$4</f>
        <v>0.0938917326810643</v>
      </c>
      <c r="HM187" s="420">
        <v>1</v>
      </c>
      <c r="HN187" s="390">
        <f t="shared" si="605"/>
        <v>0.0938917326810643</v>
      </c>
      <c r="HO187" s="390">
        <f>HN187*(VLOOKUP($HL$9,各项系数!$D$1:$F$143,2,0))</f>
        <v>1.59615945557809</v>
      </c>
      <c r="HP187" s="406">
        <f>各项系数!$F$76/4*($MV187^2-$MS187^2)*10^-2*(VLOOKUP(AN187,各项系数!$D$1:$F$143,3,0))*10^-3*10^2*各项系数!$J$4</f>
        <v>0.0938634165203774</v>
      </c>
      <c r="HQ187" s="389">
        <v>1</v>
      </c>
      <c r="HR187" s="390">
        <f t="shared" si="770"/>
        <v>0.0938634165203774</v>
      </c>
      <c r="HS187" s="390">
        <f>HR187*(VLOOKUP(AN187,各项系数!$D$1:$F$143,2,0))</f>
        <v>0.938634165203774</v>
      </c>
      <c r="HT187" s="406">
        <f>各项系数!$F$76/4*($MW187^2-$MT187^2)*10^-2*(VLOOKUP(AN187,各项系数!$D$1:$F$143,3,0))*10^-3*10^2*各项系数!$J$4</f>
        <v>0.095186791062872</v>
      </c>
      <c r="HU187" s="389">
        <v>1</v>
      </c>
      <c r="HV187" s="390">
        <f t="shared" si="771"/>
        <v>0.095186791062872</v>
      </c>
      <c r="HW187" s="390">
        <f>HV187*(VLOOKUP(AN187,各项系数!$D$1:$F$143,2,0))</f>
        <v>0.95186791062872</v>
      </c>
      <c r="HX187" s="406">
        <f>各项系数!$F$76/4*($MV187^2-$MS187^2)*10^-2*(VLOOKUP($HX$9,各项系数!$D$1:$F$143,3,0))*10^-3*10^2*各项系数!$J$4</f>
        <v>0.0938634165203774</v>
      </c>
      <c r="HY187" s="420">
        <v>1</v>
      </c>
      <c r="HZ187" s="390">
        <f t="shared" si="772"/>
        <v>0.0938634165203774</v>
      </c>
      <c r="IA187" s="390">
        <f>HZ187*(VLOOKUP($HX$9,各项系数!$D$1:$F$143,2,0))</f>
        <v>1.03249758172415</v>
      </c>
      <c r="IB187" s="406">
        <f>各项系数!$F$76/4*($MW187^2-$MT187^2)*10^-2*(VLOOKUP($IB$9,各项系数!$D$1:$F$143,3,0))*10^-3*10^2*各项系数!$J$4</f>
        <v>0.095186791062872</v>
      </c>
      <c r="IC187" s="420">
        <v>1</v>
      </c>
      <c r="ID187" s="390">
        <f t="shared" si="773"/>
        <v>0.095186791062872</v>
      </c>
      <c r="IE187" s="390">
        <f>ID187*(VLOOKUP($IB$9,各项系数!$D$1:$F$143,2,0))</f>
        <v>1.04705470169159</v>
      </c>
      <c r="IF187" s="429"/>
      <c r="IG187" s="406">
        <f t="shared" si="656"/>
        <v>0.0199306115006413</v>
      </c>
      <c r="IH187" s="389">
        <v>1</v>
      </c>
      <c r="II187" s="390">
        <f t="shared" si="774"/>
        <v>0.0199306115006413</v>
      </c>
      <c r="IJ187" s="390">
        <f>II187*(VLOOKUP($IG$8,各项系数!$D$1:$F$143,2,0))</f>
        <v>0.498265287516034</v>
      </c>
      <c r="IK187" s="406">
        <f>(各项系数!$F$76/4*($MX187^2-$MK187^2)*$EG187)*10^-2*(VLOOKUP($IG$8,各项系数!$D$1:$F$143,3,0))*10^-3*10^2*各项系数!$J$4</f>
        <v>0.0199306115006413</v>
      </c>
      <c r="IL187" s="389">
        <f>IK187*(VLOOKUP($IG$8,各项系数!$D$1:$F$143,2,0))</f>
        <v>0.498265287516034</v>
      </c>
      <c r="IM187" s="390">
        <f>(各项系数!$F$76/4*(($MM187+3*$X187)^2-MM187^2)*$EO187)*10^-2*(VLOOKUP($IG$8,各项系数!$D$1:$F$143,3,0))*10^-3*10^2*各项系数!$J$4</f>
        <v>0</v>
      </c>
      <c r="IN187" s="389">
        <f>IM187*(VLOOKUP($IG$8,各项系数!$D$1:$F$143,2,0))</f>
        <v>0</v>
      </c>
      <c r="IO187" s="406">
        <f>各项系数!$F$76/4*($MZ187^2-$MX187^2)*10^-2*(VLOOKUP(L187,各项系数!$D$1:$F$143,3,0))*10^-3*10^2*$ES187*各项系数!$J$4</f>
        <v>0.050952009270821</v>
      </c>
      <c r="IP187" s="389">
        <v>1</v>
      </c>
      <c r="IQ187" s="390">
        <f t="shared" si="775"/>
        <v>0.050952009270821</v>
      </c>
      <c r="IR187" s="367">
        <f>IQ187*(VLOOKUP(L187,各项系数!$D$1:$F$143,2,0))</f>
        <v>0.585948106614442</v>
      </c>
      <c r="IS187" s="406">
        <f>IF($L187&lt;&gt;$IS$9,0,各项系数!$F$76/4*($MZ187^2-$MX187^2)*10^-2*各项系数!$F$12*10^-3*10^2)*$ES187*各项系数!$J$4</f>
        <v>0</v>
      </c>
      <c r="IT187" s="389">
        <v>1</v>
      </c>
      <c r="IU187" s="390">
        <f t="shared" si="776"/>
        <v>0</v>
      </c>
      <c r="IV187" s="367">
        <f>IU187*各项系数!$E$12</f>
        <v>0</v>
      </c>
      <c r="IW187" s="388">
        <f t="shared" si="777"/>
        <v>0.050952009270821</v>
      </c>
      <c r="IX187" s="388">
        <f t="shared" si="778"/>
        <v>0.585948106614442</v>
      </c>
      <c r="IY187" s="447">
        <f>各项系数!$F$76/4*($NB187^2-$MZ187^2*$EG187-$NA187^2*$EO187)*10^-2</f>
        <v>0.217855307733837</v>
      </c>
      <c r="IZ187" s="366">
        <f t="shared" si="697"/>
        <v>1</v>
      </c>
      <c r="JA187" s="367">
        <f t="shared" si="606"/>
        <v>0.217855307733837</v>
      </c>
      <c r="JB187" s="364">
        <f>IF($DE187&lt;&gt;$JB$9,0,$JA187*各项系数!$F$32*10^-3*10^2)*各项系数!$J$4</f>
        <v>0</v>
      </c>
      <c r="JC187" s="123">
        <v>1</v>
      </c>
      <c r="JD187" s="251">
        <f t="shared" si="779"/>
        <v>0</v>
      </c>
      <c r="JE187" s="339">
        <f>JD187*各项系数!$E$32</f>
        <v>0</v>
      </c>
      <c r="JF187" s="364">
        <f>IF($DE187&lt;&gt;$JF$9,0,$JA187*VLOOKUP($JF$9,各项系数!$D$4:$F$540,2,0)*10^-3*10^2)*各项系数!$J$4</f>
        <v>0.108383015597584</v>
      </c>
      <c r="JG187" s="123">
        <v>1</v>
      </c>
      <c r="JH187" s="251">
        <f t="shared" si="607"/>
        <v>0.108383015597584</v>
      </c>
      <c r="JI187" s="339">
        <f>JH187*VLOOKUP($JF$9,各项系数!$D$4:$F$540,3,0)</f>
        <v>0.130059618717101</v>
      </c>
      <c r="JJ187" s="364">
        <f t="shared" si="780"/>
        <v>0.108383015597584</v>
      </c>
      <c r="JK187" s="251">
        <f t="shared" si="781"/>
        <v>0.130059618717101</v>
      </c>
      <c r="JL187" s="364">
        <f>IF($DF187&lt;&gt;$JL$9,0,各项系数!$F$76/4*($NE187^2-$NC187^2)*10^-2*各项系数!$F$39*10^-3*10^2)*各项系数!$J$4</f>
        <v>0.00127075150245585</v>
      </c>
      <c r="JM187" s="123">
        <v>1</v>
      </c>
      <c r="JN187" s="251">
        <f t="shared" si="782"/>
        <v>0.00127075150245585</v>
      </c>
      <c r="JO187" s="339">
        <f>JN187*各项系数!$E$39</f>
        <v>0.0254150300491169</v>
      </c>
      <c r="JP187" s="364">
        <f>IF($DF187&lt;&gt;$JP$9,0,各项系数!$F$76/4*($NE187^2-$NC187^2)*10^-2*各项系数!$F$36*10^-3*10^2)*各项系数!$J$4</f>
        <v>0</v>
      </c>
      <c r="JQ187" s="123">
        <v>1</v>
      </c>
      <c r="JR187" s="251">
        <f t="shared" si="783"/>
        <v>0</v>
      </c>
      <c r="JS187" s="339">
        <f>JR187*各项系数!$E$36</f>
        <v>0</v>
      </c>
      <c r="JT187" s="364">
        <f>IF($DF187&lt;&gt;$JT$9,0,各项系数!$F$76/4*($NE187^2-$NC187^2)*10^-2*各项系数!$F$40*10^-3*10^2)*各项系数!$J$4</f>
        <v>0</v>
      </c>
      <c r="JU187" s="123">
        <v>1</v>
      </c>
      <c r="JV187" s="251">
        <f t="shared" si="784"/>
        <v>0</v>
      </c>
      <c r="JW187" s="339">
        <f>JV187*各项系数!$E$40</f>
        <v>0</v>
      </c>
      <c r="JX187" s="364">
        <f>IF($DF187&lt;&gt;$JX$9,0,各项系数!$F$76/4*($NE187^2-$NC187^2)*10^-2*各项系数!$F$38*10^-3*10^2)*各项系数!$J$4</f>
        <v>0</v>
      </c>
      <c r="JY187" s="123">
        <v>1</v>
      </c>
      <c r="JZ187" s="251">
        <f t="shared" si="785"/>
        <v>0</v>
      </c>
      <c r="KA187" s="339">
        <f>JZ187*各项系数!$E$38</f>
        <v>0</v>
      </c>
      <c r="KB187" s="364">
        <f>IF($DF187&lt;&gt;$KB$9,0,各项系数!$F$76/4*($NE187^2-$NC187^2)*10^-2*各项系数!$F$41*10^-3*10^2)*各项系数!$J$4</f>
        <v>0</v>
      </c>
      <c r="KC187" s="123">
        <v>1</v>
      </c>
      <c r="KD187" s="251">
        <f t="shared" si="786"/>
        <v>0</v>
      </c>
      <c r="KE187" s="339">
        <f>KD187*各项系数!$E$41</f>
        <v>0</v>
      </c>
      <c r="KF187" s="251">
        <f t="shared" si="787"/>
        <v>0.00127075150245585</v>
      </c>
      <c r="KG187" s="251">
        <f t="shared" si="788"/>
        <v>0.0254150300491169</v>
      </c>
      <c r="KH187" s="302">
        <f>各项系数!$F$76/4*($NG187^2-$NE187^2)*10^-2*各项系数!$F$44*10^-3*10^2*各项系数!$J$4*0.75*$U187</f>
        <v>0.528543803548932</v>
      </c>
      <c r="KI187" s="123">
        <v>1</v>
      </c>
      <c r="KJ187" s="251">
        <f t="shared" si="789"/>
        <v>0.528543803548932</v>
      </c>
      <c r="KK187" s="251">
        <f>ROUND(KJ187*各项系数!$E$43,GT187)</f>
        <v>3.1</v>
      </c>
      <c r="KL187" s="302">
        <f>各项系数!$F$76/4*($NF187^2-$NE187^2)*10^-2*各项系数!$F$46*10^-3*10^2*各项系数!$J$4*PI()/4*R187</f>
        <v>0.0160529275723918</v>
      </c>
      <c r="KM187" s="123">
        <v>1</v>
      </c>
      <c r="KN187" s="251">
        <f t="shared" si="790"/>
        <v>0.0160529275723918</v>
      </c>
      <c r="KO187" s="251">
        <f>KN187*各项系数!$E$46</f>
        <v>1.08357261113644</v>
      </c>
      <c r="KP187" s="302">
        <f>各项系数!$F$76/4*($NH187^2-$NE187^2)*10^-2*(VLOOKUP($KP$9,各项系数!$D$1:$F$143,3,0))*10^-3*10^2*各项系数!$J$4</f>
        <v>0.107793917288189</v>
      </c>
      <c r="KQ187" s="123">
        <v>1</v>
      </c>
      <c r="KR187" s="251">
        <f t="shared" si="657"/>
        <v>0.107793917288189</v>
      </c>
      <c r="KS187" s="251">
        <f>KR187*(VLOOKUP($KP$9,各项系数!$D$1:$F$143,2,0))</f>
        <v>1.83249659389922</v>
      </c>
      <c r="KT187" s="302">
        <f>各项系数!$F$76/4*($NI187^2-$NF187^2)*10^-2*(VLOOKUP($KT$9,各项系数!$D$1:$F$143,3,0))*10^-3*10^2*各项系数!$J$4</f>
        <v>0.109099286734868</v>
      </c>
      <c r="KU187" s="123">
        <v>1</v>
      </c>
      <c r="KV187" s="251">
        <f t="shared" si="658"/>
        <v>0.109099286734868</v>
      </c>
      <c r="KW187" s="251">
        <f>KV187*(VLOOKUP($KT$9,各项系数!$D$1:$F$143,2,0))</f>
        <v>1.85468787449275</v>
      </c>
      <c r="KX187" s="251">
        <f>各项系数!$F$76/4*($NH187^2-$NE187^2)*10^-2*(VLOOKUP($KX$9,各项系数!$D$1:$F$143,3,0))*10^-3*10^2*各项系数!$J$4</f>
        <v>0.107793917288189</v>
      </c>
      <c r="KY187" s="479">
        <v>1</v>
      </c>
      <c r="KZ187" s="251">
        <f t="shared" si="659"/>
        <v>0.107793917288189</v>
      </c>
      <c r="LA187" s="251">
        <f>KZ187*(VLOOKUP($KX$9,各项系数!$D$1:$F$143,2,0))</f>
        <v>1.83249659389922</v>
      </c>
      <c r="LB187" s="251">
        <f>各项系数!$F$76/4*($NI187^2-$NF187^2)*10^-2*(VLOOKUP($LB$9,各项系数!$D$1:$F$143,3,0))*10^-3*10^2*各项系数!$J$4</f>
        <v>0.109099286734868</v>
      </c>
      <c r="LC187" s="479">
        <v>1</v>
      </c>
      <c r="LD187" s="251">
        <f t="shared" si="660"/>
        <v>0.109099286734868</v>
      </c>
      <c r="LE187" s="251">
        <f>LD187*(VLOOKUP($LB$9,各项系数!$D$1:$F$143,2,0))</f>
        <v>1.85468787449275</v>
      </c>
      <c r="LF187" s="302">
        <f>各项系数!$F$76/4*($NH187^2-$NE187^2)*10^-2*(VLOOKUP(AN187,各项系数!$D$1:$F$143,3,0))*10^-3*10^2*各项系数!$J$4</f>
        <v>0.10928072994044</v>
      </c>
      <c r="LG187" s="123">
        <v>1</v>
      </c>
      <c r="LH187" s="251">
        <f t="shared" si="791"/>
        <v>0.10928072994044</v>
      </c>
      <c r="LI187" s="251">
        <f>LH187*(VLOOKUP(AN187,各项系数!$D$1:$F$143,2,0))</f>
        <v>1.0928072994044</v>
      </c>
      <c r="LJ187" s="302">
        <f>各项系数!$F$76/4*($NI187^2-$NF187^2)*10^-2*(VLOOKUP(AN187,各项系数!$D$1:$F$143,3,0))*10^-3*10^2*各项系数!$J$4</f>
        <v>0.110604104482935</v>
      </c>
      <c r="LK187" s="123">
        <v>1</v>
      </c>
      <c r="LL187" s="251">
        <f t="shared" si="792"/>
        <v>0.110604104482935</v>
      </c>
      <c r="LM187" s="251">
        <f>LL187*(VLOOKUP(AN187,各项系数!$D$1:$F$143,2,0))</f>
        <v>1.10604104482935</v>
      </c>
      <c r="LN187" s="251">
        <f>各项系数!$F$76/4*($NH187^2-$NE187^2)*10^-2*(VLOOKUP($LN$9,各项系数!$D$1:$F$143,3,0))*10^-3*10^2*各项系数!$J$4</f>
        <v>0.10928072994044</v>
      </c>
      <c r="LO187" s="479">
        <v>1</v>
      </c>
      <c r="LP187" s="251">
        <f t="shared" si="793"/>
        <v>0.10928072994044</v>
      </c>
      <c r="LQ187" s="251">
        <f>LP187*(VLOOKUP($LN$9,各项系数!$D$1:$F$143,2,0))</f>
        <v>1.20208802934484</v>
      </c>
      <c r="LR187" s="251">
        <f>各项系数!$F$76/4*($NI187^2-$NF187^2)*10^-2*(VLOOKUP($LR$9,各项系数!$D$1:$F$143,3,0))*10^-3*10^2*各项系数!$J$4</f>
        <v>0.110604104482935</v>
      </c>
      <c r="LS187" s="479">
        <v>1</v>
      </c>
      <c r="LT187" s="251">
        <f t="shared" si="794"/>
        <v>0.110604104482935</v>
      </c>
      <c r="LU187" s="251">
        <f>LT187*(VLOOKUP($LR$9,各项系数!$D$1:$F$143,2,0))</f>
        <v>1.21664514931228</v>
      </c>
      <c r="LV187" s="499">
        <f t="shared" si="661"/>
        <v>16.34274187</v>
      </c>
      <c r="LW187" s="499">
        <f t="shared" si="662"/>
        <v>16.34274187</v>
      </c>
      <c r="LX187" s="499">
        <f t="shared" si="663"/>
        <v>4.5616033604735</v>
      </c>
      <c r="LY187" s="515">
        <f t="shared" si="664"/>
        <v>0</v>
      </c>
      <c r="LZ187" s="516">
        <f t="shared" si="608"/>
        <v>1</v>
      </c>
      <c r="MA187" s="517">
        <f t="shared" si="609"/>
        <v>16.34274187</v>
      </c>
      <c r="MB187" s="517">
        <f t="shared" si="665"/>
        <v>1.72412401</v>
      </c>
      <c r="MC187" s="499">
        <f t="shared" si="666"/>
        <v>0</v>
      </c>
      <c r="MD187" s="499">
        <f t="shared" si="667"/>
        <v>0</v>
      </c>
      <c r="ME187" s="499">
        <f t="shared" si="668"/>
        <v>0</v>
      </c>
      <c r="MF187" s="499">
        <f t="shared" si="669"/>
        <v>0</v>
      </c>
      <c r="MG187" s="516">
        <f t="shared" si="670"/>
        <v>1</v>
      </c>
      <c r="MH187" s="517">
        <f t="shared" si="610"/>
        <v>0</v>
      </c>
      <c r="MI187" s="517">
        <f t="shared" si="671"/>
        <v>0</v>
      </c>
      <c r="MJ187" s="251">
        <f t="shared" si="611"/>
        <v>1.72412401</v>
      </c>
      <c r="MK187" s="251">
        <f t="shared" si="672"/>
        <v>1.72412401</v>
      </c>
      <c r="ML187" s="251">
        <f t="shared" si="795"/>
        <v>0</v>
      </c>
      <c r="MM187" s="251">
        <f t="shared" si="612"/>
        <v>0</v>
      </c>
      <c r="MN187" s="251">
        <f t="shared" si="613"/>
        <v>3.12412401</v>
      </c>
      <c r="MO187" s="251">
        <f t="shared" si="673"/>
        <v>0</v>
      </c>
      <c r="MP187" s="251">
        <f t="shared" si="674"/>
        <v>9.37237203</v>
      </c>
      <c r="MQ187" s="251">
        <f t="shared" si="796"/>
        <v>9.37237203</v>
      </c>
      <c r="MR187" s="314">
        <f t="shared" si="675"/>
        <v>9.37237203</v>
      </c>
      <c r="MS187" s="530">
        <f t="shared" si="614"/>
        <v>9.54837203</v>
      </c>
      <c r="MT187" s="530">
        <f t="shared" si="615"/>
        <v>9.70837203</v>
      </c>
      <c r="MU187" s="530">
        <f t="shared" si="616"/>
        <v>10.74837203</v>
      </c>
      <c r="MV187" s="530">
        <f t="shared" si="617"/>
        <v>13.14837203</v>
      </c>
      <c r="MW187" s="530">
        <f t="shared" si="618"/>
        <v>13.30837203</v>
      </c>
      <c r="MX187" s="326">
        <f t="shared" si="619"/>
        <v>2.32412401</v>
      </c>
      <c r="MY187" s="326">
        <f t="shared" si="620"/>
        <v>0</v>
      </c>
      <c r="MZ187" s="251">
        <f t="shared" si="621"/>
        <v>3.72412401</v>
      </c>
      <c r="NA187" s="251">
        <f t="shared" si="622"/>
        <v>0</v>
      </c>
      <c r="NB187" s="251">
        <f t="shared" si="676"/>
        <v>11.17237203</v>
      </c>
      <c r="NC187" s="326">
        <f t="shared" si="797"/>
        <v>11.17237203</v>
      </c>
      <c r="ND187" s="314">
        <f t="shared" si="677"/>
        <v>11.17237203</v>
      </c>
      <c r="NE187" s="537">
        <f t="shared" si="678"/>
        <v>11.41237203</v>
      </c>
      <c r="NF187" s="530">
        <f t="shared" si="623"/>
        <v>11.57237203</v>
      </c>
      <c r="NG187" s="538">
        <f t="shared" si="624"/>
        <v>12.61237203</v>
      </c>
      <c r="NH187" s="326">
        <f t="shared" si="625"/>
        <v>15.01237203</v>
      </c>
      <c r="NI187" s="530">
        <f t="shared" si="626"/>
        <v>15.17237203</v>
      </c>
      <c r="NK187" s="539">
        <f t="shared" si="627"/>
        <v>0.30014863359356</v>
      </c>
      <c r="NL187" s="539">
        <f t="shared" si="628"/>
        <v>10.9651937126842</v>
      </c>
      <c r="NM187" s="539">
        <f t="shared" si="629"/>
        <v>0.30014863359356</v>
      </c>
      <c r="NN187" s="539">
        <f t="shared" si="630"/>
        <v>11.0590571292045</v>
      </c>
      <c r="NO187" s="539">
        <f t="shared" si="631"/>
        <v>0.434377657634263</v>
      </c>
      <c r="NP187" s="539">
        <f t="shared" si="632"/>
        <v>11.8012107006631</v>
      </c>
      <c r="NQ187" s="539">
        <f t="shared" si="633"/>
        <v>0.434377657634263</v>
      </c>
      <c r="NR187" s="539">
        <f t="shared" si="634"/>
        <v>11.9104914306035</v>
      </c>
      <c r="NS187" s="539">
        <f t="shared" si="635"/>
        <v>0.313597863955592</v>
      </c>
      <c r="NT187" s="539">
        <f t="shared" si="636"/>
        <v>0.313597863955592</v>
      </c>
      <c r="NU187" s="539">
        <f t="shared" si="637"/>
        <v>0.450430585206654</v>
      </c>
      <c r="NV187" s="539">
        <f t="shared" si="638"/>
        <v>0.450430585206654</v>
      </c>
      <c r="NW187">
        <f t="shared" si="639"/>
        <v>0.448991264040735</v>
      </c>
      <c r="NX187">
        <f>各项系数!$M$9*NK187</f>
        <v>0.0900445900780681</v>
      </c>
      <c r="NY187">
        <f t="shared" si="640"/>
        <v>0.313597863955592</v>
      </c>
    </row>
    <row r="188" customHeight="1" spans="1:389">
      <c r="A188" s="85"/>
      <c r="B188" s="86"/>
      <c r="C188" s="218"/>
      <c r="D188" s="123" t="s">
        <v>205</v>
      </c>
      <c r="E188" s="77">
        <f t="shared" si="805"/>
        <v>14.55422783</v>
      </c>
      <c r="F188" s="559">
        <f t="shared" si="820"/>
        <v>172.412400708262</v>
      </c>
      <c r="G188" s="23"/>
      <c r="H188" s="23"/>
      <c r="I188" s="174">
        <v>0</v>
      </c>
      <c r="J188" s="23"/>
      <c r="K188" s="23"/>
      <c r="L188" s="118" t="s">
        <v>469</v>
      </c>
      <c r="M188" s="124">
        <f t="shared" si="582"/>
        <v>0.7</v>
      </c>
      <c r="N188" s="124">
        <f t="shared" si="804"/>
        <v>0</v>
      </c>
      <c r="O188" s="69">
        <f t="shared" ref="O188:O197" si="825">$O$36</f>
        <v>0.08</v>
      </c>
      <c r="P188" s="120">
        <v>0.1</v>
      </c>
      <c r="Q188" s="162">
        <f t="shared" si="823"/>
        <v>0.1</v>
      </c>
      <c r="R188" s="560">
        <v>0.8</v>
      </c>
      <c r="S188" s="171" t="str">
        <f>各项系数!$D$43</f>
        <v>钢带</v>
      </c>
      <c r="T188" s="123">
        <v>0.2</v>
      </c>
      <c r="U188" s="78">
        <v>4</v>
      </c>
      <c r="V188" s="172"/>
      <c r="W188" s="170">
        <f>$W$186</f>
        <v>1.8</v>
      </c>
      <c r="X188" s="164">
        <f t="shared" si="824"/>
        <v>0.2</v>
      </c>
      <c r="Y188" s="219"/>
      <c r="Z188" s="220"/>
      <c r="AA188" s="217">
        <v>1</v>
      </c>
      <c r="AB188" s="186">
        <f>PI()*EJ188*EJ188/4*EH188*(1-H188)*AA188*各项系数!$F$5*各项系数!$J$4*10^-7</f>
        <v>0.0206515056889029</v>
      </c>
      <c r="AC188" s="186">
        <f t="shared" si="808"/>
        <v>172.412400708262</v>
      </c>
      <c r="AD188" s="186">
        <f t="shared" si="584"/>
        <v>2.3346774015073</v>
      </c>
      <c r="AE188" s="186">
        <f>POWER(4*EU188/PI()/EG188/10^-7/EH188/(1-H188)/各项系数!$F$5/各项系数!$J$4,0.5)</f>
        <v>172.412400708262</v>
      </c>
      <c r="AF188" s="218">
        <v>1</v>
      </c>
      <c r="AG188" s="85">
        <f>IF(EM188=0,0,PI()*ER188*ER188/4*EP188*(1-K188)*(1+AF188)*各项系数!$F$5*各项系数!$J$4*10^-7)</f>
        <v>0</v>
      </c>
      <c r="AH188" s="85">
        <f t="shared" si="809"/>
        <v>0</v>
      </c>
      <c r="AI188" s="85">
        <f t="shared" si="641"/>
        <v>0</v>
      </c>
      <c r="AJ188" s="85">
        <f>IF(OR(EP188="",EP188=0),0,POWER(4*EW188/PI()/EO188/10^-7/EP188/(1-K188)/各项系数!$F$5/各项系数!$J$4,0.5))</f>
        <v>0</v>
      </c>
      <c r="AK188" s="85" t="str">
        <f t="shared" si="585"/>
        <v>√</v>
      </c>
      <c r="AL188" s="85">
        <f t="shared" si="810"/>
        <v>13.0201975118179</v>
      </c>
      <c r="AM188" s="250">
        <f t="shared" si="811"/>
        <v>2.5</v>
      </c>
      <c r="AN188" s="118" t="s">
        <v>486</v>
      </c>
      <c r="AO188" s="259">
        <f>AP188+各项系数!$M$9*$NK188</f>
        <v>12.7648995213901</v>
      </c>
      <c r="AP188" s="259">
        <f>AQ188*(1+$BI188+(VLOOKUP($AM188,$A$12:$B$323,2,0))+各项系数!$J$6+各项系数!$M$5)*(1+$E$2)</f>
        <v>12.6580819039171</v>
      </c>
      <c r="AQ188" s="260">
        <f>AR188+各项系数!$L$9*$NK188</f>
        <v>12.9164101060379</v>
      </c>
      <c r="AR188" s="260">
        <f>AS188*(1+$BJ188+各项系数!$J$5+各项系数!$L$5)</f>
        <v>12.8095924885649</v>
      </c>
      <c r="AS188" s="260">
        <f t="shared" si="642"/>
        <v>12.5584240083969</v>
      </c>
      <c r="AT188" s="259">
        <f>AU188+各项系数!$M$9*$NM188</f>
        <v>13.4786541823754</v>
      </c>
      <c r="AU188" s="259">
        <f>AV188*(1+$BI188+(VLOOKUP($AM188,$A$12:$B$323,2,0))+各项系数!$J$6+各项系数!$M$5)*(1+$E$2)</f>
        <v>13.3718365649024</v>
      </c>
      <c r="AV188" s="260">
        <f>AW188+各项系数!$L$9*$NM188</f>
        <v>13.6447311886759</v>
      </c>
      <c r="AW188" s="260">
        <f>AX188*(1+$BJ188+各项系数!$J$5+各项系数!$L$5)</f>
        <v>13.537913571203</v>
      </c>
      <c r="AX188" s="260">
        <f t="shared" si="643"/>
        <v>13.2724642854931</v>
      </c>
      <c r="AY188" s="259">
        <f>AZ188+各项系数!$M$9*$NS188</f>
        <v>13.8272430455989</v>
      </c>
      <c r="AZ188" s="259">
        <f>BA188*(1+$BI188+(VLOOKUP($AM188,$A$12:$B$214,2,0))+各项系数!$J$6+各项系数!$M$5)*(1+$E$2)</f>
        <v>13.7158015351721</v>
      </c>
      <c r="BA188" s="260">
        <f>BB188+各项系数!$L$9*$NS188</f>
        <v>13.9957158522164</v>
      </c>
      <c r="BB188" s="260">
        <f>BC188*(1+$BJ188+各项系数!$J$5+各项系数!$L$5)</f>
        <v>13.8842743417897</v>
      </c>
      <c r="BC188" s="262">
        <f t="shared" si="644"/>
        <v>13.6120336684213</v>
      </c>
      <c r="BD188" s="259">
        <f>BE188+各项系数!$M$9*$NS188</f>
        <v>14.5499516587387</v>
      </c>
      <c r="BE188" s="259">
        <f>BF188*(1+$BI188+(VLOOKUP($AM188,$A$12:$B$214,2,0))+各项系数!$J$6+各项系数!$M$5)*(1+$E$2)</f>
        <v>14.438510148312</v>
      </c>
      <c r="BF188" s="260">
        <f>BG188+各项系数!$L$9*$NS188</f>
        <v>14.7331736207265</v>
      </c>
      <c r="BG188" s="260">
        <f>BH188*(1+$BJ188+各项系数!$J$5+各项系数!$L$5)</f>
        <v>14.6217321102997</v>
      </c>
      <c r="BH188" s="262">
        <f t="shared" si="645"/>
        <v>14.335031480686</v>
      </c>
      <c r="BI188" s="277"/>
      <c r="BJ188" s="272">
        <f t="shared" si="822"/>
        <v>0</v>
      </c>
      <c r="BK188" s="123" t="s">
        <v>514</v>
      </c>
      <c r="BL188" s="259">
        <f>BM188+各项系数!$M$9*$NM188</f>
        <v>12.9944550732433</v>
      </c>
      <c r="BM188" s="259">
        <f>BN188*(1+$CF188+(VLOOKUP($AM188,$A$12:$B$323,2,0))+各项系数!$J$6+各项系数!$M$5)*(1+$E$2)</f>
        <v>12.8876374557703</v>
      </c>
      <c r="BN188" s="260">
        <f>BO188+各项系数!$L$9*$NM188</f>
        <v>13.1506504650717</v>
      </c>
      <c r="BO188" s="260">
        <f>BP188*(1+$CG188+各项系数!$J$5+各项系数!$L$5)</f>
        <v>13.0438328475987</v>
      </c>
      <c r="BP188" s="260">
        <f t="shared" si="646"/>
        <v>12.6639153860182</v>
      </c>
      <c r="BQ188" s="259">
        <f>BR188+各项系数!$M$9*$NM188</f>
        <v>13.6087243323732</v>
      </c>
      <c r="BR188" s="259">
        <f>BS188*(1+$CF188+(VLOOKUP($AM188,$A$12:$B$323,2,0))+各项系数!$J$6+各项系数!$M$5)*(1+$E$2)</f>
        <v>13.5019067149003</v>
      </c>
      <c r="BS188" s="260">
        <f>BT188+各项系数!$L$9*$NM188</f>
        <v>13.7774558315309</v>
      </c>
      <c r="BT188" s="260">
        <f>BU188*(1+$CG188+各项系数!$J$5+各项系数!$L$5)</f>
        <v>13.6706382140579</v>
      </c>
      <c r="BU188" s="260">
        <f t="shared" si="647"/>
        <v>13.2724642854931</v>
      </c>
      <c r="BV188" s="259">
        <f>BW188+各项系数!$M$9*$NT188</f>
        <v>13.9673452412571</v>
      </c>
      <c r="BW188" s="259">
        <f>BX188*(1+$CF188+(VLOOKUP($AM188,$A$12:$B$214,2,0))+各项系数!$J$6+各项系数!$M$5)*(1+$E$2)</f>
        <v>13.8559037308304</v>
      </c>
      <c r="BX188" s="260">
        <f>BY188+各项系数!$L$9*$NT$12</f>
        <v>14.1386772763575</v>
      </c>
      <c r="BY188" s="260">
        <f>BZ188*(1+$CG188+各项系数!$J$5+各项系数!$L$5)</f>
        <v>14.1304138732025</v>
      </c>
      <c r="BZ188" s="262">
        <f t="shared" si="586"/>
        <v>13.718848420585</v>
      </c>
      <c r="CA188" s="259">
        <f>CB188+各项系数!$M$9*$NT188</f>
        <v>14.5893204221231</v>
      </c>
      <c r="CB188" s="259">
        <f>CC188*(1+$CF188+(VLOOKUP($AM188,$A$12:$B$214,2,0))+各项系数!$J$6+各项系数!$M$5)*(1+$E$2)</f>
        <v>14.4778789116963</v>
      </c>
      <c r="CC188" s="260">
        <f>CD188+各项系数!$L$9*$NT$12</f>
        <v>14.7733458282616</v>
      </c>
      <c r="CD188" s="260">
        <f>CE188*(1+$CG188+各项系数!$J$5+各项系数!$L$5)</f>
        <v>14.7650824251066</v>
      </c>
      <c r="CE188" s="262">
        <f t="shared" si="648"/>
        <v>14.335031480686</v>
      </c>
      <c r="CF188" s="277">
        <f t="shared" si="753"/>
        <v>0</v>
      </c>
      <c r="CG188" s="277">
        <f t="shared" si="587"/>
        <v>0.01</v>
      </c>
      <c r="CH188" s="123"/>
      <c r="CI188" s="259">
        <f>CJ188+各项系数!$M$9*$NO188</f>
        <v>14.0221509066468</v>
      </c>
      <c r="CJ188" s="259">
        <f>CK188*(1+$DC188+(VLOOKUP($AM188,$A$12:$B$323,2,0))+各项系数!$J$6+各项系数!$M$5)*(1+$E$2)+各项系数!$M$9*$NK188</f>
        <v>13.8474596052669</v>
      </c>
      <c r="CK188" s="260">
        <f>CL188+各项系数!$L$9*$NO188</f>
        <v>14.021063252851</v>
      </c>
      <c r="CL188" s="260">
        <f>CM188*(1+$DD188+各项系数!$J$5+各项系数!$L$5)</f>
        <v>13.846371951471</v>
      </c>
      <c r="CM188" s="260">
        <f t="shared" si="588"/>
        <v>13.5748744622265</v>
      </c>
      <c r="CN188" s="259">
        <f>CO188+各项系数!$M$9*$NO188</f>
        <v>14.5594710900588</v>
      </c>
      <c r="CO188" s="259">
        <f>CP188*(1+$DC188+(VLOOKUP($AM188,$A$12:$B$323,2,0))+各项系数!$J$6+各项系数!$M$5)*(1+$E$2)+各项系数!$M$9*$NK188</f>
        <v>14.3847797886789</v>
      </c>
      <c r="CP188" s="260">
        <f>CQ188+各项系数!$L$9*$NO188</f>
        <v>14.5693491542917</v>
      </c>
      <c r="CQ188" s="260">
        <f>CR188*(1+$DD188+各项系数!$J$5+各项系数!$L$5)</f>
        <v>14.3946578529118</v>
      </c>
      <c r="CR188" s="260">
        <f t="shared" si="589"/>
        <v>14.1124096597174</v>
      </c>
      <c r="CS188" s="259">
        <f>CT188+各项系数!$M$9*$NU188</f>
        <v>15.1805737989028</v>
      </c>
      <c r="CT188" s="259">
        <f t="shared" si="590"/>
        <v>15.0003643519114</v>
      </c>
      <c r="CU188" s="260">
        <f>CV188+各项系数!$L$9*$NU188</f>
        <v>15.3064942366442</v>
      </c>
      <c r="CV188" s="260">
        <f>CW188*(1+$DD188+各项系数!$J$5+各项系数!$L$5)</f>
        <v>15.1262847896528</v>
      </c>
      <c r="CW188" s="262">
        <f t="shared" si="591"/>
        <v>14.8296909702478</v>
      </c>
      <c r="CX188" s="259">
        <f>CY188+各项系数!$M$9*$NU188</f>
        <v>16.0227057489036</v>
      </c>
      <c r="CY188" s="259">
        <f t="shared" si="592"/>
        <v>15.8424963019121</v>
      </c>
      <c r="CZ188" s="260">
        <f>DA188+各项系数!$L$9*$NU188</f>
        <v>16.1658125529715</v>
      </c>
      <c r="DA188" s="260">
        <f>DB188*(1+$DD188+各项系数!$J$5+各项系数!$L$5)</f>
        <v>15.9856031059801</v>
      </c>
      <c r="DB188" s="262">
        <f t="shared" si="593"/>
        <v>15.6721599078236</v>
      </c>
      <c r="DC188" s="277">
        <f t="shared" si="803"/>
        <v>0</v>
      </c>
      <c r="DD188" s="277">
        <f t="shared" si="594"/>
        <v>0</v>
      </c>
      <c r="DE188" s="69" t="s">
        <v>498</v>
      </c>
      <c r="DF188" s="69" t="s">
        <v>513</v>
      </c>
      <c r="DG188" s="259">
        <f>DH188+各项系数!$M$9*$NQ188</f>
        <v>14.2794840956829</v>
      </c>
      <c r="DH188" s="259">
        <f>DI188*(1+$EA188+(VLOOKUP($AM188,$A$12:$B$323,2,0))+各项系数!$J$6+各项系数!$M$5)*(1+$E$2)+各项系数!$M$9*$NK188</f>
        <v>14.104792794303</v>
      </c>
      <c r="DI188" s="260">
        <f>DJ188+各项系数!$L$9*$NQ188</f>
        <v>14.2836481396224</v>
      </c>
      <c r="DJ188" s="260">
        <f>DK188*(1+$EB188+各项系数!$J$5+各项系数!$L$5)</f>
        <v>14.1089568382425</v>
      </c>
      <c r="DK188" s="260">
        <f t="shared" si="595"/>
        <v>13.6980163478083</v>
      </c>
      <c r="DL188" s="259">
        <f>DM188+各项系数!$M$9*$NQ188</f>
        <v>14.9965310859665</v>
      </c>
      <c r="DM188" s="259">
        <f>DN188*(1+$EA188+(VLOOKUP($AM188,$A$12:$B$323,2,0))+各项系数!$J$6+各项系数!$M$5)*(1+$E$2)+各项系数!$M$9*$NK188</f>
        <v>14.8218397845866</v>
      </c>
      <c r="DN188" s="260">
        <f>DO188+各项系数!$L$9*$NQ188</f>
        <v>15.0153287419526</v>
      </c>
      <c r="DO188" s="260">
        <f>DP188*(1+$EB188+各项系数!$J$5+各项系数!$L$5)</f>
        <v>14.8406374405727</v>
      </c>
      <c r="DP188" s="260">
        <f t="shared" si="596"/>
        <v>14.4083858646337</v>
      </c>
      <c r="DQ188" s="259">
        <f>DR188+各项系数!$M$9*$NV188</f>
        <v>15.4515400039807</v>
      </c>
      <c r="DR188" s="259">
        <f t="shared" si="597"/>
        <v>15.2713305569892</v>
      </c>
      <c r="DS188" s="260">
        <f>DT188+各项系数!$L$9*$NV188</f>
        <v>15.5829903642747</v>
      </c>
      <c r="DT188" s="260">
        <f>DU188*(1+$EB188+各项系数!$J$5+各项系数!$L$5)</f>
        <v>15.4027809172833</v>
      </c>
      <c r="DU188" s="262">
        <f t="shared" si="598"/>
        <v>14.9541562303721</v>
      </c>
      <c r="DV188" s="259">
        <f>DW188+各项系数!$M$9*$NV188</f>
        <v>15.5003431802098</v>
      </c>
      <c r="DW188" s="259">
        <f t="shared" si="599"/>
        <v>15.3201337332184</v>
      </c>
      <c r="DX188" s="260">
        <f>DY188+各项系数!$L$9*$NV188</f>
        <v>15.6327895236922</v>
      </c>
      <c r="DY188" s="260">
        <f>DZ188*(1+$EB188+各项系数!$J$5+各项系数!$L$5)</f>
        <v>15.4525800767007</v>
      </c>
      <c r="DZ188" s="262">
        <f t="shared" si="600"/>
        <v>15.0025049288357</v>
      </c>
      <c r="EA188" s="277">
        <f t="shared" ref="EA188:EA209" si="826">BI188+$EA$2</f>
        <v>0</v>
      </c>
      <c r="EB188" s="277">
        <f t="shared" si="601"/>
        <v>0.01</v>
      </c>
      <c r="EC188" s="302">
        <f t="shared" si="649"/>
        <v>8</v>
      </c>
      <c r="ED188" s="302" t="str">
        <f t="shared" si="756"/>
        <v>8*2.5</v>
      </c>
      <c r="EE188" s="251">
        <f t="shared" si="812"/>
        <v>2.5</v>
      </c>
      <c r="EF188" s="251">
        <f>LOOKUP(EH188,{1,7,10,14,19,24,30,37,48,61},{1,"1+6","2+8","4+10","1+6+12","2+8+14","4+10+16","1+6+12+18","3+9+15+21","1+6+12+18+24"})</f>
        <v>1</v>
      </c>
      <c r="EG188" s="250">
        <f t="shared" si="602"/>
        <v>8</v>
      </c>
      <c r="EH188" s="260">
        <f>VLOOKUP(EE188,各项系数!$B$87:$C$124,2,0)</f>
        <v>1</v>
      </c>
      <c r="EI188" s="250">
        <f>IF(EH188=0,0,VLOOKUP(EH188,各项系数!$D$142:$E$195,2,0))*1</f>
        <v>1</v>
      </c>
      <c r="EJ188" s="305">
        <f t="shared" si="650"/>
        <v>172.412400708262</v>
      </c>
      <c r="EK188" s="251">
        <f t="shared" si="813"/>
        <v>0</v>
      </c>
      <c r="EL188" s="251">
        <f t="shared" si="603"/>
        <v>0</v>
      </c>
      <c r="EM188" s="251">
        <f t="shared" si="814"/>
        <v>0</v>
      </c>
      <c r="EN188" s="251">
        <f>IF(EP188=0,0,LOOKUP(EP188,{1,7,10,14,19,24,30,37,48,61},{1,"1+6","2+8","4+10","1+6+12","2+8+14","4+10+16","1+6+12+18","3+9+15+21","1+6+12+18+24"}))</f>
        <v>0</v>
      </c>
      <c r="EO188" s="251">
        <f t="shared" si="815"/>
        <v>0</v>
      </c>
      <c r="EP188" s="251">
        <f>IF(EM188=0,0,IF(EM188&lt;10,1,IF(AND(EM188&gt;=10,EM188&lt;=35),7,LOOKUP(EM188,{50,70,95,120,150,185,240,300},{10,14,19,24,30,37,48,61})*1)))</f>
        <v>0</v>
      </c>
      <c r="EQ188" s="251">
        <f>IF(EP188=0,0,VLOOKUP(EP188,各项系数!$D$142:$E$195,2,0))*1</f>
        <v>0</v>
      </c>
      <c r="ER188" s="69">
        <f t="shared" si="816"/>
        <v>0</v>
      </c>
      <c r="ES188" s="566">
        <f t="shared" si="817"/>
        <v>8</v>
      </c>
      <c r="ET188" s="251">
        <f>VLOOKUP(ES188,各项系数!$D$142:$E$195,2,0)*1</f>
        <v>3.45</v>
      </c>
      <c r="EU188" s="311">
        <f>((各项系数!$F$76/4*$EJ188^2*$EG188*$EH188*1*10^-7)*(1-$H188)*AA188)*(VLOOKUP($EY$9,各项系数!$D$4:$F$143,3,0))*各项系数!$J$4</f>
        <v>0.165212045511223</v>
      </c>
      <c r="EV188" s="312">
        <f>EU188*(VLOOKUP($EY$9,各项系数!$D$4:$F$143,2,0))</f>
        <v>10.8213889809851</v>
      </c>
      <c r="EW188" s="324">
        <f>(IF($EO188=0,0,(各项系数!$F$76/4*$ER188^2*$EO188*$EP188*1*10^-7))*(1-$K188)*$AF188)*(VLOOKUP($EY$9,各项系数!$D$4:$F$143,3,0))*各项系数!$J$4</f>
        <v>0</v>
      </c>
      <c r="EX188" s="325">
        <f>EW188*(VLOOKUP($EY$9,各项系数!$D$4:$F$143,2,0))</f>
        <v>0</v>
      </c>
      <c r="EY188" s="251">
        <f>((各项系数!$F$76/4*$EJ188^2*$EG188*$EH188*1*10^-7)*(1-$H188)*AA188+IF($EO188=0,0,(各项系数!$F$76/4*$ER188^2*$EO188*$EP188*1*10^-7))*(1-$K188)*$AF188)*(VLOOKUP($EY$9,各项系数!$D$4:$F$143,3,0))*各项系数!$J$4</f>
        <v>0.165212045511223</v>
      </c>
      <c r="EZ188" s="123">
        <v>1</v>
      </c>
      <c r="FA188" s="251">
        <f t="shared" si="757"/>
        <v>0.165212045511223</v>
      </c>
      <c r="FB188" s="326">
        <f>FA188*(VLOOKUP($EY$9,各项系数!$D$4:$F$143,2,0))</f>
        <v>10.8213889809851</v>
      </c>
      <c r="FC188" s="327"/>
      <c r="FD188" s="302">
        <f>各项系数!$F$76/4*($MN188^2-MK188^2)*10^-2*(VLOOKUP(L188,各项系数!$D$1:$F$143,3,0))*10^-3*10^2*$EG188*各项系数!$J$4</f>
        <v>0.0466775979226516</v>
      </c>
      <c r="FE188" s="339">
        <f>FD188*VLOOKUP(L188,各项系数!$D$1:$F$143,2,0)</f>
        <v>0.536792376110494</v>
      </c>
      <c r="FF188" s="250">
        <f>各项系数!$F$76/4*($MO188^2-ML188^2)*10^-2*(VLOOKUP(L188,各项系数!$D$1:$F$143,3,0))*10^-3*10^2*$EO188*各项系数!$J$4</f>
        <v>0</v>
      </c>
      <c r="FG188" s="339">
        <f>FF188*VLOOKUP(L188,各项系数!$D$1:$F$143,2,0)</f>
        <v>0</v>
      </c>
      <c r="FH188" s="302">
        <f t="shared" si="651"/>
        <v>0.0466775979226516</v>
      </c>
      <c r="FI188" s="123">
        <v>1</v>
      </c>
      <c r="FJ188" s="251">
        <f t="shared" si="758"/>
        <v>0.0466775979226516</v>
      </c>
      <c r="FK188" s="339">
        <f>FJ188*VLOOKUP(L188,各项系数!$D$1:$F$143,2,0)</f>
        <v>0.536792376110494</v>
      </c>
      <c r="FL188" s="302"/>
      <c r="FM188" s="123"/>
      <c r="FN188" s="251"/>
      <c r="FO188" s="339"/>
      <c r="FP188" s="364">
        <f t="shared" si="759"/>
        <v>0.0466775979226516</v>
      </c>
      <c r="FQ188" s="364">
        <f t="shared" si="760"/>
        <v>0.536792376110494</v>
      </c>
      <c r="FR188" s="365">
        <f>各项系数!$F$76/4*($MQ188^2-$MN188^2*$EG188-$MO188^2*$EO188)*10^-2</f>
        <v>0.299150216265403</v>
      </c>
      <c r="FS188" s="366">
        <f t="shared" si="652"/>
        <v>1</v>
      </c>
      <c r="FT188" s="367">
        <f t="shared" si="604"/>
        <v>0.299150216265403</v>
      </c>
      <c r="FU188" s="388">
        <f>$FT188*(VLOOKUP($FT$9,各项系数!$D$1:$F$143,3,0))*10^-3*10^2*各项系数!$J$55</f>
        <v>0.0357185358220891</v>
      </c>
      <c r="FV188" s="389">
        <v>1</v>
      </c>
      <c r="FW188" s="390">
        <f t="shared" si="761"/>
        <v>0.0357185358220891</v>
      </c>
      <c r="FX188" s="367">
        <f>FW188*(VLOOKUP($FT$9,各项系数!$D$1:$F$143,2,0))</f>
        <v>0.107155607466267</v>
      </c>
      <c r="FY188" s="388">
        <f>IF($BK188&lt;&gt;$FY$9,0,各项系数!$F$76/4*($MS188^2-$MQ188^2)*10^-2*(VLOOKUP($FY$9,各项系数!$D$1:$F$143,3,0))*10^-3*10^2)*各项系数!$J$4</f>
        <v>0</v>
      </c>
      <c r="FZ188" s="389">
        <v>1</v>
      </c>
      <c r="GA188" s="390">
        <f t="shared" si="762"/>
        <v>0</v>
      </c>
      <c r="GB188" s="367">
        <f>GA188*(VLOOKUP($FY$9,各项系数!$D$1:$F$143,2,0))</f>
        <v>0</v>
      </c>
      <c r="GC188" s="388">
        <f>IF($BK188&lt;&gt;$GC$9,0,各项系数!$F$76/4*($MS188^2-$MQ188^2)*10^-2*(VLOOKUP($GC$9,各项系数!$D$1:$F$143,3,0))*10^-3*10^2)*各项系数!$J$4</f>
        <v>0.00295916803276095</v>
      </c>
      <c r="GD188" s="389">
        <v>1</v>
      </c>
      <c r="GE188" s="390">
        <f t="shared" si="763"/>
        <v>0.00295916803276095</v>
      </c>
      <c r="GF188" s="367">
        <f>GE188*(VLOOKUP($GC$9,各项系数!$D$1:$F$143,2,0))</f>
        <v>0.0381732676226163</v>
      </c>
      <c r="GG188" s="388">
        <f>IF($BK188&lt;&gt;$GG$9,0,各项系数!$F$76/4*($MS188^2-$MQ188^2)*10^-2*(VLOOKUP($GG$9,各项系数!$D$1:$F$143,3,0))*10^-3*10^2)*各项系数!$J$4</f>
        <v>0</v>
      </c>
      <c r="GH188" s="389">
        <v>1</v>
      </c>
      <c r="GI188" s="390">
        <f t="shared" si="764"/>
        <v>0</v>
      </c>
      <c r="GJ188" s="367">
        <f>GI188*(VLOOKUP($GG$9,各项系数!$D$1:$F$143,2,0))</f>
        <v>0</v>
      </c>
      <c r="GK188" s="388">
        <f>IF($BK188&lt;&gt;$GK$9,0,各项系数!$F$76/4*($MS188^2-$MQ188^2)*10^-2*(VLOOKUP($GK$9,各项系数!$D$1:$F$143,3,0))*10^-3*10^2)*各项系数!$J$4</f>
        <v>0</v>
      </c>
      <c r="GL188" s="389">
        <v>1</v>
      </c>
      <c r="GM188" s="390">
        <f t="shared" si="765"/>
        <v>0</v>
      </c>
      <c r="GN188" s="367">
        <f>GM188*(VLOOKUP($GK$9,各项系数!$D$1:$F$143,2,0))</f>
        <v>0</v>
      </c>
      <c r="GO188" s="390">
        <f t="shared" si="766"/>
        <v>0.00295916803276095</v>
      </c>
      <c r="GP188" s="390">
        <f t="shared" si="767"/>
        <v>0.0381732676226163</v>
      </c>
      <c r="GQ188" s="406">
        <f>各项系数!$F$76/4*($MU188^2-$MS188^2)*10^-2*(VLOOKUP($S188,各项系数!$D$1:$F$143,3,0))*10^-3*10^2*各项系数!$J$4</f>
        <v>0.169461826775693</v>
      </c>
      <c r="GR188" s="389">
        <v>1</v>
      </c>
      <c r="GS188" s="390">
        <f t="shared" si="768"/>
        <v>0.169461826775693</v>
      </c>
      <c r="GT188" s="390">
        <f t="shared" si="696"/>
        <v>1</v>
      </c>
      <c r="GU188" s="390">
        <f>ROUND($GS188*(VLOOKUP($S188,各项系数!$D$1:$F$143,2,0))+$E$3*GS188,GT188)</f>
        <v>1</v>
      </c>
      <c r="GV188" s="406">
        <f>各项系数!$F$76/4*($MT188^2-$MS188^2)*10^-2*(VLOOKUP($GV$9,各项系数!$D$1:$F$143,3,0))*10^-3*10^2*各项系数!$J$4*PI()/4*R188</f>
        <v>0.0154129765125834</v>
      </c>
      <c r="GW188" s="389">
        <v>1</v>
      </c>
      <c r="GX188" s="390">
        <f t="shared" si="769"/>
        <v>0.0154129765125834</v>
      </c>
      <c r="GY188" s="390">
        <f>$GX188*(VLOOKUP($GV$9,各项系数!$D$1:$F$143,2,0))</f>
        <v>1.04037591459938</v>
      </c>
      <c r="GZ188" s="406">
        <f>各项系数!$F$76/4*($MV188^2-$MS188^2)*10^-2*(VLOOKUP($GZ$9,各项系数!$D$1:$F$143,3,0))*10^-3*10^2*各项系数!$J$4</f>
        <v>0.104056120782858</v>
      </c>
      <c r="HA188" s="389">
        <v>1</v>
      </c>
      <c r="HB188" s="390">
        <f t="shared" si="653"/>
        <v>0.104056120782858</v>
      </c>
      <c r="HC188" s="390">
        <f>HB188*(VLOOKUP($GZ$9,各项系数!$D$1:$F$143,2,0))</f>
        <v>1.76895405330859</v>
      </c>
      <c r="HD188" s="406">
        <f>各项系数!$F$76/4*($MW188^2-$MT188^2)*10^-2*(VLOOKUP($HD$9,各项系数!$D$1:$F$143,3,0))*10^-3*10^2*各项系数!$J$4</f>
        <v>0.105361490229537</v>
      </c>
      <c r="HE188" s="389">
        <v>1</v>
      </c>
      <c r="HF188" s="390">
        <f t="shared" si="654"/>
        <v>0.105361490229537</v>
      </c>
      <c r="HG188" s="390">
        <f>HF188*(VLOOKUP($HD$9,各项系数!$D$1:$F$143,2,0))</f>
        <v>1.79114533390213</v>
      </c>
      <c r="HH188" s="406">
        <f>各项系数!$F$76/4*($MV188^2-$MS188^2)*10^-2*(VLOOKUP($HH$9,各项系数!$D$1:$F$143,3,0))*10^-3*10^2*各项系数!$J$4</f>
        <v>0.104056120782858</v>
      </c>
      <c r="HI188" s="420">
        <v>1</v>
      </c>
      <c r="HJ188" s="390">
        <f t="shared" si="655"/>
        <v>0.104056120782858</v>
      </c>
      <c r="HK188" s="390">
        <f>HJ188*(VLOOKUP($HH$9,各项系数!$D$1:$F$143,2,0))</f>
        <v>1.76895405330859</v>
      </c>
      <c r="HL188" s="406">
        <f>各项系数!$F$76/4*($MW188^2-$MT188^2)*10^-2*(VLOOKUP($HL$9,各项系数!$D$1:$F$143,3,0))*10^-3*10^2*各项系数!$J$4</f>
        <v>0.105361490229537</v>
      </c>
      <c r="HM188" s="420">
        <v>1</v>
      </c>
      <c r="HN188" s="390">
        <f t="shared" si="605"/>
        <v>0.105361490229537</v>
      </c>
      <c r="HO188" s="390">
        <f>HN188*(VLOOKUP($HL$9,各项系数!$D$1:$F$143,2,0))</f>
        <v>1.79114533390213</v>
      </c>
      <c r="HP188" s="406">
        <f>各项系数!$F$76/4*($MV188^2-$MS188^2)*10^-2*(VLOOKUP(AN188,各项系数!$D$1:$F$143,3,0))*10^-3*10^2*各项系数!$J$4</f>
        <v>0.105491377621243</v>
      </c>
      <c r="HQ188" s="389">
        <v>1</v>
      </c>
      <c r="HR188" s="390">
        <f t="shared" si="770"/>
        <v>0.105491377621243</v>
      </c>
      <c r="HS188" s="390">
        <f>HR188*(VLOOKUP(AN188,各项系数!$D$1:$F$143,2,0))</f>
        <v>1.05491377621243</v>
      </c>
      <c r="HT188" s="406">
        <f>各项系数!$F$76/4*($MW188^2-$MT188^2)*10^-2*(VLOOKUP(AN188,各项系数!$D$1:$F$143,3,0))*10^-3*10^2*各项系数!$J$4</f>
        <v>0.106814752163737</v>
      </c>
      <c r="HU188" s="389">
        <v>1</v>
      </c>
      <c r="HV188" s="390">
        <f t="shared" si="771"/>
        <v>0.106814752163737</v>
      </c>
      <c r="HW188" s="390">
        <f>HV188*(VLOOKUP(AN188,各项系数!$D$1:$F$143,2,0))</f>
        <v>1.06814752163737</v>
      </c>
      <c r="HX188" s="406">
        <f>各项系数!$F$76/4*($MV188^2-$MS188^2)*10^-2*(VLOOKUP($HX$9,各项系数!$D$1:$F$143,3,0))*10^-3*10^2*各项系数!$J$4</f>
        <v>0.105491377621243</v>
      </c>
      <c r="HY188" s="420">
        <v>1</v>
      </c>
      <c r="HZ188" s="390">
        <f t="shared" si="772"/>
        <v>0.105491377621243</v>
      </c>
      <c r="IA188" s="390">
        <f>HZ188*(VLOOKUP($HX$9,各项系数!$D$1:$F$143,2,0))</f>
        <v>1.16040515383367</v>
      </c>
      <c r="IB188" s="406">
        <f>各项系数!$F$76/4*($MW188^2-$MT188^2)*10^-2*(VLOOKUP($IB$9,各项系数!$D$1:$F$143,3,0))*10^-3*10^2*各项系数!$J$4</f>
        <v>0.106814752163737</v>
      </c>
      <c r="IC188" s="420">
        <v>1</v>
      </c>
      <c r="ID188" s="390">
        <f t="shared" si="773"/>
        <v>0.106814752163737</v>
      </c>
      <c r="IE188" s="390">
        <f>ID188*(VLOOKUP($IB$9,各项系数!$D$1:$F$143,2,0))</f>
        <v>1.17496227380111</v>
      </c>
      <c r="IF188" s="429"/>
      <c r="IG188" s="406">
        <f t="shared" si="656"/>
        <v>0.0227778417150187</v>
      </c>
      <c r="IH188" s="389">
        <v>1</v>
      </c>
      <c r="II188" s="390">
        <f t="shared" si="774"/>
        <v>0.0227778417150187</v>
      </c>
      <c r="IJ188" s="390">
        <f>II188*(VLOOKUP($IG$8,各项系数!$D$1:$F$143,2,0))</f>
        <v>0.569446042875467</v>
      </c>
      <c r="IK188" s="406">
        <f>(各项系数!$F$76/4*($MX188^2-$MK188^2)*$EG188)*10^-2*(VLOOKUP($IG$8,各项系数!$D$1:$F$143,3,0))*10^-3*10^2*各项系数!$J$4</f>
        <v>0.0227778417150187</v>
      </c>
      <c r="IL188" s="389">
        <f>IK188*(VLOOKUP($IG$8,各项系数!$D$1:$F$143,2,0))</f>
        <v>0.569446042875467</v>
      </c>
      <c r="IM188" s="390">
        <f>(各项系数!$F$76/4*(($MM188+3*$X188)^2-MM188^2)*$EO188)*10^-2*(VLOOKUP($IG$8,各项系数!$D$1:$F$143,3,0))*10^-3*10^2*各项系数!$J$4</f>
        <v>0</v>
      </c>
      <c r="IN188" s="389">
        <f>IM188*(VLOOKUP($IG$8,各项系数!$D$1:$F$143,2,0))</f>
        <v>0</v>
      </c>
      <c r="IO188" s="406">
        <f>各项系数!$F$76/4*($MZ188^2-$MX188^2)*10^-2*(VLOOKUP(L188,各项系数!$D$1:$F$143,3,0))*10^-3*10^2*$ES188*各项系数!$J$4</f>
        <v>0.0582308677380812</v>
      </c>
      <c r="IP188" s="389">
        <v>1</v>
      </c>
      <c r="IQ188" s="390">
        <f t="shared" si="775"/>
        <v>0.0582308677380812</v>
      </c>
      <c r="IR188" s="367">
        <f>IQ188*(VLOOKUP(L188,各项系数!$D$1:$F$143,2,0))</f>
        <v>0.669654978987933</v>
      </c>
      <c r="IS188" s="406">
        <f>IF($L188&lt;&gt;$IS$9,0,各项系数!$F$76/4*($MZ188^2-$MX188^2)*10^-2*各项系数!$F$12*10^-3*10^2)*$ES188*各项系数!$J$4</f>
        <v>0</v>
      </c>
      <c r="IT188" s="389">
        <v>1</v>
      </c>
      <c r="IU188" s="390">
        <f t="shared" si="776"/>
        <v>0</v>
      </c>
      <c r="IV188" s="367">
        <f>IU188*各项系数!$E$12</f>
        <v>0</v>
      </c>
      <c r="IW188" s="388">
        <f t="shared" si="777"/>
        <v>0.0582308677380812</v>
      </c>
      <c r="IX188" s="388">
        <f t="shared" si="778"/>
        <v>0.669654978987933</v>
      </c>
      <c r="IY188" s="447">
        <f>各项系数!$F$76/4*($NB188^2-$MZ188^2*$EG188-$NA188^2*$EO188)*10^-2</f>
        <v>0.425090168307462</v>
      </c>
      <c r="IZ188" s="366">
        <f t="shared" si="697"/>
        <v>1</v>
      </c>
      <c r="JA188" s="367">
        <f t="shared" si="606"/>
        <v>0.425090168307462</v>
      </c>
      <c r="JB188" s="364">
        <f>IF($DE188&lt;&gt;$JB$9,0,$JA188*各项系数!$F$32*10^-3*10^2)*各项系数!$J$4</f>
        <v>0</v>
      </c>
      <c r="JC188" s="123">
        <v>1</v>
      </c>
      <c r="JD188" s="251">
        <f t="shared" si="779"/>
        <v>0</v>
      </c>
      <c r="JE188" s="339">
        <f>JD188*各项系数!$E$32</f>
        <v>0</v>
      </c>
      <c r="JF188" s="364">
        <f>IF($DE188&lt;&gt;$JF$9,0,$JA188*VLOOKUP($JF$9,各项系数!$D$4:$F$540,2,0)*10^-3*10^2)*各项系数!$J$4</f>
        <v>0.211482358732962</v>
      </c>
      <c r="JG188" s="123">
        <v>1</v>
      </c>
      <c r="JH188" s="251">
        <f t="shared" si="607"/>
        <v>0.211482358732962</v>
      </c>
      <c r="JI188" s="339">
        <f>JH188*VLOOKUP($JF$9,各项系数!$D$4:$F$540,3,0)</f>
        <v>0.253778830479555</v>
      </c>
      <c r="JJ188" s="364">
        <f t="shared" si="780"/>
        <v>0.211482358732962</v>
      </c>
      <c r="JK188" s="251">
        <f t="shared" si="781"/>
        <v>0.253778830479555</v>
      </c>
      <c r="JL188" s="364">
        <f>IF($DF188&lt;&gt;$JL$9,0,各项系数!$F$76/4*($NE188^2-$NC188^2)*10^-2*各项系数!$F$39*10^-3*10^2)*各项系数!$J$4</f>
        <v>0.0014593386540385</v>
      </c>
      <c r="JM188" s="123">
        <v>1</v>
      </c>
      <c r="JN188" s="251">
        <f t="shared" si="782"/>
        <v>0.0014593386540385</v>
      </c>
      <c r="JO188" s="339">
        <f>JN188*各项系数!$E$39</f>
        <v>0.0291867730807699</v>
      </c>
      <c r="JP188" s="364">
        <f>IF($DF188&lt;&gt;$JP$9,0,各项系数!$F$76/4*($NE188^2-$NC188^2)*10^-2*各项系数!$F$36*10^-3*10^2)*各项系数!$J$4</f>
        <v>0</v>
      </c>
      <c r="JQ188" s="123">
        <v>1</v>
      </c>
      <c r="JR188" s="251">
        <f t="shared" si="783"/>
        <v>0</v>
      </c>
      <c r="JS188" s="339">
        <f>JR188*各项系数!$E$36</f>
        <v>0</v>
      </c>
      <c r="JT188" s="364">
        <f>IF($DF188&lt;&gt;$JT$9,0,各项系数!$F$76/4*($NE188^2-$NC188^2)*10^-2*各项系数!$F$40*10^-3*10^2)*各项系数!$J$4</f>
        <v>0</v>
      </c>
      <c r="JU188" s="123">
        <v>1</v>
      </c>
      <c r="JV188" s="251">
        <f t="shared" si="784"/>
        <v>0</v>
      </c>
      <c r="JW188" s="339">
        <f>JV188*各项系数!$E$40</f>
        <v>0</v>
      </c>
      <c r="JX188" s="364">
        <f>IF($DF188&lt;&gt;$JX$9,0,各项系数!$F$76/4*($NE188^2-$NC188^2)*10^-2*各项系数!$F$38*10^-3*10^2)*各项系数!$J$4</f>
        <v>0</v>
      </c>
      <c r="JY188" s="123">
        <v>1</v>
      </c>
      <c r="JZ188" s="251">
        <f t="shared" si="785"/>
        <v>0</v>
      </c>
      <c r="KA188" s="339">
        <f>JZ188*各项系数!$E$38</f>
        <v>0</v>
      </c>
      <c r="KB188" s="364">
        <f>IF($DF188&lt;&gt;$KB$9,0,各项系数!$F$76/4*($NE188^2-$NC188^2)*10^-2*各项系数!$F$41*10^-3*10^2)*各项系数!$J$4</f>
        <v>0</v>
      </c>
      <c r="KC188" s="123">
        <v>1</v>
      </c>
      <c r="KD188" s="251">
        <f t="shared" si="786"/>
        <v>0</v>
      </c>
      <c r="KE188" s="339">
        <f>KD188*各项系数!$E$41</f>
        <v>0</v>
      </c>
      <c r="KF188" s="251">
        <f t="shared" si="787"/>
        <v>0.0014593386540385</v>
      </c>
      <c r="KG188" s="251">
        <f t="shared" si="788"/>
        <v>0.0291867730807699</v>
      </c>
      <c r="KH188" s="302">
        <f>各项系数!$F$76/4*($NG188^2-$NE188^2)*10^-2*各项系数!$F$44*10^-3*10^2*各项系数!$J$4*0.75*$U188</f>
        <v>0.602281379817749</v>
      </c>
      <c r="KI188" s="123">
        <v>1</v>
      </c>
      <c r="KJ188" s="251">
        <f t="shared" si="789"/>
        <v>0.602281379817749</v>
      </c>
      <c r="KK188" s="251">
        <f>ROUND(KJ188*各项系数!$E$43,GT188)</f>
        <v>3.5</v>
      </c>
      <c r="KL188" s="302">
        <f>各项系数!$F$76/4*($NF188^2-$NE188^2)*10^-2*各项系数!$F$46*10^-3*10^2*各项系数!$J$4*PI()/4*R188</f>
        <v>0.0183938187051316</v>
      </c>
      <c r="KM188" s="123">
        <v>1</v>
      </c>
      <c r="KN188" s="251">
        <f t="shared" si="790"/>
        <v>0.0183938187051316</v>
      </c>
      <c r="KO188" s="251">
        <f>KN188*各项系数!$E$46</f>
        <v>1.24158276259638</v>
      </c>
      <c r="KP188" s="302">
        <f>各项系数!$F$76/4*($NH188^2-$NE188^2)*10^-2*(VLOOKUP($KP$9,各项系数!$D$1:$F$143,3,0))*10^-3*10^2*各项系数!$J$4</f>
        <v>0.121466485777932</v>
      </c>
      <c r="KQ188" s="123">
        <v>1</v>
      </c>
      <c r="KR188" s="251">
        <f t="shared" si="657"/>
        <v>0.121466485777932</v>
      </c>
      <c r="KS188" s="251">
        <f>KR188*(VLOOKUP($KP$9,各项系数!$D$1:$F$143,2,0))</f>
        <v>2.06493025822484</v>
      </c>
      <c r="KT188" s="302">
        <f>各项系数!$F$76/4*($NI188^2-$NF188^2)*10^-2*(VLOOKUP($KT$9,各项系数!$D$1:$F$143,3,0))*10^-3*10^2*各项系数!$J$4</f>
        <v>0.12277185522461</v>
      </c>
      <c r="KU188" s="123">
        <v>1</v>
      </c>
      <c r="KV188" s="251">
        <f t="shared" si="658"/>
        <v>0.12277185522461</v>
      </c>
      <c r="KW188" s="251">
        <f>KV188*(VLOOKUP($KT$9,各项系数!$D$1:$F$143,2,0))</f>
        <v>2.08712153881837</v>
      </c>
      <c r="KX188" s="251">
        <f>各项系数!$F$76/4*($NH188^2-$NE188^2)*10^-2*(VLOOKUP($KX$9,各项系数!$D$1:$F$143,3,0))*10^-3*10^2*各项系数!$J$4</f>
        <v>0.121466485777932</v>
      </c>
      <c r="KY188" s="479">
        <v>1</v>
      </c>
      <c r="KZ188" s="251">
        <f t="shared" si="659"/>
        <v>0.121466485777932</v>
      </c>
      <c r="LA188" s="251">
        <f>KZ188*(VLOOKUP($KX$9,各项系数!$D$1:$F$143,2,0))</f>
        <v>2.06493025822484</v>
      </c>
      <c r="LB188" s="251">
        <f>各项系数!$F$76/4*($NI188^2-$NF188^2)*10^-2*(VLOOKUP($LB$9,各项系数!$D$1:$F$143,3,0))*10^-3*10^2*各项系数!$J$4</f>
        <v>0.12277185522461</v>
      </c>
      <c r="LC188" s="479">
        <v>1</v>
      </c>
      <c r="LD188" s="251">
        <f t="shared" si="660"/>
        <v>0.12277185522461</v>
      </c>
      <c r="LE188" s="251">
        <f>LD188*(VLOOKUP($LB$9,各项系数!$D$1:$F$143,2,0))</f>
        <v>2.08712153881837</v>
      </c>
      <c r="LF188" s="302">
        <f>各项系数!$F$76/4*($NH188^2-$NE188^2)*10^-2*(VLOOKUP(AN188,各项系数!$D$1:$F$143,3,0))*10^-3*10^2*各项系数!$J$4</f>
        <v>0.123141885581765</v>
      </c>
      <c r="LG188" s="123">
        <v>1</v>
      </c>
      <c r="LH188" s="251">
        <f t="shared" si="791"/>
        <v>0.123141885581765</v>
      </c>
      <c r="LI188" s="251">
        <f>LH188*(VLOOKUP(AN188,各项系数!$D$1:$F$143,2,0))</f>
        <v>1.23141885581765</v>
      </c>
      <c r="LJ188" s="302">
        <f>各项系数!$F$76/4*($NI188^2-$NF188^2)*10^-2*(VLOOKUP(AN188,各项系数!$D$1:$F$143,3,0))*10^-3*10^2*各项系数!$J$4</f>
        <v>0.12446526012426</v>
      </c>
      <c r="LK188" s="123">
        <v>1</v>
      </c>
      <c r="LL188" s="251">
        <f t="shared" si="792"/>
        <v>0.12446526012426</v>
      </c>
      <c r="LM188" s="251">
        <f>LL188*(VLOOKUP(AN188,各项系数!$D$1:$F$143,2,0))</f>
        <v>1.2446526012426</v>
      </c>
      <c r="LN188" s="251">
        <f>各项系数!$F$76/4*($NH188^2-$NE188^2)*10^-2*(VLOOKUP($LN$9,各项系数!$D$1:$F$143,3,0))*10^-3*10^2*各项系数!$J$4</f>
        <v>0.123141885581765</v>
      </c>
      <c r="LO188" s="479">
        <v>1</v>
      </c>
      <c r="LP188" s="251">
        <f t="shared" si="793"/>
        <v>0.123141885581765</v>
      </c>
      <c r="LQ188" s="251">
        <f>LP188*(VLOOKUP($LN$9,各项系数!$D$1:$F$143,2,0))</f>
        <v>1.35456074139942</v>
      </c>
      <c r="LR188" s="251">
        <f>各项系数!$F$76/4*($NI188^2-$NF188^2)*10^-2*(VLOOKUP($LR$9,各项系数!$D$1:$F$143,3,0))*10^-3*10^2*各项系数!$J$4</f>
        <v>0.12446526012426</v>
      </c>
      <c r="LS188" s="479">
        <v>1</v>
      </c>
      <c r="LT188" s="251">
        <f t="shared" si="794"/>
        <v>0.12446526012426</v>
      </c>
      <c r="LU188" s="251">
        <f>LT188*(VLOOKUP($LR$9,各项系数!$D$1:$F$143,2,0))</f>
        <v>1.36911786136686</v>
      </c>
      <c r="LV188" s="499">
        <f t="shared" si="661"/>
        <v>18.67741928</v>
      </c>
      <c r="LW188" s="499">
        <f t="shared" si="662"/>
        <v>18.67741928</v>
      </c>
      <c r="LX188" s="499">
        <f t="shared" si="663"/>
        <v>4.87655911692814</v>
      </c>
      <c r="LY188" s="515">
        <f t="shared" si="664"/>
        <v>0</v>
      </c>
      <c r="LZ188" s="516">
        <f t="shared" si="608"/>
        <v>1</v>
      </c>
      <c r="MA188" s="517">
        <f t="shared" si="609"/>
        <v>18.67741928</v>
      </c>
      <c r="MB188" s="517">
        <f t="shared" si="665"/>
        <v>1.72412401</v>
      </c>
      <c r="MC188" s="499">
        <f t="shared" si="666"/>
        <v>0</v>
      </c>
      <c r="MD188" s="499">
        <f t="shared" si="667"/>
        <v>0</v>
      </c>
      <c r="ME188" s="499">
        <f t="shared" si="668"/>
        <v>0</v>
      </c>
      <c r="MF188" s="499">
        <f t="shared" si="669"/>
        <v>0</v>
      </c>
      <c r="MG188" s="516">
        <f t="shared" si="670"/>
        <v>1</v>
      </c>
      <c r="MH188" s="517">
        <f t="shared" si="610"/>
        <v>0</v>
      </c>
      <c r="MI188" s="517">
        <f t="shared" si="671"/>
        <v>0</v>
      </c>
      <c r="MJ188" s="251">
        <f t="shared" si="611"/>
        <v>1.72412401</v>
      </c>
      <c r="MK188" s="251">
        <f t="shared" si="672"/>
        <v>1.72412401</v>
      </c>
      <c r="ML188" s="251">
        <f t="shared" si="795"/>
        <v>0</v>
      </c>
      <c r="MM188" s="251">
        <f t="shared" si="612"/>
        <v>0</v>
      </c>
      <c r="MN188" s="251">
        <f t="shared" si="613"/>
        <v>3.12412401</v>
      </c>
      <c r="MO188" s="251">
        <f t="shared" si="673"/>
        <v>0</v>
      </c>
      <c r="MP188" s="251">
        <f t="shared" si="674"/>
        <v>10.77822783</v>
      </c>
      <c r="MQ188" s="251">
        <f t="shared" si="796"/>
        <v>10.77822783</v>
      </c>
      <c r="MR188" s="314">
        <f t="shared" si="675"/>
        <v>10.77822783</v>
      </c>
      <c r="MS188" s="530">
        <f t="shared" si="614"/>
        <v>10.95422783</v>
      </c>
      <c r="MT188" s="530">
        <f t="shared" si="615"/>
        <v>11.11422783</v>
      </c>
      <c r="MU188" s="530">
        <f t="shared" si="616"/>
        <v>12.15422783</v>
      </c>
      <c r="MV188" s="530">
        <f t="shared" si="617"/>
        <v>14.55422783</v>
      </c>
      <c r="MW188" s="530">
        <f t="shared" si="618"/>
        <v>14.71422783</v>
      </c>
      <c r="MX188" s="326">
        <f t="shared" si="619"/>
        <v>2.32412401</v>
      </c>
      <c r="MY188" s="326">
        <f t="shared" si="620"/>
        <v>0</v>
      </c>
      <c r="MZ188" s="251">
        <f t="shared" si="621"/>
        <v>3.72412401</v>
      </c>
      <c r="NA188" s="251">
        <f t="shared" si="622"/>
        <v>0</v>
      </c>
      <c r="NB188" s="251">
        <f t="shared" si="676"/>
        <v>12.84822783</v>
      </c>
      <c r="NC188" s="326">
        <f t="shared" si="797"/>
        <v>12.84822783</v>
      </c>
      <c r="ND188" s="314">
        <f t="shared" si="677"/>
        <v>12.84822783</v>
      </c>
      <c r="NE188" s="537">
        <f t="shared" si="678"/>
        <v>13.08822783</v>
      </c>
      <c r="NF188" s="530">
        <f t="shared" si="623"/>
        <v>13.24822783</v>
      </c>
      <c r="NG188" s="538">
        <f t="shared" si="624"/>
        <v>14.28822783</v>
      </c>
      <c r="NH188" s="326">
        <f t="shared" si="625"/>
        <v>16.68822783</v>
      </c>
      <c r="NI188" s="530">
        <f t="shared" si="626"/>
        <v>16.84822783</v>
      </c>
      <c r="NK188" s="539">
        <f t="shared" si="627"/>
        <v>0.356058724909968</v>
      </c>
      <c r="NL188" s="539">
        <f t="shared" si="628"/>
        <v>12.5584240083969</v>
      </c>
      <c r="NM188" s="539">
        <f t="shared" si="629"/>
        <v>0.356058724909968</v>
      </c>
      <c r="NN188" s="539">
        <f t="shared" si="630"/>
        <v>12.6639153860182</v>
      </c>
      <c r="NO188" s="539">
        <f t="shared" si="631"/>
        <v>0.582304337933089</v>
      </c>
      <c r="NP188" s="539">
        <f t="shared" si="632"/>
        <v>13.5748744622265</v>
      </c>
      <c r="NQ188" s="539">
        <f t="shared" si="633"/>
        <v>0.582304337933089</v>
      </c>
      <c r="NR188" s="539">
        <f t="shared" si="634"/>
        <v>13.6980163478083</v>
      </c>
      <c r="NS188" s="539">
        <f t="shared" si="635"/>
        <v>0.371471701422551</v>
      </c>
      <c r="NT188" s="539">
        <f t="shared" si="636"/>
        <v>0.371471701422551</v>
      </c>
      <c r="NU188" s="539">
        <f t="shared" si="637"/>
        <v>0.600698156638221</v>
      </c>
      <c r="NV188" s="539">
        <f t="shared" si="638"/>
        <v>0.600698156638221</v>
      </c>
      <c r="NW188">
        <f t="shared" si="639"/>
        <v>0.525520551685661</v>
      </c>
      <c r="NX188">
        <f>各项系数!$M$9*NK188</f>
        <v>0.10681761747299</v>
      </c>
      <c r="NY188">
        <f t="shared" si="640"/>
        <v>0.371471701422551</v>
      </c>
    </row>
    <row r="189" customHeight="1" spans="1:389">
      <c r="A189" s="85"/>
      <c r="B189" s="86"/>
      <c r="C189" s="218"/>
      <c r="D189" s="123" t="s">
        <v>218</v>
      </c>
      <c r="E189" s="77">
        <f t="shared" si="805"/>
        <v>16.27249604</v>
      </c>
      <c r="F189" s="559">
        <f t="shared" si="820"/>
        <v>172.412400708262</v>
      </c>
      <c r="G189" s="78"/>
      <c r="H189" s="23"/>
      <c r="I189" s="174">
        <v>0</v>
      </c>
      <c r="J189" s="23"/>
      <c r="K189" s="23"/>
      <c r="L189" s="118" t="s">
        <v>469</v>
      </c>
      <c r="M189" s="124">
        <f t="shared" si="582"/>
        <v>0.7</v>
      </c>
      <c r="N189" s="124">
        <f t="shared" si="804"/>
        <v>0</v>
      </c>
      <c r="O189" s="69">
        <f t="shared" si="825"/>
        <v>0.08</v>
      </c>
      <c r="P189" s="120">
        <v>0.1</v>
      </c>
      <c r="Q189" s="162">
        <f t="shared" si="823"/>
        <v>0.1</v>
      </c>
      <c r="R189" s="560">
        <v>0.8</v>
      </c>
      <c r="S189" s="171" t="str">
        <f>各项系数!$D$43</f>
        <v>钢带</v>
      </c>
      <c r="T189" s="123">
        <v>0.2</v>
      </c>
      <c r="U189" s="78">
        <v>4</v>
      </c>
      <c r="V189" s="172"/>
      <c r="W189" s="561">
        <v>1.8</v>
      </c>
      <c r="X189" s="164">
        <f t="shared" si="824"/>
        <v>0.2</v>
      </c>
      <c r="Y189" s="219"/>
      <c r="Z189" s="220"/>
      <c r="AA189" s="217">
        <v>1</v>
      </c>
      <c r="AB189" s="186">
        <f>PI()*EJ189*EJ189/4*EH189*(1-H189)*AA189*各项系数!$F$5*各项系数!$J$4*10^-7</f>
        <v>0.0206515056889029</v>
      </c>
      <c r="AC189" s="186">
        <f t="shared" si="808"/>
        <v>172.412400708262</v>
      </c>
      <c r="AD189" s="186">
        <f t="shared" si="584"/>
        <v>2.3346774015073</v>
      </c>
      <c r="AE189" s="186">
        <f>POWER(4*EU189/PI()/EG189/10^-7/EH189/(1-H189)/各项系数!$F$5/各项系数!$J$4,0.5)</f>
        <v>172.412400708262</v>
      </c>
      <c r="AF189" s="218">
        <v>1</v>
      </c>
      <c r="AG189" s="85">
        <f>IF(EM189=0,0,PI()*ER189*ER189/4*EP189*(1-K189)*(1+AF189)*各项系数!$F$5*各项系数!$J$4*10^-7)</f>
        <v>0</v>
      </c>
      <c r="AH189" s="85">
        <f t="shared" si="809"/>
        <v>0</v>
      </c>
      <c r="AI189" s="85">
        <f t="shared" si="641"/>
        <v>0</v>
      </c>
      <c r="AJ189" s="85">
        <f>IF(OR(EP189="",EP189=0),0,POWER(4*EW189/PI()/EO189/10^-7/EP189/(1-K189)/各项系数!$F$5/各项系数!$J$4,0.5))</f>
        <v>0</v>
      </c>
      <c r="AK189" s="85" t="str">
        <f t="shared" si="585"/>
        <v>√</v>
      </c>
      <c r="AL189" s="85">
        <f t="shared" si="810"/>
        <v>16.1777764340889</v>
      </c>
      <c r="AM189" s="250">
        <f t="shared" si="811"/>
        <v>2.5</v>
      </c>
      <c r="AN189" s="118" t="s">
        <v>486</v>
      </c>
      <c r="AO189" s="259">
        <f>AP189+各项系数!$M$9*$NK189</f>
        <v>15.8605651314597</v>
      </c>
      <c r="AP189" s="259">
        <f>AQ189*(1+$BI189+(VLOOKUP($AM189,$A$12:$B$323,2,0))+各项系数!$J$6+各项系数!$M$5)*(1+$E$2)</f>
        <v>15.7276924691584</v>
      </c>
      <c r="AQ189" s="260">
        <f>AR189+各项系数!$L$9*$NK189</f>
        <v>16.0486657848555</v>
      </c>
      <c r="AR189" s="260">
        <f>AS189*(1+$BJ189+各项系数!$J$5+各项系数!$L$5)</f>
        <v>15.9157931225542</v>
      </c>
      <c r="AS189" s="260">
        <f t="shared" si="642"/>
        <v>15.6037187476021</v>
      </c>
      <c r="AT189" s="259">
        <f>AU189+各项系数!$M$9*$NM189</f>
        <v>16.6704778633261</v>
      </c>
      <c r="AU189" s="259">
        <f>AV189*(1+$BI189+(VLOOKUP($AM189,$A$12:$B$323,2,0))+各项系数!$J$6+各项系数!$M$5)*(1+$E$2)</f>
        <v>16.5376052010248</v>
      </c>
      <c r="AV189" s="260">
        <f>AW189+各项系数!$L$9*$NM189</f>
        <v>16.8751073479845</v>
      </c>
      <c r="AW189" s="260">
        <f>AX189*(1+$BJ189+各项系数!$J$5+各项系数!$L$5)</f>
        <v>16.7422346856832</v>
      </c>
      <c r="AX189" s="260">
        <f t="shared" si="643"/>
        <v>16.4139555741992</v>
      </c>
      <c r="AY189" s="259">
        <f>AZ189+各项系数!$M$9*$NS189</f>
        <v>17.0862785901222</v>
      </c>
      <c r="AZ189" s="259">
        <f>BA189*(1+$BI189+(VLOOKUP($AM189,$A$12:$B$214,2,0))+各项系数!$J$6+各项系数!$M$5)*(1+$E$2)</f>
        <v>16.9480619946077</v>
      </c>
      <c r="BA189" s="260">
        <f>BB189+各项系数!$L$9*$NS189</f>
        <v>17.2939408108242</v>
      </c>
      <c r="BB189" s="260">
        <f>BC189*(1+$BJ189+各项系数!$J$5+各项系数!$L$5)</f>
        <v>17.1557242153097</v>
      </c>
      <c r="BC189" s="262">
        <f t="shared" si="644"/>
        <v>16.8193374659899</v>
      </c>
      <c r="BD189" s="259">
        <f>BE189+各项系数!$M$9*$NS189</f>
        <v>17.9051452741431</v>
      </c>
      <c r="BE189" s="259">
        <f>BF189*(1+$BI189+(VLOOKUP($AM189,$A$12:$B$214,2,0))+各项系数!$J$6+各项系数!$M$5)*(1+$E$2)</f>
        <v>17.7669286786286</v>
      </c>
      <c r="BF189" s="260">
        <f>BG189+各项系数!$L$9*$NS189</f>
        <v>18.1295190598251</v>
      </c>
      <c r="BG189" s="260">
        <f>BH189*(1+$BJ189+各项系数!$J$5+各项系数!$L$5)</f>
        <v>17.9913024643106</v>
      </c>
      <c r="BH189" s="262">
        <f t="shared" si="645"/>
        <v>17.6385318277555</v>
      </c>
      <c r="BI189" s="277"/>
      <c r="BJ189" s="272">
        <f t="shared" si="822"/>
        <v>0</v>
      </c>
      <c r="BK189" s="123" t="s">
        <v>514</v>
      </c>
      <c r="BL189" s="259">
        <f>BM189+各项系数!$M$9*$NM189</f>
        <v>16.1343101166503</v>
      </c>
      <c r="BM189" s="259">
        <f>BN189*(1+$CF189+(VLOOKUP($AM189,$A$12:$B$323,2,0))+各项系数!$J$6+各项系数!$M$5)*(1+$E$2)</f>
        <v>16.001437454349</v>
      </c>
      <c r="BN189" s="260">
        <f>BO189+各项系数!$L$9*$NM189</f>
        <v>16.3279974023969</v>
      </c>
      <c r="BO189" s="260">
        <f>BP189*(1+$CG189+各项系数!$J$5+各项系数!$L$5)</f>
        <v>16.1951247400956</v>
      </c>
      <c r="BP189" s="260">
        <f t="shared" si="646"/>
        <v>15.7234220777627</v>
      </c>
      <c r="BQ189" s="259">
        <f>BR189+各项系数!$M$9*$NM189</f>
        <v>16.8313346279533</v>
      </c>
      <c r="BR189" s="259">
        <f>BS189*(1+$CF189+(VLOOKUP($AM189,$A$12:$B$323,2,0))+各项系数!$J$6+各项系数!$M$5)*(1+$E$2)</f>
        <v>16.6984619656519</v>
      </c>
      <c r="BS189" s="260">
        <f>BT189+各项系数!$L$9*$NM189</f>
        <v>17.0392469037265</v>
      </c>
      <c r="BT189" s="260">
        <f>BU189*(1+$CG189+各项系数!$J$5+各项系数!$L$5)</f>
        <v>16.9063742414251</v>
      </c>
      <c r="BU189" s="260">
        <f t="shared" si="647"/>
        <v>16.4139555741992</v>
      </c>
      <c r="BV189" s="259">
        <f>BW189+各项系数!$M$9*$NT189</f>
        <v>17.2459183245038</v>
      </c>
      <c r="BW189" s="259">
        <f>BX189*(1+$CF189+(VLOOKUP($AM189,$A$12:$B$214,2,0))+各项系数!$J$6+各项系数!$M$5)*(1+$E$2)</f>
        <v>17.1077017289893</v>
      </c>
      <c r="BX189" s="260">
        <f>BY189+各项系数!$L$9*$NT$12</f>
        <v>17.4568384989687</v>
      </c>
      <c r="BY189" s="260">
        <f>BZ189*(1+$CG189+各项系数!$J$5+各项系数!$L$5)</f>
        <v>17.4485750958137</v>
      </c>
      <c r="BZ189" s="262">
        <f t="shared" si="586"/>
        <v>16.940364170693</v>
      </c>
      <c r="CA189" s="259">
        <f>CB189+各项系数!$M$9*$NT189</f>
        <v>17.9506487575428</v>
      </c>
      <c r="CB189" s="259">
        <f>CC189*(1+$CF189+(VLOOKUP($AM189,$A$12:$B$214,2,0))+各项系数!$J$6+各项系数!$M$5)*(1+$E$2)</f>
        <v>17.8124321620283</v>
      </c>
      <c r="CC189" s="260">
        <f>CD189+各项系数!$L$9*$NT$12</f>
        <v>18.1759511857432</v>
      </c>
      <c r="CD189" s="260">
        <f>CE189*(1+$CG189+各项系数!$J$5+各项系数!$L$5)</f>
        <v>18.1676877825882</v>
      </c>
      <c r="CE189" s="262">
        <f t="shared" si="648"/>
        <v>17.6385318277555</v>
      </c>
      <c r="CF189" s="277">
        <f t="shared" si="753"/>
        <v>0</v>
      </c>
      <c r="CG189" s="277">
        <f t="shared" si="587"/>
        <v>0.01</v>
      </c>
      <c r="CH189" s="123"/>
      <c r="CI189" s="259">
        <f>CJ189+各项系数!$M$9*$NO189</f>
        <v>17.4867042008768</v>
      </c>
      <c r="CJ189" s="259">
        <f>CK189*(1+$DC189+(VLOOKUP($AM189,$A$12:$B$323,2,0))+各项系数!$J$6+各项系数!$M$5)*(1+$E$2)+各项系数!$M$9*$NK189</f>
        <v>17.254294764074</v>
      </c>
      <c r="CK189" s="260">
        <f>CL189+各项系数!$L$9*$NO189</f>
        <v>17.4708388793599</v>
      </c>
      <c r="CL189" s="260">
        <f>CM189*(1+$DD189+各项系数!$J$5+各项系数!$L$5)</f>
        <v>17.2384294425572</v>
      </c>
      <c r="CM189" s="260">
        <f t="shared" si="588"/>
        <v>16.9004210221149</v>
      </c>
      <c r="CN189" s="259">
        <f>CO189+各项系数!$M$9*$NO189</f>
        <v>18.0928987730708</v>
      </c>
      <c r="CO189" s="259">
        <f>CP189*(1+$DC189+(VLOOKUP($AM189,$A$12:$B$323,2,0))+各项系数!$J$6+各项系数!$M$5)*(1+$E$2)+各项系数!$M$9*$NK189</f>
        <v>17.8604893362681</v>
      </c>
      <c r="CP189" s="260">
        <f>CQ189+各项系数!$L$9*$NO189</f>
        <v>18.0894047693538</v>
      </c>
      <c r="CQ189" s="260">
        <f>CR189*(1+$DD189+各项系数!$J$5+各项系数!$L$5)</f>
        <v>17.8569953325511</v>
      </c>
      <c r="CR189" s="260">
        <f t="shared" si="589"/>
        <v>17.5068581691677</v>
      </c>
      <c r="CS189" s="259">
        <f>CT189+各项系数!$M$9*$NU189</f>
        <v>18.8138178052612</v>
      </c>
      <c r="CT189" s="259">
        <f t="shared" si="590"/>
        <v>18.5750318960941</v>
      </c>
      <c r="CU189" s="260">
        <f>CV189+各项系数!$L$9*$NU189</f>
        <v>18.9541141796878</v>
      </c>
      <c r="CV189" s="260">
        <f>CW189*(1+$DD189+各项系数!$J$5+各项系数!$L$5)</f>
        <v>18.7153282705207</v>
      </c>
      <c r="CW189" s="262">
        <f t="shared" si="591"/>
        <v>18.3483610495301</v>
      </c>
      <c r="CX189" s="259">
        <f>CY189+各项系数!$M$9*$NU189</f>
        <v>19.7705753524617</v>
      </c>
      <c r="CY189" s="259">
        <f t="shared" si="592"/>
        <v>19.5317894432946</v>
      </c>
      <c r="CZ189" s="260">
        <f>DA189+各项系数!$L$9*$NU189</f>
        <v>19.9303973911169</v>
      </c>
      <c r="DA189" s="260">
        <f>DB189*(1+$DD189+各项系数!$J$5+各项系数!$L$5)</f>
        <v>19.6916114819498</v>
      </c>
      <c r="DB189" s="262">
        <f t="shared" si="593"/>
        <v>19.3055014528919</v>
      </c>
      <c r="DC189" s="277">
        <f t="shared" ref="DC189:DC208" si="827">BI189+$DC$2</f>
        <v>0</v>
      </c>
      <c r="DD189" s="277">
        <f t="shared" si="594"/>
        <v>0</v>
      </c>
      <c r="DE189" s="69" t="s">
        <v>498</v>
      </c>
      <c r="DF189" s="69" t="s">
        <v>513</v>
      </c>
      <c r="DG189" s="259">
        <f>DH189+各项系数!$M$9*$NQ189</f>
        <v>17.7937284080108</v>
      </c>
      <c r="DH189" s="259">
        <f>DI189*(1+$EA189+(VLOOKUP($AM189,$A$12:$B$323,2,0))+各项系数!$J$6+各项系数!$M$5)*(1+$E$2)+各项系数!$M$9*$NK189</f>
        <v>17.561318971208</v>
      </c>
      <c r="DI189" s="260">
        <f>DJ189+各项系数!$L$9*$NQ189</f>
        <v>17.7841288866395</v>
      </c>
      <c r="DJ189" s="260">
        <f>DK189*(1+$EB189+各项系数!$J$5+各项系数!$L$5)</f>
        <v>17.5517194498367</v>
      </c>
      <c r="DK189" s="260">
        <f t="shared" si="595"/>
        <v>17.0405043202299</v>
      </c>
      <c r="DL189" s="259">
        <f>DM189+各项系数!$M$9*$NQ189</f>
        <v>18.6094241140478</v>
      </c>
      <c r="DM189" s="259">
        <f>DN189*(1+$EA189+(VLOOKUP($AM189,$A$12:$B$323,2,0))+各项系数!$J$6+各项系数!$M$5)*(1+$E$2)+各项系数!$M$9*$NK189</f>
        <v>18.377014677245</v>
      </c>
      <c r="DN189" s="260">
        <f>DO189+各项系数!$L$9*$NQ189</f>
        <v>18.6164714438201</v>
      </c>
      <c r="DO189" s="260">
        <f>DP189*(1+$EB189+各项系数!$J$5+各项系数!$L$5)</f>
        <v>18.3840620070174</v>
      </c>
      <c r="DP189" s="260">
        <f t="shared" si="596"/>
        <v>17.8486038903081</v>
      </c>
      <c r="DQ189" s="259">
        <f>DR189+各项系数!$M$9*$NV189</f>
        <v>19.1363676389271</v>
      </c>
      <c r="DR189" s="259">
        <f t="shared" si="597"/>
        <v>18.8975817297599</v>
      </c>
      <c r="DS189" s="260">
        <f>DT189+各项系数!$L$9*$NV189</f>
        <v>19.2832466630203</v>
      </c>
      <c r="DT189" s="260">
        <f>DU189*(1+$EB189+各项系数!$J$5+各项系数!$L$5)</f>
        <v>19.0444607538532</v>
      </c>
      <c r="DU189" s="262">
        <f t="shared" si="598"/>
        <v>18.4897677221876</v>
      </c>
      <c r="DV189" s="259">
        <f>DW189+各项系数!$M$9*$NV189</f>
        <v>19.114832096962</v>
      </c>
      <c r="DW189" s="259">
        <f t="shared" si="599"/>
        <v>18.8760461877949</v>
      </c>
      <c r="DX189" s="260">
        <f>DY189+各项系数!$L$9*$NV189</f>
        <v>19.2612716201989</v>
      </c>
      <c r="DY189" s="260">
        <f>DZ189*(1+$EB189+各项系数!$J$5+各项系数!$L$5)</f>
        <v>19.0224857110317</v>
      </c>
      <c r="DZ189" s="262">
        <f t="shared" si="600"/>
        <v>18.468432729157</v>
      </c>
      <c r="EA189" s="277">
        <f t="shared" si="826"/>
        <v>0</v>
      </c>
      <c r="EB189" s="277">
        <f t="shared" si="601"/>
        <v>0.01</v>
      </c>
      <c r="EC189" s="302">
        <f t="shared" si="649"/>
        <v>10</v>
      </c>
      <c r="ED189" s="302" t="str">
        <f t="shared" si="756"/>
        <v>10*2.5</v>
      </c>
      <c r="EE189" s="251">
        <f t="shared" si="812"/>
        <v>2.5</v>
      </c>
      <c r="EF189" s="251">
        <f>LOOKUP(EH189,{1,7,10,14,19,24,30,37,48,61},{1,"1+6","2+8","4+10","1+6+12","2+8+14","4+10+16","1+6+12+18","3+9+15+21","1+6+12+18+24"})</f>
        <v>1</v>
      </c>
      <c r="EG189" s="250">
        <f t="shared" si="602"/>
        <v>10</v>
      </c>
      <c r="EH189" s="260">
        <f>VLOOKUP(EE189,各项系数!$B$87:$C$124,2,0)</f>
        <v>1</v>
      </c>
      <c r="EI189" s="250">
        <f>IF(EH189=0,0,VLOOKUP(EH189,各项系数!$D$142:$E$195,2,0))*1</f>
        <v>1</v>
      </c>
      <c r="EJ189" s="305">
        <f t="shared" si="650"/>
        <v>172.412400708262</v>
      </c>
      <c r="EK189" s="251">
        <f t="shared" si="813"/>
        <v>0</v>
      </c>
      <c r="EL189" s="251">
        <f t="shared" si="603"/>
        <v>0</v>
      </c>
      <c r="EM189" s="251">
        <f t="shared" si="814"/>
        <v>0</v>
      </c>
      <c r="EN189" s="251">
        <f>IF(EP189=0,0,LOOKUP(EP189,{1,7,10,14,19,24,30,37,48,61},{1,"1+6","2+8","4+10","1+6+12","2+8+14","4+10+16","1+6+12+18","3+9+15+21","1+6+12+18+24"}))</f>
        <v>0</v>
      </c>
      <c r="EO189" s="251">
        <f t="shared" si="815"/>
        <v>0</v>
      </c>
      <c r="EP189" s="251">
        <f>IF(EM189=0,0,IF(EM189&lt;10,1,IF(AND(EM189&gt;=10,EM189&lt;=35),7,LOOKUP(EM189,{50,70,95,120,150,185,240,300},{10,14,19,24,30,37,48,61})*1)))</f>
        <v>0</v>
      </c>
      <c r="EQ189" s="251">
        <f>IF(EP189=0,0,VLOOKUP(EP189,各项系数!$D$142:$E$195,2,0))*1</f>
        <v>0</v>
      </c>
      <c r="ER189" s="69">
        <f t="shared" si="816"/>
        <v>0</v>
      </c>
      <c r="ES189" s="566">
        <f t="shared" si="817"/>
        <v>10</v>
      </c>
      <c r="ET189" s="251">
        <f>VLOOKUP(ES189,各项系数!$D$142:$E$195,2,0)*1</f>
        <v>4</v>
      </c>
      <c r="EU189" s="311">
        <f>((各项系数!$F$76/4*$EJ189^2*$EG189*$EH189*1*10^-7)*(1-$H189)*AA189)*(VLOOKUP($EY$9,各项系数!$D$4:$F$143,3,0))*各项系数!$J$4</f>
        <v>0.206515056889029</v>
      </c>
      <c r="EV189" s="312">
        <f>EU189*(VLOOKUP($EY$9,各项系数!$D$4:$F$143,2,0))</f>
        <v>13.5267362262314</v>
      </c>
      <c r="EW189" s="324">
        <f>(IF($EO189=0,0,(各项系数!$F$76/4*$ER189^2*$EO189*$EP189*1*10^-7))*(1-$K189)*$AF189)*(VLOOKUP($EY$9,各项系数!$D$4:$F$143,3,0))*各项系数!$J$4</f>
        <v>0</v>
      </c>
      <c r="EX189" s="325">
        <f>EW189*(VLOOKUP($EY$9,各项系数!$D$4:$F$143,2,0))</f>
        <v>0</v>
      </c>
      <c r="EY189" s="251">
        <f>((各项系数!$F$76/4*$EJ189^2*$EG189*$EH189*1*10^-7)*(1-$H189)*AA189+IF($EO189=0,0,(各项系数!$F$76/4*$ER189^2*$EO189*$EP189*1*10^-7))*(1-$K189)*$AF189)*(VLOOKUP($EY$9,各项系数!$D$4:$F$143,3,0))*各项系数!$J$4</f>
        <v>0.206515056889029</v>
      </c>
      <c r="EZ189" s="123">
        <v>1</v>
      </c>
      <c r="FA189" s="251">
        <f t="shared" si="757"/>
        <v>0.206515056889029</v>
      </c>
      <c r="FB189" s="326">
        <f>FA189*(VLOOKUP($EY$9,各项系数!$D$4:$F$143,2,0))</f>
        <v>13.5267362262314</v>
      </c>
      <c r="FC189" s="327"/>
      <c r="FD189" s="302">
        <f>各项系数!$F$76/4*($MN189^2-MK189^2)*10^-2*(VLOOKUP(L189,各项系数!$D$1:$F$143,3,0))*10^-3*10^2*$EG189*各项系数!$J$4</f>
        <v>0.0583469974033145</v>
      </c>
      <c r="FE189" s="339">
        <f>FD189*VLOOKUP(L189,各项系数!$D$1:$F$143,2,0)</f>
        <v>0.670990470138117</v>
      </c>
      <c r="FF189" s="250">
        <f>各项系数!$F$76/4*($MO189^2-ML189^2)*10^-2*(VLOOKUP(L189,各项系数!$D$1:$F$143,3,0))*10^-3*10^2*$EO189*各项系数!$J$4</f>
        <v>0</v>
      </c>
      <c r="FG189" s="339">
        <f>FF189*VLOOKUP(L189,各项系数!$D$1:$F$143,2,0)</f>
        <v>0</v>
      </c>
      <c r="FH189" s="302">
        <f t="shared" si="651"/>
        <v>0.0583469974033145</v>
      </c>
      <c r="FI189" s="123">
        <v>1</v>
      </c>
      <c r="FJ189" s="251">
        <f t="shared" si="758"/>
        <v>0.0583469974033145</v>
      </c>
      <c r="FK189" s="339">
        <f>FJ189*VLOOKUP(L189,各项系数!$D$1:$F$143,2,0)</f>
        <v>0.670990470138117</v>
      </c>
      <c r="FL189" s="302"/>
      <c r="FM189" s="123"/>
      <c r="FN189" s="251"/>
      <c r="FO189" s="339"/>
      <c r="FP189" s="364">
        <f t="shared" si="759"/>
        <v>0.0583469974033145</v>
      </c>
      <c r="FQ189" s="364">
        <f t="shared" si="760"/>
        <v>0.670990470138117</v>
      </c>
      <c r="FR189" s="365">
        <f>各项系数!$F$76/4*($MQ189^2-$MN189^2*$EG189-$MO189^2*$EO189)*10^-2</f>
        <v>0.459936272175176</v>
      </c>
      <c r="FS189" s="366">
        <f t="shared" si="652"/>
        <v>1</v>
      </c>
      <c r="FT189" s="367">
        <f t="shared" si="604"/>
        <v>0.459936272175176</v>
      </c>
      <c r="FU189" s="388">
        <f>$FT189*(VLOOKUP($FT$9,各项系数!$D$1:$F$143,3,0))*10^-3*10^2*各项系数!$J$55</f>
        <v>0.054916390897716</v>
      </c>
      <c r="FV189" s="389">
        <v>1</v>
      </c>
      <c r="FW189" s="390">
        <f t="shared" si="761"/>
        <v>0.054916390897716</v>
      </c>
      <c r="FX189" s="367">
        <f>FW189*(VLOOKUP($FT$9,各项系数!$D$1:$F$143,2,0))</f>
        <v>0.164749172693148</v>
      </c>
      <c r="FY189" s="388">
        <f>IF($BK189&lt;&gt;$FY$9,0,各项系数!$F$76/4*($MS189^2-$MQ189^2)*10^-2*(VLOOKUP($FY$9,各项系数!$D$1:$F$143,3,0))*10^-3*10^2)*各项系数!$J$4</f>
        <v>0</v>
      </c>
      <c r="FZ189" s="389">
        <v>1</v>
      </c>
      <c r="GA189" s="390">
        <f t="shared" si="762"/>
        <v>0</v>
      </c>
      <c r="GB189" s="367">
        <f>GA189*(VLOOKUP($FY$9,各项系数!$D$1:$F$143,2,0))</f>
        <v>0</v>
      </c>
      <c r="GC189" s="388">
        <f>IF($BK189&lt;&gt;$GC$9,0,各项系数!$F$76/4*($MS189^2-$MQ189^2)*10^-2*(VLOOKUP($GC$9,各项系数!$D$1:$F$143,3,0))*10^-3*10^2)*各项系数!$J$4</f>
        <v>0.00342709898711693</v>
      </c>
      <c r="GD189" s="389">
        <v>1</v>
      </c>
      <c r="GE189" s="390">
        <f t="shared" si="763"/>
        <v>0.00342709898711693</v>
      </c>
      <c r="GF189" s="367">
        <f>GE189*(VLOOKUP($GC$9,各项系数!$D$1:$F$143,2,0))</f>
        <v>0.0442095769338084</v>
      </c>
      <c r="GG189" s="388">
        <f>IF($BK189&lt;&gt;$GG$9,0,各项系数!$F$76/4*($MS189^2-$MQ189^2)*10^-2*(VLOOKUP($GG$9,各项系数!$D$1:$F$143,3,0))*10^-3*10^2)*各项系数!$J$4</f>
        <v>0</v>
      </c>
      <c r="GH189" s="389">
        <v>1</v>
      </c>
      <c r="GI189" s="390">
        <f t="shared" si="764"/>
        <v>0</v>
      </c>
      <c r="GJ189" s="367">
        <f>GI189*(VLOOKUP($GG$9,各项系数!$D$1:$F$143,2,0))</f>
        <v>0</v>
      </c>
      <c r="GK189" s="388">
        <f>IF($BK189&lt;&gt;$GK$9,0,各项系数!$F$76/4*($MS189^2-$MQ189^2)*10^-2*(VLOOKUP($GK$9,各项系数!$D$1:$F$143,3,0))*10^-3*10^2)*各项系数!$J$4</f>
        <v>0</v>
      </c>
      <c r="GL189" s="389">
        <v>1</v>
      </c>
      <c r="GM189" s="390">
        <f t="shared" si="765"/>
        <v>0</v>
      </c>
      <c r="GN189" s="367">
        <f>GM189*(VLOOKUP($GK$9,各项系数!$D$1:$F$143,2,0))</f>
        <v>0</v>
      </c>
      <c r="GO189" s="390">
        <f t="shared" si="766"/>
        <v>0.00342709898711693</v>
      </c>
      <c r="GP189" s="390">
        <f t="shared" si="767"/>
        <v>0.0442095769338084</v>
      </c>
      <c r="GQ189" s="406">
        <f>各项系数!$F$76/4*($MU189^2-$MS189^2)*10^-2*(VLOOKUP($S189,各项系数!$D$1:$F$143,3,0))*10^-3*10^2*各项系数!$J$4</f>
        <v>0.194663066879438</v>
      </c>
      <c r="GR189" s="389">
        <v>1</v>
      </c>
      <c r="GS189" s="390">
        <f t="shared" si="768"/>
        <v>0.194663066879438</v>
      </c>
      <c r="GT189" s="390">
        <f t="shared" si="696"/>
        <v>1</v>
      </c>
      <c r="GU189" s="390">
        <f>ROUND($GS189*(VLOOKUP($S189,各项系数!$D$1:$F$143,2,0))+$E$3*GS189,GT189)</f>
        <v>1.1</v>
      </c>
      <c r="GV189" s="406">
        <f>各项系数!$F$76/4*($MT189^2-$MS189^2)*10^-2*(VLOOKUP($GV$9,各项系数!$D$1:$F$143,3,0))*10^-3*10^2*各项系数!$J$4*PI()/4*R189</f>
        <v>0.0178131107105602</v>
      </c>
      <c r="GW189" s="389">
        <v>1</v>
      </c>
      <c r="GX189" s="390">
        <f t="shared" si="769"/>
        <v>0.0178131107105602</v>
      </c>
      <c r="GY189" s="390">
        <f>$GX189*(VLOOKUP($GV$9,各项系数!$D$1:$F$143,2,0))</f>
        <v>1.20238497296281</v>
      </c>
      <c r="GZ189" s="406">
        <f>各项系数!$F$76/4*($MV189^2-$MS189^2)*10^-2*(VLOOKUP($GZ$9,各项系数!$D$1:$F$143,3,0))*10^-3*10^2*各项系数!$J$4</f>
        <v>0.118074713423688</v>
      </c>
      <c r="HA189" s="389">
        <v>1</v>
      </c>
      <c r="HB189" s="390">
        <f t="shared" si="653"/>
        <v>0.118074713423688</v>
      </c>
      <c r="HC189" s="390">
        <f>HB189*(VLOOKUP($GZ$9,各项系数!$D$1:$F$143,2,0))</f>
        <v>2.0072701282027</v>
      </c>
      <c r="HD189" s="406">
        <f>各项系数!$F$76/4*($MW189^2-$MT189^2)*10^-2*(VLOOKUP($HD$9,各项系数!$D$1:$F$143,3,0))*10^-3*10^2*各项系数!$J$4</f>
        <v>0.119380082870367</v>
      </c>
      <c r="HE189" s="389">
        <v>1</v>
      </c>
      <c r="HF189" s="390">
        <f t="shared" si="654"/>
        <v>0.119380082870367</v>
      </c>
      <c r="HG189" s="390">
        <f>HF189*(VLOOKUP($HD$9,各项系数!$D$1:$F$143,2,0))</f>
        <v>2.02946140879624</v>
      </c>
      <c r="HH189" s="406">
        <f>各项系数!$F$76/4*($MV189^2-$MS189^2)*10^-2*(VLOOKUP($HH$9,各项系数!$D$1:$F$143,3,0))*10^-3*10^2*各项系数!$J$4</f>
        <v>0.118074713423688</v>
      </c>
      <c r="HI189" s="420">
        <v>1</v>
      </c>
      <c r="HJ189" s="390">
        <f t="shared" si="655"/>
        <v>0.118074713423688</v>
      </c>
      <c r="HK189" s="390">
        <f>HJ189*(VLOOKUP($HH$9,各项系数!$D$1:$F$143,2,0))</f>
        <v>2.0072701282027</v>
      </c>
      <c r="HL189" s="406">
        <f>各项系数!$F$76/4*($MW189^2-$MT189^2)*10^-2*(VLOOKUP($HL$9,各项系数!$D$1:$F$143,3,0))*10^-3*10^2*各项系数!$J$4</f>
        <v>0.119380082870367</v>
      </c>
      <c r="HM189" s="420">
        <v>1</v>
      </c>
      <c r="HN189" s="390">
        <f t="shared" si="605"/>
        <v>0.119380082870367</v>
      </c>
      <c r="HO189" s="390">
        <f>HN189*(VLOOKUP($HL$9,各项系数!$D$1:$F$143,2,0))</f>
        <v>2.02946140879624</v>
      </c>
      <c r="HP189" s="406">
        <f>各项系数!$F$76/4*($MV189^2-$MS189^2)*10^-2*(VLOOKUP(AN189,各项系数!$D$1:$F$143,3,0))*10^-3*10^2*各项系数!$J$4</f>
        <v>0.119703330160567</v>
      </c>
      <c r="HQ189" s="389">
        <v>1</v>
      </c>
      <c r="HR189" s="390">
        <f t="shared" si="770"/>
        <v>0.119703330160567</v>
      </c>
      <c r="HS189" s="390">
        <f>HR189*(VLOOKUP(AN189,各项系数!$D$1:$F$143,2,0))</f>
        <v>1.19703330160567</v>
      </c>
      <c r="HT189" s="406">
        <f>各项系数!$F$76/4*($MW189^2-$MT189^2)*10^-2*(VLOOKUP(AN189,各项系数!$D$1:$F$143,3,0))*10^-3*10^2*各项系数!$J$4</f>
        <v>0.121026704703062</v>
      </c>
      <c r="HU189" s="389">
        <v>1</v>
      </c>
      <c r="HV189" s="390">
        <f t="shared" si="771"/>
        <v>0.121026704703062</v>
      </c>
      <c r="HW189" s="390">
        <f>HV189*(VLOOKUP(AN189,各项系数!$D$1:$F$143,2,0))</f>
        <v>1.21026704703062</v>
      </c>
      <c r="HX189" s="406">
        <f>各项系数!$F$76/4*($MV189^2-$MS189^2)*10^-2*(VLOOKUP($HX$9,各项系数!$D$1:$F$143,3,0))*10^-3*10^2*各项系数!$J$4</f>
        <v>0.119703330160567</v>
      </c>
      <c r="HY189" s="420">
        <v>1</v>
      </c>
      <c r="HZ189" s="390">
        <f t="shared" si="772"/>
        <v>0.119703330160567</v>
      </c>
      <c r="IA189" s="390">
        <f>HZ189*(VLOOKUP($HX$9,各项系数!$D$1:$F$143,2,0))</f>
        <v>1.31673663176624</v>
      </c>
      <c r="IB189" s="406">
        <f>各项系数!$F$76/4*($MW189^2-$MT189^2)*10^-2*(VLOOKUP($IB$9,各项系数!$D$1:$F$143,3,0))*10^-3*10^2*各项系数!$J$4</f>
        <v>0.121026704703062</v>
      </c>
      <c r="IC189" s="420">
        <v>1</v>
      </c>
      <c r="ID189" s="390">
        <f t="shared" si="773"/>
        <v>0.121026704703062</v>
      </c>
      <c r="IE189" s="390">
        <f>ID189*(VLOOKUP($IB$9,各项系数!$D$1:$F$143,2,0))</f>
        <v>1.33129375173368</v>
      </c>
      <c r="IF189" s="429"/>
      <c r="IG189" s="406">
        <f t="shared" si="656"/>
        <v>0.0284723021437734</v>
      </c>
      <c r="IH189" s="389">
        <v>1</v>
      </c>
      <c r="II189" s="390">
        <f t="shared" si="774"/>
        <v>0.0284723021437734</v>
      </c>
      <c r="IJ189" s="390">
        <f>II189*(VLOOKUP($IG$8,各项系数!$D$1:$F$143,2,0))</f>
        <v>0.711807553594334</v>
      </c>
      <c r="IK189" s="406">
        <f>(各项系数!$F$76/4*($MX189^2-$MK189^2)*$EG189)*10^-2*(VLOOKUP($IG$8,各项系数!$D$1:$F$143,3,0))*10^-3*10^2*各项系数!$J$4</f>
        <v>0.0284723021437734</v>
      </c>
      <c r="IL189" s="389">
        <f>IK189*(VLOOKUP($IG$8,各项系数!$D$1:$F$143,2,0))</f>
        <v>0.711807553594334</v>
      </c>
      <c r="IM189" s="390">
        <f>(各项系数!$F$76/4*(($MM189+3*$X189)^2-MM189^2)*$EO189)*10^-2*(VLOOKUP($IG$8,各项系数!$D$1:$F$143,3,0))*10^-3*10^2*各项系数!$J$4</f>
        <v>0</v>
      </c>
      <c r="IN189" s="389">
        <f>IM189*(VLOOKUP($IG$8,各项系数!$D$1:$F$143,2,0))</f>
        <v>0</v>
      </c>
      <c r="IO189" s="406">
        <f>各项系数!$F$76/4*($MZ189^2-$MX189^2)*10^-2*(VLOOKUP(L189,各项系数!$D$1:$F$143,3,0))*10^-3*10^2*$ES189*各项系数!$J$4</f>
        <v>0.0727885846726014</v>
      </c>
      <c r="IP189" s="389">
        <v>1</v>
      </c>
      <c r="IQ189" s="390">
        <f t="shared" si="775"/>
        <v>0.0727885846726014</v>
      </c>
      <c r="IR189" s="367">
        <f>IQ189*(VLOOKUP(L189,各项系数!$D$1:$F$143,2,0))</f>
        <v>0.837068723734917</v>
      </c>
      <c r="IS189" s="406">
        <f>IF($L189&lt;&gt;$IS$9,0,各项系数!$F$76/4*($MZ189^2-$MX189^2)*10^-2*各项系数!$F$12*10^-3*10^2)*$ES189*各项系数!$J$4</f>
        <v>0</v>
      </c>
      <c r="IT189" s="389">
        <v>1</v>
      </c>
      <c r="IU189" s="390">
        <f t="shared" si="776"/>
        <v>0</v>
      </c>
      <c r="IV189" s="367">
        <f>IU189*各项系数!$E$12</f>
        <v>0</v>
      </c>
      <c r="IW189" s="388">
        <f t="shared" si="777"/>
        <v>0.0727885846726014</v>
      </c>
      <c r="IX189" s="388">
        <f t="shared" si="778"/>
        <v>0.837068723734917</v>
      </c>
      <c r="IY189" s="447">
        <f>各项系数!$F$76/4*($NB189^2-$MZ189^2*$EG189-$NA189^2*$EO189)*10^-2</f>
        <v>0.653565923201511</v>
      </c>
      <c r="IZ189" s="366">
        <f t="shared" si="697"/>
        <v>1</v>
      </c>
      <c r="JA189" s="367">
        <f t="shared" si="606"/>
        <v>0.653565923201511</v>
      </c>
      <c r="JB189" s="364">
        <f>IF($DE189&lt;&gt;$JB$9,0,$JA189*各项系数!$F$32*10^-3*10^2)*各项系数!$J$4</f>
        <v>0</v>
      </c>
      <c r="JC189" s="123">
        <v>1</v>
      </c>
      <c r="JD189" s="251">
        <f t="shared" si="779"/>
        <v>0</v>
      </c>
      <c r="JE189" s="339">
        <f>JD189*各项系数!$E$32</f>
        <v>0</v>
      </c>
      <c r="JF189" s="364">
        <f>IF($DE189&lt;&gt;$JF$9,0,$JA189*VLOOKUP($JF$9,各项系数!$D$4:$F$540,2,0)*10^-3*10^2)*各项系数!$J$4</f>
        <v>0.325149046792752</v>
      </c>
      <c r="JG189" s="123">
        <v>1</v>
      </c>
      <c r="JH189" s="251">
        <f t="shared" si="607"/>
        <v>0.325149046792752</v>
      </c>
      <c r="JI189" s="339">
        <f>JH189*VLOOKUP($JF$9,各项系数!$D$4:$F$540,3,0)</f>
        <v>0.390178856151302</v>
      </c>
      <c r="JJ189" s="364">
        <f t="shared" si="780"/>
        <v>0.325149046792752</v>
      </c>
      <c r="JK189" s="251">
        <f t="shared" si="781"/>
        <v>0.390178856151302</v>
      </c>
      <c r="JL189" s="364">
        <f>IF($DF189&lt;&gt;$JL$9,0,各项系数!$F$76/4*($NE189^2-$NC189^2)*10^-2*各项系数!$F$39*10^-3*10^2)*各项系数!$J$4</f>
        <v>0.00168983406265373</v>
      </c>
      <c r="JM189" s="123">
        <v>1</v>
      </c>
      <c r="JN189" s="251">
        <f t="shared" si="782"/>
        <v>0.00168983406265373</v>
      </c>
      <c r="JO189" s="339">
        <f>JN189*各项系数!$E$39</f>
        <v>0.0337966812530745</v>
      </c>
      <c r="JP189" s="364">
        <f>IF($DF189&lt;&gt;$JP$9,0,各项系数!$F$76/4*($NE189^2-$NC189^2)*10^-2*各项系数!$F$36*10^-3*10^2)*各项系数!$J$4</f>
        <v>0</v>
      </c>
      <c r="JQ189" s="123">
        <v>1</v>
      </c>
      <c r="JR189" s="251">
        <f t="shared" si="783"/>
        <v>0</v>
      </c>
      <c r="JS189" s="339">
        <f>JR189*各项系数!$E$36</f>
        <v>0</v>
      </c>
      <c r="JT189" s="364">
        <f>IF($DF189&lt;&gt;$JT$9,0,各项系数!$F$76/4*($NE189^2-$NC189^2)*10^-2*各项系数!$F$40*10^-3*10^2)*各项系数!$J$4</f>
        <v>0</v>
      </c>
      <c r="JU189" s="123">
        <v>1</v>
      </c>
      <c r="JV189" s="251">
        <f t="shared" si="784"/>
        <v>0</v>
      </c>
      <c r="JW189" s="339">
        <f>JV189*各项系数!$E$40</f>
        <v>0</v>
      </c>
      <c r="JX189" s="364">
        <f>IF($DF189&lt;&gt;$JX$9,0,各项系数!$F$76/4*($NE189^2-$NC189^2)*10^-2*各项系数!$F$38*10^-3*10^2)*各项系数!$J$4</f>
        <v>0</v>
      </c>
      <c r="JY189" s="123">
        <v>1</v>
      </c>
      <c r="JZ189" s="251">
        <f t="shared" si="785"/>
        <v>0</v>
      </c>
      <c r="KA189" s="339">
        <f>JZ189*各项系数!$E$38</f>
        <v>0</v>
      </c>
      <c r="KB189" s="364">
        <f>IF($DF189&lt;&gt;$KB$9,0,各项系数!$F$76/4*($NE189^2-$NC189^2)*10^-2*各项系数!$F$41*10^-3*10^2)*各项系数!$J$4</f>
        <v>0</v>
      </c>
      <c r="KC189" s="123">
        <v>1</v>
      </c>
      <c r="KD189" s="251">
        <f t="shared" si="786"/>
        <v>0</v>
      </c>
      <c r="KE189" s="339">
        <f>KD189*各项系数!$E$41</f>
        <v>0</v>
      </c>
      <c r="KF189" s="251">
        <f t="shared" si="787"/>
        <v>0.00168983406265373</v>
      </c>
      <c r="KG189" s="251">
        <f t="shared" si="788"/>
        <v>0.0337966812530745</v>
      </c>
      <c r="KH189" s="302">
        <f>各项系数!$F$76/4*($NG189^2-$NE189^2)*10^-2*各项系数!$F$44*10^-3*10^2*各项系数!$J$4*0.75*$U189</f>
        <v>0.692405084586305</v>
      </c>
      <c r="KI189" s="123">
        <v>1</v>
      </c>
      <c r="KJ189" s="251">
        <f t="shared" si="789"/>
        <v>0.692405084586305</v>
      </c>
      <c r="KK189" s="251">
        <f>ROUND(KJ189*各项系数!$E$43,GT189)</f>
        <v>4</v>
      </c>
      <c r="KL189" s="302">
        <f>各项系数!$F$76/4*($NF189^2-$NE189^2)*10^-2*各项系数!$F$46*10^-3*10^2*各项系数!$J$4*PI()/4*R189</f>
        <v>0.0212549078813372</v>
      </c>
      <c r="KM189" s="123">
        <v>1</v>
      </c>
      <c r="KN189" s="251">
        <f t="shared" si="790"/>
        <v>0.0212549078813372</v>
      </c>
      <c r="KO189" s="251">
        <f>KN189*各项系数!$E$46</f>
        <v>1.43470628199026</v>
      </c>
      <c r="KP189" s="302">
        <f>各项系数!$F$76/4*($NH189^2-$NE189^2)*10^-2*(VLOOKUP($KP$9,各项系数!$D$1:$F$143,3,0))*10^-3*10^2*各项系数!$J$4</f>
        <v>0.138177402902536</v>
      </c>
      <c r="KQ189" s="123">
        <v>1</v>
      </c>
      <c r="KR189" s="251">
        <f t="shared" si="657"/>
        <v>0.138177402902536</v>
      </c>
      <c r="KS189" s="251">
        <f>KR189*(VLOOKUP($KP$9,各项系数!$D$1:$F$143,2,0))</f>
        <v>2.34901584934311</v>
      </c>
      <c r="KT189" s="302">
        <f>各项系数!$F$76/4*($NI189^2-$NF189^2)*10^-2*(VLOOKUP($KT$9,各项系数!$D$1:$F$143,3,0))*10^-3*10^2*各项系数!$J$4</f>
        <v>0.139482772349214</v>
      </c>
      <c r="KU189" s="123">
        <v>1</v>
      </c>
      <c r="KV189" s="251">
        <f t="shared" si="658"/>
        <v>0.139482772349214</v>
      </c>
      <c r="KW189" s="251">
        <f>KV189*(VLOOKUP($KT$9,各项系数!$D$1:$F$143,2,0))</f>
        <v>2.37120712993664</v>
      </c>
      <c r="KX189" s="251">
        <f>各项系数!$F$76/4*($NH189^2-$NE189^2)*10^-2*(VLOOKUP($KX$9,各项系数!$D$1:$F$143,3,0))*10^-3*10^2*各项系数!$J$4</f>
        <v>0.138177402902536</v>
      </c>
      <c r="KY189" s="479">
        <v>1</v>
      </c>
      <c r="KZ189" s="251">
        <f t="shared" si="659"/>
        <v>0.138177402902536</v>
      </c>
      <c r="LA189" s="251">
        <f>KZ189*(VLOOKUP($KX$9,各项系数!$D$1:$F$143,2,0))</f>
        <v>2.34901584934311</v>
      </c>
      <c r="LB189" s="251">
        <f>各项系数!$F$76/4*($NI189^2-$NF189^2)*10^-2*(VLOOKUP($LB$9,各项系数!$D$1:$F$143,3,0))*10^-3*10^2*各项系数!$J$4</f>
        <v>0.139482772349214</v>
      </c>
      <c r="LC189" s="479">
        <v>1</v>
      </c>
      <c r="LD189" s="251">
        <f t="shared" si="660"/>
        <v>0.139482772349214</v>
      </c>
      <c r="LE189" s="251">
        <f>LD189*(VLOOKUP($LB$9,各项系数!$D$1:$F$143,2,0))</f>
        <v>2.37120712993664</v>
      </c>
      <c r="LF189" s="302">
        <f>各项系数!$F$76/4*($NH189^2-$NE189^2)*10^-2*(VLOOKUP(AN189,各项系数!$D$1:$F$143,3,0))*10^-3*10^2*各项系数!$J$4</f>
        <v>0.140083298114985</v>
      </c>
      <c r="LG189" s="123">
        <v>1</v>
      </c>
      <c r="LH189" s="251">
        <f t="shared" si="791"/>
        <v>0.140083298114985</v>
      </c>
      <c r="LI189" s="251">
        <f>LH189*(VLOOKUP(AN189,各项系数!$D$1:$F$143,2,0))</f>
        <v>1.40083298114985</v>
      </c>
      <c r="LJ189" s="302">
        <f>各项系数!$F$76/4*($NI189^2-$NF189^2)*10^-2*(VLOOKUP(AN189,各项系数!$D$1:$F$143,3,0))*10^-3*10^2*各项系数!$J$4</f>
        <v>0.141406672657479</v>
      </c>
      <c r="LK189" s="123">
        <v>1</v>
      </c>
      <c r="LL189" s="251">
        <f t="shared" si="792"/>
        <v>0.141406672657479</v>
      </c>
      <c r="LM189" s="251">
        <f>LL189*(VLOOKUP(AN189,各项系数!$D$1:$F$143,2,0))</f>
        <v>1.41406672657479</v>
      </c>
      <c r="LN189" s="251">
        <f>各项系数!$F$76/4*($NH189^2-$NE189^2)*10^-2*(VLOOKUP($LN$9,各项系数!$D$1:$F$143,3,0))*10^-3*10^2*各项系数!$J$4</f>
        <v>0.140083298114985</v>
      </c>
      <c r="LO189" s="479">
        <v>1</v>
      </c>
      <c r="LP189" s="251">
        <f t="shared" si="793"/>
        <v>0.140083298114985</v>
      </c>
      <c r="LQ189" s="251">
        <f>LP189*(VLOOKUP($LN$9,各项系数!$D$1:$F$143,2,0))</f>
        <v>1.54091627926483</v>
      </c>
      <c r="LR189" s="251">
        <f>各项系数!$F$76/4*($NI189^2-$NF189^2)*10^-2*(VLOOKUP($LR$9,各项系数!$D$1:$F$143,3,0))*10^-3*10^2*各项系数!$J$4</f>
        <v>0.141406672657479</v>
      </c>
      <c r="LS189" s="479">
        <v>1</v>
      </c>
      <c r="LT189" s="251">
        <f t="shared" si="794"/>
        <v>0.141406672657479</v>
      </c>
      <c r="LU189" s="251">
        <f>LT189*(VLOOKUP($LR$9,各项系数!$D$1:$F$143,2,0))</f>
        <v>1.55547339923227</v>
      </c>
      <c r="LV189" s="499">
        <f t="shared" si="661"/>
        <v>23.34677409</v>
      </c>
      <c r="LW189" s="499">
        <f t="shared" si="662"/>
        <v>23.34677409</v>
      </c>
      <c r="LX189" s="499">
        <f t="shared" si="663"/>
        <v>5.45215883970619</v>
      </c>
      <c r="LY189" s="515">
        <f t="shared" si="664"/>
        <v>0</v>
      </c>
      <c r="LZ189" s="516">
        <f t="shared" si="608"/>
        <v>1</v>
      </c>
      <c r="MA189" s="517">
        <f t="shared" si="609"/>
        <v>23.34677409</v>
      </c>
      <c r="MB189" s="517">
        <f t="shared" si="665"/>
        <v>1.72412401</v>
      </c>
      <c r="MC189" s="499">
        <f t="shared" si="666"/>
        <v>0</v>
      </c>
      <c r="MD189" s="499">
        <f t="shared" si="667"/>
        <v>0</v>
      </c>
      <c r="ME189" s="499">
        <f t="shared" si="668"/>
        <v>0</v>
      </c>
      <c r="MF189" s="499">
        <f t="shared" si="669"/>
        <v>0</v>
      </c>
      <c r="MG189" s="516">
        <f t="shared" si="670"/>
        <v>1</v>
      </c>
      <c r="MH189" s="517">
        <f t="shared" si="610"/>
        <v>0</v>
      </c>
      <c r="MI189" s="517">
        <f t="shared" si="671"/>
        <v>0</v>
      </c>
      <c r="MJ189" s="251">
        <f t="shared" si="611"/>
        <v>1.72412401</v>
      </c>
      <c r="MK189" s="251">
        <f t="shared" si="672"/>
        <v>1.72412401</v>
      </c>
      <c r="ML189" s="251">
        <f t="shared" si="795"/>
        <v>0</v>
      </c>
      <c r="MM189" s="251">
        <f t="shared" si="612"/>
        <v>0</v>
      </c>
      <c r="MN189" s="251">
        <f t="shared" si="613"/>
        <v>3.12412401</v>
      </c>
      <c r="MO189" s="251">
        <f t="shared" si="673"/>
        <v>0</v>
      </c>
      <c r="MP189" s="251">
        <f t="shared" si="674"/>
        <v>12.49649604</v>
      </c>
      <c r="MQ189" s="251">
        <f t="shared" si="796"/>
        <v>12.49649604</v>
      </c>
      <c r="MR189" s="314">
        <f t="shared" si="675"/>
        <v>12.49649604</v>
      </c>
      <c r="MS189" s="530">
        <f t="shared" si="614"/>
        <v>12.67249604</v>
      </c>
      <c r="MT189" s="530">
        <f t="shared" si="615"/>
        <v>12.83249604</v>
      </c>
      <c r="MU189" s="530">
        <f t="shared" si="616"/>
        <v>13.87249604</v>
      </c>
      <c r="MV189" s="530">
        <f t="shared" si="617"/>
        <v>16.27249604</v>
      </c>
      <c r="MW189" s="530">
        <f t="shared" si="618"/>
        <v>16.43249604</v>
      </c>
      <c r="MX189" s="326">
        <f t="shared" si="619"/>
        <v>2.32412401</v>
      </c>
      <c r="MY189" s="326">
        <f t="shared" si="620"/>
        <v>0</v>
      </c>
      <c r="MZ189" s="251">
        <f t="shared" si="621"/>
        <v>3.72412401</v>
      </c>
      <c r="NA189" s="251">
        <f t="shared" si="622"/>
        <v>0</v>
      </c>
      <c r="NB189" s="251">
        <f t="shared" si="676"/>
        <v>14.89649604</v>
      </c>
      <c r="NC189" s="326">
        <f t="shared" si="797"/>
        <v>14.89649604</v>
      </c>
      <c r="ND189" s="314">
        <f t="shared" si="677"/>
        <v>14.89649604</v>
      </c>
      <c r="NE189" s="537">
        <f t="shared" si="678"/>
        <v>15.13649604</v>
      </c>
      <c r="NF189" s="530">
        <f t="shared" si="623"/>
        <v>15.29649604</v>
      </c>
      <c r="NG189" s="538">
        <f t="shared" si="624"/>
        <v>16.33649604</v>
      </c>
      <c r="NH189" s="326">
        <f t="shared" si="625"/>
        <v>18.73649604</v>
      </c>
      <c r="NI189" s="530">
        <f t="shared" si="626"/>
        <v>18.89649604</v>
      </c>
      <c r="NK189" s="539">
        <f t="shared" si="627"/>
        <v>0.442908874337743</v>
      </c>
      <c r="NL189" s="539">
        <f t="shared" si="628"/>
        <v>15.6037187476021</v>
      </c>
      <c r="NM189" s="539">
        <f t="shared" si="629"/>
        <v>0.442908874337743</v>
      </c>
      <c r="NN189" s="539">
        <f t="shared" si="630"/>
        <v>15.7234220777627</v>
      </c>
      <c r="NO189" s="539">
        <f t="shared" si="631"/>
        <v>0.774698122675794</v>
      </c>
      <c r="NP189" s="539">
        <f t="shared" si="632"/>
        <v>16.9004210221149</v>
      </c>
      <c r="NQ189" s="539">
        <f t="shared" si="633"/>
        <v>0.774698122675794</v>
      </c>
      <c r="NR189" s="539">
        <f t="shared" si="634"/>
        <v>17.0405043202299</v>
      </c>
      <c r="NS189" s="539">
        <f t="shared" si="635"/>
        <v>0.460721985048303</v>
      </c>
      <c r="NT189" s="539">
        <f t="shared" si="636"/>
        <v>0.460721985048303</v>
      </c>
      <c r="NU189" s="539">
        <f t="shared" si="637"/>
        <v>0.795953030557131</v>
      </c>
      <c r="NV189" s="539">
        <f t="shared" si="638"/>
        <v>0.795953030557131</v>
      </c>
      <c r="NW189">
        <f t="shared" si="639"/>
        <v>0.637571941217182</v>
      </c>
      <c r="NX189">
        <f>各项系数!$M$9*NK189</f>
        <v>0.132872662301323</v>
      </c>
      <c r="NY189">
        <f t="shared" si="640"/>
        <v>0.460721985048303</v>
      </c>
    </row>
    <row r="190" customHeight="1" spans="1:389">
      <c r="A190" s="85"/>
      <c r="B190" s="86"/>
      <c r="C190" s="218"/>
      <c r="D190" s="123" t="s">
        <v>228</v>
      </c>
      <c r="E190" s="77">
        <f t="shared" si="805"/>
        <v>16.77235588</v>
      </c>
      <c r="F190" s="559">
        <f t="shared" si="820"/>
        <v>172.412400708262</v>
      </c>
      <c r="G190" s="23"/>
      <c r="H190" s="23"/>
      <c r="I190" s="174">
        <v>0</v>
      </c>
      <c r="J190" s="23"/>
      <c r="K190" s="23"/>
      <c r="L190" s="118" t="s">
        <v>469</v>
      </c>
      <c r="M190" s="124">
        <f t="shared" si="582"/>
        <v>0.7</v>
      </c>
      <c r="N190" s="124">
        <f t="shared" si="804"/>
        <v>0</v>
      </c>
      <c r="O190" s="69">
        <f t="shared" si="825"/>
        <v>0.08</v>
      </c>
      <c r="P190" s="120">
        <v>0.1</v>
      </c>
      <c r="Q190" s="162">
        <f t="shared" si="823"/>
        <v>0.1</v>
      </c>
      <c r="R190" s="560">
        <v>0.8</v>
      </c>
      <c r="S190" s="171" t="str">
        <f>各项系数!$D$43</f>
        <v>钢带</v>
      </c>
      <c r="T190" s="123">
        <v>0.2</v>
      </c>
      <c r="U190" s="78">
        <v>4</v>
      </c>
      <c r="V190" s="172"/>
      <c r="W190" s="170">
        <f t="shared" ref="W190:W196" si="828">$W$189</f>
        <v>1.8</v>
      </c>
      <c r="X190" s="164">
        <f t="shared" si="824"/>
        <v>0.2</v>
      </c>
      <c r="Y190" s="219"/>
      <c r="Z190" s="220"/>
      <c r="AA190" s="217">
        <v>1</v>
      </c>
      <c r="AB190" s="186">
        <f>PI()*EJ190*EJ190/4*EH190*(1-H190)*AA190*各项系数!$F$5*各项系数!$J$4*10^-7</f>
        <v>0.0206515056889029</v>
      </c>
      <c r="AC190" s="186">
        <f t="shared" si="808"/>
        <v>172.412400708262</v>
      </c>
      <c r="AD190" s="186">
        <f t="shared" si="584"/>
        <v>2.3346774015073</v>
      </c>
      <c r="AE190" s="186">
        <f>POWER(4*EU190/PI()/EG190/10^-7/EH190/(1-H190)/各项系数!$F$5/各项系数!$J$4,0.5)</f>
        <v>172.412400708262</v>
      </c>
      <c r="AF190" s="218">
        <v>1</v>
      </c>
      <c r="AG190" s="85">
        <f>IF(EM190=0,0,PI()*ER190*ER190/4*EP190*(1-K190)*(1+AF190)*各项系数!$F$5*各项系数!$J$4*10^-7)</f>
        <v>0</v>
      </c>
      <c r="AH190" s="85">
        <f t="shared" si="809"/>
        <v>0</v>
      </c>
      <c r="AI190" s="85">
        <f t="shared" si="641"/>
        <v>0</v>
      </c>
      <c r="AJ190" s="85">
        <f>IF(OR(EP190="",EP190=0),0,POWER(4*EW190/PI()/EO190/10^-7/EP190/(1-K190)/各项系数!$F$5/各项系数!$J$4,0.5))</f>
        <v>0</v>
      </c>
      <c r="AK190" s="85" t="str">
        <f t="shared" si="585"/>
        <v>√</v>
      </c>
      <c r="AL190" s="85">
        <f t="shared" si="810"/>
        <v>19.128289482631</v>
      </c>
      <c r="AM190" s="250">
        <f t="shared" si="811"/>
        <v>2.5</v>
      </c>
      <c r="AN190" s="118" t="s">
        <v>486</v>
      </c>
      <c r="AO190" s="259">
        <f>AP190+各项系数!$M$9*$NK190</f>
        <v>18.7532249829716</v>
      </c>
      <c r="AP190" s="259">
        <f>AQ190*(1+$BI190+(VLOOKUP($AM190,$A$12:$B$323,2,0))+各项系数!$J$6+各项系数!$M$5)*(1+$E$2)</f>
        <v>18.6050861410553</v>
      </c>
      <c r="AQ190" s="260">
        <f>AR190+各项系数!$L$9*$NK190</f>
        <v>18.9847817765871</v>
      </c>
      <c r="AR190" s="260">
        <f>AS190*(1+$BJ190+各项系数!$J$5+各项系数!$L$5)</f>
        <v>18.8366429346708</v>
      </c>
      <c r="AS190" s="260">
        <f t="shared" si="642"/>
        <v>18.4672969947753</v>
      </c>
      <c r="AT190" s="259">
        <f>AU190+各项系数!$M$9*$NM190</f>
        <v>19.5911109716588</v>
      </c>
      <c r="AU190" s="259">
        <f>AV190*(1+$BI190+(VLOOKUP($AM190,$A$12:$B$323,2,0))+各项系数!$J$6+各项系数!$M$5)*(1+$E$2)</f>
        <v>19.4429721297425</v>
      </c>
      <c r="AV190" s="260">
        <f>AW190+各项系数!$L$9*$NM190</f>
        <v>19.8397674793291</v>
      </c>
      <c r="AW190" s="260">
        <f>AX190*(1+$BJ190+各项系数!$J$5+各项系数!$L$5)</f>
        <v>19.6916286374128</v>
      </c>
      <c r="AX190" s="260">
        <f t="shared" si="643"/>
        <v>19.3055182719733</v>
      </c>
      <c r="AY190" s="259">
        <f>AZ190+各项系数!$M$9*$NS190</f>
        <v>20.0264642404713</v>
      </c>
      <c r="AZ190" s="259">
        <f>BA190*(1+$BI190+(VLOOKUP($AM190,$A$12:$B$214,2,0))+各项系数!$J$6+各项系数!$M$5)*(1+$E$2)</f>
        <v>19.8727719990858</v>
      </c>
      <c r="BA190" s="260">
        <f>BB190+各项系数!$L$9*$NS190</f>
        <v>20.2783387745773</v>
      </c>
      <c r="BB190" s="260">
        <f>BC190*(1+$BJ190+各项系数!$J$5+各项系数!$L$5)</f>
        <v>20.1246465331918</v>
      </c>
      <c r="BC190" s="262">
        <f t="shared" si="644"/>
        <v>19.7300456207763</v>
      </c>
      <c r="BD190" s="259">
        <f>BE190+各项系数!$M$9*$NS190</f>
        <v>20.873304181313</v>
      </c>
      <c r="BE190" s="259">
        <f>BF190*(1+$BI190+(VLOOKUP($AM190,$A$12:$B$214,2,0))+各项系数!$J$6+各项系数!$M$5)*(1+$E$2)</f>
        <v>20.7196119399275</v>
      </c>
      <c r="BF190" s="260">
        <f>BG190+各项系数!$L$9*$NS190</f>
        <v>21.1424611631913</v>
      </c>
      <c r="BG190" s="260">
        <f>BH190*(1+$BJ190+各项系数!$J$5+各项系数!$L$5)</f>
        <v>20.9887689218058</v>
      </c>
      <c r="BH190" s="262">
        <f t="shared" si="645"/>
        <v>20.5772244331429</v>
      </c>
      <c r="BI190" s="277"/>
      <c r="BJ190" s="272">
        <f t="shared" si="822"/>
        <v>0</v>
      </c>
      <c r="BK190" s="123" t="s">
        <v>514</v>
      </c>
      <c r="BL190" s="259">
        <f>BM190+各项系数!$M$9*$NM190</f>
        <v>19.0592062843836</v>
      </c>
      <c r="BM190" s="259">
        <f>BN190*(1+$CF190+(VLOOKUP($AM190,$A$12:$B$323,2,0))+各项系数!$J$6+各项系数!$M$5)*(1+$E$2)</f>
        <v>18.9110674424674</v>
      </c>
      <c r="BN190" s="260">
        <f>BO190+各项系数!$L$9*$NM190</f>
        <v>19.2970075943545</v>
      </c>
      <c r="BO190" s="260">
        <f>BP190*(1+$CG190+各项系数!$J$5+各项系数!$L$5)</f>
        <v>19.1488687524382</v>
      </c>
      <c r="BP190" s="260">
        <f t="shared" si="646"/>
        <v>18.591134711105</v>
      </c>
      <c r="BQ190" s="259">
        <f>BR190+各项系数!$M$9*$NM190</f>
        <v>19.7803050507241</v>
      </c>
      <c r="BR190" s="259">
        <f>BS190*(1+$CF190+(VLOOKUP($AM190,$A$12:$B$323,2,0))+各项系数!$J$6+各项系数!$M$5)*(1+$E$2)</f>
        <v>19.6321662088078</v>
      </c>
      <c r="BS190" s="260">
        <f>BT190+各项系数!$L$9*$NM190</f>
        <v>20.0328226620488</v>
      </c>
      <c r="BT190" s="260">
        <f>BU190*(1+$CG190+各项系数!$J$5+各项系数!$L$5)</f>
        <v>19.8846838201325</v>
      </c>
      <c r="BU190" s="260">
        <f t="shared" si="647"/>
        <v>19.3055182719733</v>
      </c>
      <c r="BV190" s="259">
        <f>BW190+各项系数!$M$9*$NT190</f>
        <v>20.2036360312154</v>
      </c>
      <c r="BW190" s="259">
        <f>BX190*(1+$CF190+(VLOOKUP($AM190,$A$12:$B$214,2,0))+各项系数!$J$6+各项系数!$M$5)*(1+$E$2)</f>
        <v>20.0499437898299</v>
      </c>
      <c r="BX190" s="260">
        <f>BY190+各项系数!$L$9*$NT$12</f>
        <v>20.459126316153</v>
      </c>
      <c r="BY190" s="260">
        <f>BZ190*(1+$CG190+各项系数!$J$5+各项系数!$L$5)</f>
        <v>20.450862912998</v>
      </c>
      <c r="BZ190" s="262">
        <f t="shared" si="586"/>
        <v>19.8552067116485</v>
      </c>
      <c r="CA190" s="259">
        <f>CB190+各项系数!$M$9*$NT190</f>
        <v>20.9324407192918</v>
      </c>
      <c r="CB190" s="259">
        <f>CC190*(1+$CF190+(VLOOKUP($AM190,$A$12:$B$214,2,0))+各项系数!$J$6+各项系数!$M$5)*(1+$E$2)</f>
        <v>20.7787484779063</v>
      </c>
      <c r="CC190" s="260">
        <f>CD190+各项系数!$L$9*$NT$12</f>
        <v>21.2028045692922</v>
      </c>
      <c r="CD190" s="260">
        <f>CE190*(1+$CG190+各项系数!$J$5+各项系数!$L$5)</f>
        <v>21.1945411661372</v>
      </c>
      <c r="CE190" s="262">
        <f t="shared" si="648"/>
        <v>20.5772244331429</v>
      </c>
      <c r="CF190" s="277">
        <f t="shared" si="753"/>
        <v>0</v>
      </c>
      <c r="CG190" s="277">
        <f t="shared" si="587"/>
        <v>0.01</v>
      </c>
      <c r="CH190" s="123"/>
      <c r="CI190" s="259">
        <f>CJ190+各项系数!$M$9*$NO190</f>
        <v>20.538531639463</v>
      </c>
      <c r="CJ190" s="259">
        <f>CK190*(1+$DC190+(VLOOKUP($AM190,$A$12:$B$323,2,0))+各项系数!$J$6+各项系数!$M$5)*(1+$E$2)+各项系数!$M$9*$NK190</f>
        <v>20.2974461817694</v>
      </c>
      <c r="CK190" s="260">
        <f>CL190+各项系数!$L$9*$NO190</f>
        <v>20.5605176937277</v>
      </c>
      <c r="CL190" s="260">
        <f>CM190*(1+$DD190+各项系数!$J$5+各项系数!$L$5)</f>
        <v>20.3194322360342</v>
      </c>
      <c r="CM190" s="260">
        <f t="shared" si="588"/>
        <v>19.9210119961119</v>
      </c>
      <c r="CN190" s="259">
        <f>CO190+各项系数!$M$9*$NO190</f>
        <v>21.1647623973218</v>
      </c>
      <c r="CO190" s="259">
        <f>CP190*(1+$DC190+(VLOOKUP($AM190,$A$12:$B$323,2,0))+各项系数!$J$6+各项系数!$M$5)*(1+$E$2)+各项系数!$M$9*$NK190</f>
        <v>20.9236769396282</v>
      </c>
      <c r="CP190" s="260">
        <f>CQ190+各项系数!$L$9*$NO190</f>
        <v>21.1995286711346</v>
      </c>
      <c r="CQ190" s="260">
        <f>CR190*(1+$DD190+各项系数!$J$5+各项系数!$L$5)</f>
        <v>20.9584432134411</v>
      </c>
      <c r="CR190" s="260">
        <f t="shared" si="589"/>
        <v>20.5474933465109</v>
      </c>
      <c r="CS190" s="259">
        <f>CT190+各项系数!$M$9*$NU190</f>
        <v>21.9070323750706</v>
      </c>
      <c r="CT190" s="259">
        <f t="shared" si="590"/>
        <v>21.6593207499585</v>
      </c>
      <c r="CU190" s="260">
        <f>CV190+各项系数!$L$9*$NU190</f>
        <v>22.1013477040393</v>
      </c>
      <c r="CV190" s="260">
        <f>CW190*(1+$DD190+各项系数!$J$5+各项系数!$L$5)</f>
        <v>21.8536360789272</v>
      </c>
      <c r="CW190" s="262">
        <f t="shared" si="591"/>
        <v>21.4251334107129</v>
      </c>
      <c r="CX190" s="259">
        <f>CY190+各项系数!$M$9*$NU190</f>
        <v>22.8971355503846</v>
      </c>
      <c r="CY190" s="259">
        <f t="shared" si="592"/>
        <v>22.6494239252725</v>
      </c>
      <c r="CZ190" s="260">
        <f>DA190+各项系数!$L$9*$NU190</f>
        <v>23.1116570666046</v>
      </c>
      <c r="DA190" s="260">
        <f>DB190*(1+$DD190+各项系数!$J$5+各项系数!$L$5)</f>
        <v>22.8639454414925</v>
      </c>
      <c r="DB190" s="262">
        <f t="shared" si="593"/>
        <v>22.4156327857769</v>
      </c>
      <c r="DC190" s="277">
        <f t="shared" si="827"/>
        <v>0</v>
      </c>
      <c r="DD190" s="277">
        <f t="shared" si="594"/>
        <v>0</v>
      </c>
      <c r="DE190" s="69" t="s">
        <v>498</v>
      </c>
      <c r="DF190" s="69" t="s">
        <v>513</v>
      </c>
      <c r="DG190" s="259">
        <f>DH190+各项系数!$M$9*$NQ190</f>
        <v>20.8801323760993</v>
      </c>
      <c r="DH190" s="259">
        <f>DI190*(1+$EA190+(VLOOKUP($AM190,$A$12:$B$323,2,0))+各项系数!$J$6+各项系数!$M$5)*(1+$E$2)+各项系数!$M$9*$NK190</f>
        <v>20.6390469184057</v>
      </c>
      <c r="DI190" s="260">
        <f>DJ190+各项系数!$L$9*$NQ190</f>
        <v>20.9090898739688</v>
      </c>
      <c r="DJ190" s="260">
        <f>DK190*(1+$EB190+各项系数!$J$5+各项系数!$L$5)</f>
        <v>20.6680044162753</v>
      </c>
      <c r="DK190" s="260">
        <f t="shared" si="595"/>
        <v>20.0660237051216</v>
      </c>
      <c r="DL190" s="259">
        <f>DM190+各项系数!$M$9*$NQ190</f>
        <v>21.7245258902153</v>
      </c>
      <c r="DM190" s="259">
        <f>DN190*(1+$EA190+(VLOOKUP($AM190,$A$12:$B$323,2,0))+各项系数!$J$6+各项系数!$M$5)*(1+$E$2)+各项系数!$M$9*$NK190</f>
        <v>21.4834404325218</v>
      </c>
      <c r="DN190" s="260">
        <f>DO190+各项系数!$L$9*$NQ190</f>
        <v>21.7707159087811</v>
      </c>
      <c r="DO190" s="260">
        <f>DP190*(1+$EB190+各项系数!$J$5+各项系数!$L$5)</f>
        <v>21.5296304510876</v>
      </c>
      <c r="DP190" s="260">
        <f t="shared" si="596"/>
        <v>20.9025538360074</v>
      </c>
      <c r="DQ190" s="259">
        <f>DR190+各项系数!$M$9*$NV190</f>
        <v>22.2647093158332</v>
      </c>
      <c r="DR190" s="259">
        <f t="shared" si="597"/>
        <v>22.016997690721</v>
      </c>
      <c r="DS190" s="260">
        <f>DT190+各项系数!$L$9*$NV190</f>
        <v>22.4663241742051</v>
      </c>
      <c r="DT190" s="260">
        <f>DU190*(1+$EB190+各项系数!$J$5+各项系数!$L$5)</f>
        <v>22.218612549093</v>
      </c>
      <c r="DU190" s="262">
        <f t="shared" si="598"/>
        <v>21.5714684942651</v>
      </c>
      <c r="DV190" s="259">
        <f>DW190+各项系数!$M$9*$NV190</f>
        <v>22.1028841479996</v>
      </c>
      <c r="DW190" s="259">
        <f t="shared" si="599"/>
        <v>21.8551725228875</v>
      </c>
      <c r="DX190" s="260">
        <f>DY190+各项系数!$L$9*$NV190</f>
        <v>22.301196451926</v>
      </c>
      <c r="DY190" s="260">
        <f>DZ190*(1+$EB190+各项系数!$J$5+各项系数!$L$5)</f>
        <v>22.0534848268139</v>
      </c>
      <c r="DZ190" s="262">
        <f t="shared" si="600"/>
        <v>21.411150317295</v>
      </c>
      <c r="EA190" s="277">
        <f t="shared" si="826"/>
        <v>0</v>
      </c>
      <c r="EB190" s="277">
        <f t="shared" si="601"/>
        <v>0.01</v>
      </c>
      <c r="EC190" s="302">
        <f t="shared" si="649"/>
        <v>12</v>
      </c>
      <c r="ED190" s="302" t="str">
        <f t="shared" si="756"/>
        <v>12*2.5</v>
      </c>
      <c r="EE190" s="251">
        <f t="shared" si="812"/>
        <v>2.5</v>
      </c>
      <c r="EF190" s="251">
        <f>LOOKUP(EH190,{1,7,10,14,19,24,30,37,48,61},{1,"1+6","2+8","4+10","1+6+12","2+8+14","4+10+16","1+6+12+18","3+9+15+21","1+6+12+18+24"})</f>
        <v>1</v>
      </c>
      <c r="EG190" s="250">
        <f t="shared" si="602"/>
        <v>12</v>
      </c>
      <c r="EH190" s="260">
        <f>VLOOKUP(EE190,各项系数!$B$87:$C$124,2,0)</f>
        <v>1</v>
      </c>
      <c r="EI190" s="250">
        <f>IF(EH190=0,0,VLOOKUP(EH190,各项系数!$D$142:$E$195,2,0))*1</f>
        <v>1</v>
      </c>
      <c r="EJ190" s="305">
        <f t="shared" si="650"/>
        <v>172.412400708262</v>
      </c>
      <c r="EK190" s="251">
        <f t="shared" si="813"/>
        <v>0</v>
      </c>
      <c r="EL190" s="251">
        <f t="shared" si="603"/>
        <v>0</v>
      </c>
      <c r="EM190" s="251">
        <f t="shared" si="814"/>
        <v>0</v>
      </c>
      <c r="EN190" s="251">
        <f>IF(EP190=0,0,LOOKUP(EP190,{1,7,10,14,19,24,30,37,48,61},{1,"1+6","2+8","4+10","1+6+12","2+8+14","4+10+16","1+6+12+18","3+9+15+21","1+6+12+18+24"}))</f>
        <v>0</v>
      </c>
      <c r="EO190" s="251">
        <f t="shared" si="815"/>
        <v>0</v>
      </c>
      <c r="EP190" s="251">
        <f>IF(EM190=0,0,IF(EM190&lt;10,1,IF(AND(EM190&gt;=10,EM190&lt;=35),7,LOOKUP(EM190,{50,70,95,120,150,185,240,300},{10,14,19,24,30,37,48,61})*1)))</f>
        <v>0</v>
      </c>
      <c r="EQ190" s="251">
        <f>IF(EP190=0,0,VLOOKUP(EP190,各项系数!$D$142:$E$195,2,0))*1</f>
        <v>0</v>
      </c>
      <c r="ER190" s="69">
        <f t="shared" si="816"/>
        <v>0</v>
      </c>
      <c r="ES190" s="566">
        <f t="shared" si="817"/>
        <v>12</v>
      </c>
      <c r="ET190" s="251">
        <f>VLOOKUP(ES190,各项系数!$D$142:$E$195,2,0)*1</f>
        <v>4.16</v>
      </c>
      <c r="EU190" s="311">
        <f>((各项系数!$F$76/4*$EJ190^2*$EG190*$EH190*1*10^-7)*(1-$H190)*AA190)*(VLOOKUP($EY$9,各项系数!$D$4:$F$143,3,0))*各项系数!$J$4</f>
        <v>0.247818068266835</v>
      </c>
      <c r="EV190" s="312">
        <f>EU190*(VLOOKUP($EY$9,各项系数!$D$4:$F$143,2,0))</f>
        <v>16.2320834714777</v>
      </c>
      <c r="EW190" s="324">
        <f>(IF($EO190=0,0,(各项系数!$F$76/4*$ER190^2*$EO190*$EP190*1*10^-7))*(1-$K190)*$AF190)*(VLOOKUP($EY$9,各项系数!$D$4:$F$143,3,0))*各项系数!$J$4</f>
        <v>0</v>
      </c>
      <c r="EX190" s="325">
        <f>EW190*(VLOOKUP($EY$9,各项系数!$D$4:$F$143,2,0))</f>
        <v>0</v>
      </c>
      <c r="EY190" s="251">
        <f>((各项系数!$F$76/4*$EJ190^2*$EG190*$EH190*1*10^-7)*(1-$H190)*AA190+IF($EO190=0,0,(各项系数!$F$76/4*$ER190^2*$EO190*$EP190*1*10^-7))*(1-$K190)*$AF190)*(VLOOKUP($EY$9,各项系数!$D$4:$F$143,3,0))*各项系数!$J$4</f>
        <v>0.247818068266835</v>
      </c>
      <c r="EZ190" s="123">
        <v>1</v>
      </c>
      <c r="FA190" s="251">
        <f t="shared" si="757"/>
        <v>0.247818068266835</v>
      </c>
      <c r="FB190" s="326">
        <f>FA190*(VLOOKUP($EY$9,各项系数!$D$4:$F$143,2,0))</f>
        <v>16.2320834714777</v>
      </c>
      <c r="FC190" s="327"/>
      <c r="FD190" s="302">
        <f>各项系数!$F$76/4*($MN190^2-MK190^2)*10^-2*(VLOOKUP(L190,各项系数!$D$1:$F$143,3,0))*10^-3*10^2*$EG190*各项系数!$J$4</f>
        <v>0.0700163968839774</v>
      </c>
      <c r="FE190" s="339">
        <f>FD190*VLOOKUP(L190,各项系数!$D$1:$F$143,2,0)</f>
        <v>0.805188564165741</v>
      </c>
      <c r="FF190" s="250">
        <f>各项系数!$F$76/4*($MO190^2-ML190^2)*10^-2*(VLOOKUP(L190,各项系数!$D$1:$F$143,3,0))*10^-3*10^2*$EO190*各项系数!$J$4</f>
        <v>0</v>
      </c>
      <c r="FG190" s="339">
        <f>FF190*VLOOKUP(L190,各项系数!$D$1:$F$143,2,0)</f>
        <v>0</v>
      </c>
      <c r="FH190" s="302">
        <f t="shared" si="651"/>
        <v>0.0700163968839774</v>
      </c>
      <c r="FI190" s="123">
        <v>1</v>
      </c>
      <c r="FJ190" s="251">
        <f t="shared" si="758"/>
        <v>0.0700163968839774</v>
      </c>
      <c r="FK190" s="339">
        <f>FJ190*VLOOKUP(L190,各项系数!$D$1:$F$143,2,0)</f>
        <v>0.805188564165741</v>
      </c>
      <c r="FL190" s="302"/>
      <c r="FM190" s="123"/>
      <c r="FN190" s="251"/>
      <c r="FO190" s="339"/>
      <c r="FP190" s="364">
        <f t="shared" si="759"/>
        <v>0.0700163968839774</v>
      </c>
      <c r="FQ190" s="364">
        <f t="shared" si="760"/>
        <v>0.805188564165741</v>
      </c>
      <c r="FR190" s="365">
        <f>各项系数!$F$76/4*($MQ190^2-$MN190^2*$EG190-$MO190^2*$EO190)*10^-2</f>
        <v>0.406706313948801</v>
      </c>
      <c r="FS190" s="366">
        <f t="shared" si="652"/>
        <v>1</v>
      </c>
      <c r="FT190" s="367">
        <f t="shared" si="604"/>
        <v>0.406706313948801</v>
      </c>
      <c r="FU190" s="388">
        <f>$FT190*(VLOOKUP($FT$9,各项系数!$D$1:$F$143,3,0))*10^-3*10^2*各项系数!$J$55</f>
        <v>0.0485607338854868</v>
      </c>
      <c r="FV190" s="389">
        <v>1</v>
      </c>
      <c r="FW190" s="390">
        <f t="shared" si="761"/>
        <v>0.0485607338854868</v>
      </c>
      <c r="FX190" s="367">
        <f>FW190*(VLOOKUP($FT$9,各项系数!$D$1:$F$143,2,0))</f>
        <v>0.145682201656461</v>
      </c>
      <c r="FY190" s="388">
        <f>IF($BK190&lt;&gt;$FY$9,0,各项系数!$F$76/4*($MS190^2-$MQ190^2)*10^-2*(VLOOKUP($FY$9,各项系数!$D$1:$F$143,3,0))*10^-3*10^2)*各项系数!$J$4</f>
        <v>0</v>
      </c>
      <c r="FZ190" s="389">
        <v>1</v>
      </c>
      <c r="GA190" s="390">
        <f t="shared" si="762"/>
        <v>0</v>
      </c>
      <c r="GB190" s="367">
        <f>GA190*(VLOOKUP($FY$9,各项系数!$D$1:$F$143,2,0))</f>
        <v>0</v>
      </c>
      <c r="GC190" s="388">
        <f>IF($BK190&lt;&gt;$GC$9,0,各项系数!$F$76/4*($MS190^2-$MQ190^2)*10^-2*(VLOOKUP($GC$9,各项系数!$D$1:$F$143,3,0))*10^-3*10^2)*各项系数!$J$4</f>
        <v>0.00356322435486463</v>
      </c>
      <c r="GD190" s="389">
        <v>1</v>
      </c>
      <c r="GE190" s="390">
        <f t="shared" si="763"/>
        <v>0.00356322435486463</v>
      </c>
      <c r="GF190" s="367">
        <f>GE190*(VLOOKUP($GC$9,各项系数!$D$1:$F$143,2,0))</f>
        <v>0.0459655941777537</v>
      </c>
      <c r="GG190" s="388">
        <f>IF($BK190&lt;&gt;$GG$9,0,各项系数!$F$76/4*($MS190^2-$MQ190^2)*10^-2*(VLOOKUP($GG$9,各项系数!$D$1:$F$143,3,0))*10^-3*10^2)*各项系数!$J$4</f>
        <v>0</v>
      </c>
      <c r="GH190" s="389">
        <v>1</v>
      </c>
      <c r="GI190" s="390">
        <f t="shared" si="764"/>
        <v>0</v>
      </c>
      <c r="GJ190" s="367">
        <f>GI190*(VLOOKUP($GG$9,各项系数!$D$1:$F$143,2,0))</f>
        <v>0</v>
      </c>
      <c r="GK190" s="388">
        <f>IF($BK190&lt;&gt;$GK$9,0,各项系数!$F$76/4*($MS190^2-$MQ190^2)*10^-2*(VLOOKUP($GK$9,各项系数!$D$1:$F$143,3,0))*10^-3*10^2)*各项系数!$J$4</f>
        <v>0</v>
      </c>
      <c r="GL190" s="389">
        <v>1</v>
      </c>
      <c r="GM190" s="390">
        <f t="shared" si="765"/>
        <v>0</v>
      </c>
      <c r="GN190" s="367">
        <f>GM190*(VLOOKUP($GK$9,各项系数!$D$1:$F$143,2,0))</f>
        <v>0</v>
      </c>
      <c r="GO190" s="390">
        <f t="shared" si="766"/>
        <v>0.00356322435486463</v>
      </c>
      <c r="GP190" s="390">
        <f t="shared" si="767"/>
        <v>0.0459655941777537</v>
      </c>
      <c r="GQ190" s="406">
        <f>各项系数!$F$76/4*($MU190^2-$MS190^2)*10^-2*(VLOOKUP($S190,各项系数!$D$1:$F$143,3,0))*10^-3*10^2*各项系数!$J$4</f>
        <v>0.201994336685134</v>
      </c>
      <c r="GR190" s="389">
        <v>1</v>
      </c>
      <c r="GS190" s="390">
        <f t="shared" si="768"/>
        <v>0.201994336685134</v>
      </c>
      <c r="GT190" s="390">
        <f t="shared" si="696"/>
        <v>1</v>
      </c>
      <c r="GU190" s="390">
        <f>ROUND($GS190*(VLOOKUP($S190,各项系数!$D$1:$F$143,2,0))+$E$3*GS190,GT190)</f>
        <v>1.2</v>
      </c>
      <c r="GV190" s="406">
        <f>各项系数!$F$76/4*($MT190^2-$MS190^2)*10^-2*(VLOOKUP($GV$9,各项系数!$D$1:$F$143,3,0))*10^-3*10^2*各项系数!$J$4*PI()/4*R190</f>
        <v>0.0185113315640898</v>
      </c>
      <c r="GW190" s="389">
        <v>1</v>
      </c>
      <c r="GX190" s="390">
        <f t="shared" si="769"/>
        <v>0.0185113315640898</v>
      </c>
      <c r="GY190" s="390">
        <f>$GX190*(VLOOKUP($GV$9,各项系数!$D$1:$F$143,2,0))</f>
        <v>1.24951488057606</v>
      </c>
      <c r="GZ190" s="406">
        <f>各项系数!$F$76/4*($MV190^2-$MS190^2)*10^-2*(VLOOKUP($GZ$9,各项系数!$D$1:$F$143,3,0))*10^-3*10^2*各项系数!$J$4</f>
        <v>0.122152849440923</v>
      </c>
      <c r="HA190" s="389">
        <v>1</v>
      </c>
      <c r="HB190" s="390">
        <f t="shared" si="653"/>
        <v>0.122152849440923</v>
      </c>
      <c r="HC190" s="390">
        <f>HB190*(VLOOKUP($GZ$9,各项系数!$D$1:$F$143,2,0))</f>
        <v>2.07659844049569</v>
      </c>
      <c r="HD190" s="406">
        <f>各项系数!$F$76/4*($MW190^2-$MT190^2)*10^-2*(VLOOKUP($HD$9,各项系数!$D$1:$F$143,3,0))*10^-3*10^2*各项系数!$J$4</f>
        <v>0.123458218887602</v>
      </c>
      <c r="HE190" s="389">
        <v>1</v>
      </c>
      <c r="HF190" s="390">
        <f t="shared" si="654"/>
        <v>0.123458218887602</v>
      </c>
      <c r="HG190" s="390">
        <f>HF190*(VLOOKUP($HD$9,各项系数!$D$1:$F$143,2,0))</f>
        <v>2.09878972108923</v>
      </c>
      <c r="HH190" s="406">
        <f>各项系数!$F$76/4*($MV190^2-$MS190^2)*10^-2*(VLOOKUP($HH$9,各项系数!$D$1:$F$143,3,0))*10^-3*10^2*各项系数!$J$4</f>
        <v>0.122152849440923</v>
      </c>
      <c r="HI190" s="420">
        <v>1</v>
      </c>
      <c r="HJ190" s="390">
        <f t="shared" si="655"/>
        <v>0.122152849440923</v>
      </c>
      <c r="HK190" s="390">
        <f>HJ190*(VLOOKUP($HH$9,各项系数!$D$1:$F$143,2,0))</f>
        <v>2.07659844049569</v>
      </c>
      <c r="HL190" s="406">
        <f>各项系数!$F$76/4*($MW190^2-$MT190^2)*10^-2*(VLOOKUP($HL$9,各项系数!$D$1:$F$143,3,0))*10^-3*10^2*各项系数!$J$4</f>
        <v>0.123458218887602</v>
      </c>
      <c r="HM190" s="420">
        <v>1</v>
      </c>
      <c r="HN190" s="390">
        <f t="shared" si="605"/>
        <v>0.123458218887602</v>
      </c>
      <c r="HO190" s="390">
        <f>HN190*(VLOOKUP($HL$9,各项系数!$D$1:$F$143,2,0))</f>
        <v>2.09878972108923</v>
      </c>
      <c r="HP190" s="406">
        <f>各项系数!$F$76/4*($MV190^2-$MS190^2)*10^-2*(VLOOKUP(AN190,各项系数!$D$1:$F$143,3,0))*10^-3*10^2*各项系数!$J$4</f>
        <v>0.123837716329763</v>
      </c>
      <c r="HQ190" s="389">
        <v>1</v>
      </c>
      <c r="HR190" s="390">
        <f t="shared" si="770"/>
        <v>0.123837716329763</v>
      </c>
      <c r="HS190" s="390">
        <f>HR190*(VLOOKUP(AN190,各项系数!$D$1:$F$143,2,0))</f>
        <v>1.23837716329763</v>
      </c>
      <c r="HT190" s="406">
        <f>各项系数!$F$76/4*($MW190^2-$MT190^2)*10^-2*(VLOOKUP(AN190,各项系数!$D$1:$F$143,3,0))*10^-3*10^2*各项系数!$J$4</f>
        <v>0.125161090872258</v>
      </c>
      <c r="HU190" s="389">
        <v>1</v>
      </c>
      <c r="HV190" s="390">
        <f t="shared" si="771"/>
        <v>0.125161090872258</v>
      </c>
      <c r="HW190" s="390">
        <f>HV190*(VLOOKUP(AN190,各项系数!$D$1:$F$143,2,0))</f>
        <v>1.25161090872258</v>
      </c>
      <c r="HX190" s="406">
        <f>各项系数!$F$76/4*($MV190^2-$MS190^2)*10^-2*(VLOOKUP($HX$9,各项系数!$D$1:$F$143,3,0))*10^-3*10^2*各项系数!$J$4</f>
        <v>0.123837716329763</v>
      </c>
      <c r="HY190" s="420">
        <v>1</v>
      </c>
      <c r="HZ190" s="390">
        <f t="shared" si="772"/>
        <v>0.123837716329763</v>
      </c>
      <c r="IA190" s="390">
        <f>HZ190*(VLOOKUP($HX$9,各项系数!$D$1:$F$143,2,0))</f>
        <v>1.3622148796274</v>
      </c>
      <c r="IB190" s="406">
        <f>各项系数!$F$76/4*($MW190^2-$MT190^2)*10^-2*(VLOOKUP($IB$9,各项系数!$D$1:$F$143,3,0))*10^-3*10^2*各项系数!$J$4</f>
        <v>0.125161090872258</v>
      </c>
      <c r="IC190" s="420">
        <v>1</v>
      </c>
      <c r="ID190" s="390">
        <f t="shared" si="773"/>
        <v>0.125161090872258</v>
      </c>
      <c r="IE190" s="390">
        <f>ID190*(VLOOKUP($IB$9,各项系数!$D$1:$F$143,2,0))</f>
        <v>1.37677199959484</v>
      </c>
      <c r="IF190" s="429"/>
      <c r="IG190" s="406">
        <f t="shared" si="656"/>
        <v>0.034166762572528</v>
      </c>
      <c r="IH190" s="389">
        <v>1</v>
      </c>
      <c r="II190" s="390">
        <f t="shared" si="774"/>
        <v>0.034166762572528</v>
      </c>
      <c r="IJ190" s="390">
        <f>II190*(VLOOKUP($IG$8,各项系数!$D$1:$F$143,2,0))</f>
        <v>0.854169064313201</v>
      </c>
      <c r="IK190" s="406">
        <f>(各项系数!$F$76/4*($MX190^2-$MK190^2)*$EG190)*10^-2*(VLOOKUP($IG$8,各项系数!$D$1:$F$143,3,0))*10^-3*10^2*各项系数!$J$4</f>
        <v>0.034166762572528</v>
      </c>
      <c r="IL190" s="389">
        <f>IK190*(VLOOKUP($IG$8,各项系数!$D$1:$F$143,2,0))</f>
        <v>0.854169064313201</v>
      </c>
      <c r="IM190" s="390">
        <f>(各项系数!$F$76/4*(($MM190+3*$X190)^2-MM190^2)*$EO190)*10^-2*(VLOOKUP($IG$8,各项系数!$D$1:$F$143,3,0))*10^-3*10^2*各项系数!$J$4</f>
        <v>0</v>
      </c>
      <c r="IN190" s="389">
        <f>IM190*(VLOOKUP($IG$8,各项系数!$D$1:$F$143,2,0))</f>
        <v>0</v>
      </c>
      <c r="IO190" s="406">
        <f>各项系数!$F$76/4*($MZ190^2-$MX190^2)*10^-2*(VLOOKUP(L190,各项系数!$D$1:$F$143,3,0))*10^-3*10^2*$ES190*各项系数!$J$4</f>
        <v>0.0873463016071218</v>
      </c>
      <c r="IP190" s="389">
        <v>1</v>
      </c>
      <c r="IQ190" s="390">
        <f t="shared" si="775"/>
        <v>0.0873463016071218</v>
      </c>
      <c r="IR190" s="367">
        <f>IQ190*(VLOOKUP(L190,各项系数!$D$1:$F$143,2,0))</f>
        <v>1.0044824684819</v>
      </c>
      <c r="IS190" s="406">
        <f>IF($L190&lt;&gt;$IS$9,0,各项系数!$F$76/4*($MZ190^2-$MX190^2)*10^-2*各项系数!$F$12*10^-3*10^2)*$ES190*各项系数!$J$4</f>
        <v>0</v>
      </c>
      <c r="IT190" s="389">
        <v>1</v>
      </c>
      <c r="IU190" s="390">
        <f t="shared" si="776"/>
        <v>0</v>
      </c>
      <c r="IV190" s="367">
        <f>IU190*各项系数!$E$12</f>
        <v>0</v>
      </c>
      <c r="IW190" s="388">
        <f t="shared" si="777"/>
        <v>0.0873463016071218</v>
      </c>
      <c r="IX190" s="388">
        <f t="shared" si="778"/>
        <v>1.0044824684819</v>
      </c>
      <c r="IY190" s="447">
        <f>各项系数!$F$76/4*($NB190^2-$MZ190^2*$EG190-$NA190^2*$EO190)*10^-2</f>
        <v>0.577926559966957</v>
      </c>
      <c r="IZ190" s="366">
        <f t="shared" si="697"/>
        <v>1</v>
      </c>
      <c r="JA190" s="367">
        <f t="shared" si="606"/>
        <v>0.577926559966957</v>
      </c>
      <c r="JB190" s="364">
        <f>IF($DE190&lt;&gt;$JB$9,0,$JA190*各项系数!$F$32*10^-3*10^2)*各项系数!$J$4</f>
        <v>0</v>
      </c>
      <c r="JC190" s="123">
        <v>1</v>
      </c>
      <c r="JD190" s="251">
        <f t="shared" si="779"/>
        <v>0</v>
      </c>
      <c r="JE190" s="339">
        <f>JD190*各项系数!$E$32</f>
        <v>0</v>
      </c>
      <c r="JF190" s="364">
        <f>IF($DE190&lt;&gt;$JF$9,0,$JA190*VLOOKUP($JF$9,各项系数!$D$4:$F$540,2,0)*10^-3*10^2)*各项系数!$J$4</f>
        <v>0.287518463583561</v>
      </c>
      <c r="JG190" s="123">
        <v>1</v>
      </c>
      <c r="JH190" s="251">
        <f t="shared" si="607"/>
        <v>0.287518463583561</v>
      </c>
      <c r="JI190" s="339">
        <f>JH190*VLOOKUP($JF$9,各项系数!$D$4:$F$540,3,0)</f>
        <v>0.345022156300273</v>
      </c>
      <c r="JJ190" s="364">
        <f t="shared" si="780"/>
        <v>0.287518463583561</v>
      </c>
      <c r="JK190" s="251">
        <f t="shared" si="781"/>
        <v>0.345022156300273</v>
      </c>
      <c r="JL190" s="364">
        <f>IF($DF190&lt;&gt;$JL$9,0,各项系数!$F$76/4*($NE190^2-$NC190^2)*10^-2*各项系数!$F$39*10^-3*10^2)*各项系数!$J$4</f>
        <v>0.00175688727210534</v>
      </c>
      <c r="JM190" s="123">
        <v>1</v>
      </c>
      <c r="JN190" s="251">
        <f t="shared" si="782"/>
        <v>0.00175688727210534</v>
      </c>
      <c r="JO190" s="339">
        <f>JN190*各项系数!$E$39</f>
        <v>0.0351377454421068</v>
      </c>
      <c r="JP190" s="364">
        <f>IF($DF190&lt;&gt;$JP$9,0,各项系数!$F$76/4*($NE190^2-$NC190^2)*10^-2*各项系数!$F$36*10^-3*10^2)*各项系数!$J$4</f>
        <v>0</v>
      </c>
      <c r="JQ190" s="123">
        <v>1</v>
      </c>
      <c r="JR190" s="251">
        <f t="shared" si="783"/>
        <v>0</v>
      </c>
      <c r="JS190" s="339">
        <f>JR190*各项系数!$E$36</f>
        <v>0</v>
      </c>
      <c r="JT190" s="364">
        <f>IF($DF190&lt;&gt;$JT$9,0,各项系数!$F$76/4*($NE190^2-$NC190^2)*10^-2*各项系数!$F$40*10^-3*10^2)*各项系数!$J$4</f>
        <v>0</v>
      </c>
      <c r="JU190" s="123">
        <v>1</v>
      </c>
      <c r="JV190" s="251">
        <f t="shared" si="784"/>
        <v>0</v>
      </c>
      <c r="JW190" s="339">
        <f>JV190*各项系数!$E$40</f>
        <v>0</v>
      </c>
      <c r="JX190" s="364">
        <f>IF($DF190&lt;&gt;$JX$9,0,各项系数!$F$76/4*($NE190^2-$NC190^2)*10^-2*各项系数!$F$38*10^-3*10^2)*各项系数!$J$4</f>
        <v>0</v>
      </c>
      <c r="JY190" s="123">
        <v>1</v>
      </c>
      <c r="JZ190" s="251">
        <f t="shared" si="785"/>
        <v>0</v>
      </c>
      <c r="KA190" s="339">
        <f>JZ190*各项系数!$E$38</f>
        <v>0</v>
      </c>
      <c r="KB190" s="364">
        <f>IF($DF190&lt;&gt;$KB$9,0,各项系数!$F$76/4*($NE190^2-$NC190^2)*10^-2*各项系数!$F$41*10^-3*10^2)*各项系数!$J$4</f>
        <v>0</v>
      </c>
      <c r="KC190" s="123">
        <v>1</v>
      </c>
      <c r="KD190" s="251">
        <f t="shared" si="786"/>
        <v>0</v>
      </c>
      <c r="KE190" s="339">
        <f>KD190*各项系数!$E$41</f>
        <v>0</v>
      </c>
      <c r="KF190" s="251">
        <f t="shared" si="787"/>
        <v>0.00175688727210534</v>
      </c>
      <c r="KG190" s="251">
        <f t="shared" si="788"/>
        <v>0.0351377454421068</v>
      </c>
      <c r="KH190" s="302">
        <f>各项系数!$F$76/4*($NG190^2-$NE190^2)*10^-2*各项系数!$F$44*10^-3*10^2*各项系数!$J$4*0.75*$U190</f>
        <v>0.718622889481883</v>
      </c>
      <c r="KI190" s="123">
        <v>1</v>
      </c>
      <c r="KJ190" s="251">
        <f t="shared" si="789"/>
        <v>0.718622889481883</v>
      </c>
      <c r="KK190" s="251">
        <f>ROUND(KJ190*各项系数!$E$43,GT190)</f>
        <v>4.2</v>
      </c>
      <c r="KL190" s="302">
        <f>各项系数!$F$76/4*($NF190^2-$NE190^2)*10^-2*各项系数!$F$46*10^-3*10^2*各项系数!$J$4*PI()/4*R190</f>
        <v>0.0220872247285336</v>
      </c>
      <c r="KM190" s="123">
        <v>1</v>
      </c>
      <c r="KN190" s="251">
        <f t="shared" si="790"/>
        <v>0.0220872247285336</v>
      </c>
      <c r="KO190" s="251">
        <f>KN190*各项系数!$E$46</f>
        <v>1.49088766917602</v>
      </c>
      <c r="KP190" s="302">
        <f>各项系数!$F$76/4*($NH190^2-$NE190^2)*10^-2*(VLOOKUP($KP$9,各项系数!$D$1:$F$143,3,0))*10^-3*10^2*各项系数!$J$4</f>
        <v>0.143038760587778</v>
      </c>
      <c r="KQ190" s="123">
        <v>1</v>
      </c>
      <c r="KR190" s="251">
        <f t="shared" si="657"/>
        <v>0.143038760587778</v>
      </c>
      <c r="KS190" s="251">
        <f>KR190*(VLOOKUP($KP$9,各项系数!$D$1:$F$143,2,0))</f>
        <v>2.43165892999222</v>
      </c>
      <c r="KT190" s="302">
        <f>各项系数!$F$76/4*($NI190^2-$NF190^2)*10^-2*(VLOOKUP($KT$9,各项系数!$D$1:$F$143,3,0))*10^-3*10^2*各项系数!$J$4</f>
        <v>0.144344130034456</v>
      </c>
      <c r="KU190" s="123">
        <v>1</v>
      </c>
      <c r="KV190" s="251">
        <f t="shared" si="658"/>
        <v>0.144344130034456</v>
      </c>
      <c r="KW190" s="251">
        <f>KV190*(VLOOKUP($KT$9,各项系数!$D$1:$F$143,2,0))</f>
        <v>2.45385021058575</v>
      </c>
      <c r="KX190" s="251">
        <f>各项系数!$F$76/4*($NH190^2-$NE190^2)*10^-2*(VLOOKUP($KX$9,各项系数!$D$1:$F$143,3,0))*10^-3*10^2*各项系数!$J$4</f>
        <v>0.143038760587778</v>
      </c>
      <c r="KY190" s="479">
        <v>1</v>
      </c>
      <c r="KZ190" s="251">
        <f t="shared" si="659"/>
        <v>0.143038760587778</v>
      </c>
      <c r="LA190" s="251">
        <f>KZ190*(VLOOKUP($KX$9,各项系数!$D$1:$F$143,2,0))</f>
        <v>2.43165892999222</v>
      </c>
      <c r="LB190" s="251">
        <f>各项系数!$F$76/4*($NI190^2-$NF190^2)*10^-2*(VLOOKUP($LB$9,各项系数!$D$1:$F$143,3,0))*10^-3*10^2*各项系数!$J$4</f>
        <v>0.144344130034456</v>
      </c>
      <c r="LC190" s="479">
        <v>1</v>
      </c>
      <c r="LD190" s="251">
        <f t="shared" si="660"/>
        <v>0.144344130034456</v>
      </c>
      <c r="LE190" s="251">
        <f>LD190*(VLOOKUP($LB$9,各项系数!$D$1:$F$143,2,0))</f>
        <v>2.45385021058575</v>
      </c>
      <c r="LF190" s="302">
        <f>各项系数!$F$76/4*($NH190^2-$NE190^2)*10^-2*(VLOOKUP(AN190,各项系数!$D$1:$F$143,3,0))*10^-3*10^2*各项系数!$J$4</f>
        <v>0.145011709009678</v>
      </c>
      <c r="LG190" s="123">
        <v>1</v>
      </c>
      <c r="LH190" s="251">
        <f t="shared" si="791"/>
        <v>0.145011709009678</v>
      </c>
      <c r="LI190" s="251">
        <f>LH190*(VLOOKUP(AN190,各项系数!$D$1:$F$143,2,0))</f>
        <v>1.45011709009678</v>
      </c>
      <c r="LJ190" s="302">
        <f>各项系数!$F$76/4*($NI190^2-$NF190^2)*10^-2*(VLOOKUP(AN190,各项系数!$D$1:$F$143,3,0))*10^-3*10^2*各项系数!$J$4</f>
        <v>0.146335083552173</v>
      </c>
      <c r="LK190" s="123">
        <v>1</v>
      </c>
      <c r="LL190" s="251">
        <f t="shared" si="792"/>
        <v>0.146335083552173</v>
      </c>
      <c r="LM190" s="251">
        <f>LL190*(VLOOKUP(AN190,各项系数!$D$1:$F$143,2,0))</f>
        <v>1.46335083552173</v>
      </c>
      <c r="LN190" s="251">
        <f>各项系数!$F$76/4*($NH190^2-$NE190^2)*10^-2*(VLOOKUP($LN$9,各项系数!$D$1:$F$143,3,0))*10^-3*10^2*各项系数!$J$4</f>
        <v>0.145011709009678</v>
      </c>
      <c r="LO190" s="479">
        <v>1</v>
      </c>
      <c r="LP190" s="251">
        <f t="shared" si="793"/>
        <v>0.145011709009678</v>
      </c>
      <c r="LQ190" s="251">
        <f>LP190*(VLOOKUP($LN$9,各项系数!$D$1:$F$143,2,0))</f>
        <v>1.59512879910646</v>
      </c>
      <c r="LR190" s="251">
        <f>各项系数!$F$76/4*($NI190^2-$NF190^2)*10^-2*(VLOOKUP($LR$9,各项系数!$D$1:$F$143,3,0))*10^-3*10^2*各项系数!$J$4</f>
        <v>0.146335083552173</v>
      </c>
      <c r="LS190" s="479">
        <v>1</v>
      </c>
      <c r="LT190" s="251">
        <f t="shared" si="794"/>
        <v>0.146335083552173</v>
      </c>
      <c r="LU190" s="251">
        <f>LT190*(VLOOKUP($LR$9,各项系数!$D$1:$F$143,2,0))</f>
        <v>1.6096859190739</v>
      </c>
      <c r="LV190" s="499">
        <f t="shared" si="661"/>
        <v>28.01612891</v>
      </c>
      <c r="LW190" s="499">
        <f t="shared" si="662"/>
        <v>28.01612891</v>
      </c>
      <c r="LX190" s="499">
        <f t="shared" si="663"/>
        <v>5.97254076742972</v>
      </c>
      <c r="LY190" s="515">
        <f t="shared" si="664"/>
        <v>0</v>
      </c>
      <c r="LZ190" s="516">
        <f t="shared" si="608"/>
        <v>1</v>
      </c>
      <c r="MA190" s="517">
        <f t="shared" si="609"/>
        <v>28.01612891</v>
      </c>
      <c r="MB190" s="517">
        <f t="shared" si="665"/>
        <v>1.72412401</v>
      </c>
      <c r="MC190" s="499">
        <f t="shared" si="666"/>
        <v>0</v>
      </c>
      <c r="MD190" s="499">
        <f t="shared" si="667"/>
        <v>0</v>
      </c>
      <c r="ME190" s="499">
        <f t="shared" si="668"/>
        <v>0</v>
      </c>
      <c r="MF190" s="499">
        <f t="shared" si="669"/>
        <v>0</v>
      </c>
      <c r="MG190" s="516">
        <f t="shared" si="670"/>
        <v>1</v>
      </c>
      <c r="MH190" s="517">
        <f t="shared" si="610"/>
        <v>0</v>
      </c>
      <c r="MI190" s="517">
        <f t="shared" si="671"/>
        <v>0</v>
      </c>
      <c r="MJ190" s="251">
        <f t="shared" si="611"/>
        <v>1.72412401</v>
      </c>
      <c r="MK190" s="251">
        <f t="shared" si="672"/>
        <v>1.72412401</v>
      </c>
      <c r="ML190" s="251">
        <f t="shared" si="795"/>
        <v>0</v>
      </c>
      <c r="MM190" s="251">
        <f t="shared" si="612"/>
        <v>0</v>
      </c>
      <c r="MN190" s="251">
        <f t="shared" si="613"/>
        <v>3.12412401</v>
      </c>
      <c r="MO190" s="251">
        <f t="shared" si="673"/>
        <v>0</v>
      </c>
      <c r="MP190" s="251">
        <f t="shared" si="674"/>
        <v>12.99635588</v>
      </c>
      <c r="MQ190" s="251">
        <f t="shared" si="796"/>
        <v>12.99635588</v>
      </c>
      <c r="MR190" s="314">
        <f t="shared" si="675"/>
        <v>12.99635588</v>
      </c>
      <c r="MS190" s="530">
        <f t="shared" si="614"/>
        <v>13.17235588</v>
      </c>
      <c r="MT190" s="530">
        <f t="shared" si="615"/>
        <v>13.33235588</v>
      </c>
      <c r="MU190" s="530">
        <f t="shared" si="616"/>
        <v>14.37235588</v>
      </c>
      <c r="MV190" s="530">
        <f t="shared" si="617"/>
        <v>16.77235588</v>
      </c>
      <c r="MW190" s="530">
        <f t="shared" si="618"/>
        <v>16.93235588</v>
      </c>
      <c r="MX190" s="326">
        <f t="shared" si="619"/>
        <v>2.32412401</v>
      </c>
      <c r="MY190" s="326">
        <f t="shared" si="620"/>
        <v>0</v>
      </c>
      <c r="MZ190" s="251">
        <f t="shared" si="621"/>
        <v>3.72412401</v>
      </c>
      <c r="NA190" s="251">
        <f t="shared" si="622"/>
        <v>0</v>
      </c>
      <c r="NB190" s="251">
        <f t="shared" si="676"/>
        <v>15.49235588</v>
      </c>
      <c r="NC190" s="326">
        <f t="shared" si="797"/>
        <v>15.49235588</v>
      </c>
      <c r="ND190" s="314">
        <f t="shared" si="677"/>
        <v>15.49235588</v>
      </c>
      <c r="NE190" s="537">
        <f t="shared" si="678"/>
        <v>15.73235588</v>
      </c>
      <c r="NF190" s="530">
        <f t="shared" si="623"/>
        <v>15.89235588</v>
      </c>
      <c r="NG190" s="538">
        <f t="shared" si="624"/>
        <v>16.93235588</v>
      </c>
      <c r="NH190" s="326">
        <f t="shared" si="625"/>
        <v>19.33235588</v>
      </c>
      <c r="NI190" s="530">
        <f t="shared" si="626"/>
        <v>19.49235588</v>
      </c>
      <c r="NK190" s="539">
        <f t="shared" si="627"/>
        <v>0.493796139720927</v>
      </c>
      <c r="NL190" s="539">
        <f t="shared" si="628"/>
        <v>18.4672969947753</v>
      </c>
      <c r="NM190" s="539">
        <f t="shared" si="629"/>
        <v>0.493796139720927</v>
      </c>
      <c r="NN190" s="539">
        <f t="shared" si="630"/>
        <v>18.591134711105</v>
      </c>
      <c r="NO190" s="539">
        <f t="shared" si="631"/>
        <v>0.803618192311829</v>
      </c>
      <c r="NP190" s="539">
        <f t="shared" si="632"/>
        <v>19.9210119961119</v>
      </c>
      <c r="NQ190" s="539">
        <f t="shared" si="633"/>
        <v>0.803618192311829</v>
      </c>
      <c r="NR190" s="539">
        <f t="shared" si="634"/>
        <v>20.0660237051216</v>
      </c>
      <c r="NS190" s="539">
        <f t="shared" si="635"/>
        <v>0.512307471285017</v>
      </c>
      <c r="NT190" s="539">
        <f t="shared" si="636"/>
        <v>0.512307471285017</v>
      </c>
      <c r="NU190" s="539">
        <f t="shared" si="637"/>
        <v>0.825705417040363</v>
      </c>
      <c r="NV190" s="539">
        <f t="shared" si="638"/>
        <v>0.825705417040363</v>
      </c>
      <c r="NW190">
        <f t="shared" si="639"/>
        <v>0.695790476406061</v>
      </c>
      <c r="NX190">
        <f>各项系数!$M$9*NK190</f>
        <v>0.148138841916278</v>
      </c>
      <c r="NY190">
        <f t="shared" si="640"/>
        <v>0.512307471285017</v>
      </c>
    </row>
    <row r="191" customHeight="1" spans="1:389">
      <c r="A191" s="85"/>
      <c r="B191" s="86"/>
      <c r="C191" s="218"/>
      <c r="D191" s="123" t="s">
        <v>236</v>
      </c>
      <c r="E191" s="77">
        <f t="shared" ref="E191:E196" si="829">MV191</f>
        <v>17.55338688</v>
      </c>
      <c r="F191" s="559">
        <f t="shared" si="820"/>
        <v>172.412400708262</v>
      </c>
      <c r="G191" s="23"/>
      <c r="H191" s="23"/>
      <c r="I191" s="174">
        <v>0</v>
      </c>
      <c r="J191" s="23"/>
      <c r="K191" s="23"/>
      <c r="L191" s="118" t="s">
        <v>469</v>
      </c>
      <c r="M191" s="124">
        <f t="shared" si="582"/>
        <v>0.7</v>
      </c>
      <c r="N191" s="124">
        <f t="shared" si="804"/>
        <v>0</v>
      </c>
      <c r="O191" s="69">
        <f t="shared" si="825"/>
        <v>0.08</v>
      </c>
      <c r="P191" s="120">
        <v>0.1</v>
      </c>
      <c r="Q191" s="162">
        <f t="shared" si="823"/>
        <v>0.1</v>
      </c>
      <c r="R191" s="560">
        <v>0.8</v>
      </c>
      <c r="S191" s="171" t="str">
        <f>各项系数!$D$43</f>
        <v>钢带</v>
      </c>
      <c r="T191" s="123">
        <v>0.2</v>
      </c>
      <c r="U191" s="78">
        <v>4</v>
      </c>
      <c r="V191" s="172"/>
      <c r="W191" s="170">
        <f t="shared" si="828"/>
        <v>1.8</v>
      </c>
      <c r="X191" s="164">
        <f t="shared" si="824"/>
        <v>0.2</v>
      </c>
      <c r="Y191" s="219"/>
      <c r="Z191" s="220"/>
      <c r="AA191" s="217">
        <v>1</v>
      </c>
      <c r="AB191" s="186">
        <f>PI()*EJ191*EJ191/4*EH191*(1-H191)*AA191*各项系数!$F$5*各项系数!$J$4*10^-7</f>
        <v>0.0206515056889029</v>
      </c>
      <c r="AC191" s="186">
        <f t="shared" ref="AC191:AC196" si="830">EJ191</f>
        <v>172.412400708262</v>
      </c>
      <c r="AD191" s="186">
        <f t="shared" si="584"/>
        <v>2.3346774015073</v>
      </c>
      <c r="AE191" s="186">
        <f>POWER(4*EU191/PI()/EG191/10^-7/EH191/(1-H191)/各项系数!$F$5/各项系数!$J$4,0.5)</f>
        <v>172.412400708262</v>
      </c>
      <c r="AF191" s="218">
        <v>1</v>
      </c>
      <c r="AG191" s="85">
        <f>IF(EM191=0,0,PI()*ER191*ER191/4*EP191*(1-K191)*(1+AF191)*各项系数!$F$5*各项系数!$J$4*10^-7)</f>
        <v>0</v>
      </c>
      <c r="AH191" s="85">
        <f t="shared" ref="AH191:AH196" si="831">ER191</f>
        <v>0</v>
      </c>
      <c r="AI191" s="85">
        <f t="shared" si="641"/>
        <v>0</v>
      </c>
      <c r="AJ191" s="85">
        <f>IF(OR(EP191="",EP191=0),0,POWER(4*EW191/PI()/EO191/10^-7/EP191/(1-K191)/各项系数!$F$5/各项系数!$J$4,0.5))</f>
        <v>0</v>
      </c>
      <c r="AK191" s="85" t="str">
        <f t="shared" si="585"/>
        <v>√</v>
      </c>
      <c r="AL191" s="85">
        <f t="shared" ref="AL191:AL196" si="832">AO191*(1+0.02)</f>
        <v>22.1330475939428</v>
      </c>
      <c r="AM191" s="250">
        <f t="shared" ref="AM191:AM196" si="833">EE191*1</f>
        <v>2.5</v>
      </c>
      <c r="AN191" s="118" t="s">
        <v>486</v>
      </c>
      <c r="AO191" s="259">
        <f>AP191+各项系数!$M$9*$NK191</f>
        <v>21.6990662685714</v>
      </c>
      <c r="AP191" s="259">
        <f>AQ191*(1+$BI191+(VLOOKUP($AM191,$A$12:$B$323,2,0))+各项系数!$J$6+各项系数!$M$5)*(1+$E$2)</f>
        <v>21.5326426218495</v>
      </c>
      <c r="AQ191" s="260">
        <f>AR191+各项系数!$L$9*$NK191</f>
        <v>21.9720843080097</v>
      </c>
      <c r="AR191" s="260">
        <f>AS191*(1+$BJ191+各项系数!$J$5+各项系数!$L$5)</f>
        <v>21.8056606612879</v>
      </c>
      <c r="AS191" s="260">
        <f t="shared" si="642"/>
        <v>21.3780986875372</v>
      </c>
      <c r="AT191" s="259">
        <f>AU191+各项系数!$M$9*$NM191</f>
        <v>22.580660471041</v>
      </c>
      <c r="AU191" s="259">
        <f>AV191*(1+$BI191+(VLOOKUP($AM191,$A$12:$B$323,2,0))+各项系数!$J$6+各项系数!$M$5)*(1+$E$2)</f>
        <v>22.4142368243192</v>
      </c>
      <c r="AV191" s="260">
        <f>AW191+各项系数!$L$9*$NM191</f>
        <v>22.8716702288971</v>
      </c>
      <c r="AW191" s="260">
        <f>AX191*(1+$BJ191+各项系数!$J$5+各项系数!$L$5)</f>
        <v>22.7052465821753</v>
      </c>
      <c r="AX191" s="260">
        <f t="shared" si="643"/>
        <v>22.2600456687993</v>
      </c>
      <c r="AY191" s="259">
        <f>AZ191+各项系数!$M$9*$NS191</f>
        <v>23.0465645867542</v>
      </c>
      <c r="AZ191" s="259">
        <f>BA191*(1+$BI191+(VLOOKUP($AM191,$A$12:$B$214,2,0))+各项系数!$J$6+各项系数!$M$5)*(1+$E$2)</f>
        <v>22.874260249538</v>
      </c>
      <c r="BA191" s="260">
        <f>BB191+各项系数!$L$9*$NS191</f>
        <v>23.3410818872837</v>
      </c>
      <c r="BB191" s="260">
        <f>BC191*(1+$BJ191+各项系数!$J$5+各项系数!$L$5)</f>
        <v>23.1687775500676</v>
      </c>
      <c r="BC191" s="262">
        <f t="shared" si="644"/>
        <v>22.7144877941839</v>
      </c>
      <c r="BD191" s="259">
        <f>BE191+各项系数!$M$9*$NS191</f>
        <v>23.9371127413783</v>
      </c>
      <c r="BE191" s="259">
        <f>BF191*(1+$BI191+(VLOOKUP($AM191,$A$12:$B$214,2,0))+各项系数!$J$6+各项系数!$M$5)*(1+$E$2)</f>
        <v>23.7648084041622</v>
      </c>
      <c r="BF191" s="260">
        <f>BG191+各项系数!$L$9*$NS191</f>
        <v>24.2498044940431</v>
      </c>
      <c r="BG191" s="260">
        <f>BH191*(1+$BJ191+各项系数!$J$5+各项系数!$L$5)</f>
        <v>24.0775001568269</v>
      </c>
      <c r="BH191" s="262">
        <f t="shared" si="645"/>
        <v>23.6053923106146</v>
      </c>
      <c r="BI191" s="277"/>
      <c r="BJ191" s="272">
        <f t="shared" si="822"/>
        <v>0</v>
      </c>
      <c r="BK191" s="123" t="s">
        <v>514</v>
      </c>
      <c r="BL191" s="259">
        <f>BM191+各项系数!$M$9*$NM191</f>
        <v>22.0400941287587</v>
      </c>
      <c r="BM191" s="259">
        <f>BN191*(1+$CF191+(VLOOKUP($AM191,$A$12:$B$323,2,0))+各项系数!$J$6+各项系数!$M$5)*(1+$E$2)</f>
        <v>21.8736704820369</v>
      </c>
      <c r="BN191" s="260">
        <f>BO191+各项系数!$L$9*$NM191</f>
        <v>22.3200719204458</v>
      </c>
      <c r="BO191" s="260">
        <f>BP191*(1+$CG191+各项系数!$J$5+各项系数!$L$5)</f>
        <v>22.153648273724</v>
      </c>
      <c r="BP191" s="260">
        <f t="shared" si="646"/>
        <v>21.5083963822563</v>
      </c>
      <c r="BQ191" s="259">
        <f>BR191+各项系数!$M$9*$NM191</f>
        <v>22.7988089185952</v>
      </c>
      <c r="BR191" s="259">
        <f>BS191*(1+$CF191+(VLOOKUP($AM191,$A$12:$B$323,2,0))+各项系数!$J$6+各项系数!$M$5)*(1+$E$2)</f>
        <v>22.6323852718734</v>
      </c>
      <c r="BS191" s="260">
        <f>BT191+各项系数!$L$9*$NM191</f>
        <v>23.0942706855851</v>
      </c>
      <c r="BT191" s="260">
        <f>BU191*(1+$CG191+各项系数!$J$5+各项系数!$L$5)</f>
        <v>22.9278470388633</v>
      </c>
      <c r="BU191" s="260">
        <f t="shared" si="647"/>
        <v>22.2600456687993</v>
      </c>
      <c r="BV191" s="259">
        <f>BW191+各项系数!$M$9*$NT191</f>
        <v>23.2412647590699</v>
      </c>
      <c r="BW191" s="259">
        <f>BX191*(1+$CF191+(VLOOKUP($AM191,$A$12:$B$214,2,0))+各项系数!$J$6+各项系数!$M$5)*(1+$E$2)</f>
        <v>23.0689604218538</v>
      </c>
      <c r="BX191" s="260">
        <f>BY191+各项系数!$L$9*$NT$12</f>
        <v>23.5397555325039</v>
      </c>
      <c r="BY191" s="260">
        <f>BZ191*(1+$CG191+各项系数!$J$5+各项系数!$L$5)</f>
        <v>23.5314921293489</v>
      </c>
      <c r="BZ191" s="262">
        <f t="shared" si="586"/>
        <v>22.8461088634455</v>
      </c>
      <c r="CA191" s="259">
        <f>CB191+各项系数!$M$9*$NT191</f>
        <v>24.0076854706424</v>
      </c>
      <c r="CB191" s="259">
        <f>CC191*(1+$CF191+(VLOOKUP($AM191,$A$12:$B$214,2,0))+各项系数!$J$6+各项系数!$M$5)*(1+$E$2)</f>
        <v>23.8353811334263</v>
      </c>
      <c r="CC191" s="260">
        <f>CD191+各项系数!$L$9*$NT$12</f>
        <v>24.321817483088</v>
      </c>
      <c r="CD191" s="260">
        <f>CE191*(1+$CG191+各项系数!$J$5+各项系数!$L$5)</f>
        <v>24.3135540799331</v>
      </c>
      <c r="CE191" s="262">
        <f t="shared" si="648"/>
        <v>23.6053923106146</v>
      </c>
      <c r="CF191" s="277">
        <f t="shared" si="753"/>
        <v>0</v>
      </c>
      <c r="CG191" s="277">
        <f t="shared" si="587"/>
        <v>0.01</v>
      </c>
      <c r="CH191" s="123"/>
      <c r="CI191" s="259">
        <f>CJ191+各项系数!$M$9*$NO191</f>
        <v>23.7048533662217</v>
      </c>
      <c r="CJ191" s="259">
        <f>CK191*(1+$DC191+(VLOOKUP($AM191,$A$12:$B$323,2,0))+各项系数!$J$6+各项系数!$M$5)*(1+$E$2)+各项系数!$M$9*$NK191</f>
        <v>23.4406430412484</v>
      </c>
      <c r="CK191" s="260">
        <f>CL191+各项系数!$L$9*$NO191</f>
        <v>23.7492034638026</v>
      </c>
      <c r="CL191" s="260">
        <f>CM191*(1+$DD191+各项系数!$J$5+各项系数!$L$5)</f>
        <v>23.4849931388293</v>
      </c>
      <c r="CM191" s="260">
        <f t="shared" si="588"/>
        <v>23.0245030772836</v>
      </c>
      <c r="CN191" s="259">
        <f>CO191+各项系数!$M$9*$NO191</f>
        <v>24.3623906641816</v>
      </c>
      <c r="CO191" s="259">
        <f>CP191*(1+$DC191+(VLOOKUP($AM191,$A$12:$B$323,2,0))+各项系数!$J$6+各项系数!$M$5)*(1+$E$2)+各项系数!$M$9*$NK191</f>
        <v>24.0981803392083</v>
      </c>
      <c r="CP191" s="260">
        <f>CQ191+各项系数!$L$9*$NO191</f>
        <v>24.4201598902923</v>
      </c>
      <c r="CQ191" s="260">
        <f>CR191*(1+$DD191+各项系数!$J$5+各项系数!$L$5)</f>
        <v>24.1559495653189</v>
      </c>
      <c r="CR191" s="260">
        <f t="shared" si="589"/>
        <v>23.6823034954107</v>
      </c>
      <c r="CS191" s="259">
        <f>CT191+各项系数!$M$9*$NU191</f>
        <v>25.1435900952083</v>
      </c>
      <c r="CT191" s="259">
        <f t="shared" si="590"/>
        <v>24.8723634542943</v>
      </c>
      <c r="CU191" s="260">
        <f>CV191+各项系数!$L$9*$NU191</f>
        <v>25.3799627084636</v>
      </c>
      <c r="CV191" s="260">
        <f>CW191*(1+$DD191+各项系数!$J$5+各项系数!$L$5)</f>
        <v>25.1087360675496</v>
      </c>
      <c r="CW191" s="262">
        <f t="shared" si="591"/>
        <v>24.6164079093623</v>
      </c>
      <c r="CX191" s="259">
        <f>CY191+各项系数!$M$9*$NU191</f>
        <v>26.1857958144497</v>
      </c>
      <c r="CY191" s="259">
        <f t="shared" si="592"/>
        <v>25.9145691735356</v>
      </c>
      <c r="CZ191" s="260">
        <f>DA191+各项系数!$L$9*$NU191</f>
        <v>26.4434379321792</v>
      </c>
      <c r="DA191" s="260">
        <f>DB191*(1+$DD191+各项系数!$J$5+各项系数!$L$5)</f>
        <v>26.1722112912652</v>
      </c>
      <c r="DB191" s="262">
        <f t="shared" si="593"/>
        <v>25.659030677711</v>
      </c>
      <c r="DC191" s="277">
        <f t="shared" si="827"/>
        <v>0</v>
      </c>
      <c r="DD191" s="277">
        <f t="shared" si="594"/>
        <v>0</v>
      </c>
      <c r="DE191" s="69" t="s">
        <v>498</v>
      </c>
      <c r="DF191" s="69" t="s">
        <v>513</v>
      </c>
      <c r="DG191" s="259">
        <f>DH191+各项系数!$M$9*$NQ191</f>
        <v>24.0846413435114</v>
      </c>
      <c r="DH191" s="259">
        <f>DI191*(1+$EA191+(VLOOKUP($AM191,$A$12:$B$323,2,0))+各项系数!$J$6+各项系数!$M$5)*(1+$E$2)+各项系数!$M$9*$NK191</f>
        <v>23.8204310185381</v>
      </c>
      <c r="DI191" s="260">
        <f>DJ191+各项系数!$L$9*$NQ191</f>
        <v>24.1367422161391</v>
      </c>
      <c r="DJ191" s="260">
        <f>DK191*(1+$EB191+各项系数!$J$5+各项系数!$L$5)</f>
        <v>23.8725318911657</v>
      </c>
      <c r="DK191" s="260">
        <f t="shared" si="595"/>
        <v>23.1772154283162</v>
      </c>
      <c r="DL191" s="259">
        <f>DM191+各项系数!$M$9*$NQ191</f>
        <v>24.9738751827511</v>
      </c>
      <c r="DM191" s="259">
        <f>DN191*(1+$EA191+(VLOOKUP($AM191,$A$12:$B$323,2,0))+各项系数!$J$6+各项系数!$M$5)*(1+$E$2)+各项系数!$M$9*$NK191</f>
        <v>24.7096648577778</v>
      </c>
      <c r="DN191" s="260">
        <f>DO191+各项系数!$L$9*$NQ191</f>
        <v>25.0441236847509</v>
      </c>
      <c r="DO191" s="260">
        <f>DP191*(1+$EB191+各项系数!$J$5+各项系数!$L$5)</f>
        <v>24.7799133597776</v>
      </c>
      <c r="DP191" s="260">
        <f t="shared" si="596"/>
        <v>24.0581683104637</v>
      </c>
      <c r="DQ191" s="259">
        <f>DR191+各项系数!$M$9*$NV191</f>
        <v>25.5403145541156</v>
      </c>
      <c r="DR191" s="259">
        <f t="shared" si="597"/>
        <v>25.2690879132016</v>
      </c>
      <c r="DS191" s="260">
        <f>DT191+各项系数!$L$9*$NV191</f>
        <v>25.7847835848996</v>
      </c>
      <c r="DT191" s="260">
        <f>DU191*(1+$EB191+各项系数!$J$5+各项系数!$L$5)</f>
        <v>25.5135569439856</v>
      </c>
      <c r="DU191" s="262">
        <f t="shared" si="598"/>
        <v>24.7704436349374</v>
      </c>
      <c r="DV191" s="259">
        <f>DW191+各项系数!$M$9*$NV191</f>
        <v>25.254342277458</v>
      </c>
      <c r="DW191" s="259">
        <f t="shared" si="599"/>
        <v>24.983115636544</v>
      </c>
      <c r="DX191" s="260">
        <f>DY191+各项系数!$L$9*$NV191</f>
        <v>25.4929751393306</v>
      </c>
      <c r="DY191" s="260">
        <f>DZ191*(1+$EB191+各项系数!$J$5+各项系数!$L$5)</f>
        <v>25.2217484984166</v>
      </c>
      <c r="DZ191" s="262">
        <f t="shared" si="600"/>
        <v>24.4871344644821</v>
      </c>
      <c r="EA191" s="277">
        <f t="shared" si="826"/>
        <v>0</v>
      </c>
      <c r="EB191" s="277">
        <f t="shared" si="601"/>
        <v>0.01</v>
      </c>
      <c r="EC191" s="302">
        <f t="shared" si="649"/>
        <v>14</v>
      </c>
      <c r="ED191" s="302" t="str">
        <f t="shared" ref="ED191:ED196" si="834">IF(COUNTIF($D191,"*+*")&gt;0,MID($D191,1,FIND("+",$D191)-1),MID($D191,1,LEN($D191)))</f>
        <v>14*2.5</v>
      </c>
      <c r="EE191" s="251">
        <f t="shared" ref="EE191:EE196" si="835">IF($D191="",0,IF(COUNTIF($D191,"*+*")&gt;0,MID($D191,FIND("*",$D191)+1,FIND("+",$D191)-FIND("*",$D191)-1),RIGHT($D191,(LEN($D191)-FIND("*",$D191)))))*1</f>
        <v>2.5</v>
      </c>
      <c r="EF191" s="251">
        <f>LOOKUP(EH191,{1,7,10,14,19,24,30,37,48,61},{1,"1+6","2+8","4+10","1+6+12","2+8+14","4+10+16","1+6+12+18","3+9+15+21","1+6+12+18+24"})</f>
        <v>1</v>
      </c>
      <c r="EG191" s="250">
        <f t="shared" si="602"/>
        <v>14</v>
      </c>
      <c r="EH191" s="260">
        <f>VLOOKUP(EE191,各项系数!$B$87:$C$124,2,0)</f>
        <v>1</v>
      </c>
      <c r="EI191" s="250">
        <f>IF(EH191=0,0,VLOOKUP(EH191,各项系数!$D$142:$E$195,2,0))*1</f>
        <v>1</v>
      </c>
      <c r="EJ191" s="305">
        <f t="shared" si="650"/>
        <v>172.412400708262</v>
      </c>
      <c r="EK191" s="251">
        <f t="shared" ref="EK191:EK196" si="836">IF(COUNTIF($D191,"*+*")&gt;0,MID($D191,FIND("+",$D191)+1,LEN($D191)),0)</f>
        <v>0</v>
      </c>
      <c r="EL191" s="251">
        <f t="shared" si="603"/>
        <v>0</v>
      </c>
      <c r="EM191" s="251">
        <f t="shared" ref="EM191:EM196" si="837">EL191/1</f>
        <v>0</v>
      </c>
      <c r="EN191" s="251">
        <f>IF(EP191=0,0,LOOKUP(EP191,{1,7,10,14,19,24,30,37,48,61},{1,"1+6","2+8","4+10","1+6+12","2+8+14","4+10+16","1+6+12+18","3+9+15+21","1+6+12+18+24"}))</f>
        <v>0</v>
      </c>
      <c r="EO191" s="251">
        <f t="shared" ref="EO191:EO196" si="838">IF(EK191=0,0,MID(EK191,1,1))</f>
        <v>0</v>
      </c>
      <c r="EP191" s="251">
        <f>IF(EM191=0,0,IF(EM191&lt;10,1,IF(AND(EM191&gt;=10,EM191&lt;=35),7,LOOKUP(EM191,{50,70,95,120,150,185,240,300},{10,14,19,24,30,37,48,61})*1)))</f>
        <v>0</v>
      </c>
      <c r="EQ191" s="251">
        <f>IF(EP191=0,0,VLOOKUP(EP191,各项系数!$D$142:$E$195,2,0))*1</f>
        <v>0</v>
      </c>
      <c r="ER191" s="69">
        <f t="shared" ref="ER191:ER196" si="839">$I191-$J191</f>
        <v>0</v>
      </c>
      <c r="ES191" s="566">
        <f t="shared" ref="ES191:ES196" si="840">EO191+EG191</f>
        <v>14</v>
      </c>
      <c r="ET191" s="251">
        <f>VLOOKUP(ES191,各项系数!$D$142:$E$195,2,0)*1</f>
        <v>4.41</v>
      </c>
      <c r="EU191" s="311">
        <f>((各项系数!$F$76/4*$EJ191^2*$EG191*$EH191*1*10^-7)*(1-$H191)*AA191)*(VLOOKUP($EY$9,各项系数!$D$4:$F$143,3,0))*各项系数!$J$4</f>
        <v>0.289121079644641</v>
      </c>
      <c r="EV191" s="312">
        <f>EU191*(VLOOKUP($EY$9,各项系数!$D$4:$F$143,2,0))</f>
        <v>18.937430716724</v>
      </c>
      <c r="EW191" s="324">
        <f>(IF($EO191=0,0,(各项系数!$F$76/4*$ER191^2*$EO191*$EP191*1*10^-7))*(1-$K191)*$AF191)*(VLOOKUP($EY$9,各项系数!$D$4:$F$143,3,0))*各项系数!$J$4</f>
        <v>0</v>
      </c>
      <c r="EX191" s="325">
        <f>EW191*(VLOOKUP($EY$9,各项系数!$D$4:$F$143,2,0))</f>
        <v>0</v>
      </c>
      <c r="EY191" s="251">
        <f>((各项系数!$F$76/4*$EJ191^2*$EG191*$EH191*1*10^-7)*(1-$H191)*AA191+IF($EO191=0,0,(各项系数!$F$76/4*$ER191^2*$EO191*$EP191*1*10^-7))*(1-$K191)*$AF191)*(VLOOKUP($EY$9,各项系数!$D$4:$F$143,3,0))*各项系数!$J$4</f>
        <v>0.289121079644641</v>
      </c>
      <c r="EZ191" s="123">
        <v>1</v>
      </c>
      <c r="FA191" s="251">
        <f t="shared" ref="FA191:FA196" si="841">EZ191*EY191</f>
        <v>0.289121079644641</v>
      </c>
      <c r="FB191" s="326">
        <f>FA191*(VLOOKUP($EY$9,各项系数!$D$4:$F$143,2,0))</f>
        <v>18.937430716724</v>
      </c>
      <c r="FC191" s="327"/>
      <c r="FD191" s="302">
        <f>各项系数!$F$76/4*($MN191^2-MK191^2)*10^-2*(VLOOKUP(L191,各项系数!$D$1:$F$143,3,0))*10^-3*10^2*$EG191*各项系数!$J$4</f>
        <v>0.0816857963646404</v>
      </c>
      <c r="FE191" s="339">
        <f>FD191*VLOOKUP(L191,各项系数!$D$1:$F$143,2,0)</f>
        <v>0.939386658193364</v>
      </c>
      <c r="FF191" s="250">
        <f>各项系数!$F$76/4*($MO191^2-ML191^2)*10^-2*(VLOOKUP(L191,各项系数!$D$1:$F$143,3,0))*10^-3*10^2*$EO191*各项系数!$J$4</f>
        <v>0</v>
      </c>
      <c r="FG191" s="339">
        <f>FF191*VLOOKUP(L191,各项系数!$D$1:$F$143,2,0)</f>
        <v>0</v>
      </c>
      <c r="FH191" s="302">
        <f t="shared" si="651"/>
        <v>0.0816857963646404</v>
      </c>
      <c r="FI191" s="123">
        <v>1</v>
      </c>
      <c r="FJ191" s="251">
        <f t="shared" ref="FJ191:FJ196" si="842">FI191*FH191</f>
        <v>0.0816857963646404</v>
      </c>
      <c r="FK191" s="339">
        <f>FJ191*VLOOKUP(L191,各项系数!$D$1:$F$143,2,0)</f>
        <v>0.939386658193364</v>
      </c>
      <c r="FL191" s="302"/>
      <c r="FM191" s="123"/>
      <c r="FN191" s="251"/>
      <c r="FO191" s="339"/>
      <c r="FP191" s="364">
        <f t="shared" ref="FP191:FP196" si="843">FJ191</f>
        <v>0.0816857963646404</v>
      </c>
      <c r="FQ191" s="364">
        <f t="shared" ref="FQ191:FQ196" si="844">FK191</f>
        <v>0.939386658193364</v>
      </c>
      <c r="FR191" s="365">
        <f>各项系数!$F$76/4*($MQ191^2-$MN191^2*$EG191-$MO191^2*$EO191)*10^-2</f>
        <v>0.417629799852296</v>
      </c>
      <c r="FS191" s="366">
        <f t="shared" si="652"/>
        <v>1</v>
      </c>
      <c r="FT191" s="367">
        <f t="shared" si="604"/>
        <v>0.417629799852296</v>
      </c>
      <c r="FU191" s="388">
        <f>$FT191*(VLOOKUP($FT$9,各项系数!$D$1:$F$143,3,0))*10^-3*10^2*各项系数!$J$55</f>
        <v>0.0498649981023641</v>
      </c>
      <c r="FV191" s="389">
        <v>1</v>
      </c>
      <c r="FW191" s="390">
        <f t="shared" ref="FW191:FW196" si="845">FV191*FU191</f>
        <v>0.0498649981023641</v>
      </c>
      <c r="FX191" s="367">
        <f>FW191*(VLOOKUP($FT$9,各项系数!$D$1:$F$143,2,0))</f>
        <v>0.149594994307092</v>
      </c>
      <c r="FY191" s="388">
        <f>IF($BK191&lt;&gt;$FY$9,0,各项系数!$F$76/4*($MS191^2-$MQ191^2)*10^-2*(VLOOKUP($FY$9,各项系数!$D$1:$F$143,3,0))*10^-3*10^2)*各项系数!$J$4</f>
        <v>0</v>
      </c>
      <c r="FZ191" s="389">
        <v>1</v>
      </c>
      <c r="GA191" s="390">
        <f t="shared" ref="GA191:GA196" si="846">FZ191*FY191</f>
        <v>0</v>
      </c>
      <c r="GB191" s="367">
        <f>GA191*(VLOOKUP($FY$9,各项系数!$D$1:$F$143,2,0))</f>
        <v>0</v>
      </c>
      <c r="GC191" s="388">
        <f>IF($BK191&lt;&gt;$GC$9,0,各项系数!$F$76/4*($MS191^2-$MQ191^2)*10^-2*(VLOOKUP($GC$9,各项系数!$D$1:$F$143,3,0))*10^-3*10^2)*各项系数!$J$4</f>
        <v>0.0037759202419704</v>
      </c>
      <c r="GD191" s="389">
        <v>1</v>
      </c>
      <c r="GE191" s="390">
        <f t="shared" ref="GE191:GE196" si="847">GD191*GC191</f>
        <v>0.0037759202419704</v>
      </c>
      <c r="GF191" s="367">
        <f>GE191*(VLOOKUP($GC$9,各项系数!$D$1:$F$143,2,0))</f>
        <v>0.0487093711214181</v>
      </c>
      <c r="GG191" s="388">
        <f>IF($BK191&lt;&gt;$GG$9,0,各项系数!$F$76/4*($MS191^2-$MQ191^2)*10^-2*(VLOOKUP($GG$9,各项系数!$D$1:$F$143,3,0))*10^-3*10^2)*各项系数!$J$4</f>
        <v>0</v>
      </c>
      <c r="GH191" s="389">
        <v>1</v>
      </c>
      <c r="GI191" s="390">
        <f t="shared" ref="GI191:GI196" si="848">GH191*GG191</f>
        <v>0</v>
      </c>
      <c r="GJ191" s="367">
        <f>GI191*(VLOOKUP($GG$9,各项系数!$D$1:$F$143,2,0))</f>
        <v>0</v>
      </c>
      <c r="GK191" s="388">
        <f>IF($BK191&lt;&gt;$GK$9,0,各项系数!$F$76/4*($MS191^2-$MQ191^2)*10^-2*(VLOOKUP($GK$9,各项系数!$D$1:$F$143,3,0))*10^-3*10^2)*各项系数!$J$4</f>
        <v>0</v>
      </c>
      <c r="GL191" s="389">
        <v>1</v>
      </c>
      <c r="GM191" s="390">
        <f t="shared" ref="GM191:GM196" si="849">GL191*GK191</f>
        <v>0</v>
      </c>
      <c r="GN191" s="367">
        <f>GM191*(VLOOKUP($GK$9,各项系数!$D$1:$F$143,2,0))</f>
        <v>0</v>
      </c>
      <c r="GO191" s="390">
        <f t="shared" ref="GO191:GO196" si="850">GM191+GI191+GE191+GA191</f>
        <v>0.0037759202419704</v>
      </c>
      <c r="GP191" s="390">
        <f t="shared" ref="GP191:GP196" si="851">GN191+GJ191+GF191+GB191</f>
        <v>0.0487093711214181</v>
      </c>
      <c r="GQ191" s="406">
        <f>各项系数!$F$76/4*($MU191^2-$MS191^2)*10^-2*(VLOOKUP($S191,各项系数!$D$1:$F$143,3,0))*10^-3*10^2*各项系数!$J$4</f>
        <v>0.213449445756533</v>
      </c>
      <c r="GR191" s="389">
        <v>1</v>
      </c>
      <c r="GS191" s="390">
        <f t="shared" ref="GS191:GS196" si="852">$GR191*$GQ191</f>
        <v>0.213449445756533</v>
      </c>
      <c r="GT191" s="390">
        <f t="shared" si="696"/>
        <v>1</v>
      </c>
      <c r="GU191" s="390">
        <f>ROUND($GS191*(VLOOKUP($S191,各项系数!$D$1:$F$143,2,0))+$E$3*GS191,GT191)</f>
        <v>1.2</v>
      </c>
      <c r="GV191" s="406">
        <f>各项系数!$F$76/4*($MT191^2-$MS191^2)*10^-2*(VLOOKUP($GV$9,各项系数!$D$1:$F$143,3,0))*10^-3*10^2*各项系数!$J$4*PI()/4*R191</f>
        <v>0.01960230164773</v>
      </c>
      <c r="GW191" s="389">
        <v>1</v>
      </c>
      <c r="GX191" s="390">
        <f t="shared" ref="GX191:GX196" si="853">$GW191*$GV191</f>
        <v>0.01960230164773</v>
      </c>
      <c r="GY191" s="390">
        <f>$GX191*(VLOOKUP($GV$9,各项系数!$D$1:$F$143,2,0))</f>
        <v>1.32315536122178</v>
      </c>
      <c r="GZ191" s="406">
        <f>各项系数!$F$76/4*($MV191^2-$MS191^2)*10^-2*(VLOOKUP($GZ$9,各项系数!$D$1:$F$143,3,0))*10^-3*10^2*各项系数!$J$4</f>
        <v>0.128524936967852</v>
      </c>
      <c r="HA191" s="389">
        <v>1</v>
      </c>
      <c r="HB191" s="390">
        <f t="shared" si="653"/>
        <v>0.128524936967852</v>
      </c>
      <c r="HC191" s="390">
        <f>HB191*(VLOOKUP($GZ$9,各项系数!$D$1:$F$143,2,0))</f>
        <v>2.18492392845349</v>
      </c>
      <c r="HD191" s="406">
        <f>各项系数!$F$76/4*($MW191^2-$MT191^2)*10^-2*(VLOOKUP($HD$9,各项系数!$D$1:$F$143,3,0))*10^-3*10^2*各项系数!$J$4</f>
        <v>0.129830306414531</v>
      </c>
      <c r="HE191" s="389">
        <v>1</v>
      </c>
      <c r="HF191" s="390">
        <f t="shared" si="654"/>
        <v>0.129830306414531</v>
      </c>
      <c r="HG191" s="390">
        <f>HF191*(VLOOKUP($HD$9,各项系数!$D$1:$F$143,2,0))</f>
        <v>2.20711520904702</v>
      </c>
      <c r="HH191" s="406">
        <f>各项系数!$F$76/4*($MV191^2-$MS191^2)*10^-2*(VLOOKUP($HH$9,各项系数!$D$1:$F$143,3,0))*10^-3*10^2*各项系数!$J$4</f>
        <v>0.128524936967852</v>
      </c>
      <c r="HI191" s="420">
        <v>1</v>
      </c>
      <c r="HJ191" s="390">
        <f t="shared" si="655"/>
        <v>0.128524936967852</v>
      </c>
      <c r="HK191" s="390">
        <f>HJ191*(VLOOKUP($HH$9,各项系数!$D$1:$F$143,2,0))</f>
        <v>2.18492392845349</v>
      </c>
      <c r="HL191" s="406">
        <f>各项系数!$F$76/4*($MW191^2-$MT191^2)*10^-2*(VLOOKUP($HL$9,各项系数!$D$1:$F$143,3,0))*10^-3*10^2*各项系数!$J$4</f>
        <v>0.129830306414531</v>
      </c>
      <c r="HM191" s="420">
        <v>1</v>
      </c>
      <c r="HN191" s="390">
        <f t="shared" si="605"/>
        <v>0.129830306414531</v>
      </c>
      <c r="HO191" s="390">
        <f>HN191*(VLOOKUP($HL$9,各项系数!$D$1:$F$143,2,0))</f>
        <v>2.20711520904702</v>
      </c>
      <c r="HP191" s="406">
        <f>各项系数!$F$76/4*($MV191^2-$MS191^2)*10^-2*(VLOOKUP(AN191,各项系数!$D$1:$F$143,3,0))*10^-3*10^2*各项系数!$J$4</f>
        <v>0.130297694719133</v>
      </c>
      <c r="HQ191" s="389">
        <v>1</v>
      </c>
      <c r="HR191" s="390">
        <f t="shared" ref="HR191:HR196" si="854">HQ191*HP191</f>
        <v>0.130297694719133</v>
      </c>
      <c r="HS191" s="390">
        <f>HR191*(VLOOKUP(AN191,各项系数!$D$1:$F$143,2,0))</f>
        <v>1.30297694719133</v>
      </c>
      <c r="HT191" s="406">
        <f>各项系数!$F$76/4*($MW191^2-$MT191^2)*10^-2*(VLOOKUP(AN191,各项系数!$D$1:$F$143,3,0))*10^-3*10^2*各项系数!$J$4</f>
        <v>0.131621069261628</v>
      </c>
      <c r="HU191" s="389">
        <v>1</v>
      </c>
      <c r="HV191" s="390">
        <f t="shared" ref="HV191:HV196" si="855">HU191*HT191</f>
        <v>0.131621069261628</v>
      </c>
      <c r="HW191" s="390">
        <f>HV191*(VLOOKUP(AN191,各项系数!$D$1:$F$143,2,0))</f>
        <v>1.31621069261628</v>
      </c>
      <c r="HX191" s="406">
        <f>各项系数!$F$76/4*($MV191^2-$MS191^2)*10^-2*(VLOOKUP($HX$9,各项系数!$D$1:$F$143,3,0))*10^-3*10^2*各项系数!$J$4</f>
        <v>0.130297694719133</v>
      </c>
      <c r="HY191" s="420">
        <v>1</v>
      </c>
      <c r="HZ191" s="390">
        <f t="shared" ref="HZ191:HZ196" si="856">HY191*HX191</f>
        <v>0.130297694719133</v>
      </c>
      <c r="IA191" s="390">
        <f>HZ191*(VLOOKUP($HX$9,各项系数!$D$1:$F$143,2,0))</f>
        <v>1.43327464191046</v>
      </c>
      <c r="IB191" s="406">
        <f>各项系数!$F$76/4*($MW191^2-$MT191^2)*10^-2*(VLOOKUP($IB$9,各项系数!$D$1:$F$143,3,0))*10^-3*10^2*各项系数!$J$4</f>
        <v>0.131621069261628</v>
      </c>
      <c r="IC191" s="420">
        <v>1</v>
      </c>
      <c r="ID191" s="390">
        <f t="shared" ref="ID191:ID196" si="857">IC191*IB191</f>
        <v>0.131621069261628</v>
      </c>
      <c r="IE191" s="390">
        <f>ID191*(VLOOKUP($IB$9,各项系数!$D$1:$F$143,2,0))</f>
        <v>1.44783176187791</v>
      </c>
      <c r="IF191" s="429"/>
      <c r="IG191" s="406">
        <f t="shared" si="656"/>
        <v>0.0398612230012827</v>
      </c>
      <c r="IH191" s="389">
        <v>1</v>
      </c>
      <c r="II191" s="390">
        <f t="shared" ref="II191:II196" si="858">IH191*IG191</f>
        <v>0.0398612230012827</v>
      </c>
      <c r="IJ191" s="390">
        <f>II191*(VLOOKUP($IG$8,各项系数!$D$1:$F$143,2,0))</f>
        <v>0.996530575032067</v>
      </c>
      <c r="IK191" s="406">
        <f>(各项系数!$F$76/4*($MX191^2-$MK191^2)*$EG191)*10^-2*(VLOOKUP($IG$8,各项系数!$D$1:$F$143,3,0))*10^-3*10^2*各项系数!$J$4</f>
        <v>0.0398612230012827</v>
      </c>
      <c r="IL191" s="389">
        <f>IK191*(VLOOKUP($IG$8,各项系数!$D$1:$F$143,2,0))</f>
        <v>0.996530575032067</v>
      </c>
      <c r="IM191" s="390">
        <f>(各项系数!$F$76/4*(($MM191+3*$X191)^2-MM191^2)*$EO191)*10^-2*(VLOOKUP($IG$8,各项系数!$D$1:$F$143,3,0))*10^-3*10^2*各项系数!$J$4</f>
        <v>0</v>
      </c>
      <c r="IN191" s="389">
        <f>IM191*(VLOOKUP($IG$8,各项系数!$D$1:$F$143,2,0))</f>
        <v>0</v>
      </c>
      <c r="IO191" s="406">
        <f>各项系数!$F$76/4*($MZ191^2-$MX191^2)*10^-2*(VLOOKUP(L191,各项系数!$D$1:$F$143,3,0))*10^-3*10^2*$ES191*各项系数!$J$4</f>
        <v>0.101904018541642</v>
      </c>
      <c r="IP191" s="389">
        <v>1</v>
      </c>
      <c r="IQ191" s="390">
        <f t="shared" ref="IQ191:IQ196" si="859">IP191*IO191</f>
        <v>0.101904018541642</v>
      </c>
      <c r="IR191" s="367">
        <f>IQ191*(VLOOKUP(L191,各项系数!$D$1:$F$143,2,0))</f>
        <v>1.17189621322888</v>
      </c>
      <c r="IS191" s="406">
        <f>IF($L191&lt;&gt;$IS$9,0,各项系数!$F$76/4*($MZ191^2-$MX191^2)*10^-2*各项系数!$F$12*10^-3*10^2)*$ES191*各项系数!$J$4</f>
        <v>0</v>
      </c>
      <c r="IT191" s="389">
        <v>1</v>
      </c>
      <c r="IU191" s="390">
        <f t="shared" ref="IU191:IU196" si="860">IT191*IS191</f>
        <v>0</v>
      </c>
      <c r="IV191" s="367">
        <f>IU191*各项系数!$E$12</f>
        <v>0</v>
      </c>
      <c r="IW191" s="388">
        <f t="shared" ref="IW191:IW196" si="861">IQ191</f>
        <v>0.101904018541642</v>
      </c>
      <c r="IX191" s="388">
        <f t="shared" ref="IX191:IX196" si="862">IR191</f>
        <v>1.17189621322888</v>
      </c>
      <c r="IY191" s="447">
        <f>各项系数!$F$76/4*($NB191^2-$MZ191^2*$EG191-$NA191^2*$EO191)*10^-2</f>
        <v>0.593448749974648</v>
      </c>
      <c r="IZ191" s="366">
        <f t="shared" si="697"/>
        <v>1</v>
      </c>
      <c r="JA191" s="367">
        <f t="shared" si="606"/>
        <v>0.593448749974648</v>
      </c>
      <c r="JB191" s="364">
        <f>IF($DE191&lt;&gt;$JB$9,0,$JA191*各项系数!$F$32*10^-3*10^2)*各项系数!$J$4</f>
        <v>0</v>
      </c>
      <c r="JC191" s="123">
        <v>1</v>
      </c>
      <c r="JD191" s="251">
        <f t="shared" ref="JD191:JD196" si="863">JC191*JB191</f>
        <v>0</v>
      </c>
      <c r="JE191" s="339">
        <f>JD191*各项系数!$E$32</f>
        <v>0</v>
      </c>
      <c r="JF191" s="364">
        <f>IF($DE191&lt;&gt;$JF$9,0,$JA191*VLOOKUP($JF$9,各项系数!$D$4:$F$540,2,0)*10^-3*10^2)*各项系数!$J$4</f>
        <v>0.295240753112388</v>
      </c>
      <c r="JG191" s="123">
        <v>1</v>
      </c>
      <c r="JH191" s="251">
        <f t="shared" si="607"/>
        <v>0.295240753112388</v>
      </c>
      <c r="JI191" s="339">
        <f>JH191*VLOOKUP($JF$9,各项系数!$D$4:$F$540,3,0)</f>
        <v>0.354288903734865</v>
      </c>
      <c r="JJ191" s="364">
        <f t="shared" ref="JJ191:JJ196" si="864">JH191+JD191</f>
        <v>0.295240753112388</v>
      </c>
      <c r="JK191" s="251">
        <f t="shared" ref="JK191:JK196" si="865">JI191+JE191</f>
        <v>0.354288903734865</v>
      </c>
      <c r="JL191" s="364">
        <f>IF($DF191&lt;&gt;$JL$9,0,各项系数!$F$76/4*($NE191^2-$NC191^2)*10^-2*各项系数!$F$39*10^-3*10^2)*各项系数!$J$4</f>
        <v>0.00186165791187347</v>
      </c>
      <c r="JM191" s="123">
        <v>1</v>
      </c>
      <c r="JN191" s="251">
        <f t="shared" ref="JN191:JN196" si="866">JM191*JL191</f>
        <v>0.00186165791187347</v>
      </c>
      <c r="JO191" s="339">
        <f>JN191*各项系数!$E$39</f>
        <v>0.0372331582374695</v>
      </c>
      <c r="JP191" s="364">
        <f>IF($DF191&lt;&gt;$JP$9,0,各项系数!$F$76/4*($NE191^2-$NC191^2)*10^-2*各项系数!$F$36*10^-3*10^2)*各项系数!$J$4</f>
        <v>0</v>
      </c>
      <c r="JQ191" s="123">
        <v>1</v>
      </c>
      <c r="JR191" s="251">
        <f t="shared" ref="JR191:JR196" si="867">JQ191*JP191</f>
        <v>0</v>
      </c>
      <c r="JS191" s="339">
        <f>JR191*各项系数!$E$36</f>
        <v>0</v>
      </c>
      <c r="JT191" s="364">
        <f>IF($DF191&lt;&gt;$JT$9,0,各项系数!$F$76/4*($NE191^2-$NC191^2)*10^-2*各项系数!$F$40*10^-3*10^2)*各项系数!$J$4</f>
        <v>0</v>
      </c>
      <c r="JU191" s="123">
        <v>1</v>
      </c>
      <c r="JV191" s="251">
        <f t="shared" ref="JV191:JV196" si="868">JU191*JT191</f>
        <v>0</v>
      </c>
      <c r="JW191" s="339">
        <f>JV191*各项系数!$E$40</f>
        <v>0</v>
      </c>
      <c r="JX191" s="364">
        <f>IF($DF191&lt;&gt;$JX$9,0,各项系数!$F$76/4*($NE191^2-$NC191^2)*10^-2*各项系数!$F$38*10^-3*10^2)*各项系数!$J$4</f>
        <v>0</v>
      </c>
      <c r="JY191" s="123">
        <v>1</v>
      </c>
      <c r="JZ191" s="251">
        <f t="shared" ref="JZ191:JZ196" si="869">JY191*JX191</f>
        <v>0</v>
      </c>
      <c r="KA191" s="339">
        <f>JZ191*各项系数!$E$38</f>
        <v>0</v>
      </c>
      <c r="KB191" s="364">
        <f>IF($DF191&lt;&gt;$KB$9,0,各项系数!$F$76/4*($NE191^2-$NC191^2)*10^-2*各项系数!$F$41*10^-3*10^2)*各项系数!$J$4</f>
        <v>0</v>
      </c>
      <c r="KC191" s="123">
        <v>1</v>
      </c>
      <c r="KD191" s="251">
        <f t="shared" ref="KD191:KD196" si="870">KC191*KB191</f>
        <v>0</v>
      </c>
      <c r="KE191" s="339">
        <f>KD191*各项系数!$E$41</f>
        <v>0</v>
      </c>
      <c r="KF191" s="251">
        <f t="shared" ref="KF191:KF196" si="871">KD191+JZ191+JV191+JR191+JN191</f>
        <v>0.00186165791187347</v>
      </c>
      <c r="KG191" s="251">
        <f t="shared" ref="KG191:KG196" si="872">KE191+KA191+JW191+JS191+JO191</f>
        <v>0.0372331582374695</v>
      </c>
      <c r="KH191" s="302">
        <f>各项系数!$F$76/4*($NG191^2-$NE191^2)*10^-2*各项系数!$F$44*10^-3*10^2*各项系数!$J$4*0.75*$U191</f>
        <v>0.759588209631227</v>
      </c>
      <c r="KI191" s="123">
        <v>1</v>
      </c>
      <c r="KJ191" s="251">
        <f t="shared" ref="KJ191:KJ196" si="873">KI191*KH191</f>
        <v>0.759588209631227</v>
      </c>
      <c r="KK191" s="251">
        <f>ROUND(KJ191*各项系数!$E$43,GT191)</f>
        <v>4.4</v>
      </c>
      <c r="KL191" s="302">
        <f>各项系数!$F$76/4*($NF191^2-$NE191^2)*10^-2*各项系数!$F$46*10^-3*10^2*各项系数!$J$4*PI()/4*R191</f>
        <v>0.0233877198022779</v>
      </c>
      <c r="KM191" s="123">
        <v>1</v>
      </c>
      <c r="KN191" s="251">
        <f t="shared" ref="KN191:KN196" si="874">$KL191*$KM191</f>
        <v>0.0233877198022779</v>
      </c>
      <c r="KO191" s="251">
        <f>KN191*各项系数!$E$46</f>
        <v>1.57867108665376</v>
      </c>
      <c r="KP191" s="302">
        <f>各项系数!$F$76/4*($NH191^2-$NE191^2)*10^-2*(VLOOKUP($KP$9,各项系数!$D$1:$F$143,3,0))*10^-3*10^2*各项系数!$J$4</f>
        <v>0.150634631970968</v>
      </c>
      <c r="KQ191" s="123">
        <v>1</v>
      </c>
      <c r="KR191" s="251">
        <f t="shared" si="657"/>
        <v>0.150634631970968</v>
      </c>
      <c r="KS191" s="251">
        <f>KR191*(VLOOKUP($KP$9,各项系数!$D$1:$F$143,2,0))</f>
        <v>2.56078874350645</v>
      </c>
      <c r="KT191" s="302">
        <f>各项系数!$F$76/4*($NI191^2-$NF191^2)*10^-2*(VLOOKUP($KT$9,各项系数!$D$1:$F$143,3,0))*10^-3*10^2*各项系数!$J$4</f>
        <v>0.151940001417646</v>
      </c>
      <c r="KU191" s="123">
        <v>1</v>
      </c>
      <c r="KV191" s="251">
        <f t="shared" si="658"/>
        <v>0.151940001417646</v>
      </c>
      <c r="KW191" s="251">
        <f>KV191*(VLOOKUP($KT$9,各项系数!$D$1:$F$143,2,0))</f>
        <v>2.58298002409999</v>
      </c>
      <c r="KX191" s="251">
        <f>各项系数!$F$76/4*($NH191^2-$NE191^2)*10^-2*(VLOOKUP($KX$9,各项系数!$D$1:$F$143,3,0))*10^-3*10^2*各项系数!$J$4</f>
        <v>0.150634631970968</v>
      </c>
      <c r="KY191" s="479">
        <v>1</v>
      </c>
      <c r="KZ191" s="251">
        <f t="shared" si="659"/>
        <v>0.150634631970968</v>
      </c>
      <c r="LA191" s="251">
        <f>KZ191*(VLOOKUP($KX$9,各项系数!$D$1:$F$143,2,0))</f>
        <v>2.56078874350645</v>
      </c>
      <c r="LB191" s="251">
        <f>各项系数!$F$76/4*($NI191^2-$NF191^2)*10^-2*(VLOOKUP($LB$9,各项系数!$D$1:$F$143,3,0))*10^-3*10^2*各项系数!$J$4</f>
        <v>0.151940001417646</v>
      </c>
      <c r="LC191" s="479">
        <v>1</v>
      </c>
      <c r="LD191" s="251">
        <f t="shared" si="660"/>
        <v>0.151940001417646</v>
      </c>
      <c r="LE191" s="251">
        <f>LD191*(VLOOKUP($LB$9,各项系数!$D$1:$F$143,2,0))</f>
        <v>2.58298002409999</v>
      </c>
      <c r="LF191" s="302">
        <f>各项系数!$F$76/4*($NH191^2-$NE191^2)*10^-2*(VLOOKUP(AN191,各项系数!$D$1:$F$143,3,0))*10^-3*10^2*各项系数!$J$4</f>
        <v>0.152712351032636</v>
      </c>
      <c r="LG191" s="123">
        <v>1</v>
      </c>
      <c r="LH191" s="251">
        <f t="shared" ref="LH191:LH196" si="875">LG191*LF191</f>
        <v>0.152712351032636</v>
      </c>
      <c r="LI191" s="251">
        <f>LH191*(VLOOKUP(AN191,各项系数!$D$1:$F$143,2,0))</f>
        <v>1.52712351032636</v>
      </c>
      <c r="LJ191" s="302">
        <f>各项系数!$F$76/4*($NI191^2-$NF191^2)*10^-2*(VLOOKUP(AN191,各项系数!$D$1:$F$143,3,0))*10^-3*10^2*各项系数!$J$4</f>
        <v>0.154035725575131</v>
      </c>
      <c r="LK191" s="123">
        <v>1</v>
      </c>
      <c r="LL191" s="251">
        <f t="shared" ref="LL191:LL196" si="876">LK191*LJ191</f>
        <v>0.154035725575131</v>
      </c>
      <c r="LM191" s="251">
        <f>LL191*(VLOOKUP(AN191,各项系数!$D$1:$F$143,2,0))</f>
        <v>1.54035725575131</v>
      </c>
      <c r="LN191" s="251">
        <f>各项系数!$F$76/4*($NH191^2-$NE191^2)*10^-2*(VLOOKUP($LN$9,各项系数!$D$1:$F$143,3,0))*10^-3*10^2*各项系数!$J$4</f>
        <v>0.152712351032636</v>
      </c>
      <c r="LO191" s="479">
        <v>1</v>
      </c>
      <c r="LP191" s="251">
        <f t="shared" ref="LP191:LP196" si="877">LO191*LN191</f>
        <v>0.152712351032636</v>
      </c>
      <c r="LQ191" s="251">
        <f>LP191*(VLOOKUP($LN$9,各项系数!$D$1:$F$143,2,0))</f>
        <v>1.679835861359</v>
      </c>
      <c r="LR191" s="251">
        <f>各项系数!$F$76/4*($NI191^2-$NF191^2)*10^-2*(VLOOKUP($LR$9,各项系数!$D$1:$F$143,3,0))*10^-3*10^2*各项系数!$J$4</f>
        <v>0.154035725575131</v>
      </c>
      <c r="LS191" s="479">
        <v>1</v>
      </c>
      <c r="LT191" s="251">
        <f t="shared" ref="LT191:LT196" si="878">LS191*LR191</f>
        <v>0.154035725575131</v>
      </c>
      <c r="LU191" s="251">
        <f>LT191*(VLOOKUP($LR$9,各项系数!$D$1:$F$143,2,0))</f>
        <v>1.69439298132644</v>
      </c>
      <c r="LV191" s="499">
        <f t="shared" si="661"/>
        <v>32.68548373</v>
      </c>
      <c r="LW191" s="499">
        <f t="shared" si="662"/>
        <v>32.68548373</v>
      </c>
      <c r="LX191" s="499">
        <f t="shared" si="663"/>
        <v>6.45108133756146</v>
      </c>
      <c r="LY191" s="515">
        <f t="shared" si="664"/>
        <v>0</v>
      </c>
      <c r="LZ191" s="516">
        <f t="shared" si="608"/>
        <v>1</v>
      </c>
      <c r="MA191" s="517">
        <f t="shared" si="609"/>
        <v>32.68548373</v>
      </c>
      <c r="MB191" s="517">
        <f t="shared" si="665"/>
        <v>1.72412401</v>
      </c>
      <c r="MC191" s="499">
        <f t="shared" si="666"/>
        <v>0</v>
      </c>
      <c r="MD191" s="499">
        <f t="shared" si="667"/>
        <v>0</v>
      </c>
      <c r="ME191" s="499">
        <f t="shared" si="668"/>
        <v>0</v>
      </c>
      <c r="MF191" s="499">
        <f t="shared" si="669"/>
        <v>0</v>
      </c>
      <c r="MG191" s="516">
        <f t="shared" si="670"/>
        <v>1</v>
      </c>
      <c r="MH191" s="517">
        <f t="shared" si="610"/>
        <v>0</v>
      </c>
      <c r="MI191" s="517">
        <f t="shared" si="671"/>
        <v>0</v>
      </c>
      <c r="MJ191" s="251">
        <f t="shared" si="611"/>
        <v>1.72412401</v>
      </c>
      <c r="MK191" s="251">
        <f t="shared" si="672"/>
        <v>1.72412401</v>
      </c>
      <c r="ML191" s="251">
        <f t="shared" ref="ML191:ML196" si="879">$ER191*$EQ191*10^-2</f>
        <v>0</v>
      </c>
      <c r="MM191" s="251">
        <f t="shared" si="612"/>
        <v>0</v>
      </c>
      <c r="MN191" s="251">
        <f t="shared" si="613"/>
        <v>3.12412401</v>
      </c>
      <c r="MO191" s="251">
        <f t="shared" si="673"/>
        <v>0</v>
      </c>
      <c r="MP191" s="251">
        <f t="shared" si="674"/>
        <v>13.77738688</v>
      </c>
      <c r="MQ191" s="251">
        <f t="shared" ref="MQ191:MQ196" si="880">MP191</f>
        <v>13.77738688</v>
      </c>
      <c r="MR191" s="314">
        <f t="shared" si="675"/>
        <v>13.77738688</v>
      </c>
      <c r="MS191" s="530">
        <f t="shared" si="614"/>
        <v>13.95338688</v>
      </c>
      <c r="MT191" s="530">
        <f t="shared" si="615"/>
        <v>14.11338688</v>
      </c>
      <c r="MU191" s="530">
        <f t="shared" si="616"/>
        <v>15.15338688</v>
      </c>
      <c r="MV191" s="530">
        <f t="shared" si="617"/>
        <v>17.55338688</v>
      </c>
      <c r="MW191" s="530">
        <f t="shared" si="618"/>
        <v>17.71338688</v>
      </c>
      <c r="MX191" s="326">
        <f t="shared" si="619"/>
        <v>2.32412401</v>
      </c>
      <c r="MY191" s="326">
        <f t="shared" si="620"/>
        <v>0</v>
      </c>
      <c r="MZ191" s="251">
        <f t="shared" si="621"/>
        <v>3.72412401</v>
      </c>
      <c r="NA191" s="251">
        <f t="shared" si="622"/>
        <v>0</v>
      </c>
      <c r="NB191" s="251">
        <f t="shared" si="676"/>
        <v>16.42338688</v>
      </c>
      <c r="NC191" s="326">
        <f t="shared" ref="NC191:NC196" si="881">NB191</f>
        <v>16.42338688</v>
      </c>
      <c r="ND191" s="314">
        <f t="shared" si="677"/>
        <v>16.42338688</v>
      </c>
      <c r="NE191" s="537">
        <f t="shared" si="678"/>
        <v>16.66338688</v>
      </c>
      <c r="NF191" s="530">
        <f t="shared" si="623"/>
        <v>16.82338688</v>
      </c>
      <c r="NG191" s="538">
        <f t="shared" si="624"/>
        <v>17.86338688</v>
      </c>
      <c r="NH191" s="326">
        <f t="shared" si="625"/>
        <v>20.26338688</v>
      </c>
      <c r="NI191" s="530">
        <f t="shared" si="626"/>
        <v>20.42338688</v>
      </c>
      <c r="NK191" s="539">
        <f t="shared" si="627"/>
        <v>0.554745489072749</v>
      </c>
      <c r="NL191" s="539">
        <f t="shared" si="628"/>
        <v>21.3780986875372</v>
      </c>
      <c r="NM191" s="539">
        <f t="shared" si="629"/>
        <v>0.554745489072749</v>
      </c>
      <c r="NN191" s="539">
        <f t="shared" si="630"/>
        <v>21.5083963822563</v>
      </c>
      <c r="NO191" s="539">
        <f t="shared" si="631"/>
        <v>0.880701083244463</v>
      </c>
      <c r="NP191" s="539">
        <f t="shared" si="632"/>
        <v>23.0245030772836</v>
      </c>
      <c r="NQ191" s="539">
        <f t="shared" si="633"/>
        <v>0.880701083244463</v>
      </c>
      <c r="NR191" s="539">
        <f t="shared" si="634"/>
        <v>23.1772154283162</v>
      </c>
      <c r="NS191" s="539">
        <f t="shared" si="635"/>
        <v>0.574347790720479</v>
      </c>
      <c r="NT191" s="539">
        <f t="shared" si="636"/>
        <v>0.574347790720479</v>
      </c>
      <c r="NU191" s="539">
        <f t="shared" si="637"/>
        <v>0.904088803046741</v>
      </c>
      <c r="NV191" s="539">
        <f t="shared" si="638"/>
        <v>0.904088803046741</v>
      </c>
      <c r="NW191">
        <f t="shared" si="639"/>
        <v>0.768194934829281</v>
      </c>
      <c r="NX191">
        <f>各项系数!$M$9*NK191</f>
        <v>0.166423646721825</v>
      </c>
      <c r="NY191">
        <f t="shared" si="640"/>
        <v>0.574347790720479</v>
      </c>
    </row>
    <row r="192" customHeight="1" spans="1:389">
      <c r="A192" s="85"/>
      <c r="B192" s="86"/>
      <c r="C192" s="218"/>
      <c r="D192" s="123" t="s">
        <v>245</v>
      </c>
      <c r="E192" s="77">
        <f t="shared" si="829"/>
        <v>18.45938285</v>
      </c>
      <c r="F192" s="559">
        <f t="shared" si="820"/>
        <v>172.412400708262</v>
      </c>
      <c r="G192" s="23"/>
      <c r="H192" s="23"/>
      <c r="I192" s="174">
        <v>0</v>
      </c>
      <c r="J192" s="23"/>
      <c r="K192" s="23"/>
      <c r="L192" s="118" t="s">
        <v>469</v>
      </c>
      <c r="M192" s="124">
        <f t="shared" si="582"/>
        <v>0.7</v>
      </c>
      <c r="N192" s="124">
        <f t="shared" si="804"/>
        <v>0</v>
      </c>
      <c r="O192" s="69">
        <f t="shared" si="825"/>
        <v>0.08</v>
      </c>
      <c r="P192" s="120">
        <v>0.1</v>
      </c>
      <c r="Q192" s="162">
        <f t="shared" si="823"/>
        <v>0.1</v>
      </c>
      <c r="R192" s="560">
        <v>0.8</v>
      </c>
      <c r="S192" s="171" t="str">
        <f>各项系数!$D$43</f>
        <v>钢带</v>
      </c>
      <c r="T192" s="123">
        <v>0.2</v>
      </c>
      <c r="U192" s="78">
        <v>4</v>
      </c>
      <c r="V192" s="172"/>
      <c r="W192" s="170">
        <f t="shared" si="828"/>
        <v>1.8</v>
      </c>
      <c r="X192" s="164">
        <f t="shared" si="824"/>
        <v>0.2</v>
      </c>
      <c r="Y192" s="219"/>
      <c r="Z192" s="220"/>
      <c r="AA192" s="217">
        <v>1</v>
      </c>
      <c r="AB192" s="186">
        <f>PI()*EJ192*EJ192/4*EH192*(1-H192)*AA192*各项系数!$F$5*各项系数!$J$4*10^-7</f>
        <v>0.0206515056889029</v>
      </c>
      <c r="AC192" s="186">
        <f t="shared" si="830"/>
        <v>172.412400708262</v>
      </c>
      <c r="AD192" s="186">
        <f t="shared" si="584"/>
        <v>2.3346774015073</v>
      </c>
      <c r="AE192" s="186">
        <f>POWER(4*EU192/PI()/EG192/10^-7/EH192/(1-H192)/各项系数!$F$5/各项系数!$J$4,0.5)</f>
        <v>172.412400708262</v>
      </c>
      <c r="AF192" s="218">
        <v>1</v>
      </c>
      <c r="AG192" s="85">
        <f>IF(EM192=0,0,PI()*ER192*ER192/4*EP192*(1-K192)*(1+AF192)*各项系数!$F$5*各项系数!$J$4*10^-7)</f>
        <v>0</v>
      </c>
      <c r="AH192" s="85">
        <f t="shared" si="831"/>
        <v>0</v>
      </c>
      <c r="AI192" s="85">
        <f t="shared" si="641"/>
        <v>0</v>
      </c>
      <c r="AJ192" s="85">
        <f>IF(OR(EP192="",EP192=0),0,POWER(4*EW192/PI()/EO192/10^-7/EP192/(1-K192)/各项系数!$F$5/各项系数!$J$4,0.5))</f>
        <v>0</v>
      </c>
      <c r="AK192" s="85" t="str">
        <f t="shared" si="585"/>
        <v>√</v>
      </c>
      <c r="AL192" s="85">
        <f t="shared" si="832"/>
        <v>25.1661893162606</v>
      </c>
      <c r="AM192" s="250">
        <f t="shared" si="833"/>
        <v>2.5</v>
      </c>
      <c r="AN192" s="118" t="s">
        <v>486</v>
      </c>
      <c r="AO192" s="259">
        <f>AP192+各项系数!$M$9*$NK192</f>
        <v>24.6727346237849</v>
      </c>
      <c r="AP192" s="259">
        <f>AQ192*(1+$BI192+(VLOOKUP($AM192,$A$12:$B$323,2,0))+各项系数!$J$6+各项系数!$M$5)*(1+$E$2)</f>
        <v>24.4863346215093</v>
      </c>
      <c r="AQ192" s="260">
        <f>AR192+各项系数!$L$9*$NK192</f>
        <v>24.986055736234</v>
      </c>
      <c r="AR192" s="260">
        <f>AS192*(1+$BJ192+各项系数!$J$5+各项系数!$L$5)</f>
        <v>24.7996557339583</v>
      </c>
      <c r="AS192" s="260">
        <f t="shared" si="642"/>
        <v>24.3133879744689</v>
      </c>
      <c r="AT192" s="259">
        <f>AU192+各项系数!$M$9*$NM192</f>
        <v>25.6050303548019</v>
      </c>
      <c r="AU192" s="259">
        <f>AV192*(1+$BI192+(VLOOKUP($AM192,$A$12:$B$323,2,0))+各项系数!$J$6+各项系数!$M$5)*(1+$E$2)</f>
        <v>25.4186303525262</v>
      </c>
      <c r="AV192" s="260">
        <f>AW192+各项系数!$L$9*$NM192</f>
        <v>25.9373779107411</v>
      </c>
      <c r="AW192" s="260">
        <f>AX192*(1+$BJ192+各项系数!$J$5+各项系数!$L$5)</f>
        <v>25.7509779084654</v>
      </c>
      <c r="AX192" s="260">
        <f t="shared" si="643"/>
        <v>25.2460567730053</v>
      </c>
      <c r="AY192" s="259">
        <f>AZ192+各项系数!$M$9*$NS192</f>
        <v>26.1063734533109</v>
      </c>
      <c r="AZ192" s="259">
        <f>BA192*(1+$BI192+(VLOOKUP($AM192,$A$12:$B$214,2,0))+各项系数!$J$6+各项系数!$M$5)*(1+$E$2)</f>
        <v>25.9137131029477</v>
      </c>
      <c r="BA192" s="260">
        <f>BB192+各项系数!$L$9*$NS192</f>
        <v>26.442564390763</v>
      </c>
      <c r="BB192" s="260">
        <f>BC192*(1+$BJ192+各项系数!$J$5+各项系数!$L$5)</f>
        <v>26.2499040403997</v>
      </c>
      <c r="BC192" s="262">
        <f t="shared" si="644"/>
        <v>25.7352000396075</v>
      </c>
      <c r="BD192" s="259">
        <f>BE192+各项系数!$M$9*$NS192</f>
        <v>27.0476231364824</v>
      </c>
      <c r="BE192" s="259">
        <f>BF192*(1+$BI192+(VLOOKUP($AM192,$A$12:$B$214,2,0))+各项系数!$J$6+各项系数!$M$5)*(1+$E$2)</f>
        <v>26.8549627861192</v>
      </c>
      <c r="BF192" s="260">
        <f>BG192+各项系数!$L$9*$NS192</f>
        <v>27.403023251142</v>
      </c>
      <c r="BG192" s="260">
        <f>BH192*(1+$BJ192+各项系数!$J$5+各项系数!$L$5)</f>
        <v>27.2103629007787</v>
      </c>
      <c r="BH192" s="262">
        <f t="shared" si="645"/>
        <v>26.6768263733125</v>
      </c>
      <c r="BI192" s="277"/>
      <c r="BJ192" s="272">
        <f t="shared" si="822"/>
        <v>0</v>
      </c>
      <c r="BK192" s="123" t="s">
        <v>514</v>
      </c>
      <c r="BL192" s="259">
        <f>BM192+各项系数!$M$9*$NM192</f>
        <v>25.0500923336037</v>
      </c>
      <c r="BM192" s="259">
        <f>BN192*(1+$CF192+(VLOOKUP($AM192,$A$12:$B$323,2,0))+各项系数!$J$6+各项系数!$M$5)*(1+$E$2)</f>
        <v>24.8636923313281</v>
      </c>
      <c r="BN192" s="260">
        <f>BO192+各项系数!$L$9*$NM192</f>
        <v>25.3711146238042</v>
      </c>
      <c r="BO192" s="260">
        <f>BP192*(1+$CG192+各项系数!$J$5+各项系数!$L$5)</f>
        <v>25.1847146215285</v>
      </c>
      <c r="BP192" s="260">
        <f t="shared" si="646"/>
        <v>24.4511792442025</v>
      </c>
      <c r="BQ192" s="259">
        <f>BR192+各项系数!$M$9*$NM192</f>
        <v>25.8524417111773</v>
      </c>
      <c r="BR192" s="259">
        <f>BS192*(1+$CF192+(VLOOKUP($AM192,$A$12:$B$323,2,0))+各项系数!$J$6+各项系数!$M$5)*(1+$E$2)</f>
        <v>25.6660417089017</v>
      </c>
      <c r="BS192" s="260">
        <f>BT192+各项系数!$L$9*$NM192</f>
        <v>26.1898384784711</v>
      </c>
      <c r="BT192" s="260">
        <f>BU192*(1+$CG192+各项系数!$J$5+各项系数!$L$5)</f>
        <v>26.0034384761955</v>
      </c>
      <c r="BU192" s="260">
        <f t="shared" si="647"/>
        <v>25.2460567730053</v>
      </c>
      <c r="BV192" s="259">
        <f>BW192+各项系数!$M$9*$NT192</f>
        <v>26.3182917273672</v>
      </c>
      <c r="BW192" s="259">
        <f>BX192*(1+$CF192+(VLOOKUP($AM192,$A$12:$B$214,2,0))+各项系数!$J$6+各项系数!$M$5)*(1+$E$2)</f>
        <v>26.1256313770039</v>
      </c>
      <c r="BX192" s="260">
        <f>BY192+各项系数!$L$9*$NT$12</f>
        <v>26.658807527555</v>
      </c>
      <c r="BY192" s="260">
        <f>BZ192*(1+$CG192+各项系数!$J$5+各项系数!$L$5)</f>
        <v>26.6505441244001</v>
      </c>
      <c r="BZ192" s="262">
        <f t="shared" si="586"/>
        <v>25.8743146838836</v>
      </c>
      <c r="CA192" s="259">
        <f>CB192+各项系数!$M$9*$NT192</f>
        <v>27.1283470266768</v>
      </c>
      <c r="CB192" s="259">
        <f>CC192*(1+$CF192+(VLOOKUP($AM192,$A$12:$B$214,2,0))+各项系数!$J$6+各项系数!$M$5)*(1+$E$2)</f>
        <v>26.9356866763135</v>
      </c>
      <c r="CC192" s="260">
        <f>CD192+各项系数!$L$9*$NT$12</f>
        <v>27.4853945676668</v>
      </c>
      <c r="CD192" s="260">
        <f>CE192*(1+$CG192+各项系数!$J$5+各项系数!$L$5)</f>
        <v>27.4771311645119</v>
      </c>
      <c r="CE192" s="262">
        <f t="shared" si="648"/>
        <v>26.6768263733125</v>
      </c>
      <c r="CF192" s="277">
        <f t="shared" si="753"/>
        <v>0</v>
      </c>
      <c r="CG192" s="277">
        <f t="shared" si="587"/>
        <v>0.01</v>
      </c>
      <c r="CH192" s="123"/>
      <c r="CI192" s="259">
        <f>CJ192+各项系数!$M$9*$NO192</f>
        <v>26.9347981644918</v>
      </c>
      <c r="CJ192" s="259">
        <f>CK192*(1+$DC192+(VLOOKUP($AM192,$A$12:$B$323,2,0))+各项系数!$J$6+各项系数!$M$5)*(1+$E$2)+各项系数!$M$9*$NK192</f>
        <v>26.6389693403266</v>
      </c>
      <c r="CK192" s="260">
        <f>CL192+各项系数!$L$9*$NO192</f>
        <v>26.9924176918888</v>
      </c>
      <c r="CL192" s="260">
        <f>CM192*(1+$DD192+各项系数!$J$5+各项系数!$L$5)</f>
        <v>26.6965888677235</v>
      </c>
      <c r="CM192" s="260">
        <f t="shared" si="588"/>
        <v>26.1731263409054</v>
      </c>
      <c r="CN192" s="259">
        <f>CO192+各项系数!$M$9*$NO192</f>
        <v>27.6286510495286</v>
      </c>
      <c r="CO192" s="259">
        <f>CP192*(1+$DC192+(VLOOKUP($AM192,$A$12:$B$323,2,0))+各项系数!$J$6+各项系数!$M$5)*(1+$E$2)+各项系数!$M$9*$NK192</f>
        <v>27.3328222253634</v>
      </c>
      <c r="CP192" s="260">
        <f>CQ192+各项系数!$L$9*$NO192</f>
        <v>27.7004308398855</v>
      </c>
      <c r="CQ192" s="260">
        <f>CR192*(1+$DD192+各项系数!$J$5+各项系数!$L$5)</f>
        <v>27.4046020157203</v>
      </c>
      <c r="CR192" s="260">
        <f t="shared" si="589"/>
        <v>26.8672568781571</v>
      </c>
      <c r="CS192" s="259">
        <f>CT192+各项系数!$M$9*$NU192</f>
        <v>28.4562426647695</v>
      </c>
      <c r="CT192" s="259">
        <f t="shared" si="590"/>
        <v>28.1529449523737</v>
      </c>
      <c r="CU192" s="260">
        <f>CV192+各项系数!$L$9*$NU192</f>
        <v>28.727494849361</v>
      </c>
      <c r="CV192" s="260">
        <f>CW192*(1+$DD192+各项系数!$J$5+各项系数!$L$5)</f>
        <v>28.4241971369652</v>
      </c>
      <c r="CW192" s="262">
        <f t="shared" si="591"/>
        <v>27.8668599382012</v>
      </c>
      <c r="CX192" s="259">
        <f>CY192+各项系数!$M$9*$NU192</f>
        <v>29.5588873355262</v>
      </c>
      <c r="CY192" s="259">
        <f t="shared" si="592"/>
        <v>29.2555896231304</v>
      </c>
      <c r="CZ192" s="260">
        <f>DA192+各项系数!$L$9*$NU192</f>
        <v>29.852642472582</v>
      </c>
      <c r="DA192" s="260">
        <f>DB192*(1+$DD192+各项系数!$J$5+各项系数!$L$5)</f>
        <v>29.5493447601863</v>
      </c>
      <c r="DB192" s="262">
        <f t="shared" si="593"/>
        <v>28.9699458433199</v>
      </c>
      <c r="DC192" s="277">
        <f t="shared" si="827"/>
        <v>0</v>
      </c>
      <c r="DD192" s="277">
        <f t="shared" si="594"/>
        <v>0</v>
      </c>
      <c r="DE192" s="69" t="s">
        <v>498</v>
      </c>
      <c r="DF192" s="69" t="s">
        <v>513</v>
      </c>
      <c r="DG192" s="259">
        <f>DH192+各项系数!$M$9*$NQ192</f>
        <v>27.3544593623958</v>
      </c>
      <c r="DH192" s="259">
        <f>DI192*(1+$EA192+(VLOOKUP($AM192,$A$12:$B$323,2,0))+各项系数!$J$6+各项系数!$M$5)*(1+$E$2)+各项系数!$M$9*$NK192</f>
        <v>27.0586305382306</v>
      </c>
      <c r="DI192" s="260">
        <f>DJ192+各项系数!$L$9*$NQ192</f>
        <v>27.4206434040356</v>
      </c>
      <c r="DJ192" s="260">
        <f>DK192*(1+$EB192+各项系数!$J$5+各项系数!$L$5)</f>
        <v>27.1248145798704</v>
      </c>
      <c r="DK192" s="260">
        <f t="shared" si="595"/>
        <v>26.3347714367674</v>
      </c>
      <c r="DL192" s="259">
        <f>DM192+各项系数!$M$9*$NQ192</f>
        <v>28.2957079792604</v>
      </c>
      <c r="DM192" s="259">
        <f>DN192*(1+$EA192+(VLOOKUP($AM192,$A$12:$B$323,2,0))+各项系数!$J$6+各项系数!$M$5)*(1+$E$2)+各项系数!$M$9*$NK192</f>
        <v>27.9998791550952</v>
      </c>
      <c r="DN192" s="260">
        <f>DO192+各项系数!$L$9*$NQ192</f>
        <v>28.3811011763464</v>
      </c>
      <c r="DO192" s="260">
        <f>DP192*(1+$EB192+各项系数!$J$5+各项系数!$L$5)</f>
        <v>28.0852723521812</v>
      </c>
      <c r="DP192" s="260">
        <f t="shared" si="596"/>
        <v>27.2672547108555</v>
      </c>
      <c r="DQ192" s="259">
        <f>DR192+各项系数!$M$9*$NV192</f>
        <v>28.8938382661901</v>
      </c>
      <c r="DR192" s="259">
        <f t="shared" si="597"/>
        <v>28.5905405537944</v>
      </c>
      <c r="DS192" s="260">
        <f>DT192+各项系数!$L$9*$NV192</f>
        <v>29.1740209732596</v>
      </c>
      <c r="DT192" s="260">
        <f>DU192*(1+$EB192+各项系数!$J$5+各项系数!$L$5)</f>
        <v>28.8707232608638</v>
      </c>
      <c r="DU192" s="262">
        <f t="shared" si="598"/>
        <v>28.0298284086056</v>
      </c>
      <c r="DV192" s="259">
        <f>DW192+各项系数!$M$9*$NV192</f>
        <v>28.4908933332099</v>
      </c>
      <c r="DW192" s="259">
        <f t="shared" si="599"/>
        <v>28.1875956208141</v>
      </c>
      <c r="DX192" s="260">
        <f>DY192+各项系数!$L$9*$NV192</f>
        <v>28.7628526743001</v>
      </c>
      <c r="DY192" s="260">
        <f>DZ192*(1+$EB192+各项系数!$J$5+各项系数!$L$5)</f>
        <v>28.4595549619043</v>
      </c>
      <c r="DZ192" s="262">
        <f t="shared" si="600"/>
        <v>27.630635885344</v>
      </c>
      <c r="EA192" s="277">
        <f t="shared" si="826"/>
        <v>0</v>
      </c>
      <c r="EB192" s="277">
        <f t="shared" si="601"/>
        <v>0.01</v>
      </c>
      <c r="EC192" s="302">
        <f t="shared" si="649"/>
        <v>16</v>
      </c>
      <c r="ED192" s="302" t="str">
        <f t="shared" si="834"/>
        <v>16*2.5</v>
      </c>
      <c r="EE192" s="251">
        <f t="shared" si="835"/>
        <v>2.5</v>
      </c>
      <c r="EF192" s="251">
        <f>LOOKUP(EH192,{1,7,10,14,19,24,30,37,48,61},{1,"1+6","2+8","4+10","1+6+12","2+8+14","4+10+16","1+6+12+18","3+9+15+21","1+6+12+18+24"})</f>
        <v>1</v>
      </c>
      <c r="EG192" s="250">
        <f t="shared" si="602"/>
        <v>16</v>
      </c>
      <c r="EH192" s="260">
        <f>VLOOKUP(EE192,各项系数!$B$87:$C$124,2,0)</f>
        <v>1</v>
      </c>
      <c r="EI192" s="250">
        <f>IF(EH192=0,0,VLOOKUP(EH192,各项系数!$D$142:$E$195,2,0))*1</f>
        <v>1</v>
      </c>
      <c r="EJ192" s="305">
        <f t="shared" si="650"/>
        <v>172.412400708262</v>
      </c>
      <c r="EK192" s="251">
        <f t="shared" si="836"/>
        <v>0</v>
      </c>
      <c r="EL192" s="251">
        <f t="shared" si="603"/>
        <v>0</v>
      </c>
      <c r="EM192" s="251">
        <f t="shared" si="837"/>
        <v>0</v>
      </c>
      <c r="EN192" s="251">
        <f>IF(EP192=0,0,LOOKUP(EP192,{1,7,10,14,19,24,30,37,48,61},{1,"1+6","2+8","4+10","1+6+12","2+8+14","4+10+16","1+6+12+18","3+9+15+21","1+6+12+18+24"}))</f>
        <v>0</v>
      </c>
      <c r="EO192" s="251">
        <f t="shared" si="838"/>
        <v>0</v>
      </c>
      <c r="EP192" s="251">
        <f>IF(EM192=0,0,IF(EM192&lt;10,1,IF(AND(EM192&gt;=10,EM192&lt;=35),7,LOOKUP(EM192,{50,70,95,120,150,185,240,300},{10,14,19,24,30,37,48,61})*1)))</f>
        <v>0</v>
      </c>
      <c r="EQ192" s="251">
        <f>IF(EP192=0,0,VLOOKUP(EP192,各项系数!$D$142:$E$195,2,0))*1</f>
        <v>0</v>
      </c>
      <c r="ER192" s="69">
        <f t="shared" si="839"/>
        <v>0</v>
      </c>
      <c r="ES192" s="566">
        <f t="shared" si="840"/>
        <v>16</v>
      </c>
      <c r="ET192" s="251">
        <f>VLOOKUP(ES192,各项系数!$D$142:$E$195,2,0)*1</f>
        <v>4.7</v>
      </c>
      <c r="EU192" s="311">
        <f>((各项系数!$F$76/4*$EJ192^2*$EG192*$EH192*1*10^-7)*(1-$H192)*AA192)*(VLOOKUP($EY$9,各项系数!$D$4:$F$143,3,0))*各项系数!$J$4</f>
        <v>0.330424091022446</v>
      </c>
      <c r="EV192" s="312">
        <f>EU192*(VLOOKUP($EY$9,各项系数!$D$4:$F$143,2,0))</f>
        <v>21.6427779619702</v>
      </c>
      <c r="EW192" s="324">
        <f>(IF($EO192=0,0,(各项系数!$F$76/4*$ER192^2*$EO192*$EP192*1*10^-7))*(1-$K192)*$AF192)*(VLOOKUP($EY$9,各项系数!$D$4:$F$143,3,0))*各项系数!$J$4</f>
        <v>0</v>
      </c>
      <c r="EX192" s="325">
        <f>EW192*(VLOOKUP($EY$9,各项系数!$D$4:$F$143,2,0))</f>
        <v>0</v>
      </c>
      <c r="EY192" s="251">
        <f>((各项系数!$F$76/4*$EJ192^2*$EG192*$EH192*1*10^-7)*(1-$H192)*AA192+IF($EO192=0,0,(各项系数!$F$76/4*$ER192^2*$EO192*$EP192*1*10^-7))*(1-$K192)*$AF192)*(VLOOKUP($EY$9,各项系数!$D$4:$F$143,3,0))*各项系数!$J$4</f>
        <v>0.330424091022446</v>
      </c>
      <c r="EZ192" s="123">
        <v>1</v>
      </c>
      <c r="FA192" s="251">
        <f t="shared" si="841"/>
        <v>0.330424091022446</v>
      </c>
      <c r="FB192" s="326">
        <f>FA192*(VLOOKUP($EY$9,各项系数!$D$4:$F$143,2,0))</f>
        <v>21.6427779619702</v>
      </c>
      <c r="FC192" s="327"/>
      <c r="FD192" s="302">
        <f>各项系数!$F$76/4*($MN192^2-MK192^2)*10^-2*(VLOOKUP(L192,各项系数!$D$1:$F$143,3,0))*10^-3*10^2*$EG192*各项系数!$J$4</f>
        <v>0.0933551958453033</v>
      </c>
      <c r="FE192" s="339">
        <f>FD192*VLOOKUP(L192,各项系数!$D$1:$F$143,2,0)</f>
        <v>1.07358475222099</v>
      </c>
      <c r="FF192" s="250">
        <f>各项系数!$F$76/4*($MO192^2-ML192^2)*10^-2*(VLOOKUP(L192,各项系数!$D$1:$F$143,3,0))*10^-3*10^2*$EO192*各项系数!$J$4</f>
        <v>0</v>
      </c>
      <c r="FG192" s="339">
        <f>FF192*VLOOKUP(L192,各项系数!$D$1:$F$143,2,0)</f>
        <v>0</v>
      </c>
      <c r="FH192" s="302">
        <f t="shared" si="651"/>
        <v>0.0933551958453033</v>
      </c>
      <c r="FI192" s="123">
        <v>1</v>
      </c>
      <c r="FJ192" s="251">
        <f t="shared" si="842"/>
        <v>0.0933551958453033</v>
      </c>
      <c r="FK192" s="339">
        <f>FJ192*VLOOKUP(L192,各项系数!$D$1:$F$143,2,0)</f>
        <v>1.07358475222099</v>
      </c>
      <c r="FL192" s="302"/>
      <c r="FM192" s="123"/>
      <c r="FN192" s="251"/>
      <c r="FO192" s="339"/>
      <c r="FP192" s="364">
        <f t="shared" si="843"/>
        <v>0.0933551958453033</v>
      </c>
      <c r="FQ192" s="364">
        <f t="shared" si="844"/>
        <v>1.07358475222099</v>
      </c>
      <c r="FR192" s="365">
        <f>各项系数!$F$76/4*($MQ192^2-$MN192^2*$EG192-$MO192^2*$EO192)*10^-2</f>
        <v>0.466835316949742</v>
      </c>
      <c r="FS192" s="366">
        <f t="shared" si="652"/>
        <v>1</v>
      </c>
      <c r="FT192" s="367">
        <f t="shared" si="604"/>
        <v>0.466835316949742</v>
      </c>
      <c r="FU192" s="388">
        <f>$FT192*(VLOOKUP($FT$9,各项系数!$D$1:$F$143,3,0))*10^-3*10^2*各项系数!$J$55</f>
        <v>0.0557401368437992</v>
      </c>
      <c r="FV192" s="389">
        <v>1</v>
      </c>
      <c r="FW192" s="390">
        <f t="shared" si="845"/>
        <v>0.0557401368437992</v>
      </c>
      <c r="FX192" s="367">
        <f>FW192*(VLOOKUP($FT$9,各项系数!$D$1:$F$143,2,0))</f>
        <v>0.167220410531398</v>
      </c>
      <c r="FY192" s="388">
        <f>IF($BK192&lt;&gt;$FY$9,0,各项系数!$F$76/4*($MS192^2-$MQ192^2)*10^-2*(VLOOKUP($FY$9,各项系数!$D$1:$F$143,3,0))*10^-3*10^2)*各项系数!$J$4</f>
        <v>0</v>
      </c>
      <c r="FZ192" s="389">
        <v>1</v>
      </c>
      <c r="GA192" s="390">
        <f t="shared" si="846"/>
        <v>0</v>
      </c>
      <c r="GB192" s="367">
        <f>GA192*(VLOOKUP($FY$9,各项系数!$D$1:$F$143,2,0))</f>
        <v>0</v>
      </c>
      <c r="GC192" s="388">
        <f>IF($BK192&lt;&gt;$GC$9,0,各项系数!$F$76/4*($MS192^2-$MQ192^2)*10^-2*(VLOOKUP($GC$9,各项系数!$D$1:$F$143,3,0))*10^-3*10^2)*各项系数!$J$4</f>
        <v>0.00402264747373637</v>
      </c>
      <c r="GD192" s="389">
        <v>1</v>
      </c>
      <c r="GE192" s="390">
        <f t="shared" si="847"/>
        <v>0.00402264747373637</v>
      </c>
      <c r="GF192" s="367">
        <f>GE192*(VLOOKUP($GC$9,各项系数!$D$1:$F$143,2,0))</f>
        <v>0.0518921524111992</v>
      </c>
      <c r="GG192" s="388">
        <f>IF($BK192&lt;&gt;$GG$9,0,各项系数!$F$76/4*($MS192^2-$MQ192^2)*10^-2*(VLOOKUP($GG$9,各项系数!$D$1:$F$143,3,0))*10^-3*10^2)*各项系数!$J$4</f>
        <v>0</v>
      </c>
      <c r="GH192" s="389">
        <v>1</v>
      </c>
      <c r="GI192" s="390">
        <f t="shared" si="848"/>
        <v>0</v>
      </c>
      <c r="GJ192" s="367">
        <f>GI192*(VLOOKUP($GG$9,各项系数!$D$1:$F$143,2,0))</f>
        <v>0</v>
      </c>
      <c r="GK192" s="388">
        <f>IF($BK192&lt;&gt;$GK$9,0,各项系数!$F$76/4*($MS192^2-$MQ192^2)*10^-2*(VLOOKUP($GK$9,各项系数!$D$1:$F$143,3,0))*10^-3*10^2)*各项系数!$J$4</f>
        <v>0</v>
      </c>
      <c r="GL192" s="389">
        <v>1</v>
      </c>
      <c r="GM192" s="390">
        <f t="shared" si="849"/>
        <v>0</v>
      </c>
      <c r="GN192" s="367">
        <f>GM192*(VLOOKUP($GK$9,各项系数!$D$1:$F$143,2,0))</f>
        <v>0</v>
      </c>
      <c r="GO192" s="390">
        <f t="shared" si="850"/>
        <v>0.00402264747373637</v>
      </c>
      <c r="GP192" s="390">
        <f t="shared" si="851"/>
        <v>0.0518921524111992</v>
      </c>
      <c r="GQ192" s="406">
        <f>各项系数!$F$76/4*($MU192^2-$MS192^2)*10^-2*(VLOOKUP($S192,各项系数!$D$1:$F$143,3,0))*10^-3*10^2*各项系数!$J$4</f>
        <v>0.226737372426022</v>
      </c>
      <c r="GR192" s="389">
        <v>1</v>
      </c>
      <c r="GS192" s="390">
        <f t="shared" si="852"/>
        <v>0.226737372426022</v>
      </c>
      <c r="GT192" s="390">
        <f t="shared" si="696"/>
        <v>1</v>
      </c>
      <c r="GU192" s="390">
        <f>ROUND($GS192*(VLOOKUP($S192,各项系数!$D$1:$F$143,2,0))+$E$3*GS192,GT192)</f>
        <v>1.3</v>
      </c>
      <c r="GV192" s="406">
        <f>各项系数!$F$76/4*($MT192^2-$MS192^2)*10^-2*(VLOOKUP($GV$9,各项系数!$D$1:$F$143,3,0))*10^-3*10^2*各项系数!$J$4*PI()/4*R192</f>
        <v>0.0208678269587208</v>
      </c>
      <c r="GW192" s="389">
        <v>1</v>
      </c>
      <c r="GX192" s="390">
        <f t="shared" si="853"/>
        <v>0.0208678269587208</v>
      </c>
      <c r="GY192" s="390">
        <f>$GX192*(VLOOKUP($GV$9,各项系数!$D$1:$F$143,2,0))</f>
        <v>1.40857831971366</v>
      </c>
      <c r="GZ192" s="406">
        <f>各项系数!$F$76/4*($MV192^2-$MS192^2)*10^-2*(VLOOKUP($GZ$9,各项系数!$D$1:$F$143,3,0))*10^-3*10^2*各项系数!$J$4</f>
        <v>0.135916558580676</v>
      </c>
      <c r="HA192" s="389">
        <v>1</v>
      </c>
      <c r="HB192" s="390">
        <f t="shared" si="653"/>
        <v>0.135916558580676</v>
      </c>
      <c r="HC192" s="390">
        <f>HB192*(VLOOKUP($GZ$9,各项系数!$D$1:$F$143,2,0))</f>
        <v>2.31058149587149</v>
      </c>
      <c r="HD192" s="406">
        <f>各项系数!$F$76/4*($MW192^2-$MT192^2)*10^-2*(VLOOKUP($HD$9,各项系数!$D$1:$F$143,3,0))*10^-3*10^2*各项系数!$J$4</f>
        <v>0.137221928027354</v>
      </c>
      <c r="HE192" s="389">
        <v>1</v>
      </c>
      <c r="HF192" s="390">
        <f t="shared" si="654"/>
        <v>0.137221928027354</v>
      </c>
      <c r="HG192" s="390">
        <f>HF192*(VLOOKUP($HD$9,各项系数!$D$1:$F$143,2,0))</f>
        <v>2.33277277646502</v>
      </c>
      <c r="HH192" s="406">
        <f>各项系数!$F$76/4*($MV192^2-$MS192^2)*10^-2*(VLOOKUP($HH$9,各项系数!$D$1:$F$143,3,0))*10^-3*10^2*各项系数!$J$4</f>
        <v>0.135916558580676</v>
      </c>
      <c r="HI192" s="420">
        <v>1</v>
      </c>
      <c r="HJ192" s="390">
        <f t="shared" si="655"/>
        <v>0.135916558580676</v>
      </c>
      <c r="HK192" s="390">
        <f>HJ192*(VLOOKUP($HH$9,各项系数!$D$1:$F$143,2,0))</f>
        <v>2.31058149587149</v>
      </c>
      <c r="HL192" s="406">
        <f>各项系数!$F$76/4*($MW192^2-$MT192^2)*10^-2*(VLOOKUP($HL$9,各项系数!$D$1:$F$143,3,0))*10^-3*10^2*各项系数!$J$4</f>
        <v>0.137221928027354</v>
      </c>
      <c r="HM192" s="420">
        <v>1</v>
      </c>
      <c r="HN192" s="390">
        <f t="shared" si="605"/>
        <v>0.137221928027354</v>
      </c>
      <c r="HO192" s="390">
        <f>HN192*(VLOOKUP($HL$9,各项系数!$D$1:$F$143,2,0))</f>
        <v>2.33277277646502</v>
      </c>
      <c r="HP192" s="406">
        <f>各项系数!$F$76/4*($MV192^2-$MS192^2)*10^-2*(VLOOKUP(AN192,各项系数!$D$1:$F$143,3,0))*10^-3*10^2*各项系数!$J$4</f>
        <v>0.137791269733513</v>
      </c>
      <c r="HQ192" s="389">
        <v>1</v>
      </c>
      <c r="HR192" s="390">
        <f t="shared" si="854"/>
        <v>0.137791269733513</v>
      </c>
      <c r="HS192" s="390">
        <f>HR192*(VLOOKUP(AN192,各项系数!$D$1:$F$143,2,0))</f>
        <v>1.37791269733513</v>
      </c>
      <c r="HT192" s="406">
        <f>各项系数!$F$76/4*($MW192^2-$MT192^2)*10^-2*(VLOOKUP(AN192,各项系数!$D$1:$F$143,3,0))*10^-3*10^2*各项系数!$J$4</f>
        <v>0.139114644276008</v>
      </c>
      <c r="HU192" s="389">
        <v>1</v>
      </c>
      <c r="HV192" s="390">
        <f t="shared" si="855"/>
        <v>0.139114644276008</v>
      </c>
      <c r="HW192" s="390">
        <f>HV192*(VLOOKUP(AN192,各项系数!$D$1:$F$143,2,0))</f>
        <v>1.39114644276008</v>
      </c>
      <c r="HX192" s="406">
        <f>各项系数!$F$76/4*($MV192^2-$MS192^2)*10^-2*(VLOOKUP($HX$9,各项系数!$D$1:$F$143,3,0))*10^-3*10^2*各项系数!$J$4</f>
        <v>0.137791269733513</v>
      </c>
      <c r="HY192" s="420">
        <v>1</v>
      </c>
      <c r="HZ192" s="390">
        <f t="shared" si="856"/>
        <v>0.137791269733513</v>
      </c>
      <c r="IA192" s="390">
        <f>HZ192*(VLOOKUP($HX$9,各项系数!$D$1:$F$143,2,0))</f>
        <v>1.51570396706864</v>
      </c>
      <c r="IB192" s="406">
        <f>各项系数!$F$76/4*($MW192^2-$MT192^2)*10^-2*(VLOOKUP($IB$9,各项系数!$D$1:$F$143,3,0))*10^-3*10^2*各项系数!$J$4</f>
        <v>0.139114644276008</v>
      </c>
      <c r="IC192" s="420">
        <v>1</v>
      </c>
      <c r="ID192" s="390">
        <f t="shared" si="857"/>
        <v>0.139114644276008</v>
      </c>
      <c r="IE192" s="390">
        <f>ID192*(VLOOKUP($IB$9,各项系数!$D$1:$F$143,2,0))</f>
        <v>1.53026108703608</v>
      </c>
      <c r="IF192" s="429"/>
      <c r="IG192" s="406">
        <f t="shared" si="656"/>
        <v>0.0455556834300374</v>
      </c>
      <c r="IH192" s="389">
        <v>1</v>
      </c>
      <c r="II192" s="390">
        <f t="shared" si="858"/>
        <v>0.0455556834300374</v>
      </c>
      <c r="IJ192" s="390">
        <f>II192*(VLOOKUP($IG$8,各项系数!$D$1:$F$143,2,0))</f>
        <v>1.13889208575093</v>
      </c>
      <c r="IK192" s="406">
        <f>(各项系数!$F$76/4*($MX192^2-$MK192^2)*$EG192)*10^-2*(VLOOKUP($IG$8,各项系数!$D$1:$F$143,3,0))*10^-3*10^2*各项系数!$J$4</f>
        <v>0.0455556834300374</v>
      </c>
      <c r="IL192" s="389">
        <f>IK192*(VLOOKUP($IG$8,各项系数!$D$1:$F$143,2,0))</f>
        <v>1.13889208575093</v>
      </c>
      <c r="IM192" s="390">
        <f>(各项系数!$F$76/4*(($MM192+3*$X192)^2-MM192^2)*$EO192)*10^-2*(VLOOKUP($IG$8,各项系数!$D$1:$F$143,3,0))*10^-3*10^2*各项系数!$J$4</f>
        <v>0</v>
      </c>
      <c r="IN192" s="389">
        <f>IM192*(VLOOKUP($IG$8,各项系数!$D$1:$F$143,2,0))</f>
        <v>0</v>
      </c>
      <c r="IO192" s="406">
        <f>各项系数!$F$76/4*($MZ192^2-$MX192^2)*10^-2*(VLOOKUP(L192,各项系数!$D$1:$F$143,3,0))*10^-3*10^2*$ES192*各项系数!$J$4</f>
        <v>0.116461735476162</v>
      </c>
      <c r="IP192" s="389">
        <v>1</v>
      </c>
      <c r="IQ192" s="390">
        <f t="shared" si="859"/>
        <v>0.116461735476162</v>
      </c>
      <c r="IR192" s="367">
        <f>IQ192*(VLOOKUP(L192,各项系数!$D$1:$F$143,2,0))</f>
        <v>1.33930995797587</v>
      </c>
      <c r="IS192" s="406">
        <f>IF($L192&lt;&gt;$IS$9,0,各项系数!$F$76/4*($MZ192^2-$MX192^2)*10^-2*各项系数!$F$12*10^-3*10^2)*$ES192*各项系数!$J$4</f>
        <v>0</v>
      </c>
      <c r="IT192" s="389">
        <v>1</v>
      </c>
      <c r="IU192" s="390">
        <f t="shared" si="860"/>
        <v>0</v>
      </c>
      <c r="IV192" s="367">
        <f>IU192*各项系数!$E$12</f>
        <v>0</v>
      </c>
      <c r="IW192" s="388">
        <f t="shared" si="861"/>
        <v>0.116461735476162</v>
      </c>
      <c r="IX192" s="388">
        <f t="shared" si="862"/>
        <v>1.33930995797587</v>
      </c>
      <c r="IY192" s="447">
        <f>各项系数!$F$76/4*($NB192^2-$MZ192^2*$EG192-$NA192^2*$EO192)*10^-2</f>
        <v>0.663369412874361</v>
      </c>
      <c r="IZ192" s="366">
        <f t="shared" si="697"/>
        <v>1</v>
      </c>
      <c r="JA192" s="367">
        <f t="shared" si="606"/>
        <v>0.663369412874361</v>
      </c>
      <c r="JB192" s="364">
        <f>IF($DE192&lt;&gt;$JB$9,0,$JA192*各项系数!$F$32*10^-3*10^2)*各项系数!$J$4</f>
        <v>0</v>
      </c>
      <c r="JC192" s="123">
        <v>1</v>
      </c>
      <c r="JD192" s="251">
        <f t="shared" si="863"/>
        <v>0</v>
      </c>
      <c r="JE192" s="339">
        <f>JD192*各项系数!$E$32</f>
        <v>0</v>
      </c>
      <c r="JF192" s="364">
        <f>IF($DE192&lt;&gt;$JF$9,0,$JA192*VLOOKUP($JF$9,各项系数!$D$4:$F$540,2,0)*10^-3*10^2)*各项系数!$J$4</f>
        <v>0.330026282904995</v>
      </c>
      <c r="JG192" s="123">
        <v>1</v>
      </c>
      <c r="JH192" s="251">
        <f t="shared" si="607"/>
        <v>0.330026282904995</v>
      </c>
      <c r="JI192" s="339">
        <f>JH192*VLOOKUP($JF$9,各项系数!$D$4:$F$540,3,0)</f>
        <v>0.396031539485994</v>
      </c>
      <c r="JJ192" s="364">
        <f t="shared" si="864"/>
        <v>0.330026282904995</v>
      </c>
      <c r="JK192" s="251">
        <f t="shared" si="865"/>
        <v>0.396031539485994</v>
      </c>
      <c r="JL192" s="364">
        <f>IF($DF192&lt;&gt;$JL$9,0,各项系数!$F$76/4*($NE192^2-$NC192^2)*10^-2*各项系数!$F$39*10^-3*10^2)*各项系数!$J$4</f>
        <v>0.00198319185512983</v>
      </c>
      <c r="JM192" s="123">
        <v>1</v>
      </c>
      <c r="JN192" s="251">
        <f t="shared" si="866"/>
        <v>0.00198319185512983</v>
      </c>
      <c r="JO192" s="339">
        <f>JN192*各项系数!$E$39</f>
        <v>0.0396638371025966</v>
      </c>
      <c r="JP192" s="364">
        <f>IF($DF192&lt;&gt;$JP$9,0,各项系数!$F$76/4*($NE192^2-$NC192^2)*10^-2*各项系数!$F$36*10^-3*10^2)*各项系数!$J$4</f>
        <v>0</v>
      </c>
      <c r="JQ192" s="123">
        <v>1</v>
      </c>
      <c r="JR192" s="251">
        <f t="shared" si="867"/>
        <v>0</v>
      </c>
      <c r="JS192" s="339">
        <f>JR192*各项系数!$E$36</f>
        <v>0</v>
      </c>
      <c r="JT192" s="364">
        <f>IF($DF192&lt;&gt;$JT$9,0,各项系数!$F$76/4*($NE192^2-$NC192^2)*10^-2*各项系数!$F$40*10^-3*10^2)*各项系数!$J$4</f>
        <v>0</v>
      </c>
      <c r="JU192" s="123">
        <v>1</v>
      </c>
      <c r="JV192" s="251">
        <f t="shared" si="868"/>
        <v>0</v>
      </c>
      <c r="JW192" s="339">
        <f>JV192*各项系数!$E$40</f>
        <v>0</v>
      </c>
      <c r="JX192" s="364">
        <f>IF($DF192&lt;&gt;$JX$9,0,各项系数!$F$76/4*($NE192^2-$NC192^2)*10^-2*各项系数!$F$38*10^-3*10^2)*各项系数!$J$4</f>
        <v>0</v>
      </c>
      <c r="JY192" s="123">
        <v>1</v>
      </c>
      <c r="JZ192" s="251">
        <f t="shared" si="869"/>
        <v>0</v>
      </c>
      <c r="KA192" s="339">
        <f>JZ192*各项系数!$E$38</f>
        <v>0</v>
      </c>
      <c r="KB192" s="364">
        <f>IF($DF192&lt;&gt;$KB$9,0,各项系数!$F$76/4*($NE192^2-$NC192^2)*10^-2*各项系数!$F$41*10^-3*10^2)*各项系数!$J$4</f>
        <v>0</v>
      </c>
      <c r="KC192" s="123">
        <v>1</v>
      </c>
      <c r="KD192" s="251">
        <f t="shared" si="870"/>
        <v>0</v>
      </c>
      <c r="KE192" s="339">
        <f>KD192*各项系数!$E$41</f>
        <v>0</v>
      </c>
      <c r="KF192" s="251">
        <f t="shared" si="871"/>
        <v>0.00198319185512983</v>
      </c>
      <c r="KG192" s="251">
        <f t="shared" si="872"/>
        <v>0.0396638371025966</v>
      </c>
      <c r="KH192" s="302">
        <f>各项系数!$F$76/4*($NG192^2-$NE192^2)*10^-2*各项系数!$F$44*10^-3*10^2*各项系数!$J$4*0.75*$U192</f>
        <v>0.807107981444465</v>
      </c>
      <c r="KI192" s="123">
        <v>1</v>
      </c>
      <c r="KJ192" s="251">
        <f t="shared" si="873"/>
        <v>0.807107981444465</v>
      </c>
      <c r="KK192" s="251">
        <f>ROUND(KJ192*各项系数!$E$43,GT192)</f>
        <v>4.7</v>
      </c>
      <c r="KL192" s="302">
        <f>各项系数!$F$76/4*($NF192^2-$NE192^2)*10^-2*各项系数!$F$46*10^-3*10^2*各项系数!$J$4*PI()/4*R192</f>
        <v>0.0248962941017896</v>
      </c>
      <c r="KM192" s="123">
        <v>1</v>
      </c>
      <c r="KN192" s="251">
        <f t="shared" si="874"/>
        <v>0.0248962941017896</v>
      </c>
      <c r="KO192" s="251">
        <f>KN192*各项系数!$E$46</f>
        <v>1.6804998518708</v>
      </c>
      <c r="KP192" s="302">
        <f>各项系数!$F$76/4*($NH192^2-$NE192^2)*10^-2*(VLOOKUP($KP$9,各项系数!$D$1:$F$143,3,0))*10^-3*10^2*各项系数!$J$4</f>
        <v>0.159445842857054</v>
      </c>
      <c r="KQ192" s="123">
        <v>1</v>
      </c>
      <c r="KR192" s="251">
        <f t="shared" si="657"/>
        <v>0.159445842857054</v>
      </c>
      <c r="KS192" s="251">
        <f>KR192*(VLOOKUP($KP$9,各项系数!$D$1:$F$143,2,0))</f>
        <v>2.71057932856992</v>
      </c>
      <c r="KT192" s="302">
        <f>各项系数!$F$76/4*($NI192^2-$NF192^2)*10^-2*(VLOOKUP($KT$9,各项系数!$D$1:$F$143,3,0))*10^-3*10^2*各项系数!$J$4</f>
        <v>0.160751212303733</v>
      </c>
      <c r="KU192" s="123">
        <v>1</v>
      </c>
      <c r="KV192" s="251">
        <f t="shared" si="658"/>
        <v>0.160751212303733</v>
      </c>
      <c r="KW192" s="251">
        <f>KV192*(VLOOKUP($KT$9,各项系数!$D$1:$F$143,2,0))</f>
        <v>2.73277060916345</v>
      </c>
      <c r="KX192" s="251">
        <f>各项系数!$F$76/4*($NH192^2-$NE192^2)*10^-2*(VLOOKUP($KX$9,各项系数!$D$1:$F$143,3,0))*10^-3*10^2*各项系数!$J$4</f>
        <v>0.159445842857054</v>
      </c>
      <c r="KY192" s="479">
        <v>1</v>
      </c>
      <c r="KZ192" s="251">
        <f t="shared" si="659"/>
        <v>0.159445842857054</v>
      </c>
      <c r="LA192" s="251">
        <f>KZ192*(VLOOKUP($KX$9,各项系数!$D$1:$F$143,2,0))</f>
        <v>2.71057932856992</v>
      </c>
      <c r="LB192" s="251">
        <f>各项系数!$F$76/4*($NI192^2-$NF192^2)*10^-2*(VLOOKUP($LB$9,各项系数!$D$1:$F$143,3,0))*10^-3*10^2*各项系数!$J$4</f>
        <v>0.160751212303733</v>
      </c>
      <c r="LC192" s="479">
        <v>1</v>
      </c>
      <c r="LD192" s="251">
        <f t="shared" si="660"/>
        <v>0.160751212303733</v>
      </c>
      <c r="LE192" s="251">
        <f>LD192*(VLOOKUP($LB$9,各项系数!$D$1:$F$143,2,0))</f>
        <v>2.73277060916345</v>
      </c>
      <c r="LF192" s="302">
        <f>各项系数!$F$76/4*($NH192^2-$NE192^2)*10^-2*(VLOOKUP(AN192,各项系数!$D$1:$F$143,3,0))*10^-3*10^2*各项系数!$J$4</f>
        <v>0.161645095861979</v>
      </c>
      <c r="LG192" s="123">
        <v>1</v>
      </c>
      <c r="LH192" s="251">
        <f t="shared" si="875"/>
        <v>0.161645095861979</v>
      </c>
      <c r="LI192" s="251">
        <f>LH192*(VLOOKUP(AN192,各项系数!$D$1:$F$143,2,0))</f>
        <v>1.61645095861979</v>
      </c>
      <c r="LJ192" s="302">
        <f>各项系数!$F$76/4*($NI192^2-$NF192^2)*10^-2*(VLOOKUP(AN192,各项系数!$D$1:$F$143,3,0))*10^-3*10^2*各项系数!$J$4</f>
        <v>0.162968470404474</v>
      </c>
      <c r="LK192" s="123">
        <v>1</v>
      </c>
      <c r="LL192" s="251">
        <f t="shared" si="876"/>
        <v>0.162968470404474</v>
      </c>
      <c r="LM192" s="251">
        <f>LL192*(VLOOKUP(AN192,各项系数!$D$1:$F$143,2,0))</f>
        <v>1.62968470404474</v>
      </c>
      <c r="LN192" s="251">
        <f>各项系数!$F$76/4*($NH192^2-$NE192^2)*10^-2*(VLOOKUP($LN$9,各项系数!$D$1:$F$143,3,0))*10^-3*10^2*各项系数!$J$4</f>
        <v>0.161645095861979</v>
      </c>
      <c r="LO192" s="479">
        <v>1</v>
      </c>
      <c r="LP192" s="251">
        <f t="shared" si="877"/>
        <v>0.161645095861979</v>
      </c>
      <c r="LQ192" s="251">
        <f>LP192*(VLOOKUP($LN$9,各项系数!$D$1:$F$143,2,0))</f>
        <v>1.77809605448177</v>
      </c>
      <c r="LR192" s="251">
        <f>各项系数!$F$76/4*($NI192^2-$NF192^2)*10^-2*(VLOOKUP($LR$9,各项系数!$D$1:$F$143,3,0))*10^-3*10^2*各项系数!$J$4</f>
        <v>0.162968470404474</v>
      </c>
      <c r="LS192" s="479">
        <v>1</v>
      </c>
      <c r="LT192" s="251">
        <f t="shared" si="878"/>
        <v>0.162968470404474</v>
      </c>
      <c r="LU192" s="251">
        <f>LT192*(VLOOKUP($LR$9,各项系数!$D$1:$F$143,2,0))</f>
        <v>1.79265317444921</v>
      </c>
      <c r="LV192" s="499">
        <f t="shared" si="661"/>
        <v>37.35483855</v>
      </c>
      <c r="LW192" s="499">
        <f t="shared" si="662"/>
        <v>37.35483855</v>
      </c>
      <c r="LX192" s="499">
        <f t="shared" si="663"/>
        <v>6.89649603995083</v>
      </c>
      <c r="LY192" s="515">
        <f t="shared" si="664"/>
        <v>0</v>
      </c>
      <c r="LZ192" s="516">
        <f t="shared" si="608"/>
        <v>1</v>
      </c>
      <c r="MA192" s="517">
        <f t="shared" si="609"/>
        <v>37.35483855</v>
      </c>
      <c r="MB192" s="517">
        <f t="shared" si="665"/>
        <v>1.72412401</v>
      </c>
      <c r="MC192" s="499">
        <f t="shared" si="666"/>
        <v>0</v>
      </c>
      <c r="MD192" s="499">
        <f t="shared" si="667"/>
        <v>0</v>
      </c>
      <c r="ME192" s="499">
        <f t="shared" si="668"/>
        <v>0</v>
      </c>
      <c r="MF192" s="499">
        <f t="shared" si="669"/>
        <v>0</v>
      </c>
      <c r="MG192" s="516">
        <f t="shared" si="670"/>
        <v>1</v>
      </c>
      <c r="MH192" s="517">
        <f t="shared" si="610"/>
        <v>0</v>
      </c>
      <c r="MI192" s="517">
        <f t="shared" si="671"/>
        <v>0</v>
      </c>
      <c r="MJ192" s="251">
        <f t="shared" si="611"/>
        <v>1.72412401</v>
      </c>
      <c r="MK192" s="251">
        <f t="shared" si="672"/>
        <v>1.72412401</v>
      </c>
      <c r="ML192" s="251">
        <f t="shared" si="879"/>
        <v>0</v>
      </c>
      <c r="MM192" s="251">
        <f t="shared" si="612"/>
        <v>0</v>
      </c>
      <c r="MN192" s="251">
        <f t="shared" si="613"/>
        <v>3.12412401</v>
      </c>
      <c r="MO192" s="251">
        <f t="shared" si="673"/>
        <v>0</v>
      </c>
      <c r="MP192" s="251">
        <f t="shared" si="674"/>
        <v>14.68338285</v>
      </c>
      <c r="MQ192" s="251">
        <f t="shared" si="880"/>
        <v>14.68338285</v>
      </c>
      <c r="MR192" s="314">
        <f t="shared" si="675"/>
        <v>14.68338285</v>
      </c>
      <c r="MS192" s="530">
        <f t="shared" si="614"/>
        <v>14.85938285</v>
      </c>
      <c r="MT192" s="530">
        <f t="shared" si="615"/>
        <v>15.01938285</v>
      </c>
      <c r="MU192" s="530">
        <f t="shared" si="616"/>
        <v>16.05938285</v>
      </c>
      <c r="MV192" s="530">
        <f t="shared" si="617"/>
        <v>18.45938285</v>
      </c>
      <c r="MW192" s="530">
        <f t="shared" si="618"/>
        <v>18.61938285</v>
      </c>
      <c r="MX192" s="326">
        <f t="shared" si="619"/>
        <v>2.32412401</v>
      </c>
      <c r="MY192" s="326">
        <f t="shared" si="620"/>
        <v>0</v>
      </c>
      <c r="MZ192" s="251">
        <f t="shared" si="621"/>
        <v>3.72412401</v>
      </c>
      <c r="NA192" s="251">
        <f t="shared" si="622"/>
        <v>0</v>
      </c>
      <c r="NB192" s="251">
        <f t="shared" si="676"/>
        <v>17.50338285</v>
      </c>
      <c r="NC192" s="326">
        <f t="shared" si="881"/>
        <v>17.50338285</v>
      </c>
      <c r="ND192" s="314">
        <f t="shared" si="677"/>
        <v>17.50338285</v>
      </c>
      <c r="NE192" s="537">
        <f t="shared" si="678"/>
        <v>17.74338285</v>
      </c>
      <c r="NF192" s="530">
        <f t="shared" si="623"/>
        <v>17.90338285</v>
      </c>
      <c r="NG192" s="538">
        <f t="shared" si="624"/>
        <v>18.94338285</v>
      </c>
      <c r="NH192" s="326">
        <f t="shared" si="625"/>
        <v>21.34338285</v>
      </c>
      <c r="NI192" s="530">
        <f t="shared" si="626"/>
        <v>21.50338285</v>
      </c>
      <c r="NK192" s="539">
        <f t="shared" si="627"/>
        <v>0.621333340918798</v>
      </c>
      <c r="NL192" s="539">
        <f t="shared" si="628"/>
        <v>24.3133879744689</v>
      </c>
      <c r="NM192" s="539">
        <f t="shared" si="629"/>
        <v>0.621333340918798</v>
      </c>
      <c r="NN192" s="539">
        <f t="shared" si="630"/>
        <v>24.4511792442025</v>
      </c>
      <c r="NO192" s="539">
        <f t="shared" si="631"/>
        <v>0.986096080550749</v>
      </c>
      <c r="NP192" s="539">
        <f t="shared" si="632"/>
        <v>26.1731263409054</v>
      </c>
      <c r="NQ192" s="539">
        <f t="shared" si="633"/>
        <v>0.986096080550749</v>
      </c>
      <c r="NR192" s="539">
        <f t="shared" si="634"/>
        <v>26.3347714367674</v>
      </c>
      <c r="NS192" s="539">
        <f t="shared" si="635"/>
        <v>0.642201167877519</v>
      </c>
      <c r="NT192" s="539">
        <f t="shared" si="636"/>
        <v>0.642201167877519</v>
      </c>
      <c r="NU192" s="539">
        <f t="shared" si="637"/>
        <v>1.01099237465254</v>
      </c>
      <c r="NV192" s="539">
        <f t="shared" si="638"/>
        <v>1.01099237465254</v>
      </c>
      <c r="NW192">
        <f t="shared" si="639"/>
        <v>0.84807071334482</v>
      </c>
      <c r="NX192">
        <f>各项系数!$M$9*NK192</f>
        <v>0.186400002275639</v>
      </c>
      <c r="NY192">
        <f t="shared" si="640"/>
        <v>0.642201167877519</v>
      </c>
    </row>
    <row r="193" customHeight="1" spans="1:389">
      <c r="A193" s="85"/>
      <c r="B193" s="86"/>
      <c r="C193" s="218"/>
      <c r="D193" s="123" t="s">
        <v>254</v>
      </c>
      <c r="E193" s="77">
        <f t="shared" si="829"/>
        <v>19.39662005</v>
      </c>
      <c r="F193" s="559">
        <f t="shared" si="820"/>
        <v>172.412400708262</v>
      </c>
      <c r="G193" s="23"/>
      <c r="H193" s="23"/>
      <c r="I193" s="174">
        <v>0</v>
      </c>
      <c r="J193" s="23"/>
      <c r="K193" s="23"/>
      <c r="L193" s="118" t="s">
        <v>469</v>
      </c>
      <c r="M193" s="124">
        <f t="shared" si="582"/>
        <v>0.7</v>
      </c>
      <c r="N193" s="124">
        <f t="shared" si="804"/>
        <v>0</v>
      </c>
      <c r="O193" s="69">
        <f t="shared" si="825"/>
        <v>0.08</v>
      </c>
      <c r="P193" s="120">
        <v>0.1</v>
      </c>
      <c r="Q193" s="162">
        <f t="shared" si="823"/>
        <v>0.1</v>
      </c>
      <c r="R193" s="560">
        <v>0.8</v>
      </c>
      <c r="S193" s="171" t="str">
        <f>各项系数!$D$43</f>
        <v>钢带</v>
      </c>
      <c r="T193" s="123">
        <v>0.2</v>
      </c>
      <c r="U193" s="78">
        <v>4</v>
      </c>
      <c r="V193" s="172"/>
      <c r="W193" s="170">
        <f t="shared" si="828"/>
        <v>1.8</v>
      </c>
      <c r="X193" s="164">
        <f t="shared" si="824"/>
        <v>0.2</v>
      </c>
      <c r="Y193" s="219"/>
      <c r="Z193" s="220"/>
      <c r="AA193" s="217">
        <v>1</v>
      </c>
      <c r="AB193" s="186">
        <f>PI()*EJ193*EJ193/4*EH193*(1-H193)*AA193*各项系数!$F$5*各项系数!$J$4*10^-7</f>
        <v>0.0206515056889029</v>
      </c>
      <c r="AC193" s="186">
        <f t="shared" si="830"/>
        <v>172.412400708262</v>
      </c>
      <c r="AD193" s="186">
        <f t="shared" si="584"/>
        <v>2.3346774015073</v>
      </c>
      <c r="AE193" s="186">
        <f>POWER(4*EU193/PI()/EG193/10^-7/EH193/(1-H193)/各项系数!$F$5/各项系数!$J$4,0.5)</f>
        <v>172.412400708262</v>
      </c>
      <c r="AF193" s="218">
        <v>1</v>
      </c>
      <c r="AG193" s="85">
        <f>IF(EM193=0,0,PI()*ER193*ER193/4*EP193*(1-K193)*(1+AF193)*各项系数!$F$5*各项系数!$J$4*10^-7)</f>
        <v>0</v>
      </c>
      <c r="AH193" s="85">
        <f t="shared" si="831"/>
        <v>0</v>
      </c>
      <c r="AI193" s="85">
        <f t="shared" si="641"/>
        <v>0</v>
      </c>
      <c r="AJ193" s="85">
        <f>IF(OR(EP193="",EP193=0),0,POWER(4*EW193/PI()/EO193/10^-7/EP193/(1-K193)/各项系数!$F$5/各项系数!$J$4,0.5))</f>
        <v>0</v>
      </c>
      <c r="AK193" s="85" t="str">
        <f t="shared" si="585"/>
        <v>√</v>
      </c>
      <c r="AL193" s="85">
        <f t="shared" si="832"/>
        <v>29.641326479441</v>
      </c>
      <c r="AM193" s="250">
        <f t="shared" si="833"/>
        <v>2.5</v>
      </c>
      <c r="AN193" s="118" t="s">
        <v>486</v>
      </c>
      <c r="AO193" s="259">
        <f>AP193+各项系数!$M$9*$NK193</f>
        <v>29.0601239994519</v>
      </c>
      <c r="AP193" s="259">
        <f>AQ193*(1+$BI193+(VLOOKUP($AM193,$A$12:$B$323,2,0))+各项系数!$J$6+各项系数!$M$5)*(1+$E$2)</f>
        <v>28.8477313733343</v>
      </c>
      <c r="AQ193" s="260">
        <f>AR193+各项系数!$L$9*$NK193</f>
        <v>29.436460585035</v>
      </c>
      <c r="AR193" s="260">
        <f>AS193*(1+$BJ193+各项系数!$J$5+各项系数!$L$5)</f>
        <v>29.2240679589173</v>
      </c>
      <c r="AS193" s="260">
        <f t="shared" si="642"/>
        <v>28.6510470185464</v>
      </c>
      <c r="AT193" s="259">
        <f>AU193+各项系数!$M$9*$NM193</f>
        <v>30.0448695870078</v>
      </c>
      <c r="AU193" s="259">
        <f>AV193*(1+$BI193+(VLOOKUP($AM193,$A$12:$B$323,2,0))+各项系数!$J$6+各项系数!$M$5)*(1+$E$2)</f>
        <v>29.8324769608902</v>
      </c>
      <c r="AV193" s="260">
        <f>AW193+各项系数!$L$9*$NM193</f>
        <v>30.4413030213165</v>
      </c>
      <c r="AW193" s="260">
        <f>AX193*(1+$BJ193+各项系数!$J$5+各项系数!$L$5)</f>
        <v>30.2289103951989</v>
      </c>
      <c r="AX193" s="260">
        <f t="shared" si="643"/>
        <v>29.6361866619597</v>
      </c>
      <c r="AY193" s="259">
        <f>AZ193+各项系数!$M$9*$NS193</f>
        <v>30.5828737017977</v>
      </c>
      <c r="AZ193" s="259">
        <f>BA193*(1+$BI193+(VLOOKUP($AM193,$A$12:$B$214,2,0))+各项系数!$J$6+各项系数!$M$5)*(1+$E$2)</f>
        <v>30.3638279783623</v>
      </c>
      <c r="BA193" s="260">
        <f>BB193+各项系数!$L$9*$NS193</f>
        <v>30.9834979371044</v>
      </c>
      <c r="BB193" s="260">
        <f>BC193*(1+$BJ193+各项系数!$J$5+各项系数!$L$5)</f>
        <v>30.764452213669</v>
      </c>
      <c r="BC193" s="262">
        <f t="shared" si="644"/>
        <v>30.1612276604599</v>
      </c>
      <c r="BD193" s="259">
        <f>BE193+各项系数!$M$9*$NS193</f>
        <v>31.5765732415082</v>
      </c>
      <c r="BE193" s="259">
        <f>BF193*(1+$BI193+(VLOOKUP($AM193,$A$12:$B$214,2,0))+各项系数!$J$6+各项系数!$M$5)*(1+$E$2)</f>
        <v>31.3575275180728</v>
      </c>
      <c r="BF193" s="260">
        <f>BG193+各项系数!$L$9*$NS193</f>
        <v>31.9974770592579</v>
      </c>
      <c r="BG193" s="260">
        <f>BH193*(1+$BJ193+各项系数!$J$5+各项系数!$L$5)</f>
        <v>31.7784313358226</v>
      </c>
      <c r="BH193" s="262">
        <f t="shared" si="645"/>
        <v>31.1553248390417</v>
      </c>
      <c r="BI193" s="277"/>
      <c r="BJ193" s="272">
        <f t="shared" si="822"/>
        <v>0</v>
      </c>
      <c r="BK193" s="123" t="s">
        <v>514</v>
      </c>
      <c r="BL193" s="259">
        <f>BM193+各项系数!$M$9*$NM193</f>
        <v>29.4878156105262</v>
      </c>
      <c r="BM193" s="259">
        <f>BN193*(1+$CF193+(VLOOKUP($AM193,$A$12:$B$323,2,0))+各项系数!$J$6+各项系数!$M$5)*(1+$E$2)</f>
        <v>29.2754229844085</v>
      </c>
      <c r="BN193" s="260">
        <f>BO193+各项系数!$L$9*$NM193</f>
        <v>29.8728805963352</v>
      </c>
      <c r="BO193" s="260">
        <f>BP193*(1+$CG193+各项系数!$J$5+各项系数!$L$5)</f>
        <v>29.6604879702176</v>
      </c>
      <c r="BP193" s="260">
        <f t="shared" si="646"/>
        <v>28.7965902623471</v>
      </c>
      <c r="BQ193" s="259">
        <f>BR193+各项系数!$M$9*$NM193</f>
        <v>30.3353042162951</v>
      </c>
      <c r="BR193" s="259">
        <f>BS193*(1+$CF193+(VLOOKUP($AM193,$A$12:$B$323,2,0))+各项系数!$J$6+各项系数!$M$5)*(1+$E$2)</f>
        <v>30.1229115901774</v>
      </c>
      <c r="BS193" s="260">
        <f>BT193+各项系数!$L$9*$NM193</f>
        <v>30.7376648879361</v>
      </c>
      <c r="BT193" s="260">
        <f>BU193*(1+$CG193+各项系数!$J$5+各项系数!$L$5)</f>
        <v>30.5252722618185</v>
      </c>
      <c r="BU193" s="260">
        <f t="shared" si="647"/>
        <v>29.6361866619597</v>
      </c>
      <c r="BV193" s="259">
        <f>BW193+各项系数!$M$9*$NT193</f>
        <v>30.8201342235511</v>
      </c>
      <c r="BW193" s="259">
        <f>BX193*(1+$CF193+(VLOOKUP($AM193,$A$12:$B$214,2,0))+各项系数!$J$6+各项系数!$M$5)*(1+$E$2)</f>
        <v>30.6010885001157</v>
      </c>
      <c r="BX193" s="260">
        <f>BY193+各项系数!$L$9*$NT$12</f>
        <v>31.2256005103222</v>
      </c>
      <c r="BY193" s="260">
        <f>BZ193*(1+$CG193+各项系数!$J$5+各项系数!$L$5)</f>
        <v>31.2173371071672</v>
      </c>
      <c r="BZ193" s="262">
        <f t="shared" si="586"/>
        <v>30.3080942788031</v>
      </c>
      <c r="CA193" s="259">
        <f>CB193+各项系数!$M$9*$NT193</f>
        <v>31.675328751056</v>
      </c>
      <c r="CB193" s="259">
        <f>CC193*(1+$CF193+(VLOOKUP($AM193,$A$12:$B$214,2,0))+各项系数!$J$6+各项系数!$M$5)*(1+$E$2)</f>
        <v>31.4562830276206</v>
      </c>
      <c r="CC193" s="260">
        <f>CD193+各项系数!$L$9*$NT$12</f>
        <v>32.0982479873679</v>
      </c>
      <c r="CD193" s="260">
        <f>CE193*(1+$CG193+各项系数!$J$5+各项系数!$L$5)</f>
        <v>32.089984584213</v>
      </c>
      <c r="CE193" s="262">
        <f t="shared" si="648"/>
        <v>31.1553248390417</v>
      </c>
      <c r="CF193" s="277">
        <f t="shared" si="753"/>
        <v>0</v>
      </c>
      <c r="CG193" s="277">
        <f t="shared" si="587"/>
        <v>0.01</v>
      </c>
      <c r="CH193" s="123"/>
      <c r="CI193" s="259">
        <f>CJ193+各项系数!$M$9*$NO193</f>
        <v>31.628211647454</v>
      </c>
      <c r="CJ193" s="259">
        <f>CK193*(1+$DC193+(VLOOKUP($AM193,$A$12:$B$323,2,0))+各项系数!$J$6+各项系数!$M$5)*(1+$E$2)+各项系数!$M$9*$NK193</f>
        <v>31.3033362106304</v>
      </c>
      <c r="CK193" s="260">
        <f>CL193+各项系数!$L$9*$NO193</f>
        <v>31.7254526372579</v>
      </c>
      <c r="CL193" s="260">
        <f>CM193*(1+$DD193+各项系数!$J$5+各项系数!$L$5)</f>
        <v>31.4005772004342</v>
      </c>
      <c r="CM193" s="260">
        <f t="shared" si="588"/>
        <v>30.7848796082689</v>
      </c>
      <c r="CN193" s="259">
        <f>CO193+各项系数!$M$9*$NO193</f>
        <v>32.3596323806121</v>
      </c>
      <c r="CO193" s="259">
        <f>CP193*(1+$DC193+(VLOOKUP($AM193,$A$12:$B$323,2,0))+各项系数!$J$6+各项系数!$M$5)*(1+$E$2)+各项系数!$M$9*$NK193</f>
        <v>32.0347569437885</v>
      </c>
      <c r="CP193" s="260">
        <f>CQ193+各项系数!$L$9*$NO193</f>
        <v>32.4718003241539</v>
      </c>
      <c r="CQ193" s="260">
        <f>CR193*(1+$DD193+各项系数!$J$5+各项系数!$L$5)</f>
        <v>32.1469248873303</v>
      </c>
      <c r="CR193" s="260">
        <f t="shared" si="589"/>
        <v>31.5165930267944</v>
      </c>
      <c r="CS193" s="259">
        <f>CT193+各项系数!$M$9*$NU193</f>
        <v>33.2298884817111</v>
      </c>
      <c r="CT193" s="259">
        <f t="shared" si="590"/>
        <v>32.8970759784304</v>
      </c>
      <c r="CU193" s="260">
        <f>CV193+各项系数!$L$9*$NU193</f>
        <v>33.5684448759494</v>
      </c>
      <c r="CV193" s="260">
        <f>CW193*(1+$DD193+各项系数!$J$5+各项系数!$L$5)</f>
        <v>33.2356323726687</v>
      </c>
      <c r="CW193" s="262">
        <f t="shared" si="591"/>
        <v>32.5839533065379</v>
      </c>
      <c r="CX193" s="259">
        <f>CY193+各项系数!$M$9*$NU193</f>
        <v>34.3950562051806</v>
      </c>
      <c r="CY193" s="259">
        <f t="shared" si="592"/>
        <v>34.0622437018999</v>
      </c>
      <c r="CZ193" s="260">
        <f>DA193+各项系数!$L$9*$NU193</f>
        <v>34.7573915325509</v>
      </c>
      <c r="DA193" s="260">
        <f>DB193*(1+$DD193+各项系数!$J$5+各项系数!$L$5)</f>
        <v>34.4245790292702</v>
      </c>
      <c r="DB193" s="262">
        <f t="shared" si="593"/>
        <v>33.7495872835982</v>
      </c>
      <c r="DC193" s="277">
        <f t="shared" si="827"/>
        <v>0</v>
      </c>
      <c r="DD193" s="277">
        <f t="shared" si="594"/>
        <v>0</v>
      </c>
      <c r="DE193" s="69" t="s">
        <v>498</v>
      </c>
      <c r="DF193" s="69" t="s">
        <v>513</v>
      </c>
      <c r="DG193" s="259">
        <f>DH193+各项系数!$M$9*$NQ193</f>
        <v>32.1023956610477</v>
      </c>
      <c r="DH193" s="259">
        <f>DI193*(1+$EA193+(VLOOKUP($AM193,$A$12:$B$323,2,0))+各项系数!$J$6+各项系数!$M$5)*(1+$E$2)+各项系数!$M$9*$NK193</f>
        <v>31.777520224224</v>
      </c>
      <c r="DI193" s="260">
        <f>DJ193+各项系数!$L$9*$NQ193</f>
        <v>32.2093138756188</v>
      </c>
      <c r="DJ193" s="260">
        <f>DK193*(1+$EB193+各项系数!$J$5+各项系数!$L$5)</f>
        <v>31.8844384387951</v>
      </c>
      <c r="DK193" s="260">
        <f t="shared" si="595"/>
        <v>30.9557654745584</v>
      </c>
      <c r="DL193" s="259">
        <f>DM193+各项系数!$M$9*$NQ193</f>
        <v>33.0974526680605</v>
      </c>
      <c r="DM193" s="259">
        <f>DN193*(1+$EA193+(VLOOKUP($AM193,$A$12:$B$323,2,0))+各项系数!$J$6+各项系数!$M$5)*(1+$E$2)+各项系数!$M$9*$NK193</f>
        <v>32.7725772312369</v>
      </c>
      <c r="DN193" s="260">
        <f>DO193+各项系数!$L$9*$NQ193</f>
        <v>33.224678168489</v>
      </c>
      <c r="DO193" s="260">
        <f>DP193*(1+$EB193+各项系数!$J$5+各项系数!$L$5)</f>
        <v>32.8998027316654</v>
      </c>
      <c r="DP193" s="260">
        <f t="shared" si="596"/>
        <v>31.9415560501606</v>
      </c>
      <c r="DQ193" s="259">
        <f>DR193+各项系数!$M$9*$NV193</f>
        <v>33.723039231811</v>
      </c>
      <c r="DR193" s="259">
        <f t="shared" si="597"/>
        <v>33.3902267285303</v>
      </c>
      <c r="DS193" s="260">
        <f>DT193+各项系数!$L$9*$NV193</f>
        <v>34.0716599270717</v>
      </c>
      <c r="DT193" s="260">
        <f>DU193*(1+$EB193+各项系数!$J$5+各项系数!$L$5)</f>
        <v>33.738847423791</v>
      </c>
      <c r="DU193" s="262">
        <f t="shared" si="598"/>
        <v>32.7561625473699</v>
      </c>
      <c r="DV193" s="259">
        <f>DW193+各项系数!$M$9*$NV193</f>
        <v>33.1204215380576</v>
      </c>
      <c r="DW193" s="259">
        <f t="shared" si="599"/>
        <v>32.7876090347769</v>
      </c>
      <c r="DX193" s="260">
        <f>DY193+各项系数!$L$9*$NV193</f>
        <v>33.4567439130376</v>
      </c>
      <c r="DY193" s="260">
        <f>DZ193*(1+$EB193+各项系数!$J$5+各项系数!$L$5)</f>
        <v>33.1239314097569</v>
      </c>
      <c r="DZ193" s="262">
        <f t="shared" si="600"/>
        <v>32.1591567085018</v>
      </c>
      <c r="EA193" s="277">
        <f t="shared" si="826"/>
        <v>0</v>
      </c>
      <c r="EB193" s="277">
        <f t="shared" si="601"/>
        <v>0.01</v>
      </c>
      <c r="EC193" s="302">
        <f t="shared" si="649"/>
        <v>19</v>
      </c>
      <c r="ED193" s="302" t="str">
        <f t="shared" si="834"/>
        <v>19*2.5</v>
      </c>
      <c r="EE193" s="251">
        <f t="shared" si="835"/>
        <v>2.5</v>
      </c>
      <c r="EF193" s="251">
        <f>LOOKUP(EH193,{1,7,10,14,19,24,30,37,48,61},{1,"1+6","2+8","4+10","1+6+12","2+8+14","4+10+16","1+6+12+18","3+9+15+21","1+6+12+18+24"})</f>
        <v>1</v>
      </c>
      <c r="EG193" s="250">
        <f t="shared" si="602"/>
        <v>19</v>
      </c>
      <c r="EH193" s="260">
        <f>VLOOKUP(EE193,各项系数!$B$87:$C$124,2,0)</f>
        <v>1</v>
      </c>
      <c r="EI193" s="250">
        <f>IF(EH193=0,0,VLOOKUP(EH193,各项系数!$D$142:$E$195,2,0))*1</f>
        <v>1</v>
      </c>
      <c r="EJ193" s="305">
        <f t="shared" si="650"/>
        <v>172.412400708262</v>
      </c>
      <c r="EK193" s="251">
        <f t="shared" si="836"/>
        <v>0</v>
      </c>
      <c r="EL193" s="251">
        <f t="shared" si="603"/>
        <v>0</v>
      </c>
      <c r="EM193" s="251">
        <f t="shared" si="837"/>
        <v>0</v>
      </c>
      <c r="EN193" s="251">
        <f>IF(EP193=0,0,LOOKUP(EP193,{1,7,10,14,19,24,30,37,48,61},{1,"1+6","2+8","4+10","1+6+12","2+8+14","4+10+16","1+6+12+18","3+9+15+21","1+6+12+18+24"}))</f>
        <v>0</v>
      </c>
      <c r="EO193" s="251">
        <f t="shared" si="838"/>
        <v>0</v>
      </c>
      <c r="EP193" s="251">
        <f>IF(EM193=0,0,IF(EM193&lt;10,1,IF(AND(EM193&gt;=10,EM193&lt;=35),7,LOOKUP(EM193,{50,70,95,120,150,185,240,300},{10,14,19,24,30,37,48,61})*1)))</f>
        <v>0</v>
      </c>
      <c r="EQ193" s="251">
        <f>IF(EP193=0,0,VLOOKUP(EP193,各项系数!$D$142:$E$195,2,0))*1</f>
        <v>0</v>
      </c>
      <c r="ER193" s="69">
        <f t="shared" si="839"/>
        <v>0</v>
      </c>
      <c r="ES193" s="566">
        <f t="shared" si="840"/>
        <v>19</v>
      </c>
      <c r="ET193" s="251">
        <f>VLOOKUP(ES193,各项系数!$D$142:$E$195,2,0)*1</f>
        <v>5</v>
      </c>
      <c r="EU193" s="311">
        <f>((各项系数!$F$76/4*$EJ193^2*$EG193*$EH193*1*10^-7)*(1-$H193)*AA193)*(VLOOKUP($EY$9,各项系数!$D$4:$F$143,3,0))*各项系数!$J$4</f>
        <v>0.392378608089155</v>
      </c>
      <c r="EV193" s="312">
        <f>EU193*(VLOOKUP($EY$9,各项系数!$D$4:$F$143,2,0))</f>
        <v>25.7007988298397</v>
      </c>
      <c r="EW193" s="324">
        <f>(IF($EO193=0,0,(各项系数!$F$76/4*$ER193^2*$EO193*$EP193*1*10^-7))*(1-$K193)*$AF193)*(VLOOKUP($EY$9,各项系数!$D$4:$F$143,3,0))*各项系数!$J$4</f>
        <v>0</v>
      </c>
      <c r="EX193" s="325">
        <f>EW193*(VLOOKUP($EY$9,各项系数!$D$4:$F$143,2,0))</f>
        <v>0</v>
      </c>
      <c r="EY193" s="251">
        <f>((各项系数!$F$76/4*$EJ193^2*$EG193*$EH193*1*10^-7)*(1-$H193)*AA193+IF($EO193=0,0,(各项系数!$F$76/4*$ER193^2*$EO193*$EP193*1*10^-7))*(1-$K193)*$AF193)*(VLOOKUP($EY$9,各项系数!$D$4:$F$143,3,0))*各项系数!$J$4</f>
        <v>0.392378608089155</v>
      </c>
      <c r="EZ193" s="123">
        <v>1</v>
      </c>
      <c r="FA193" s="251">
        <f t="shared" si="841"/>
        <v>0.392378608089155</v>
      </c>
      <c r="FB193" s="326">
        <f>FA193*(VLOOKUP($EY$9,各项系数!$D$4:$F$143,2,0))</f>
        <v>25.7007988298397</v>
      </c>
      <c r="FC193" s="327"/>
      <c r="FD193" s="302">
        <f>各项系数!$F$76/4*($MN193^2-MK193^2)*10^-2*(VLOOKUP(L193,各项系数!$D$1:$F$143,3,0))*10^-3*10^2*$EG193*各项系数!$J$4</f>
        <v>0.110859295066298</v>
      </c>
      <c r="FE193" s="339">
        <f>FD193*VLOOKUP(L193,各项系数!$D$1:$F$143,2,0)</f>
        <v>1.27488189326242</v>
      </c>
      <c r="FF193" s="250">
        <f>各项系数!$F$76/4*($MO193^2-ML193^2)*10^-2*(VLOOKUP(L193,各项系数!$D$1:$F$143,3,0))*10^-3*10^2*$EO193*各项系数!$J$4</f>
        <v>0</v>
      </c>
      <c r="FG193" s="339">
        <f>FF193*VLOOKUP(L193,各项系数!$D$1:$F$143,2,0)</f>
        <v>0</v>
      </c>
      <c r="FH193" s="302">
        <f t="shared" si="651"/>
        <v>0.110859295066298</v>
      </c>
      <c r="FI193" s="123">
        <v>1</v>
      </c>
      <c r="FJ193" s="251">
        <f t="shared" si="842"/>
        <v>0.110859295066298</v>
      </c>
      <c r="FK193" s="339">
        <f>FJ193*VLOOKUP(L193,各项系数!$D$1:$F$143,2,0)</f>
        <v>1.27488189326242</v>
      </c>
      <c r="FL193" s="302"/>
      <c r="FM193" s="123"/>
      <c r="FN193" s="251"/>
      <c r="FO193" s="339"/>
      <c r="FP193" s="364">
        <f t="shared" si="843"/>
        <v>0.110859295066298</v>
      </c>
      <c r="FQ193" s="364">
        <f t="shared" si="844"/>
        <v>1.27488189326242</v>
      </c>
      <c r="FR193" s="365">
        <f>各项系数!$F$76/4*($MQ193^2-$MN193^2*$EG193-$MO193^2*$EO193)*10^-2</f>
        <v>0.459936272175176</v>
      </c>
      <c r="FS193" s="366">
        <f t="shared" si="652"/>
        <v>1</v>
      </c>
      <c r="FT193" s="367">
        <f t="shared" si="604"/>
        <v>0.459936272175176</v>
      </c>
      <c r="FU193" s="388">
        <f>$FT193*(VLOOKUP($FT$9,各项系数!$D$1:$F$143,3,0))*10^-3*10^2*各项系数!$J$55</f>
        <v>0.054916390897716</v>
      </c>
      <c r="FV193" s="389">
        <v>1</v>
      </c>
      <c r="FW193" s="390">
        <f t="shared" si="845"/>
        <v>0.054916390897716</v>
      </c>
      <c r="FX193" s="367">
        <f>FW193*(VLOOKUP($FT$9,各项系数!$D$1:$F$143,2,0))</f>
        <v>0.164749172693148</v>
      </c>
      <c r="FY193" s="388">
        <f>IF($BK193&lt;&gt;$FY$9,0,各项系数!$F$76/4*($MS193^2-$MQ193^2)*10^-2*(VLOOKUP($FY$9,各项系数!$D$1:$F$143,3,0))*10^-3*10^2)*各项系数!$J$4</f>
        <v>0</v>
      </c>
      <c r="FZ193" s="389">
        <v>1</v>
      </c>
      <c r="GA193" s="390">
        <f t="shared" si="846"/>
        <v>0</v>
      </c>
      <c r="GB193" s="367">
        <f>GA193*(VLOOKUP($FY$9,各项系数!$D$1:$F$143,2,0))</f>
        <v>0</v>
      </c>
      <c r="GC193" s="388">
        <f>IF($BK193&lt;&gt;$GC$9,0,各项系数!$F$76/4*($MS193^2-$MQ193^2)*10^-2*(VLOOKUP($GC$9,各项系数!$D$1:$F$143,3,0))*10^-3*10^2)*各项系数!$J$4</f>
        <v>0.00427788253826331</v>
      </c>
      <c r="GD193" s="389">
        <v>1</v>
      </c>
      <c r="GE193" s="390">
        <f t="shared" si="847"/>
        <v>0.00427788253826331</v>
      </c>
      <c r="GF193" s="367">
        <f>GE193*(VLOOKUP($GC$9,各项系数!$D$1:$F$143,2,0))</f>
        <v>0.0551846847435967</v>
      </c>
      <c r="GG193" s="388">
        <f>IF($BK193&lt;&gt;$GG$9,0,各项系数!$F$76/4*($MS193^2-$MQ193^2)*10^-2*(VLOOKUP($GG$9,各项系数!$D$1:$F$143,3,0))*10^-3*10^2)*各项系数!$J$4</f>
        <v>0</v>
      </c>
      <c r="GH193" s="389">
        <v>1</v>
      </c>
      <c r="GI193" s="390">
        <f t="shared" si="848"/>
        <v>0</v>
      </c>
      <c r="GJ193" s="367">
        <f>GI193*(VLOOKUP($GG$9,各项系数!$D$1:$F$143,2,0))</f>
        <v>0</v>
      </c>
      <c r="GK193" s="388">
        <f>IF($BK193&lt;&gt;$GK$9,0,各项系数!$F$76/4*($MS193^2-$MQ193^2)*10^-2*(VLOOKUP($GK$9,各项系数!$D$1:$F$143,3,0))*10^-3*10^2)*各项系数!$J$4</f>
        <v>0</v>
      </c>
      <c r="GL193" s="389">
        <v>1</v>
      </c>
      <c r="GM193" s="390">
        <f t="shared" si="849"/>
        <v>0</v>
      </c>
      <c r="GN193" s="367">
        <f>GM193*(VLOOKUP($GK$9,各项系数!$D$1:$F$143,2,0))</f>
        <v>0</v>
      </c>
      <c r="GO193" s="390">
        <f t="shared" si="850"/>
        <v>0.00427788253826331</v>
      </c>
      <c r="GP193" s="390">
        <f t="shared" si="851"/>
        <v>0.0551846847435967</v>
      </c>
      <c r="GQ193" s="406">
        <f>各项系数!$F$76/4*($MU193^2-$MS193^2)*10^-2*(VLOOKUP($S193,各项系数!$D$1:$F$143,3,0))*10^-3*10^2*各项系数!$J$4</f>
        <v>0.240483503311702</v>
      </c>
      <c r="GR193" s="389">
        <v>1</v>
      </c>
      <c r="GS193" s="390">
        <f t="shared" si="852"/>
        <v>0.240483503311702</v>
      </c>
      <c r="GT193" s="390">
        <f t="shared" si="696"/>
        <v>0</v>
      </c>
      <c r="GU193" s="390">
        <f>ROUND($GS193*(VLOOKUP($S193,各项系数!$D$1:$F$143,2,0))+$E$3*GS193,GT193)</f>
        <v>1</v>
      </c>
      <c r="GV193" s="406">
        <f>各项系数!$F$76/4*($MT193^2-$MS193^2)*10^-2*(VLOOKUP($GV$9,各项系数!$D$1:$F$143,3,0))*10^-3*10^2*各项系数!$J$4*PI()/4*R193</f>
        <v>0.0221769910590891</v>
      </c>
      <c r="GW193" s="389">
        <v>1</v>
      </c>
      <c r="GX193" s="390">
        <f t="shared" si="853"/>
        <v>0.0221769910590891</v>
      </c>
      <c r="GY193" s="390">
        <f>$GX193*(VLOOKUP($GV$9,各项系数!$D$1:$F$143,2,0))</f>
        <v>1.49694689648851</v>
      </c>
      <c r="GZ193" s="406">
        <f>各项系数!$F$76/4*($MV193^2-$MS193^2)*10^-2*(VLOOKUP($GZ$9,各项系数!$D$1:$F$143,3,0))*10^-3*10^2*各项系数!$J$4</f>
        <v>0.143563063612991</v>
      </c>
      <c r="HA193" s="389">
        <v>1</v>
      </c>
      <c r="HB193" s="390">
        <f t="shared" si="653"/>
        <v>0.143563063612991</v>
      </c>
      <c r="HC193" s="390">
        <f>HB193*(VLOOKUP($GZ$9,各项系数!$D$1:$F$143,2,0))</f>
        <v>2.44057208142085</v>
      </c>
      <c r="HD193" s="406">
        <f>各项系数!$F$76/4*($MW193^2-$MT193^2)*10^-2*(VLOOKUP($HD$9,各项系数!$D$1:$F$143,3,0))*10^-3*10^2*各项系数!$J$4</f>
        <v>0.144868433059669</v>
      </c>
      <c r="HE193" s="389">
        <v>1</v>
      </c>
      <c r="HF193" s="390">
        <f t="shared" si="654"/>
        <v>0.144868433059669</v>
      </c>
      <c r="HG193" s="390">
        <f>HF193*(VLOOKUP($HD$9,各项系数!$D$1:$F$143,2,0))</f>
        <v>2.46276336201438</v>
      </c>
      <c r="HH193" s="406">
        <f>各项系数!$F$76/4*($MV193^2-$MS193^2)*10^-2*(VLOOKUP($HH$9,各项系数!$D$1:$F$143,3,0))*10^-3*10^2*各项系数!$J$4</f>
        <v>0.143563063612991</v>
      </c>
      <c r="HI193" s="420">
        <v>1</v>
      </c>
      <c r="HJ193" s="390">
        <f t="shared" si="655"/>
        <v>0.143563063612991</v>
      </c>
      <c r="HK193" s="390">
        <f>HJ193*(VLOOKUP($HH$9,各项系数!$D$1:$F$143,2,0))</f>
        <v>2.44057208142085</v>
      </c>
      <c r="HL193" s="406">
        <f>各项系数!$F$76/4*($MW193^2-$MT193^2)*10^-2*(VLOOKUP($HL$9,各项系数!$D$1:$F$143,3,0))*10^-3*10^2*各项系数!$J$4</f>
        <v>0.144868433059669</v>
      </c>
      <c r="HM193" s="420">
        <v>1</v>
      </c>
      <c r="HN193" s="390">
        <f t="shared" si="605"/>
        <v>0.144868433059669</v>
      </c>
      <c r="HO193" s="390">
        <f>HN193*(VLOOKUP($HL$9,各项系数!$D$1:$F$143,2,0))</f>
        <v>2.46276336201438</v>
      </c>
      <c r="HP193" s="406">
        <f>各项系数!$F$76/4*($MV193^2-$MS193^2)*10^-2*(VLOOKUP(AN193,各项系数!$D$1:$F$143,3,0))*10^-3*10^2*各项系数!$J$4</f>
        <v>0.145543243800756</v>
      </c>
      <c r="HQ193" s="389">
        <v>1</v>
      </c>
      <c r="HR193" s="390">
        <f t="shared" si="854"/>
        <v>0.145543243800756</v>
      </c>
      <c r="HS193" s="390">
        <f>HR193*(VLOOKUP(AN193,各项系数!$D$1:$F$143,2,0))</f>
        <v>1.45543243800756</v>
      </c>
      <c r="HT193" s="406">
        <f>各项系数!$F$76/4*($MW193^2-$MT193^2)*10^-2*(VLOOKUP(AN193,各项系数!$D$1:$F$143,3,0))*10^-3*10^2*各项系数!$J$4</f>
        <v>0.146866618343251</v>
      </c>
      <c r="HU193" s="389">
        <v>1</v>
      </c>
      <c r="HV193" s="390">
        <f t="shared" si="855"/>
        <v>0.146866618343251</v>
      </c>
      <c r="HW193" s="390">
        <f>HV193*(VLOOKUP(AN193,各项系数!$D$1:$F$143,2,0))</f>
        <v>1.46866618343251</v>
      </c>
      <c r="HX193" s="406">
        <f>各项系数!$F$76/4*($MV193^2-$MS193^2)*10^-2*(VLOOKUP($HX$9,各项系数!$D$1:$F$143,3,0))*10^-3*10^2*各项系数!$J$4</f>
        <v>0.145543243800756</v>
      </c>
      <c r="HY193" s="420">
        <v>1</v>
      </c>
      <c r="HZ193" s="390">
        <f t="shared" si="856"/>
        <v>0.145543243800756</v>
      </c>
      <c r="IA193" s="390">
        <f>HZ193*(VLOOKUP($HX$9,各项系数!$D$1:$F$143,2,0))</f>
        <v>1.60097568180832</v>
      </c>
      <c r="IB193" s="406">
        <f>各项系数!$F$76/4*($MW193^2-$MT193^2)*10^-2*(VLOOKUP($IB$9,各项系数!$D$1:$F$143,3,0))*10^-3*10^2*各项系数!$J$4</f>
        <v>0.146866618343251</v>
      </c>
      <c r="IC193" s="420">
        <v>1</v>
      </c>
      <c r="ID193" s="390">
        <f t="shared" si="857"/>
        <v>0.146866618343251</v>
      </c>
      <c r="IE193" s="390">
        <f>ID193*(VLOOKUP($IB$9,各项系数!$D$1:$F$143,2,0))</f>
        <v>1.61553280177576</v>
      </c>
      <c r="IF193" s="429"/>
      <c r="IG193" s="406">
        <f t="shared" si="656"/>
        <v>0.0540973740731694</v>
      </c>
      <c r="IH193" s="389">
        <v>1</v>
      </c>
      <c r="II193" s="390">
        <f t="shared" si="858"/>
        <v>0.0540973740731694</v>
      </c>
      <c r="IJ193" s="390">
        <f>II193*(VLOOKUP($IG$8,各项系数!$D$1:$F$143,2,0))</f>
        <v>1.35243435182923</v>
      </c>
      <c r="IK193" s="406">
        <f>(各项系数!$F$76/4*($MX193^2-$MK193^2)*$EG193)*10^-2*(VLOOKUP($IG$8,各项系数!$D$1:$F$143,3,0))*10^-3*10^2*各项系数!$J$4</f>
        <v>0.0540973740731694</v>
      </c>
      <c r="IL193" s="389">
        <f>IK193*(VLOOKUP($IG$8,各项系数!$D$1:$F$143,2,0))</f>
        <v>1.35243435182923</v>
      </c>
      <c r="IM193" s="390">
        <f>(各项系数!$F$76/4*(($MM193+3*$X193)^2-MM193^2)*$EO193)*10^-2*(VLOOKUP($IG$8,各项系数!$D$1:$F$143,3,0))*10^-3*10^2*各项系数!$J$4</f>
        <v>0</v>
      </c>
      <c r="IN193" s="389">
        <f>IM193*(VLOOKUP($IG$8,各项系数!$D$1:$F$143,2,0))</f>
        <v>0</v>
      </c>
      <c r="IO193" s="406">
        <f>各项系数!$F$76/4*($MZ193^2-$MX193^2)*10^-2*(VLOOKUP(L193,各项系数!$D$1:$F$143,3,0))*10^-3*10^2*$ES193*各项系数!$J$4</f>
        <v>0.138298310877943</v>
      </c>
      <c r="IP193" s="389">
        <v>1</v>
      </c>
      <c r="IQ193" s="390">
        <f t="shared" si="859"/>
        <v>0.138298310877943</v>
      </c>
      <c r="IR193" s="367">
        <f>IQ193*(VLOOKUP(L193,各项系数!$D$1:$F$143,2,0))</f>
        <v>1.59043057509634</v>
      </c>
      <c r="IS193" s="406">
        <f>IF($L193&lt;&gt;$IS$9,0,各项系数!$F$76/4*($MZ193^2-$MX193^2)*10^-2*各项系数!$F$12*10^-3*10^2)*$ES193*各项系数!$J$4</f>
        <v>0</v>
      </c>
      <c r="IT193" s="389">
        <v>1</v>
      </c>
      <c r="IU193" s="390">
        <f t="shared" si="860"/>
        <v>0</v>
      </c>
      <c r="IV193" s="367">
        <f>IU193*各项系数!$E$12</f>
        <v>0</v>
      </c>
      <c r="IW193" s="388">
        <f t="shared" si="861"/>
        <v>0.138298310877943</v>
      </c>
      <c r="IX193" s="388">
        <f t="shared" si="862"/>
        <v>1.59043057509634</v>
      </c>
      <c r="IY193" s="447">
        <f>各项系数!$F$76/4*($NB193^2-$MZ193^2*$EG193-$NA193^2*$EO193)*10^-2</f>
        <v>0.65356592320151</v>
      </c>
      <c r="IZ193" s="366">
        <f t="shared" si="697"/>
        <v>1</v>
      </c>
      <c r="JA193" s="367">
        <f t="shared" si="606"/>
        <v>0.65356592320151</v>
      </c>
      <c r="JB193" s="364">
        <f>IF($DE193&lt;&gt;$JB$9,0,$JA193*各项系数!$F$32*10^-3*10^2)*各项系数!$J$4</f>
        <v>0</v>
      </c>
      <c r="JC193" s="123">
        <v>1</v>
      </c>
      <c r="JD193" s="251">
        <f t="shared" si="863"/>
        <v>0</v>
      </c>
      <c r="JE193" s="339">
        <f>JD193*各项系数!$E$32</f>
        <v>0</v>
      </c>
      <c r="JF193" s="364">
        <f>IF($DE193&lt;&gt;$JF$9,0,$JA193*VLOOKUP($JF$9,各项系数!$D$4:$F$540,2,0)*10^-3*10^2)*各项系数!$J$4</f>
        <v>0.325149046792751</v>
      </c>
      <c r="JG193" s="123">
        <v>1</v>
      </c>
      <c r="JH193" s="251">
        <f t="shared" si="607"/>
        <v>0.325149046792751</v>
      </c>
      <c r="JI193" s="339">
        <f>JH193*VLOOKUP($JF$9,各项系数!$D$4:$F$540,3,0)</f>
        <v>0.390178856151302</v>
      </c>
      <c r="JJ193" s="364">
        <f t="shared" si="864"/>
        <v>0.325149046792751</v>
      </c>
      <c r="JK193" s="251">
        <f t="shared" si="865"/>
        <v>0.390178856151302</v>
      </c>
      <c r="JL193" s="364">
        <f>IF($DF193&lt;&gt;$JL$9,0,各项系数!$F$76/4*($NE193^2-$NC193^2)*10^-2*各项系数!$F$39*10^-3*10^2)*各项系数!$J$4</f>
        <v>0.00210891662285159</v>
      </c>
      <c r="JM193" s="123">
        <v>1</v>
      </c>
      <c r="JN193" s="251">
        <f t="shared" si="866"/>
        <v>0.00210891662285159</v>
      </c>
      <c r="JO193" s="339">
        <f>JN193*各项系数!$E$39</f>
        <v>0.0421783324570319</v>
      </c>
      <c r="JP193" s="364">
        <f>IF($DF193&lt;&gt;$JP$9,0,各项系数!$F$76/4*($NE193^2-$NC193^2)*10^-2*各项系数!$F$36*10^-3*10^2)*各项系数!$J$4</f>
        <v>0</v>
      </c>
      <c r="JQ193" s="123">
        <v>1</v>
      </c>
      <c r="JR193" s="251">
        <f t="shared" si="867"/>
        <v>0</v>
      </c>
      <c r="JS193" s="339">
        <f>JR193*各项系数!$E$36</f>
        <v>0</v>
      </c>
      <c r="JT193" s="364">
        <f>IF($DF193&lt;&gt;$JT$9,0,各项系数!$F$76/4*($NE193^2-$NC193^2)*10^-2*各项系数!$F$40*10^-3*10^2)*各项系数!$J$4</f>
        <v>0</v>
      </c>
      <c r="JU193" s="123">
        <v>1</v>
      </c>
      <c r="JV193" s="251">
        <f t="shared" si="868"/>
        <v>0</v>
      </c>
      <c r="JW193" s="339">
        <f>JV193*各项系数!$E$40</f>
        <v>0</v>
      </c>
      <c r="JX193" s="364">
        <f>IF($DF193&lt;&gt;$JX$9,0,各项系数!$F$76/4*($NE193^2-$NC193^2)*10^-2*各项系数!$F$38*10^-3*10^2)*各项系数!$J$4</f>
        <v>0</v>
      </c>
      <c r="JY193" s="123">
        <v>1</v>
      </c>
      <c r="JZ193" s="251">
        <f t="shared" si="869"/>
        <v>0</v>
      </c>
      <c r="KA193" s="339">
        <f>JZ193*各项系数!$E$38</f>
        <v>0</v>
      </c>
      <c r="KB193" s="364">
        <f>IF($DF193&lt;&gt;$KB$9,0,各项系数!$F$76/4*($NE193^2-$NC193^2)*10^-2*各项系数!$F$41*10^-3*10^2)*各项系数!$J$4</f>
        <v>0</v>
      </c>
      <c r="KC193" s="123">
        <v>1</v>
      </c>
      <c r="KD193" s="251">
        <f t="shared" si="870"/>
        <v>0</v>
      </c>
      <c r="KE193" s="339">
        <f>KD193*各项系数!$E$41</f>
        <v>0</v>
      </c>
      <c r="KF193" s="251">
        <f t="shared" si="871"/>
        <v>0.00210891662285159</v>
      </c>
      <c r="KG193" s="251">
        <f t="shared" si="872"/>
        <v>0.0421783324570319</v>
      </c>
      <c r="KH193" s="302">
        <f>各项系数!$F$76/4*($NG193^2-$NE193^2)*10^-2*各项系数!$F$44*10^-3*10^2*各项系数!$J$4*0.75*$U193</f>
        <v>0.856266365623677</v>
      </c>
      <c r="KI193" s="123">
        <v>1</v>
      </c>
      <c r="KJ193" s="251">
        <f t="shared" si="873"/>
        <v>0.856266365623677</v>
      </c>
      <c r="KK193" s="251">
        <f>ROUND(KJ193*各项系数!$E$43,GT193)</f>
        <v>5</v>
      </c>
      <c r="KL193" s="302">
        <f>各项系数!$F$76/4*($NF193^2-$NE193^2)*10^-2*各项系数!$F$46*10^-3*10^2*各项系数!$J$4*PI()/4*R193</f>
        <v>0.0264568881902828</v>
      </c>
      <c r="KM193" s="123">
        <v>1</v>
      </c>
      <c r="KN193" s="251">
        <f t="shared" si="874"/>
        <v>0.0264568881902828</v>
      </c>
      <c r="KO193" s="251">
        <f>KN193*各项系数!$E$46</f>
        <v>1.78583995284409</v>
      </c>
      <c r="KP193" s="302">
        <f>各项系数!$F$76/4*($NH193^2-$NE193^2)*10^-2*(VLOOKUP($KP$9,各项系数!$D$1:$F$143,3,0))*10^-3*10^2*各项系数!$J$4</f>
        <v>0.168560888516882</v>
      </c>
      <c r="KQ193" s="123">
        <v>1</v>
      </c>
      <c r="KR193" s="251">
        <f t="shared" si="657"/>
        <v>0.168560888516882</v>
      </c>
      <c r="KS193" s="251">
        <f>KR193*(VLOOKUP($KP$9,各项系数!$D$1:$F$143,2,0))</f>
        <v>2.865535104787</v>
      </c>
      <c r="KT193" s="302">
        <f>各项系数!$F$76/4*($NI193^2-$NF193^2)*10^-2*(VLOOKUP($KT$9,各项系数!$D$1:$F$143,3,0))*10^-3*10^2*各项系数!$J$4</f>
        <v>0.169866257963561</v>
      </c>
      <c r="KU193" s="123">
        <v>1</v>
      </c>
      <c r="KV193" s="251">
        <f t="shared" si="658"/>
        <v>0.169866257963561</v>
      </c>
      <c r="KW193" s="251">
        <f>KV193*(VLOOKUP($KT$9,各项系数!$D$1:$F$143,2,0))</f>
        <v>2.88772638538053</v>
      </c>
      <c r="KX193" s="251">
        <f>各项系数!$F$76/4*($NH193^2-$NE193^2)*10^-2*(VLOOKUP($KX$9,各项系数!$D$1:$F$143,3,0))*10^-3*10^2*各项系数!$J$4</f>
        <v>0.168560888516882</v>
      </c>
      <c r="KY193" s="479">
        <v>1</v>
      </c>
      <c r="KZ193" s="251">
        <f t="shared" si="659"/>
        <v>0.168560888516882</v>
      </c>
      <c r="LA193" s="251">
        <f>KZ193*(VLOOKUP($KX$9,各项系数!$D$1:$F$143,2,0))</f>
        <v>2.865535104787</v>
      </c>
      <c r="LB193" s="251">
        <f>各项系数!$F$76/4*($NI193^2-$NF193^2)*10^-2*(VLOOKUP($LB$9,各项系数!$D$1:$F$143,3,0))*10^-3*10^2*各项系数!$J$4</f>
        <v>0.169866257963561</v>
      </c>
      <c r="LC193" s="479">
        <v>1</v>
      </c>
      <c r="LD193" s="251">
        <f t="shared" si="660"/>
        <v>0.169866257963561</v>
      </c>
      <c r="LE193" s="251">
        <f>LD193*(VLOOKUP($LB$9,各项系数!$D$1:$F$143,2,0))</f>
        <v>2.88772638538053</v>
      </c>
      <c r="LF193" s="302">
        <f>各项系数!$F$76/4*($NH193^2-$NE193^2)*10^-2*(VLOOKUP(AN193,各项系数!$D$1:$F$143,3,0))*10^-3*10^2*各项系数!$J$4</f>
        <v>0.170885866289529</v>
      </c>
      <c r="LG193" s="123">
        <v>1</v>
      </c>
      <c r="LH193" s="251">
        <f t="shared" si="875"/>
        <v>0.170885866289529</v>
      </c>
      <c r="LI193" s="251">
        <f>LH193*(VLOOKUP(AN193,各项系数!$D$1:$F$143,2,0))</f>
        <v>1.70885866289529</v>
      </c>
      <c r="LJ193" s="302">
        <f>各项系数!$F$76/4*($NI193^2-$NF193^2)*10^-2*(VLOOKUP(AN193,各项系数!$D$1:$F$143,3,0))*10^-3*10^2*各项系数!$J$4</f>
        <v>0.172209240832024</v>
      </c>
      <c r="LK193" s="123">
        <v>1</v>
      </c>
      <c r="LL193" s="251">
        <f t="shared" si="876"/>
        <v>0.172209240832024</v>
      </c>
      <c r="LM193" s="251">
        <f>LL193*(VLOOKUP(AN193,各项系数!$D$1:$F$143,2,0))</f>
        <v>1.72209240832024</v>
      </c>
      <c r="LN193" s="251">
        <f>各项系数!$F$76/4*($NH193^2-$NE193^2)*10^-2*(VLOOKUP($LN$9,各项系数!$D$1:$F$143,3,0))*10^-3*10^2*各项系数!$J$4</f>
        <v>0.170885866289529</v>
      </c>
      <c r="LO193" s="479">
        <v>1</v>
      </c>
      <c r="LP193" s="251">
        <f t="shared" si="877"/>
        <v>0.170885866289529</v>
      </c>
      <c r="LQ193" s="251">
        <f>LP193*(VLOOKUP($LN$9,各项系数!$D$1:$F$143,2,0))</f>
        <v>1.87974452918482</v>
      </c>
      <c r="LR193" s="251">
        <f>各项系数!$F$76/4*($NI193^2-$NF193^2)*10^-2*(VLOOKUP($LR$9,各项系数!$D$1:$F$143,3,0))*10^-3*10^2*各项系数!$J$4</f>
        <v>0.172209240832024</v>
      </c>
      <c r="LS193" s="479">
        <v>1</v>
      </c>
      <c r="LT193" s="251">
        <f t="shared" si="878"/>
        <v>0.172209240832024</v>
      </c>
      <c r="LU193" s="251">
        <f>LT193*(VLOOKUP($LR$9,各项系数!$D$1:$F$143,2,0))</f>
        <v>1.89430164915226</v>
      </c>
      <c r="LV193" s="499">
        <f t="shared" si="661"/>
        <v>44.35887078</v>
      </c>
      <c r="LW193" s="499">
        <f t="shared" si="662"/>
        <v>44.35887078</v>
      </c>
      <c r="LX193" s="499">
        <f t="shared" si="663"/>
        <v>7.51528232582736</v>
      </c>
      <c r="LY193" s="515">
        <f t="shared" si="664"/>
        <v>0</v>
      </c>
      <c r="LZ193" s="516">
        <f t="shared" si="608"/>
        <v>1</v>
      </c>
      <c r="MA193" s="517">
        <f t="shared" si="609"/>
        <v>44.35887078</v>
      </c>
      <c r="MB193" s="517">
        <f t="shared" si="665"/>
        <v>1.72412401</v>
      </c>
      <c r="MC193" s="499">
        <f t="shared" si="666"/>
        <v>0</v>
      </c>
      <c r="MD193" s="499">
        <f t="shared" si="667"/>
        <v>0</v>
      </c>
      <c r="ME193" s="499">
        <f t="shared" si="668"/>
        <v>0</v>
      </c>
      <c r="MF193" s="499">
        <f t="shared" si="669"/>
        <v>0</v>
      </c>
      <c r="MG193" s="516">
        <f t="shared" si="670"/>
        <v>1</v>
      </c>
      <c r="MH193" s="517">
        <f t="shared" si="610"/>
        <v>0</v>
      </c>
      <c r="MI193" s="517">
        <f t="shared" si="671"/>
        <v>0</v>
      </c>
      <c r="MJ193" s="251">
        <f t="shared" si="611"/>
        <v>1.72412401</v>
      </c>
      <c r="MK193" s="251">
        <f t="shared" si="672"/>
        <v>1.72412401</v>
      </c>
      <c r="ML193" s="251">
        <f t="shared" si="879"/>
        <v>0</v>
      </c>
      <c r="MM193" s="251">
        <f t="shared" si="612"/>
        <v>0</v>
      </c>
      <c r="MN193" s="251">
        <f t="shared" si="613"/>
        <v>3.12412401</v>
      </c>
      <c r="MO193" s="251">
        <f t="shared" si="673"/>
        <v>0</v>
      </c>
      <c r="MP193" s="251">
        <f t="shared" si="674"/>
        <v>15.62062005</v>
      </c>
      <c r="MQ193" s="251">
        <f t="shared" si="880"/>
        <v>15.62062005</v>
      </c>
      <c r="MR193" s="314">
        <f t="shared" si="675"/>
        <v>15.62062005</v>
      </c>
      <c r="MS193" s="530">
        <f t="shared" si="614"/>
        <v>15.79662005</v>
      </c>
      <c r="MT193" s="530">
        <f t="shared" si="615"/>
        <v>15.95662005</v>
      </c>
      <c r="MU193" s="530">
        <f t="shared" si="616"/>
        <v>16.99662005</v>
      </c>
      <c r="MV193" s="530">
        <f t="shared" si="617"/>
        <v>19.39662005</v>
      </c>
      <c r="MW193" s="530">
        <f t="shared" si="618"/>
        <v>19.55662005</v>
      </c>
      <c r="MX193" s="326">
        <f t="shared" si="619"/>
        <v>2.32412401</v>
      </c>
      <c r="MY193" s="326">
        <f t="shared" si="620"/>
        <v>0</v>
      </c>
      <c r="MZ193" s="251">
        <f t="shared" si="621"/>
        <v>3.72412401</v>
      </c>
      <c r="NA193" s="251">
        <f t="shared" si="622"/>
        <v>0</v>
      </c>
      <c r="NB193" s="251">
        <f t="shared" si="676"/>
        <v>18.62062005</v>
      </c>
      <c r="NC193" s="326">
        <f t="shared" si="881"/>
        <v>18.62062005</v>
      </c>
      <c r="ND193" s="314">
        <f t="shared" si="677"/>
        <v>18.62062005</v>
      </c>
      <c r="NE193" s="537">
        <f t="shared" si="678"/>
        <v>18.86062005</v>
      </c>
      <c r="NF193" s="530">
        <f t="shared" si="623"/>
        <v>19.02062005</v>
      </c>
      <c r="NG193" s="538">
        <f t="shared" si="624"/>
        <v>20.06062005</v>
      </c>
      <c r="NH193" s="326">
        <f t="shared" si="625"/>
        <v>22.46062005</v>
      </c>
      <c r="NI193" s="530">
        <f t="shared" si="626"/>
        <v>22.62062005</v>
      </c>
      <c r="NK193" s="539">
        <f t="shared" si="627"/>
        <v>0.707975420392188</v>
      </c>
      <c r="NL193" s="539">
        <f t="shared" si="628"/>
        <v>28.6510470185464</v>
      </c>
      <c r="NM193" s="539">
        <f t="shared" si="629"/>
        <v>0.707975420392188</v>
      </c>
      <c r="NN193" s="539">
        <f t="shared" si="630"/>
        <v>28.7965902623471</v>
      </c>
      <c r="NO193" s="539">
        <f t="shared" si="631"/>
        <v>1.0829181227454</v>
      </c>
      <c r="NP193" s="539">
        <f t="shared" si="632"/>
        <v>30.7848796082689</v>
      </c>
      <c r="NQ193" s="539">
        <f t="shared" si="633"/>
        <v>1.0829181227454</v>
      </c>
      <c r="NR193" s="539">
        <f t="shared" si="634"/>
        <v>30.9557654745584</v>
      </c>
      <c r="NS193" s="539">
        <f t="shared" si="635"/>
        <v>0.730152411451278</v>
      </c>
      <c r="NT193" s="539">
        <f t="shared" si="636"/>
        <v>0.730152411451278</v>
      </c>
      <c r="NU193" s="539">
        <f t="shared" si="637"/>
        <v>1.10937501093568</v>
      </c>
      <c r="NV193" s="539">
        <f t="shared" si="638"/>
        <v>1.10937501093568</v>
      </c>
      <c r="NW193">
        <f t="shared" si="639"/>
        <v>0.94845892370389</v>
      </c>
      <c r="NX193">
        <f>各项系数!$M$9*NK193</f>
        <v>0.212392626117657</v>
      </c>
      <c r="NY193">
        <f t="shared" si="640"/>
        <v>0.730152411451277</v>
      </c>
    </row>
    <row r="194" customHeight="1" spans="1:389">
      <c r="A194" s="85"/>
      <c r="B194" s="86"/>
      <c r="C194" s="218"/>
      <c r="D194" s="123" t="s">
        <v>263</v>
      </c>
      <c r="E194" s="77">
        <f t="shared" si="829"/>
        <v>20.42758097</v>
      </c>
      <c r="F194" s="559">
        <f t="shared" si="820"/>
        <v>172.412400708262</v>
      </c>
      <c r="G194" s="23"/>
      <c r="H194" s="23"/>
      <c r="I194" s="174">
        <v>0</v>
      </c>
      <c r="J194" s="23"/>
      <c r="K194" s="23"/>
      <c r="L194" s="118" t="s">
        <v>469</v>
      </c>
      <c r="M194" s="124">
        <f t="shared" si="582"/>
        <v>0.7</v>
      </c>
      <c r="N194" s="124">
        <f t="shared" si="804"/>
        <v>0</v>
      </c>
      <c r="O194" s="69">
        <f t="shared" si="825"/>
        <v>0.08</v>
      </c>
      <c r="P194" s="120">
        <v>0.1</v>
      </c>
      <c r="Q194" s="162">
        <f t="shared" ref="Q194:Q203" si="882">$Q$12</f>
        <v>0.1</v>
      </c>
      <c r="R194" s="560">
        <v>0.8</v>
      </c>
      <c r="S194" s="171" t="str">
        <f>各项系数!$D$43</f>
        <v>钢带</v>
      </c>
      <c r="T194" s="123">
        <v>0.2</v>
      </c>
      <c r="U194" s="78">
        <v>4</v>
      </c>
      <c r="V194" s="172"/>
      <c r="W194" s="170">
        <f t="shared" si="828"/>
        <v>1.8</v>
      </c>
      <c r="X194" s="164">
        <f t="shared" ref="X194:X203" si="883">$X$12</f>
        <v>0.2</v>
      </c>
      <c r="Y194" s="219"/>
      <c r="Z194" s="220"/>
      <c r="AA194" s="217">
        <v>1</v>
      </c>
      <c r="AB194" s="186">
        <f>PI()*EJ194*EJ194/4*EH194*(1-H194)*AA194*各项系数!$F$5*各项系数!$J$4*10^-7</f>
        <v>0.0206515056889029</v>
      </c>
      <c r="AC194" s="186">
        <f t="shared" si="830"/>
        <v>172.412400708262</v>
      </c>
      <c r="AD194" s="186">
        <f t="shared" si="584"/>
        <v>2.3346774015073</v>
      </c>
      <c r="AE194" s="186">
        <f>POWER(4*EU194/PI()/EG194/10^-7/EH194/(1-H194)/各项系数!$F$5/各项系数!$J$4,0.5)</f>
        <v>172.412400708262</v>
      </c>
      <c r="AF194" s="218">
        <v>1</v>
      </c>
      <c r="AG194" s="85">
        <f>IF(EM194=0,0,PI()*ER194*ER194/4*EP194*(1-K194)*(1+AF194)*各项系数!$F$5*各项系数!$J$4*10^-7)</f>
        <v>0</v>
      </c>
      <c r="AH194" s="85">
        <f t="shared" si="831"/>
        <v>0</v>
      </c>
      <c r="AI194" s="85">
        <f t="shared" si="641"/>
        <v>0</v>
      </c>
      <c r="AJ194" s="85">
        <f>IF(OR(EP194="",EP194=0),0,POWER(4*EW194/PI()/EO194/10^-7/EP194/(1-K194)/各项系数!$F$5/各项系数!$J$4,0.5))</f>
        <v>0</v>
      </c>
      <c r="AK194" s="85" t="str">
        <f t="shared" si="585"/>
        <v>√</v>
      </c>
      <c r="AL194" s="85">
        <f t="shared" si="832"/>
        <v>31.2817328403296</v>
      </c>
      <c r="AM194" s="250">
        <f t="shared" si="833"/>
        <v>2.5</v>
      </c>
      <c r="AN194" s="118" t="s">
        <v>486</v>
      </c>
      <c r="AO194" s="259">
        <f>AP194+各项系数!$M$9*$NK194</f>
        <v>30.6683655297349</v>
      </c>
      <c r="AP194" s="259">
        <f>AQ194*(1+$BI194+(VLOOKUP($AM194,$A$12:$B$323,2,0))+各项系数!$J$6+各项系数!$M$5)*(1+$E$2)</f>
        <v>30.4387702583042</v>
      </c>
      <c r="AQ194" s="260">
        <f>AR194+各项系数!$L$9*$NK194</f>
        <v>31.0599696513308</v>
      </c>
      <c r="AR194" s="260">
        <f>AS194*(1+$BJ194+各项系数!$J$5+各项系数!$L$5)</f>
        <v>30.8303743799001</v>
      </c>
      <c r="AS194" s="260">
        <f t="shared" si="642"/>
        <v>30.2258572351962</v>
      </c>
      <c r="AT194" s="259">
        <f>AU194+各项系数!$M$9*$NM194</f>
        <v>31.7108059594837</v>
      </c>
      <c r="AU194" s="259">
        <f>AV194*(1+$BI194+(VLOOKUP($AM194,$A$12:$B$323,2,0))+各项系数!$J$6+各项系数!$M$5)*(1+$E$2)</f>
        <v>31.481210688053</v>
      </c>
      <c r="AV194" s="260">
        <f>AW194+各项系数!$L$9*$NM194</f>
        <v>32.1236843755643</v>
      </c>
      <c r="AW194" s="260">
        <f>AX194*(1+$BJ194+各项系数!$J$5+各项系数!$L$5)</f>
        <v>31.8940891041336</v>
      </c>
      <c r="AX194" s="260">
        <f t="shared" si="643"/>
        <v>31.2687148079741</v>
      </c>
      <c r="AY194" s="259">
        <f>AZ194+各项系数!$M$9*$NS194</f>
        <v>32.2891371921824</v>
      </c>
      <c r="AZ194" s="259">
        <f>BA194*(1+$BI194+(VLOOKUP($AM194,$A$12:$B$214,2,0))+各项系数!$J$6+各项系数!$M$5)*(1+$E$2)</f>
        <v>32.0524567992809</v>
      </c>
      <c r="BA194" s="260">
        <f>BB194+各项系数!$L$9*$NS194</f>
        <v>32.7065885706948</v>
      </c>
      <c r="BB194" s="260">
        <f>BC194*(1+$BJ194+各项系数!$J$5+各项系数!$L$5)</f>
        <v>32.4699081777932</v>
      </c>
      <c r="BC194" s="262">
        <f t="shared" si="644"/>
        <v>31.833243311562</v>
      </c>
      <c r="BD194" s="259">
        <f>BE194+各项系数!$M$9*$NS194</f>
        <v>33.3405315740857</v>
      </c>
      <c r="BE194" s="259">
        <f>BF194*(1+$BI194+(VLOOKUP($AM194,$A$12:$B$214,2,0))+各项系数!$J$6+各项系数!$M$5)*(1+$E$2)</f>
        <v>33.1038511811842</v>
      </c>
      <c r="BF194" s="260">
        <f>BG194+各项系数!$L$9*$NS194</f>
        <v>33.7794399808002</v>
      </c>
      <c r="BG194" s="260">
        <f>BH194*(1+$BJ194+各项系数!$J$5+各项系数!$L$5)</f>
        <v>33.5427595878987</v>
      </c>
      <c r="BH194" s="262">
        <f t="shared" si="645"/>
        <v>32.8850584195085</v>
      </c>
      <c r="BI194" s="277"/>
      <c r="BJ194" s="272">
        <f t="shared" si="822"/>
        <v>0</v>
      </c>
      <c r="BK194" s="123" t="s">
        <v>514</v>
      </c>
      <c r="BL194" s="259">
        <f>BM194+各项系数!$M$9*$NM194</f>
        <v>31.1200976078181</v>
      </c>
      <c r="BM194" s="259">
        <f>BN194*(1+$CF194+(VLOOKUP($AM194,$A$12:$B$323,2,0))+各项系数!$J$6+各项系数!$M$5)*(1+$E$2)</f>
        <v>30.8905023363874</v>
      </c>
      <c r="BN194" s="260">
        <f>BO194+各项系数!$L$9*$NM194</f>
        <v>31.5209207514157</v>
      </c>
      <c r="BO194" s="260">
        <f>BP194*(1+$CG194+各项系数!$J$5+各项系数!$L$5)</f>
        <v>31.2913254799851</v>
      </c>
      <c r="BP194" s="260">
        <f t="shared" si="646"/>
        <v>30.3799276504709</v>
      </c>
      <c r="BQ194" s="259">
        <f>BR194+各项系数!$M$9*$NM194</f>
        <v>32.0172393646018</v>
      </c>
      <c r="BR194" s="259">
        <f>BS194*(1+$CF194+(VLOOKUP($AM194,$A$12:$B$323,2,0))+各项系数!$J$6+各项系数!$M$5)*(1+$E$2)</f>
        <v>31.7876440931711</v>
      </c>
      <c r="BS194" s="260">
        <f>BT194+各项系数!$L$9*$NM194</f>
        <v>32.436371523644</v>
      </c>
      <c r="BT194" s="260">
        <f>BU194*(1+$CG194+各项系数!$J$5+各项系数!$L$5)</f>
        <v>32.2067762522133</v>
      </c>
      <c r="BU194" s="260">
        <f t="shared" si="647"/>
        <v>31.2687148079741</v>
      </c>
      <c r="BV194" s="259">
        <f>BW194+各项系数!$M$9*$NT194</f>
        <v>32.5341088181256</v>
      </c>
      <c r="BW194" s="259">
        <f>BX194*(1+$CF194+(VLOOKUP($AM194,$A$12:$B$214,2,0))+各项系数!$J$6+各项系数!$M$5)*(1+$E$2)</f>
        <v>32.2974284252241</v>
      </c>
      <c r="BX194" s="260">
        <f>BY194+各项系数!$L$9*$NT$12</f>
        <v>32.9565596175756</v>
      </c>
      <c r="BY194" s="260">
        <f>BZ194*(1+$CG194+各项系数!$J$5+各项系数!$L$5)</f>
        <v>32.9482962144206</v>
      </c>
      <c r="BZ194" s="262">
        <f t="shared" si="586"/>
        <v>31.9886371013792</v>
      </c>
      <c r="CA194" s="259">
        <f>CB194+各项系数!$M$9*$NT194</f>
        <v>33.4389564966453</v>
      </c>
      <c r="CB194" s="259">
        <f>CC194*(1+$CF194+(VLOOKUP($AM194,$A$12:$B$214,2,0))+各项系数!$J$6+各项系数!$M$5)*(1+$E$2)</f>
        <v>33.2022761037437</v>
      </c>
      <c r="CC194" s="260">
        <f>CD194+各项系数!$L$9*$NT$12</f>
        <v>33.8798735752487</v>
      </c>
      <c r="CD194" s="260">
        <f>CE194*(1+$CG194+各项系数!$J$5+各项系数!$L$5)</f>
        <v>33.8716101720937</v>
      </c>
      <c r="CE194" s="262">
        <f t="shared" si="648"/>
        <v>32.8850584195085</v>
      </c>
      <c r="CF194" s="277">
        <f t="shared" ref="CF194:CF214" si="884">BI194+$CF$2</f>
        <v>0</v>
      </c>
      <c r="CG194" s="277">
        <f t="shared" si="587"/>
        <v>0.01</v>
      </c>
      <c r="CH194" s="123"/>
      <c r="CI194" s="259">
        <f>CJ194+各项系数!$M$9*$NO194</f>
        <v>33.5152766805304</v>
      </c>
      <c r="CJ194" s="259">
        <f>CK194*(1+$DC194+(VLOOKUP($AM194,$A$12:$B$323,2,0))+各项系数!$J$6+各项系数!$M$5)*(1+$E$2)+各项系数!$M$9*$NK194</f>
        <v>33.1389144451938</v>
      </c>
      <c r="CK194" s="260">
        <f>CL194+各项系数!$L$9*$NO194</f>
        <v>33.5809379324113</v>
      </c>
      <c r="CL194" s="260">
        <f>CM194*(1+$DD194+各项系数!$J$5+各项系数!$L$5)</f>
        <v>33.2045756970747</v>
      </c>
      <c r="CM194" s="260">
        <f t="shared" si="588"/>
        <v>32.5535055853674</v>
      </c>
      <c r="CN194" s="259">
        <f>CO194+各项系数!$M$9*$NO194</f>
        <v>34.288022046622</v>
      </c>
      <c r="CO194" s="259">
        <f>CP194*(1+$DC194+(VLOOKUP($AM194,$A$12:$B$323,2,0))+各项系数!$J$6+各项系数!$M$5)*(1+$E$2)+各项系数!$M$9*$NK194</f>
        <v>33.9116598112854</v>
      </c>
      <c r="CP194" s="260">
        <f>CQ194+各项系数!$L$9*$NO194</f>
        <v>34.3694536120967</v>
      </c>
      <c r="CQ194" s="260">
        <f>CR194*(1+$DD194+各项系数!$J$5+各项系数!$L$5)</f>
        <v>33.9930913767601</v>
      </c>
      <c r="CR194" s="260">
        <f t="shared" si="589"/>
        <v>33.3265601732942</v>
      </c>
      <c r="CS194" s="259">
        <f>CT194+各项系数!$M$9*$NU194</f>
        <v>35.2165983230781</v>
      </c>
      <c r="CT194" s="259">
        <f t="shared" si="590"/>
        <v>34.8317840252352</v>
      </c>
      <c r="CU194" s="260">
        <f>CV194+各项系数!$L$9*$NU194</f>
        <v>35.5426367604441</v>
      </c>
      <c r="CV194" s="260">
        <f>CW194*(1+$DD194+各项系数!$J$5+各项系数!$L$5)</f>
        <v>35.1578224626012</v>
      </c>
      <c r="CW194" s="262">
        <f t="shared" si="591"/>
        <v>34.468453394707</v>
      </c>
      <c r="CX194" s="259">
        <f>CY194+各项系数!$M$9*$NU194</f>
        <v>36.4505414045316</v>
      </c>
      <c r="CY194" s="259">
        <f t="shared" si="592"/>
        <v>36.0657271066887</v>
      </c>
      <c r="CZ194" s="260">
        <f>DA194+各项系数!$L$9*$NU194</f>
        <v>36.801762353764</v>
      </c>
      <c r="DA194" s="260">
        <f>DB194*(1+$DD194+各项系数!$J$5+各项系数!$L$5)</f>
        <v>36.4169480559211</v>
      </c>
      <c r="DB194" s="262">
        <f t="shared" si="593"/>
        <v>35.7028902509031</v>
      </c>
      <c r="DC194" s="277">
        <f t="shared" si="827"/>
        <v>0</v>
      </c>
      <c r="DD194" s="277">
        <f t="shared" si="594"/>
        <v>0</v>
      </c>
      <c r="DE194" s="69" t="s">
        <v>498</v>
      </c>
      <c r="DF194" s="69" t="s">
        <v>513</v>
      </c>
      <c r="DG194" s="259">
        <f>DH194+各项系数!$M$9*$NQ194</f>
        <v>34.0170536257362</v>
      </c>
      <c r="DH194" s="259">
        <f>DI194*(1+$EA194+(VLOOKUP($AM194,$A$12:$B$323,2,0))+各项系数!$J$6+各项系数!$M$5)*(1+$E$2)+各项系数!$M$9*$NK194</f>
        <v>33.6406913903996</v>
      </c>
      <c r="DI194" s="260">
        <f>DJ194+各项系数!$L$9*$NQ194</f>
        <v>34.0929552234376</v>
      </c>
      <c r="DJ194" s="260">
        <f>DK194*(1+$EB194+各项系数!$J$5+各项系数!$L$5)</f>
        <v>33.716592988101</v>
      </c>
      <c r="DK194" s="260">
        <f t="shared" si="595"/>
        <v>32.7345562991272</v>
      </c>
      <c r="DL194" s="259">
        <f>DM194+各项系数!$M$9*$NQ194</f>
        <v>35.0712998619121</v>
      </c>
      <c r="DM194" s="259">
        <f>DN194*(1+$EA194+(VLOOKUP($AM194,$A$12:$B$323,2,0))+各项系数!$J$6+各项系数!$M$5)*(1+$E$2)+各项系数!$M$9*$NK194</f>
        <v>34.6949376265755</v>
      </c>
      <c r="DN194" s="260">
        <f>DO194+各项系数!$L$9*$NQ194</f>
        <v>35.1687166889233</v>
      </c>
      <c r="DO194" s="260">
        <f>DP194*(1+$EB194+各项系数!$J$5+各项系数!$L$5)</f>
        <v>34.7923544535867</v>
      </c>
      <c r="DP194" s="260">
        <f t="shared" si="596"/>
        <v>33.7789849063948</v>
      </c>
      <c r="DQ194" s="259">
        <f>DR194+各项系数!$M$9*$NV194</f>
        <v>35.7384775710786</v>
      </c>
      <c r="DR194" s="259">
        <f t="shared" si="597"/>
        <v>35.3536632732357</v>
      </c>
      <c r="DS194" s="260">
        <f>DT194+各项系数!$L$9*$NV194</f>
        <v>36.0751666053425</v>
      </c>
      <c r="DT194" s="260">
        <f>DU194*(1+$EB194+各项系数!$J$5+各项系数!$L$5)</f>
        <v>35.6903523074996</v>
      </c>
      <c r="DU194" s="262">
        <f t="shared" si="598"/>
        <v>34.6508274830094</v>
      </c>
      <c r="DV194" s="259">
        <f>DW194+各项系数!$M$9*$NV194</f>
        <v>35.1105553895144</v>
      </c>
      <c r="DW194" s="259">
        <f t="shared" si="599"/>
        <v>34.7257410916715</v>
      </c>
      <c r="DX194" s="260">
        <f>DY194+各项系数!$L$9*$NV194</f>
        <v>35.4344296853791</v>
      </c>
      <c r="DY194" s="260">
        <f>DZ194*(1+$EB194+各项系数!$J$5+各项系数!$L$5)</f>
        <v>35.0496153875362</v>
      </c>
      <c r="DZ194" s="262">
        <f t="shared" si="600"/>
        <v>34.0287528034332</v>
      </c>
      <c r="EA194" s="277">
        <f t="shared" si="826"/>
        <v>0</v>
      </c>
      <c r="EB194" s="277">
        <f t="shared" si="601"/>
        <v>0.01</v>
      </c>
      <c r="EC194" s="302">
        <f t="shared" si="649"/>
        <v>20</v>
      </c>
      <c r="ED194" s="302" t="str">
        <f t="shared" si="834"/>
        <v>20*2.5</v>
      </c>
      <c r="EE194" s="251">
        <f t="shared" si="835"/>
        <v>2.5</v>
      </c>
      <c r="EF194" s="251">
        <f>LOOKUP(EH194,{1,7,10,14,19,24,30,37,48,61},{1,"1+6","2+8","4+10","1+6+12","2+8+14","4+10+16","1+6+12+18","3+9+15+21","1+6+12+18+24"})</f>
        <v>1</v>
      </c>
      <c r="EG194" s="250">
        <f t="shared" si="602"/>
        <v>20</v>
      </c>
      <c r="EH194" s="260">
        <f>VLOOKUP(EE194,各项系数!$B$87:$C$124,2,0)</f>
        <v>1</v>
      </c>
      <c r="EI194" s="250">
        <f>IF(EH194=0,0,VLOOKUP(EH194,各项系数!$D$142:$E$195,2,0))*1</f>
        <v>1</v>
      </c>
      <c r="EJ194" s="305">
        <f t="shared" si="650"/>
        <v>172.412400708262</v>
      </c>
      <c r="EK194" s="251">
        <f t="shared" si="836"/>
        <v>0</v>
      </c>
      <c r="EL194" s="251">
        <f t="shared" si="603"/>
        <v>0</v>
      </c>
      <c r="EM194" s="251">
        <f t="shared" si="837"/>
        <v>0</v>
      </c>
      <c r="EN194" s="251">
        <f>IF(EP194=0,0,LOOKUP(EP194,{1,7,10,14,19,24,30,37,48,61},{1,"1+6","2+8","4+10","1+6+12","2+8+14","4+10+16","1+6+12+18","3+9+15+21","1+6+12+18+24"}))</f>
        <v>0</v>
      </c>
      <c r="EO194" s="251">
        <f t="shared" si="838"/>
        <v>0</v>
      </c>
      <c r="EP194" s="251">
        <f>IF(EM194=0,0,IF(EM194&lt;10,1,IF(AND(EM194&gt;=10,EM194&lt;=35),7,LOOKUP(EM194,{50,70,95,120,150,185,240,300},{10,14,19,24,30,37,48,61})*1)))</f>
        <v>0</v>
      </c>
      <c r="EQ194" s="251">
        <f>IF(EP194=0,0,VLOOKUP(EP194,各项系数!$D$142:$E$195,2,0))*1</f>
        <v>0</v>
      </c>
      <c r="ER194" s="69">
        <f t="shared" si="839"/>
        <v>0</v>
      </c>
      <c r="ES194" s="566">
        <f t="shared" si="840"/>
        <v>20</v>
      </c>
      <c r="ET194" s="251">
        <f>VLOOKUP(ES194,各项系数!$D$142:$E$195,2,0)*1</f>
        <v>5.33</v>
      </c>
      <c r="EU194" s="311">
        <f>((各项系数!$F$76/4*$EJ194^2*$EG194*$EH194*1*10^-7)*(1-$H194)*AA194)*(VLOOKUP($EY$9,各项系数!$D$4:$F$143,3,0))*各项系数!$J$4</f>
        <v>0.413030113778058</v>
      </c>
      <c r="EV194" s="312">
        <f>EU194*(VLOOKUP($EY$9,各项系数!$D$4:$F$143,2,0))</f>
        <v>27.0534724524628</v>
      </c>
      <c r="EW194" s="324">
        <f>(IF($EO194=0,0,(各项系数!$F$76/4*$ER194^2*$EO194*$EP194*1*10^-7))*(1-$K194)*$AF194)*(VLOOKUP($EY$9,各项系数!$D$4:$F$143,3,0))*各项系数!$J$4</f>
        <v>0</v>
      </c>
      <c r="EX194" s="325">
        <f>EW194*(VLOOKUP($EY$9,各项系数!$D$4:$F$143,2,0))</f>
        <v>0</v>
      </c>
      <c r="EY194" s="251">
        <f>((各项系数!$F$76/4*$EJ194^2*$EG194*$EH194*1*10^-7)*(1-$H194)*AA194+IF($EO194=0,0,(各项系数!$F$76/4*$ER194^2*$EO194*$EP194*1*10^-7))*(1-$K194)*$AF194)*(VLOOKUP($EY$9,各项系数!$D$4:$F$143,3,0))*各项系数!$J$4</f>
        <v>0.413030113778058</v>
      </c>
      <c r="EZ194" s="123">
        <v>1</v>
      </c>
      <c r="FA194" s="251">
        <f t="shared" si="841"/>
        <v>0.413030113778058</v>
      </c>
      <c r="FB194" s="326">
        <f>FA194*(VLOOKUP($EY$9,各项系数!$D$4:$F$143,2,0))</f>
        <v>27.0534724524628</v>
      </c>
      <c r="FC194" s="327"/>
      <c r="FD194" s="302">
        <f>各项系数!$F$76/4*($MN194^2-MK194^2)*10^-2*(VLOOKUP(L194,各项系数!$D$1:$F$143,3,0))*10^-3*10^2*$EG194*各项系数!$J$4</f>
        <v>0.116693994806629</v>
      </c>
      <c r="FE194" s="339">
        <f>FD194*VLOOKUP(L194,各项系数!$D$1:$F$143,2,0)</f>
        <v>1.34198094027623</v>
      </c>
      <c r="FF194" s="250">
        <f>各项系数!$F$76/4*($MO194^2-ML194^2)*10^-2*(VLOOKUP(L194,各项系数!$D$1:$F$143,3,0))*10^-3*10^2*$EO194*各项系数!$J$4</f>
        <v>0</v>
      </c>
      <c r="FG194" s="339">
        <f>FF194*VLOOKUP(L194,各项系数!$D$1:$F$143,2,0)</f>
        <v>0</v>
      </c>
      <c r="FH194" s="302">
        <f t="shared" si="651"/>
        <v>0.116693994806629</v>
      </c>
      <c r="FI194" s="123">
        <v>1</v>
      </c>
      <c r="FJ194" s="251">
        <f t="shared" si="842"/>
        <v>0.116693994806629</v>
      </c>
      <c r="FK194" s="339">
        <f>FJ194*VLOOKUP(L194,各项系数!$D$1:$F$143,2,0)</f>
        <v>1.34198094027623</v>
      </c>
      <c r="FL194" s="302"/>
      <c r="FM194" s="123"/>
      <c r="FN194" s="251"/>
      <c r="FO194" s="339"/>
      <c r="FP194" s="364">
        <f t="shared" si="843"/>
        <v>0.116693994806629</v>
      </c>
      <c r="FQ194" s="364">
        <f t="shared" si="844"/>
        <v>1.34198094027623</v>
      </c>
      <c r="FR194" s="365">
        <f>各项系数!$F$76/4*($MQ194^2-$MN194^2*$EG194-$MO194^2*$EO194)*10^-2</f>
        <v>0.644593018985817</v>
      </c>
      <c r="FS194" s="366">
        <f t="shared" si="652"/>
        <v>1</v>
      </c>
      <c r="FT194" s="367">
        <f t="shared" si="604"/>
        <v>0.644593018985817</v>
      </c>
      <c r="FU194" s="388">
        <f>$FT194*(VLOOKUP($FT$9,各项系数!$D$1:$F$143,3,0))*10^-3*10^2*各项系数!$J$55</f>
        <v>0.0769644064669066</v>
      </c>
      <c r="FV194" s="389">
        <v>1</v>
      </c>
      <c r="FW194" s="390">
        <f t="shared" si="845"/>
        <v>0.0769644064669066</v>
      </c>
      <c r="FX194" s="367">
        <f>FW194*(VLOOKUP($FT$9,各项系数!$D$1:$F$143,2,0))</f>
        <v>0.23089321940072</v>
      </c>
      <c r="FY194" s="388">
        <f>IF($BK194&lt;&gt;$FY$9,0,各项系数!$F$76/4*($MS194^2-$MQ194^2)*10^-2*(VLOOKUP($FY$9,各项系数!$D$1:$F$143,3,0))*10^-3*10^2)*各项系数!$J$4</f>
        <v>0</v>
      </c>
      <c r="FZ194" s="389">
        <v>1</v>
      </c>
      <c r="GA194" s="390">
        <f t="shared" si="846"/>
        <v>0</v>
      </c>
      <c r="GB194" s="367">
        <f>GA194*(VLOOKUP($FY$9,各项系数!$D$1:$F$143,2,0))</f>
        <v>0</v>
      </c>
      <c r="GC194" s="388">
        <f>IF($BK194&lt;&gt;$GC$9,0,各项系数!$F$76/4*($MS194^2-$MQ194^2)*10^-2*(VLOOKUP($GC$9,各项系数!$D$1:$F$143,3,0))*10^-3*10^2)*各项系数!$J$4</f>
        <v>0.00455864110924291</v>
      </c>
      <c r="GD194" s="389">
        <v>1</v>
      </c>
      <c r="GE194" s="390">
        <f t="shared" si="847"/>
        <v>0.00455864110924291</v>
      </c>
      <c r="GF194" s="367">
        <f>GE194*(VLOOKUP($GC$9,各项系数!$D$1:$F$143,2,0))</f>
        <v>0.0588064703092335</v>
      </c>
      <c r="GG194" s="388">
        <f>IF($BK194&lt;&gt;$GG$9,0,各项系数!$F$76/4*($MS194^2-$MQ194^2)*10^-2*(VLOOKUP($GG$9,各项系数!$D$1:$F$143,3,0))*10^-3*10^2)*各项系数!$J$4</f>
        <v>0</v>
      </c>
      <c r="GH194" s="389">
        <v>1</v>
      </c>
      <c r="GI194" s="390">
        <f t="shared" si="848"/>
        <v>0</v>
      </c>
      <c r="GJ194" s="367">
        <f>GI194*(VLOOKUP($GG$9,各项系数!$D$1:$F$143,2,0))</f>
        <v>0</v>
      </c>
      <c r="GK194" s="388">
        <f>IF($BK194&lt;&gt;$GK$9,0,各项系数!$F$76/4*($MS194^2-$MQ194^2)*10^-2*(VLOOKUP($GK$9,各项系数!$D$1:$F$143,3,0))*10^-3*10^2)*各项系数!$J$4</f>
        <v>0</v>
      </c>
      <c r="GL194" s="389">
        <v>1</v>
      </c>
      <c r="GM194" s="390">
        <f t="shared" si="849"/>
        <v>0</v>
      </c>
      <c r="GN194" s="367">
        <f>GM194*(VLOOKUP($GK$9,各项系数!$D$1:$F$143,2,0))</f>
        <v>0</v>
      </c>
      <c r="GO194" s="390">
        <f t="shared" si="850"/>
        <v>0.00455864110924291</v>
      </c>
      <c r="GP194" s="390">
        <f t="shared" si="851"/>
        <v>0.0588064703092335</v>
      </c>
      <c r="GQ194" s="406">
        <f>各项系数!$F$76/4*($MU194^2-$MS194^2)*10^-2*(VLOOKUP($S194,各项系数!$D$1:$F$143,3,0))*10^-3*10^2*各项系数!$J$4</f>
        <v>0.255604247285948</v>
      </c>
      <c r="GR194" s="389">
        <v>1</v>
      </c>
      <c r="GS194" s="390">
        <f t="shared" si="852"/>
        <v>0.255604247285948</v>
      </c>
      <c r="GT194" s="390">
        <f t="shared" si="696"/>
        <v>0</v>
      </c>
      <c r="GU194" s="390">
        <f>ROUND($GS194*(VLOOKUP($S194,各项系数!$D$1:$F$143,2,0))+$E$3*GS194,GT194)</f>
        <v>1</v>
      </c>
      <c r="GV194" s="406">
        <f>各项系数!$F$76/4*($MT194^2-$MS194^2)*10^-2*(VLOOKUP($GV$9,各项系数!$D$1:$F$143,3,0))*10^-3*10^2*各项系数!$J$4*PI()/4*R194</f>
        <v>0.0236170715694938</v>
      </c>
      <c r="GW194" s="389">
        <v>1</v>
      </c>
      <c r="GX194" s="390">
        <f t="shared" si="853"/>
        <v>0.0236170715694938</v>
      </c>
      <c r="GY194" s="390">
        <f>$GX194*(VLOOKUP($GV$9,各项系数!$D$1:$F$143,2,0))</f>
        <v>1.59415233094083</v>
      </c>
      <c r="GZ194" s="406">
        <f>各项系数!$F$76/4*($MV194^2-$MS194^2)*10^-2*(VLOOKUP($GZ$9,各项系数!$D$1:$F$143,3,0))*10^-3*10^2*各项系数!$J$4</f>
        <v>0.151974219148538</v>
      </c>
      <c r="HA194" s="389">
        <v>1</v>
      </c>
      <c r="HB194" s="390">
        <f t="shared" si="653"/>
        <v>0.151974219148538</v>
      </c>
      <c r="HC194" s="390">
        <f>HB194*(VLOOKUP($GZ$9,各项系数!$D$1:$F$143,2,0))</f>
        <v>2.58356172552514</v>
      </c>
      <c r="HD194" s="406">
        <f>各项系数!$F$76/4*($MW194^2-$MT194^2)*10^-2*(VLOOKUP($HD$9,各项系数!$D$1:$F$143,3,0))*10^-3*10^2*各项系数!$J$4</f>
        <v>0.153279588595216</v>
      </c>
      <c r="HE194" s="389">
        <v>1</v>
      </c>
      <c r="HF194" s="390">
        <f t="shared" si="654"/>
        <v>0.153279588595216</v>
      </c>
      <c r="HG194" s="390">
        <f>HF194*(VLOOKUP($HD$9,各项系数!$D$1:$F$143,2,0))</f>
        <v>2.60575300611867</v>
      </c>
      <c r="HH194" s="406">
        <f>各项系数!$F$76/4*($MV194^2-$MS194^2)*10^-2*(VLOOKUP($HH$9,各项系数!$D$1:$F$143,3,0))*10^-3*10^2*各项系数!$J$4</f>
        <v>0.151974219148538</v>
      </c>
      <c r="HI194" s="420">
        <v>1</v>
      </c>
      <c r="HJ194" s="390">
        <f t="shared" si="655"/>
        <v>0.151974219148538</v>
      </c>
      <c r="HK194" s="390">
        <f>HJ194*(VLOOKUP($HH$9,各项系数!$D$1:$F$143,2,0))</f>
        <v>2.58356172552514</v>
      </c>
      <c r="HL194" s="406">
        <f>各项系数!$F$76/4*($MW194^2-$MT194^2)*10^-2*(VLOOKUP($HL$9,各项系数!$D$1:$F$143,3,0))*10^-3*10^2*各项系数!$J$4</f>
        <v>0.153279588595216</v>
      </c>
      <c r="HM194" s="420">
        <v>1</v>
      </c>
      <c r="HN194" s="390">
        <f t="shared" si="605"/>
        <v>0.153279588595216</v>
      </c>
      <c r="HO194" s="390">
        <f>HN194*(VLOOKUP($HL$9,各项系数!$D$1:$F$143,2,0))</f>
        <v>2.60575300611867</v>
      </c>
      <c r="HP194" s="406">
        <f>各项系数!$F$76/4*($MV194^2-$MS194^2)*10^-2*(VLOOKUP(AN194,各项系数!$D$1:$F$143,3,0))*10^-3*10^2*各项系数!$J$4</f>
        <v>0.154070415274724</v>
      </c>
      <c r="HQ194" s="389">
        <v>1</v>
      </c>
      <c r="HR194" s="390">
        <f t="shared" si="854"/>
        <v>0.154070415274724</v>
      </c>
      <c r="HS194" s="390">
        <f>HR194*(VLOOKUP(AN194,各项系数!$D$1:$F$143,2,0))</f>
        <v>1.54070415274724</v>
      </c>
      <c r="HT194" s="406">
        <f>各项系数!$F$76/4*($MW194^2-$MT194^2)*10^-2*(VLOOKUP(AN194,各项系数!$D$1:$F$143,3,0))*10^-3*10^2*各项系数!$J$4</f>
        <v>0.155393789817219</v>
      </c>
      <c r="HU194" s="389">
        <v>1</v>
      </c>
      <c r="HV194" s="390">
        <f t="shared" si="855"/>
        <v>0.155393789817219</v>
      </c>
      <c r="HW194" s="390">
        <f>HV194*(VLOOKUP(AN194,各项系数!$D$1:$F$143,2,0))</f>
        <v>1.55393789817219</v>
      </c>
      <c r="HX194" s="406">
        <f>各项系数!$F$76/4*($MV194^2-$MS194^2)*10^-2*(VLOOKUP($HX$9,各项系数!$D$1:$F$143,3,0))*10^-3*10^2*各项系数!$J$4</f>
        <v>0.154070415274724</v>
      </c>
      <c r="HY194" s="420">
        <v>1</v>
      </c>
      <c r="HZ194" s="390">
        <f t="shared" si="856"/>
        <v>0.154070415274724</v>
      </c>
      <c r="IA194" s="390">
        <f>HZ194*(VLOOKUP($HX$9,各项系数!$D$1:$F$143,2,0))</f>
        <v>1.69477456802197</v>
      </c>
      <c r="IB194" s="406">
        <f>各项系数!$F$76/4*($MW194^2-$MT194^2)*10^-2*(VLOOKUP($IB$9,各项系数!$D$1:$F$143,3,0))*10^-3*10^2*各项系数!$J$4</f>
        <v>0.155393789817219</v>
      </c>
      <c r="IC194" s="420">
        <v>1</v>
      </c>
      <c r="ID194" s="390">
        <f t="shared" si="857"/>
        <v>0.155393789817219</v>
      </c>
      <c r="IE194" s="390">
        <f>ID194*(VLOOKUP($IB$9,各项系数!$D$1:$F$143,2,0))</f>
        <v>1.70933168798941</v>
      </c>
      <c r="IF194" s="429"/>
      <c r="IG194" s="406">
        <f t="shared" si="656"/>
        <v>0.0569446042875467</v>
      </c>
      <c r="IH194" s="389">
        <v>1</v>
      </c>
      <c r="II194" s="390">
        <f t="shared" si="858"/>
        <v>0.0569446042875467</v>
      </c>
      <c r="IJ194" s="390">
        <f>II194*(VLOOKUP($IG$8,各项系数!$D$1:$F$143,2,0))</f>
        <v>1.42361510718867</v>
      </c>
      <c r="IK194" s="406">
        <f>(各项系数!$F$76/4*($MX194^2-$MK194^2)*$EG194)*10^-2*(VLOOKUP($IG$8,各项系数!$D$1:$F$143,3,0))*10^-3*10^2*各项系数!$J$4</f>
        <v>0.0569446042875467</v>
      </c>
      <c r="IL194" s="389">
        <f>IK194*(VLOOKUP($IG$8,各项系数!$D$1:$F$143,2,0))</f>
        <v>1.42361510718867</v>
      </c>
      <c r="IM194" s="390">
        <f>(各项系数!$F$76/4*(($MM194+3*$X194)^2-MM194^2)*$EO194)*10^-2*(VLOOKUP($IG$8,各项系数!$D$1:$F$143,3,0))*10^-3*10^2*各项系数!$J$4</f>
        <v>0</v>
      </c>
      <c r="IN194" s="389">
        <f>IM194*(VLOOKUP($IG$8,各项系数!$D$1:$F$143,2,0))</f>
        <v>0</v>
      </c>
      <c r="IO194" s="406">
        <f>各项系数!$F$76/4*($MZ194^2-$MX194^2)*10^-2*(VLOOKUP(L194,各项系数!$D$1:$F$143,3,0))*10^-3*10^2*$ES194*各项系数!$J$4</f>
        <v>0.145577169345203</v>
      </c>
      <c r="IP194" s="389">
        <v>1</v>
      </c>
      <c r="IQ194" s="390">
        <f t="shared" si="859"/>
        <v>0.145577169345203</v>
      </c>
      <c r="IR194" s="367">
        <f>IQ194*(VLOOKUP(L194,各项系数!$D$1:$F$143,2,0))</f>
        <v>1.67413744746983</v>
      </c>
      <c r="IS194" s="406">
        <f>IF($L194&lt;&gt;$IS$9,0,各项系数!$F$76/4*($MZ194^2-$MX194^2)*10^-2*各项系数!$F$12*10^-3*10^2)*$ES194*各项系数!$J$4</f>
        <v>0</v>
      </c>
      <c r="IT194" s="389">
        <v>1</v>
      </c>
      <c r="IU194" s="390">
        <f t="shared" si="860"/>
        <v>0</v>
      </c>
      <c r="IV194" s="367">
        <f>IU194*各项系数!$E$12</f>
        <v>0</v>
      </c>
      <c r="IW194" s="388">
        <f t="shared" si="861"/>
        <v>0.145577169345203</v>
      </c>
      <c r="IX194" s="388">
        <f t="shared" si="862"/>
        <v>1.67413744746983</v>
      </c>
      <c r="IY194" s="447">
        <f>各项系数!$F$76/4*($NB194^2-$MZ194^2*$EG194-$NA194^2*$EO194)*10^-2</f>
        <v>0.915961747572603</v>
      </c>
      <c r="IZ194" s="366">
        <f t="shared" si="697"/>
        <v>1</v>
      </c>
      <c r="JA194" s="367">
        <f t="shared" si="606"/>
        <v>0.915961747572603</v>
      </c>
      <c r="JB194" s="364">
        <f>IF($DE194&lt;&gt;$JB$9,0,$JA194*各项系数!$F$32*10^-3*10^2)*各项系数!$J$4</f>
        <v>0</v>
      </c>
      <c r="JC194" s="123">
        <v>1</v>
      </c>
      <c r="JD194" s="251">
        <f t="shared" si="863"/>
        <v>0</v>
      </c>
      <c r="JE194" s="339">
        <f>JD194*各项系数!$E$32</f>
        <v>0</v>
      </c>
      <c r="JF194" s="364">
        <f>IF($DE194&lt;&gt;$JF$9,0,$JA194*VLOOKUP($JF$9,各项系数!$D$4:$F$540,2,0)*10^-3*10^2)*各项系数!$J$4</f>
        <v>0.45569096941737</v>
      </c>
      <c r="JG194" s="123">
        <v>1</v>
      </c>
      <c r="JH194" s="251">
        <f t="shared" si="607"/>
        <v>0.45569096941737</v>
      </c>
      <c r="JI194" s="339">
        <f>JH194*VLOOKUP($JF$9,各项系数!$D$4:$F$540,3,0)</f>
        <v>0.546829163300844</v>
      </c>
      <c r="JJ194" s="364">
        <f t="shared" si="864"/>
        <v>0.45569096941737</v>
      </c>
      <c r="JK194" s="251">
        <f t="shared" si="865"/>
        <v>0.546829163300844</v>
      </c>
      <c r="JL194" s="364">
        <f>IF($DF194&lt;&gt;$JL$9,0,各项系数!$F$76/4*($NE194^2-$NC194^2)*10^-2*各项系数!$F$39*10^-3*10^2)*各项系数!$J$4</f>
        <v>0.00224721386734555</v>
      </c>
      <c r="JM194" s="123">
        <v>1</v>
      </c>
      <c r="JN194" s="251">
        <f t="shared" si="866"/>
        <v>0.00224721386734555</v>
      </c>
      <c r="JO194" s="339">
        <f>JN194*各项系数!$E$39</f>
        <v>0.044944277346911</v>
      </c>
      <c r="JP194" s="364">
        <f>IF($DF194&lt;&gt;$JP$9,0,各项系数!$F$76/4*($NE194^2-$NC194^2)*10^-2*各项系数!$F$36*10^-3*10^2)*各项系数!$J$4</f>
        <v>0</v>
      </c>
      <c r="JQ194" s="123">
        <v>1</v>
      </c>
      <c r="JR194" s="251">
        <f t="shared" si="867"/>
        <v>0</v>
      </c>
      <c r="JS194" s="339">
        <f>JR194*各项系数!$E$36</f>
        <v>0</v>
      </c>
      <c r="JT194" s="364">
        <f>IF($DF194&lt;&gt;$JT$9,0,各项系数!$F$76/4*($NE194^2-$NC194^2)*10^-2*各项系数!$F$40*10^-3*10^2)*各项系数!$J$4</f>
        <v>0</v>
      </c>
      <c r="JU194" s="123">
        <v>1</v>
      </c>
      <c r="JV194" s="251">
        <f t="shared" si="868"/>
        <v>0</v>
      </c>
      <c r="JW194" s="339">
        <f>JV194*各项系数!$E$40</f>
        <v>0</v>
      </c>
      <c r="JX194" s="364">
        <f>IF($DF194&lt;&gt;$JX$9,0,各项系数!$F$76/4*($NE194^2-$NC194^2)*10^-2*各项系数!$F$38*10^-3*10^2)*各项系数!$J$4</f>
        <v>0</v>
      </c>
      <c r="JY194" s="123">
        <v>1</v>
      </c>
      <c r="JZ194" s="251">
        <f t="shared" si="869"/>
        <v>0</v>
      </c>
      <c r="KA194" s="339">
        <f>JZ194*各项系数!$E$38</f>
        <v>0</v>
      </c>
      <c r="KB194" s="364">
        <f>IF($DF194&lt;&gt;$KB$9,0,各项系数!$F$76/4*($NE194^2-$NC194^2)*10^-2*各项系数!$F$41*10^-3*10^2)*各项系数!$J$4</f>
        <v>0</v>
      </c>
      <c r="KC194" s="123">
        <v>1</v>
      </c>
      <c r="KD194" s="251">
        <f t="shared" si="870"/>
        <v>0</v>
      </c>
      <c r="KE194" s="339">
        <f>KD194*各项系数!$E$41</f>
        <v>0</v>
      </c>
      <c r="KF194" s="251">
        <f t="shared" si="871"/>
        <v>0.00224721386734555</v>
      </c>
      <c r="KG194" s="251">
        <f t="shared" si="872"/>
        <v>0.044944277346911</v>
      </c>
      <c r="KH194" s="302">
        <f>各项系数!$F$76/4*($NG194^2-$NE194^2)*10^-2*各项系数!$F$44*10^-3*10^2*各项系数!$J$4*0.75*$U194</f>
        <v>0.910340588220809</v>
      </c>
      <c r="KI194" s="123">
        <v>1</v>
      </c>
      <c r="KJ194" s="251">
        <f t="shared" si="873"/>
        <v>0.910340588220809</v>
      </c>
      <c r="KK194" s="251">
        <f>ROUND(KJ194*各项系数!$E$43,GT194)</f>
        <v>5</v>
      </c>
      <c r="KL194" s="302">
        <f>各项系数!$F$76/4*($NF194^2-$NE194^2)*10^-2*各项系数!$F$46*10^-3*10^2*各项系数!$J$4*PI()/4*R194</f>
        <v>0.028173541687625</v>
      </c>
      <c r="KM194" s="123">
        <v>1</v>
      </c>
      <c r="KN194" s="251">
        <f t="shared" si="874"/>
        <v>0.028173541687625</v>
      </c>
      <c r="KO194" s="251">
        <f>KN194*各项系数!$E$46</f>
        <v>1.90171406391469</v>
      </c>
      <c r="KP194" s="302">
        <f>各项系数!$F$76/4*($NH194^2-$NE194^2)*10^-2*(VLOOKUP($KP$9,各项系数!$D$1:$F$143,3,0))*10^-3*10^2*各项系数!$J$4</f>
        <v>0.178587438742694</v>
      </c>
      <c r="KQ194" s="123">
        <v>1</v>
      </c>
      <c r="KR194" s="251">
        <f t="shared" si="657"/>
        <v>0.178587438742694</v>
      </c>
      <c r="KS194" s="251">
        <f>KR194*(VLOOKUP($KP$9,各项系数!$D$1:$F$143,2,0))</f>
        <v>3.03598645862579</v>
      </c>
      <c r="KT194" s="302">
        <f>各项系数!$F$76/4*($NI194^2-$NF194^2)*10^-2*(VLOOKUP($KT$9,各项系数!$D$1:$F$143,3,0))*10^-3*10^2*各项系数!$J$4</f>
        <v>0.179892808189372</v>
      </c>
      <c r="KU194" s="123">
        <v>1</v>
      </c>
      <c r="KV194" s="251">
        <f t="shared" si="658"/>
        <v>0.179892808189372</v>
      </c>
      <c r="KW194" s="251">
        <f>KV194*(VLOOKUP($KT$9,各项系数!$D$1:$F$143,2,0))</f>
        <v>3.05817773921932</v>
      </c>
      <c r="KX194" s="251">
        <f>各项系数!$F$76/4*($NH194^2-$NE194^2)*10^-2*(VLOOKUP($KX$9,各项系数!$D$1:$F$143,3,0))*10^-3*10^2*各项系数!$J$4</f>
        <v>0.178587438742694</v>
      </c>
      <c r="KY194" s="479">
        <v>1</v>
      </c>
      <c r="KZ194" s="251">
        <f t="shared" si="659"/>
        <v>0.178587438742694</v>
      </c>
      <c r="LA194" s="251">
        <f>KZ194*(VLOOKUP($KX$9,各项系数!$D$1:$F$143,2,0))</f>
        <v>3.03598645862579</v>
      </c>
      <c r="LB194" s="251">
        <f>各项系数!$F$76/4*($NI194^2-$NF194^2)*10^-2*(VLOOKUP($LB$9,各项系数!$D$1:$F$143,3,0))*10^-3*10^2*各项系数!$J$4</f>
        <v>0.179892808189372</v>
      </c>
      <c r="LC194" s="479">
        <v>1</v>
      </c>
      <c r="LD194" s="251">
        <f t="shared" si="660"/>
        <v>0.179892808189372</v>
      </c>
      <c r="LE194" s="251">
        <f>LD194*(VLOOKUP($LB$9,各项系数!$D$1:$F$143,2,0))</f>
        <v>3.05817773921932</v>
      </c>
      <c r="LF194" s="302">
        <f>各项系数!$F$76/4*($NH194^2-$NE194^2)*10^-2*(VLOOKUP(AN194,各项系数!$D$1:$F$143,3,0))*10^-3*10^2*各项系数!$J$4</f>
        <v>0.181050713759834</v>
      </c>
      <c r="LG194" s="123">
        <v>1</v>
      </c>
      <c r="LH194" s="251">
        <f t="shared" si="875"/>
        <v>0.181050713759834</v>
      </c>
      <c r="LI194" s="251">
        <f>LH194*(VLOOKUP(AN194,各项系数!$D$1:$F$143,2,0))</f>
        <v>1.81050713759834</v>
      </c>
      <c r="LJ194" s="302">
        <f>各项系数!$F$76/4*($NI194^2-$NF194^2)*10^-2*(VLOOKUP(AN194,各项系数!$D$1:$F$143,3,0))*10^-3*10^2*各项系数!$J$4</f>
        <v>0.182374088302329</v>
      </c>
      <c r="LK194" s="123">
        <v>1</v>
      </c>
      <c r="LL194" s="251">
        <f t="shared" si="876"/>
        <v>0.182374088302329</v>
      </c>
      <c r="LM194" s="251">
        <f>LL194*(VLOOKUP(AN194,各项系数!$D$1:$F$143,2,0))</f>
        <v>1.82374088302329</v>
      </c>
      <c r="LN194" s="251">
        <f>各项系数!$F$76/4*($NH194^2-$NE194^2)*10^-2*(VLOOKUP($LN$9,各项系数!$D$1:$F$143,3,0))*10^-3*10^2*各项系数!$J$4</f>
        <v>0.181050713759834</v>
      </c>
      <c r="LO194" s="479">
        <v>1</v>
      </c>
      <c r="LP194" s="251">
        <f t="shared" si="877"/>
        <v>0.181050713759834</v>
      </c>
      <c r="LQ194" s="251">
        <f>LP194*(VLOOKUP($LN$9,各项系数!$D$1:$F$143,2,0))</f>
        <v>1.99155785135818</v>
      </c>
      <c r="LR194" s="251">
        <f>各项系数!$F$76/4*($NI194^2-$NF194^2)*10^-2*(VLOOKUP($LR$9,各项系数!$D$1:$F$143,3,0))*10^-3*10^2*各项系数!$J$4</f>
        <v>0.182374088302329</v>
      </c>
      <c r="LS194" s="479">
        <v>1</v>
      </c>
      <c r="LT194" s="251">
        <f t="shared" si="878"/>
        <v>0.182374088302329</v>
      </c>
      <c r="LU194" s="251">
        <f>LT194*(VLOOKUP($LR$9,各项系数!$D$1:$F$143,2,0))</f>
        <v>2.00611497132562</v>
      </c>
      <c r="LV194" s="499">
        <f t="shared" si="661"/>
        <v>46.69354819</v>
      </c>
      <c r="LW194" s="499">
        <f t="shared" si="662"/>
        <v>46.69354819</v>
      </c>
      <c r="LX194" s="499">
        <f t="shared" si="663"/>
        <v>7.7105169761505</v>
      </c>
      <c r="LY194" s="515">
        <f t="shared" si="664"/>
        <v>0</v>
      </c>
      <c r="LZ194" s="516">
        <f t="shared" si="608"/>
        <v>1</v>
      </c>
      <c r="MA194" s="517">
        <f t="shared" si="609"/>
        <v>46.69354819</v>
      </c>
      <c r="MB194" s="517">
        <f t="shared" si="665"/>
        <v>1.72412401</v>
      </c>
      <c r="MC194" s="499">
        <f t="shared" si="666"/>
        <v>0</v>
      </c>
      <c r="MD194" s="499">
        <f t="shared" si="667"/>
        <v>0</v>
      </c>
      <c r="ME194" s="499">
        <f t="shared" si="668"/>
        <v>0</v>
      </c>
      <c r="MF194" s="499">
        <f t="shared" si="669"/>
        <v>0</v>
      </c>
      <c r="MG194" s="516">
        <f t="shared" si="670"/>
        <v>1</v>
      </c>
      <c r="MH194" s="517">
        <f t="shared" si="610"/>
        <v>0</v>
      </c>
      <c r="MI194" s="517">
        <f t="shared" si="671"/>
        <v>0</v>
      </c>
      <c r="MJ194" s="251">
        <f t="shared" si="611"/>
        <v>1.72412401</v>
      </c>
      <c r="MK194" s="251">
        <f t="shared" si="672"/>
        <v>1.72412401</v>
      </c>
      <c r="ML194" s="251">
        <f t="shared" si="879"/>
        <v>0</v>
      </c>
      <c r="MM194" s="251">
        <f t="shared" si="612"/>
        <v>0</v>
      </c>
      <c r="MN194" s="251">
        <f t="shared" si="613"/>
        <v>3.12412401</v>
      </c>
      <c r="MO194" s="251">
        <f t="shared" si="673"/>
        <v>0</v>
      </c>
      <c r="MP194" s="251">
        <f t="shared" si="674"/>
        <v>16.65158097</v>
      </c>
      <c r="MQ194" s="251">
        <f t="shared" si="880"/>
        <v>16.65158097</v>
      </c>
      <c r="MR194" s="314">
        <f t="shared" si="675"/>
        <v>16.65158097</v>
      </c>
      <c r="MS194" s="530">
        <f t="shared" si="614"/>
        <v>16.82758097</v>
      </c>
      <c r="MT194" s="530">
        <f t="shared" si="615"/>
        <v>16.98758097</v>
      </c>
      <c r="MU194" s="530">
        <f t="shared" si="616"/>
        <v>18.02758097</v>
      </c>
      <c r="MV194" s="530">
        <f t="shared" si="617"/>
        <v>20.42758097</v>
      </c>
      <c r="MW194" s="530">
        <f t="shared" si="618"/>
        <v>20.58758097</v>
      </c>
      <c r="MX194" s="326">
        <f t="shared" si="619"/>
        <v>2.32412401</v>
      </c>
      <c r="MY194" s="326">
        <f t="shared" si="620"/>
        <v>0</v>
      </c>
      <c r="MZ194" s="251">
        <f t="shared" si="621"/>
        <v>3.72412401</v>
      </c>
      <c r="NA194" s="251">
        <f t="shared" si="622"/>
        <v>0</v>
      </c>
      <c r="NB194" s="251">
        <f t="shared" si="676"/>
        <v>19.84958097</v>
      </c>
      <c r="NC194" s="326">
        <f t="shared" si="881"/>
        <v>19.84958097</v>
      </c>
      <c r="ND194" s="314">
        <f t="shared" si="677"/>
        <v>19.84958097</v>
      </c>
      <c r="NE194" s="537">
        <f t="shared" si="678"/>
        <v>20.08958097</v>
      </c>
      <c r="NF194" s="530">
        <f t="shared" si="623"/>
        <v>20.24958097</v>
      </c>
      <c r="NG194" s="538">
        <f t="shared" si="624"/>
        <v>21.28958097</v>
      </c>
      <c r="NH194" s="326">
        <f t="shared" si="625"/>
        <v>23.68958097</v>
      </c>
      <c r="NI194" s="530">
        <f t="shared" si="626"/>
        <v>23.84958097</v>
      </c>
      <c r="NK194" s="539">
        <f t="shared" si="627"/>
        <v>0.765317571435561</v>
      </c>
      <c r="NL194" s="539">
        <f t="shared" si="628"/>
        <v>30.2258572351962</v>
      </c>
      <c r="NM194" s="539">
        <f t="shared" si="629"/>
        <v>0.765317571435561</v>
      </c>
      <c r="NN194" s="539">
        <f t="shared" si="630"/>
        <v>30.3799276504709</v>
      </c>
      <c r="NO194" s="539">
        <f t="shared" si="631"/>
        <v>1.25454078445536</v>
      </c>
      <c r="NP194" s="539">
        <f t="shared" si="632"/>
        <v>32.5535055853674</v>
      </c>
      <c r="NQ194" s="539">
        <f t="shared" si="633"/>
        <v>1.25454078445536</v>
      </c>
      <c r="NR194" s="539">
        <f t="shared" si="634"/>
        <v>32.7345562991272</v>
      </c>
      <c r="NS194" s="539">
        <f t="shared" si="635"/>
        <v>0.788934643005055</v>
      </c>
      <c r="NT194" s="539">
        <f t="shared" si="636"/>
        <v>0.788934643005055</v>
      </c>
      <c r="NU194" s="539">
        <f t="shared" si="637"/>
        <v>1.28271432614298</v>
      </c>
      <c r="NV194" s="539">
        <f t="shared" si="638"/>
        <v>1.28271432614298</v>
      </c>
      <c r="NW194">
        <f t="shared" si="639"/>
        <v>1.02092181872151</v>
      </c>
      <c r="NX194">
        <f>各项系数!$M$9*NK194</f>
        <v>0.229595271430668</v>
      </c>
      <c r="NY194">
        <f t="shared" si="640"/>
        <v>0.788934643005055</v>
      </c>
    </row>
    <row r="195" customHeight="1" spans="1:389">
      <c r="A195" s="85"/>
      <c r="B195" s="86"/>
      <c r="C195" s="218"/>
      <c r="D195" s="123" t="s">
        <v>272</v>
      </c>
      <c r="E195" s="77">
        <f t="shared" si="829"/>
        <v>22.52074406</v>
      </c>
      <c r="F195" s="559">
        <f t="shared" si="820"/>
        <v>172.412400708262</v>
      </c>
      <c r="G195" s="23"/>
      <c r="H195" s="23"/>
      <c r="I195" s="174">
        <v>0</v>
      </c>
      <c r="J195" s="23"/>
      <c r="K195" s="23"/>
      <c r="L195" s="118" t="s">
        <v>469</v>
      </c>
      <c r="M195" s="124">
        <f t="shared" si="582"/>
        <v>0.7</v>
      </c>
      <c r="N195" s="124">
        <f t="shared" si="804"/>
        <v>0</v>
      </c>
      <c r="O195" s="69">
        <f t="shared" si="825"/>
        <v>0.08</v>
      </c>
      <c r="P195" s="120">
        <v>0.1</v>
      </c>
      <c r="Q195" s="162">
        <f t="shared" si="882"/>
        <v>0.1</v>
      </c>
      <c r="R195" s="560">
        <v>0.8</v>
      </c>
      <c r="S195" s="171" t="str">
        <f>各项系数!$D$43</f>
        <v>钢带</v>
      </c>
      <c r="T195" s="123">
        <v>0.2</v>
      </c>
      <c r="U195" s="78">
        <v>4</v>
      </c>
      <c r="V195" s="172"/>
      <c r="W195" s="170">
        <f t="shared" si="828"/>
        <v>1.8</v>
      </c>
      <c r="X195" s="164">
        <f t="shared" si="883"/>
        <v>0.2</v>
      </c>
      <c r="Y195" s="219"/>
      <c r="Z195" s="220"/>
      <c r="AA195" s="217">
        <v>1</v>
      </c>
      <c r="AB195" s="186">
        <f>PI()*EJ195*EJ195/4*EH195*(1-H195)*AA195*各项系数!$F$5*各项系数!$J$4*10^-7</f>
        <v>0.0206515056889029</v>
      </c>
      <c r="AC195" s="186">
        <f t="shared" si="830"/>
        <v>172.412400708262</v>
      </c>
      <c r="AD195" s="186">
        <f t="shared" si="584"/>
        <v>2.3346774015073</v>
      </c>
      <c r="AE195" s="186">
        <f>POWER(4*EU195/PI()/EG195/10^-7/EH195/(1-H195)/各项系数!$F$5/各项系数!$J$4,0.5)</f>
        <v>172.412400708262</v>
      </c>
      <c r="AF195" s="218">
        <v>1</v>
      </c>
      <c r="AG195" s="85">
        <f>IF(EM195=0,0,PI()*ER195*ER195/4*EP195*(1-K195)*(1+AF195)*各项系数!$F$5*各项系数!$J$4*10^-7)</f>
        <v>0</v>
      </c>
      <c r="AH195" s="85">
        <f t="shared" si="831"/>
        <v>0</v>
      </c>
      <c r="AI195" s="85">
        <f t="shared" si="641"/>
        <v>0</v>
      </c>
      <c r="AJ195" s="85">
        <f>IF(OR(EP195="",EP195=0),0,POWER(4*EW195/PI()/EO195/10^-7/EP195/(1-K195)/各项系数!$F$5/各项系数!$J$4,0.5))</f>
        <v>0</v>
      </c>
      <c r="AK195" s="85" t="str">
        <f t="shared" si="585"/>
        <v>√</v>
      </c>
      <c r="AL195" s="85">
        <f t="shared" si="832"/>
        <v>37.4515809344909</v>
      </c>
      <c r="AM195" s="250">
        <f t="shared" si="833"/>
        <v>2.5</v>
      </c>
      <c r="AN195" s="118" t="s">
        <v>486</v>
      </c>
      <c r="AO195" s="259">
        <f>AP195+各项系数!$M$9*$NK195</f>
        <v>36.7172362102852</v>
      </c>
      <c r="AP195" s="259">
        <f>AQ195*(1+$BI195+(VLOOKUP($AM195,$A$12:$B$323,2,0))+各项系数!$J$6+各项系数!$M$5)*(1+$E$2)</f>
        <v>36.440632149597</v>
      </c>
      <c r="AQ195" s="260">
        <f>AR195+各项系数!$L$9*$NK195</f>
        <v>37.1843185199969</v>
      </c>
      <c r="AR195" s="260">
        <f>AS195*(1+$BJ195+各项系数!$J$5+各项系数!$L$5)</f>
        <v>36.9077144593087</v>
      </c>
      <c r="AS195" s="260">
        <f t="shared" si="642"/>
        <v>36.184033783636</v>
      </c>
      <c r="AT195" s="259">
        <f>AU195+各项系数!$M$9*$NM195</f>
        <v>37.8768146535306</v>
      </c>
      <c r="AU195" s="259">
        <f>AV195*(1+$BI195+(VLOOKUP($AM195,$A$12:$B$323,2,0))+各项系数!$J$6+各项系数!$M$5)*(1+$E$2)</f>
        <v>37.6002105928424</v>
      </c>
      <c r="AV195" s="260">
        <f>AW195+各项系数!$L$9*$NM195</f>
        <v>38.367561829431</v>
      </c>
      <c r="AW195" s="260">
        <f>AX195*(1+$BJ195+各项系数!$J$5+各项系数!$L$5)</f>
        <v>38.0909577687428</v>
      </c>
      <c r="AX195" s="260">
        <f t="shared" si="643"/>
        <v>37.3440762438655</v>
      </c>
      <c r="AY195" s="259">
        <f>AZ195+各项系数!$M$9*$NS195</f>
        <v>38.5370221563143</v>
      </c>
      <c r="AZ195" s="259">
        <f>BA195*(1+$BI195+(VLOOKUP($AM195,$A$12:$B$214,2,0))+各项系数!$J$6+各项系数!$M$5)*(1+$E$2)</f>
        <v>38.2524558342038</v>
      </c>
      <c r="BA195" s="260">
        <f>BB195+各项系数!$L$9*$NS195</f>
        <v>39.0331181981672</v>
      </c>
      <c r="BB195" s="260">
        <f>BC195*(1+$BJ195+各项系数!$J$5+各项系数!$L$5)</f>
        <v>38.7485518760566</v>
      </c>
      <c r="BC195" s="262">
        <f t="shared" si="644"/>
        <v>37.9887763490751</v>
      </c>
      <c r="BD195" s="259">
        <f>BE195+各项系数!$M$9*$NS195</f>
        <v>39.7055545517143</v>
      </c>
      <c r="BE195" s="259">
        <f>BF195*(1+$BI195+(VLOOKUP($AM195,$A$12:$B$214,2,0))+各项系数!$J$6+各项系数!$M$5)*(1+$E$2)</f>
        <v>39.4209882296038</v>
      </c>
      <c r="BF195" s="260">
        <f>BG195+各项系数!$L$9*$NS195</f>
        <v>40.2254981934732</v>
      </c>
      <c r="BG195" s="260">
        <f>BH195*(1+$BJ195+各项系数!$J$5+各项系数!$L$5)</f>
        <v>39.9409318713627</v>
      </c>
      <c r="BH195" s="262">
        <f t="shared" si="645"/>
        <v>39.1577763444733</v>
      </c>
      <c r="BI195" s="277"/>
      <c r="BJ195" s="272">
        <f t="shared" si="822"/>
        <v>0</v>
      </c>
      <c r="BK195" s="123" t="s">
        <v>514</v>
      </c>
      <c r="BL195" s="259">
        <f>BM195+各项系数!$M$9*$NM195</f>
        <v>37.2448339004857</v>
      </c>
      <c r="BM195" s="259">
        <f>BN195*(1+$CF195+(VLOOKUP($AM195,$A$12:$B$323,2,0))+各项系数!$J$6+各项系数!$M$5)*(1+$E$2)</f>
        <v>36.9682298397975</v>
      </c>
      <c r="BN195" s="260">
        <f>BO195+各项系数!$L$9*$NM195</f>
        <v>37.7226835099975</v>
      </c>
      <c r="BO195" s="260">
        <f>BP195*(1+$CG195+各项系数!$J$5+各项系数!$L$5)</f>
        <v>37.4460794493092</v>
      </c>
      <c r="BP195" s="260">
        <f t="shared" si="646"/>
        <v>36.3554169410769</v>
      </c>
      <c r="BQ195" s="259">
        <f>BR195+各项系数!$M$9*$NM195</f>
        <v>38.2427866007205</v>
      </c>
      <c r="BR195" s="259">
        <f>BS195*(1+$CF195+(VLOOKUP($AM195,$A$12:$B$323,2,0))+各项系数!$J$6+各项系数!$M$5)*(1+$E$2)</f>
        <v>37.9661825400323</v>
      </c>
      <c r="BS195" s="260">
        <f>BT195+各项系数!$L$9*$NM195</f>
        <v>38.7410025918697</v>
      </c>
      <c r="BT195" s="260">
        <f>BU195*(1+$CG195+各项系数!$J$5+各项系数!$L$5)</f>
        <v>38.4643985311815</v>
      </c>
      <c r="BU195" s="260">
        <f t="shared" si="647"/>
        <v>37.3440762438655</v>
      </c>
      <c r="BV195" s="259">
        <f>BW195+各项系数!$M$9*$NT195</f>
        <v>38.8128652773429</v>
      </c>
      <c r="BW195" s="259">
        <f>BX195*(1+$CF195+(VLOOKUP($AM195,$A$12:$B$214,2,0))+各项系数!$J$6+各项系数!$M$5)*(1+$E$2)</f>
        <v>38.5282989552324</v>
      </c>
      <c r="BX195" s="260">
        <f>BY195+各项系数!$L$9*$NT$12</f>
        <v>39.3145907706453</v>
      </c>
      <c r="BY195" s="260">
        <f>BZ195*(1+$CG195+各项系数!$J$5+各项系数!$L$5)</f>
        <v>39.3063273674903</v>
      </c>
      <c r="BZ195" s="262">
        <f t="shared" si="586"/>
        <v>38.1614828810586</v>
      </c>
      <c r="CA195" s="259">
        <f>CB195+各项系数!$M$9*$NT195</f>
        <v>39.8185238993137</v>
      </c>
      <c r="CB195" s="259">
        <f>CC195*(1+$CF195+(VLOOKUP($AM195,$A$12:$B$214,2,0))+各项系数!$J$6+各项系数!$M$5)*(1+$E$2)</f>
        <v>39.5339575772032</v>
      </c>
      <c r="CC195" s="260">
        <f>CD195+各项系数!$L$9*$NT$12</f>
        <v>40.3407730379624</v>
      </c>
      <c r="CD195" s="260">
        <f>CE195*(1+$CG195+各项系数!$J$5+各项系数!$L$5)</f>
        <v>40.3325096348075</v>
      </c>
      <c r="CE195" s="262">
        <f t="shared" si="648"/>
        <v>39.1577763444733</v>
      </c>
      <c r="CF195" s="277">
        <f t="shared" si="884"/>
        <v>0</v>
      </c>
      <c r="CG195" s="277">
        <f t="shared" si="587"/>
        <v>0.01</v>
      </c>
      <c r="CH195" s="123"/>
      <c r="CI195" s="259">
        <f>CJ195+各项系数!$M$9*$NO195</f>
        <v>40.236611415541</v>
      </c>
      <c r="CJ195" s="259">
        <f>CK195*(1+$DC195+(VLOOKUP($AM195,$A$12:$B$323,2,0))+各项系数!$J$6+各项系数!$M$5)*(1+$E$2)+各项系数!$M$9*$NK195</f>
        <v>39.7586583779034</v>
      </c>
      <c r="CK195" s="260">
        <f>CL195+各项系数!$L$9*$NO195</f>
        <v>40.2878105277706</v>
      </c>
      <c r="CL195" s="260">
        <f>CM195*(1+$DD195+各项系数!$J$5+各项系数!$L$5)</f>
        <v>39.8098574901329</v>
      </c>
      <c r="CM195" s="260">
        <f t="shared" si="588"/>
        <v>39.0292720491499</v>
      </c>
      <c r="CN195" s="259">
        <f>CO195+各项系数!$M$9*$NO195</f>
        <v>41.0932583096633</v>
      </c>
      <c r="CO195" s="259">
        <f>CP195*(1+$DC195+(VLOOKUP($AM195,$A$12:$B$323,2,0))+各项系数!$J$6+各项系数!$M$5)*(1+$E$2)+各项系数!$M$9*$NK195</f>
        <v>40.6153052720256</v>
      </c>
      <c r="CP195" s="260">
        <f>CQ195+各项系数!$L$9*$NO195</f>
        <v>41.1619400115688</v>
      </c>
      <c r="CQ195" s="260">
        <f>CR195*(1+$DD195+各项系数!$J$5+各项系数!$L$5)</f>
        <v>40.6839869739311</v>
      </c>
      <c r="CR195" s="260">
        <f t="shared" si="589"/>
        <v>39.8862617391481</v>
      </c>
      <c r="CS195" s="259">
        <f>CT195+各项系数!$M$9*$NU195</f>
        <v>42.1281600089166</v>
      </c>
      <c r="CT195" s="259">
        <f t="shared" si="590"/>
        <v>41.6407093107291</v>
      </c>
      <c r="CU195" s="260">
        <f>CV195+各项系数!$L$9*$NU195</f>
        <v>42.4905197048257</v>
      </c>
      <c r="CV195" s="260">
        <f>CW195*(1+$DD195+各项系数!$J$5+各项系数!$L$5)</f>
        <v>42.0030690066382</v>
      </c>
      <c r="CW195" s="262">
        <f t="shared" si="591"/>
        <v>41.1794794182727</v>
      </c>
      <c r="CX195" s="259">
        <f>CY195+各项系数!$M$9*$NU195</f>
        <v>43.501737908655</v>
      </c>
      <c r="CY195" s="259">
        <f t="shared" si="592"/>
        <v>43.0142872104676</v>
      </c>
      <c r="CZ195" s="260">
        <f>DA195+各项系数!$L$9*$NU195</f>
        <v>43.8921298065996</v>
      </c>
      <c r="DA195" s="260">
        <f>DB195*(1+$DD195+各项系数!$J$5+各项系数!$L$5)</f>
        <v>43.4046791084121</v>
      </c>
      <c r="DB195" s="262">
        <f t="shared" si="593"/>
        <v>42.5536069690315</v>
      </c>
      <c r="DC195" s="277">
        <f t="shared" si="827"/>
        <v>0</v>
      </c>
      <c r="DD195" s="277">
        <f t="shared" si="594"/>
        <v>0</v>
      </c>
      <c r="DE195" s="69" t="s">
        <v>498</v>
      </c>
      <c r="DF195" s="69" t="s">
        <v>513</v>
      </c>
      <c r="DG195" s="259">
        <f>DH195+各项系数!$M$9*$NQ195</f>
        <v>40.8226825873708</v>
      </c>
      <c r="DH195" s="259">
        <f>DI195*(1+$EA195+(VLOOKUP($AM195,$A$12:$B$323,2,0))+各项系数!$J$6+各项系数!$M$5)*(1+$E$2)+各项系数!$M$9*$NK195</f>
        <v>40.3447295497331</v>
      </c>
      <c r="DI195" s="260">
        <f>DJ195+各项系数!$L$9*$NQ195</f>
        <v>40.8858423357601</v>
      </c>
      <c r="DJ195" s="260">
        <f>DK195*(1+$EB195+各项系数!$J$5+各项系数!$L$5)</f>
        <v>40.4078892981224</v>
      </c>
      <c r="DK195" s="260">
        <f t="shared" si="595"/>
        <v>39.230960483614</v>
      </c>
      <c r="DL195" s="259">
        <f>DM195+各项系数!$M$9*$NQ195</f>
        <v>41.9971008953594</v>
      </c>
      <c r="DM195" s="259">
        <f>DN195*(1+$EA195+(VLOOKUP($AM195,$A$12:$B$323,2,0))+各项系数!$J$6+各项系数!$M$5)*(1+$E$2)+各项系数!$M$9*$NK195</f>
        <v>41.5191478577217</v>
      </c>
      <c r="DN195" s="260">
        <f>DO195+各项系数!$L$9*$NQ195</f>
        <v>42.0842283643199</v>
      </c>
      <c r="DO195" s="260">
        <f>DP195*(1+$EB195+各项系数!$J$5+各项系数!$L$5)</f>
        <v>41.6062753266823</v>
      </c>
      <c r="DP195" s="260">
        <f t="shared" si="596"/>
        <v>40.39444206474</v>
      </c>
      <c r="DQ195" s="259">
        <f>DR195+各项系数!$M$9*$NV195</f>
        <v>42.7366390272269</v>
      </c>
      <c r="DR195" s="259">
        <f t="shared" si="597"/>
        <v>42.2491883290394</v>
      </c>
      <c r="DS195" s="260">
        <f>DT195+各项系数!$L$9*$NV195</f>
        <v>43.1114166622851</v>
      </c>
      <c r="DT195" s="260">
        <f>DU195*(1+$EB195+各项系数!$J$5+各项系数!$L$5)</f>
        <v>42.6239659640977</v>
      </c>
      <c r="DU195" s="262">
        <f t="shared" si="598"/>
        <v>41.3824912272793</v>
      </c>
      <c r="DV195" s="259">
        <f>DW195+各项系数!$M$9*$NV195</f>
        <v>41.8909140495803</v>
      </c>
      <c r="DW195" s="259">
        <f t="shared" si="599"/>
        <v>41.4034633513928</v>
      </c>
      <c r="DX195" s="260">
        <f>DY195+各项系数!$L$9*$NV195</f>
        <v>42.2484319912172</v>
      </c>
      <c r="DY195" s="260">
        <f>DZ195*(1+$EB195+各项系数!$J$5+各项系数!$L$5)</f>
        <v>41.7609812930297</v>
      </c>
      <c r="DZ195" s="262">
        <f t="shared" si="600"/>
        <v>40.5446420320677</v>
      </c>
      <c r="EA195" s="277">
        <f t="shared" si="826"/>
        <v>0</v>
      </c>
      <c r="EB195" s="277">
        <f t="shared" si="601"/>
        <v>0.01</v>
      </c>
      <c r="EC195" s="302">
        <f t="shared" si="649"/>
        <v>24</v>
      </c>
      <c r="ED195" s="302" t="str">
        <f t="shared" si="834"/>
        <v>24*2.5</v>
      </c>
      <c r="EE195" s="251">
        <f t="shared" si="835"/>
        <v>2.5</v>
      </c>
      <c r="EF195" s="251">
        <f>LOOKUP(EH195,{1,7,10,14,19,24,30,37,48,61},{1,"1+6","2+8","4+10","1+6+12","2+8+14","4+10+16","1+6+12+18","3+9+15+21","1+6+12+18+24"})</f>
        <v>1</v>
      </c>
      <c r="EG195" s="250">
        <f t="shared" si="602"/>
        <v>24</v>
      </c>
      <c r="EH195" s="260">
        <f>VLOOKUP(EE195,各项系数!$B$87:$C$124,2,0)</f>
        <v>1</v>
      </c>
      <c r="EI195" s="250">
        <f>IF(EH195=0,0,VLOOKUP(EH195,各项系数!$D$142:$E$195,2,0))*1</f>
        <v>1</v>
      </c>
      <c r="EJ195" s="305">
        <f t="shared" si="650"/>
        <v>172.412400708262</v>
      </c>
      <c r="EK195" s="251">
        <f t="shared" si="836"/>
        <v>0</v>
      </c>
      <c r="EL195" s="251">
        <f t="shared" si="603"/>
        <v>0</v>
      </c>
      <c r="EM195" s="251">
        <f t="shared" si="837"/>
        <v>0</v>
      </c>
      <c r="EN195" s="251">
        <f>IF(EP195=0,0,LOOKUP(EP195,{1,7,10,14,19,24,30,37,48,61},{1,"1+6","2+8","4+10","1+6+12","2+8+14","4+10+16","1+6+12+18","3+9+15+21","1+6+12+18+24"}))</f>
        <v>0</v>
      </c>
      <c r="EO195" s="251">
        <f t="shared" si="838"/>
        <v>0</v>
      </c>
      <c r="EP195" s="251">
        <f>IF(EM195=0,0,IF(EM195&lt;10,1,IF(AND(EM195&gt;=10,EM195&lt;=35),7,LOOKUP(EM195,{50,70,95,120,150,185,240,300},{10,14,19,24,30,37,48,61})*1)))</f>
        <v>0</v>
      </c>
      <c r="EQ195" s="251">
        <f>IF(EP195=0,0,VLOOKUP(EP195,各项系数!$D$142:$E$195,2,0))*1</f>
        <v>0</v>
      </c>
      <c r="ER195" s="69">
        <f t="shared" si="839"/>
        <v>0</v>
      </c>
      <c r="ES195" s="566">
        <f t="shared" si="840"/>
        <v>24</v>
      </c>
      <c r="ET195" s="251">
        <f>VLOOKUP(ES195,各项系数!$D$142:$E$195,2,0)*1</f>
        <v>6</v>
      </c>
      <c r="EU195" s="311">
        <f>((各项系数!$F$76/4*$EJ195^2*$EG195*$EH195*1*10^-7)*(1-$H195)*AA195)*(VLOOKUP($EY$9,各项系数!$D$4:$F$143,3,0))*各项系数!$J$4</f>
        <v>0.49563613653367</v>
      </c>
      <c r="EV195" s="312">
        <f>EU195*(VLOOKUP($EY$9,各项系数!$D$4:$F$143,2,0))</f>
        <v>32.4641669429554</v>
      </c>
      <c r="EW195" s="324">
        <f>(IF($EO195=0,0,(各项系数!$F$76/4*$ER195^2*$EO195*$EP195*1*10^-7))*(1-$K195)*$AF195)*(VLOOKUP($EY$9,各项系数!$D$4:$F$143,3,0))*各项系数!$J$4</f>
        <v>0</v>
      </c>
      <c r="EX195" s="325">
        <f>EW195*(VLOOKUP($EY$9,各项系数!$D$4:$F$143,2,0))</f>
        <v>0</v>
      </c>
      <c r="EY195" s="251">
        <f>((各项系数!$F$76/4*$EJ195^2*$EG195*$EH195*1*10^-7)*(1-$H195)*AA195+IF($EO195=0,0,(各项系数!$F$76/4*$ER195^2*$EO195*$EP195*1*10^-7))*(1-$K195)*$AF195)*(VLOOKUP($EY$9,各项系数!$D$4:$F$143,3,0))*各项系数!$J$4</f>
        <v>0.49563613653367</v>
      </c>
      <c r="EZ195" s="123">
        <v>1</v>
      </c>
      <c r="FA195" s="251">
        <f t="shared" si="841"/>
        <v>0.49563613653367</v>
      </c>
      <c r="FB195" s="326">
        <f>FA195*(VLOOKUP($EY$9,各项系数!$D$4:$F$143,2,0))</f>
        <v>32.4641669429554</v>
      </c>
      <c r="FC195" s="327"/>
      <c r="FD195" s="302">
        <f>各项系数!$F$76/4*($MN195^2-MK195^2)*10^-2*(VLOOKUP(L195,各项系数!$D$1:$F$143,3,0))*10^-3*10^2*$EG195*各项系数!$J$4</f>
        <v>0.140032793767955</v>
      </c>
      <c r="FE195" s="339">
        <f>FD195*VLOOKUP(L195,各项系数!$D$1:$F$143,2,0)</f>
        <v>1.61037712833148</v>
      </c>
      <c r="FF195" s="250">
        <f>各项系数!$F$76/4*($MO195^2-ML195^2)*10^-2*(VLOOKUP(L195,各项系数!$D$1:$F$143,3,0))*10^-3*10^2*$EO195*各项系数!$J$4</f>
        <v>0</v>
      </c>
      <c r="FG195" s="339">
        <f>FF195*VLOOKUP(L195,各项系数!$D$1:$F$143,2,0)</f>
        <v>0</v>
      </c>
      <c r="FH195" s="302">
        <f t="shared" si="651"/>
        <v>0.140032793767955</v>
      </c>
      <c r="FI195" s="123">
        <v>1</v>
      </c>
      <c r="FJ195" s="251">
        <f t="shared" si="842"/>
        <v>0.140032793767955</v>
      </c>
      <c r="FK195" s="339">
        <f>FJ195*VLOOKUP(L195,各项系数!$D$1:$F$143,2,0)</f>
        <v>1.61037712833148</v>
      </c>
      <c r="FL195" s="302"/>
      <c r="FM195" s="123"/>
      <c r="FN195" s="251"/>
      <c r="FO195" s="339"/>
      <c r="FP195" s="364">
        <f t="shared" si="843"/>
        <v>0.140032793767955</v>
      </c>
      <c r="FQ195" s="364">
        <f t="shared" si="844"/>
        <v>1.61037712833148</v>
      </c>
      <c r="FR195" s="365">
        <f>各项系数!$F$76/4*($MQ195^2-$MN195^2*$EG195-$MO195^2*$EO195)*10^-2</f>
        <v>0.919872544350351</v>
      </c>
      <c r="FS195" s="366">
        <f t="shared" si="652"/>
        <v>1</v>
      </c>
      <c r="FT195" s="367">
        <f t="shared" si="604"/>
        <v>0.919872544350351</v>
      </c>
      <c r="FU195" s="388">
        <f>$FT195*(VLOOKUP($FT$9,各项系数!$D$1:$F$143,3,0))*10^-3*10^2*各项系数!$J$55</f>
        <v>0.109832781795432</v>
      </c>
      <c r="FV195" s="389">
        <v>1</v>
      </c>
      <c r="FW195" s="390">
        <f t="shared" si="845"/>
        <v>0.109832781795432</v>
      </c>
      <c r="FX195" s="367">
        <f>FW195*(VLOOKUP($FT$9,各项系数!$D$1:$F$143,2,0))</f>
        <v>0.329498345386296</v>
      </c>
      <c r="FY195" s="388">
        <f>IF($BK195&lt;&gt;$FY$9,0,各项系数!$F$76/4*($MS195^2-$MQ195^2)*10^-2*(VLOOKUP($FY$9,各项系数!$D$1:$F$143,3,0))*10^-3*10^2)*各项系数!$J$4</f>
        <v>0</v>
      </c>
      <c r="FZ195" s="389">
        <v>1</v>
      </c>
      <c r="GA195" s="390">
        <f t="shared" si="846"/>
        <v>0</v>
      </c>
      <c r="GB195" s="367">
        <f>GA195*(VLOOKUP($FY$9,各项系数!$D$1:$F$143,2,0))</f>
        <v>0</v>
      </c>
      <c r="GC195" s="388">
        <f>IF($BK195&lt;&gt;$GC$9,0,各项系数!$F$76/4*($MS195^2-$MQ195^2)*10^-2*(VLOOKUP($GC$9,各项系数!$D$1:$F$143,3,0))*10^-3*10^2)*各项系数!$J$4</f>
        <v>0.00512866608940966</v>
      </c>
      <c r="GD195" s="389">
        <v>1</v>
      </c>
      <c r="GE195" s="390">
        <f t="shared" si="847"/>
        <v>0.00512866608940966</v>
      </c>
      <c r="GF195" s="367">
        <f>GE195*(VLOOKUP($GC$9,各项系数!$D$1:$F$143,2,0))</f>
        <v>0.0661597925533847</v>
      </c>
      <c r="GG195" s="388">
        <f>IF($BK195&lt;&gt;$GG$9,0,各项系数!$F$76/4*($MS195^2-$MQ195^2)*10^-2*(VLOOKUP($GG$9,各项系数!$D$1:$F$143,3,0))*10^-3*10^2)*各项系数!$J$4</f>
        <v>0</v>
      </c>
      <c r="GH195" s="389">
        <v>1</v>
      </c>
      <c r="GI195" s="390">
        <f t="shared" si="848"/>
        <v>0</v>
      </c>
      <c r="GJ195" s="367">
        <f>GI195*(VLOOKUP($GG$9,各项系数!$D$1:$F$143,2,0))</f>
        <v>0</v>
      </c>
      <c r="GK195" s="388">
        <f>IF($BK195&lt;&gt;$GK$9,0,各项系数!$F$76/4*($MS195^2-$MQ195^2)*10^-2*(VLOOKUP($GK$9,各项系数!$D$1:$F$143,3,0))*10^-3*10^2)*各项系数!$J$4</f>
        <v>0</v>
      </c>
      <c r="GL195" s="389">
        <v>1</v>
      </c>
      <c r="GM195" s="390">
        <f t="shared" si="849"/>
        <v>0</v>
      </c>
      <c r="GN195" s="367">
        <f>GM195*(VLOOKUP($GK$9,各项系数!$D$1:$F$143,2,0))</f>
        <v>0</v>
      </c>
      <c r="GO195" s="390">
        <f t="shared" si="850"/>
        <v>0.00512866608940966</v>
      </c>
      <c r="GP195" s="390">
        <f t="shared" si="851"/>
        <v>0.0661597925533847</v>
      </c>
      <c r="GQ195" s="406">
        <f>各项系数!$F$76/4*($MU195^2-$MS195^2)*10^-2*(VLOOKUP($S195,各项系数!$D$1:$F$143,3,0))*10^-3*10^2*各项系数!$J$4</f>
        <v>0.286303939743965</v>
      </c>
      <c r="GR195" s="389">
        <v>1</v>
      </c>
      <c r="GS195" s="390">
        <f t="shared" si="852"/>
        <v>0.286303939743965</v>
      </c>
      <c r="GT195" s="390">
        <f t="shared" si="696"/>
        <v>0</v>
      </c>
      <c r="GU195" s="390">
        <f>ROUND($GS195*(VLOOKUP($S195,各项系数!$D$1:$F$143,2,0))+$E$3*GS195,GT195)</f>
        <v>2</v>
      </c>
      <c r="GV195" s="406">
        <f>各项系数!$F$76/4*($MT195^2-$MS195^2)*10^-2*(VLOOKUP($GV$9,各项系数!$D$1:$F$143,3,0))*10^-3*10^2*各项系数!$J$4*PI()/4*R195</f>
        <v>0.026540871407618</v>
      </c>
      <c r="GW195" s="389">
        <v>1</v>
      </c>
      <c r="GX195" s="390">
        <f t="shared" si="853"/>
        <v>0.026540871407618</v>
      </c>
      <c r="GY195" s="390">
        <f>$GX195*(VLOOKUP($GV$9,各项系数!$D$1:$F$143,2,0))</f>
        <v>1.79150882001421</v>
      </c>
      <c r="GZ195" s="406">
        <f>各项系数!$F$76/4*($MV195^2-$MS195^2)*10^-2*(VLOOKUP($GZ$9,各项系数!$D$1:$F$143,3,0))*10^-3*10^2*各项系数!$J$4</f>
        <v>0.169051413802294</v>
      </c>
      <c r="HA195" s="389">
        <v>1</v>
      </c>
      <c r="HB195" s="390">
        <f t="shared" si="653"/>
        <v>0.169051413802294</v>
      </c>
      <c r="HC195" s="390">
        <f>HB195*(VLOOKUP($GZ$9,各项系数!$D$1:$F$143,2,0))</f>
        <v>2.87387403463899</v>
      </c>
      <c r="HD195" s="406">
        <f>各项系数!$F$76/4*($MW195^2-$MT195^2)*10^-2*(VLOOKUP($HD$9,各项系数!$D$1:$F$143,3,0))*10^-3*10^2*各项系数!$J$4</f>
        <v>0.170356783248972</v>
      </c>
      <c r="HE195" s="389">
        <v>1</v>
      </c>
      <c r="HF195" s="390">
        <f t="shared" si="654"/>
        <v>0.170356783248972</v>
      </c>
      <c r="HG195" s="390">
        <f>HF195*(VLOOKUP($HD$9,各项系数!$D$1:$F$143,2,0))</f>
        <v>2.89606531523252</v>
      </c>
      <c r="HH195" s="406">
        <f>各项系数!$F$76/4*($MV195^2-$MS195^2)*10^-2*(VLOOKUP($HH$9,各项系数!$D$1:$F$143,3,0))*10^-3*10^2*各项系数!$J$4</f>
        <v>0.169051413802294</v>
      </c>
      <c r="HI195" s="420">
        <v>1</v>
      </c>
      <c r="HJ195" s="390">
        <f t="shared" si="655"/>
        <v>0.169051413802294</v>
      </c>
      <c r="HK195" s="390">
        <f>HJ195*(VLOOKUP($HH$9,各项系数!$D$1:$F$143,2,0))</f>
        <v>2.87387403463899</v>
      </c>
      <c r="HL195" s="406">
        <f>各项系数!$F$76/4*($MW195^2-$MT195^2)*10^-2*(VLOOKUP($HL$9,各项系数!$D$1:$F$143,3,0))*10^-3*10^2*各项系数!$J$4</f>
        <v>0.170356783248972</v>
      </c>
      <c r="HM195" s="420">
        <v>1</v>
      </c>
      <c r="HN195" s="390">
        <f t="shared" si="605"/>
        <v>0.170356783248972</v>
      </c>
      <c r="HO195" s="390">
        <f>HN195*(VLOOKUP($HL$9,各项系数!$D$1:$F$143,2,0))</f>
        <v>2.89606531523252</v>
      </c>
      <c r="HP195" s="406">
        <f>各项系数!$F$76/4*($MV195^2-$MS195^2)*10^-2*(VLOOKUP(AN195,各项系数!$D$1:$F$143,3,0))*10^-3*10^2*各项系数!$J$4</f>
        <v>0.171383157440946</v>
      </c>
      <c r="HQ195" s="389">
        <v>1</v>
      </c>
      <c r="HR195" s="390">
        <f t="shared" si="854"/>
        <v>0.171383157440946</v>
      </c>
      <c r="HS195" s="390">
        <f>HR195*(VLOOKUP(AN195,各项系数!$D$1:$F$143,2,0))</f>
        <v>1.71383157440946</v>
      </c>
      <c r="HT195" s="406">
        <f>各项系数!$F$76/4*($MW195^2-$MT195^2)*10^-2*(VLOOKUP(AN195,各项系数!$D$1:$F$143,3,0))*10^-3*10^2*各项系数!$J$4</f>
        <v>0.172706531983441</v>
      </c>
      <c r="HU195" s="389">
        <v>1</v>
      </c>
      <c r="HV195" s="390">
        <f t="shared" si="855"/>
        <v>0.172706531983441</v>
      </c>
      <c r="HW195" s="390">
        <f>HV195*(VLOOKUP(AN195,各项系数!$D$1:$F$143,2,0))</f>
        <v>1.72706531983441</v>
      </c>
      <c r="HX195" s="406">
        <f>各项系数!$F$76/4*($MV195^2-$MS195^2)*10^-2*(VLOOKUP($HX$9,各项系数!$D$1:$F$143,3,0))*10^-3*10^2*各项系数!$J$4</f>
        <v>0.171383157440946</v>
      </c>
      <c r="HY195" s="420">
        <v>1</v>
      </c>
      <c r="HZ195" s="390">
        <f t="shared" si="856"/>
        <v>0.171383157440946</v>
      </c>
      <c r="IA195" s="390">
        <f>HZ195*(VLOOKUP($HX$9,各项系数!$D$1:$F$143,2,0))</f>
        <v>1.8852147318504</v>
      </c>
      <c r="IB195" s="406">
        <f>各项系数!$F$76/4*($MW195^2-$MT195^2)*10^-2*(VLOOKUP($IB$9,各项系数!$D$1:$F$143,3,0))*10^-3*10^2*各项系数!$J$4</f>
        <v>0.172706531983441</v>
      </c>
      <c r="IC195" s="420">
        <v>1</v>
      </c>
      <c r="ID195" s="390">
        <f t="shared" si="857"/>
        <v>0.172706531983441</v>
      </c>
      <c r="IE195" s="390">
        <f>ID195*(VLOOKUP($IB$9,各项系数!$D$1:$F$143,2,0))</f>
        <v>1.89977185181785</v>
      </c>
      <c r="IF195" s="429"/>
      <c r="IG195" s="406">
        <f t="shared" si="656"/>
        <v>0.0683335251450561</v>
      </c>
      <c r="IH195" s="389">
        <v>1</v>
      </c>
      <c r="II195" s="390">
        <f t="shared" si="858"/>
        <v>0.0683335251450561</v>
      </c>
      <c r="IJ195" s="390">
        <f>II195*(VLOOKUP($IG$8,各项系数!$D$1:$F$143,2,0))</f>
        <v>1.7083381286264</v>
      </c>
      <c r="IK195" s="406">
        <f>(各项系数!$F$76/4*($MX195^2-$MK195^2)*$EG195)*10^-2*(VLOOKUP($IG$8,各项系数!$D$1:$F$143,3,0))*10^-3*10^2*各项系数!$J$4</f>
        <v>0.0683335251450561</v>
      </c>
      <c r="IL195" s="389">
        <f>IK195*(VLOOKUP($IG$8,各项系数!$D$1:$F$143,2,0))</f>
        <v>1.7083381286264</v>
      </c>
      <c r="IM195" s="390">
        <f>(各项系数!$F$76/4*(($MM195+3*$X195)^2-MM195^2)*$EO195)*10^-2*(VLOOKUP($IG$8,各项系数!$D$1:$F$143,3,0))*10^-3*10^2*各项系数!$J$4</f>
        <v>0</v>
      </c>
      <c r="IN195" s="389">
        <f>IM195*(VLOOKUP($IG$8,各项系数!$D$1:$F$143,2,0))</f>
        <v>0</v>
      </c>
      <c r="IO195" s="406">
        <f>各项系数!$F$76/4*($MZ195^2-$MX195^2)*10^-2*(VLOOKUP(L195,各项系数!$D$1:$F$143,3,0))*10^-3*10^2*$ES195*各项系数!$J$4</f>
        <v>0.174692603214244</v>
      </c>
      <c r="IP195" s="389">
        <v>1</v>
      </c>
      <c r="IQ195" s="390">
        <f t="shared" si="859"/>
        <v>0.174692603214244</v>
      </c>
      <c r="IR195" s="367">
        <f>IQ195*(VLOOKUP(L195,各项系数!$D$1:$F$143,2,0))</f>
        <v>2.0089649369638</v>
      </c>
      <c r="IS195" s="406">
        <f>IF($L195&lt;&gt;$IS$9,0,各项系数!$F$76/4*($MZ195^2-$MX195^2)*10^-2*各项系数!$F$12*10^-3*10^2)*$ES195*各项系数!$J$4</f>
        <v>0</v>
      </c>
      <c r="IT195" s="389">
        <v>1</v>
      </c>
      <c r="IU195" s="390">
        <f t="shared" si="860"/>
        <v>0</v>
      </c>
      <c r="IV195" s="367">
        <f>IU195*各项系数!$E$12</f>
        <v>0</v>
      </c>
      <c r="IW195" s="388">
        <f t="shared" si="861"/>
        <v>0.174692603214244</v>
      </c>
      <c r="IX195" s="388">
        <f t="shared" si="862"/>
        <v>2.0089649369638</v>
      </c>
      <c r="IY195" s="447">
        <f>各项系数!$F$76/4*($NB195^2-$MZ195^2*$EG195-$NA195^2*$EO195)*10^-2</f>
        <v>1.30713184640302</v>
      </c>
      <c r="IZ195" s="366">
        <f t="shared" si="697"/>
        <v>1</v>
      </c>
      <c r="JA195" s="367">
        <f t="shared" si="606"/>
        <v>1.30713184640302</v>
      </c>
      <c r="JB195" s="364">
        <f>IF($DE195&lt;&gt;$JB$9,0,$JA195*各项系数!$F$32*10^-3*10^2)*各项系数!$J$4</f>
        <v>0</v>
      </c>
      <c r="JC195" s="123">
        <v>1</v>
      </c>
      <c r="JD195" s="251">
        <f t="shared" si="863"/>
        <v>0</v>
      </c>
      <c r="JE195" s="339">
        <f>JD195*各项系数!$E$32</f>
        <v>0</v>
      </c>
      <c r="JF195" s="364">
        <f>IF($DE195&lt;&gt;$JF$9,0,$JA195*VLOOKUP($JF$9,各项系数!$D$4:$F$540,2,0)*10^-3*10^2)*各项系数!$J$4</f>
        <v>0.650298093585503</v>
      </c>
      <c r="JG195" s="123">
        <v>1</v>
      </c>
      <c r="JH195" s="251">
        <f t="shared" si="607"/>
        <v>0.650298093585503</v>
      </c>
      <c r="JI195" s="339">
        <f>JH195*VLOOKUP($JF$9,各项系数!$D$4:$F$540,3,0)</f>
        <v>0.780357712302604</v>
      </c>
      <c r="JJ195" s="364">
        <f t="shared" si="864"/>
        <v>0.650298093585503</v>
      </c>
      <c r="JK195" s="251">
        <f t="shared" si="865"/>
        <v>0.780357712302604</v>
      </c>
      <c r="JL195" s="364">
        <f>IF($DF195&lt;&gt;$JL$9,0,各项系数!$F$76/4*($NE195^2-$NC195^2)*10^-2*各项系数!$F$39*10^-3*10^2)*各项系数!$J$4</f>
        <v>0.00252799918304947</v>
      </c>
      <c r="JM195" s="123">
        <v>1</v>
      </c>
      <c r="JN195" s="251">
        <f t="shared" si="866"/>
        <v>0.00252799918304947</v>
      </c>
      <c r="JO195" s="339">
        <f>JN195*各项系数!$E$39</f>
        <v>0.0505599836609894</v>
      </c>
      <c r="JP195" s="364">
        <f>IF($DF195&lt;&gt;$JP$9,0,各项系数!$F$76/4*($NE195^2-$NC195^2)*10^-2*各项系数!$F$36*10^-3*10^2)*各项系数!$J$4</f>
        <v>0</v>
      </c>
      <c r="JQ195" s="123">
        <v>1</v>
      </c>
      <c r="JR195" s="251">
        <f t="shared" si="867"/>
        <v>0</v>
      </c>
      <c r="JS195" s="339">
        <f>JR195*各项系数!$E$36</f>
        <v>0</v>
      </c>
      <c r="JT195" s="364">
        <f>IF($DF195&lt;&gt;$JT$9,0,各项系数!$F$76/4*($NE195^2-$NC195^2)*10^-2*各项系数!$F$40*10^-3*10^2)*各项系数!$J$4</f>
        <v>0</v>
      </c>
      <c r="JU195" s="123">
        <v>1</v>
      </c>
      <c r="JV195" s="251">
        <f t="shared" si="868"/>
        <v>0</v>
      </c>
      <c r="JW195" s="339">
        <f>JV195*各项系数!$E$40</f>
        <v>0</v>
      </c>
      <c r="JX195" s="364">
        <f>IF($DF195&lt;&gt;$JX$9,0,各项系数!$F$76/4*($NE195^2-$NC195^2)*10^-2*各项系数!$F$38*10^-3*10^2)*各项系数!$J$4</f>
        <v>0</v>
      </c>
      <c r="JY195" s="123">
        <v>1</v>
      </c>
      <c r="JZ195" s="251">
        <f t="shared" si="869"/>
        <v>0</v>
      </c>
      <c r="KA195" s="339">
        <f>JZ195*各项系数!$E$38</f>
        <v>0</v>
      </c>
      <c r="KB195" s="364">
        <f>IF($DF195&lt;&gt;$KB$9,0,各项系数!$F$76/4*($NE195^2-$NC195^2)*10^-2*各项系数!$F$41*10^-3*10^2)*各项系数!$J$4</f>
        <v>0</v>
      </c>
      <c r="KC195" s="123">
        <v>1</v>
      </c>
      <c r="KD195" s="251">
        <f t="shared" si="870"/>
        <v>0</v>
      </c>
      <c r="KE195" s="339">
        <f>KD195*各项系数!$E$41</f>
        <v>0</v>
      </c>
      <c r="KF195" s="251">
        <f t="shared" si="871"/>
        <v>0.00252799918304947</v>
      </c>
      <c r="KG195" s="251">
        <f t="shared" si="872"/>
        <v>0.0505599836609894</v>
      </c>
      <c r="KH195" s="302">
        <f>各项系数!$F$76/4*($NG195^2-$NE195^2)*10^-2*各项系数!$F$44*10^-3*10^2*各项系数!$J$4*0.75*$U195</f>
        <v>1.02012764666105</v>
      </c>
      <c r="KI195" s="123">
        <v>1</v>
      </c>
      <c r="KJ195" s="251">
        <f t="shared" si="873"/>
        <v>1.02012764666105</v>
      </c>
      <c r="KK195" s="251">
        <f>ROUND(KJ195*各项系数!$E$43,GT195)</f>
        <v>6</v>
      </c>
      <c r="KL195" s="302">
        <f>各项系数!$F$76/4*($NF195^2-$NE195^2)*10^-2*各项系数!$F$46*10^-3*10^2*各项系数!$J$4*PI()/4*R195</f>
        <v>0.0316588684992283</v>
      </c>
      <c r="KM195" s="123">
        <v>1</v>
      </c>
      <c r="KN195" s="251">
        <f t="shared" si="874"/>
        <v>0.0316588684992283</v>
      </c>
      <c r="KO195" s="251">
        <f>KN195*各项系数!$E$46</f>
        <v>2.13697362369791</v>
      </c>
      <c r="KP195" s="302">
        <f>各项系数!$F$76/4*($NH195^2-$NE195^2)*10^-2*(VLOOKUP($KP$9,各项系数!$D$1:$F$143,3,0))*10^-3*10^2*各项系数!$J$4</f>
        <v>0.198944374131229</v>
      </c>
      <c r="KQ195" s="123">
        <v>1</v>
      </c>
      <c r="KR195" s="251">
        <f t="shared" si="657"/>
        <v>0.198944374131229</v>
      </c>
      <c r="KS195" s="251">
        <f>KR195*(VLOOKUP($KP$9,各项系数!$D$1:$F$143,2,0))</f>
        <v>3.38205436023089</v>
      </c>
      <c r="KT195" s="302">
        <f>各项系数!$F$76/4*($NI195^2-$NF195^2)*10^-2*(VLOOKUP($KT$9,各项系数!$D$1:$F$143,3,0))*10^-3*10^2*各项系数!$J$4</f>
        <v>0.200249743577907</v>
      </c>
      <c r="KU195" s="123">
        <v>1</v>
      </c>
      <c r="KV195" s="251">
        <f t="shared" si="658"/>
        <v>0.200249743577907</v>
      </c>
      <c r="KW195" s="251">
        <f>KV195*(VLOOKUP($KT$9,各项系数!$D$1:$F$143,2,0))</f>
        <v>3.40424564082442</v>
      </c>
      <c r="KX195" s="251">
        <f>各项系数!$F$76/4*($NH195^2-$NE195^2)*10^-2*(VLOOKUP($KX$9,各项系数!$D$1:$F$143,3,0))*10^-3*10^2*各项系数!$J$4</f>
        <v>0.198944374131229</v>
      </c>
      <c r="KY195" s="479">
        <v>1</v>
      </c>
      <c r="KZ195" s="251">
        <f t="shared" si="659"/>
        <v>0.198944374131229</v>
      </c>
      <c r="LA195" s="251">
        <f>KZ195*(VLOOKUP($KX$9,各项系数!$D$1:$F$143,2,0))</f>
        <v>3.38205436023089</v>
      </c>
      <c r="LB195" s="251">
        <f>各项系数!$F$76/4*($NI195^2-$NF195^2)*10^-2*(VLOOKUP($LB$9,各项系数!$D$1:$F$143,3,0))*10^-3*10^2*各项系数!$J$4</f>
        <v>0.200249743577907</v>
      </c>
      <c r="LC195" s="479">
        <v>1</v>
      </c>
      <c r="LD195" s="251">
        <f t="shared" si="660"/>
        <v>0.200249743577907</v>
      </c>
      <c r="LE195" s="251">
        <f>LD195*(VLOOKUP($LB$9,各项系数!$D$1:$F$143,2,0))</f>
        <v>3.40424564082442</v>
      </c>
      <c r="LF195" s="302">
        <f>各项系数!$F$76/4*($NH195^2-$NE195^2)*10^-2*(VLOOKUP(AN195,各项系数!$D$1:$F$143,3,0))*10^-3*10^2*各项系数!$J$4</f>
        <v>0.201688434464073</v>
      </c>
      <c r="LG195" s="123">
        <v>1</v>
      </c>
      <c r="LH195" s="251">
        <f t="shared" si="875"/>
        <v>0.201688434464073</v>
      </c>
      <c r="LI195" s="251">
        <f>LH195*(VLOOKUP(AN195,各项系数!$D$1:$F$143,2,0))</f>
        <v>2.01688434464073</v>
      </c>
      <c r="LJ195" s="302">
        <f>各项系数!$F$76/4*($NI195^2-$NF195^2)*10^-2*(VLOOKUP(AN195,各项系数!$D$1:$F$143,3,0))*10^-3*10^2*各项系数!$J$4</f>
        <v>0.203011809006568</v>
      </c>
      <c r="LK195" s="123">
        <v>1</v>
      </c>
      <c r="LL195" s="251">
        <f t="shared" si="876"/>
        <v>0.203011809006568</v>
      </c>
      <c r="LM195" s="251">
        <f>LL195*(VLOOKUP(AN195,各项系数!$D$1:$F$143,2,0))</f>
        <v>2.03011809006568</v>
      </c>
      <c r="LN195" s="251">
        <f>各项系数!$F$76/4*($NH195^2-$NE195^2)*10^-2*(VLOOKUP($LN$9,各项系数!$D$1:$F$143,3,0))*10^-3*10^2*各项系数!$J$4</f>
        <v>0.201688434464073</v>
      </c>
      <c r="LO195" s="479">
        <v>1</v>
      </c>
      <c r="LP195" s="251">
        <f t="shared" si="877"/>
        <v>0.201688434464073</v>
      </c>
      <c r="LQ195" s="251">
        <f>LP195*(VLOOKUP($LN$9,各项系数!$D$1:$F$143,2,0))</f>
        <v>2.21857277910481</v>
      </c>
      <c r="LR195" s="251">
        <f>各项系数!$F$76/4*($NI195^2-$NF195^2)*10^-2*(VLOOKUP($LR$9,各项系数!$D$1:$F$143,3,0))*10^-3*10^2*各项系数!$J$4</f>
        <v>0.203011809006568</v>
      </c>
      <c r="LS195" s="479">
        <v>1</v>
      </c>
      <c r="LT195" s="251">
        <f t="shared" si="878"/>
        <v>0.203011809006568</v>
      </c>
      <c r="LU195" s="251">
        <f>LT195*(VLOOKUP($LR$9,各项系数!$D$1:$F$143,2,0))</f>
        <v>2.23312989907225</v>
      </c>
      <c r="LV195" s="499">
        <f t="shared" si="661"/>
        <v>56.03225783</v>
      </c>
      <c r="LW195" s="499">
        <f t="shared" si="662"/>
        <v>56.03225783</v>
      </c>
      <c r="LX195" s="499">
        <f t="shared" si="663"/>
        <v>8.44644815587904</v>
      </c>
      <c r="LY195" s="515">
        <f t="shared" si="664"/>
        <v>0</v>
      </c>
      <c r="LZ195" s="516">
        <f t="shared" si="608"/>
        <v>1</v>
      </c>
      <c r="MA195" s="517">
        <f t="shared" si="609"/>
        <v>56.03225783</v>
      </c>
      <c r="MB195" s="517">
        <f t="shared" si="665"/>
        <v>1.72412401</v>
      </c>
      <c r="MC195" s="499">
        <f t="shared" si="666"/>
        <v>0</v>
      </c>
      <c r="MD195" s="499">
        <f t="shared" si="667"/>
        <v>0</v>
      </c>
      <c r="ME195" s="499">
        <f t="shared" si="668"/>
        <v>0</v>
      </c>
      <c r="MF195" s="499">
        <f t="shared" si="669"/>
        <v>0</v>
      </c>
      <c r="MG195" s="516">
        <f t="shared" si="670"/>
        <v>1</v>
      </c>
      <c r="MH195" s="517">
        <f t="shared" si="610"/>
        <v>0</v>
      </c>
      <c r="MI195" s="517">
        <f t="shared" si="671"/>
        <v>0</v>
      </c>
      <c r="MJ195" s="251">
        <f t="shared" si="611"/>
        <v>1.72412401</v>
      </c>
      <c r="MK195" s="251">
        <f t="shared" si="672"/>
        <v>1.72412401</v>
      </c>
      <c r="ML195" s="251">
        <f t="shared" si="879"/>
        <v>0</v>
      </c>
      <c r="MM195" s="251">
        <f t="shared" si="612"/>
        <v>0</v>
      </c>
      <c r="MN195" s="251">
        <f t="shared" si="613"/>
        <v>3.12412401</v>
      </c>
      <c r="MO195" s="251">
        <f t="shared" si="673"/>
        <v>0</v>
      </c>
      <c r="MP195" s="251">
        <f t="shared" si="674"/>
        <v>18.74474406</v>
      </c>
      <c r="MQ195" s="251">
        <f t="shared" si="880"/>
        <v>18.74474406</v>
      </c>
      <c r="MR195" s="314">
        <f t="shared" si="675"/>
        <v>18.74474406</v>
      </c>
      <c r="MS195" s="530">
        <f t="shared" si="614"/>
        <v>18.92074406</v>
      </c>
      <c r="MT195" s="530">
        <f t="shared" si="615"/>
        <v>19.08074406</v>
      </c>
      <c r="MU195" s="530">
        <f t="shared" si="616"/>
        <v>20.12074406</v>
      </c>
      <c r="MV195" s="530">
        <f t="shared" si="617"/>
        <v>22.52074406</v>
      </c>
      <c r="MW195" s="530">
        <f t="shared" si="618"/>
        <v>22.68074406</v>
      </c>
      <c r="MX195" s="326">
        <f t="shared" si="619"/>
        <v>2.32412401</v>
      </c>
      <c r="MY195" s="326">
        <f t="shared" si="620"/>
        <v>0</v>
      </c>
      <c r="MZ195" s="251">
        <f t="shared" si="621"/>
        <v>3.72412401</v>
      </c>
      <c r="NA195" s="251">
        <f t="shared" si="622"/>
        <v>0</v>
      </c>
      <c r="NB195" s="251">
        <f t="shared" si="676"/>
        <v>22.34474406</v>
      </c>
      <c r="NC195" s="326">
        <f t="shared" si="881"/>
        <v>22.34474406</v>
      </c>
      <c r="ND195" s="314">
        <f t="shared" si="677"/>
        <v>22.34474406</v>
      </c>
      <c r="NE195" s="537">
        <f t="shared" si="678"/>
        <v>22.58474406</v>
      </c>
      <c r="NF195" s="530">
        <f t="shared" si="623"/>
        <v>22.74474406</v>
      </c>
      <c r="NG195" s="538">
        <f t="shared" si="624"/>
        <v>23.78474406</v>
      </c>
      <c r="NH195" s="326">
        <f t="shared" si="625"/>
        <v>26.18474406</v>
      </c>
      <c r="NI195" s="530">
        <f t="shared" si="626"/>
        <v>26.34474406</v>
      </c>
      <c r="NK195" s="539">
        <f t="shared" si="627"/>
        <v>0.922013535627412</v>
      </c>
      <c r="NL195" s="539">
        <f t="shared" si="628"/>
        <v>36.184033783636</v>
      </c>
      <c r="NM195" s="539">
        <f t="shared" si="629"/>
        <v>0.922013535627412</v>
      </c>
      <c r="NN195" s="539">
        <f t="shared" si="630"/>
        <v>36.3554169410769</v>
      </c>
      <c r="NO195" s="539">
        <f t="shared" si="631"/>
        <v>1.5931767921256</v>
      </c>
      <c r="NP195" s="539">
        <f t="shared" si="632"/>
        <v>39.0292720491499</v>
      </c>
      <c r="NQ195" s="539">
        <f t="shared" si="633"/>
        <v>1.5931767921256</v>
      </c>
      <c r="NR195" s="539">
        <f t="shared" si="634"/>
        <v>39.230960483614</v>
      </c>
      <c r="NS195" s="539">
        <f t="shared" si="635"/>
        <v>0.94855440703503</v>
      </c>
      <c r="NT195" s="539">
        <f t="shared" si="636"/>
        <v>0.94855440703503</v>
      </c>
      <c r="NU195" s="539">
        <f t="shared" si="637"/>
        <v>1.62483566062482</v>
      </c>
      <c r="NV195" s="539">
        <f t="shared" si="638"/>
        <v>1.62483566062482</v>
      </c>
      <c r="NW195">
        <f t="shared" si="639"/>
        <v>1.20831747537138</v>
      </c>
      <c r="NX195">
        <f>各项系数!$M$9*NK195</f>
        <v>0.276604060688224</v>
      </c>
      <c r="NY195">
        <f t="shared" si="640"/>
        <v>0.94855440703503</v>
      </c>
    </row>
    <row r="196" customHeight="1" spans="1:389">
      <c r="A196" s="85"/>
      <c r="B196" s="86"/>
      <c r="C196" s="218"/>
      <c r="D196" s="123" t="s">
        <v>942</v>
      </c>
      <c r="E196" s="77">
        <f t="shared" si="829"/>
        <v>22.98936266</v>
      </c>
      <c r="F196" s="559">
        <f t="shared" si="820"/>
        <v>172.412400708262</v>
      </c>
      <c r="G196" s="23"/>
      <c r="H196" s="23"/>
      <c r="I196" s="174">
        <v>0</v>
      </c>
      <c r="J196" s="23"/>
      <c r="K196" s="23"/>
      <c r="L196" s="118" t="s">
        <v>469</v>
      </c>
      <c r="M196" s="124">
        <f t="shared" si="582"/>
        <v>0.7</v>
      </c>
      <c r="N196" s="124">
        <f t="shared" si="804"/>
        <v>0</v>
      </c>
      <c r="O196" s="69">
        <f t="shared" si="825"/>
        <v>0.08</v>
      </c>
      <c r="P196" s="120">
        <v>0.1</v>
      </c>
      <c r="Q196" s="162">
        <f t="shared" si="882"/>
        <v>0.1</v>
      </c>
      <c r="R196" s="560">
        <v>0.8</v>
      </c>
      <c r="S196" s="171" t="str">
        <f>各项系数!$D$43</f>
        <v>钢带</v>
      </c>
      <c r="T196" s="123">
        <v>0.2</v>
      </c>
      <c r="U196" s="78">
        <v>4</v>
      </c>
      <c r="V196" s="172"/>
      <c r="W196" s="170">
        <f t="shared" si="828"/>
        <v>1.8</v>
      </c>
      <c r="X196" s="164">
        <f t="shared" si="883"/>
        <v>0.2</v>
      </c>
      <c r="Y196" s="219"/>
      <c r="Z196" s="220"/>
      <c r="AA196" s="217">
        <v>1</v>
      </c>
      <c r="AB196" s="186">
        <f>PI()*EJ196*EJ196/4*EH196*(1-H196)*AA196*各项系数!$F$5*各项系数!$J$4*10^-7</f>
        <v>0.0206515056889029</v>
      </c>
      <c r="AC196" s="186">
        <f t="shared" si="830"/>
        <v>172.412400708262</v>
      </c>
      <c r="AD196" s="186">
        <f t="shared" si="584"/>
        <v>2.3346774015073</v>
      </c>
      <c r="AE196" s="186">
        <f>POWER(4*EU196/PI()/EG196/10^-7/EH196/(1-H196)/各项系数!$F$5/各项系数!$J$4,0.5)</f>
        <v>172.412400708262</v>
      </c>
      <c r="AF196" s="218">
        <v>1</v>
      </c>
      <c r="AG196" s="85">
        <f>IF(EM196=0,0,PI()*ER196*ER196/4*EP196*(1-K196)*(1+AF196)*各项系数!$F$5*各项系数!$J$4*10^-7)</f>
        <v>0</v>
      </c>
      <c r="AH196" s="85">
        <f t="shared" si="831"/>
        <v>0</v>
      </c>
      <c r="AI196" s="85">
        <f t="shared" si="641"/>
        <v>0</v>
      </c>
      <c r="AJ196" s="85">
        <f>IF(OR(EP196="",EP196=0),0,POWER(4*EW196/PI()/EO196/10^-7/EP196/(1-K196)/各项系数!$F$5/各项系数!$J$4,0.5))</f>
        <v>0</v>
      </c>
      <c r="AK196" s="85" t="str">
        <f t="shared" si="585"/>
        <v>√</v>
      </c>
      <c r="AL196" s="85">
        <f t="shared" si="832"/>
        <v>41.8466181155587</v>
      </c>
      <c r="AM196" s="250">
        <f t="shared" si="833"/>
        <v>2.5</v>
      </c>
      <c r="AN196" s="118" t="s">
        <v>486</v>
      </c>
      <c r="AO196" s="259">
        <f>AP196+各项系数!$M$9*$NK196</f>
        <v>41.0260961917242</v>
      </c>
      <c r="AP196" s="259">
        <f>AQ196*(1+$BI196+(VLOOKUP($AM196,$A$12:$B$323,2,0))+各项系数!$J$6+各项系数!$M$5)*(1+$E$2)</f>
        <v>40.7276866673103</v>
      </c>
      <c r="AQ196" s="260">
        <f>AR196+各项系数!$L$9*$NK196</f>
        <v>41.558863946235</v>
      </c>
      <c r="AR196" s="260">
        <f>AS196*(1+$BJ196+各项系数!$J$5+各项系数!$L$5)</f>
        <v>41.260454421821</v>
      </c>
      <c r="AS196" s="260">
        <f t="shared" si="642"/>
        <v>40.4514259037461</v>
      </c>
      <c r="AT196" s="259">
        <f>AU196+各项系数!$M$9*$NM196</f>
        <v>42.2118995632392</v>
      </c>
      <c r="AU196" s="259">
        <f>AV196*(1+$BI196+(VLOOKUP($AM196,$A$12:$B$323,2,0))+各项系数!$J$6+各项系数!$M$5)*(1+$E$2)</f>
        <v>41.9134900388252</v>
      </c>
      <c r="AV196" s="260">
        <f>AW196+各项系数!$L$9*$NM196</f>
        <v>42.7688673865563</v>
      </c>
      <c r="AW196" s="260">
        <f>AX196*(1+$BJ196+各项系数!$J$5+各项系数!$L$5)</f>
        <v>42.4704578621423</v>
      </c>
      <c r="AX196" s="260">
        <f t="shared" si="643"/>
        <v>41.6377037864141</v>
      </c>
      <c r="AY196" s="259">
        <f>AZ196+各项系数!$M$9*$NS196</f>
        <v>42.8904375741632</v>
      </c>
      <c r="AZ196" s="259">
        <f>BA196*(1+$BI196+(VLOOKUP($AM196,$A$12:$B$214,2,0))+各项系数!$J$6+各项系数!$M$5)*(1+$E$2)</f>
        <v>42.5838694137119</v>
      </c>
      <c r="BA196" s="260">
        <f>BB196+各项系数!$L$9*$NS196</f>
        <v>43.4529279731754</v>
      </c>
      <c r="BB196" s="260">
        <f>BC196*(1+$BJ196+各项系数!$J$5+各项系数!$L$5)</f>
        <v>43.1463598127241</v>
      </c>
      <c r="BC196" s="262">
        <f t="shared" si="644"/>
        <v>42.3003527575726</v>
      </c>
      <c r="BD196" s="259">
        <f>BE196+各项系数!$M$9*$NS196</f>
        <v>44.0851948978327</v>
      </c>
      <c r="BE196" s="259">
        <f>BF196*(1+$BI196+(VLOOKUP($AM196,$A$12:$B$214,2,0))+各项系数!$J$6+各项系数!$M$5)*(1+$E$2)</f>
        <v>43.7786267373813</v>
      </c>
      <c r="BF196" s="260">
        <f>BG196+各项系数!$L$9*$NS196</f>
        <v>44.6720680993687</v>
      </c>
      <c r="BG196" s="260">
        <f>BH196*(1+$BJ196+各项系数!$J$5+各项系数!$L$5)</f>
        <v>44.3654999389174</v>
      </c>
      <c r="BH196" s="262">
        <f t="shared" si="645"/>
        <v>43.4955881754092</v>
      </c>
      <c r="BI196" s="277"/>
      <c r="BJ196" s="272">
        <f t="shared" si="822"/>
        <v>0</v>
      </c>
      <c r="BK196" s="123" t="s">
        <v>514</v>
      </c>
      <c r="BL196" s="259">
        <f>BM196+各项系数!$M$9*$NM196</f>
        <v>41.5994267460136</v>
      </c>
      <c r="BM196" s="259">
        <f>BN196*(1+$CF196+(VLOOKUP($AM196,$A$12:$B$323,2,0))+各项系数!$J$6+各项系数!$M$5)*(1+$E$2)</f>
        <v>41.3010172215996</v>
      </c>
      <c r="BN196" s="260">
        <f>BO196+各项系数!$L$9*$NM196</f>
        <v>42.1438951240812</v>
      </c>
      <c r="BO196" s="260">
        <f>BP196*(1+$CG196+各项系数!$J$5+各项系数!$L$5)</f>
        <v>41.8454855996672</v>
      </c>
      <c r="BP196" s="260">
        <f t="shared" si="646"/>
        <v>40.6266850482206</v>
      </c>
      <c r="BQ196" s="259">
        <f>BR196+各项系数!$M$9*$NM196</f>
        <v>42.619949060346</v>
      </c>
      <c r="BR196" s="259">
        <f>BS196*(1+$CF196+(VLOOKUP($AM196,$A$12:$B$323,2,0))+各项系数!$J$6+各项系数!$M$5)*(1+$E$2)</f>
        <v>42.321539535932</v>
      </c>
      <c r="BS196" s="260">
        <f>BT196+各项系数!$L$9*$NM196</f>
        <v>43.1852444244205</v>
      </c>
      <c r="BT196" s="260">
        <f>BU196*(1+$CG196+各项系数!$J$5+各项系数!$L$5)</f>
        <v>42.8868349000065</v>
      </c>
      <c r="BU196" s="260">
        <f t="shared" si="647"/>
        <v>41.6377037864141</v>
      </c>
      <c r="BV196" s="259">
        <f>BW196+各项系数!$M$9*$NT196</f>
        <v>43.1908847637328</v>
      </c>
      <c r="BW196" s="259">
        <f>BX196*(1+$CF196+(VLOOKUP($AM196,$A$12:$B$214,2,0))+各项系数!$J$6+各项系数!$M$5)*(1+$E$2)</f>
        <v>42.8843166032815</v>
      </c>
      <c r="BX196" s="260">
        <f>BY196+各项系数!$L$9*$NT$12</f>
        <v>43.7595067380424</v>
      </c>
      <c r="BY196" s="260">
        <f>BZ196*(1+$CG196+各项系数!$J$5+各项系数!$L$5)</f>
        <v>43.7512433348874</v>
      </c>
      <c r="BZ196" s="262">
        <f t="shared" si="586"/>
        <v>42.4769352765897</v>
      </c>
      <c r="CA196" s="259">
        <f>CB196+各项系数!$M$9*$NT196</f>
        <v>44.2191129998012</v>
      </c>
      <c r="CB196" s="259">
        <f>CC196*(1+$CF196+(VLOOKUP($AM196,$A$12:$B$214,2,0))+各项系数!$J$6+各项系数!$M$5)*(1+$E$2)</f>
        <v>43.9125448393499</v>
      </c>
      <c r="CC196" s="260">
        <f>CD196+各项系数!$L$9*$NT$12</f>
        <v>44.8087192238265</v>
      </c>
      <c r="CD196" s="260">
        <f>CE196*(1+$CG196+各项系数!$J$5+各项系数!$L$5)</f>
        <v>44.8004558206715</v>
      </c>
      <c r="CE196" s="262">
        <f t="shared" si="648"/>
        <v>43.4955881754092</v>
      </c>
      <c r="CF196" s="277">
        <f t="shared" si="884"/>
        <v>0</v>
      </c>
      <c r="CG196" s="277">
        <f t="shared" si="587"/>
        <v>0.01</v>
      </c>
      <c r="CH196" s="123"/>
      <c r="CI196" s="259">
        <f>CJ196+各项系数!$M$9*$NO196</f>
        <v>44.7699157852327</v>
      </c>
      <c r="CJ196" s="259">
        <f>CK196*(1+$DC196+(VLOOKUP($AM196,$A$12:$B$323,2,0))+各项系数!$J$6+各项系数!$M$5)*(1+$E$2)+各项系数!$M$9*$NK196</f>
        <v>44.2820010885927</v>
      </c>
      <c r="CK196" s="260">
        <f>CL196+各项系数!$L$9*$NO196</f>
        <v>44.881215881815</v>
      </c>
      <c r="CL196" s="260">
        <f>CM196*(1+$DD196+各项系数!$J$5+各项系数!$L$5)</f>
        <v>44.393301185175</v>
      </c>
      <c r="CM196" s="260">
        <f t="shared" si="588"/>
        <v>43.5228442991912</v>
      </c>
      <c r="CN196" s="259">
        <f>CO196+各项系数!$M$9*$NO196</f>
        <v>45.6453466034156</v>
      </c>
      <c r="CO196" s="259">
        <f>CP196*(1+$DC196+(VLOOKUP($AM196,$A$12:$B$323,2,0))+各项系数!$J$6+各项系数!$M$5)*(1+$E$2)+各项系数!$M$9*$NK196</f>
        <v>45.1574319067756</v>
      </c>
      <c r="CP196" s="260">
        <f>CQ196+各项系数!$L$9*$NO196</f>
        <v>45.7745126350629</v>
      </c>
      <c r="CQ196" s="260">
        <f>CR196*(1+$DD196+各项系数!$J$5+各项系数!$L$5)</f>
        <v>45.2865979384229</v>
      </c>
      <c r="CR196" s="260">
        <f t="shared" si="589"/>
        <v>44.3986254298264</v>
      </c>
      <c r="CS196" s="259">
        <f>CT196+各项系数!$M$9*$NU196</f>
        <v>46.6927713937932</v>
      </c>
      <c r="CT196" s="259">
        <f t="shared" si="590"/>
        <v>46.1951249474901</v>
      </c>
      <c r="CU196" s="260">
        <f>CV196+各项系数!$L$9*$NU196</f>
        <v>47.1378825994797</v>
      </c>
      <c r="CV196" s="260">
        <f>CW196*(1+$DD196+各项系数!$J$5+各项系数!$L$5)</f>
        <v>46.6402361531767</v>
      </c>
      <c r="CW196" s="262">
        <f t="shared" si="591"/>
        <v>45.7257217188007</v>
      </c>
      <c r="CX196" s="259">
        <f>CY196+各项系数!$M$9*$NU196</f>
        <v>48.097610819888</v>
      </c>
      <c r="CY196" s="259">
        <f t="shared" si="592"/>
        <v>47.599964373585</v>
      </c>
      <c r="CZ196" s="260">
        <f>DA196+各项系数!$L$9*$NU196</f>
        <v>48.5713922179438</v>
      </c>
      <c r="DA196" s="260">
        <f>DB196*(1+$DD196+各项系数!$J$5+各项系数!$L$5)</f>
        <v>48.0737457716408</v>
      </c>
      <c r="DB196" s="262">
        <f t="shared" si="593"/>
        <v>47.1311233055302</v>
      </c>
      <c r="DC196" s="277">
        <f t="shared" si="827"/>
        <v>0</v>
      </c>
      <c r="DD196" s="277">
        <f t="shared" si="594"/>
        <v>0</v>
      </c>
      <c r="DE196" s="69" t="s">
        <v>498</v>
      </c>
      <c r="DF196" s="69" t="s">
        <v>513</v>
      </c>
      <c r="DG196" s="259">
        <f>DH196+各项系数!$M$9*$NQ196</f>
        <v>45.4046877819476</v>
      </c>
      <c r="DH196" s="259">
        <f>DI196*(1+$EA196+(VLOOKUP($AM196,$A$12:$B$323,2,0))+各项系数!$J$6+各项系数!$M$5)*(1+$E$2)+各项系数!$M$9*$NK196</f>
        <v>44.9167730853076</v>
      </c>
      <c r="DI196" s="260">
        <f>DJ196+各项系数!$L$9*$NQ196</f>
        <v>45.5289424090751</v>
      </c>
      <c r="DJ196" s="260">
        <f>DK196*(1+$EB196+各项系数!$J$5+各项系数!$L$5)</f>
        <v>45.0410277124351</v>
      </c>
      <c r="DK196" s="260">
        <f t="shared" si="595"/>
        <v>43.729153118869</v>
      </c>
      <c r="DL196" s="259">
        <f>DM196+各项系数!$M$9*$NQ196</f>
        <v>46.6060102850104</v>
      </c>
      <c r="DM196" s="259">
        <f>DN196*(1+$EA196+(VLOOKUP($AM196,$A$12:$B$323,2,0))+各项系数!$J$6+各项系数!$M$5)*(1+$E$2)+各项系数!$M$9*$NK196</f>
        <v>46.1180955883704</v>
      </c>
      <c r="DN196" s="260">
        <f>DO196+各项系数!$L$9*$NQ196</f>
        <v>46.7547816979147</v>
      </c>
      <c r="DO196" s="260">
        <f>DP196*(1+$EB196+各项系数!$J$5+各项系数!$L$5)</f>
        <v>46.2668670012747</v>
      </c>
      <c r="DP196" s="260">
        <f t="shared" si="596"/>
        <v>44.9192883507521</v>
      </c>
      <c r="DQ196" s="259">
        <f>DR196+各项系数!$M$9*$NV196</f>
        <v>47.3504674034834</v>
      </c>
      <c r="DR196" s="259">
        <f t="shared" si="597"/>
        <v>46.8528209571804</v>
      </c>
      <c r="DS196" s="260">
        <f>DT196+各项系数!$L$9*$NV196</f>
        <v>47.8090009767147</v>
      </c>
      <c r="DT196" s="260">
        <f>DU196*(1+$EB196+各项系数!$J$5+各项系数!$L$5)</f>
        <v>47.3113545304116</v>
      </c>
      <c r="DU196" s="262">
        <f t="shared" si="598"/>
        <v>45.933353913021</v>
      </c>
      <c r="DV196" s="259">
        <f>DW196+各项系数!$M$9*$NV196</f>
        <v>46.2781654699895</v>
      </c>
      <c r="DW196" s="259">
        <f t="shared" si="599"/>
        <v>45.7805190236865</v>
      </c>
      <c r="DX196" s="260">
        <f>DY196+各项系数!$L$9*$NV196</f>
        <v>46.7148153302923</v>
      </c>
      <c r="DY196" s="260">
        <f>DZ196*(1+$EB196+各项系数!$J$5+各项系数!$L$5)</f>
        <v>46.2171688839893</v>
      </c>
      <c r="DZ196" s="262">
        <f t="shared" si="600"/>
        <v>44.8710377514459</v>
      </c>
      <c r="EA196" s="277">
        <f t="shared" si="826"/>
        <v>0</v>
      </c>
      <c r="EB196" s="277">
        <f t="shared" si="601"/>
        <v>0.01</v>
      </c>
      <c r="EC196" s="302">
        <f t="shared" si="649"/>
        <v>27</v>
      </c>
      <c r="ED196" s="302" t="str">
        <f t="shared" si="834"/>
        <v>27*2.5</v>
      </c>
      <c r="EE196" s="251">
        <f t="shared" si="835"/>
        <v>2.5</v>
      </c>
      <c r="EF196" s="251">
        <f>LOOKUP(EH196,{1,7,10,14,19,24,30,37,48,61},{1,"1+6","2+8","4+10","1+6+12","2+8+14","4+10+16","1+6+12+18","3+9+15+21","1+6+12+18+24"})</f>
        <v>1</v>
      </c>
      <c r="EG196" s="250">
        <f t="shared" si="602"/>
        <v>27</v>
      </c>
      <c r="EH196" s="260">
        <f>VLOOKUP(EE196,各项系数!$B$87:$C$124,2,0)</f>
        <v>1</v>
      </c>
      <c r="EI196" s="250">
        <f>IF(EH196=0,0,VLOOKUP(EH196,各项系数!$D$142:$E$195,2,0))*1</f>
        <v>1</v>
      </c>
      <c r="EJ196" s="305">
        <f t="shared" si="650"/>
        <v>172.412400708262</v>
      </c>
      <c r="EK196" s="251">
        <f t="shared" si="836"/>
        <v>0</v>
      </c>
      <c r="EL196" s="251">
        <f t="shared" si="603"/>
        <v>0</v>
      </c>
      <c r="EM196" s="251">
        <f t="shared" si="837"/>
        <v>0</v>
      </c>
      <c r="EN196" s="251">
        <f>IF(EP196=0,0,LOOKUP(EP196,{1,7,10,14,19,24,30,37,48,61},{1,"1+6","2+8","4+10","1+6+12","2+8+14","4+10+16","1+6+12+18","3+9+15+21","1+6+12+18+24"}))</f>
        <v>0</v>
      </c>
      <c r="EO196" s="251">
        <f t="shared" si="838"/>
        <v>0</v>
      </c>
      <c r="EP196" s="251">
        <f>IF(EM196=0,0,IF(EM196&lt;10,1,IF(AND(EM196&gt;=10,EM196&lt;=35),7,LOOKUP(EM196,{50,70,95,120,150,185,240,300},{10,14,19,24,30,37,48,61})*1)))</f>
        <v>0</v>
      </c>
      <c r="EQ196" s="251">
        <f>IF(EP196=0,0,VLOOKUP(EP196,各项系数!$D$142:$E$195,2,0))*1</f>
        <v>0</v>
      </c>
      <c r="ER196" s="69">
        <f t="shared" si="839"/>
        <v>0</v>
      </c>
      <c r="ES196" s="566">
        <f t="shared" si="840"/>
        <v>27</v>
      </c>
      <c r="ET196" s="251">
        <f>VLOOKUP(ES196,各项系数!$D$142:$E$195,2,0)*1</f>
        <v>6.15</v>
      </c>
      <c r="EU196" s="311">
        <f>((各项系数!$F$76/4*$EJ196^2*$EG196*$EH196*1*10^-7)*(1-$H196)*AA196)*(VLOOKUP($EY$9,各项系数!$D$4:$F$143,3,0))*各项系数!$J$4</f>
        <v>0.557590653600378</v>
      </c>
      <c r="EV196" s="312">
        <f>EU196*(VLOOKUP($EY$9,各项系数!$D$4:$F$143,2,0))</f>
        <v>36.5221878108248</v>
      </c>
      <c r="EW196" s="324">
        <f>(IF($EO196=0,0,(各项系数!$F$76/4*$ER196^2*$EO196*$EP196*1*10^-7))*(1-$K196)*$AF196)*(VLOOKUP($EY$9,各项系数!$D$4:$F$143,3,0))*各项系数!$J$4</f>
        <v>0</v>
      </c>
      <c r="EX196" s="325">
        <f>EW196*(VLOOKUP($EY$9,各项系数!$D$4:$F$143,2,0))</f>
        <v>0</v>
      </c>
      <c r="EY196" s="251">
        <f>((各项系数!$F$76/4*$EJ196^2*$EG196*$EH196*1*10^-7)*(1-$H196)*AA196+IF($EO196=0,0,(各项系数!$F$76/4*$ER196^2*$EO196*$EP196*1*10^-7))*(1-$K196)*$AF196)*(VLOOKUP($EY$9,各项系数!$D$4:$F$143,3,0))*各项系数!$J$4</f>
        <v>0.557590653600378</v>
      </c>
      <c r="EZ196" s="123">
        <v>1</v>
      </c>
      <c r="FA196" s="251">
        <f t="shared" si="841"/>
        <v>0.557590653600378</v>
      </c>
      <c r="FB196" s="326">
        <f>FA196*(VLOOKUP($EY$9,各项系数!$D$4:$F$143,2,0))</f>
        <v>36.5221878108248</v>
      </c>
      <c r="FC196" s="327"/>
      <c r="FD196" s="302">
        <f>各项系数!$F$76/4*($MN196^2-MK196^2)*10^-2*(VLOOKUP(L196,各项系数!$D$1:$F$143,3,0))*10^-3*10^2*$EG196*各项系数!$J$4</f>
        <v>0.157536892988949</v>
      </c>
      <c r="FE196" s="339">
        <f>FD196*VLOOKUP(L196,各项系数!$D$1:$F$143,2,0)</f>
        <v>1.81167426937292</v>
      </c>
      <c r="FF196" s="250">
        <f>各项系数!$F$76/4*($MO196^2-ML196^2)*10^-2*(VLOOKUP(L196,各项系数!$D$1:$F$143,3,0))*10^-3*10^2*$EO196*各项系数!$J$4</f>
        <v>0</v>
      </c>
      <c r="FG196" s="339">
        <f>FF196*VLOOKUP(L196,各项系数!$D$1:$F$143,2,0)</f>
        <v>0</v>
      </c>
      <c r="FH196" s="302">
        <f t="shared" si="651"/>
        <v>0.157536892988949</v>
      </c>
      <c r="FI196" s="123">
        <v>1</v>
      </c>
      <c r="FJ196" s="251">
        <f t="shared" si="842"/>
        <v>0.157536892988949</v>
      </c>
      <c r="FK196" s="339">
        <f>FJ196*VLOOKUP(L196,各项系数!$D$1:$F$143,2,0)</f>
        <v>1.81167426937292</v>
      </c>
      <c r="FL196" s="302"/>
      <c r="FM196" s="123"/>
      <c r="FN196" s="251"/>
      <c r="FO196" s="339"/>
      <c r="FP196" s="364">
        <f t="shared" si="843"/>
        <v>0.157536892988949</v>
      </c>
      <c r="FQ196" s="364">
        <f t="shared" si="844"/>
        <v>1.81167426937292</v>
      </c>
      <c r="FR196" s="365">
        <f>各项系数!$F$76/4*($MQ196^2-$MN196^2*$EG196-$MO196^2*$EO196)*10^-2</f>
        <v>0.82961005048327</v>
      </c>
      <c r="FS196" s="366">
        <f t="shared" si="652"/>
        <v>1</v>
      </c>
      <c r="FT196" s="367">
        <f t="shared" si="604"/>
        <v>0.82961005048327</v>
      </c>
      <c r="FU196" s="388">
        <f>$FT196*(VLOOKUP($FT$9,各项系数!$D$1:$F$143,3,0))*10^-3*10^2*各项系数!$J$55</f>
        <v>0.0990554400277024</v>
      </c>
      <c r="FV196" s="389">
        <v>1</v>
      </c>
      <c r="FW196" s="390">
        <f t="shared" si="845"/>
        <v>0.0990554400277024</v>
      </c>
      <c r="FX196" s="367">
        <f>FW196*(VLOOKUP($FT$9,各项系数!$D$1:$F$143,2,0))</f>
        <v>0.297166320083107</v>
      </c>
      <c r="FY196" s="388">
        <f>IF($BK196&lt;&gt;$FY$9,0,各项系数!$F$76/4*($MS196^2-$MQ196^2)*10^-2*(VLOOKUP($FY$9,各项系数!$D$1:$F$143,3,0))*10^-3*10^2)*各项系数!$J$4</f>
        <v>0</v>
      </c>
      <c r="FZ196" s="389">
        <v>1</v>
      </c>
      <c r="GA196" s="390">
        <f t="shared" si="846"/>
        <v>0</v>
      </c>
      <c r="GB196" s="367">
        <f>GA196*(VLOOKUP($FY$9,各项系数!$D$1:$F$143,2,0))</f>
        <v>0</v>
      </c>
      <c r="GC196" s="388">
        <f>IF($BK196&lt;&gt;$GC$9,0,各项系数!$F$76/4*($MS196^2-$MQ196^2)*10^-2*(VLOOKUP($GC$9,各项系数!$D$1:$F$143,3,0))*10^-3*10^2)*各项系数!$J$4</f>
        <v>0.00525628362167309</v>
      </c>
      <c r="GD196" s="389">
        <v>1</v>
      </c>
      <c r="GE196" s="390">
        <f t="shared" si="847"/>
        <v>0.00525628362167309</v>
      </c>
      <c r="GF196" s="367">
        <f>GE196*(VLOOKUP($GC$9,各项系数!$D$1:$F$143,2,0))</f>
        <v>0.0678060587195828</v>
      </c>
      <c r="GG196" s="388">
        <f>IF($BK196&lt;&gt;$GG$9,0,各项系数!$F$76/4*($MS196^2-$MQ196^2)*10^-2*(VLOOKUP($GG$9,各项系数!$D$1:$F$143,3,0))*10^-3*10^2)*各项系数!$J$4</f>
        <v>0</v>
      </c>
      <c r="GH196" s="389">
        <v>1</v>
      </c>
      <c r="GI196" s="390">
        <f t="shared" si="848"/>
        <v>0</v>
      </c>
      <c r="GJ196" s="367">
        <f>GI196*(VLOOKUP($GG$9,各项系数!$D$1:$F$143,2,0))</f>
        <v>0</v>
      </c>
      <c r="GK196" s="388">
        <f>IF($BK196&lt;&gt;$GK$9,0,各项系数!$F$76/4*($MS196^2-$MQ196^2)*10^-2*(VLOOKUP($GK$9,各项系数!$D$1:$F$143,3,0))*10^-3*10^2)*各项系数!$J$4</f>
        <v>0</v>
      </c>
      <c r="GL196" s="389">
        <v>1</v>
      </c>
      <c r="GM196" s="390">
        <f t="shared" si="849"/>
        <v>0</v>
      </c>
      <c r="GN196" s="367">
        <f>GM196*(VLOOKUP($GK$9,各项系数!$D$1:$F$143,2,0))</f>
        <v>0</v>
      </c>
      <c r="GO196" s="390">
        <f t="shared" si="850"/>
        <v>0.00525628362167309</v>
      </c>
      <c r="GP196" s="390">
        <f t="shared" si="851"/>
        <v>0.0678060587195828</v>
      </c>
      <c r="GQ196" s="406">
        <f>各项系数!$F$76/4*($MU196^2-$MS196^2)*10^-2*(VLOOKUP($S196,各项系数!$D$1:$F$143,3,0))*10^-3*10^2*各项系数!$J$4</f>
        <v>0.293177005186804</v>
      </c>
      <c r="GR196" s="389">
        <v>1</v>
      </c>
      <c r="GS196" s="390">
        <f t="shared" si="852"/>
        <v>0.293177005186804</v>
      </c>
      <c r="GT196" s="390">
        <f t="shared" si="696"/>
        <v>0</v>
      </c>
      <c r="GU196" s="390">
        <f>ROUND($GS196*(VLOOKUP($S196,各项系数!$D$1:$F$143,2,0))+$E$3*GS196,GT196)</f>
        <v>2</v>
      </c>
      <c r="GV196" s="406">
        <f>各项系数!$F$76/4*($MT196^2-$MS196^2)*10^-2*(VLOOKUP($GV$9,各项系数!$D$1:$F$143,3,0))*10^-3*10^2*各项系数!$J$4*PI()/4*R196</f>
        <v>0.0271954534578019</v>
      </c>
      <c r="GW196" s="389">
        <v>1</v>
      </c>
      <c r="GX196" s="390">
        <f t="shared" si="853"/>
        <v>0.0271954534578019</v>
      </c>
      <c r="GY196" s="390">
        <f>$GX196*(VLOOKUP($GV$9,各项系数!$D$1:$F$143,2,0))</f>
        <v>1.83569310840163</v>
      </c>
      <c r="GZ196" s="406">
        <f>各项系数!$F$76/4*($MV196^2-$MS196^2)*10^-2*(VLOOKUP($GZ$9,各项系数!$D$1:$F$143,3,0))*10^-3*10^2*各项系数!$J$4</f>
        <v>0.172874666318451</v>
      </c>
      <c r="HA196" s="389">
        <v>1</v>
      </c>
      <c r="HB196" s="390">
        <f t="shared" si="653"/>
        <v>0.172874666318451</v>
      </c>
      <c r="HC196" s="390">
        <f>HB196*(VLOOKUP($GZ$9,各项系数!$D$1:$F$143,2,0))</f>
        <v>2.93886932741367</v>
      </c>
      <c r="HD196" s="406">
        <f>各项系数!$F$76/4*($MW196^2-$MT196^2)*10^-2*(VLOOKUP($HD$9,各项系数!$D$1:$F$143,3,0))*10^-3*10^2*各项系数!$J$4</f>
        <v>0.17418003576513</v>
      </c>
      <c r="HE196" s="389">
        <v>1</v>
      </c>
      <c r="HF196" s="390">
        <f t="shared" si="654"/>
        <v>0.17418003576513</v>
      </c>
      <c r="HG196" s="390">
        <f>HF196*(VLOOKUP($HD$9,各项系数!$D$1:$F$143,2,0))</f>
        <v>2.9610606080072</v>
      </c>
      <c r="HH196" s="406">
        <f>各项系数!$F$76/4*($MV196^2-$MS196^2)*10^-2*(VLOOKUP($HH$9,各项系数!$D$1:$F$143,3,0))*10^-3*10^2*各项系数!$J$4</f>
        <v>0.172874666318451</v>
      </c>
      <c r="HI196" s="420">
        <v>1</v>
      </c>
      <c r="HJ196" s="390">
        <f t="shared" si="655"/>
        <v>0.172874666318451</v>
      </c>
      <c r="HK196" s="390">
        <f>HJ196*(VLOOKUP($HH$9,各项系数!$D$1:$F$143,2,0))</f>
        <v>2.93886932741367</v>
      </c>
      <c r="HL196" s="406">
        <f>各项系数!$F$76/4*($MW196^2-$MT196^2)*10^-2*(VLOOKUP($HL$9,各项系数!$D$1:$F$143,3,0))*10^-3*10^2*各项系数!$J$4</f>
        <v>0.17418003576513</v>
      </c>
      <c r="HM196" s="420">
        <v>1</v>
      </c>
      <c r="HN196" s="390">
        <f t="shared" si="605"/>
        <v>0.17418003576513</v>
      </c>
      <c r="HO196" s="390">
        <f>HN196*(VLOOKUP($HL$9,各项系数!$D$1:$F$143,2,0))</f>
        <v>2.9610606080072</v>
      </c>
      <c r="HP196" s="406">
        <f>各项系数!$F$76/4*($MV196^2-$MS196^2)*10^-2*(VLOOKUP(AN196,各项系数!$D$1:$F$143,3,0))*10^-3*10^2*各项系数!$J$4</f>
        <v>0.175259144474568</v>
      </c>
      <c r="HQ196" s="389">
        <v>1</v>
      </c>
      <c r="HR196" s="390">
        <f t="shared" si="854"/>
        <v>0.175259144474568</v>
      </c>
      <c r="HS196" s="390">
        <f>HR196*(VLOOKUP(AN196,各项系数!$D$1:$F$143,2,0))</f>
        <v>1.75259144474568</v>
      </c>
      <c r="HT196" s="406">
        <f>各项系数!$F$76/4*($MW196^2-$MT196^2)*10^-2*(VLOOKUP(AN196,各项系数!$D$1:$F$143,3,0))*10^-3*10^2*各项系数!$J$4</f>
        <v>0.176582519017062</v>
      </c>
      <c r="HU196" s="389">
        <v>1</v>
      </c>
      <c r="HV196" s="390">
        <f t="shared" si="855"/>
        <v>0.176582519017062</v>
      </c>
      <c r="HW196" s="390">
        <f>HV196*(VLOOKUP(AN196,各项系数!$D$1:$F$143,2,0))</f>
        <v>1.76582519017062</v>
      </c>
      <c r="HX196" s="406">
        <f>各项系数!$F$76/4*($MV196^2-$MS196^2)*10^-2*(VLOOKUP($HX$9,各项系数!$D$1:$F$143,3,0))*10^-3*10^2*各项系数!$J$4</f>
        <v>0.175259144474568</v>
      </c>
      <c r="HY196" s="420">
        <v>1</v>
      </c>
      <c r="HZ196" s="390">
        <f t="shared" si="856"/>
        <v>0.175259144474568</v>
      </c>
      <c r="IA196" s="390">
        <f>HZ196*(VLOOKUP($HX$9,各项系数!$D$1:$F$143,2,0))</f>
        <v>1.92785058922024</v>
      </c>
      <c r="IB196" s="406">
        <f>各项系数!$F$76/4*($MW196^2-$MT196^2)*10^-2*(VLOOKUP($IB$9,各项系数!$D$1:$F$143,3,0))*10^-3*10^2*各项系数!$J$4</f>
        <v>0.176582519017062</v>
      </c>
      <c r="IC196" s="420">
        <v>1</v>
      </c>
      <c r="ID196" s="390">
        <f t="shared" si="857"/>
        <v>0.176582519017062</v>
      </c>
      <c r="IE196" s="390">
        <f>ID196*(VLOOKUP($IB$9,各项系数!$D$1:$F$143,2,0))</f>
        <v>1.94240770918769</v>
      </c>
      <c r="IF196" s="429"/>
      <c r="IG196" s="406">
        <f t="shared" si="656"/>
        <v>0.0768752157881881</v>
      </c>
      <c r="IH196" s="389">
        <v>1</v>
      </c>
      <c r="II196" s="390">
        <f t="shared" si="858"/>
        <v>0.0768752157881881</v>
      </c>
      <c r="IJ196" s="390">
        <f>II196*(VLOOKUP($IG$8,各项系数!$D$1:$F$143,2,0))</f>
        <v>1.9218803947047</v>
      </c>
      <c r="IK196" s="406">
        <f>(各项系数!$F$76/4*($MX196^2-$MK196^2)*$EG196)*10^-2*(VLOOKUP($IG$8,各项系数!$D$1:$F$143,3,0))*10^-3*10^2*各项系数!$J$4</f>
        <v>0.0768752157881881</v>
      </c>
      <c r="IL196" s="389">
        <f>IK196*(VLOOKUP($IG$8,各项系数!$D$1:$F$143,2,0))</f>
        <v>1.9218803947047</v>
      </c>
      <c r="IM196" s="390">
        <f>(各项系数!$F$76/4*(($MM196+3*$X196)^2-MM196^2)*$EO196)*10^-2*(VLOOKUP($IG$8,各项系数!$D$1:$F$143,3,0))*10^-3*10^2*各项系数!$J$4</f>
        <v>0</v>
      </c>
      <c r="IN196" s="389">
        <f>IM196*(VLOOKUP($IG$8,各项系数!$D$1:$F$143,2,0))</f>
        <v>0</v>
      </c>
      <c r="IO196" s="406">
        <f>各项系数!$F$76/4*($MZ196^2-$MX196^2)*10^-2*(VLOOKUP(L196,各项系数!$D$1:$F$143,3,0))*10^-3*10^2*$ES196*各项系数!$J$4</f>
        <v>0.196529178616024</v>
      </c>
      <c r="IP196" s="389">
        <v>1</v>
      </c>
      <c r="IQ196" s="390">
        <f t="shared" si="859"/>
        <v>0.196529178616024</v>
      </c>
      <c r="IR196" s="367">
        <f>IQ196*(VLOOKUP(L196,各项系数!$D$1:$F$143,2,0))</f>
        <v>2.26008555408428</v>
      </c>
      <c r="IS196" s="406">
        <f>IF($L196&lt;&gt;$IS$9,0,各项系数!$F$76/4*($MZ196^2-$MX196^2)*10^-2*各项系数!$F$12*10^-3*10^2)*$ES196*各项系数!$J$4</f>
        <v>0</v>
      </c>
      <c r="IT196" s="389">
        <v>1</v>
      </c>
      <c r="IU196" s="390">
        <f t="shared" si="860"/>
        <v>0</v>
      </c>
      <c r="IV196" s="367">
        <f>IU196*各项系数!$E$12</f>
        <v>0</v>
      </c>
      <c r="IW196" s="388">
        <f t="shared" si="861"/>
        <v>0.196529178616024</v>
      </c>
      <c r="IX196" s="388">
        <f t="shared" si="862"/>
        <v>2.26008555408428</v>
      </c>
      <c r="IY196" s="447">
        <f>各项系数!$F$76/4*($NB196^2-$MZ196^2*$EG196-$NA196^2*$EO196)*10^-2</f>
        <v>1.17886953343508</v>
      </c>
      <c r="IZ196" s="366">
        <f t="shared" si="697"/>
        <v>1</v>
      </c>
      <c r="JA196" s="367">
        <f t="shared" si="606"/>
        <v>1.17886953343508</v>
      </c>
      <c r="JB196" s="364">
        <f>IF($DE196&lt;&gt;$JB$9,0,$JA196*各项系数!$F$32*10^-3*10^2)*各项系数!$J$4</f>
        <v>0</v>
      </c>
      <c r="JC196" s="123">
        <v>1</v>
      </c>
      <c r="JD196" s="251">
        <f t="shared" si="863"/>
        <v>0</v>
      </c>
      <c r="JE196" s="339">
        <f>JD196*各项系数!$E$32</f>
        <v>0</v>
      </c>
      <c r="JF196" s="364">
        <f>IF($DE196&lt;&gt;$JF$9,0,$JA196*VLOOKUP($JF$9,各项系数!$D$4:$F$540,2,0)*10^-3*10^2)*各项系数!$J$4</f>
        <v>0.586487592883951</v>
      </c>
      <c r="JG196" s="123">
        <v>1</v>
      </c>
      <c r="JH196" s="251">
        <f t="shared" si="607"/>
        <v>0.586487592883951</v>
      </c>
      <c r="JI196" s="339">
        <f>JH196*VLOOKUP($JF$9,各项系数!$D$4:$F$540,3,0)</f>
        <v>0.703785111460741</v>
      </c>
      <c r="JJ196" s="364">
        <f t="shared" si="864"/>
        <v>0.586487592883951</v>
      </c>
      <c r="JK196" s="251">
        <f t="shared" si="865"/>
        <v>0.703785111460741</v>
      </c>
      <c r="JL196" s="364">
        <f>IF($DF196&lt;&gt;$JL$9,0,各项系数!$F$76/4*($NE196^2-$NC196^2)*10^-2*各项系数!$F$39*10^-3*10^2)*各项系数!$J$4</f>
        <v>0.00259086156691037</v>
      </c>
      <c r="JM196" s="123">
        <v>1</v>
      </c>
      <c r="JN196" s="251">
        <f t="shared" si="866"/>
        <v>0.00259086156691037</v>
      </c>
      <c r="JO196" s="339">
        <f>JN196*各项系数!$E$39</f>
        <v>0.0518172313382074</v>
      </c>
      <c r="JP196" s="364">
        <f>IF($DF196&lt;&gt;$JP$9,0,各项系数!$F$76/4*($NE196^2-$NC196^2)*10^-2*各项系数!$F$36*10^-3*10^2)*各项系数!$J$4</f>
        <v>0</v>
      </c>
      <c r="JQ196" s="123">
        <v>1</v>
      </c>
      <c r="JR196" s="251">
        <f t="shared" si="867"/>
        <v>0</v>
      </c>
      <c r="JS196" s="339">
        <f>JR196*各项系数!$E$36</f>
        <v>0</v>
      </c>
      <c r="JT196" s="364">
        <f>IF($DF196&lt;&gt;$JT$9,0,各项系数!$F$76/4*($NE196^2-$NC196^2)*10^-2*各项系数!$F$40*10^-3*10^2)*各项系数!$J$4</f>
        <v>0</v>
      </c>
      <c r="JU196" s="123">
        <v>1</v>
      </c>
      <c r="JV196" s="251">
        <f t="shared" si="868"/>
        <v>0</v>
      </c>
      <c r="JW196" s="339">
        <f>JV196*各项系数!$E$40</f>
        <v>0</v>
      </c>
      <c r="JX196" s="364">
        <f>IF($DF196&lt;&gt;$JX$9,0,各项系数!$F$76/4*($NE196^2-$NC196^2)*10^-2*各项系数!$F$38*10^-3*10^2)*各项系数!$J$4</f>
        <v>0</v>
      </c>
      <c r="JY196" s="123">
        <v>1</v>
      </c>
      <c r="JZ196" s="251">
        <f t="shared" si="869"/>
        <v>0</v>
      </c>
      <c r="KA196" s="339">
        <f>JZ196*各项系数!$E$38</f>
        <v>0</v>
      </c>
      <c r="KB196" s="364">
        <f>IF($DF196&lt;&gt;$KB$9,0,各项系数!$F$76/4*($NE196^2-$NC196^2)*10^-2*各项系数!$F$41*10^-3*10^2)*各项系数!$J$4</f>
        <v>0</v>
      </c>
      <c r="KC196" s="123">
        <v>1</v>
      </c>
      <c r="KD196" s="251">
        <f t="shared" si="870"/>
        <v>0</v>
      </c>
      <c r="KE196" s="339">
        <f>KD196*各项系数!$E$41</f>
        <v>0</v>
      </c>
      <c r="KF196" s="251">
        <f t="shared" si="871"/>
        <v>0.00259086156691037</v>
      </c>
      <c r="KG196" s="251">
        <f t="shared" si="872"/>
        <v>0.0518172313382074</v>
      </c>
      <c r="KH196" s="302">
        <f>各项系数!$F$76/4*($NG196^2-$NE196^2)*10^-2*各项系数!$F$44*10^-3*10^2*各项系数!$J$4*0.75*$U196</f>
        <v>1.04470683875065</v>
      </c>
      <c r="KI196" s="123">
        <v>1</v>
      </c>
      <c r="KJ196" s="251">
        <f t="shared" si="873"/>
        <v>1.04470683875065</v>
      </c>
      <c r="KK196" s="251">
        <f>ROUND(KJ196*各项系数!$E$43,GT196)</f>
        <v>6</v>
      </c>
      <c r="KL196" s="302">
        <f>各项系数!$F$76/4*($NF196^2-$NE196^2)*10^-2*各项系数!$F$46*10^-3*10^2*各项系数!$J$4*PI()/4*R196</f>
        <v>0.0324391655434747</v>
      </c>
      <c r="KM196" s="123">
        <v>1</v>
      </c>
      <c r="KN196" s="251">
        <f t="shared" si="874"/>
        <v>0.0324391655434747</v>
      </c>
      <c r="KO196" s="251">
        <f>KN196*各项系数!$E$46</f>
        <v>2.18964367418454</v>
      </c>
      <c r="KP196" s="302">
        <f>各项系数!$F$76/4*($NH196^2-$NE196^2)*10^-2*(VLOOKUP($KP$9,各项系数!$D$1:$F$143,3,0))*10^-3*10^2*各项系数!$J$4</f>
        <v>0.203501896961143</v>
      </c>
      <c r="KQ196" s="123">
        <v>1</v>
      </c>
      <c r="KR196" s="251">
        <f t="shared" si="657"/>
        <v>0.203501896961143</v>
      </c>
      <c r="KS196" s="251">
        <f>KR196*(VLOOKUP($KP$9,各项系数!$D$1:$F$143,2,0))</f>
        <v>3.45953224833943</v>
      </c>
      <c r="KT196" s="302">
        <f>各项系数!$F$76/4*($NI196^2-$NF196^2)*10^-2*(VLOOKUP($KT$9,各项系数!$D$1:$F$143,3,0))*10^-3*10^2*各项系数!$J$4</f>
        <v>0.204807266407821</v>
      </c>
      <c r="KU196" s="123">
        <v>1</v>
      </c>
      <c r="KV196" s="251">
        <f t="shared" si="658"/>
        <v>0.204807266407821</v>
      </c>
      <c r="KW196" s="251">
        <f>KV196*(VLOOKUP($KT$9,各项系数!$D$1:$F$143,2,0))</f>
        <v>3.48172352893296</v>
      </c>
      <c r="KX196" s="251">
        <f>各项系数!$F$76/4*($NH196^2-$NE196^2)*10^-2*(VLOOKUP($KX$9,各项系数!$D$1:$F$143,3,0))*10^-3*10^2*各项系数!$J$4</f>
        <v>0.203501896961143</v>
      </c>
      <c r="KY196" s="479">
        <v>1</v>
      </c>
      <c r="KZ196" s="251">
        <f t="shared" si="659"/>
        <v>0.203501896961143</v>
      </c>
      <c r="LA196" s="251">
        <f>KZ196*(VLOOKUP($KX$9,各项系数!$D$1:$F$143,2,0))</f>
        <v>3.45953224833943</v>
      </c>
      <c r="LB196" s="251">
        <f>各项系数!$F$76/4*($NI196^2-$NF196^2)*10^-2*(VLOOKUP($LB$9,各项系数!$D$1:$F$143,3,0))*10^-3*10^2*各项系数!$J$4</f>
        <v>0.204807266407821</v>
      </c>
      <c r="LC196" s="479">
        <v>1</v>
      </c>
      <c r="LD196" s="251">
        <f t="shared" si="660"/>
        <v>0.204807266407821</v>
      </c>
      <c r="LE196" s="251">
        <f>LD196*(VLOOKUP($LB$9,各项系数!$D$1:$F$143,2,0))</f>
        <v>3.48172352893296</v>
      </c>
      <c r="LF196" s="302">
        <f>各项系数!$F$76/4*($NH196^2-$NE196^2)*10^-2*(VLOOKUP(AN196,各项系数!$D$1:$F$143,3,0))*10^-3*10^2*各项系数!$J$4</f>
        <v>0.206308819677849</v>
      </c>
      <c r="LG196" s="123">
        <v>1</v>
      </c>
      <c r="LH196" s="251">
        <f t="shared" si="875"/>
        <v>0.206308819677849</v>
      </c>
      <c r="LI196" s="251">
        <f>LH196*(VLOOKUP(AN196,各项系数!$D$1:$F$143,2,0))</f>
        <v>2.06308819677848</v>
      </c>
      <c r="LJ196" s="302">
        <f>各项系数!$F$76/4*($NI196^2-$NF196^2)*10^-2*(VLOOKUP(AN196,各项系数!$D$1:$F$143,3,0))*10^-3*10^2*各项系数!$J$4</f>
        <v>0.207632194220343</v>
      </c>
      <c r="LK196" s="123">
        <v>1</v>
      </c>
      <c r="LL196" s="251">
        <f t="shared" si="876"/>
        <v>0.207632194220343</v>
      </c>
      <c r="LM196" s="251">
        <f>LL196*(VLOOKUP(AN196,各项系数!$D$1:$F$143,2,0))</f>
        <v>2.07632194220343</v>
      </c>
      <c r="LN196" s="251">
        <f>各项系数!$F$76/4*($NH196^2-$NE196^2)*10^-2*(VLOOKUP($LN$9,各项系数!$D$1:$F$143,3,0))*10^-3*10^2*各项系数!$J$4</f>
        <v>0.206308819677849</v>
      </c>
      <c r="LO196" s="479">
        <v>1</v>
      </c>
      <c r="LP196" s="251">
        <f t="shared" si="877"/>
        <v>0.206308819677849</v>
      </c>
      <c r="LQ196" s="251">
        <f>LP196*(VLOOKUP($LN$9,各项系数!$D$1:$F$143,2,0))</f>
        <v>2.26939701645633</v>
      </c>
      <c r="LR196" s="251">
        <f>各项系数!$F$76/4*($NI196^2-$NF196^2)*10^-2*(VLOOKUP($LR$9,各项系数!$D$1:$F$143,3,0))*10^-3*10^2*各项系数!$J$4</f>
        <v>0.207632194220343</v>
      </c>
      <c r="LS196" s="479">
        <v>1</v>
      </c>
      <c r="LT196" s="251">
        <f t="shared" si="878"/>
        <v>0.207632194220343</v>
      </c>
      <c r="LU196" s="251">
        <f>LT196*(VLOOKUP($LR$9,各项系数!$D$1:$F$143,2,0))</f>
        <v>2.28395413642377</v>
      </c>
      <c r="LV196" s="499">
        <f t="shared" si="661"/>
        <v>63.03629005</v>
      </c>
      <c r="LW196" s="499">
        <f t="shared" si="662"/>
        <v>63.03629005</v>
      </c>
      <c r="LX196" s="499">
        <f t="shared" si="663"/>
        <v>8.95881115132224</v>
      </c>
      <c r="LY196" s="515">
        <f t="shared" si="664"/>
        <v>0</v>
      </c>
      <c r="LZ196" s="516">
        <f t="shared" si="608"/>
        <v>1</v>
      </c>
      <c r="MA196" s="517">
        <f t="shared" si="609"/>
        <v>63.03629005</v>
      </c>
      <c r="MB196" s="517">
        <f t="shared" si="665"/>
        <v>1.72412401</v>
      </c>
      <c r="MC196" s="499">
        <f t="shared" si="666"/>
        <v>0</v>
      </c>
      <c r="MD196" s="499">
        <f t="shared" si="667"/>
        <v>0</v>
      </c>
      <c r="ME196" s="499">
        <f t="shared" si="668"/>
        <v>0</v>
      </c>
      <c r="MF196" s="499">
        <f t="shared" si="669"/>
        <v>0</v>
      </c>
      <c r="MG196" s="516">
        <f t="shared" si="670"/>
        <v>1</v>
      </c>
      <c r="MH196" s="517">
        <f t="shared" si="610"/>
        <v>0</v>
      </c>
      <c r="MI196" s="517">
        <f t="shared" si="671"/>
        <v>0</v>
      </c>
      <c r="MJ196" s="251">
        <f t="shared" si="611"/>
        <v>1.72412401</v>
      </c>
      <c r="MK196" s="251">
        <f t="shared" si="672"/>
        <v>1.72412401</v>
      </c>
      <c r="ML196" s="251">
        <f t="shared" si="879"/>
        <v>0</v>
      </c>
      <c r="MM196" s="251">
        <f t="shared" si="612"/>
        <v>0</v>
      </c>
      <c r="MN196" s="251">
        <f t="shared" si="613"/>
        <v>3.12412401</v>
      </c>
      <c r="MO196" s="251">
        <f t="shared" si="673"/>
        <v>0</v>
      </c>
      <c r="MP196" s="251">
        <f t="shared" si="674"/>
        <v>19.21336266</v>
      </c>
      <c r="MQ196" s="251">
        <f t="shared" si="880"/>
        <v>19.21336266</v>
      </c>
      <c r="MR196" s="314">
        <f t="shared" si="675"/>
        <v>19.21336266</v>
      </c>
      <c r="MS196" s="530">
        <f t="shared" si="614"/>
        <v>19.38936266</v>
      </c>
      <c r="MT196" s="530">
        <f t="shared" si="615"/>
        <v>19.54936266</v>
      </c>
      <c r="MU196" s="530">
        <f t="shared" si="616"/>
        <v>20.58936266</v>
      </c>
      <c r="MV196" s="530">
        <f t="shared" si="617"/>
        <v>22.98936266</v>
      </c>
      <c r="MW196" s="530">
        <f t="shared" si="618"/>
        <v>23.14936266</v>
      </c>
      <c r="MX196" s="326">
        <f t="shared" si="619"/>
        <v>2.32412401</v>
      </c>
      <c r="MY196" s="326">
        <f t="shared" si="620"/>
        <v>0</v>
      </c>
      <c r="MZ196" s="251">
        <f t="shared" si="621"/>
        <v>3.72412401</v>
      </c>
      <c r="NA196" s="251">
        <f t="shared" si="622"/>
        <v>0</v>
      </c>
      <c r="NB196" s="251">
        <f t="shared" si="676"/>
        <v>22.90336266</v>
      </c>
      <c r="NC196" s="326">
        <f t="shared" si="881"/>
        <v>22.90336266</v>
      </c>
      <c r="ND196" s="314">
        <f t="shared" si="677"/>
        <v>22.90336266</v>
      </c>
      <c r="NE196" s="537">
        <f t="shared" si="678"/>
        <v>23.14336266</v>
      </c>
      <c r="NF196" s="530">
        <f t="shared" si="623"/>
        <v>23.30336266</v>
      </c>
      <c r="NG196" s="538">
        <f t="shared" si="624"/>
        <v>24.34336266</v>
      </c>
      <c r="NH196" s="326">
        <f t="shared" si="625"/>
        <v>26.74336266</v>
      </c>
      <c r="NI196" s="530">
        <f t="shared" si="626"/>
        <v>26.90336266</v>
      </c>
      <c r="NK196" s="539">
        <f t="shared" si="627"/>
        <v>0.994698414713271</v>
      </c>
      <c r="NL196" s="539">
        <f t="shared" si="628"/>
        <v>40.4514259037461</v>
      </c>
      <c r="NM196" s="539">
        <f t="shared" si="629"/>
        <v>0.994698414713271</v>
      </c>
      <c r="NN196" s="539">
        <f t="shared" si="630"/>
        <v>40.6266850482206</v>
      </c>
      <c r="NO196" s="539">
        <f t="shared" si="631"/>
        <v>1.6263823221333</v>
      </c>
      <c r="NP196" s="539">
        <f t="shared" si="632"/>
        <v>43.5228442991912</v>
      </c>
      <c r="NQ196" s="539">
        <f t="shared" si="633"/>
        <v>1.6263823221333</v>
      </c>
      <c r="NR196" s="539">
        <f t="shared" si="634"/>
        <v>43.729153118869</v>
      </c>
      <c r="NS196" s="539">
        <f t="shared" si="635"/>
        <v>1.02189386817107</v>
      </c>
      <c r="NT196" s="539">
        <f t="shared" si="636"/>
        <v>1.02189386817107</v>
      </c>
      <c r="NU196" s="539">
        <f t="shared" si="637"/>
        <v>1.65882148767677</v>
      </c>
      <c r="NV196" s="539">
        <f t="shared" si="638"/>
        <v>1.65882148767677</v>
      </c>
      <c r="NW196">
        <f t="shared" si="639"/>
        <v>1.28787541990008</v>
      </c>
      <c r="NX196">
        <f>各项系数!$M$9*NK196</f>
        <v>0.298409524413981</v>
      </c>
      <c r="NY196">
        <f t="shared" si="640"/>
        <v>1.02189386817107</v>
      </c>
    </row>
    <row r="197" customHeight="1" spans="1:389">
      <c r="A197" s="85"/>
      <c r="B197" s="86"/>
      <c r="C197" s="218"/>
      <c r="D197" s="123" t="s">
        <v>280</v>
      </c>
      <c r="E197" s="77">
        <f t="shared" ref="E197:E214" si="885">MV197</f>
        <v>24.2016349</v>
      </c>
      <c r="F197" s="559">
        <f t="shared" si="820"/>
        <v>172.412400708262</v>
      </c>
      <c r="G197" s="23"/>
      <c r="H197" s="23"/>
      <c r="I197" s="174">
        <v>0</v>
      </c>
      <c r="J197" s="23"/>
      <c r="K197" s="23"/>
      <c r="L197" s="118" t="s">
        <v>469</v>
      </c>
      <c r="M197" s="124">
        <f t="shared" si="582"/>
        <v>0.7</v>
      </c>
      <c r="N197" s="124">
        <f t="shared" si="804"/>
        <v>0</v>
      </c>
      <c r="O197" s="69">
        <f t="shared" si="825"/>
        <v>0.08</v>
      </c>
      <c r="P197" s="120">
        <v>0.1</v>
      </c>
      <c r="Q197" s="162">
        <f t="shared" si="882"/>
        <v>0.1</v>
      </c>
      <c r="R197" s="560">
        <v>0.8</v>
      </c>
      <c r="S197" s="171" t="str">
        <f>各项系数!$D$43</f>
        <v>钢带</v>
      </c>
      <c r="T197" s="123">
        <v>0.2</v>
      </c>
      <c r="U197" s="78">
        <v>4</v>
      </c>
      <c r="V197" s="172"/>
      <c r="W197" s="561">
        <v>2</v>
      </c>
      <c r="X197" s="164">
        <f t="shared" si="883"/>
        <v>0.2</v>
      </c>
      <c r="Y197" s="219"/>
      <c r="Z197" s="220"/>
      <c r="AA197" s="217">
        <v>1</v>
      </c>
      <c r="AB197" s="186">
        <f>PI()*EJ197*EJ197/4*EH197*(1-H197)*AA197*各项系数!$F$5*各项系数!$J$4*10^-7</f>
        <v>0.0206515056889029</v>
      </c>
      <c r="AC197" s="186">
        <f t="shared" ref="AC197:AC214" si="886">EJ197</f>
        <v>172.412400708262</v>
      </c>
      <c r="AD197" s="186">
        <f t="shared" si="584"/>
        <v>2.3346774015073</v>
      </c>
      <c r="AE197" s="186">
        <f>POWER(4*EU197/PI()/EG197/10^-7/EH197/(1-H197)/各项系数!$F$5/各项系数!$J$4,0.5)</f>
        <v>172.412400708262</v>
      </c>
      <c r="AF197" s="218">
        <v>1</v>
      </c>
      <c r="AG197" s="85">
        <f>IF(EM197=0,0,PI()*ER197*ER197/4*EP197*(1-K197)*(1+AF197)*各项系数!$F$5*各项系数!$J$4*10^-7)</f>
        <v>0</v>
      </c>
      <c r="AH197" s="85">
        <f t="shared" ref="AH197:AH214" si="887">ER197</f>
        <v>0</v>
      </c>
      <c r="AI197" s="85">
        <f t="shared" si="641"/>
        <v>0</v>
      </c>
      <c r="AJ197" s="85">
        <f>IF(OR(EP197="",EP197=0),0,POWER(4*EW197/PI()/EO197/10^-7/EP197/(1-K197)/各项系数!$F$5/各项系数!$J$4,0.5))</f>
        <v>0</v>
      </c>
      <c r="AK197" s="85" t="str">
        <f t="shared" si="585"/>
        <v>√</v>
      </c>
      <c r="AL197" s="85">
        <f t="shared" ref="AL197:AL214" si="888">AO197*(1+0.02)</f>
        <v>46.5603130976141</v>
      </c>
      <c r="AM197" s="250">
        <f t="shared" ref="AM197:AM214" si="889">EE197*1</f>
        <v>2.5</v>
      </c>
      <c r="AN197" s="118" t="s">
        <v>486</v>
      </c>
      <c r="AO197" s="259">
        <f>AP197+各项系数!$M$9*$NK197</f>
        <v>45.6473657819746</v>
      </c>
      <c r="AP197" s="259">
        <f>AQ197*(1+$BI197+(VLOOKUP($AM197,$A$12:$B$323,2,0))+各项系数!$J$6+各项系数!$M$5)*(1+$E$2)</f>
        <v>45.3156901851995</v>
      </c>
      <c r="AQ197" s="260">
        <f>AR197+各项系数!$L$9*$NK197</f>
        <v>46.2405001889791</v>
      </c>
      <c r="AR197" s="260">
        <f>AS197*(1+$BJ197+各项系数!$J$5+各项系数!$L$5)</f>
        <v>45.9088245922041</v>
      </c>
      <c r="AS197" s="260">
        <f t="shared" si="642"/>
        <v>45.0086515609844</v>
      </c>
      <c r="AT197" s="259">
        <f>AU197+各项系数!$M$9*$NM197</f>
        <v>47.0278683975766</v>
      </c>
      <c r="AU197" s="259">
        <f>AV197*(1+$BI197+(VLOOKUP($AM197,$A$12:$B$323,2,0))+各项系数!$J$6+各项系数!$M$5)*(1+$E$2)</f>
        <v>46.6961928008016</v>
      </c>
      <c r="AV197" s="260">
        <f>AW197+各项系数!$L$9*$NM197</f>
        <v>47.6491763273485</v>
      </c>
      <c r="AW197" s="260">
        <f>AX197*(1+$BJ197+各项系数!$J$5+各项系数!$L$5)</f>
        <v>47.3175007305735</v>
      </c>
      <c r="AX197" s="260">
        <f t="shared" si="643"/>
        <v>46.3897065986015</v>
      </c>
      <c r="AY197" s="259">
        <f>AZ197+各项系数!$M$9*$NS197</f>
        <v>47.5904064155159</v>
      </c>
      <c r="AZ197" s="259">
        <f>BA197*(1+$BI197+(VLOOKUP($AM197,$A$12:$B$214,2,0))+各项系数!$J$6+各项系数!$M$5)*(1+$E$2)</f>
        <v>47.2502318000374</v>
      </c>
      <c r="BA197" s="260">
        <f>BB197+各项系数!$L$9*$NS197</f>
        <v>48.2145222449361</v>
      </c>
      <c r="BB197" s="260">
        <f>BC197*(1+$BJ197+各项系数!$J$5+各项系数!$L$5)</f>
        <v>47.8743476294576</v>
      </c>
      <c r="BC197" s="262">
        <f t="shared" si="644"/>
        <v>46.9356349308408</v>
      </c>
      <c r="BD197" s="259">
        <f>BE197+各项系数!$M$9*$NS197</f>
        <v>48.9808578668452</v>
      </c>
      <c r="BE197" s="259">
        <f>BF197*(1+$BI197+(VLOOKUP($AM197,$A$12:$B$214,2,0))+各项系数!$J$6+各项系数!$M$5)*(1+$E$2)</f>
        <v>48.6406832513667</v>
      </c>
      <c r="BF197" s="260">
        <f>BG197+各项系数!$L$9*$NS197</f>
        <v>49.6333502564966</v>
      </c>
      <c r="BG197" s="260">
        <f>BH197*(1+$BJ197+各项系数!$J$5+各项系数!$L$5)</f>
        <v>49.2931756410181</v>
      </c>
      <c r="BH197" s="262">
        <f t="shared" si="645"/>
        <v>48.3266427853119</v>
      </c>
      <c r="BI197" s="277"/>
      <c r="BJ197" s="272">
        <f t="shared" si="822"/>
        <v>0</v>
      </c>
      <c r="BK197" s="123" t="s">
        <v>514</v>
      </c>
      <c r="BL197" s="259">
        <f>BM197+各项系数!$M$9*$NM197</f>
        <v>46.2944037656448</v>
      </c>
      <c r="BM197" s="259">
        <f>BN197*(1+$CF197+(VLOOKUP($AM197,$A$12:$B$323,2,0))+各项系数!$J$6+各项系数!$M$5)*(1+$E$2)</f>
        <v>45.9627281688697</v>
      </c>
      <c r="BN197" s="260">
        <f>BO197+各项系数!$L$9*$NM197</f>
        <v>46.9007430294589</v>
      </c>
      <c r="BO197" s="260">
        <f>BP197*(1+$CG197+各项系数!$J$5+各项系数!$L$5)</f>
        <v>46.5690674326839</v>
      </c>
      <c r="BP197" s="260">
        <f t="shared" si="646"/>
        <v>45.2126868278484</v>
      </c>
      <c r="BQ197" s="259">
        <f>BR197+各项系数!$M$9*$NM197</f>
        <v>47.4824875222429</v>
      </c>
      <c r="BR197" s="259">
        <f>BS197*(1+$CF197+(VLOOKUP($AM197,$A$12:$B$323,2,0))+各项系数!$J$6+各项系数!$M$5)*(1+$E$2)</f>
        <v>47.1508119254679</v>
      </c>
      <c r="BS197" s="260">
        <f>BT197+各项系数!$L$9*$NM197</f>
        <v>48.1130733933346</v>
      </c>
      <c r="BT197" s="260">
        <f>BU197*(1+$CG197+各项系数!$J$5+各项系数!$L$5)</f>
        <v>47.7813977965595</v>
      </c>
      <c r="BU197" s="260">
        <f t="shared" si="647"/>
        <v>46.3897065986015</v>
      </c>
      <c r="BV197" s="259">
        <f>BW197+各项系数!$M$9*$NT197</f>
        <v>47.9325400862039</v>
      </c>
      <c r="BW197" s="259">
        <f>BX197*(1+$CF197+(VLOOKUP($AM197,$A$12:$B$214,2,0))+各项系数!$J$6+各项系数!$M$5)*(1+$E$2)</f>
        <v>47.5923654707254</v>
      </c>
      <c r="BX197" s="260">
        <f>BY197+各项系数!$L$9*$NT$12</f>
        <v>48.563638235434</v>
      </c>
      <c r="BY197" s="260">
        <f>BZ197*(1+$CG197+各项系数!$J$5+各项系数!$L$5)</f>
        <v>48.5553748322791</v>
      </c>
      <c r="BZ197" s="262">
        <f t="shared" si="586"/>
        <v>47.1411406138632</v>
      </c>
      <c r="CA197" s="259">
        <f>CB197+各项系数!$M$9*$NT197</f>
        <v>49.1291859780642</v>
      </c>
      <c r="CB197" s="259">
        <f>CC197*(1+$CF197+(VLOOKUP($AM197,$A$12:$B$214,2,0))+各项系数!$J$6+各项系数!$M$5)*(1+$E$2)</f>
        <v>48.7890113625857</v>
      </c>
      <c r="CC197" s="260">
        <f>CD197+各项系数!$L$9*$NT$12</f>
        <v>49.7847054720262</v>
      </c>
      <c r="CD197" s="260">
        <f>CE197*(1+$CG197+各项系数!$J$5+各项系数!$L$5)</f>
        <v>49.7764420688713</v>
      </c>
      <c r="CE197" s="262">
        <f t="shared" si="648"/>
        <v>48.3266427853119</v>
      </c>
      <c r="CF197" s="277">
        <f t="shared" si="884"/>
        <v>0</v>
      </c>
      <c r="CG197" s="277">
        <f t="shared" si="587"/>
        <v>0.01</v>
      </c>
      <c r="CH197" s="123"/>
      <c r="CI197" s="259">
        <f>CJ197+各项系数!$M$9*$NO197</f>
        <v>49.7634165642258</v>
      </c>
      <c r="CJ197" s="259">
        <f>CK197*(1+$DC197+(VLOOKUP($AM197,$A$12:$B$323,2,0))+各项系数!$J$6+各项系数!$M$5)*(1+$E$2)+各项系数!$M$9*$NK197</f>
        <v>49.2333534424037</v>
      </c>
      <c r="CK197" s="260">
        <f>CL197+各项系数!$L$9*$NO197</f>
        <v>49.8996712710496</v>
      </c>
      <c r="CL197" s="260">
        <f>CM197*(1+$DD197+各项系数!$J$5+各项系数!$L$5)</f>
        <v>49.3696081492274</v>
      </c>
      <c r="CM197" s="260">
        <f t="shared" si="588"/>
        <v>48.4015766168896</v>
      </c>
      <c r="CN197" s="259">
        <f>CO197+各项系数!$M$9*$NO197</f>
        <v>50.7847299643161</v>
      </c>
      <c r="CO197" s="259">
        <f>CP197*(1+$DC197+(VLOOKUP($AM197,$A$12:$B$323,2,0))+各项系数!$J$6+各项系数!$M$5)*(1+$E$2)+各项系数!$M$9*$NK197</f>
        <v>50.2546668424939</v>
      </c>
      <c r="CP197" s="260">
        <f>CQ197+各项系数!$L$9*$NO197</f>
        <v>50.941827801754</v>
      </c>
      <c r="CQ197" s="260">
        <f>CR197*(1+$DD197+各项系数!$J$5+各项系数!$L$5)</f>
        <v>50.4117646799318</v>
      </c>
      <c r="CR197" s="260">
        <f t="shared" si="589"/>
        <v>49.4232987058155</v>
      </c>
      <c r="CS197" s="259">
        <f>CT197+各项系数!$M$9*$NU197</f>
        <v>51.746537558529</v>
      </c>
      <c r="CT197" s="259">
        <f t="shared" si="590"/>
        <v>51.2063369325808</v>
      </c>
      <c r="CU197" s="260">
        <f>CV197+各项系数!$L$9*$NU197</f>
        <v>52.2513642169192</v>
      </c>
      <c r="CV197" s="260">
        <f>CW197*(1+$DD197+各项系数!$J$5+各项系数!$L$5)</f>
        <v>51.711163590971</v>
      </c>
      <c r="CW197" s="262">
        <f t="shared" si="591"/>
        <v>50.6972192068343</v>
      </c>
      <c r="CX197" s="259">
        <f>CY197+各项系数!$M$9*$NU197</f>
        <v>53.3801136829429</v>
      </c>
      <c r="CY197" s="259">
        <f t="shared" si="592"/>
        <v>52.8399130569946</v>
      </c>
      <c r="CZ197" s="260">
        <f>DA197+各项系数!$L$9*$NU197</f>
        <v>53.9182786295864</v>
      </c>
      <c r="DA197" s="260">
        <f>DB197*(1+$DD197+各项系数!$J$5+各项系数!$L$5)</f>
        <v>53.3780780036381</v>
      </c>
      <c r="DB197" s="262">
        <f t="shared" si="593"/>
        <v>52.3314490231746</v>
      </c>
      <c r="DC197" s="277">
        <f t="shared" si="827"/>
        <v>0</v>
      </c>
      <c r="DD197" s="277">
        <f t="shared" si="594"/>
        <v>0</v>
      </c>
      <c r="DE197" s="69" t="s">
        <v>498</v>
      </c>
      <c r="DF197" s="69" t="s">
        <v>513</v>
      </c>
      <c r="DG197" s="259">
        <f>DH197+各项系数!$M$9*$NQ197</f>
        <v>50.4799762812848</v>
      </c>
      <c r="DH197" s="259">
        <f>DI197*(1+$EA197+(VLOOKUP($AM197,$A$12:$B$323,2,0))+各项系数!$J$6+各项系数!$M$5)*(1+$E$2)+各项系数!$M$9*$NK197</f>
        <v>49.9499131594626</v>
      </c>
      <c r="DI197" s="260">
        <f>DJ197+各项系数!$L$9*$NQ197</f>
        <v>50.6308546558037</v>
      </c>
      <c r="DJ197" s="260">
        <f>DK197*(1+$EB197+各项系数!$J$5+各项系数!$L$5)</f>
        <v>50.1007915339815</v>
      </c>
      <c r="DK197" s="260">
        <f t="shared" si="595"/>
        <v>48.6415451786228</v>
      </c>
      <c r="DL197" s="259">
        <f>DM197+各项系数!$M$9*$NQ197</f>
        <v>51.8772972183529</v>
      </c>
      <c r="DM197" s="259">
        <f>DN197*(1+$EA197+(VLOOKUP($AM197,$A$12:$B$323,2,0))+各项系数!$J$6+各项系数!$M$5)*(1+$E$2)+各项系数!$M$9*$NK197</f>
        <v>51.3472340965307</v>
      </c>
      <c r="DN197" s="260">
        <f>DO197+各项系数!$L$9*$NQ197</f>
        <v>52.0566923466894</v>
      </c>
      <c r="DO197" s="260">
        <f>DP197*(1+$EB197+各项系数!$J$5+各项系数!$L$5)</f>
        <v>51.5266292248673</v>
      </c>
      <c r="DP197" s="260">
        <f t="shared" si="596"/>
        <v>50.025853616376</v>
      </c>
      <c r="DQ197" s="259">
        <f>DR197+各项系数!$M$9*$NV197</f>
        <v>52.4870788110397</v>
      </c>
      <c r="DR197" s="259">
        <f t="shared" si="597"/>
        <v>51.9468781850915</v>
      </c>
      <c r="DS197" s="260">
        <f>DT197+各项系数!$L$9*$NV197</f>
        <v>53.0070185562158</v>
      </c>
      <c r="DT197" s="260">
        <f>DU197*(1+$EB197+各项系数!$J$5+各项系数!$L$5)</f>
        <v>52.4668179302676</v>
      </c>
      <c r="DU197" s="262">
        <f t="shared" si="598"/>
        <v>50.9386581847258</v>
      </c>
      <c r="DV197" s="259">
        <f>DW197+各项系数!$M$9*$NV197</f>
        <v>51.3581503741559</v>
      </c>
      <c r="DW197" s="259">
        <f t="shared" si="599"/>
        <v>50.8179497482077</v>
      </c>
      <c r="DX197" s="260">
        <f>DY197+各项系数!$L$9*$NV197</f>
        <v>51.8550507634772</v>
      </c>
      <c r="DY197" s="260">
        <f>DZ197*(1+$EB197+各项系数!$J$5+各项系数!$L$5)</f>
        <v>51.314850137529</v>
      </c>
      <c r="DZ197" s="262">
        <f t="shared" si="600"/>
        <v>49.8202428519699</v>
      </c>
      <c r="EA197" s="277">
        <f t="shared" si="826"/>
        <v>0</v>
      </c>
      <c r="EB197" s="277">
        <f t="shared" si="601"/>
        <v>0.01</v>
      </c>
      <c r="EC197" s="302">
        <f t="shared" si="649"/>
        <v>30</v>
      </c>
      <c r="ED197" s="302" t="str">
        <f t="shared" ref="ED197:ED214" si="890">IF(COUNTIF($D197,"*+*")&gt;0,MID($D197,1,FIND("+",$D197)-1),MID($D197,1,LEN($D197)))</f>
        <v>30*2.5</v>
      </c>
      <c r="EE197" s="251">
        <f t="shared" ref="EE197:EE214" si="891">IF($D197="",0,IF(COUNTIF($D197,"*+*")&gt;0,MID($D197,FIND("*",$D197)+1,FIND("+",$D197)-FIND("*",$D197)-1),RIGHT($D197,(LEN($D197)-FIND("*",$D197)))))*1</f>
        <v>2.5</v>
      </c>
      <c r="EF197" s="251">
        <f>LOOKUP(EH197,{1,7,10,14,19,24,30,37,48,61},{1,"1+6","2+8","4+10","1+6+12","2+8+14","4+10+16","1+6+12+18","3+9+15+21","1+6+12+18+24"})</f>
        <v>1</v>
      </c>
      <c r="EG197" s="250">
        <f t="shared" si="602"/>
        <v>30</v>
      </c>
      <c r="EH197" s="260">
        <f>VLOOKUP(EE197,各项系数!$B$87:$C$124,2,0)</f>
        <v>1</v>
      </c>
      <c r="EI197" s="250">
        <f>IF(EH197=0,0,VLOOKUP(EH197,各项系数!$D$142:$E$195,2,0))*1</f>
        <v>1</v>
      </c>
      <c r="EJ197" s="305">
        <f t="shared" si="650"/>
        <v>172.412400708262</v>
      </c>
      <c r="EK197" s="251">
        <f t="shared" ref="EK197:EK214" si="892">IF(COUNTIF($D197,"*+*")&gt;0,MID($D197,FIND("+",$D197)+1,LEN($D197)),0)</f>
        <v>0</v>
      </c>
      <c r="EL197" s="251">
        <f t="shared" si="603"/>
        <v>0</v>
      </c>
      <c r="EM197" s="251">
        <f t="shared" ref="EM197:EM214" si="893">EL197/1</f>
        <v>0</v>
      </c>
      <c r="EN197" s="251">
        <f>IF(EP197=0,0,LOOKUP(EP197,{1,7,10,14,19,24,30,37,48,61},{1,"1+6","2+8","4+10","1+6+12","2+8+14","4+10+16","1+6+12+18","3+9+15+21","1+6+12+18+24"}))</f>
        <v>0</v>
      </c>
      <c r="EO197" s="251">
        <f t="shared" ref="EO197:EO214" si="894">IF(EK197=0,0,MID(EK197,1,1))</f>
        <v>0</v>
      </c>
      <c r="EP197" s="251">
        <f>IF(EM197=0,0,IF(EM197&lt;10,1,IF(AND(EM197&gt;=10,EM197&lt;=35),7,LOOKUP(EM197,{50,70,95,120,150,185,240,300},{10,14,19,24,30,37,48,61})*1)))</f>
        <v>0</v>
      </c>
      <c r="EQ197" s="251">
        <f>IF(EP197=0,0,VLOOKUP(EP197,各项系数!$D$142:$E$195,2,0))*1</f>
        <v>0</v>
      </c>
      <c r="ER197" s="69">
        <f t="shared" ref="ER197:ER214" si="895">$I197-$J197</f>
        <v>0</v>
      </c>
      <c r="ES197" s="566">
        <f t="shared" ref="ES197:ES214" si="896">EO197+EG197</f>
        <v>30</v>
      </c>
      <c r="ET197" s="251">
        <f>VLOOKUP(ES197,各项系数!$D$142:$E$195,2,0)*1</f>
        <v>6.41</v>
      </c>
      <c r="EU197" s="311">
        <f>((各项系数!$F$76/4*$EJ197^2*$EG197*$EH197*1*10^-7)*(1-$H197)*AA197)*(VLOOKUP($EY$9,各项系数!$D$4:$F$143,3,0))*各项系数!$J$4</f>
        <v>0.619545170667087</v>
      </c>
      <c r="EV197" s="312">
        <f>EU197*(VLOOKUP($EY$9,各项系数!$D$4:$F$143,2,0))</f>
        <v>40.5802086786942</v>
      </c>
      <c r="EW197" s="324">
        <f>(IF($EO197=0,0,(各项系数!$F$76/4*$ER197^2*$EO197*$EP197*1*10^-7))*(1-$K197)*$AF197)*(VLOOKUP($EY$9,各项系数!$D$4:$F$143,3,0))*各项系数!$J$4</f>
        <v>0</v>
      </c>
      <c r="EX197" s="325">
        <f>EW197*(VLOOKUP($EY$9,各项系数!$D$4:$F$143,2,0))</f>
        <v>0</v>
      </c>
      <c r="EY197" s="251">
        <f>((各项系数!$F$76/4*$EJ197^2*$EG197*$EH197*1*10^-7)*(1-$H197)*AA197+IF($EO197=0,0,(各项系数!$F$76/4*$ER197^2*$EO197*$EP197*1*10^-7))*(1-$K197)*$AF197)*(VLOOKUP($EY$9,各项系数!$D$4:$F$143,3,0))*各项系数!$J$4</f>
        <v>0.619545170667087</v>
      </c>
      <c r="EZ197" s="123">
        <v>1</v>
      </c>
      <c r="FA197" s="251">
        <f t="shared" ref="FA197:FA214" si="897">EZ197*EY197</f>
        <v>0.619545170667087</v>
      </c>
      <c r="FB197" s="326">
        <f>FA197*(VLOOKUP($EY$9,各项系数!$D$4:$F$143,2,0))</f>
        <v>40.5802086786942</v>
      </c>
      <c r="FC197" s="327"/>
      <c r="FD197" s="302">
        <f>各项系数!$F$76/4*($MN197^2-MK197^2)*10^-2*(VLOOKUP(L197,各项系数!$D$1:$F$143,3,0))*10^-3*10^2*$EG197*各项系数!$J$4</f>
        <v>0.175040992209944</v>
      </c>
      <c r="FE197" s="339">
        <f>FD197*VLOOKUP(L197,各项系数!$D$1:$F$143,2,0)</f>
        <v>2.01297141041435</v>
      </c>
      <c r="FF197" s="250">
        <f>各项系数!$F$76/4*($MO197^2-ML197^2)*10^-2*(VLOOKUP(L197,各项系数!$D$1:$F$143,3,0))*10^-3*10^2*$EO197*各项系数!$J$4</f>
        <v>0</v>
      </c>
      <c r="FG197" s="339">
        <f>FF197*VLOOKUP(L197,各项系数!$D$1:$F$143,2,0)</f>
        <v>0</v>
      </c>
      <c r="FH197" s="302">
        <f t="shared" si="651"/>
        <v>0.175040992209944</v>
      </c>
      <c r="FI197" s="123">
        <v>1</v>
      </c>
      <c r="FJ197" s="251">
        <f t="shared" ref="FJ197:FJ214" si="898">FI197*FH197</f>
        <v>0.175040992209944</v>
      </c>
      <c r="FK197" s="339">
        <f>FJ197*VLOOKUP(L197,各项系数!$D$1:$F$143,2,0)</f>
        <v>2.01297141041435</v>
      </c>
      <c r="FL197" s="302"/>
      <c r="FM197" s="123"/>
      <c r="FN197" s="251"/>
      <c r="FO197" s="339"/>
      <c r="FP197" s="364">
        <f t="shared" ref="FP197:FP214" si="899">FJ197</f>
        <v>0.175040992209944</v>
      </c>
      <c r="FQ197" s="364">
        <f t="shared" ref="FQ197:FQ214" si="900">FK197</f>
        <v>2.01297141041435</v>
      </c>
      <c r="FR197" s="365">
        <f>各项系数!$F$76/4*($MQ197^2-$MN197^2*$EG197-$MO197^2*$EO197)*10^-2</f>
        <v>0.849969895294557</v>
      </c>
      <c r="FS197" s="366">
        <f t="shared" si="652"/>
        <v>1</v>
      </c>
      <c r="FT197" s="367">
        <f t="shared" si="604"/>
        <v>0.849969895294557</v>
      </c>
      <c r="FU197" s="388">
        <f>$FT197*(VLOOKUP($FT$9,各项系数!$D$1:$F$143,3,0))*10^-3*10^2*各项系数!$J$55</f>
        <v>0.10148640549817</v>
      </c>
      <c r="FV197" s="389">
        <v>1</v>
      </c>
      <c r="FW197" s="390">
        <f t="shared" ref="FW197:FW214" si="901">FV197*FU197</f>
        <v>0.10148640549817</v>
      </c>
      <c r="FX197" s="367">
        <f>FW197*(VLOOKUP($FT$9,各项系数!$D$1:$F$143,2,0))</f>
        <v>0.30445921649451</v>
      </c>
      <c r="FY197" s="388">
        <f>IF($BK197&lt;&gt;$FY$9,0,各项系数!$F$76/4*($MS197^2-$MQ197^2)*10^-2*(VLOOKUP($FY$9,各项系数!$D$1:$F$143,3,0))*10^-3*10^2)*各项系数!$J$4</f>
        <v>0</v>
      </c>
      <c r="FZ197" s="389">
        <v>1</v>
      </c>
      <c r="GA197" s="390">
        <f t="shared" ref="GA197:GA214" si="902">FZ197*FY197</f>
        <v>0</v>
      </c>
      <c r="GB197" s="367">
        <f>GA197*(VLOOKUP($FY$9,各项系数!$D$1:$F$143,2,0))</f>
        <v>0</v>
      </c>
      <c r="GC197" s="388">
        <f>IF($BK197&lt;&gt;$GC$9,0,各项系数!$F$76/4*($MS197^2-$MQ197^2)*10^-2*(VLOOKUP($GC$9,各项系数!$D$1:$F$143,3,0))*10^-3*10^2)*各项系数!$J$4</f>
        <v>0.00547748734426311</v>
      </c>
      <c r="GD197" s="389">
        <v>1</v>
      </c>
      <c r="GE197" s="390">
        <f t="shared" ref="GE197:GE214" si="903">GD197*GC197</f>
        <v>0.00547748734426311</v>
      </c>
      <c r="GF197" s="367">
        <f>GE197*(VLOOKUP($GC$9,各项系数!$D$1:$F$143,2,0))</f>
        <v>0.0706595867409941</v>
      </c>
      <c r="GG197" s="388">
        <f>IF($BK197&lt;&gt;$GG$9,0,各项系数!$F$76/4*($MS197^2-$MQ197^2)*10^-2*(VLOOKUP($GG$9,各项系数!$D$1:$F$143,3,0))*10^-3*10^2)*各项系数!$J$4</f>
        <v>0</v>
      </c>
      <c r="GH197" s="389">
        <v>1</v>
      </c>
      <c r="GI197" s="390">
        <f t="shared" ref="GI197:GI214" si="904">GH197*GG197</f>
        <v>0</v>
      </c>
      <c r="GJ197" s="367">
        <f>GI197*(VLOOKUP($GG$9,各项系数!$D$1:$F$143,2,0))</f>
        <v>0</v>
      </c>
      <c r="GK197" s="388">
        <f>IF($BK197&lt;&gt;$GK$9,0,各项系数!$F$76/4*($MS197^2-$MQ197^2)*10^-2*(VLOOKUP($GK$9,各项系数!$D$1:$F$143,3,0))*10^-3*10^2)*各项系数!$J$4</f>
        <v>0</v>
      </c>
      <c r="GL197" s="389">
        <v>1</v>
      </c>
      <c r="GM197" s="390">
        <f t="shared" ref="GM197:GM214" si="905">GL197*GK197</f>
        <v>0</v>
      </c>
      <c r="GN197" s="367">
        <f>GM197*(VLOOKUP($GK$9,各项系数!$D$1:$F$143,2,0))</f>
        <v>0</v>
      </c>
      <c r="GO197" s="390">
        <f t="shared" ref="GO197:GO214" si="906">GM197+GI197+GE197+GA197</f>
        <v>0.00547748734426311</v>
      </c>
      <c r="GP197" s="390">
        <f t="shared" ref="GP197:GP214" si="907">GN197+GJ197+GF197+GB197</f>
        <v>0.0706595867409941</v>
      </c>
      <c r="GQ197" s="406">
        <f>各项系数!$F$76/4*($MU197^2-$MS197^2)*10^-2*(VLOOKUP($S197,各项系数!$D$1:$F$143,3,0))*10^-3*10^2*各项系数!$J$4</f>
        <v>0.305090318621059</v>
      </c>
      <c r="GR197" s="389">
        <v>1</v>
      </c>
      <c r="GS197" s="390">
        <f t="shared" ref="GS197:GS214" si="908">$GR197*$GQ197</f>
        <v>0.305090318621059</v>
      </c>
      <c r="GT197" s="390">
        <f t="shared" ref="GT197:GT214" si="909">IF(OR(AND(EG197=$AC$3,EE197&lt;$AC$4),AND(EE197&lt;($AB$4+1),EG197&lt;$AB$3)),$AB$5,0)</f>
        <v>0</v>
      </c>
      <c r="GU197" s="390">
        <f>ROUND($GS197*(VLOOKUP($S197,各项系数!$D$1:$F$143,2,0))+$E$3*GS197,GT197)</f>
        <v>2</v>
      </c>
      <c r="GV197" s="406">
        <f>各项系数!$F$76/4*($MT197^2-$MS197^2)*10^-2*(VLOOKUP($GV$9,各项系数!$D$1:$F$143,3,0))*10^-3*10^2*各项系数!$J$4*PI()/4*R197</f>
        <v>0.0283300623447876</v>
      </c>
      <c r="GW197" s="389">
        <v>1</v>
      </c>
      <c r="GX197" s="390">
        <f t="shared" ref="GX197:GX214" si="910">$GW197*$GV197</f>
        <v>0.0283300623447876</v>
      </c>
      <c r="GY197" s="390">
        <f>$GX197*(VLOOKUP($GV$9,各项系数!$D$1:$F$143,2,0))</f>
        <v>1.91227920827316</v>
      </c>
      <c r="GZ197" s="406">
        <f>各项系数!$F$76/4*($MV197^2-$MS197^2)*10^-2*(VLOOKUP($GZ$9,各项系数!$D$1:$F$143,3,0))*10^-3*10^2*各项系数!$J$4</f>
        <v>0.201259276838673</v>
      </c>
      <c r="HA197" s="389">
        <v>1</v>
      </c>
      <c r="HB197" s="390">
        <f t="shared" si="653"/>
        <v>0.201259276838673</v>
      </c>
      <c r="HC197" s="390">
        <f>HB197*(VLOOKUP($GZ$9,各项系数!$D$1:$F$143,2,0))</f>
        <v>3.42140770625744</v>
      </c>
      <c r="HD197" s="406">
        <f>各项系数!$F$76/4*($MW197^2-$MT197^2)*10^-2*(VLOOKUP($HD$9,各项系数!$D$1:$F$143,3,0))*10^-3*10^2*各项系数!$J$4</f>
        <v>0.202709687334982</v>
      </c>
      <c r="HE197" s="389">
        <v>1</v>
      </c>
      <c r="HF197" s="390">
        <f t="shared" si="654"/>
        <v>0.202709687334982</v>
      </c>
      <c r="HG197" s="390">
        <f>HF197*(VLOOKUP($HD$9,各项系数!$D$1:$F$143,2,0))</f>
        <v>3.4460646846947</v>
      </c>
      <c r="HH197" s="406">
        <f>各项系数!$F$76/4*($MV197^2-$MS197^2)*10^-2*(VLOOKUP($HH$9,各项系数!$D$1:$F$143,3,0))*10^-3*10^2*各项系数!$J$4</f>
        <v>0.201259276838673</v>
      </c>
      <c r="HI197" s="420">
        <v>1</v>
      </c>
      <c r="HJ197" s="390">
        <f t="shared" si="655"/>
        <v>0.201259276838673</v>
      </c>
      <c r="HK197" s="390">
        <f>HJ197*(VLOOKUP($HH$9,各项系数!$D$1:$F$143,2,0))</f>
        <v>3.42140770625744</v>
      </c>
      <c r="HL197" s="406">
        <f>各项系数!$F$76/4*($MW197^2-$MT197^2)*10^-2*(VLOOKUP($HL$9,各项系数!$D$1:$F$143,3,0))*10^-3*10^2*各项系数!$J$4</f>
        <v>0.202709687334982</v>
      </c>
      <c r="HM197" s="420">
        <v>1</v>
      </c>
      <c r="HN197" s="390">
        <f t="shared" si="605"/>
        <v>0.202709687334982</v>
      </c>
      <c r="HO197" s="390">
        <f>HN197*(VLOOKUP($HL$9,各项系数!$D$1:$F$143,2,0))</f>
        <v>3.4460646846947</v>
      </c>
      <c r="HP197" s="406">
        <f>各项系数!$F$76/4*($MV197^2-$MS197^2)*10^-2*(VLOOKUP(AN197,各项系数!$D$1:$F$143,3,0))*10^-3*10^2*各项系数!$J$4</f>
        <v>0.204035266864034</v>
      </c>
      <c r="HQ197" s="389">
        <v>1</v>
      </c>
      <c r="HR197" s="390">
        <f t="shared" ref="HR197:HR214" si="911">HQ197*HP197</f>
        <v>0.204035266864034</v>
      </c>
      <c r="HS197" s="390">
        <f>HR197*(VLOOKUP(AN197,各项系数!$D$1:$F$143,2,0))</f>
        <v>2.04035266864034</v>
      </c>
      <c r="HT197" s="406">
        <f>各项系数!$F$76/4*($MW197^2-$MT197^2)*10^-2*(VLOOKUP(AN197,各项系数!$D$1:$F$143,3,0))*10^-3*10^2*各项系数!$J$4</f>
        <v>0.205505683022361</v>
      </c>
      <c r="HU197" s="389">
        <v>1</v>
      </c>
      <c r="HV197" s="390">
        <f t="shared" ref="HV197:HV214" si="912">HU197*HT197</f>
        <v>0.205505683022361</v>
      </c>
      <c r="HW197" s="390">
        <f>HV197*(VLOOKUP(AN197,各项系数!$D$1:$F$143,2,0))</f>
        <v>2.05505683022361</v>
      </c>
      <c r="HX197" s="406">
        <f>各项系数!$F$76/4*($MV197^2-$MS197^2)*10^-2*(VLOOKUP($HX$9,各项系数!$D$1:$F$143,3,0))*10^-3*10^2*各项系数!$J$4</f>
        <v>0.204035266864034</v>
      </c>
      <c r="HY197" s="420">
        <v>1</v>
      </c>
      <c r="HZ197" s="390">
        <f t="shared" ref="HZ197:HZ214" si="913">HY197*HX197</f>
        <v>0.204035266864034</v>
      </c>
      <c r="IA197" s="390">
        <f>HZ197*(VLOOKUP($HX$9,各项系数!$D$1:$F$143,2,0))</f>
        <v>2.24438793550437</v>
      </c>
      <c r="IB197" s="406">
        <f>各项系数!$F$76/4*($MW197^2-$MT197^2)*10^-2*(VLOOKUP($IB$9,各项系数!$D$1:$F$143,3,0))*10^-3*10^2*各项系数!$J$4</f>
        <v>0.205505683022361</v>
      </c>
      <c r="IC197" s="420">
        <v>1</v>
      </c>
      <c r="ID197" s="390">
        <f t="shared" ref="ID197:ID214" si="914">IC197*IB197</f>
        <v>0.205505683022361</v>
      </c>
      <c r="IE197" s="390">
        <f>ID197*(VLOOKUP($IB$9,各项系数!$D$1:$F$143,2,0))</f>
        <v>2.26056251324597</v>
      </c>
      <c r="IF197" s="429"/>
      <c r="IG197" s="406">
        <f t="shared" si="656"/>
        <v>0.0854169064313201</v>
      </c>
      <c r="IH197" s="389">
        <v>1</v>
      </c>
      <c r="II197" s="390">
        <f t="shared" ref="II197:II214" si="915">IH197*IG197</f>
        <v>0.0854169064313201</v>
      </c>
      <c r="IJ197" s="390">
        <f>II197*(VLOOKUP($IG$8,各项系数!$D$1:$F$143,2,0))</f>
        <v>2.135422660783</v>
      </c>
      <c r="IK197" s="406">
        <f>(各项系数!$F$76/4*($MX197^2-$MK197^2)*$EG197)*10^-2*(VLOOKUP($IG$8,各项系数!$D$1:$F$143,3,0))*10^-3*10^2*各项系数!$J$4</f>
        <v>0.0854169064313201</v>
      </c>
      <c r="IL197" s="389">
        <f>IK197*(VLOOKUP($IG$8,各项系数!$D$1:$F$143,2,0))</f>
        <v>2.135422660783</v>
      </c>
      <c r="IM197" s="390">
        <f>(各项系数!$F$76/4*(($MM197+3*$X197)^2-MM197^2)*$EO197)*10^-2*(VLOOKUP($IG$8,各项系数!$D$1:$F$143,3,0))*10^-3*10^2*各项系数!$J$4</f>
        <v>0</v>
      </c>
      <c r="IN197" s="389">
        <f>IM197*(VLOOKUP($IG$8,各项系数!$D$1:$F$143,2,0))</f>
        <v>0</v>
      </c>
      <c r="IO197" s="406">
        <f>各项系数!$F$76/4*($MZ197^2-$MX197^2)*10^-2*(VLOOKUP(L197,各项系数!$D$1:$F$143,3,0))*10^-3*10^2*$ES197*各项系数!$J$4</f>
        <v>0.218365754017804</v>
      </c>
      <c r="IP197" s="389">
        <v>1</v>
      </c>
      <c r="IQ197" s="390">
        <f t="shared" ref="IQ197:IQ214" si="916">IP197*IO197</f>
        <v>0.218365754017804</v>
      </c>
      <c r="IR197" s="367">
        <f>IQ197*(VLOOKUP(L197,各项系数!$D$1:$F$143,2,0))</f>
        <v>2.51120617120475</v>
      </c>
      <c r="IS197" s="406">
        <f>IF($L197&lt;&gt;$IS$9,0,各项系数!$F$76/4*($MZ197^2-$MX197^2)*10^-2*各项系数!$F$12*10^-3*10^2)*$ES197*各项系数!$J$4</f>
        <v>0</v>
      </c>
      <c r="IT197" s="389">
        <v>1</v>
      </c>
      <c r="IU197" s="390">
        <f t="shared" ref="IU197:IU214" si="917">IT197*IS197</f>
        <v>0</v>
      </c>
      <c r="IV197" s="367">
        <f>IU197*各项系数!$E$12</f>
        <v>0</v>
      </c>
      <c r="IW197" s="388">
        <f t="shared" ref="IW197:IW214" si="918">IQ197</f>
        <v>0.218365754017804</v>
      </c>
      <c r="IX197" s="388">
        <f t="shared" ref="IX197:IX214" si="919">IR197</f>
        <v>2.51120617120475</v>
      </c>
      <c r="IY197" s="447">
        <f>各项系数!$F$76/4*($NB197^2-$MZ197^2*$EG197-$NA197^2*$EO197)*10^-2</f>
        <v>1.20780071730438</v>
      </c>
      <c r="IZ197" s="366">
        <f t="shared" si="697"/>
        <v>1</v>
      </c>
      <c r="JA197" s="367">
        <f t="shared" si="606"/>
        <v>1.20780071730438</v>
      </c>
      <c r="JB197" s="364">
        <f>IF($DE197&lt;&gt;$JB$9,0,$JA197*各项系数!$F$32*10^-3*10^2)*各项系数!$J$4</f>
        <v>0</v>
      </c>
      <c r="JC197" s="123">
        <v>1</v>
      </c>
      <c r="JD197" s="251">
        <f t="shared" ref="JD197:JD214" si="920">JC197*JB197</f>
        <v>0</v>
      </c>
      <c r="JE197" s="339">
        <f>JD197*各项系数!$E$32</f>
        <v>0</v>
      </c>
      <c r="JF197" s="364">
        <f>IF($DE197&lt;&gt;$JF$9,0,$JA197*VLOOKUP($JF$9,各项系数!$D$4:$F$540,2,0)*10^-3*10^2)*各项系数!$J$4</f>
        <v>0.60088085685893</v>
      </c>
      <c r="JG197" s="123">
        <v>1</v>
      </c>
      <c r="JH197" s="251">
        <f t="shared" si="607"/>
        <v>0.60088085685893</v>
      </c>
      <c r="JI197" s="339">
        <f>JH197*VLOOKUP($JF$9,各项系数!$D$4:$F$540,3,0)</f>
        <v>0.721057028230716</v>
      </c>
      <c r="JJ197" s="364">
        <f t="shared" ref="JJ197:JJ214" si="921">JH197+JD197</f>
        <v>0.60088085685893</v>
      </c>
      <c r="JK197" s="251">
        <f t="shared" ref="JK197:JK214" si="922">JI197+JE197</f>
        <v>0.721057028230716</v>
      </c>
      <c r="JL197" s="364">
        <f>IF($DF197&lt;&gt;$JL$9,0,各项系数!$F$76/4*($NE197^2-$NC197^2)*10^-2*各项系数!$F$39*10^-3*10^2)*各项系数!$J$4</f>
        <v>0.00269982303226922</v>
      </c>
      <c r="JM197" s="123">
        <v>1</v>
      </c>
      <c r="JN197" s="251">
        <f t="shared" ref="JN197:JN214" si="923">JM197*JL197</f>
        <v>0.00269982303226922</v>
      </c>
      <c r="JO197" s="339">
        <f>JN197*各项系数!$E$39</f>
        <v>0.0539964606453843</v>
      </c>
      <c r="JP197" s="364">
        <f>IF($DF197&lt;&gt;$JP$9,0,各项系数!$F$76/4*($NE197^2-$NC197^2)*10^-2*各项系数!$F$36*10^-3*10^2)*各项系数!$J$4</f>
        <v>0</v>
      </c>
      <c r="JQ197" s="123">
        <v>1</v>
      </c>
      <c r="JR197" s="251">
        <f t="shared" ref="JR197:JR214" si="924">JQ197*JP197</f>
        <v>0</v>
      </c>
      <c r="JS197" s="339">
        <f>JR197*各项系数!$E$36</f>
        <v>0</v>
      </c>
      <c r="JT197" s="364">
        <f>IF($DF197&lt;&gt;$JT$9,0,各项系数!$F$76/4*($NE197^2-$NC197^2)*10^-2*各项系数!$F$40*10^-3*10^2)*各项系数!$J$4</f>
        <v>0</v>
      </c>
      <c r="JU197" s="123">
        <v>1</v>
      </c>
      <c r="JV197" s="251">
        <f t="shared" ref="JV197:JV214" si="925">JU197*JT197</f>
        <v>0</v>
      </c>
      <c r="JW197" s="339">
        <f>JV197*各项系数!$E$40</f>
        <v>0</v>
      </c>
      <c r="JX197" s="364">
        <f>IF($DF197&lt;&gt;$JX$9,0,各项系数!$F$76/4*($NE197^2-$NC197^2)*10^-2*各项系数!$F$38*10^-3*10^2)*各项系数!$J$4</f>
        <v>0</v>
      </c>
      <c r="JY197" s="123">
        <v>1</v>
      </c>
      <c r="JZ197" s="251">
        <f t="shared" ref="JZ197:JZ214" si="926">JY197*JX197</f>
        <v>0</v>
      </c>
      <c r="KA197" s="339">
        <f>JZ197*各项系数!$E$38</f>
        <v>0</v>
      </c>
      <c r="KB197" s="364">
        <f>IF($DF197&lt;&gt;$KB$9,0,各项系数!$F$76/4*($NE197^2-$NC197^2)*10^-2*各项系数!$F$41*10^-3*10^2)*各项系数!$J$4</f>
        <v>0</v>
      </c>
      <c r="KC197" s="123">
        <v>1</v>
      </c>
      <c r="KD197" s="251">
        <f t="shared" ref="KD197:KD214" si="927">KC197*KB197</f>
        <v>0</v>
      </c>
      <c r="KE197" s="339">
        <f>KD197*各项系数!$E$41</f>
        <v>0</v>
      </c>
      <c r="KF197" s="251">
        <f t="shared" ref="KF197:KF214" si="928">KD197+JZ197+JV197+JR197+JN197</f>
        <v>0.00269982303226922</v>
      </c>
      <c r="KG197" s="251">
        <f t="shared" ref="KG197:KG214" si="929">KE197+KA197+JW197+JS197+JO197</f>
        <v>0.0539964606453843</v>
      </c>
      <c r="KH197" s="302">
        <f>各项系数!$F$76/4*($NG197^2-$NE197^2)*10^-2*各项系数!$F$44*10^-3*10^2*各项系数!$J$4*0.75*$U197</f>
        <v>1.08731077170597</v>
      </c>
      <c r="KI197" s="123">
        <v>1</v>
      </c>
      <c r="KJ197" s="251">
        <f t="shared" ref="KJ197:KJ214" si="930">KI197*KH197</f>
        <v>1.08731077170597</v>
      </c>
      <c r="KK197" s="251">
        <f>ROUND(KJ197*各项系数!$E$43,GT197)</f>
        <v>6</v>
      </c>
      <c r="KL197" s="302">
        <f>各项系数!$F$76/4*($NF197^2-$NE197^2)*10^-2*各项系数!$F$46*10^-3*10^2*各项系数!$J$4*PI()/4*R197</f>
        <v>0.0337916804201689</v>
      </c>
      <c r="KM197" s="123">
        <v>1</v>
      </c>
      <c r="KN197" s="251">
        <f t="shared" ref="KN197:KN214" si="931">$KL197*$KM197</f>
        <v>0.0337916804201689</v>
      </c>
      <c r="KO197" s="251">
        <f>KN197*各项系数!$E$46</f>
        <v>2.2809384283614</v>
      </c>
      <c r="KP197" s="302">
        <f>各项系数!$F$76/4*($NH197^2-$NE197^2)*10^-2*(VLOOKUP($KP$9,各项系数!$D$1:$F$143,3,0))*10^-3*10^2*各项系数!$J$4</f>
        <v>0.236703683342232</v>
      </c>
      <c r="KQ197" s="123">
        <v>1</v>
      </c>
      <c r="KR197" s="251">
        <f t="shared" si="657"/>
        <v>0.236703683342232</v>
      </c>
      <c r="KS197" s="251">
        <f>KR197*(VLOOKUP($KP$9,各项系数!$D$1:$F$143,2,0))</f>
        <v>4.02396261681795</v>
      </c>
      <c r="KT197" s="302">
        <f>各项系数!$F$76/4*($NI197^2-$NF197^2)*10^-2*(VLOOKUP($KT$9,各项系数!$D$1:$F$143,3,0))*10^-3*10^2*各项系数!$J$4</f>
        <v>0.238154093838541</v>
      </c>
      <c r="KU197" s="123">
        <v>1</v>
      </c>
      <c r="KV197" s="251">
        <f t="shared" si="658"/>
        <v>0.238154093838541</v>
      </c>
      <c r="KW197" s="251">
        <f>KV197*(VLOOKUP($KT$9,各项系数!$D$1:$F$143,2,0))</f>
        <v>4.04861959525521</v>
      </c>
      <c r="KX197" s="251">
        <f>各项系数!$F$76/4*($NH197^2-$NE197^2)*10^-2*(VLOOKUP($KX$9,各项系数!$D$1:$F$143,3,0))*10^-3*10^2*各项系数!$J$4</f>
        <v>0.236703683342232</v>
      </c>
      <c r="KY197" s="479">
        <v>1</v>
      </c>
      <c r="KZ197" s="251">
        <f t="shared" si="659"/>
        <v>0.236703683342232</v>
      </c>
      <c r="LA197" s="251">
        <f>KZ197*(VLOOKUP($KX$9,各项系数!$D$1:$F$143,2,0))</f>
        <v>4.02396261681795</v>
      </c>
      <c r="LB197" s="251">
        <f>各项系数!$F$76/4*($NI197^2-$NF197^2)*10^-2*(VLOOKUP($LB$9,各项系数!$D$1:$F$143,3,0))*10^-3*10^2*各项系数!$J$4</f>
        <v>0.238154093838541</v>
      </c>
      <c r="LC197" s="479">
        <v>1</v>
      </c>
      <c r="LD197" s="251">
        <f t="shared" si="660"/>
        <v>0.238154093838541</v>
      </c>
      <c r="LE197" s="251">
        <f>LD197*(VLOOKUP($LB$9,各项系数!$D$1:$F$143,2,0))</f>
        <v>4.04861959525521</v>
      </c>
      <c r="LF197" s="302">
        <f>各项系数!$F$76/4*($NH197^2-$NE197^2)*10^-2*(VLOOKUP(AN197,各项系数!$D$1:$F$143,3,0))*10^-3*10^2*各项系数!$J$4</f>
        <v>0.239968561733159</v>
      </c>
      <c r="LG197" s="123">
        <v>1</v>
      </c>
      <c r="LH197" s="251">
        <f t="shared" ref="LH197:LH214" si="932">LG197*LF197</f>
        <v>0.239968561733159</v>
      </c>
      <c r="LI197" s="251">
        <f>LH197*(VLOOKUP(AN197,各项系数!$D$1:$F$143,2,0))</f>
        <v>2.39968561733159</v>
      </c>
      <c r="LJ197" s="302">
        <f>各项系数!$F$76/4*($NI197^2-$NF197^2)*10^-2*(VLOOKUP(AN197,各项系数!$D$1:$F$143,3,0))*10^-3*10^2*各项系数!$J$4</f>
        <v>0.241438977891487</v>
      </c>
      <c r="LK197" s="123">
        <v>1</v>
      </c>
      <c r="LL197" s="251">
        <f t="shared" ref="LL197:LL214" si="933">LK197*LJ197</f>
        <v>0.241438977891487</v>
      </c>
      <c r="LM197" s="251">
        <f>LL197*(VLOOKUP(AN197,各项系数!$D$1:$F$143,2,0))</f>
        <v>2.41438977891487</v>
      </c>
      <c r="LN197" s="251">
        <f>各项系数!$F$76/4*($NH197^2-$NE197^2)*10^-2*(VLOOKUP($LN$9,各项系数!$D$1:$F$143,3,0))*10^-3*10^2*各项系数!$J$4</f>
        <v>0.239968561733159</v>
      </c>
      <c r="LO197" s="479">
        <v>1</v>
      </c>
      <c r="LP197" s="251">
        <f t="shared" ref="LP197:LP214" si="934">LO197*LN197</f>
        <v>0.239968561733159</v>
      </c>
      <c r="LQ197" s="251">
        <f>LP197*(VLOOKUP($LN$9,各项系数!$D$1:$F$143,2,0))</f>
        <v>2.63965417906475</v>
      </c>
      <c r="LR197" s="251">
        <f>各项系数!$F$76/4*($NI197^2-$NF197^2)*10^-2*(VLOOKUP($LR$9,各项系数!$D$1:$F$143,3,0))*10^-3*10^2*各项系数!$J$4</f>
        <v>0.241438977891487</v>
      </c>
      <c r="LS197" s="479">
        <v>1</v>
      </c>
      <c r="LT197" s="251">
        <f t="shared" ref="LT197:LT214" si="935">LS197*LR197</f>
        <v>0.241438977891487</v>
      </c>
      <c r="LU197" s="251">
        <f>LT197*(VLOOKUP($LR$9,各项系数!$D$1:$F$143,2,0))</f>
        <v>2.65582875680636</v>
      </c>
      <c r="LV197" s="499">
        <f t="shared" si="661"/>
        <v>70.04032228</v>
      </c>
      <c r="LW197" s="499">
        <f t="shared" si="662"/>
        <v>70.04032228</v>
      </c>
      <c r="LX197" s="499">
        <f t="shared" si="663"/>
        <v>9.44341612198103</v>
      </c>
      <c r="LY197" s="515">
        <f t="shared" si="664"/>
        <v>0</v>
      </c>
      <c r="LZ197" s="516">
        <f t="shared" si="608"/>
        <v>1</v>
      </c>
      <c r="MA197" s="517">
        <f t="shared" si="609"/>
        <v>70.04032228</v>
      </c>
      <c r="MB197" s="517">
        <f t="shared" si="665"/>
        <v>1.72412401</v>
      </c>
      <c r="MC197" s="499">
        <f t="shared" si="666"/>
        <v>0</v>
      </c>
      <c r="MD197" s="499">
        <f t="shared" si="667"/>
        <v>0</v>
      </c>
      <c r="ME197" s="499">
        <f t="shared" si="668"/>
        <v>0</v>
      </c>
      <c r="MF197" s="499">
        <f t="shared" si="669"/>
        <v>0</v>
      </c>
      <c r="MG197" s="516">
        <f t="shared" si="670"/>
        <v>1</v>
      </c>
      <c r="MH197" s="517">
        <f t="shared" si="610"/>
        <v>0</v>
      </c>
      <c r="MI197" s="517">
        <f t="shared" si="671"/>
        <v>0</v>
      </c>
      <c r="MJ197" s="251">
        <f t="shared" si="611"/>
        <v>1.72412401</v>
      </c>
      <c r="MK197" s="251">
        <f t="shared" si="672"/>
        <v>1.72412401</v>
      </c>
      <c r="ML197" s="251">
        <f t="shared" ref="ML197:ML214" si="936">$ER197*$EQ197*10^-2</f>
        <v>0</v>
      </c>
      <c r="MM197" s="251">
        <f t="shared" si="612"/>
        <v>0</v>
      </c>
      <c r="MN197" s="251">
        <f t="shared" si="613"/>
        <v>3.12412401</v>
      </c>
      <c r="MO197" s="251">
        <f t="shared" si="673"/>
        <v>0</v>
      </c>
      <c r="MP197" s="251">
        <f t="shared" si="674"/>
        <v>20.0256349</v>
      </c>
      <c r="MQ197" s="251">
        <f t="shared" ref="MQ197:MQ214" si="937">MP197</f>
        <v>20.0256349</v>
      </c>
      <c r="MR197" s="314">
        <f t="shared" si="675"/>
        <v>20.0256349</v>
      </c>
      <c r="MS197" s="530">
        <f t="shared" si="614"/>
        <v>20.2016349</v>
      </c>
      <c r="MT197" s="530">
        <f t="shared" si="615"/>
        <v>20.3616349</v>
      </c>
      <c r="MU197" s="530">
        <f t="shared" si="616"/>
        <v>21.4016349</v>
      </c>
      <c r="MV197" s="530">
        <f t="shared" si="617"/>
        <v>24.2016349</v>
      </c>
      <c r="MW197" s="530">
        <f t="shared" si="618"/>
        <v>24.3616349</v>
      </c>
      <c r="MX197" s="326">
        <f t="shared" si="619"/>
        <v>2.32412401</v>
      </c>
      <c r="MY197" s="326">
        <f t="shared" si="620"/>
        <v>0</v>
      </c>
      <c r="MZ197" s="251">
        <f t="shared" si="621"/>
        <v>3.72412401</v>
      </c>
      <c r="NA197" s="251">
        <f t="shared" si="622"/>
        <v>0</v>
      </c>
      <c r="NB197" s="251">
        <f t="shared" si="676"/>
        <v>23.8716349</v>
      </c>
      <c r="NC197" s="326">
        <f t="shared" ref="NC197:NC214" si="938">NB197</f>
        <v>23.8716349</v>
      </c>
      <c r="ND197" s="314">
        <f t="shared" si="677"/>
        <v>23.8716349</v>
      </c>
      <c r="NE197" s="537">
        <f t="shared" si="678"/>
        <v>24.1116349</v>
      </c>
      <c r="NF197" s="530">
        <f t="shared" si="623"/>
        <v>24.2716349</v>
      </c>
      <c r="NG197" s="538">
        <f t="shared" si="624"/>
        <v>25.3116349</v>
      </c>
      <c r="NH197" s="326">
        <f t="shared" si="625"/>
        <v>28.1116349</v>
      </c>
      <c r="NI197" s="530">
        <f t="shared" si="626"/>
        <v>28.2716349</v>
      </c>
      <c r="NK197" s="539">
        <f t="shared" si="627"/>
        <v>1.1055853225835</v>
      </c>
      <c r="NL197" s="539">
        <f t="shared" si="628"/>
        <v>45.0086515609844</v>
      </c>
      <c r="NM197" s="539">
        <f t="shared" si="629"/>
        <v>1.1055853225835</v>
      </c>
      <c r="NN197" s="539">
        <f t="shared" si="630"/>
        <v>45.2126868278484</v>
      </c>
      <c r="NO197" s="539">
        <f t="shared" si="631"/>
        <v>1.76687707274057</v>
      </c>
      <c r="NP197" s="539">
        <f t="shared" si="632"/>
        <v>48.4015766168896</v>
      </c>
      <c r="NQ197" s="539">
        <f t="shared" si="633"/>
        <v>1.76687707274057</v>
      </c>
      <c r="NR197" s="539">
        <f t="shared" si="634"/>
        <v>48.6415451786228</v>
      </c>
      <c r="NS197" s="539">
        <f t="shared" si="635"/>
        <v>1.13391538492828</v>
      </c>
      <c r="NT197" s="539">
        <f t="shared" si="636"/>
        <v>1.13391538492828</v>
      </c>
      <c r="NU197" s="539">
        <f t="shared" si="637"/>
        <v>1.80066875316074</v>
      </c>
      <c r="NV197" s="539">
        <f t="shared" si="638"/>
        <v>1.80066875316074</v>
      </c>
      <c r="NW197">
        <f t="shared" si="639"/>
        <v>1.41067564120456</v>
      </c>
      <c r="NX197">
        <f>各项系数!$M$9*NK197</f>
        <v>0.331675596775049</v>
      </c>
      <c r="NY197">
        <f t="shared" si="640"/>
        <v>1.13391538492828</v>
      </c>
    </row>
    <row r="198" customHeight="1" spans="1:389">
      <c r="A198" s="85"/>
      <c r="B198" s="86"/>
      <c r="C198" s="218"/>
      <c r="D198" s="123" t="s">
        <v>291</v>
      </c>
      <c r="E198" s="77">
        <f t="shared" si="885"/>
        <v>26.04486807</v>
      </c>
      <c r="F198" s="559">
        <f t="shared" si="820"/>
        <v>172.412400708262</v>
      </c>
      <c r="G198" s="23"/>
      <c r="H198" s="23"/>
      <c r="I198" s="174">
        <v>0</v>
      </c>
      <c r="J198" s="23"/>
      <c r="K198" s="23"/>
      <c r="L198" s="118" t="s">
        <v>469</v>
      </c>
      <c r="M198" s="124">
        <f t="shared" si="582"/>
        <v>0.7</v>
      </c>
      <c r="N198" s="124">
        <f t="shared" si="804"/>
        <v>0</v>
      </c>
      <c r="O198" s="69">
        <f t="shared" ref="O198:O207" si="939">$O$36</f>
        <v>0.08</v>
      </c>
      <c r="P198" s="120">
        <v>0.1</v>
      </c>
      <c r="Q198" s="162">
        <f t="shared" si="882"/>
        <v>0.1</v>
      </c>
      <c r="R198" s="560">
        <v>0.8</v>
      </c>
      <c r="S198" s="171" t="str">
        <f>各项系数!$D$43</f>
        <v>钢带</v>
      </c>
      <c r="T198" s="123">
        <v>0.2</v>
      </c>
      <c r="U198" s="78">
        <v>4</v>
      </c>
      <c r="V198" s="172"/>
      <c r="W198" s="170">
        <f>$W$197</f>
        <v>2</v>
      </c>
      <c r="X198" s="164">
        <f t="shared" si="883"/>
        <v>0.2</v>
      </c>
      <c r="Y198" s="219"/>
      <c r="Z198" s="220"/>
      <c r="AA198" s="217">
        <v>1</v>
      </c>
      <c r="AB198" s="186">
        <f>PI()*EJ198*EJ198/4*EH198*(1-H198)*AA198*各项系数!$F$5*各项系数!$J$4*10^-7</f>
        <v>0.0206515056889029</v>
      </c>
      <c r="AC198" s="186">
        <f t="shared" si="886"/>
        <v>172.412400708262</v>
      </c>
      <c r="AD198" s="186">
        <f t="shared" si="584"/>
        <v>2.3346774015073</v>
      </c>
      <c r="AE198" s="186">
        <f>POWER(4*EU198/PI()/EG198/10^-7/EH198/(1-H198)/各项系数!$F$5/各项系数!$J$4,0.5)</f>
        <v>172.412400708262</v>
      </c>
      <c r="AF198" s="218">
        <v>1</v>
      </c>
      <c r="AG198" s="85">
        <f>IF(EM198=0,0,PI()*ER198*ER198/4*EP198*(1-K198)*(1+AF198)*各项系数!$F$5*各项系数!$J$4*10^-7)</f>
        <v>0</v>
      </c>
      <c r="AH198" s="85">
        <f t="shared" si="887"/>
        <v>0</v>
      </c>
      <c r="AI198" s="85">
        <f t="shared" si="641"/>
        <v>0</v>
      </c>
      <c r="AJ198" s="85">
        <f>IF(OR(EP198="",EP198=0),0,POWER(4*EW198/PI()/EO198/10^-7/EP198/(1-K198)/各项系数!$F$5/各项系数!$J$4,0.5))</f>
        <v>0</v>
      </c>
      <c r="AK198" s="85" t="str">
        <f t="shared" si="585"/>
        <v>√</v>
      </c>
      <c r="AL198" s="85">
        <f t="shared" si="888"/>
        <v>57.0262373080321</v>
      </c>
      <c r="AM198" s="250">
        <f t="shared" si="889"/>
        <v>2.5</v>
      </c>
      <c r="AN198" s="118" t="s">
        <v>486</v>
      </c>
      <c r="AO198" s="259">
        <f>AP198+各项系数!$M$9*$NK198</f>
        <v>55.9080757921883</v>
      </c>
      <c r="AP198" s="259">
        <f>AQ198*(1+$BI198+(VLOOKUP($AM198,$A$12:$B$323,2,0))+各项系数!$J$6+各项系数!$M$5)*(1+$E$2)</f>
        <v>55.5130428127399</v>
      </c>
      <c r="AQ198" s="260">
        <f>AR198+各项系数!$L$9*$NK198</f>
        <v>56.6459620538163</v>
      </c>
      <c r="AR198" s="260">
        <f>AS198*(1+$BJ198+各项系数!$J$5+各项系数!$L$5)</f>
        <v>56.2509290743679</v>
      </c>
      <c r="AS198" s="260">
        <f t="shared" si="642"/>
        <v>55.1479696807528</v>
      </c>
      <c r="AT198" s="259">
        <f>AU198+各项系数!$M$9*$NM198</f>
        <v>57.4031910578862</v>
      </c>
      <c r="AU198" s="259">
        <f>AV198*(1+$BI198+(VLOOKUP($AM198,$A$12:$B$323,2,0))+各项系数!$J$6+各项系数!$M$5)*(1+$E$2)</f>
        <v>57.0081580784378</v>
      </c>
      <c r="AV198" s="260">
        <f>AW198+各项系数!$L$9*$NM198</f>
        <v>58.171589875957</v>
      </c>
      <c r="AW198" s="260">
        <f>AX198*(1+$BJ198+各项系数!$J$5+各项系数!$L$5)</f>
        <v>57.7765568965086</v>
      </c>
      <c r="AX198" s="260">
        <f t="shared" si="643"/>
        <v>56.6436832318712</v>
      </c>
      <c r="AY198" s="259">
        <f>AZ198+各项系数!$M$9*$NS198</f>
        <v>58.0263678098926</v>
      </c>
      <c r="AZ198" s="259">
        <f>BA198*(1+$BI198+(VLOOKUP($AM198,$A$12:$B$214,2,0))+各项系数!$J$6+各项系数!$M$5)*(1+$E$2)</f>
        <v>57.6220634049174</v>
      </c>
      <c r="BA198" s="260">
        <f>BB198+各项系数!$L$9*$NS198</f>
        <v>58.7980238825688</v>
      </c>
      <c r="BB198" s="260">
        <f>BC198*(1+$BJ198+各项系数!$J$5+各项系数!$L$5)</f>
        <v>58.3937194775935</v>
      </c>
      <c r="BC198" s="262">
        <f t="shared" si="644"/>
        <v>57.248744585876</v>
      </c>
      <c r="BD198" s="259">
        <f>BE198+各项系数!$M$9*$NS198</f>
        <v>59.5314319113178</v>
      </c>
      <c r="BE198" s="259">
        <f>BF198*(1+$BI198+(VLOOKUP($AM198,$A$12:$B$214,2,0))+各项系数!$J$6+各项系数!$M$5)*(1+$E$2)</f>
        <v>59.1271275063425</v>
      </c>
      <c r="BF198" s="260">
        <f>BG198+各项系数!$L$9*$NS198</f>
        <v>60.3338035779005</v>
      </c>
      <c r="BG198" s="260">
        <f>BH198*(1+$BJ198+各项系数!$J$5+各项系数!$L$5)</f>
        <v>59.9294991729253</v>
      </c>
      <c r="BH198" s="262">
        <f t="shared" si="645"/>
        <v>58.7544109538483</v>
      </c>
      <c r="BI198" s="277"/>
      <c r="BJ198" s="272">
        <f t="shared" si="822"/>
        <v>0</v>
      </c>
      <c r="BK198" s="123" t="s">
        <v>514</v>
      </c>
      <c r="BL198" s="259">
        <f>BM198+各项系数!$M$9*$NM198</f>
        <v>56.6715778237022</v>
      </c>
      <c r="BM198" s="259">
        <f>BN198*(1+$CF198+(VLOOKUP($AM198,$A$12:$B$323,2,0))+各项系数!$J$6+各项系数!$M$5)*(1+$E$2)</f>
        <v>56.2765448442539</v>
      </c>
      <c r="BN198" s="260">
        <f>BO198+各项系数!$L$9*$NM198</f>
        <v>57.4250457594427</v>
      </c>
      <c r="BO198" s="260">
        <f>BP198*(1+$CG198+各项系数!$J$5+各项系数!$L$5)</f>
        <v>57.0300127799943</v>
      </c>
      <c r="BP198" s="260">
        <f t="shared" si="646"/>
        <v>55.3689444465964</v>
      </c>
      <c r="BQ198" s="259">
        <f>BR198+各项系数!$M$9*$NM198</f>
        <v>57.9582991535586</v>
      </c>
      <c r="BR198" s="259">
        <f>BS198*(1+$CF198+(VLOOKUP($AM198,$A$12:$B$323,2,0))+各项系数!$J$6+各项系数!$M$5)*(1+$E$2)</f>
        <v>57.5632661741102</v>
      </c>
      <c r="BS198" s="260">
        <f>BT198+各项系数!$L$9*$NM198</f>
        <v>58.7380267082757</v>
      </c>
      <c r="BT198" s="260">
        <f>BU198*(1+$CG198+各项系数!$J$5+各项系数!$L$5)</f>
        <v>58.3429937288273</v>
      </c>
      <c r="BU198" s="260">
        <f t="shared" si="647"/>
        <v>56.6436832318712</v>
      </c>
      <c r="BV198" s="259">
        <f>BW198+各项系数!$M$9*$NT198</f>
        <v>58.4238214917631</v>
      </c>
      <c r="BW198" s="259">
        <f>BX198*(1+$CF198+(VLOOKUP($AM198,$A$12:$B$214,2,0))+各项系数!$J$6+各项系数!$M$5)*(1+$E$2)</f>
        <v>58.0195170867879</v>
      </c>
      <c r="BX198" s="260">
        <f>BY198+各项系数!$L$9*$NT$12</f>
        <v>59.2035888640693</v>
      </c>
      <c r="BY198" s="260">
        <f>BZ198*(1+$CG198+各项系数!$J$5+各项系数!$L$5)</f>
        <v>59.1953254609143</v>
      </c>
      <c r="BZ198" s="262">
        <f t="shared" si="586"/>
        <v>57.471189767878</v>
      </c>
      <c r="CA198" s="259">
        <f>CB198+各项系数!$M$9*$NT198</f>
        <v>59.7191049568816</v>
      </c>
      <c r="CB198" s="259">
        <f>CC198*(1+$CF198+(VLOOKUP($AM198,$A$12:$B$214,2,0))+各项系数!$J$6+各项系数!$M$5)*(1+$E$2)</f>
        <v>59.3148005519064</v>
      </c>
      <c r="CC198" s="260">
        <f>CD198+各项系数!$L$9*$NT$12</f>
        <v>60.5253066856188</v>
      </c>
      <c r="CD198" s="260">
        <f>CE198*(1+$CG198+各项系数!$J$5+各项系数!$L$5)</f>
        <v>60.5170432824638</v>
      </c>
      <c r="CE198" s="262">
        <f t="shared" si="648"/>
        <v>58.7544109538483</v>
      </c>
      <c r="CF198" s="277">
        <f t="shared" si="884"/>
        <v>0</v>
      </c>
      <c r="CG198" s="277">
        <f t="shared" si="587"/>
        <v>0.01</v>
      </c>
      <c r="CH198" s="123"/>
      <c r="CI198" s="259">
        <f>CJ198+各项系数!$M$9*$NO198</f>
        <v>60.8110173317108</v>
      </c>
      <c r="CJ198" s="259">
        <f>CK198*(1+$DC198+(VLOOKUP($AM198,$A$12:$B$323,2,0))+各项系数!$J$6+各项系数!$M$5)*(1+$E$2)+各项系数!$M$9*$NK198</f>
        <v>60.1953640746603</v>
      </c>
      <c r="CK198" s="260">
        <f>CL198+各项系数!$L$9*$NO198</f>
        <v>61.0207460155223</v>
      </c>
      <c r="CL198" s="260">
        <f>CM198*(1+$DD198+各项系数!$J$5+各项系数!$L$5)</f>
        <v>60.4050927584718</v>
      </c>
      <c r="CM198" s="260">
        <f t="shared" si="588"/>
        <v>59.2206791749723</v>
      </c>
      <c r="CN198" s="259">
        <f>CO198+各项系数!$M$9*$NO198</f>
        <v>61.9144234375769</v>
      </c>
      <c r="CO198" s="259">
        <f>CP198*(1+$DC198+(VLOOKUP($AM198,$A$12:$B$323,2,0))+各项系数!$J$6+各项系数!$M$5)*(1+$E$2)+各项系数!$M$9*$NK198</f>
        <v>61.2987701805264</v>
      </c>
      <c r="CP198" s="260">
        <f>CQ198+各项系数!$L$9*$NO198</f>
        <v>62.1466706133449</v>
      </c>
      <c r="CQ198" s="260">
        <f>CR198*(1+$DD198+各项系数!$J$5+各项系数!$L$5)</f>
        <v>61.5310173562944</v>
      </c>
      <c r="CR198" s="260">
        <f t="shared" si="589"/>
        <v>60.3245268198964</v>
      </c>
      <c r="CS198" s="259">
        <f>CT198+各项系数!$M$9*$NU198</f>
        <v>62.939690028007</v>
      </c>
      <c r="CT198" s="259">
        <f t="shared" si="590"/>
        <v>62.312978516314</v>
      </c>
      <c r="CU198" s="260">
        <f>CV198+各项系数!$L$9*$NU198</f>
        <v>63.5846719554225</v>
      </c>
      <c r="CV198" s="260">
        <f>CW198*(1+$DD198+各项系数!$J$5+各项系数!$L$5)</f>
        <v>62.9579604437295</v>
      </c>
      <c r="CW198" s="262">
        <f t="shared" si="591"/>
        <v>61.7234906311073</v>
      </c>
      <c r="CX198" s="259">
        <f>CY198+各项系数!$M$9*$NU198</f>
        <v>64.7098906015632</v>
      </c>
      <c r="CY198" s="259">
        <f t="shared" si="592"/>
        <v>64.0831790898702</v>
      </c>
      <c r="CZ198" s="260">
        <f>DA198+各项系数!$L$9*$NU198</f>
        <v>65.3909990712961</v>
      </c>
      <c r="DA198" s="260">
        <f>DB198*(1+$DD198+各项系数!$J$5+各项系数!$L$5)</f>
        <v>64.7642875596031</v>
      </c>
      <c r="DB198" s="262">
        <f t="shared" si="593"/>
        <v>63.4943995682384</v>
      </c>
      <c r="DC198" s="277">
        <f t="shared" si="827"/>
        <v>0</v>
      </c>
      <c r="DD198" s="277">
        <f t="shared" si="594"/>
        <v>0</v>
      </c>
      <c r="DE198" s="69" t="s">
        <v>498</v>
      </c>
      <c r="DF198" s="69" t="s">
        <v>513</v>
      </c>
      <c r="DG198" s="259">
        <f>DH198+各项系数!$M$9*$NQ198</f>
        <v>61.6539868608393</v>
      </c>
      <c r="DH198" s="259">
        <f>DI198*(1+$EA198+(VLOOKUP($AM198,$A$12:$B$323,2,0))+各项系数!$J$6+各项系数!$M$5)*(1+$E$2)+各项系数!$M$9*$NK198</f>
        <v>61.0383336037888</v>
      </c>
      <c r="DI198" s="260">
        <f>DJ198+各项系数!$L$9*$NQ198</f>
        <v>61.880919004429</v>
      </c>
      <c r="DJ198" s="260">
        <f>DK198*(1+$EB198+各项系数!$J$5+各项系数!$L$5)</f>
        <v>61.2652657473785</v>
      </c>
      <c r="DK198" s="260">
        <f t="shared" si="595"/>
        <v>59.4808405314354</v>
      </c>
      <c r="DL198" s="259">
        <f>DM198+各项系数!$M$9*$NQ198</f>
        <v>63.1688890954332</v>
      </c>
      <c r="DM198" s="259">
        <f>DN198*(1+$EA198+(VLOOKUP($AM198,$A$12:$B$323,2,0))+各项系数!$J$6+各项系数!$M$5)*(1+$E$2)+各项系数!$M$9*$NK198</f>
        <v>62.5532358383826</v>
      </c>
      <c r="DN198" s="260">
        <f>DO198+各项系数!$L$9*$NQ198</f>
        <v>63.4267376111574</v>
      </c>
      <c r="DO198" s="260">
        <f>DP198*(1+$EB198+各项系数!$J$5+各项系数!$L$5)</f>
        <v>62.8110843541069</v>
      </c>
      <c r="DP198" s="260">
        <f t="shared" si="596"/>
        <v>60.9816352952494</v>
      </c>
      <c r="DQ198" s="259">
        <f>DR198+各项系数!$M$9*$NV198</f>
        <v>63.8086713474759</v>
      </c>
      <c r="DR198" s="259">
        <f t="shared" si="597"/>
        <v>63.1819598357829</v>
      </c>
      <c r="DS198" s="260">
        <f>DT198+各项系数!$L$9*$NV198</f>
        <v>64.4713875875336</v>
      </c>
      <c r="DT198" s="260">
        <f>DU198*(1+$EB198+各项系数!$J$5+各项系数!$L$5)</f>
        <v>63.8446760758406</v>
      </c>
      <c r="DU198" s="262">
        <f t="shared" si="598"/>
        <v>61.9851224037287</v>
      </c>
      <c r="DV198" s="259">
        <f>DW198+各项系数!$M$9*$NV198</f>
        <v>62.2058681893012</v>
      </c>
      <c r="DW198" s="259">
        <f t="shared" si="599"/>
        <v>61.5791566776082</v>
      </c>
      <c r="DX198" s="260">
        <f>DY198+各项系数!$L$9*$NV198</f>
        <v>62.8358741608247</v>
      </c>
      <c r="DY198" s="260">
        <f>DZ198*(1+$EB198+各项系数!$J$5+各项系数!$L$5)</f>
        <v>62.2091626491317</v>
      </c>
      <c r="DZ198" s="262">
        <f t="shared" si="600"/>
        <v>60.3972452904192</v>
      </c>
      <c r="EA198" s="277">
        <f t="shared" si="826"/>
        <v>0</v>
      </c>
      <c r="EB198" s="277">
        <f t="shared" si="601"/>
        <v>0.01</v>
      </c>
      <c r="EC198" s="302">
        <f t="shared" si="649"/>
        <v>37</v>
      </c>
      <c r="ED198" s="302" t="str">
        <f t="shared" si="890"/>
        <v>37*2.5</v>
      </c>
      <c r="EE198" s="251">
        <f t="shared" si="891"/>
        <v>2.5</v>
      </c>
      <c r="EF198" s="251">
        <f>LOOKUP(EH198,{1,7,10,14,19,24,30,37,48,61},{1,"1+6","2+8","4+10","1+6+12","2+8+14","4+10+16","1+6+12+18","3+9+15+21","1+6+12+18+24"})</f>
        <v>1</v>
      </c>
      <c r="EG198" s="250">
        <f t="shared" si="602"/>
        <v>37</v>
      </c>
      <c r="EH198" s="260">
        <f>VLOOKUP(EE198,各项系数!$B$87:$C$124,2,0)</f>
        <v>1</v>
      </c>
      <c r="EI198" s="250">
        <f>IF(EH198=0,0,VLOOKUP(EH198,各项系数!$D$142:$E$195,2,0))*1</f>
        <v>1</v>
      </c>
      <c r="EJ198" s="305">
        <f t="shared" si="650"/>
        <v>172.412400708262</v>
      </c>
      <c r="EK198" s="251">
        <f t="shared" si="892"/>
        <v>0</v>
      </c>
      <c r="EL198" s="251">
        <f t="shared" si="603"/>
        <v>0</v>
      </c>
      <c r="EM198" s="251">
        <f t="shared" si="893"/>
        <v>0</v>
      </c>
      <c r="EN198" s="251">
        <f>IF(EP198=0,0,LOOKUP(EP198,{1,7,10,14,19,24,30,37,48,61},{1,"1+6","2+8","4+10","1+6+12","2+8+14","4+10+16","1+6+12+18","3+9+15+21","1+6+12+18+24"}))</f>
        <v>0</v>
      </c>
      <c r="EO198" s="251">
        <f t="shared" si="894"/>
        <v>0</v>
      </c>
      <c r="EP198" s="251">
        <f>IF(EM198=0,0,IF(EM198&lt;10,1,IF(AND(EM198&gt;=10,EM198&lt;=35),7,LOOKUP(EM198,{50,70,95,120,150,185,240,300},{10,14,19,24,30,37,48,61})*1)))</f>
        <v>0</v>
      </c>
      <c r="EQ198" s="251">
        <f>IF(EP198=0,0,VLOOKUP(EP198,各项系数!$D$142:$E$195,2,0))*1</f>
        <v>0</v>
      </c>
      <c r="ER198" s="69">
        <f t="shared" si="895"/>
        <v>0</v>
      </c>
      <c r="ES198" s="566">
        <f t="shared" si="896"/>
        <v>37</v>
      </c>
      <c r="ET198" s="251">
        <f>VLOOKUP(ES198,各项系数!$D$142:$E$195,2,0)*1</f>
        <v>7</v>
      </c>
      <c r="EU198" s="311">
        <f>((各项系数!$F$76/4*$EJ198^2*$EG198*$EH198*1*10^-7)*(1-$H198)*AA198)*(VLOOKUP($EY$9,各项系数!$D$4:$F$143,3,0))*各项系数!$J$4</f>
        <v>0.764105710489407</v>
      </c>
      <c r="EV198" s="312">
        <f>EU198*(VLOOKUP($EY$9,各项系数!$D$4:$F$143,2,0))</f>
        <v>50.0489240370562</v>
      </c>
      <c r="EW198" s="324">
        <f>(IF($EO198=0,0,(各项系数!$F$76/4*$ER198^2*$EO198*$EP198*1*10^-7))*(1-$K198)*$AF198)*(VLOOKUP($EY$9,各项系数!$D$4:$F$143,3,0))*各项系数!$J$4</f>
        <v>0</v>
      </c>
      <c r="EX198" s="325">
        <f>EW198*(VLOOKUP($EY$9,各项系数!$D$4:$F$143,2,0))</f>
        <v>0</v>
      </c>
      <c r="EY198" s="251">
        <f>((各项系数!$F$76/4*$EJ198^2*$EG198*$EH198*1*10^-7)*(1-$H198)*AA198+IF($EO198=0,0,(各项系数!$F$76/4*$ER198^2*$EO198*$EP198*1*10^-7))*(1-$K198)*$AF198)*(VLOOKUP($EY$9,各项系数!$D$4:$F$143,3,0))*各项系数!$J$4</f>
        <v>0.764105710489407</v>
      </c>
      <c r="EZ198" s="123">
        <v>1</v>
      </c>
      <c r="FA198" s="251">
        <f t="shared" si="897"/>
        <v>0.764105710489407</v>
      </c>
      <c r="FB198" s="326">
        <f>FA198*(VLOOKUP($EY$9,各项系数!$D$4:$F$143,2,0))</f>
        <v>50.0489240370562</v>
      </c>
      <c r="FC198" s="327"/>
      <c r="FD198" s="302">
        <f>各项系数!$F$76/4*($MN198^2-MK198^2)*10^-2*(VLOOKUP(L198,各项系数!$D$1:$F$143,3,0))*10^-3*10^2*$EG198*各项系数!$J$4</f>
        <v>0.215883890392264</v>
      </c>
      <c r="FE198" s="339">
        <f>FD198*VLOOKUP(L198,各项系数!$D$1:$F$143,2,0)</f>
        <v>2.48266473951103</v>
      </c>
      <c r="FF198" s="250">
        <f>各项系数!$F$76/4*($MO198^2-ML198^2)*10^-2*(VLOOKUP(L198,各项系数!$D$1:$F$143,3,0))*10^-3*10^2*$EO198*各项系数!$J$4</f>
        <v>0</v>
      </c>
      <c r="FG198" s="339">
        <f>FF198*VLOOKUP(L198,各项系数!$D$1:$F$143,2,0)</f>
        <v>0</v>
      </c>
      <c r="FH198" s="302">
        <f t="shared" si="651"/>
        <v>0.215883890392264</v>
      </c>
      <c r="FI198" s="123">
        <v>1</v>
      </c>
      <c r="FJ198" s="251">
        <f t="shared" si="898"/>
        <v>0.215883890392264</v>
      </c>
      <c r="FK198" s="339">
        <f>FJ198*VLOOKUP(L198,各项系数!$D$1:$F$143,2,0)</f>
        <v>2.48266473951103</v>
      </c>
      <c r="FL198" s="302"/>
      <c r="FM198" s="123"/>
      <c r="FN198" s="251"/>
      <c r="FO198" s="339"/>
      <c r="FP198" s="364">
        <f t="shared" si="899"/>
        <v>0.215883890392264</v>
      </c>
      <c r="FQ198" s="364">
        <f t="shared" si="900"/>
        <v>2.48266473951103</v>
      </c>
      <c r="FR198" s="365">
        <f>各项系数!$F$76/4*($MQ198^2-$MN198^2*$EG198-$MO198^2*$EO198)*10^-2</f>
        <v>0.919872544350352</v>
      </c>
      <c r="FS198" s="366">
        <f t="shared" si="652"/>
        <v>1</v>
      </c>
      <c r="FT198" s="367">
        <f t="shared" si="604"/>
        <v>0.919872544350352</v>
      </c>
      <c r="FU198" s="388">
        <f>$FT198*(VLOOKUP($FT$9,各项系数!$D$1:$F$143,3,0))*10^-3*10^2*各项系数!$J$55</f>
        <v>0.109832781795432</v>
      </c>
      <c r="FV198" s="389">
        <v>1</v>
      </c>
      <c r="FW198" s="390">
        <f t="shared" si="901"/>
        <v>0.109832781795432</v>
      </c>
      <c r="FX198" s="367">
        <f>FW198*(VLOOKUP($FT$9,各项系数!$D$1:$F$143,2,0))</f>
        <v>0.329498345386296</v>
      </c>
      <c r="FY198" s="388">
        <f>IF($BK198&lt;&gt;$FY$9,0,各项系数!$F$76/4*($MS198^2-$MQ198^2)*10^-2*(VLOOKUP($FY$9,各项系数!$D$1:$F$143,3,0))*10^-3*10^2)*各项系数!$J$4</f>
        <v>0</v>
      </c>
      <c r="FZ198" s="389">
        <v>1</v>
      </c>
      <c r="GA198" s="390">
        <f t="shared" si="902"/>
        <v>0</v>
      </c>
      <c r="GB198" s="367">
        <f>GA198*(VLOOKUP($FY$9,各项系数!$D$1:$F$143,2,0))</f>
        <v>0</v>
      </c>
      <c r="GC198" s="388">
        <f>IF($BK198&lt;&gt;$GC$9,0,各项系数!$F$76/4*($MS198^2-$MQ198^2)*10^-2*(VLOOKUP($GC$9,各项系数!$D$1:$F$143,3,0))*10^-3*10^2)*各项系数!$J$4</f>
        <v>0.005979449640556</v>
      </c>
      <c r="GD198" s="389">
        <v>1</v>
      </c>
      <c r="GE198" s="390">
        <f t="shared" si="903"/>
        <v>0.005979449640556</v>
      </c>
      <c r="GF198" s="367">
        <f>GE198*(VLOOKUP($GC$9,各项系数!$D$1:$F$143,2,0))</f>
        <v>0.0771349003631724</v>
      </c>
      <c r="GG198" s="388">
        <f>IF($BK198&lt;&gt;$GG$9,0,各项系数!$F$76/4*($MS198^2-$MQ198^2)*10^-2*(VLOOKUP($GG$9,各项系数!$D$1:$F$143,3,0))*10^-3*10^2)*各项系数!$J$4</f>
        <v>0</v>
      </c>
      <c r="GH198" s="389">
        <v>1</v>
      </c>
      <c r="GI198" s="390">
        <f t="shared" si="904"/>
        <v>0</v>
      </c>
      <c r="GJ198" s="367">
        <f>GI198*(VLOOKUP($GG$9,各项系数!$D$1:$F$143,2,0))</f>
        <v>0</v>
      </c>
      <c r="GK198" s="388">
        <f>IF($BK198&lt;&gt;$GK$9,0,各项系数!$F$76/4*($MS198^2-$MQ198^2)*10^-2*(VLOOKUP($GK$9,各项系数!$D$1:$F$143,3,0))*10^-3*10^2)*各项系数!$J$4</f>
        <v>0</v>
      </c>
      <c r="GL198" s="389">
        <v>1</v>
      </c>
      <c r="GM198" s="390">
        <f t="shared" si="905"/>
        <v>0</v>
      </c>
      <c r="GN198" s="367">
        <f>GM198*(VLOOKUP($GK$9,各项系数!$D$1:$F$143,2,0))</f>
        <v>0</v>
      </c>
      <c r="GO198" s="390">
        <f t="shared" si="906"/>
        <v>0.005979449640556</v>
      </c>
      <c r="GP198" s="390">
        <f t="shared" si="907"/>
        <v>0.0771349003631724</v>
      </c>
      <c r="GQ198" s="406">
        <f>各项系数!$F$76/4*($MU198^2-$MS198^2)*10^-2*(VLOOKUP($S198,各项系数!$D$1:$F$143,3,0))*10^-3*10^2*各项系数!$J$4</f>
        <v>0.332124376176228</v>
      </c>
      <c r="GR198" s="389">
        <v>1</v>
      </c>
      <c r="GS198" s="390">
        <f t="shared" si="908"/>
        <v>0.332124376176228</v>
      </c>
      <c r="GT198" s="390">
        <f t="shared" si="909"/>
        <v>0</v>
      </c>
      <c r="GU198" s="390">
        <f>ROUND($GS198*(VLOOKUP($S198,各项系数!$D$1:$F$143,2,0))+$E$3*GS198,GT198)</f>
        <v>2</v>
      </c>
      <c r="GV198" s="406">
        <f>各项系数!$F$76/4*($MT198^2-$MS198^2)*10^-2*(VLOOKUP($GV$9,各项系数!$D$1:$F$143,3,0))*10^-3*10^2*各项系数!$J$4*PI()/4*R198</f>
        <v>0.0309047517561469</v>
      </c>
      <c r="GW198" s="389">
        <v>1</v>
      </c>
      <c r="GX198" s="390">
        <f t="shared" si="910"/>
        <v>0.0309047517561469</v>
      </c>
      <c r="GY198" s="390">
        <f>$GX198*(VLOOKUP($GV$9,各项系数!$D$1:$F$143,2,0))</f>
        <v>2.08607074353992</v>
      </c>
      <c r="GZ198" s="406">
        <f>各项系数!$F$76/4*($MV198^2-$MS198^2)*10^-2*(VLOOKUP($GZ$9,各项系数!$D$1:$F$143,3,0))*10^-3*10^2*各项系数!$J$4</f>
        <v>0.217968306444382</v>
      </c>
      <c r="HA198" s="389">
        <v>1</v>
      </c>
      <c r="HB198" s="390">
        <f t="shared" si="653"/>
        <v>0.217968306444382</v>
      </c>
      <c r="HC198" s="390">
        <f>HB198*(VLOOKUP($GZ$9,各项系数!$D$1:$F$143,2,0))</f>
        <v>3.7054612095545</v>
      </c>
      <c r="HD198" s="406">
        <f>各项系数!$F$76/4*($MW198^2-$MT198^2)*10^-2*(VLOOKUP($HD$9,各项系数!$D$1:$F$143,3,0))*10^-3*10^2*各项系数!$J$4</f>
        <v>0.219418716940692</v>
      </c>
      <c r="HE198" s="389">
        <v>1</v>
      </c>
      <c r="HF198" s="390">
        <f t="shared" si="654"/>
        <v>0.219418716940692</v>
      </c>
      <c r="HG198" s="390">
        <f>HF198*(VLOOKUP($HD$9,各项系数!$D$1:$F$143,2,0))</f>
        <v>3.73011818799176</v>
      </c>
      <c r="HH198" s="406">
        <f>各项系数!$F$76/4*($MV198^2-$MS198^2)*10^-2*(VLOOKUP($HH$9,各项系数!$D$1:$F$143,3,0))*10^-3*10^2*各项系数!$J$4</f>
        <v>0.217968306444382</v>
      </c>
      <c r="HI198" s="420">
        <v>1</v>
      </c>
      <c r="HJ198" s="390">
        <f t="shared" si="655"/>
        <v>0.217968306444382</v>
      </c>
      <c r="HK198" s="390">
        <f>HJ198*(VLOOKUP($HH$9,各项系数!$D$1:$F$143,2,0))</f>
        <v>3.7054612095545</v>
      </c>
      <c r="HL198" s="406">
        <f>各项系数!$F$76/4*($MW198^2-$MT198^2)*10^-2*(VLOOKUP($HL$9,各项系数!$D$1:$F$143,3,0))*10^-3*10^2*各项系数!$J$4</f>
        <v>0.219418716940692</v>
      </c>
      <c r="HM198" s="420">
        <v>1</v>
      </c>
      <c r="HN198" s="390">
        <f t="shared" si="605"/>
        <v>0.219418716940692</v>
      </c>
      <c r="HO198" s="390">
        <f>HN198*(VLOOKUP($HL$9,各项系数!$D$1:$F$143,2,0))</f>
        <v>3.73011818799176</v>
      </c>
      <c r="HP198" s="406">
        <f>各项系数!$F$76/4*($MV198^2-$MS198^2)*10^-2*(VLOOKUP(AN198,各项系数!$D$1:$F$143,3,0))*10^-3*10^2*各项系数!$J$4</f>
        <v>0.220974765843615</v>
      </c>
      <c r="HQ198" s="389">
        <v>1</v>
      </c>
      <c r="HR198" s="390">
        <f t="shared" si="911"/>
        <v>0.220974765843615</v>
      </c>
      <c r="HS198" s="390">
        <f>HR198*(VLOOKUP(AN198,各项系数!$D$1:$F$143,2,0))</f>
        <v>2.20974765843615</v>
      </c>
      <c r="HT198" s="406">
        <f>各项系数!$F$76/4*($MW198^2-$MT198^2)*10^-2*(VLOOKUP(AN198,各项系数!$D$1:$F$143,3,0))*10^-3*10^2*各项系数!$J$4</f>
        <v>0.222445182001943</v>
      </c>
      <c r="HU198" s="389">
        <v>1</v>
      </c>
      <c r="HV198" s="390">
        <f t="shared" si="912"/>
        <v>0.222445182001943</v>
      </c>
      <c r="HW198" s="390">
        <f>HV198*(VLOOKUP(AN198,各项系数!$D$1:$F$143,2,0))</f>
        <v>2.22445182001943</v>
      </c>
      <c r="HX198" s="406">
        <f>各项系数!$F$76/4*($MV198^2-$MS198^2)*10^-2*(VLOOKUP($HX$9,各项系数!$D$1:$F$143,3,0))*10^-3*10^2*各项系数!$J$4</f>
        <v>0.220974765843615</v>
      </c>
      <c r="HY198" s="420">
        <v>1</v>
      </c>
      <c r="HZ198" s="390">
        <f t="shared" si="913"/>
        <v>0.220974765843615</v>
      </c>
      <c r="IA198" s="390">
        <f>HZ198*(VLOOKUP($HX$9,各项系数!$D$1:$F$143,2,0))</f>
        <v>2.43072242427977</v>
      </c>
      <c r="IB198" s="406">
        <f>各项系数!$F$76/4*($MW198^2-$MT198^2)*10^-2*(VLOOKUP($IB$9,各项系数!$D$1:$F$143,3,0))*10^-3*10^2*各项系数!$J$4</f>
        <v>0.222445182001943</v>
      </c>
      <c r="IC198" s="420">
        <v>1</v>
      </c>
      <c r="ID198" s="390">
        <f t="shared" si="914"/>
        <v>0.222445182001943</v>
      </c>
      <c r="IE198" s="390">
        <f>ID198*(VLOOKUP($IB$9,各项系数!$D$1:$F$143,2,0))</f>
        <v>2.44689700202137</v>
      </c>
      <c r="IF198" s="429"/>
      <c r="IG198" s="406">
        <f t="shared" si="656"/>
        <v>0.105347517931961</v>
      </c>
      <c r="IH198" s="389">
        <v>1</v>
      </c>
      <c r="II198" s="390">
        <f t="shared" si="915"/>
        <v>0.105347517931961</v>
      </c>
      <c r="IJ198" s="390">
        <f>II198*(VLOOKUP($IG$8,各项系数!$D$1:$F$143,2,0))</f>
        <v>2.63368794829904</v>
      </c>
      <c r="IK198" s="406">
        <f>(各项系数!$F$76/4*($MX198^2-$MK198^2)*$EG198)*10^-2*(VLOOKUP($IG$8,各项系数!$D$1:$F$143,3,0))*10^-3*10^2*各项系数!$J$4</f>
        <v>0.105347517931961</v>
      </c>
      <c r="IL198" s="389">
        <f>IK198*(VLOOKUP($IG$8,各项系数!$D$1:$F$143,2,0))</f>
        <v>2.63368794829904</v>
      </c>
      <c r="IM198" s="390">
        <f>(各项系数!$F$76/4*(($MM198+3*$X198)^2-MM198^2)*$EO198)*10^-2*(VLOOKUP($IG$8,各项系数!$D$1:$F$143,3,0))*10^-3*10^2*各项系数!$J$4</f>
        <v>0</v>
      </c>
      <c r="IN198" s="389">
        <f>IM198*(VLOOKUP($IG$8,各项系数!$D$1:$F$143,2,0))</f>
        <v>0</v>
      </c>
      <c r="IO198" s="406">
        <f>各项系数!$F$76/4*($MZ198^2-$MX198^2)*10^-2*(VLOOKUP(L198,各项系数!$D$1:$F$143,3,0))*10^-3*10^2*$ES198*各项系数!$J$4</f>
        <v>0.269317763288625</v>
      </c>
      <c r="IP198" s="389">
        <v>1</v>
      </c>
      <c r="IQ198" s="390">
        <f t="shared" si="916"/>
        <v>0.269317763288625</v>
      </c>
      <c r="IR198" s="367">
        <f>IQ198*(VLOOKUP(L198,各项系数!$D$1:$F$143,2,0))</f>
        <v>3.09715427781919</v>
      </c>
      <c r="IS198" s="406">
        <f>IF($L198&lt;&gt;$IS$9,0,各项系数!$F$76/4*($MZ198^2-$MX198^2)*10^-2*各项系数!$F$12*10^-3*10^2)*$ES198*各项系数!$J$4</f>
        <v>0</v>
      </c>
      <c r="IT198" s="389">
        <v>1</v>
      </c>
      <c r="IU198" s="390">
        <f t="shared" si="917"/>
        <v>0</v>
      </c>
      <c r="IV198" s="367">
        <f>IU198*各项系数!$E$12</f>
        <v>0</v>
      </c>
      <c r="IW198" s="388">
        <f t="shared" si="918"/>
        <v>0.269317763288625</v>
      </c>
      <c r="IX198" s="388">
        <f t="shared" si="919"/>
        <v>3.09715427781919</v>
      </c>
      <c r="IY198" s="447">
        <f>各项系数!$F$76/4*($NB198^2-$MZ198^2*$EG198-$NA198^2*$EO198)*10^-2</f>
        <v>1.30713184640302</v>
      </c>
      <c r="IZ198" s="366">
        <f t="shared" si="697"/>
        <v>1</v>
      </c>
      <c r="JA198" s="367">
        <f t="shared" si="606"/>
        <v>1.30713184640302</v>
      </c>
      <c r="JB198" s="364">
        <f>IF($DE198&lt;&gt;$JB$9,0,$JA198*各项系数!$F$32*10^-3*10^2)*各项系数!$J$4</f>
        <v>0</v>
      </c>
      <c r="JC198" s="123">
        <v>1</v>
      </c>
      <c r="JD198" s="251">
        <f t="shared" si="920"/>
        <v>0</v>
      </c>
      <c r="JE198" s="339">
        <f>JD198*各项系数!$E$32</f>
        <v>0</v>
      </c>
      <c r="JF198" s="364">
        <f>IF($DE198&lt;&gt;$JF$9,0,$JA198*VLOOKUP($JF$9,各项系数!$D$4:$F$540,2,0)*10^-3*10^2)*各项系数!$J$4</f>
        <v>0.650298093585503</v>
      </c>
      <c r="JG198" s="123">
        <v>1</v>
      </c>
      <c r="JH198" s="251">
        <f t="shared" si="607"/>
        <v>0.650298093585503</v>
      </c>
      <c r="JI198" s="339">
        <f>JH198*VLOOKUP($JF$9,各项系数!$D$4:$F$540,3,0)</f>
        <v>0.780357712302604</v>
      </c>
      <c r="JJ198" s="364">
        <f t="shared" si="921"/>
        <v>0.650298093585503</v>
      </c>
      <c r="JK198" s="251">
        <f t="shared" si="922"/>
        <v>0.780357712302604</v>
      </c>
      <c r="JL198" s="364">
        <f>IF($DF198&lt;&gt;$JL$9,0,各项系数!$F$76/4*($NE198^2-$NC198^2)*10^-2*各项系数!$F$39*10^-3*10^2)*各项系数!$J$4</f>
        <v>0.00294708174324736</v>
      </c>
      <c r="JM198" s="123">
        <v>1</v>
      </c>
      <c r="JN198" s="251">
        <f t="shared" si="923"/>
        <v>0.00294708174324736</v>
      </c>
      <c r="JO198" s="339">
        <f>JN198*各项系数!$E$39</f>
        <v>0.0589416348649473</v>
      </c>
      <c r="JP198" s="364">
        <f>IF($DF198&lt;&gt;$JP$9,0,各项系数!$F$76/4*($NE198^2-$NC198^2)*10^-2*各项系数!$F$36*10^-3*10^2)*各项系数!$J$4</f>
        <v>0</v>
      </c>
      <c r="JQ198" s="123">
        <v>1</v>
      </c>
      <c r="JR198" s="251">
        <f t="shared" si="924"/>
        <v>0</v>
      </c>
      <c r="JS198" s="339">
        <f>JR198*各项系数!$E$36</f>
        <v>0</v>
      </c>
      <c r="JT198" s="364">
        <f>IF($DF198&lt;&gt;$JT$9,0,各项系数!$F$76/4*($NE198^2-$NC198^2)*10^-2*各项系数!$F$40*10^-3*10^2)*各项系数!$J$4</f>
        <v>0</v>
      </c>
      <c r="JU198" s="123">
        <v>1</v>
      </c>
      <c r="JV198" s="251">
        <f t="shared" si="925"/>
        <v>0</v>
      </c>
      <c r="JW198" s="339">
        <f>JV198*各项系数!$E$40</f>
        <v>0</v>
      </c>
      <c r="JX198" s="364">
        <f>IF($DF198&lt;&gt;$JX$9,0,各项系数!$F$76/4*($NE198^2-$NC198^2)*10^-2*各项系数!$F$38*10^-3*10^2)*各项系数!$J$4</f>
        <v>0</v>
      </c>
      <c r="JY198" s="123">
        <v>1</v>
      </c>
      <c r="JZ198" s="251">
        <f t="shared" si="926"/>
        <v>0</v>
      </c>
      <c r="KA198" s="339">
        <f>JZ198*各项系数!$E$38</f>
        <v>0</v>
      </c>
      <c r="KB198" s="364">
        <f>IF($DF198&lt;&gt;$KB$9,0,各项系数!$F$76/4*($NE198^2-$NC198^2)*10^-2*各项系数!$F$41*10^-3*10^2)*各项系数!$J$4</f>
        <v>0</v>
      </c>
      <c r="KC198" s="123">
        <v>1</v>
      </c>
      <c r="KD198" s="251">
        <f t="shared" si="927"/>
        <v>0</v>
      </c>
      <c r="KE198" s="339">
        <f>KD198*各项系数!$E$41</f>
        <v>0</v>
      </c>
      <c r="KF198" s="251">
        <f t="shared" si="928"/>
        <v>0.00294708174324736</v>
      </c>
      <c r="KG198" s="251">
        <f t="shared" si="929"/>
        <v>0.0589416348649473</v>
      </c>
      <c r="KH198" s="302">
        <f>各项系数!$F$76/4*($NG198^2-$NE198^2)*10^-2*各项系数!$F$44*10^-3*10^2*各项系数!$J$4*0.75*$U198</f>
        <v>1.18398892769842</v>
      </c>
      <c r="KI198" s="123">
        <v>1</v>
      </c>
      <c r="KJ198" s="251">
        <f t="shared" si="930"/>
        <v>1.18398892769842</v>
      </c>
      <c r="KK198" s="251">
        <f>ROUND(KJ198*各项系数!$E$43,GT198)</f>
        <v>7</v>
      </c>
      <c r="KL198" s="302">
        <f>各项系数!$F$76/4*($NF198^2-$NE198^2)*10^-2*各项系数!$F$46*10^-3*10^2*各项系数!$J$4*PI()/4*R198</f>
        <v>0.0368608488081736</v>
      </c>
      <c r="KM198" s="123">
        <v>1</v>
      </c>
      <c r="KN198" s="251">
        <f t="shared" si="931"/>
        <v>0.0368608488081736</v>
      </c>
      <c r="KO198" s="251">
        <f>KN198*各项系数!$E$46</f>
        <v>2.48810729455172</v>
      </c>
      <c r="KP198" s="302">
        <f>各项系数!$F$76/4*($NH198^2-$NE198^2)*10^-2*(VLOOKUP($KP$9,各项系数!$D$1:$F$143,3,0))*10^-3*10^2*各项系数!$J$4</f>
        <v>0.256621746171026</v>
      </c>
      <c r="KQ198" s="123">
        <v>1</v>
      </c>
      <c r="KR198" s="251">
        <f t="shared" si="657"/>
        <v>0.256621746171026</v>
      </c>
      <c r="KS198" s="251">
        <f>KR198*(VLOOKUP($KP$9,各项系数!$D$1:$F$143,2,0))</f>
        <v>4.36256968490744</v>
      </c>
      <c r="KT198" s="302">
        <f>各项系数!$F$76/4*($NI198^2-$NF198^2)*10^-2*(VLOOKUP($KT$9,各项系数!$D$1:$F$143,3,0))*10^-3*10^2*各项系数!$J$4</f>
        <v>0.258072156667335</v>
      </c>
      <c r="KU198" s="123">
        <v>1</v>
      </c>
      <c r="KV198" s="251">
        <f t="shared" si="658"/>
        <v>0.258072156667335</v>
      </c>
      <c r="KW198" s="251">
        <f>KV198*(VLOOKUP($KT$9,各项系数!$D$1:$F$143,2,0))</f>
        <v>4.3872266633447</v>
      </c>
      <c r="KX198" s="251">
        <f>各项系数!$F$76/4*($NH198^2-$NE198^2)*10^-2*(VLOOKUP($KX$9,各项系数!$D$1:$F$143,3,0))*10^-3*10^2*各项系数!$J$4</f>
        <v>0.256621746171026</v>
      </c>
      <c r="KY198" s="479">
        <v>1</v>
      </c>
      <c r="KZ198" s="251">
        <f t="shared" si="659"/>
        <v>0.256621746171026</v>
      </c>
      <c r="LA198" s="251">
        <f>KZ198*(VLOOKUP($KX$9,各项系数!$D$1:$F$143,2,0))</f>
        <v>4.36256968490744</v>
      </c>
      <c r="LB198" s="251">
        <f>各项系数!$F$76/4*($NI198^2-$NF198^2)*10^-2*(VLOOKUP($LB$9,各项系数!$D$1:$F$143,3,0))*10^-3*10^2*各项系数!$J$4</f>
        <v>0.258072156667335</v>
      </c>
      <c r="LC198" s="479">
        <v>1</v>
      </c>
      <c r="LD198" s="251">
        <f t="shared" si="660"/>
        <v>0.258072156667335</v>
      </c>
      <c r="LE198" s="251">
        <f>LD198*(VLOOKUP($LB$9,各项系数!$D$1:$F$143,2,0))</f>
        <v>4.3872266633447</v>
      </c>
      <c r="LF198" s="302">
        <f>各项系数!$F$76/4*($NH198^2-$NE198^2)*10^-2*(VLOOKUP(AN198,各项系数!$D$1:$F$143,3,0))*10^-3*10^2*各项系数!$J$4</f>
        <v>0.26016135646304</v>
      </c>
      <c r="LG198" s="123">
        <v>1</v>
      </c>
      <c r="LH198" s="251">
        <f t="shared" si="932"/>
        <v>0.26016135646304</v>
      </c>
      <c r="LI198" s="251">
        <f>LH198*(VLOOKUP(AN198,各项系数!$D$1:$F$143,2,0))</f>
        <v>2.6016135646304</v>
      </c>
      <c r="LJ198" s="302">
        <f>各项系数!$F$76/4*($NI198^2-$NF198^2)*10^-2*(VLOOKUP(AN198,各项系数!$D$1:$F$143,3,0))*10^-3*10^2*各项系数!$J$4</f>
        <v>0.261631772621368</v>
      </c>
      <c r="LK198" s="123">
        <v>1</v>
      </c>
      <c r="LL198" s="251">
        <f t="shared" si="933"/>
        <v>0.261631772621368</v>
      </c>
      <c r="LM198" s="251">
        <f>LL198*(VLOOKUP(AN198,各项系数!$D$1:$F$143,2,0))</f>
        <v>2.61631772621368</v>
      </c>
      <c r="LN198" s="251">
        <f>各项系数!$F$76/4*($NH198^2-$NE198^2)*10^-2*(VLOOKUP($LN$9,各项系数!$D$1:$F$143,3,0))*10^-3*10^2*各项系数!$J$4</f>
        <v>0.26016135646304</v>
      </c>
      <c r="LO198" s="479">
        <v>1</v>
      </c>
      <c r="LP198" s="251">
        <f t="shared" si="934"/>
        <v>0.26016135646304</v>
      </c>
      <c r="LQ198" s="251">
        <f>LP198*(VLOOKUP($LN$9,各项系数!$D$1:$F$143,2,0))</f>
        <v>2.86177492109344</v>
      </c>
      <c r="LR198" s="251">
        <f>各项系数!$F$76/4*($NI198^2-$NF198^2)*10^-2*(VLOOKUP($LR$9,各项系数!$D$1:$F$143,3,0))*10^-3*10^2*各项系数!$J$4</f>
        <v>0.261631772621368</v>
      </c>
      <c r="LS198" s="479">
        <v>1</v>
      </c>
      <c r="LT198" s="251">
        <f t="shared" si="935"/>
        <v>0.261631772621368</v>
      </c>
      <c r="LU198" s="251">
        <f>LT198*(VLOOKUP($LR$9,各项系数!$D$1:$F$143,2,0))</f>
        <v>2.87794949883504</v>
      </c>
      <c r="LV198" s="499">
        <f t="shared" si="661"/>
        <v>86.38306415</v>
      </c>
      <c r="LW198" s="499">
        <f t="shared" si="662"/>
        <v>86.38306415</v>
      </c>
      <c r="LX198" s="499">
        <f t="shared" si="663"/>
        <v>10.4874369257304</v>
      </c>
      <c r="LY198" s="515">
        <f t="shared" si="664"/>
        <v>0</v>
      </c>
      <c r="LZ198" s="516">
        <f t="shared" si="608"/>
        <v>1</v>
      </c>
      <c r="MA198" s="517">
        <f t="shared" si="609"/>
        <v>86.38306415</v>
      </c>
      <c r="MB198" s="517">
        <f t="shared" si="665"/>
        <v>1.72412401</v>
      </c>
      <c r="MC198" s="499">
        <f t="shared" si="666"/>
        <v>0</v>
      </c>
      <c r="MD198" s="499">
        <f t="shared" si="667"/>
        <v>0</v>
      </c>
      <c r="ME198" s="499">
        <f t="shared" si="668"/>
        <v>0</v>
      </c>
      <c r="MF198" s="499">
        <f t="shared" si="669"/>
        <v>0</v>
      </c>
      <c r="MG198" s="516">
        <f t="shared" si="670"/>
        <v>1</v>
      </c>
      <c r="MH198" s="517">
        <f t="shared" si="610"/>
        <v>0</v>
      </c>
      <c r="MI198" s="517">
        <f t="shared" si="671"/>
        <v>0</v>
      </c>
      <c r="MJ198" s="251">
        <f t="shared" si="611"/>
        <v>1.72412401</v>
      </c>
      <c r="MK198" s="251">
        <f t="shared" si="672"/>
        <v>1.72412401</v>
      </c>
      <c r="ML198" s="251">
        <f t="shared" si="936"/>
        <v>0</v>
      </c>
      <c r="MM198" s="251">
        <f t="shared" si="612"/>
        <v>0</v>
      </c>
      <c r="MN198" s="251">
        <f t="shared" si="613"/>
        <v>3.12412401</v>
      </c>
      <c r="MO198" s="251">
        <f t="shared" si="673"/>
        <v>0</v>
      </c>
      <c r="MP198" s="251">
        <f t="shared" si="674"/>
        <v>21.86886807</v>
      </c>
      <c r="MQ198" s="251">
        <f t="shared" si="937"/>
        <v>21.86886807</v>
      </c>
      <c r="MR198" s="314">
        <f t="shared" si="675"/>
        <v>21.86886807</v>
      </c>
      <c r="MS198" s="530">
        <f t="shared" si="614"/>
        <v>22.04486807</v>
      </c>
      <c r="MT198" s="530">
        <f t="shared" si="615"/>
        <v>22.20486807</v>
      </c>
      <c r="MU198" s="530">
        <f t="shared" si="616"/>
        <v>23.24486807</v>
      </c>
      <c r="MV198" s="530">
        <f t="shared" si="617"/>
        <v>26.04486807</v>
      </c>
      <c r="MW198" s="530">
        <f t="shared" si="618"/>
        <v>26.20486807</v>
      </c>
      <c r="MX198" s="326">
        <f t="shared" si="619"/>
        <v>2.32412401</v>
      </c>
      <c r="MY198" s="326">
        <f t="shared" si="620"/>
        <v>0</v>
      </c>
      <c r="MZ198" s="251">
        <f t="shared" si="621"/>
        <v>3.72412401</v>
      </c>
      <c r="NA198" s="251">
        <f t="shared" si="622"/>
        <v>0</v>
      </c>
      <c r="NB198" s="251">
        <f t="shared" si="676"/>
        <v>26.06886807</v>
      </c>
      <c r="NC198" s="326">
        <f t="shared" si="938"/>
        <v>26.06886807</v>
      </c>
      <c r="ND198" s="314">
        <f t="shared" si="677"/>
        <v>26.06886807</v>
      </c>
      <c r="NE198" s="537">
        <f t="shared" si="678"/>
        <v>26.30886807</v>
      </c>
      <c r="NF198" s="530">
        <f t="shared" si="623"/>
        <v>26.46886807</v>
      </c>
      <c r="NG198" s="538">
        <f t="shared" si="624"/>
        <v>27.50886807</v>
      </c>
      <c r="NH198" s="326">
        <f t="shared" si="625"/>
        <v>30.30886807</v>
      </c>
      <c r="NI198" s="530">
        <f t="shared" si="626"/>
        <v>30.46886807</v>
      </c>
      <c r="NK198" s="539">
        <f t="shared" si="627"/>
        <v>1.31677659816127</v>
      </c>
      <c r="NL198" s="539">
        <f t="shared" si="628"/>
        <v>55.1479696807528</v>
      </c>
      <c r="NM198" s="539">
        <f t="shared" si="629"/>
        <v>1.31677659816127</v>
      </c>
      <c r="NN198" s="539">
        <f t="shared" si="630"/>
        <v>55.3689444465964</v>
      </c>
      <c r="NO198" s="539">
        <f t="shared" si="631"/>
        <v>2.05217752350178</v>
      </c>
      <c r="NP198" s="539">
        <f t="shared" si="632"/>
        <v>59.2206791749723</v>
      </c>
      <c r="NQ198" s="539">
        <f t="shared" si="633"/>
        <v>2.05217752350178</v>
      </c>
      <c r="NR198" s="539">
        <f t="shared" si="634"/>
        <v>59.4808405314354</v>
      </c>
      <c r="NS198" s="539">
        <f t="shared" si="635"/>
        <v>1.34768134991742</v>
      </c>
      <c r="NT198" s="539">
        <f t="shared" si="636"/>
        <v>1.34768134991742</v>
      </c>
      <c r="NU198" s="539">
        <f t="shared" si="637"/>
        <v>2.08903837230996</v>
      </c>
      <c r="NV198" s="539">
        <f t="shared" si="638"/>
        <v>2.08903837230996</v>
      </c>
      <c r="NW198">
        <f t="shared" si="639"/>
        <v>1.6489009743375</v>
      </c>
      <c r="NX198">
        <f>各项系数!$M$9*NK198</f>
        <v>0.395032979448382</v>
      </c>
      <c r="NY198">
        <f t="shared" si="640"/>
        <v>1.34768134991742</v>
      </c>
    </row>
    <row r="199" customHeight="1" spans="1:389">
      <c r="A199" s="85"/>
      <c r="B199" s="86"/>
      <c r="C199" s="218"/>
      <c r="D199" s="123" t="s">
        <v>171</v>
      </c>
      <c r="E199" s="70">
        <f t="shared" si="885"/>
        <v>10.33071508</v>
      </c>
      <c r="F199" s="225">
        <f>$F$18</f>
        <v>218.588414706449</v>
      </c>
      <c r="G199" s="23"/>
      <c r="H199" s="23"/>
      <c r="I199" s="174">
        <v>0</v>
      </c>
      <c r="J199" s="23"/>
      <c r="K199" s="23"/>
      <c r="L199" s="118" t="s">
        <v>469</v>
      </c>
      <c r="M199" s="124">
        <f t="shared" si="582"/>
        <v>0.7</v>
      </c>
      <c r="N199" s="124">
        <f t="shared" si="804"/>
        <v>0</v>
      </c>
      <c r="O199" s="69">
        <f t="shared" si="939"/>
        <v>0.08</v>
      </c>
      <c r="P199" s="120">
        <v>0.1</v>
      </c>
      <c r="Q199" s="162">
        <f t="shared" si="882"/>
        <v>0.1</v>
      </c>
      <c r="R199" s="560">
        <v>0.8</v>
      </c>
      <c r="S199" s="171" t="str">
        <f>各项系数!$D$43</f>
        <v>钢带</v>
      </c>
      <c r="T199" s="123">
        <v>0.2</v>
      </c>
      <c r="U199" s="78">
        <v>4</v>
      </c>
      <c r="V199" s="172"/>
      <c r="W199" s="561">
        <v>1.5</v>
      </c>
      <c r="X199" s="164">
        <f t="shared" si="883"/>
        <v>0.2</v>
      </c>
      <c r="Y199" s="219"/>
      <c r="Z199" s="220"/>
      <c r="AA199" s="217">
        <v>1</v>
      </c>
      <c r="AB199" s="186">
        <f>PI()*EJ199*EJ199/4*EH199*(1-H199)*AA199*各项系数!$F$5*各项系数!$J$4*10^-7</f>
        <v>0.0331947195563496</v>
      </c>
      <c r="AC199" s="186">
        <f t="shared" si="886"/>
        <v>218.588414706449</v>
      </c>
      <c r="AD199" s="186">
        <f t="shared" si="584"/>
        <v>3.75270272129484</v>
      </c>
      <c r="AE199" s="186">
        <f>POWER(4*EU199/PI()/EG199/10^-7/EH199/(1-H199)/各项系数!$F$5/各项系数!$J$4,0.5)</f>
        <v>218.588414706449</v>
      </c>
      <c r="AF199" s="218">
        <v>1</v>
      </c>
      <c r="AG199" s="85">
        <f>IF(EM199=0,0,PI()*ER199*ER199/4*EP199*(1-K199)*(1+AF199)*各项系数!$F$5*各项系数!$J$4*10^-7)</f>
        <v>0</v>
      </c>
      <c r="AH199" s="85">
        <f t="shared" si="887"/>
        <v>0</v>
      </c>
      <c r="AI199" s="85">
        <f t="shared" si="641"/>
        <v>0</v>
      </c>
      <c r="AJ199" s="85">
        <f>IF(OR(EP199="",EP199=0),0,POWER(4*EW199/PI()/EO199/10^-7/EP199/(1-K199)/各项系数!$F$5/各项系数!$J$4,0.5))</f>
        <v>0</v>
      </c>
      <c r="AK199" s="85" t="str">
        <f t="shared" si="585"/>
        <v>√</v>
      </c>
      <c r="AL199" s="85">
        <f t="shared" si="888"/>
        <v>5.33165829837705</v>
      </c>
      <c r="AM199" s="250">
        <f t="shared" si="889"/>
        <v>4</v>
      </c>
      <c r="AN199" s="118" t="s">
        <v>486</v>
      </c>
      <c r="AO199" s="259">
        <f>AP199+各项系数!$M$9*$NK199</f>
        <v>5.22711597880103</v>
      </c>
      <c r="AP199" s="259">
        <f>AQ199*(1+$BI199+(VLOOKUP($AM199,$A$12:$B$323,2,0))+各项系数!$J$6+各项系数!$M$5)*(1+$E$2)</f>
        <v>5.18387479899729</v>
      </c>
      <c r="AQ199" s="260">
        <f>AR199+各项系数!$L$9*$NK199</f>
        <v>5.28966816224213</v>
      </c>
      <c r="AR199" s="260">
        <f>AS199*(1+$BJ199+各项系数!$J$5+各项系数!$L$5)</f>
        <v>5.24642698243839</v>
      </c>
      <c r="AS199" s="260">
        <f t="shared" si="642"/>
        <v>5.14355586513568</v>
      </c>
      <c r="AT199" s="259">
        <f>AU199+各项系数!$M$9*$NM199</f>
        <v>5.63893785544951</v>
      </c>
      <c r="AU199" s="259">
        <f>AV199*(1+$BI199+(VLOOKUP($AM199,$A$12:$B$323,2,0))+各项系数!$J$6+各项系数!$M$5)*(1+$E$2)</f>
        <v>5.59569667564577</v>
      </c>
      <c r="AV199" s="260">
        <f>AW199+各项系数!$L$9*$NM199</f>
        <v>5.70989456698548</v>
      </c>
      <c r="AW199" s="260">
        <f>AX199*(1+$BJ199+各项系数!$J$5+各项系数!$L$5)</f>
        <v>5.66665338718174</v>
      </c>
      <c r="AX199" s="260">
        <f t="shared" si="643"/>
        <v>5.55554253645269</v>
      </c>
      <c r="AY199" s="259">
        <f>AZ199+各项系数!$M$9*$NS199</f>
        <v>5.94273750986509</v>
      </c>
      <c r="AZ199" s="259">
        <f>BA199*(1+$BI199+(VLOOKUP($AM199,$A$12:$B$214,2,0))+各项系数!$J$6+各项系数!$M$5)*(1+$E$2)</f>
        <v>5.89639087005374</v>
      </c>
      <c r="BA199" s="260">
        <f>BB199+各项系数!$L$9*$NS199</f>
        <v>6.01672537760586</v>
      </c>
      <c r="BB199" s="260">
        <f>BC199*(1+$BJ199+各项系数!$J$5+各项系数!$L$5)</f>
        <v>5.97037873779451</v>
      </c>
      <c r="BC199" s="262">
        <f t="shared" si="644"/>
        <v>5.85331248803384</v>
      </c>
      <c r="BD199" s="259">
        <f>BE199+各项系数!$M$9*$NS199</f>
        <v>6.362021013309</v>
      </c>
      <c r="BE199" s="259">
        <f>BF199*(1+$BI199+(VLOOKUP($AM199,$A$12:$B$214,2,0))+各项系数!$J$6+各项系数!$M$5)*(1+$E$2)</f>
        <v>6.31567437349765</v>
      </c>
      <c r="BF199" s="260">
        <f>BG199+各项系数!$L$9*$NS199</f>
        <v>6.4445656872425</v>
      </c>
      <c r="BG199" s="260">
        <f>BH199*(1+$BJ199+各项系数!$J$5+各项系数!$L$5)</f>
        <v>6.39821904743116</v>
      </c>
      <c r="BH199" s="262">
        <f t="shared" si="645"/>
        <v>6.27276377199133</v>
      </c>
      <c r="BI199" s="277"/>
      <c r="BJ199" s="565">
        <v>0</v>
      </c>
      <c r="BK199" s="123" t="s">
        <v>514</v>
      </c>
      <c r="BL199" s="259">
        <f>BM199+各项系数!$M$9*$NM199</f>
        <v>5.33896134272763</v>
      </c>
      <c r="BM199" s="259">
        <f>BN199*(1+$CF199+(VLOOKUP($AM199,$A$12:$B$323,2,0))+各项系数!$J$6+各项系数!$M$5)*(1+$E$2)</f>
        <v>5.29572016292389</v>
      </c>
      <c r="BN199" s="260">
        <f>BO199+各项系数!$L$9*$NM199</f>
        <v>5.40379608461621</v>
      </c>
      <c r="BO199" s="260">
        <f>BP199*(1+$CG199+各项系数!$J$5+各项系数!$L$5)</f>
        <v>5.36055490481247</v>
      </c>
      <c r="BP199" s="260">
        <f t="shared" si="646"/>
        <v>5.20442223768201</v>
      </c>
      <c r="BQ199" s="259">
        <f>BR199+各项系数!$M$9*$NM199</f>
        <v>5.69338217230675</v>
      </c>
      <c r="BR199" s="259">
        <f>BS199*(1+$CF199+(VLOOKUP($AM199,$A$12:$B$323,2,0))+各项系数!$J$6+各项系数!$M$5)*(1+$E$2)</f>
        <v>5.65014099250301</v>
      </c>
      <c r="BS199" s="260">
        <f>BT199+各项系数!$L$9*$NM199</f>
        <v>5.76544999235001</v>
      </c>
      <c r="BT199" s="260">
        <f>BU199*(1+$CG199+各项系数!$J$5+各项系数!$L$5)</f>
        <v>5.72220881254627</v>
      </c>
      <c r="BU199" s="260">
        <f t="shared" si="647"/>
        <v>5.55554253645269</v>
      </c>
      <c r="BV199" s="259">
        <f>BW199+各项系数!$M$9*$NT199</f>
        <v>6.0253300953255</v>
      </c>
      <c r="BW199" s="259">
        <f>BX199*(1+$CF199+(VLOOKUP($AM199,$A$12:$B$214,2,0))+各项系数!$J$6+各项系数!$M$5)*(1+$E$2)</f>
        <v>5.97898345551416</v>
      </c>
      <c r="BX199" s="260">
        <f>BY199+各项系数!$L$9*$NT$12</f>
        <v>6.10100352603486</v>
      </c>
      <c r="BY199" s="260">
        <f>BZ199*(1+$CG199+各项系数!$J$5+各项系数!$L$5)</f>
        <v>6.09274012287988</v>
      </c>
      <c r="BZ199" s="262">
        <f t="shared" si="586"/>
        <v>5.91528167269892</v>
      </c>
      <c r="CA199" s="259">
        <f>CB199+各项系数!$M$9*$NT199</f>
        <v>6.38617252635127</v>
      </c>
      <c r="CB199" s="259">
        <f>CC199*(1+$CF199+(VLOOKUP($AM199,$A$12:$B$214,2,0))+各项系数!$J$6+各项系数!$M$5)*(1+$E$2)</f>
        <v>6.33982588653993</v>
      </c>
      <c r="CC199" s="260">
        <f>CD199+各项系数!$L$9*$NT$12</f>
        <v>6.46921008830605</v>
      </c>
      <c r="CD199" s="260">
        <f>CE199*(1+$CG199+各项系数!$J$5+各项系数!$L$5)</f>
        <v>6.46094668515107</v>
      </c>
      <c r="CE199" s="262">
        <f t="shared" si="648"/>
        <v>6.27276377199133</v>
      </c>
      <c r="CF199" s="277">
        <f t="shared" si="884"/>
        <v>0</v>
      </c>
      <c r="CG199" s="277">
        <f t="shared" si="587"/>
        <v>0.01</v>
      </c>
      <c r="CH199" s="123"/>
      <c r="CI199" s="259">
        <f>CJ199+各项系数!$M$9*$NO199</f>
        <v>5.57816182448283</v>
      </c>
      <c r="CJ199" s="259">
        <f>CK199*(1+$DC199+(VLOOKUP($AM199,$A$12:$B$323,2,0))+各项系数!$J$6+各项系数!$M$5)*(1+$E$2)+各项系数!$M$9*$NK199</f>
        <v>5.52792859917858</v>
      </c>
      <c r="CK199" s="260">
        <f>CL199+各项系数!$L$9*$NO199</f>
        <v>5.59661981568861</v>
      </c>
      <c r="CL199" s="260">
        <f>CM199*(1+$DD199+各项系数!$J$5+各项系数!$L$5)</f>
        <v>5.54638659038436</v>
      </c>
      <c r="CM199" s="260">
        <f t="shared" si="588"/>
        <v>5.43763391214153</v>
      </c>
      <c r="CN199" s="259">
        <f>CO199+各项系数!$M$9*$NO199</f>
        <v>5.90309298670048</v>
      </c>
      <c r="CO199" s="259">
        <f>CP199*(1+$DC199+(VLOOKUP($AM199,$A$12:$B$323,2,0))+各项系数!$J$6+各项系数!$M$5)*(1+$E$2)+各项系数!$M$9*$NK199</f>
        <v>5.85285976139623</v>
      </c>
      <c r="CP199" s="260">
        <f>CQ199+各项系数!$L$9*$NO199</f>
        <v>5.92818222611479</v>
      </c>
      <c r="CQ199" s="260">
        <f>CR199*(1+$DD199+各项系数!$J$5+各项系数!$L$5)</f>
        <v>5.87794900081054</v>
      </c>
      <c r="CR199" s="260">
        <f t="shared" si="589"/>
        <v>5.76269509883386</v>
      </c>
      <c r="CS199" s="259">
        <f>CT199+各项系数!$M$9*$NU199</f>
        <v>6.37044978747651</v>
      </c>
      <c r="CT199" s="259">
        <f t="shared" si="590"/>
        <v>6.31658261870689</v>
      </c>
      <c r="CU199" s="260">
        <f>CV199+各项系数!$L$9*$NU199</f>
        <v>6.44549246806826</v>
      </c>
      <c r="CV199" s="260">
        <f>CW199*(1+$DD199+各项系数!$J$5+各项系数!$L$5)</f>
        <v>6.39162529929863</v>
      </c>
      <c r="CW199" s="262">
        <f t="shared" si="591"/>
        <v>6.26629931303787</v>
      </c>
      <c r="CX199" s="259">
        <f>CY199+各项系数!$M$9*$NU199</f>
        <v>6.84854707381748</v>
      </c>
      <c r="CY199" s="259">
        <f t="shared" si="592"/>
        <v>6.79467990504785</v>
      </c>
      <c r="CZ199" s="260">
        <f>DA199+各项系数!$L$9*$NU199</f>
        <v>6.93334684188557</v>
      </c>
      <c r="DA199" s="260">
        <f>DB199*(1+$DD199+各项系数!$J$5+各项系数!$L$5)</f>
        <v>6.87947967311594</v>
      </c>
      <c r="DB199" s="262">
        <f t="shared" si="593"/>
        <v>6.74458791481955</v>
      </c>
      <c r="DC199" s="277">
        <f t="shared" si="827"/>
        <v>0</v>
      </c>
      <c r="DD199" s="277">
        <f t="shared" si="594"/>
        <v>0</v>
      </c>
      <c r="DE199" s="69" t="s">
        <v>498</v>
      </c>
      <c r="DF199" s="69" t="s">
        <v>513</v>
      </c>
      <c r="DG199" s="259">
        <f>DH199+各项系数!$M$9*$NQ199</f>
        <v>5.70166341168809</v>
      </c>
      <c r="DH199" s="259">
        <f>DI199*(1+$EA199+(VLOOKUP($AM199,$A$12:$B$323,2,0))+各项系数!$J$6+各项系数!$M$5)*(1+$E$2)+各项系数!$M$9*$NK199</f>
        <v>5.65143018638384</v>
      </c>
      <c r="DI199" s="260">
        <f>DJ199+各项系数!$L$9*$NQ199</f>
        <v>5.72264184344909</v>
      </c>
      <c r="DJ199" s="260">
        <f>DK199*(1+$EB199+各项系数!$J$5+各项系数!$L$5)</f>
        <v>5.67240861814484</v>
      </c>
      <c r="DK199" s="260">
        <f t="shared" si="595"/>
        <v>5.50719283315033</v>
      </c>
      <c r="DL199" s="259">
        <f>DM199+各项系数!$M$9*$NQ199</f>
        <v>6.10670037146093</v>
      </c>
      <c r="DM199" s="259">
        <f>DN199*(1+$EA199+(VLOOKUP($AM199,$A$12:$B$323,2,0))+各项系数!$J$6+各项系数!$M$5)*(1+$E$2)+各项系数!$M$9*$NK199</f>
        <v>6.05646714615668</v>
      </c>
      <c r="DN199" s="260">
        <f>DO199+各项系数!$L$9*$NQ199</f>
        <v>6.13594486362545</v>
      </c>
      <c r="DO199" s="260">
        <f>DP199*(1+$EB199+各项系数!$J$5+各项系数!$L$5)</f>
        <v>6.0857116383212</v>
      </c>
      <c r="DP199" s="260">
        <f t="shared" si="596"/>
        <v>5.90845790128272</v>
      </c>
      <c r="DQ199" s="259">
        <f>DR199+各项系数!$M$9*$NV199</f>
        <v>6.50318547416323</v>
      </c>
      <c r="DR199" s="259">
        <f t="shared" si="597"/>
        <v>6.4493183053936</v>
      </c>
      <c r="DS199" s="260">
        <f>DT199+各项系数!$L$9*$NV199</f>
        <v>6.58093704632</v>
      </c>
      <c r="DT199" s="260">
        <f>DU199*(1+$EB199+各项系数!$J$5+各项系数!$L$5)</f>
        <v>6.52706987755038</v>
      </c>
      <c r="DU199" s="262">
        <f t="shared" si="598"/>
        <v>6.33696104616542</v>
      </c>
      <c r="DV199" s="259">
        <f>DW199+各项系数!$M$9*$NV199</f>
        <v>6.71985353882925</v>
      </c>
      <c r="DW199" s="259">
        <f t="shared" si="599"/>
        <v>6.66598637005963</v>
      </c>
      <c r="DX199" s="260">
        <f>DY199+各项系数!$L$9*$NV199</f>
        <v>6.80202690822411</v>
      </c>
      <c r="DY199" s="260">
        <f>DZ199*(1+$EB199+各项系数!$J$5+各项系数!$L$5)</f>
        <v>6.74815973945449</v>
      </c>
      <c r="DZ199" s="262">
        <f t="shared" si="600"/>
        <v>6.55161139752863</v>
      </c>
      <c r="EA199" s="277">
        <f t="shared" si="826"/>
        <v>0</v>
      </c>
      <c r="EB199" s="277">
        <f t="shared" si="601"/>
        <v>0.01</v>
      </c>
      <c r="EC199" s="302">
        <f t="shared" si="649"/>
        <v>2</v>
      </c>
      <c r="ED199" s="302" t="str">
        <f t="shared" si="890"/>
        <v>2*4</v>
      </c>
      <c r="EE199" s="251">
        <f t="shared" si="891"/>
        <v>4</v>
      </c>
      <c r="EF199" s="251">
        <f>LOOKUP(EH199,{1,7,10,14,19,24,30,37,48,61},{1,"1+6","2+8","4+10","1+6+12","2+8+14","4+10+16","1+6+12+18","3+9+15+21","1+6+12+18+24"})</f>
        <v>1</v>
      </c>
      <c r="EG199" s="250">
        <f t="shared" si="602"/>
        <v>2</v>
      </c>
      <c r="EH199" s="260">
        <f>VLOOKUP(EE199,各项系数!$B$87:$C$124,2,0)</f>
        <v>1</v>
      </c>
      <c r="EI199" s="250">
        <f>IF(EH199=0,0,VLOOKUP(EH199,各项系数!$D$142:$E$195,2,0))*1</f>
        <v>1</v>
      </c>
      <c r="EJ199" s="305">
        <f t="shared" si="650"/>
        <v>218.588414706449</v>
      </c>
      <c r="EK199" s="251">
        <f t="shared" si="892"/>
        <v>0</v>
      </c>
      <c r="EL199" s="251">
        <f t="shared" si="603"/>
        <v>0</v>
      </c>
      <c r="EM199" s="251">
        <f t="shared" si="893"/>
        <v>0</v>
      </c>
      <c r="EN199" s="251">
        <f>IF(EP199=0,0,LOOKUP(EP199,{1,7,10,14,19,24,30,37,48,61},{1,"1+6","2+8","4+10","1+6+12","2+8+14","4+10+16","1+6+12+18","3+9+15+21","1+6+12+18+24"}))</f>
        <v>0</v>
      </c>
      <c r="EO199" s="251">
        <f t="shared" si="894"/>
        <v>0</v>
      </c>
      <c r="EP199" s="251">
        <f>IF(EM199=0,0,IF(EM199&lt;10,1,IF(AND(EM199&gt;=10,EM199&lt;=35),7,LOOKUP(EM199,{50,70,95,120,150,185,240,300},{10,14,19,24,30,37,48,61})*1)))</f>
        <v>0</v>
      </c>
      <c r="EQ199" s="251">
        <f>IF(EP199=0,0,VLOOKUP(EP199,各项系数!$D$142:$E$195,2,0))*1</f>
        <v>0</v>
      </c>
      <c r="ER199" s="69">
        <f t="shared" si="895"/>
        <v>0</v>
      </c>
      <c r="ES199" s="566">
        <f t="shared" si="896"/>
        <v>2</v>
      </c>
      <c r="ET199" s="251">
        <f>VLOOKUP(ES199,各项系数!$D$142:$E$195,2,0)*1</f>
        <v>2</v>
      </c>
      <c r="EU199" s="311">
        <f>((各项系数!$F$76/4*$EJ199^2*$EG199*$EH199*1*10^-7)*(1-$H199)*AA199)*(VLOOKUP($EY$9,各项系数!$D$4:$F$143,3,0))*各项系数!$J$4</f>
        <v>0.0663894391126991</v>
      </c>
      <c r="EV199" s="312">
        <f>EU199*(VLOOKUP($EY$9,各项系数!$D$4:$F$143,2,0))</f>
        <v>4.34850826188179</v>
      </c>
      <c r="EW199" s="324">
        <f>(IF($EO199=0,0,(各项系数!$F$76/4*$ER199^2*$EO199*$EP199*1*10^-7))*(1-$K199)*$AF199)*(VLOOKUP($EY$9,各项系数!$D$4:$F$143,3,0))*各项系数!$J$4</f>
        <v>0</v>
      </c>
      <c r="EX199" s="325">
        <f>EW199*(VLOOKUP($EY$9,各项系数!$D$4:$F$143,2,0))</f>
        <v>0</v>
      </c>
      <c r="EY199" s="251">
        <f>((各项系数!$F$76/4*$EJ199^2*$EG199*$EH199*1*10^-7)*(1-$H199)*AA199+IF($EO199=0,0,(各项系数!$F$76/4*$ER199^2*$EO199*$EP199*1*10^-7))*(1-$K199)*$AF199)*(VLOOKUP($EY$9,各项系数!$D$4:$F$143,3,0))*各项系数!$J$4</f>
        <v>0.0663894391126991</v>
      </c>
      <c r="EZ199" s="123">
        <v>1</v>
      </c>
      <c r="FA199" s="251">
        <f t="shared" si="897"/>
        <v>0.0663894391126991</v>
      </c>
      <c r="FB199" s="326">
        <f>FA199*(VLOOKUP($EY$9,各项系数!$D$4:$F$143,2,0))</f>
        <v>4.34850826188179</v>
      </c>
      <c r="FC199" s="327"/>
      <c r="FD199" s="302">
        <f>各项系数!$F$76/4*($MN199^2-MK199^2)*10^-2*(VLOOKUP(L199,各项系数!$D$1:$F$143,3,0))*10^-3*10^2*$EG199*各项系数!$J$4</f>
        <v>0.0138922492670923</v>
      </c>
      <c r="FE199" s="339">
        <f>FD199*VLOOKUP(L199,各项系数!$D$1:$F$143,2,0)</f>
        <v>0.159760866571561</v>
      </c>
      <c r="FF199" s="250">
        <f>各项系数!$F$76/4*($MO199^2-ML199^2)*10^-2*(VLOOKUP(L199,各项系数!$D$1:$F$143,3,0))*10^-3*10^2*$EO199*各项系数!$J$4</f>
        <v>0</v>
      </c>
      <c r="FG199" s="339">
        <f>FF199*VLOOKUP(L199,各项系数!$D$1:$F$143,2,0)</f>
        <v>0</v>
      </c>
      <c r="FH199" s="302">
        <f t="shared" si="651"/>
        <v>0.0138922492670923</v>
      </c>
      <c r="FI199" s="123">
        <v>1</v>
      </c>
      <c r="FJ199" s="251">
        <f t="shared" si="898"/>
        <v>0.0138922492670923</v>
      </c>
      <c r="FK199" s="339">
        <f>FJ199*VLOOKUP(L199,各项系数!$D$1:$F$143,2,0)</f>
        <v>0.159760866571561</v>
      </c>
      <c r="FL199" s="302"/>
      <c r="FM199" s="123"/>
      <c r="FN199" s="251"/>
      <c r="FO199" s="339"/>
      <c r="FP199" s="364">
        <f t="shared" si="899"/>
        <v>0.0138922492670923</v>
      </c>
      <c r="FQ199" s="364">
        <f t="shared" si="900"/>
        <v>0.159760866571561</v>
      </c>
      <c r="FR199" s="365">
        <f>各项系数!$F$76/4*($MQ199^2-$MN199^2*$EG199-$MO199^2*$EO199)*10^-2</f>
        <v>0.201981868854</v>
      </c>
      <c r="FS199" s="366">
        <f t="shared" si="652"/>
        <v>0.05</v>
      </c>
      <c r="FT199" s="367">
        <f t="shared" si="604"/>
        <v>0.0100990934427</v>
      </c>
      <c r="FU199" s="388">
        <f>$FT199*(VLOOKUP($FT$9,各项系数!$D$1:$F$143,3,0))*10^-3*10^2*各项系数!$J$55</f>
        <v>0.00120583175705838</v>
      </c>
      <c r="FV199" s="389">
        <v>1</v>
      </c>
      <c r="FW199" s="390">
        <f t="shared" si="901"/>
        <v>0.00120583175705838</v>
      </c>
      <c r="FX199" s="367">
        <f>FW199*(VLOOKUP($FT$9,各项系数!$D$1:$F$143,2,0))</f>
        <v>0.00361749527117514</v>
      </c>
      <c r="FY199" s="388">
        <f>IF($BK199&lt;&gt;$FY$9,0,各项系数!$F$76/4*($MS199^2-$MQ199^2)*10^-2*(VLOOKUP($FY$9,各项系数!$D$1:$F$143,3,0))*10^-3*10^2)*各项系数!$J$4</f>
        <v>0</v>
      </c>
      <c r="FZ199" s="389">
        <v>1</v>
      </c>
      <c r="GA199" s="390">
        <f t="shared" si="902"/>
        <v>0</v>
      </c>
      <c r="GB199" s="367">
        <f>GA199*(VLOOKUP($FY$9,各项系数!$D$1:$F$143,2,0))</f>
        <v>0</v>
      </c>
      <c r="GC199" s="388">
        <f>IF($BK199&lt;&gt;$GC$9,0,各项系数!$F$76/4*($MS199^2-$MQ199^2)*10^-2*(VLOOKUP($GC$9,各项系数!$D$1:$F$143,3,0))*10^-3*10^2)*各项系数!$J$4</f>
        <v>0.00178337332928955</v>
      </c>
      <c r="GD199" s="389">
        <v>1</v>
      </c>
      <c r="GE199" s="390">
        <f t="shared" si="903"/>
        <v>0.00178337332928955</v>
      </c>
      <c r="GF199" s="367">
        <f>GE199*(VLOOKUP($GC$9,各项系数!$D$1:$F$143,2,0))</f>
        <v>0.0230055159478351</v>
      </c>
      <c r="GG199" s="388">
        <f>IF($BK199&lt;&gt;$GG$9,0,各项系数!$F$76/4*($MS199^2-$MQ199^2)*10^-2*(VLOOKUP($GG$9,各项系数!$D$1:$F$143,3,0))*10^-3*10^2)*各项系数!$J$4</f>
        <v>0</v>
      </c>
      <c r="GH199" s="389">
        <v>1</v>
      </c>
      <c r="GI199" s="390">
        <f t="shared" si="904"/>
        <v>0</v>
      </c>
      <c r="GJ199" s="367">
        <f>GI199*(VLOOKUP($GG$9,各项系数!$D$1:$F$143,2,0))</f>
        <v>0</v>
      </c>
      <c r="GK199" s="388">
        <f>IF($BK199&lt;&gt;$GK$9,0,各项系数!$F$76/4*($MS199^2-$MQ199^2)*10^-2*(VLOOKUP($GK$9,各项系数!$D$1:$F$143,3,0))*10^-3*10^2)*各项系数!$J$4</f>
        <v>0</v>
      </c>
      <c r="GL199" s="389">
        <v>1</v>
      </c>
      <c r="GM199" s="390">
        <f t="shared" si="905"/>
        <v>0</v>
      </c>
      <c r="GN199" s="367">
        <f>GM199*(VLOOKUP($GK$9,各项系数!$D$1:$F$143,2,0))</f>
        <v>0</v>
      </c>
      <c r="GO199" s="390">
        <f t="shared" si="906"/>
        <v>0.00178337332928955</v>
      </c>
      <c r="GP199" s="390">
        <f t="shared" si="907"/>
        <v>0.0230055159478351</v>
      </c>
      <c r="GQ199" s="406">
        <f>各项系数!$F$76/4*($MU199^2-$MS199^2)*10^-2*(VLOOKUP($S199,各项系数!$D$1:$F$143,3,0))*10^-3*10^2*各项系数!$J$4</f>
        <v>0.116317029997005</v>
      </c>
      <c r="GR199" s="389">
        <v>1</v>
      </c>
      <c r="GS199" s="390">
        <f t="shared" si="908"/>
        <v>0.116317029997005</v>
      </c>
      <c r="GT199" s="390">
        <f t="shared" si="909"/>
        <v>1</v>
      </c>
      <c r="GU199" s="390">
        <f>ROUND($GS199*(VLOOKUP($S199,各项系数!$D$1:$F$143,2,0))+$E$3*GS199,GT199)</f>
        <v>0.7</v>
      </c>
      <c r="GV199" s="406">
        <f>各项系数!$F$76/4*($MT199^2-$MS199^2)*10^-2*(VLOOKUP($GV$9,各项系数!$D$1:$F$143,3,0))*10^-3*10^2*各项系数!$J$4*PI()/4*R199</f>
        <v>0.0103515333586771</v>
      </c>
      <c r="GW199" s="389">
        <v>1</v>
      </c>
      <c r="GX199" s="390">
        <f t="shared" si="910"/>
        <v>0.0103515333586771</v>
      </c>
      <c r="GY199" s="390">
        <f>$GX199*(VLOOKUP($GV$9,各项系数!$D$1:$F$143,2,0))</f>
        <v>0.698728501710703</v>
      </c>
      <c r="GZ199" s="406">
        <f>各项系数!$F$76/4*($MV199^2-$MS199^2)*10^-2*(VLOOKUP($GZ$9,各项系数!$D$1:$F$143,3,0))*10^-3*10^2*各项系数!$J$4</f>
        <v>0.0600382586341365</v>
      </c>
      <c r="HA199" s="389">
        <v>1</v>
      </c>
      <c r="HB199" s="390">
        <f t="shared" si="653"/>
        <v>0.0600382586341365</v>
      </c>
      <c r="HC199" s="390">
        <f>HB199*(VLOOKUP($GZ$9,各项系数!$D$1:$F$143,2,0))</f>
        <v>1.02065039678032</v>
      </c>
      <c r="HD199" s="406">
        <f>各项系数!$F$76/4*($MW199^2-$MT199^2)*10^-2*(VLOOKUP($HD$9,各项系数!$D$1:$F$143,3,0))*10^-3*10^2*各项系数!$J$4</f>
        <v>0.0611260665063685</v>
      </c>
      <c r="HE199" s="389">
        <v>1</v>
      </c>
      <c r="HF199" s="390">
        <f t="shared" si="654"/>
        <v>0.0611260665063685</v>
      </c>
      <c r="HG199" s="390">
        <f>HF199*(VLOOKUP($HD$9,各项系数!$D$1:$F$143,2,0))</f>
        <v>1.03914313060827</v>
      </c>
      <c r="HH199" s="406">
        <f>各项系数!$F$76/4*($MV199^2-$MS199^2)*10^-2*(VLOOKUP($HH$9,各项系数!$D$1:$F$143,3,0))*10^-3*10^2*各项系数!$J$4</f>
        <v>0.0600382586341365</v>
      </c>
      <c r="HI199" s="420">
        <v>1</v>
      </c>
      <c r="HJ199" s="390">
        <f t="shared" si="655"/>
        <v>0.0600382586341365</v>
      </c>
      <c r="HK199" s="390">
        <f>HJ199*(VLOOKUP($HH$9,各项系数!$D$1:$F$143,2,0))</f>
        <v>1.02065039678032</v>
      </c>
      <c r="HL199" s="406">
        <f>各项系数!$F$76/4*($MW199^2-$MT199^2)*10^-2*(VLOOKUP($HL$9,各项系数!$D$1:$F$143,3,0))*10^-3*10^2*各项系数!$J$4</f>
        <v>0.0611260665063685</v>
      </c>
      <c r="HM199" s="420">
        <v>1</v>
      </c>
      <c r="HN199" s="390">
        <f t="shared" si="605"/>
        <v>0.0611260665063685</v>
      </c>
      <c r="HO199" s="390">
        <f>HN199*(VLOOKUP($HL$9,各项系数!$D$1:$F$143,2,0))</f>
        <v>1.03914313060827</v>
      </c>
      <c r="HP199" s="406">
        <f>各项系数!$F$76/4*($MV199^2-$MS199^2)*10^-2*(VLOOKUP(AN199,各项系数!$D$1:$F$143,3,0))*10^-3*10^2*各项系数!$J$4</f>
        <v>0.0608663725463315</v>
      </c>
      <c r="HQ199" s="389">
        <v>1</v>
      </c>
      <c r="HR199" s="390">
        <f t="shared" si="911"/>
        <v>0.0608663725463315</v>
      </c>
      <c r="HS199" s="390">
        <f>HR199*(VLOOKUP(AN199,各项系数!$D$1:$F$143,2,0))</f>
        <v>0.608663725463315</v>
      </c>
      <c r="HT199" s="406">
        <f>各项系数!$F$76/4*($MW199^2-$MT199^2)*10^-2*(VLOOKUP(AN199,各项系数!$D$1:$F$143,3,0))*10^-3*10^2*各项系数!$J$4</f>
        <v>0.0619691846650771</v>
      </c>
      <c r="HU199" s="389">
        <v>1</v>
      </c>
      <c r="HV199" s="390">
        <f t="shared" si="912"/>
        <v>0.0619691846650771</v>
      </c>
      <c r="HW199" s="390">
        <f>HV199*(VLOOKUP(AN199,各项系数!$D$1:$F$143,2,0))</f>
        <v>0.619691846650771</v>
      </c>
      <c r="HX199" s="406">
        <f>各项系数!$F$76/4*($MV199^2-$MS199^2)*10^-2*(VLOOKUP($HX$9,各项系数!$D$1:$F$143,3,0))*10^-3*10^2*各项系数!$J$4</f>
        <v>0.0608663725463315</v>
      </c>
      <c r="HY199" s="420">
        <v>1</v>
      </c>
      <c r="HZ199" s="390">
        <f t="shared" si="913"/>
        <v>0.0608663725463315</v>
      </c>
      <c r="IA199" s="390">
        <f>HZ199*(VLOOKUP($HX$9,各项系数!$D$1:$F$143,2,0))</f>
        <v>0.669530098009647</v>
      </c>
      <c r="IB199" s="406">
        <f>各项系数!$F$76/4*($MW199^2-$MT199^2)*10^-2*(VLOOKUP($IB$9,各项系数!$D$1:$F$143,3,0))*10^-3*10^2*各项系数!$J$4</f>
        <v>0.0619691846650771</v>
      </c>
      <c r="IC199" s="420">
        <v>1</v>
      </c>
      <c r="ID199" s="390">
        <f t="shared" si="914"/>
        <v>0.0619691846650771</v>
      </c>
      <c r="IE199" s="390">
        <f>ID199*(VLOOKUP($IB$9,各项系数!$D$1:$F$143,2,0))</f>
        <v>0.681661031315848</v>
      </c>
      <c r="IF199" s="429"/>
      <c r="IG199" s="406">
        <f t="shared" si="656"/>
        <v>0.00699352848575885</v>
      </c>
      <c r="IH199" s="389">
        <v>1</v>
      </c>
      <c r="II199" s="390">
        <f t="shared" si="915"/>
        <v>0.00699352848575885</v>
      </c>
      <c r="IJ199" s="390">
        <f>II199*(VLOOKUP($IG$8,各项系数!$D$1:$F$143,2,0))</f>
        <v>0.174838212143971</v>
      </c>
      <c r="IK199" s="406">
        <f>(各项系数!$F$76/4*($MX199^2-$MK199^2)*$EG199)*10^-2*(VLOOKUP($IG$8,各项系数!$D$1:$F$143,3,0))*10^-3*10^2*各项系数!$J$4</f>
        <v>0.00699352848575885</v>
      </c>
      <c r="IL199" s="389">
        <f>IK199*(VLOOKUP($IG$8,各项系数!$D$1:$F$143,2,0))</f>
        <v>0.174838212143971</v>
      </c>
      <c r="IM199" s="390">
        <f>(各项系数!$F$76/4*(($MM199+3*$X199)^2-MM199^2)*$EO199)*10^-2*(VLOOKUP($IG$8,各项系数!$D$1:$F$143,3,0))*10^-3*10^2*各项系数!$J$4</f>
        <v>0</v>
      </c>
      <c r="IN199" s="389">
        <f>IM199*(VLOOKUP($IG$8,各项系数!$D$1:$F$143,2,0))</f>
        <v>0</v>
      </c>
      <c r="IO199" s="406">
        <f>各项系数!$F$76/4*($MZ199^2-$MX199^2)*10^-2*(VLOOKUP(L199,各项系数!$D$1:$F$143,3,0))*10^-3*10^2*$ES199*各项系数!$J$4</f>
        <v>0.0167805667209497</v>
      </c>
      <c r="IP199" s="389">
        <v>1</v>
      </c>
      <c r="IQ199" s="390">
        <f t="shared" si="916"/>
        <v>0.0167805667209497</v>
      </c>
      <c r="IR199" s="367">
        <f>IQ199*(VLOOKUP(L199,各项系数!$D$1:$F$143,2,0))</f>
        <v>0.192976517290921</v>
      </c>
      <c r="IS199" s="406">
        <f>IF($L199&lt;&gt;$IS$9,0,各项系数!$F$76/4*($MZ199^2-$MX199^2)*10^-2*各项系数!$F$12*10^-3*10^2)*$ES199*各项系数!$J$4</f>
        <v>0</v>
      </c>
      <c r="IT199" s="389">
        <v>1</v>
      </c>
      <c r="IU199" s="390">
        <f t="shared" si="917"/>
        <v>0</v>
      </c>
      <c r="IV199" s="367">
        <f>IU199*各项系数!$E$12</f>
        <v>0</v>
      </c>
      <c r="IW199" s="388">
        <f t="shared" si="918"/>
        <v>0.0167805667209497</v>
      </c>
      <c r="IX199" s="388">
        <f t="shared" si="919"/>
        <v>0.192976517290921</v>
      </c>
      <c r="IY199" s="447">
        <f>各项系数!$F$76/4*($NB199^2-$MZ199^2*$EG199-$NA199^2*$EO199)*10^-2</f>
        <v>0.275229059444046</v>
      </c>
      <c r="IZ199" s="366">
        <f t="shared" si="697"/>
        <v>0.05</v>
      </c>
      <c r="JA199" s="367">
        <f t="shared" si="606"/>
        <v>0.0137614529722023</v>
      </c>
      <c r="JB199" s="364">
        <f>IF($DE199&lt;&gt;$JB$9,0,$JA199*各项系数!$F$32*10^-3*10^2)*各项系数!$J$4</f>
        <v>0</v>
      </c>
      <c r="JC199" s="123">
        <v>1</v>
      </c>
      <c r="JD199" s="251">
        <f t="shared" si="920"/>
        <v>0</v>
      </c>
      <c r="JE199" s="339">
        <f>JD199*各项系数!$E$32</f>
        <v>0</v>
      </c>
      <c r="JF199" s="364">
        <f>IF($DE199&lt;&gt;$JF$9,0,$JA199*VLOOKUP($JF$9,各项系数!$D$4:$F$540,2,0)*10^-3*10^2)*各项系数!$J$4</f>
        <v>0.00684632285367064</v>
      </c>
      <c r="JG199" s="123">
        <v>1</v>
      </c>
      <c r="JH199" s="251">
        <f t="shared" si="607"/>
        <v>0.00684632285367064</v>
      </c>
      <c r="JI199" s="339">
        <f>JH199*VLOOKUP($JF$9,各项系数!$D$4:$F$540,3,0)</f>
        <v>0.00821558742440477</v>
      </c>
      <c r="JJ199" s="364">
        <f t="shared" si="921"/>
        <v>0.00684632285367064</v>
      </c>
      <c r="JK199" s="251">
        <f t="shared" si="922"/>
        <v>0.00821558742440477</v>
      </c>
      <c r="JL199" s="364">
        <f>IF($DF199&lt;&gt;$JL$9,0,各项系数!$F$76/4*($NE199^2-$NC199^2)*10^-2*各项系数!$F$39*10^-3*10^2)*各项系数!$J$4</f>
        <v>0.000875306165622611</v>
      </c>
      <c r="JM199" s="123">
        <v>1</v>
      </c>
      <c r="JN199" s="251">
        <f t="shared" si="923"/>
        <v>0.000875306165622611</v>
      </c>
      <c r="JO199" s="339">
        <f>JN199*各项系数!$E$39</f>
        <v>0.0175061233124522</v>
      </c>
      <c r="JP199" s="364">
        <f>IF($DF199&lt;&gt;$JP$9,0,各项系数!$F$76/4*($NE199^2-$NC199^2)*10^-2*各项系数!$F$36*10^-3*10^2)*各项系数!$J$4</f>
        <v>0</v>
      </c>
      <c r="JQ199" s="123">
        <v>1</v>
      </c>
      <c r="JR199" s="251">
        <f t="shared" si="924"/>
        <v>0</v>
      </c>
      <c r="JS199" s="339">
        <f>JR199*各项系数!$E$36</f>
        <v>0</v>
      </c>
      <c r="JT199" s="364">
        <f>IF($DF199&lt;&gt;$JT$9,0,各项系数!$F$76/4*($NE199^2-$NC199^2)*10^-2*各项系数!$F$40*10^-3*10^2)*各项系数!$J$4</f>
        <v>0</v>
      </c>
      <c r="JU199" s="123">
        <v>1</v>
      </c>
      <c r="JV199" s="251">
        <f t="shared" si="925"/>
        <v>0</v>
      </c>
      <c r="JW199" s="339">
        <f>JV199*各项系数!$E$40</f>
        <v>0</v>
      </c>
      <c r="JX199" s="364">
        <f>IF($DF199&lt;&gt;$JX$9,0,各项系数!$F$76/4*($NE199^2-$NC199^2)*10^-2*各项系数!$F$38*10^-3*10^2)*各项系数!$J$4</f>
        <v>0</v>
      </c>
      <c r="JY199" s="123">
        <v>1</v>
      </c>
      <c r="JZ199" s="251">
        <f t="shared" si="926"/>
        <v>0</v>
      </c>
      <c r="KA199" s="339">
        <f>JZ199*各项系数!$E$38</f>
        <v>0</v>
      </c>
      <c r="KB199" s="364">
        <f>IF($DF199&lt;&gt;$KB$9,0,各项系数!$F$76/4*($NE199^2-$NC199^2)*10^-2*各项系数!$F$41*10^-3*10^2)*各项系数!$J$4</f>
        <v>0</v>
      </c>
      <c r="KC199" s="123">
        <v>1</v>
      </c>
      <c r="KD199" s="251">
        <f t="shared" si="927"/>
        <v>0</v>
      </c>
      <c r="KE199" s="339">
        <f>KD199*各项系数!$E$41</f>
        <v>0</v>
      </c>
      <c r="KF199" s="251">
        <f t="shared" si="928"/>
        <v>0.000875306165622611</v>
      </c>
      <c r="KG199" s="251">
        <f t="shared" si="929"/>
        <v>0.0175061233124522</v>
      </c>
      <c r="KH199" s="302">
        <f>各项系数!$F$76/4*($NG199^2-$NE199^2)*10^-2*各项系数!$F$44*10^-3*10^2*各项系数!$J$4*0.75*$U199</f>
        <v>0.404441480992233</v>
      </c>
      <c r="KI199" s="123">
        <v>1</v>
      </c>
      <c r="KJ199" s="251">
        <f t="shared" si="930"/>
        <v>0.404441480992233</v>
      </c>
      <c r="KK199" s="251">
        <f>ROUND(KJ199*各项系数!$E$43,GT199)</f>
        <v>2.3</v>
      </c>
      <c r="KL199" s="302">
        <f>各项系数!$F$76/4*($NF199^2-$NE199^2)*10^-2*各项系数!$F$46*10^-3*10^2*各项系数!$J$4*PI()/4*R199</f>
        <v>0.0121131448845762</v>
      </c>
      <c r="KM199" s="123">
        <v>1</v>
      </c>
      <c r="KN199" s="251">
        <f t="shared" si="931"/>
        <v>0.0121131448845762</v>
      </c>
      <c r="KO199" s="251">
        <f>KN199*各项系数!$E$46</f>
        <v>0.817637279708891</v>
      </c>
      <c r="KP199" s="302">
        <f>各项系数!$F$76/4*($NH199^2-$NE199^2)*10^-2*(VLOOKUP($KP$9,各项系数!$D$1:$F$143,3,0))*10^-3*10^2*各项系数!$J$4</f>
        <v>0.0686125411311279</v>
      </c>
      <c r="KQ199" s="123">
        <v>1</v>
      </c>
      <c r="KR199" s="251">
        <f t="shared" si="657"/>
        <v>0.0686125411311279</v>
      </c>
      <c r="KS199" s="251">
        <f>KR199*(VLOOKUP($KP$9,各项系数!$D$1:$F$143,2,0))</f>
        <v>1.16641319922917</v>
      </c>
      <c r="KT199" s="302">
        <f>各项系数!$F$76/4*($NI199^2-$NF199^2)*10^-2*(VLOOKUP($KT$9,各项系数!$D$1:$F$143,3,0))*10^-3*10^2*各项系数!$J$4</f>
        <v>0.0697003490033599</v>
      </c>
      <c r="KU199" s="123">
        <v>1</v>
      </c>
      <c r="KV199" s="251">
        <f t="shared" si="658"/>
        <v>0.0697003490033599</v>
      </c>
      <c r="KW199" s="251">
        <f>KV199*(VLOOKUP($KT$9,各项系数!$D$1:$F$143,2,0))</f>
        <v>1.18490593305712</v>
      </c>
      <c r="KX199" s="251">
        <f>各项系数!$F$76/4*($NH199^2-$NE199^2)*10^-2*(VLOOKUP($KX$9,各项系数!$D$1:$F$143,3,0))*10^-3*10^2*各项系数!$J$4</f>
        <v>0.0686125411311279</v>
      </c>
      <c r="KY199" s="479">
        <v>1</v>
      </c>
      <c r="KZ199" s="251">
        <f t="shared" si="659"/>
        <v>0.0686125411311279</v>
      </c>
      <c r="LA199" s="251">
        <f>KZ199*(VLOOKUP($KX$9,各项系数!$D$1:$F$143,2,0))</f>
        <v>1.16641319922917</v>
      </c>
      <c r="LB199" s="251">
        <f>各项系数!$F$76/4*($NI199^2-$NF199^2)*10^-2*(VLOOKUP($LB$9,各项系数!$D$1:$F$143,3,0))*10^-3*10^2*各项系数!$J$4</f>
        <v>0.0697003490033599</v>
      </c>
      <c r="LC199" s="479">
        <v>1</v>
      </c>
      <c r="LD199" s="251">
        <f t="shared" si="660"/>
        <v>0.0697003490033599</v>
      </c>
      <c r="LE199" s="251">
        <f>LD199*(VLOOKUP($LB$9,各项系数!$D$1:$F$143,2,0))</f>
        <v>1.18490593305712</v>
      </c>
      <c r="LF199" s="302">
        <f>各项系数!$F$76/4*($NH199^2-$NE199^2)*10^-2*(VLOOKUP(AN199,各项系数!$D$1:$F$143,3,0))*10^-3*10^2*各项系数!$J$4</f>
        <v>0.0695589210087986</v>
      </c>
      <c r="LG199" s="123">
        <v>1</v>
      </c>
      <c r="LH199" s="251">
        <f t="shared" si="932"/>
        <v>0.0695589210087986</v>
      </c>
      <c r="LI199" s="251">
        <f>LH199*(VLOOKUP(AN199,各项系数!$D$1:$F$143,2,0))</f>
        <v>0.695589210087986</v>
      </c>
      <c r="LJ199" s="302">
        <f>各项系数!$F$76/4*($NI199^2-$NF199^2)*10^-2*(VLOOKUP(AN199,各项系数!$D$1:$F$143,3,0))*10^-3*10^2*各项系数!$J$4</f>
        <v>0.0706617331275442</v>
      </c>
      <c r="LK199" s="123">
        <v>1</v>
      </c>
      <c r="LL199" s="251">
        <f t="shared" si="933"/>
        <v>0.0706617331275442</v>
      </c>
      <c r="LM199" s="251">
        <f>LL199*(VLOOKUP(AN199,各项系数!$D$1:$F$143,2,0))</f>
        <v>0.706617331275442</v>
      </c>
      <c r="LN199" s="251">
        <f>各项系数!$F$76/4*($NH199^2-$NE199^2)*10^-2*(VLOOKUP($LN$9,各项系数!$D$1:$F$143,3,0))*10^-3*10^2*各项系数!$J$4</f>
        <v>0.0695589210087986</v>
      </c>
      <c r="LO199" s="479">
        <v>1</v>
      </c>
      <c r="LP199" s="251">
        <f t="shared" si="934"/>
        <v>0.0695589210087986</v>
      </c>
      <c r="LQ199" s="251">
        <f>LP199*(VLOOKUP($LN$9,各项系数!$D$1:$F$143,2,0))</f>
        <v>0.765148131096785</v>
      </c>
      <c r="LR199" s="251">
        <f>各项系数!$F$76/4*($NI199^2-$NF199^2)*10^-2*(VLOOKUP($LR$9,各项系数!$D$1:$F$143,3,0))*10^-3*10^2*各项系数!$J$4</f>
        <v>0.0706617331275442</v>
      </c>
      <c r="LS199" s="479">
        <v>1</v>
      </c>
      <c r="LT199" s="251">
        <f t="shared" si="935"/>
        <v>0.0706617331275442</v>
      </c>
      <c r="LU199" s="251">
        <f>LT199*(VLOOKUP($LR$9,各项系数!$D$1:$F$143,2,0))</f>
        <v>0.777279064402986</v>
      </c>
      <c r="LV199" s="499">
        <f t="shared" si="661"/>
        <v>7.50540546</v>
      </c>
      <c r="LW199" s="499">
        <f t="shared" si="662"/>
        <v>7.50540546</v>
      </c>
      <c r="LX199" s="499">
        <f t="shared" si="663"/>
        <v>3.0913070101404</v>
      </c>
      <c r="LY199" s="515">
        <f t="shared" si="664"/>
        <v>0</v>
      </c>
      <c r="LZ199" s="516">
        <f t="shared" si="608"/>
        <v>1</v>
      </c>
      <c r="MA199" s="517">
        <f t="shared" si="609"/>
        <v>7.50540546</v>
      </c>
      <c r="MB199" s="517">
        <f t="shared" si="665"/>
        <v>2.18588415</v>
      </c>
      <c r="MC199" s="499">
        <f t="shared" si="666"/>
        <v>0</v>
      </c>
      <c r="MD199" s="499">
        <f t="shared" si="667"/>
        <v>0</v>
      </c>
      <c r="ME199" s="499">
        <f t="shared" si="668"/>
        <v>0</v>
      </c>
      <c r="MF199" s="499">
        <f t="shared" si="669"/>
        <v>0</v>
      </c>
      <c r="MG199" s="516">
        <f t="shared" si="670"/>
        <v>1</v>
      </c>
      <c r="MH199" s="517">
        <f t="shared" si="610"/>
        <v>0</v>
      </c>
      <c r="MI199" s="517">
        <f t="shared" si="671"/>
        <v>0</v>
      </c>
      <c r="MJ199" s="251">
        <f t="shared" si="611"/>
        <v>2.18588415</v>
      </c>
      <c r="MK199" s="251">
        <f t="shared" si="672"/>
        <v>2.18588415</v>
      </c>
      <c r="ML199" s="251">
        <f t="shared" si="936"/>
        <v>0</v>
      </c>
      <c r="MM199" s="251">
        <f t="shared" si="612"/>
        <v>0</v>
      </c>
      <c r="MN199" s="251">
        <f t="shared" si="613"/>
        <v>3.58588415</v>
      </c>
      <c r="MO199" s="251">
        <f t="shared" si="673"/>
        <v>0</v>
      </c>
      <c r="MP199" s="251">
        <f t="shared" si="674"/>
        <v>7.1717683</v>
      </c>
      <c r="MQ199" s="251">
        <f t="shared" si="937"/>
        <v>7.1717683</v>
      </c>
      <c r="MR199" s="314">
        <f t="shared" si="675"/>
        <v>7.15471508</v>
      </c>
      <c r="MS199" s="530">
        <f t="shared" si="614"/>
        <v>7.33071508</v>
      </c>
      <c r="MT199" s="530">
        <f t="shared" si="615"/>
        <v>7.49071508</v>
      </c>
      <c r="MU199" s="530">
        <f t="shared" si="616"/>
        <v>8.53071508</v>
      </c>
      <c r="MV199" s="530">
        <f t="shared" si="617"/>
        <v>10.33071508</v>
      </c>
      <c r="MW199" s="530">
        <f t="shared" si="618"/>
        <v>10.49071508</v>
      </c>
      <c r="MX199" s="326">
        <f t="shared" si="619"/>
        <v>2.78588415</v>
      </c>
      <c r="MY199" s="326">
        <f t="shared" si="620"/>
        <v>0</v>
      </c>
      <c r="MZ199" s="251">
        <f t="shared" si="621"/>
        <v>4.18588415</v>
      </c>
      <c r="NA199" s="251">
        <f t="shared" si="622"/>
        <v>0</v>
      </c>
      <c r="NB199" s="251">
        <f t="shared" si="676"/>
        <v>8.3717683</v>
      </c>
      <c r="NC199" s="326">
        <f t="shared" si="938"/>
        <v>8.3717683</v>
      </c>
      <c r="ND199" s="314">
        <f t="shared" si="677"/>
        <v>8.35186168</v>
      </c>
      <c r="NE199" s="537">
        <f t="shared" si="678"/>
        <v>8.59186168</v>
      </c>
      <c r="NF199" s="530">
        <f t="shared" si="623"/>
        <v>8.75186168</v>
      </c>
      <c r="NG199" s="538">
        <f t="shared" si="624"/>
        <v>9.79186168</v>
      </c>
      <c r="NH199" s="326">
        <f t="shared" si="625"/>
        <v>11.59186168</v>
      </c>
      <c r="NI199" s="530">
        <f t="shared" si="626"/>
        <v>11.75186168</v>
      </c>
      <c r="NK199" s="539">
        <f t="shared" si="627"/>
        <v>0.144137266012471</v>
      </c>
      <c r="NL199" s="539">
        <f t="shared" si="628"/>
        <v>5.14355586513568</v>
      </c>
      <c r="NM199" s="539">
        <f t="shared" si="629"/>
        <v>0.144137266012471</v>
      </c>
      <c r="NN199" s="539">
        <f t="shared" si="630"/>
        <v>5.20442223768201</v>
      </c>
      <c r="NO199" s="539">
        <f t="shared" si="631"/>
        <v>0.167444084347499</v>
      </c>
      <c r="NP199" s="539">
        <f t="shared" si="632"/>
        <v>5.43763391214153</v>
      </c>
      <c r="NQ199" s="539">
        <f t="shared" si="633"/>
        <v>0.167444084347499</v>
      </c>
      <c r="NR199" s="539">
        <f t="shared" si="634"/>
        <v>5.50719283315033</v>
      </c>
      <c r="NS199" s="539">
        <f t="shared" si="635"/>
        <v>0.154488799371148</v>
      </c>
      <c r="NT199" s="539">
        <f t="shared" si="636"/>
        <v>0.154488799371148</v>
      </c>
      <c r="NU199" s="539">
        <f t="shared" si="637"/>
        <v>0.179557229232076</v>
      </c>
      <c r="NV199" s="539">
        <f t="shared" si="638"/>
        <v>0.179557229232076</v>
      </c>
      <c r="NW199">
        <f t="shared" si="639"/>
        <v>0.260454296009476</v>
      </c>
      <c r="NX199">
        <f>各项系数!$M$9*NK199</f>
        <v>0.0432411798037413</v>
      </c>
      <c r="NY199">
        <f t="shared" si="640"/>
        <v>0.154488799371148</v>
      </c>
    </row>
    <row r="200" customHeight="1" spans="1:389">
      <c r="A200" s="85"/>
      <c r="B200" s="86"/>
      <c r="C200" s="218"/>
      <c r="D200" s="123" t="s">
        <v>170</v>
      </c>
      <c r="E200" s="70">
        <f t="shared" si="885"/>
        <v>11.12150976</v>
      </c>
      <c r="F200" s="225">
        <f>$F$18</f>
        <v>218.588414706449</v>
      </c>
      <c r="G200" s="78"/>
      <c r="H200" s="23"/>
      <c r="I200" s="174">
        <v>0</v>
      </c>
      <c r="J200" s="23"/>
      <c r="K200" s="23"/>
      <c r="L200" s="118" t="s">
        <v>469</v>
      </c>
      <c r="M200" s="124">
        <f t="shared" si="582"/>
        <v>0.7</v>
      </c>
      <c r="N200" s="124">
        <f t="shared" si="804"/>
        <v>0</v>
      </c>
      <c r="O200" s="69">
        <f t="shared" si="939"/>
        <v>0.08</v>
      </c>
      <c r="P200" s="120">
        <v>0.1</v>
      </c>
      <c r="Q200" s="162">
        <f t="shared" si="882"/>
        <v>0.1</v>
      </c>
      <c r="R200" s="560">
        <v>0.8</v>
      </c>
      <c r="S200" s="171" t="str">
        <f>各项系数!$D$43</f>
        <v>钢带</v>
      </c>
      <c r="T200" s="123">
        <v>0.2</v>
      </c>
      <c r="U200" s="78">
        <v>4</v>
      </c>
      <c r="V200" s="172"/>
      <c r="W200" s="561">
        <v>1.6</v>
      </c>
      <c r="X200" s="164">
        <f t="shared" si="883"/>
        <v>0.2</v>
      </c>
      <c r="Y200" s="219"/>
      <c r="Z200" s="220"/>
      <c r="AA200" s="217">
        <v>1</v>
      </c>
      <c r="AB200" s="186">
        <f>PI()*EJ200*EJ200/4*EH200*(1-H200)*AA200*各项系数!$F$5*各项系数!$J$4*10^-7</f>
        <v>0.0331947195563496</v>
      </c>
      <c r="AC200" s="186">
        <f t="shared" si="886"/>
        <v>218.588414706449</v>
      </c>
      <c r="AD200" s="186">
        <f t="shared" si="584"/>
        <v>3.75270272129484</v>
      </c>
      <c r="AE200" s="186">
        <f>POWER(4*EU200/PI()/EG200/10^-7/EH200/(1-H200)/各项系数!$F$5/各项系数!$J$4,0.5)</f>
        <v>218.588414706449</v>
      </c>
      <c r="AF200" s="218">
        <v>1</v>
      </c>
      <c r="AG200" s="85">
        <f>IF(EM200=0,0,PI()*ER200*ER200/4*EP200*(1-K200)*(1+AF200)*各项系数!$F$5*各项系数!$J$4*10^-7)</f>
        <v>0</v>
      </c>
      <c r="AH200" s="85">
        <f t="shared" si="887"/>
        <v>0</v>
      </c>
      <c r="AI200" s="85">
        <f t="shared" si="641"/>
        <v>0</v>
      </c>
      <c r="AJ200" s="85">
        <f>IF(OR(EP200="",EP200=0),0,POWER(4*EW200/PI()/EO200/10^-7/EP200/(1-K200)/各项系数!$F$5/各项系数!$J$4,0.5))</f>
        <v>0</v>
      </c>
      <c r="AK200" s="85" t="str">
        <f t="shared" si="585"/>
        <v>√</v>
      </c>
      <c r="AL200" s="85">
        <f t="shared" si="888"/>
        <v>7.82696484433473</v>
      </c>
      <c r="AM200" s="250">
        <f t="shared" si="889"/>
        <v>4</v>
      </c>
      <c r="AN200" s="118" t="s">
        <v>486</v>
      </c>
      <c r="AO200" s="259">
        <f>AP200+各项系数!$M$9*$NK200</f>
        <v>7.6734949454262</v>
      </c>
      <c r="AP200" s="259">
        <f>AQ200*(1+$BI200+(VLOOKUP($AM200,$A$12:$B$323,2,0))+各项系数!$J$6+各项系数!$M$5)*(1+$E$2)</f>
        <v>7.60970202980675</v>
      </c>
      <c r="AQ200" s="260">
        <f>AR200+各项系数!$L$9*$NK200</f>
        <v>7.76500207123138</v>
      </c>
      <c r="AR200" s="260">
        <f>AS200*(1+$BJ200+各项系数!$J$5+各项系数!$L$5)</f>
        <v>7.70120915561192</v>
      </c>
      <c r="AS200" s="260">
        <f t="shared" si="642"/>
        <v>7.55020505452149</v>
      </c>
      <c r="AT200" s="259">
        <f>AU200+各项系数!$M$9*$NM200</f>
        <v>8.14713462781412</v>
      </c>
      <c r="AU200" s="259">
        <f>AV200*(1+$BI200+(VLOOKUP($AM200,$A$12:$B$323,2,0))+各项系数!$J$6+各项系数!$M$5)*(1+$E$2)</f>
        <v>8.08334171219466</v>
      </c>
      <c r="AV200" s="260">
        <f>AW200+各项系数!$L$9*$NM200</f>
        <v>8.24830786958639</v>
      </c>
      <c r="AW200" s="260">
        <f>AX200*(1+$BJ200+各项系数!$J$5+各项系数!$L$5)</f>
        <v>8.18451495396694</v>
      </c>
      <c r="AX200" s="260">
        <f t="shared" si="643"/>
        <v>8.02403426859504</v>
      </c>
      <c r="AY200" s="259">
        <f>AZ200+各项系数!$M$9*$NS200</f>
        <v>8.44602311477548</v>
      </c>
      <c r="AZ200" s="259">
        <f>BA200*(1+$BI200+(VLOOKUP($AM200,$A$12:$B$214,2,0))+各项系数!$J$6+各项系数!$M$5)*(1+$E$2)</f>
        <v>8.37887716664946</v>
      </c>
      <c r="BA200" s="260">
        <f>BB200+各项系数!$L$9*$NS200</f>
        <v>8.54987465984639</v>
      </c>
      <c r="BB200" s="260">
        <f>BC200*(1+$BJ200+各项系数!$J$5+各项系数!$L$5)</f>
        <v>8.48272871172037</v>
      </c>
      <c r="BC200" s="262">
        <f t="shared" si="644"/>
        <v>8.31640069776507</v>
      </c>
      <c r="BD200" s="259">
        <f>BE200+各项系数!$M$9*$NS200</f>
        <v>8.92762186574519</v>
      </c>
      <c r="BE200" s="259">
        <f>BF200*(1+$BI200+(VLOOKUP($AM200,$A$12:$B$214,2,0))+各项系数!$J$6+各项系数!$M$5)*(1+$E$2)</f>
        <v>8.86047591761917</v>
      </c>
      <c r="BF200" s="260">
        <f>BG200+各项系数!$L$9*$NS200</f>
        <v>9.04130195675425</v>
      </c>
      <c r="BG200" s="260">
        <f>BH200*(1+$BJ200+各项系数!$J$5+各项系数!$L$5)</f>
        <v>8.97415600862823</v>
      </c>
      <c r="BH200" s="262">
        <f t="shared" si="645"/>
        <v>8.7981921653218</v>
      </c>
      <c r="BI200" s="275">
        <v>0</v>
      </c>
      <c r="BJ200" s="272">
        <f>$BJ$199</f>
        <v>0</v>
      </c>
      <c r="BK200" s="123" t="s">
        <v>514</v>
      </c>
      <c r="BL200" s="259">
        <f>BM200+各项系数!$M$9*$NM200</f>
        <v>7.81814789131912</v>
      </c>
      <c r="BM200" s="259">
        <f>BN200*(1+$CF200+(VLOOKUP($AM200,$A$12:$B$323,2,0))+各项系数!$J$6+各项系数!$M$5)*(1+$E$2)</f>
        <v>7.75435497569967</v>
      </c>
      <c r="BN200" s="260">
        <f>BO200+各项系数!$L$9*$NM200</f>
        <v>7.91260711806089</v>
      </c>
      <c r="BO200" s="260">
        <f>BP200*(1+$CG200+各项系数!$J$5+各项系数!$L$5)</f>
        <v>7.84881420244144</v>
      </c>
      <c r="BP200" s="260">
        <f t="shared" si="646"/>
        <v>7.62020796353537</v>
      </c>
      <c r="BQ200" s="259">
        <f>BR200+各项系数!$M$9*$NM200</f>
        <v>8.22577016364635</v>
      </c>
      <c r="BR200" s="259">
        <f>BS200*(1+$CF200+(VLOOKUP($AM200,$A$12:$B$323,2,0))+各项系数!$J$6+各项系数!$M$5)*(1+$E$2)</f>
        <v>8.1619772480269</v>
      </c>
      <c r="BS200" s="260">
        <f>BT200+各项系数!$L$9*$NM200</f>
        <v>8.32854821227234</v>
      </c>
      <c r="BT200" s="260">
        <f>BU200*(1+$CG200+各项系数!$J$5+各项系数!$L$5)</f>
        <v>8.26475529665289</v>
      </c>
      <c r="BU200" s="260">
        <f t="shared" si="647"/>
        <v>8.02403426859504</v>
      </c>
      <c r="BV200" s="259">
        <f>BW200+各项系数!$M$9*$NT200</f>
        <v>8.54166727435674</v>
      </c>
      <c r="BW200" s="259">
        <f>BX200*(1+$CF200+(VLOOKUP($AM200,$A$12:$B$214,2,0))+各项系数!$J$6+各项系数!$M$5)*(1+$E$2)</f>
        <v>8.47452132623072</v>
      </c>
      <c r="BX200" s="260">
        <f>BY200+各项系数!$L$9*$NT$12</f>
        <v>8.64747074105175</v>
      </c>
      <c r="BY200" s="260">
        <f>BZ200*(1+$CG200+各项系数!$J$5+各项系数!$L$5)</f>
        <v>8.63920733789678</v>
      </c>
      <c r="BZ200" s="262">
        <f t="shared" si="586"/>
        <v>8.38757993970561</v>
      </c>
      <c r="CA200" s="259">
        <f>CB200+各项系数!$M$9*$NT200</f>
        <v>8.95613925489372</v>
      </c>
      <c r="CB200" s="259">
        <f>CC200*(1+$CF200+(VLOOKUP($AM200,$A$12:$B$214,2,0))+各项系数!$J$6+各项系数!$M$5)*(1+$E$2)</f>
        <v>8.8889933067677</v>
      </c>
      <c r="CC200" s="260">
        <f>CD200+各项系数!$L$9*$NT$12</f>
        <v>9.07040133343643</v>
      </c>
      <c r="CD200" s="260">
        <f>CE200*(1+$CG200+各项系数!$J$5+各项系数!$L$5)</f>
        <v>9.06213793028145</v>
      </c>
      <c r="CE200" s="262">
        <f t="shared" si="648"/>
        <v>8.7981921653218</v>
      </c>
      <c r="CF200" s="275">
        <f>(BI200+$CF$2)-BI200/1.3</f>
        <v>0</v>
      </c>
      <c r="CG200" s="277">
        <f t="shared" si="587"/>
        <v>0.01</v>
      </c>
      <c r="CH200" s="123"/>
      <c r="CI200" s="259">
        <f>CJ200+各项系数!$M$9*$NO200</f>
        <v>8.28874441493021</v>
      </c>
      <c r="CJ200" s="259">
        <f>CK200*(1+$DC200+(VLOOKUP($AM200,$A$12:$B$323,2,0))+各项系数!$J$6+各项系数!$M$5)*(1+$E$2)+各项系数!$M$9*$NK200</f>
        <v>8.18965130837942</v>
      </c>
      <c r="CK200" s="260">
        <f>CL200+各项系数!$L$9*$NO200</f>
        <v>8.29169223751017</v>
      </c>
      <c r="CL200" s="260">
        <f>CM200*(1+$DD200+各项系数!$J$5+各项系数!$L$5)</f>
        <v>8.19259913095938</v>
      </c>
      <c r="CM200" s="260">
        <f t="shared" si="588"/>
        <v>8.03195993231312</v>
      </c>
      <c r="CN200" s="259">
        <f>CO200+各项系数!$M$9*$NO200</f>
        <v>8.66243579387136</v>
      </c>
      <c r="CO200" s="259">
        <f>CP200*(1+$DC200+(VLOOKUP($AM200,$A$12:$B$323,2,0))+各项系数!$J$6+各项系数!$M$5)*(1+$E$2)+各项系数!$M$9*$NK200</f>
        <v>8.56334268732057</v>
      </c>
      <c r="CP200" s="260">
        <f>CQ200+各项系数!$L$9*$NO200</f>
        <v>8.67300997112359</v>
      </c>
      <c r="CQ200" s="260">
        <f>CR200*(1+$DD200+各项系数!$J$5+各项系数!$L$5)</f>
        <v>8.5739168645728</v>
      </c>
      <c r="CR200" s="260">
        <f t="shared" si="589"/>
        <v>8.40580084762039</v>
      </c>
      <c r="CS200" s="259">
        <f>CT200+各项系数!$M$9*$NU200</f>
        <v>9.12678608867289</v>
      </c>
      <c r="CT200" s="259">
        <f t="shared" si="590"/>
        <v>9.02377004164245</v>
      </c>
      <c r="CU200" s="260">
        <f>CV200+各项系数!$L$9*$NU200</f>
        <v>9.20792861392087</v>
      </c>
      <c r="CV200" s="260">
        <f>CW200*(1+$DD200+各项系数!$J$5+各项系数!$L$5)</f>
        <v>9.10491256689043</v>
      </c>
      <c r="CW200" s="262">
        <f t="shared" si="591"/>
        <v>8.92638486950042</v>
      </c>
      <c r="CX200" s="259">
        <f>CY200+各项系数!$M$9*$NU200</f>
        <v>9.67603692258785</v>
      </c>
      <c r="CY200" s="259">
        <f t="shared" si="592"/>
        <v>9.57302087555741</v>
      </c>
      <c r="CZ200" s="260">
        <f>DA200+各项系数!$L$9*$NU200</f>
        <v>9.76838864852797</v>
      </c>
      <c r="DA200" s="260">
        <f>DB200*(1+$DD200+各项系数!$J$5+各项系数!$L$5)</f>
        <v>9.66537260149754</v>
      </c>
      <c r="DB200" s="262">
        <f t="shared" si="593"/>
        <v>9.47585549166425</v>
      </c>
      <c r="DC200" s="275">
        <f>(BI200+$DC$2)-BI200/1.3</f>
        <v>0</v>
      </c>
      <c r="DD200" s="277">
        <f t="shared" si="594"/>
        <v>0</v>
      </c>
      <c r="DE200" s="69" t="s">
        <v>498</v>
      </c>
      <c r="DF200" s="69" t="s">
        <v>513</v>
      </c>
      <c r="DG200" s="259">
        <f>DH200+各项系数!$M$9*$NQ200</f>
        <v>8.44821137750295</v>
      </c>
      <c r="DH200" s="259">
        <f>DI200*(1+$EA200+(VLOOKUP($AM200,$A$12:$B$323,2,0))+各项系数!$J$6+各项系数!$M$5)*(1+$E$2)+各项系数!$M$9*$NK200</f>
        <v>8.34911827095216</v>
      </c>
      <c r="DI200" s="260">
        <f>DJ200+各项系数!$L$9*$NQ200</f>
        <v>8.45441362789052</v>
      </c>
      <c r="DJ200" s="260">
        <f>DK200*(1+$EB200+各项系数!$J$5+各项系数!$L$5)</f>
        <v>8.35532052133973</v>
      </c>
      <c r="DK200" s="260">
        <f t="shared" si="595"/>
        <v>8.11196167120362</v>
      </c>
      <c r="DL200" s="259">
        <f>DM200+各项系数!$M$9*$NQ200</f>
        <v>8.91405616961311</v>
      </c>
      <c r="DM200" s="259">
        <f>DN200*(1+$EA200+(VLOOKUP($AM200,$A$12:$B$323,2,0))+各项系数!$J$6+各项系数!$M$5)*(1+$E$2)+各项系数!$M$9*$NK200</f>
        <v>8.81496306306232</v>
      </c>
      <c r="DN200" s="260">
        <f>DO200+各项系数!$L$9*$NQ200</f>
        <v>8.92976545657435</v>
      </c>
      <c r="DO200" s="260">
        <f>DP200*(1+$EB200+各项系数!$J$5+各项系数!$L$5)</f>
        <v>8.83067235002357</v>
      </c>
      <c r="DP200" s="260">
        <f t="shared" si="596"/>
        <v>8.57346830099375</v>
      </c>
      <c r="DQ200" s="259">
        <f>DR200+各项系数!$M$9*$NV200</f>
        <v>9.29620580608624</v>
      </c>
      <c r="DR200" s="259">
        <f t="shared" si="597"/>
        <v>9.1931897590558</v>
      </c>
      <c r="DS200" s="260">
        <f>DT200+各项系数!$L$9*$NV200</f>
        <v>9.38080587658756</v>
      </c>
      <c r="DT200" s="260">
        <f>DU200*(1+$EB200+各项系数!$J$5+各项系数!$L$5)</f>
        <v>9.27778982955712</v>
      </c>
      <c r="DU200" s="262">
        <f t="shared" si="598"/>
        <v>9.00756294131759</v>
      </c>
      <c r="DV200" s="259">
        <f>DW200+各项系数!$M$9*$NV200</f>
        <v>9.47671456157597</v>
      </c>
      <c r="DW200" s="259">
        <f t="shared" si="599"/>
        <v>9.37369851454554</v>
      </c>
      <c r="DX200" s="260">
        <f>DY200+各项系数!$L$9*$NV200</f>
        <v>9.56499848423014</v>
      </c>
      <c r="DY200" s="260">
        <f>DZ200*(1+$EB200+各项系数!$J$5+各项系数!$L$5)</f>
        <v>9.4619824371997</v>
      </c>
      <c r="DZ200" s="262">
        <f t="shared" si="600"/>
        <v>9.18639071572787</v>
      </c>
      <c r="EA200" s="275">
        <f>(BI200+$EA$2)-BI200/1.3</f>
        <v>0</v>
      </c>
      <c r="EB200" s="277">
        <f t="shared" si="601"/>
        <v>0.01</v>
      </c>
      <c r="EC200" s="302">
        <f t="shared" si="649"/>
        <v>3</v>
      </c>
      <c r="ED200" s="302" t="str">
        <f t="shared" si="890"/>
        <v>3*4</v>
      </c>
      <c r="EE200" s="251">
        <f t="shared" si="891"/>
        <v>4</v>
      </c>
      <c r="EF200" s="251">
        <f>LOOKUP(EH200,{1,7,10,14,19,24,30,37,48,61},{1,"1+6","2+8","4+10","1+6+12","2+8+14","4+10+16","1+6+12+18","3+9+15+21","1+6+12+18+24"})</f>
        <v>1</v>
      </c>
      <c r="EG200" s="250">
        <f t="shared" si="602"/>
        <v>3</v>
      </c>
      <c r="EH200" s="260">
        <f>VLOOKUP(EE200,各项系数!$B$87:$C$124,2,0)</f>
        <v>1</v>
      </c>
      <c r="EI200" s="250">
        <f>IF(EH200=0,0,VLOOKUP(EH200,各项系数!$D$142:$E$195,2,0))*1</f>
        <v>1</v>
      </c>
      <c r="EJ200" s="305">
        <f t="shared" si="650"/>
        <v>218.588414706449</v>
      </c>
      <c r="EK200" s="251">
        <f t="shared" si="892"/>
        <v>0</v>
      </c>
      <c r="EL200" s="251">
        <f t="shared" si="603"/>
        <v>0</v>
      </c>
      <c r="EM200" s="251">
        <f t="shared" si="893"/>
        <v>0</v>
      </c>
      <c r="EN200" s="251">
        <f>IF(EP200=0,0,LOOKUP(EP200,{1,7,10,14,19,24,30,37,48,61},{1,"1+6","2+8","4+10","1+6+12","2+8+14","4+10+16","1+6+12+18","3+9+15+21","1+6+12+18+24"}))</f>
        <v>0</v>
      </c>
      <c r="EO200" s="251">
        <f t="shared" si="894"/>
        <v>0</v>
      </c>
      <c r="EP200" s="251">
        <f>IF(EM200=0,0,IF(EM200&lt;10,1,IF(AND(EM200&gt;=10,EM200&lt;=35),7,LOOKUP(EM200,{50,70,95,120,150,185,240,300},{10,14,19,24,30,37,48,61})*1)))</f>
        <v>0</v>
      </c>
      <c r="EQ200" s="251">
        <f>IF(EP200=0,0,VLOOKUP(EP200,各项系数!$D$142:$E$195,2,0))*1</f>
        <v>0</v>
      </c>
      <c r="ER200" s="69">
        <f t="shared" si="895"/>
        <v>0</v>
      </c>
      <c r="ES200" s="566">
        <f t="shared" si="896"/>
        <v>3</v>
      </c>
      <c r="ET200" s="251">
        <f>VLOOKUP(ES200,各项系数!$D$142:$E$195,2,0)*1</f>
        <v>2.16</v>
      </c>
      <c r="EU200" s="311">
        <f>((各项系数!$F$76/4*$EJ200^2*$EG200*$EH200*1*10^-7)*(1-$H200)*AA200)*(VLOOKUP($EY$9,各项系数!$D$4:$F$143,3,0))*各项系数!$J$4</f>
        <v>0.0995841586690487</v>
      </c>
      <c r="EV200" s="312">
        <f>EU200*(VLOOKUP($EY$9,各项系数!$D$4:$F$143,2,0))</f>
        <v>6.52276239282269</v>
      </c>
      <c r="EW200" s="324">
        <f>(IF($EO200=0,0,(各项系数!$F$76/4*$ER200^2*$EO200*$EP200*1*10^-7))*(1-$K200)*$AF200)*(VLOOKUP($EY$9,各项系数!$D$4:$F$143,3,0))*各项系数!$J$4</f>
        <v>0</v>
      </c>
      <c r="EX200" s="325">
        <f>EW200*(VLOOKUP($EY$9,各项系数!$D$4:$F$143,2,0))</f>
        <v>0</v>
      </c>
      <c r="EY200" s="251">
        <f>((各项系数!$F$76/4*$EJ200^2*$EG200*$EH200*1*10^-7)*(1-$H200)*AA200+IF($EO200=0,0,(各项系数!$F$76/4*$ER200^2*$EO200*$EP200*1*10^-7))*(1-$K200)*$AF200)*(VLOOKUP($EY$9,各项系数!$D$4:$F$143,3,0))*各项系数!$J$4</f>
        <v>0.0995841586690487</v>
      </c>
      <c r="EZ200" s="123">
        <v>1</v>
      </c>
      <c r="FA200" s="251">
        <f t="shared" si="897"/>
        <v>0.0995841586690487</v>
      </c>
      <c r="FB200" s="326">
        <f>FA200*(VLOOKUP($EY$9,各项系数!$D$4:$F$143,2,0))</f>
        <v>6.52276239282269</v>
      </c>
      <c r="FC200" s="327"/>
      <c r="FD200" s="302">
        <f>各项系数!$F$76/4*($MN200^2-MK200^2)*10^-2*(VLOOKUP(L200,各项系数!$D$1:$F$143,3,0))*10^-3*10^2*$EG200*各项系数!$J$4</f>
        <v>0.0208383739006384</v>
      </c>
      <c r="FE200" s="339">
        <f>FD200*VLOOKUP(L200,各项系数!$D$1:$F$143,2,0)</f>
        <v>0.239641299857342</v>
      </c>
      <c r="FF200" s="250">
        <f>各项系数!$F$76/4*($MO200^2-ML200^2)*10^-2*(VLOOKUP(L200,各项系数!$D$1:$F$143,3,0))*10^-3*10^2*$EO200*各项系数!$J$4</f>
        <v>0</v>
      </c>
      <c r="FG200" s="339">
        <f>FF200*VLOOKUP(L200,各项系数!$D$1:$F$143,2,0)</f>
        <v>0</v>
      </c>
      <c r="FH200" s="302">
        <f t="shared" si="651"/>
        <v>0.0208383739006384</v>
      </c>
      <c r="FI200" s="123">
        <v>1</v>
      </c>
      <c r="FJ200" s="251">
        <f t="shared" si="898"/>
        <v>0.0208383739006384</v>
      </c>
      <c r="FK200" s="339">
        <f>FJ200*VLOOKUP(L200,各项系数!$D$1:$F$143,2,0)</f>
        <v>0.239641299857342</v>
      </c>
      <c r="FL200" s="302"/>
      <c r="FM200" s="123"/>
      <c r="FN200" s="251"/>
      <c r="FO200" s="339"/>
      <c r="FP200" s="364">
        <f t="shared" si="899"/>
        <v>0.0208383739006384</v>
      </c>
      <c r="FQ200" s="364">
        <f t="shared" si="900"/>
        <v>0.239641299857342</v>
      </c>
      <c r="FR200" s="365">
        <f>各项系数!$F$76/4*($MQ200^2-$MN200^2*$EG200-$MO200^2*$EO200)*10^-2</f>
        <v>0.168210499894947</v>
      </c>
      <c r="FS200" s="366">
        <f t="shared" si="652"/>
        <v>1</v>
      </c>
      <c r="FT200" s="367">
        <f t="shared" si="604"/>
        <v>0.168210499894947</v>
      </c>
      <c r="FU200" s="388">
        <f>$FT200*(VLOOKUP($FT$9,各项系数!$D$1:$F$143,3,0))*10^-3*10^2*各项系数!$J$55</f>
        <v>0.0200843336874567</v>
      </c>
      <c r="FV200" s="389">
        <v>1</v>
      </c>
      <c r="FW200" s="390">
        <f t="shared" si="901"/>
        <v>0.0200843336874567</v>
      </c>
      <c r="FX200" s="367">
        <f>FW200*(VLOOKUP($FT$9,各项系数!$D$1:$F$143,2,0))</f>
        <v>0.06025300106237</v>
      </c>
      <c r="FY200" s="388">
        <f>IF($BK200&lt;&gt;$FY$9,0,各项系数!$F$76/4*($MS200^2-$MQ200^2)*10^-2*(VLOOKUP($FY$9,各项系数!$D$1:$F$143,3,0))*10^-3*10^2)*各项系数!$J$4</f>
        <v>0</v>
      </c>
      <c r="FZ200" s="389">
        <v>1</v>
      </c>
      <c r="GA200" s="390">
        <f t="shared" si="902"/>
        <v>0</v>
      </c>
      <c r="GB200" s="367">
        <f>GA200*(VLOOKUP($FY$9,各项系数!$D$1:$F$143,2,0))</f>
        <v>0</v>
      </c>
      <c r="GC200" s="388">
        <f>IF($BK200&lt;&gt;$GC$9,0,各项系数!$F$76/4*($MS200^2-$MQ200^2)*10^-2*(VLOOKUP($GC$9,各项系数!$D$1:$F$143,3,0))*10^-3*10^2)*各项系数!$J$4</f>
        <v>0.00213327679382119</v>
      </c>
      <c r="GD200" s="389">
        <v>1</v>
      </c>
      <c r="GE200" s="390">
        <f t="shared" si="903"/>
        <v>0.00213327679382119</v>
      </c>
      <c r="GF200" s="367">
        <f>GE200*(VLOOKUP($GC$9,各项系数!$D$1:$F$143,2,0))</f>
        <v>0.0275192706402933</v>
      </c>
      <c r="GG200" s="388">
        <f>IF($BK200&lt;&gt;$GG$9,0,各项系数!$F$76/4*($MS200^2-$MQ200^2)*10^-2*(VLOOKUP($GG$9,各项系数!$D$1:$F$143,3,0))*10^-3*10^2)*各项系数!$J$4</f>
        <v>0</v>
      </c>
      <c r="GH200" s="389">
        <v>1</v>
      </c>
      <c r="GI200" s="390">
        <f t="shared" si="904"/>
        <v>0</v>
      </c>
      <c r="GJ200" s="367">
        <f>GI200*(VLOOKUP($GG$9,各项系数!$D$1:$F$143,2,0))</f>
        <v>0</v>
      </c>
      <c r="GK200" s="388">
        <f>IF($BK200&lt;&gt;$GK$9,0,各项系数!$F$76/4*($MS200^2-$MQ200^2)*10^-2*(VLOOKUP($GK$9,各项系数!$D$1:$F$143,3,0))*10^-3*10^2)*各项系数!$J$4</f>
        <v>0</v>
      </c>
      <c r="GL200" s="389">
        <v>1</v>
      </c>
      <c r="GM200" s="390">
        <f t="shared" si="905"/>
        <v>0</v>
      </c>
      <c r="GN200" s="367">
        <f>GM200*(VLOOKUP($GK$9,各项系数!$D$1:$F$143,2,0))</f>
        <v>0</v>
      </c>
      <c r="GO200" s="390">
        <f t="shared" si="906"/>
        <v>0.00213327679382119</v>
      </c>
      <c r="GP200" s="390">
        <f t="shared" si="907"/>
        <v>0.0275192706402933</v>
      </c>
      <c r="GQ200" s="406">
        <f>各项系数!$F$76/4*($MU200^2-$MS200^2)*10^-2*(VLOOKUP($S200,各项系数!$D$1:$F$143,3,0))*10^-3*10^2*各项系数!$J$4</f>
        <v>0.124982009361719</v>
      </c>
      <c r="GR200" s="389">
        <v>1</v>
      </c>
      <c r="GS200" s="390">
        <f t="shared" si="908"/>
        <v>0.124982009361719</v>
      </c>
      <c r="GT200" s="390">
        <f t="shared" si="909"/>
        <v>1</v>
      </c>
      <c r="GU200" s="390">
        <f>ROUND($GS200*(VLOOKUP($S200,各项系数!$D$1:$F$143,2,0))+$E$3*GS200,GT200)</f>
        <v>0.7</v>
      </c>
      <c r="GV200" s="406">
        <f>各项系数!$F$76/4*($MT200^2-$MS200^2)*10^-2*(VLOOKUP($GV$9,各项系数!$D$1:$F$143,3,0))*10^-3*10^2*各项系数!$J$4*PI()/4*R200</f>
        <v>0.0111767750218808</v>
      </c>
      <c r="GW200" s="389">
        <v>1</v>
      </c>
      <c r="GX200" s="390">
        <f t="shared" si="910"/>
        <v>0.0111767750218808</v>
      </c>
      <c r="GY200" s="390">
        <f>$GX200*(VLOOKUP($GV$9,各项系数!$D$1:$F$143,2,0))</f>
        <v>0.754432313976956</v>
      </c>
      <c r="GZ200" s="406">
        <f>各项系数!$F$76/4*($MV200^2-$MS200^2)*10^-2*(VLOOKUP($GZ$9,各项系数!$D$1:$F$143,3,0))*10^-3*10^2*各项系数!$J$4</f>
        <v>0.0690504884830788</v>
      </c>
      <c r="HA200" s="389">
        <v>1</v>
      </c>
      <c r="HB200" s="390">
        <f t="shared" si="653"/>
        <v>0.0690504884830788</v>
      </c>
      <c r="HC200" s="390">
        <f>HB200*(VLOOKUP($GZ$9,各项系数!$D$1:$F$143,2,0))</f>
        <v>1.17385830421234</v>
      </c>
      <c r="HD200" s="406">
        <f>各项系数!$F$76/4*($MW200^2-$MT200^2)*10^-2*(VLOOKUP($HD$9,各项系数!$D$1:$F$143,3,0))*10^-3*10^2*各项系数!$J$4</f>
        <v>0.0702108168801263</v>
      </c>
      <c r="HE200" s="389">
        <v>1</v>
      </c>
      <c r="HF200" s="390">
        <f t="shared" si="654"/>
        <v>0.0702108168801263</v>
      </c>
      <c r="HG200" s="390">
        <f>HF200*(VLOOKUP($HD$9,各项系数!$D$1:$F$143,2,0))</f>
        <v>1.19358388696215</v>
      </c>
      <c r="HH200" s="406">
        <f>各项系数!$F$76/4*($MV200^2-$MS200^2)*10^-2*(VLOOKUP($HH$9,各项系数!$D$1:$F$143,3,0))*10^-3*10^2*各项系数!$J$4</f>
        <v>0.0690504884830788</v>
      </c>
      <c r="HI200" s="420">
        <v>1</v>
      </c>
      <c r="HJ200" s="390">
        <f t="shared" si="655"/>
        <v>0.0690504884830788</v>
      </c>
      <c r="HK200" s="390">
        <f>HJ200*(VLOOKUP($HH$9,各项系数!$D$1:$F$143,2,0))</f>
        <v>1.17385830421234</v>
      </c>
      <c r="HL200" s="406">
        <f>各项系数!$F$76/4*($MW200^2-$MT200^2)*10^-2*(VLOOKUP($HL$9,各项系数!$D$1:$F$143,3,0))*10^-3*10^2*各项系数!$J$4</f>
        <v>0.0702108168801263</v>
      </c>
      <c r="HM200" s="420">
        <v>1</v>
      </c>
      <c r="HN200" s="390">
        <f t="shared" si="605"/>
        <v>0.0702108168801263</v>
      </c>
      <c r="HO200" s="390">
        <f>HN200*(VLOOKUP($HL$9,各项系数!$D$1:$F$143,2,0))</f>
        <v>1.19358388696215</v>
      </c>
      <c r="HP200" s="406">
        <f>各项系数!$F$76/4*($MV200^2-$MS200^2)*10^-2*(VLOOKUP(AN200,各项系数!$D$1:$F$143,3,0))*10^-3*10^2*各项系数!$J$4</f>
        <v>0.0700029090138799</v>
      </c>
      <c r="HQ200" s="389">
        <v>1</v>
      </c>
      <c r="HR200" s="390">
        <f t="shared" si="911"/>
        <v>0.0700029090138799</v>
      </c>
      <c r="HS200" s="390">
        <f>HR200*(VLOOKUP(AN200,各项系数!$D$1:$F$143,2,0))</f>
        <v>0.700029090138799</v>
      </c>
      <c r="HT200" s="406">
        <f>各项系数!$F$76/4*($MW200^2-$MT200^2)*10^-2*(VLOOKUP(AN200,各项系数!$D$1:$F$143,3,0))*10^-3*10^2*各项系数!$J$4</f>
        <v>0.0711792419405418</v>
      </c>
      <c r="HU200" s="389">
        <v>1</v>
      </c>
      <c r="HV200" s="390">
        <f t="shared" si="912"/>
        <v>0.0711792419405418</v>
      </c>
      <c r="HW200" s="390">
        <f>HV200*(VLOOKUP(AN200,各项系数!$D$1:$F$143,2,0))</f>
        <v>0.711792419405418</v>
      </c>
      <c r="HX200" s="406">
        <f>各项系数!$F$76/4*($MV200^2-$MS200^2)*10^-2*(VLOOKUP($HX$9,各项系数!$D$1:$F$143,3,0))*10^-3*10^2*各项系数!$J$4</f>
        <v>0.0700029090138799</v>
      </c>
      <c r="HY200" s="420">
        <v>1</v>
      </c>
      <c r="HZ200" s="390">
        <f t="shared" si="913"/>
        <v>0.0700029090138799</v>
      </c>
      <c r="IA200" s="390">
        <f>HZ200*(VLOOKUP($HX$9,各项系数!$D$1:$F$143,2,0))</f>
        <v>0.770031999152679</v>
      </c>
      <c r="IB200" s="406">
        <f>各项系数!$F$76/4*($MW200^2-$MT200^2)*10^-2*(VLOOKUP($IB$9,各项系数!$D$1:$F$143,3,0))*10^-3*10^2*各项系数!$J$4</f>
        <v>0.0711792419405418</v>
      </c>
      <c r="IC200" s="420">
        <v>1</v>
      </c>
      <c r="ID200" s="390">
        <f t="shared" si="914"/>
        <v>0.0711792419405418</v>
      </c>
      <c r="IE200" s="390">
        <f>ID200*(VLOOKUP($IB$9,各项系数!$D$1:$F$143,2,0))</f>
        <v>0.78297166134596</v>
      </c>
      <c r="IF200" s="429"/>
      <c r="IG200" s="406">
        <f t="shared" si="656"/>
        <v>0.0104902927286383</v>
      </c>
      <c r="IH200" s="389">
        <v>1</v>
      </c>
      <c r="II200" s="390">
        <f t="shared" si="915"/>
        <v>0.0104902927286383</v>
      </c>
      <c r="IJ200" s="390">
        <f>II200*(VLOOKUP($IG$8,各项系数!$D$1:$F$143,2,0))</f>
        <v>0.262257318215957</v>
      </c>
      <c r="IK200" s="406">
        <f>(各项系数!$F$76/4*($MX200^2-$MK200^2)*$EG200)*10^-2*(VLOOKUP($IG$8,各项系数!$D$1:$F$143,3,0))*10^-3*10^2*各项系数!$J$4</f>
        <v>0.0104902927286383</v>
      </c>
      <c r="IL200" s="389">
        <f>IK200*(VLOOKUP($IG$8,各项系数!$D$1:$F$143,2,0))</f>
        <v>0.262257318215957</v>
      </c>
      <c r="IM200" s="390">
        <f>(各项系数!$F$76/4*(($MM200+3*$X200)^2-MM200^2)*$EO200)*10^-2*(VLOOKUP($IG$8,各项系数!$D$1:$F$143,3,0))*10^-3*10^2*各项系数!$J$4</f>
        <v>0</v>
      </c>
      <c r="IN200" s="389">
        <f>IM200*(VLOOKUP($IG$8,各项系数!$D$1:$F$143,2,0))</f>
        <v>0</v>
      </c>
      <c r="IO200" s="406">
        <f>各项系数!$F$76/4*($MZ200^2-$MX200^2)*10^-2*(VLOOKUP(L200,各项系数!$D$1:$F$143,3,0))*10^-3*10^2*$ES200*各项系数!$J$4</f>
        <v>0.0251708500814245</v>
      </c>
      <c r="IP200" s="389">
        <v>1</v>
      </c>
      <c r="IQ200" s="390">
        <f t="shared" si="916"/>
        <v>0.0251708500814245</v>
      </c>
      <c r="IR200" s="367">
        <f>IQ200*(VLOOKUP(L200,各项系数!$D$1:$F$143,2,0))</f>
        <v>0.289464775936382</v>
      </c>
      <c r="IS200" s="406">
        <f>IF($L200&lt;&gt;$IS$9,0,各项系数!$F$76/4*($MZ200^2-$MX200^2)*10^-2*各项系数!$F$12*10^-3*10^2)*$ES200*各项系数!$J$4</f>
        <v>0</v>
      </c>
      <c r="IT200" s="389">
        <v>1</v>
      </c>
      <c r="IU200" s="390">
        <f t="shared" si="917"/>
        <v>0</v>
      </c>
      <c r="IV200" s="367">
        <f>IU200*各项系数!$E$12</f>
        <v>0</v>
      </c>
      <c r="IW200" s="388">
        <f t="shared" si="918"/>
        <v>0.0251708500814245</v>
      </c>
      <c r="IX200" s="388">
        <f t="shared" si="919"/>
        <v>0.289464775936382</v>
      </c>
      <c r="IY200" s="447">
        <f>各项系数!$F$76/4*($NB200^2-$MZ200^2*$EG200-$NA200^2*$EO200)*10^-2</f>
        <v>0.229210760136907</v>
      </c>
      <c r="IZ200" s="366">
        <f t="shared" si="697"/>
        <v>1</v>
      </c>
      <c r="JA200" s="367">
        <f t="shared" si="606"/>
        <v>0.229210760136907</v>
      </c>
      <c r="JB200" s="364">
        <f>IF($DE200&lt;&gt;$JB$9,0,$JA200*各项系数!$F$32*10^-3*10^2)*各项系数!$J$4</f>
        <v>0</v>
      </c>
      <c r="JC200" s="123">
        <v>1</v>
      </c>
      <c r="JD200" s="251">
        <f t="shared" si="920"/>
        <v>0</v>
      </c>
      <c r="JE200" s="339">
        <f>JD200*各项系数!$E$32</f>
        <v>0</v>
      </c>
      <c r="JF200" s="364">
        <f>IF($DE200&lt;&gt;$JF$9,0,$JA200*VLOOKUP($JF$9,各项系数!$D$4:$F$540,2,0)*10^-3*10^2)*各项系数!$J$4</f>
        <v>0.114032353168111</v>
      </c>
      <c r="JG200" s="123">
        <v>1</v>
      </c>
      <c r="JH200" s="251">
        <f t="shared" si="607"/>
        <v>0.114032353168111</v>
      </c>
      <c r="JI200" s="339">
        <f>JH200*VLOOKUP($JF$9,各项系数!$D$4:$F$540,3,0)</f>
        <v>0.136838823801733</v>
      </c>
      <c r="JJ200" s="364">
        <f t="shared" si="921"/>
        <v>0.114032353168111</v>
      </c>
      <c r="JK200" s="251">
        <f t="shared" si="922"/>
        <v>0.136838823801733</v>
      </c>
      <c r="JL200" s="364">
        <f>IF($DF200&lt;&gt;$JL$9,0,各项系数!$F$76/4*($NE200^2-$NC200^2)*10^-2*各项系数!$F$39*10^-3*10^2)*各项系数!$J$4</f>
        <v>0.00103096163156465</v>
      </c>
      <c r="JM200" s="123">
        <v>1</v>
      </c>
      <c r="JN200" s="251">
        <f t="shared" si="923"/>
        <v>0.00103096163156465</v>
      </c>
      <c r="JO200" s="339">
        <f>JN200*各项系数!$E$39</f>
        <v>0.0206192326312931</v>
      </c>
      <c r="JP200" s="364">
        <f>IF($DF200&lt;&gt;$JP$9,0,各项系数!$F$76/4*($NE200^2-$NC200^2)*10^-2*各项系数!$F$36*10^-3*10^2)*各项系数!$J$4</f>
        <v>0</v>
      </c>
      <c r="JQ200" s="123">
        <v>1</v>
      </c>
      <c r="JR200" s="251">
        <f t="shared" si="924"/>
        <v>0</v>
      </c>
      <c r="JS200" s="339">
        <f>JR200*各项系数!$E$36</f>
        <v>0</v>
      </c>
      <c r="JT200" s="364">
        <f>IF($DF200&lt;&gt;$JT$9,0,各项系数!$F$76/4*($NE200^2-$NC200^2)*10^-2*各项系数!$F$40*10^-3*10^2)*各项系数!$J$4</f>
        <v>0</v>
      </c>
      <c r="JU200" s="123">
        <v>1</v>
      </c>
      <c r="JV200" s="251">
        <f t="shared" si="925"/>
        <v>0</v>
      </c>
      <c r="JW200" s="339">
        <f>JV200*各项系数!$E$40</f>
        <v>0</v>
      </c>
      <c r="JX200" s="364">
        <f>IF($DF200&lt;&gt;$JX$9,0,各项系数!$F$76/4*($NE200^2-$NC200^2)*10^-2*各项系数!$F$38*10^-3*10^2)*各项系数!$J$4</f>
        <v>0</v>
      </c>
      <c r="JY200" s="123">
        <v>1</v>
      </c>
      <c r="JZ200" s="251">
        <f t="shared" si="926"/>
        <v>0</v>
      </c>
      <c r="KA200" s="339">
        <f>JZ200*各项系数!$E$38</f>
        <v>0</v>
      </c>
      <c r="KB200" s="364">
        <f>IF($DF200&lt;&gt;$KB$9,0,各项系数!$F$76/4*($NE200^2-$NC200^2)*10^-2*各项系数!$F$41*10^-3*10^2)*各项系数!$J$4</f>
        <v>0</v>
      </c>
      <c r="KC200" s="123">
        <v>1</v>
      </c>
      <c r="KD200" s="251">
        <f t="shared" si="927"/>
        <v>0</v>
      </c>
      <c r="KE200" s="339">
        <f>KD200*各项系数!$E$41</f>
        <v>0</v>
      </c>
      <c r="KF200" s="251">
        <f t="shared" si="928"/>
        <v>0.00103096163156465</v>
      </c>
      <c r="KG200" s="251">
        <f t="shared" si="929"/>
        <v>0.0206192326312931</v>
      </c>
      <c r="KH200" s="302">
        <f>各项系数!$F$76/4*($NG200^2-$NE200^2)*10^-2*各项系数!$F$44*10^-3*10^2*各项系数!$J$4*0.75*$U200</f>
        <v>0.434785964030478</v>
      </c>
      <c r="KI200" s="123">
        <v>1</v>
      </c>
      <c r="KJ200" s="251">
        <f t="shared" si="930"/>
        <v>0.434785964030478</v>
      </c>
      <c r="KK200" s="251">
        <f>ROUND(KJ200*各项系数!$E$43,GT200)</f>
        <v>2.5</v>
      </c>
      <c r="KL200" s="302">
        <f>各项系数!$F$76/4*($NF200^2-$NE200^2)*10^-2*各项系数!$F$46*10^-3*10^2*各项系数!$J$4*PI()/4*R200</f>
        <v>0.0130764682654917</v>
      </c>
      <c r="KM200" s="123">
        <v>1</v>
      </c>
      <c r="KN200" s="251">
        <f t="shared" si="931"/>
        <v>0.0130764682654917</v>
      </c>
      <c r="KO200" s="251">
        <f>KN200*各项系数!$E$46</f>
        <v>0.882661607920689</v>
      </c>
      <c r="KP200" s="302">
        <f>各项系数!$F$76/4*($NH200^2-$NE200^2)*10^-2*(VLOOKUP($KP$9,各项系数!$D$1:$F$143,3,0))*10^-3*10^2*各项系数!$J$4</f>
        <v>0.0789132798579824</v>
      </c>
      <c r="KQ200" s="123">
        <v>1</v>
      </c>
      <c r="KR200" s="251">
        <f t="shared" si="657"/>
        <v>0.0789132798579824</v>
      </c>
      <c r="KS200" s="251">
        <f>KR200*(VLOOKUP($KP$9,各项系数!$D$1:$F$143,2,0))</f>
        <v>1.3415257575857</v>
      </c>
      <c r="KT200" s="302">
        <f>各项系数!$F$76/4*($NI200^2-$NF200^2)*10^-2*(VLOOKUP($KT$9,各项系数!$D$1:$F$143,3,0))*10^-3*10^2*各项系数!$J$4</f>
        <v>0.0800736082550298</v>
      </c>
      <c r="KU200" s="123">
        <v>1</v>
      </c>
      <c r="KV200" s="251">
        <f t="shared" si="658"/>
        <v>0.0800736082550298</v>
      </c>
      <c r="KW200" s="251">
        <f>KV200*(VLOOKUP($KT$9,各项系数!$D$1:$F$143,2,0))</f>
        <v>1.36125134033551</v>
      </c>
      <c r="KX200" s="251">
        <f>各项系数!$F$76/4*($NH200^2-$NE200^2)*10^-2*(VLOOKUP($KX$9,各项系数!$D$1:$F$143,3,0))*10^-3*10^2*各项系数!$J$4</f>
        <v>0.0789132798579824</v>
      </c>
      <c r="KY200" s="479">
        <v>1</v>
      </c>
      <c r="KZ200" s="251">
        <f t="shared" si="659"/>
        <v>0.0789132798579824</v>
      </c>
      <c r="LA200" s="251">
        <f>KZ200*(VLOOKUP($KX$9,各项系数!$D$1:$F$143,2,0))</f>
        <v>1.3415257575857</v>
      </c>
      <c r="LB200" s="251">
        <f>各项系数!$F$76/4*($NI200^2-$NF200^2)*10^-2*(VLOOKUP($LB$9,各项系数!$D$1:$F$143,3,0))*10^-3*10^2*各项系数!$J$4</f>
        <v>0.0800736082550298</v>
      </c>
      <c r="LC200" s="479">
        <v>1</v>
      </c>
      <c r="LD200" s="251">
        <f t="shared" si="660"/>
        <v>0.0800736082550298</v>
      </c>
      <c r="LE200" s="251">
        <f>LD200*(VLOOKUP($LB$9,各项系数!$D$1:$F$143,2,0))</f>
        <v>1.36125134033551</v>
      </c>
      <c r="LF200" s="302">
        <f>各项系数!$F$76/4*($NH200^2-$NE200^2)*10^-2*(VLOOKUP(AN200,各项系数!$D$1:$F$143,3,0))*10^-3*10^2*各项系数!$J$4</f>
        <v>0.0800017388905063</v>
      </c>
      <c r="LG200" s="123">
        <v>1</v>
      </c>
      <c r="LH200" s="251">
        <f t="shared" si="932"/>
        <v>0.0800017388905063</v>
      </c>
      <c r="LI200" s="251">
        <f>LH200*(VLOOKUP(AN200,各项系数!$D$1:$F$143,2,0))</f>
        <v>0.800017388905063</v>
      </c>
      <c r="LJ200" s="302">
        <f>各项系数!$F$76/4*($NI200^2-$NF200^2)*10^-2*(VLOOKUP(AN200,各项系数!$D$1:$F$143,3,0))*10^-3*10^2*各项系数!$J$4</f>
        <v>0.0811780718171682</v>
      </c>
      <c r="LK200" s="123">
        <v>1</v>
      </c>
      <c r="LL200" s="251">
        <f t="shared" si="933"/>
        <v>0.0811780718171682</v>
      </c>
      <c r="LM200" s="251">
        <f>LL200*(VLOOKUP(AN200,各项系数!$D$1:$F$143,2,0))</f>
        <v>0.811780718171682</v>
      </c>
      <c r="LN200" s="251">
        <f>各项系数!$F$76/4*($NH200^2-$NE200^2)*10^-2*(VLOOKUP($LN$9,各项系数!$D$1:$F$143,3,0))*10^-3*10^2*各项系数!$J$4</f>
        <v>0.0800017388905063</v>
      </c>
      <c r="LO200" s="479">
        <v>1</v>
      </c>
      <c r="LP200" s="251">
        <f t="shared" si="934"/>
        <v>0.0800017388905063</v>
      </c>
      <c r="LQ200" s="251">
        <f>LP200*(VLOOKUP($LN$9,各项系数!$D$1:$F$143,2,0))</f>
        <v>0.880019127795569</v>
      </c>
      <c r="LR200" s="251">
        <f>各项系数!$F$76/4*($NI200^2-$NF200^2)*10^-2*(VLOOKUP($LR$9,各项系数!$D$1:$F$143,3,0))*10^-3*10^2*各项系数!$J$4</f>
        <v>0.0811780718171682</v>
      </c>
      <c r="LS200" s="479">
        <v>1</v>
      </c>
      <c r="LT200" s="251">
        <f t="shared" si="935"/>
        <v>0.0811780718171682</v>
      </c>
      <c r="LU200" s="251">
        <f>LT200*(VLOOKUP($LR$9,各项系数!$D$1:$F$143,2,0))</f>
        <v>0.89295878998885</v>
      </c>
      <c r="LV200" s="499">
        <f t="shared" si="661"/>
        <v>11.25810819</v>
      </c>
      <c r="LW200" s="499">
        <f t="shared" si="662"/>
        <v>11.25810819</v>
      </c>
      <c r="LX200" s="499">
        <f t="shared" si="663"/>
        <v>3.78606240656633</v>
      </c>
      <c r="LY200" s="515">
        <f t="shared" si="664"/>
        <v>0</v>
      </c>
      <c r="LZ200" s="516">
        <f t="shared" si="608"/>
        <v>1</v>
      </c>
      <c r="MA200" s="517">
        <f t="shared" si="609"/>
        <v>11.25810819</v>
      </c>
      <c r="MB200" s="517">
        <f t="shared" si="665"/>
        <v>2.18588415</v>
      </c>
      <c r="MC200" s="499">
        <f t="shared" si="666"/>
        <v>0</v>
      </c>
      <c r="MD200" s="499">
        <f t="shared" si="667"/>
        <v>0</v>
      </c>
      <c r="ME200" s="499">
        <f t="shared" si="668"/>
        <v>0</v>
      </c>
      <c r="MF200" s="499">
        <f t="shared" si="669"/>
        <v>0</v>
      </c>
      <c r="MG200" s="516">
        <f t="shared" si="670"/>
        <v>1</v>
      </c>
      <c r="MH200" s="517">
        <f t="shared" si="610"/>
        <v>0</v>
      </c>
      <c r="MI200" s="517">
        <f t="shared" si="671"/>
        <v>0</v>
      </c>
      <c r="MJ200" s="251">
        <f t="shared" si="611"/>
        <v>2.18588415</v>
      </c>
      <c r="MK200" s="251">
        <f t="shared" si="672"/>
        <v>2.18588415</v>
      </c>
      <c r="ML200" s="251">
        <f t="shared" si="936"/>
        <v>0</v>
      </c>
      <c r="MM200" s="251">
        <f t="shared" si="612"/>
        <v>0</v>
      </c>
      <c r="MN200" s="251">
        <f t="shared" si="613"/>
        <v>3.58588415</v>
      </c>
      <c r="MO200" s="251">
        <f t="shared" si="673"/>
        <v>0</v>
      </c>
      <c r="MP200" s="251">
        <f t="shared" si="674"/>
        <v>7.74550976</v>
      </c>
      <c r="MQ200" s="251">
        <f t="shared" si="937"/>
        <v>7.74550976</v>
      </c>
      <c r="MR200" s="314">
        <f t="shared" si="675"/>
        <v>7.74550976</v>
      </c>
      <c r="MS200" s="530">
        <f t="shared" si="614"/>
        <v>7.92150976</v>
      </c>
      <c r="MT200" s="530">
        <f t="shared" si="615"/>
        <v>8.08150976</v>
      </c>
      <c r="MU200" s="530">
        <f t="shared" si="616"/>
        <v>9.12150976</v>
      </c>
      <c r="MV200" s="530">
        <f t="shared" si="617"/>
        <v>11.12150976</v>
      </c>
      <c r="MW200" s="530">
        <f t="shared" si="618"/>
        <v>11.28150976</v>
      </c>
      <c r="MX200" s="326">
        <f t="shared" si="619"/>
        <v>2.78588415</v>
      </c>
      <c r="MY200" s="326">
        <f t="shared" si="620"/>
        <v>0</v>
      </c>
      <c r="MZ200" s="251">
        <f t="shared" si="621"/>
        <v>4.18588415</v>
      </c>
      <c r="NA200" s="251">
        <f t="shared" si="622"/>
        <v>0</v>
      </c>
      <c r="NB200" s="251">
        <f t="shared" si="676"/>
        <v>9.04150976</v>
      </c>
      <c r="NC200" s="326">
        <f t="shared" si="938"/>
        <v>9.04150976</v>
      </c>
      <c r="ND200" s="314">
        <f t="shared" si="677"/>
        <v>9.04150976</v>
      </c>
      <c r="NE200" s="537">
        <f t="shared" si="678"/>
        <v>9.28150976</v>
      </c>
      <c r="NF200" s="530">
        <f t="shared" si="623"/>
        <v>9.44150976</v>
      </c>
      <c r="NG200" s="538">
        <f t="shared" si="624"/>
        <v>10.48150976</v>
      </c>
      <c r="NH200" s="326">
        <f t="shared" si="625"/>
        <v>12.48150976</v>
      </c>
      <c r="NI200" s="530">
        <f t="shared" si="626"/>
        <v>12.64150976</v>
      </c>
      <c r="NK200" s="539">
        <f t="shared" si="627"/>
        <v>0.212643052064845</v>
      </c>
      <c r="NL200" s="539">
        <f t="shared" si="628"/>
        <v>7.55020505452149</v>
      </c>
      <c r="NM200" s="539">
        <f t="shared" si="629"/>
        <v>0.212643052064845</v>
      </c>
      <c r="NN200" s="539">
        <f t="shared" si="630"/>
        <v>7.62020796353537</v>
      </c>
      <c r="NO200" s="539">
        <f t="shared" si="631"/>
        <v>0.330310355169293</v>
      </c>
      <c r="NP200" s="539">
        <f t="shared" si="632"/>
        <v>8.03195993231312</v>
      </c>
      <c r="NQ200" s="539">
        <f t="shared" si="633"/>
        <v>0.330310355169293</v>
      </c>
      <c r="NR200" s="539">
        <f t="shared" si="634"/>
        <v>8.11196167120362</v>
      </c>
      <c r="NS200" s="539">
        <f t="shared" si="635"/>
        <v>0.223819827086726</v>
      </c>
      <c r="NT200" s="539">
        <f t="shared" si="636"/>
        <v>0.223819827086726</v>
      </c>
      <c r="NU200" s="539">
        <f t="shared" si="637"/>
        <v>0.343386823434785</v>
      </c>
      <c r="NV200" s="539">
        <f t="shared" si="638"/>
        <v>0.343386823434785</v>
      </c>
      <c r="NW200">
        <f t="shared" si="639"/>
        <v>0.337625061426564</v>
      </c>
      <c r="NX200">
        <f>各项系数!$M$9*NK200</f>
        <v>0.0637929156194535</v>
      </c>
      <c r="NY200">
        <f t="shared" si="640"/>
        <v>0.223819827086726</v>
      </c>
    </row>
    <row r="201" customHeight="1" spans="1:389">
      <c r="A201" s="85"/>
      <c r="B201" s="86"/>
      <c r="C201" s="218"/>
      <c r="D201" s="123" t="s">
        <v>169</v>
      </c>
      <c r="E201" s="70">
        <f t="shared" si="885"/>
        <v>12.25383964</v>
      </c>
      <c r="F201" s="225">
        <f>$F$18</f>
        <v>218.588414706449</v>
      </c>
      <c r="G201" s="78"/>
      <c r="H201" s="23"/>
      <c r="I201" s="174">
        <v>0</v>
      </c>
      <c r="J201" s="23"/>
      <c r="K201" s="23"/>
      <c r="L201" s="118" t="s">
        <v>469</v>
      </c>
      <c r="M201" s="124">
        <f t="shared" si="582"/>
        <v>0.7</v>
      </c>
      <c r="N201" s="124">
        <f t="shared" si="804"/>
        <v>0</v>
      </c>
      <c r="O201" s="69">
        <f t="shared" si="939"/>
        <v>0.08</v>
      </c>
      <c r="P201" s="120">
        <v>0.1</v>
      </c>
      <c r="Q201" s="162">
        <f t="shared" si="882"/>
        <v>0.1</v>
      </c>
      <c r="R201" s="560">
        <v>0.8</v>
      </c>
      <c r="S201" s="171" t="str">
        <f>各项系数!$D$43</f>
        <v>钢带</v>
      </c>
      <c r="T201" s="123">
        <v>0.2</v>
      </c>
      <c r="U201" s="78">
        <v>4</v>
      </c>
      <c r="V201" s="172"/>
      <c r="W201" s="561">
        <v>1.7</v>
      </c>
      <c r="X201" s="164">
        <f t="shared" si="883"/>
        <v>0.2</v>
      </c>
      <c r="Y201" s="219"/>
      <c r="Z201" s="220"/>
      <c r="AA201" s="217">
        <v>1</v>
      </c>
      <c r="AB201" s="186">
        <f>PI()*EJ201*EJ201/4*EH201*(1-H201)*AA201*各项系数!$F$5*各项系数!$J$4*10^-7</f>
        <v>0.0331947195563496</v>
      </c>
      <c r="AC201" s="186">
        <f t="shared" si="886"/>
        <v>218.588414706449</v>
      </c>
      <c r="AD201" s="186">
        <f t="shared" si="584"/>
        <v>3.75270272129484</v>
      </c>
      <c r="AE201" s="186">
        <f>POWER(4*EU201/PI()/EG201/10^-7/EH201/(1-H201)/各项系数!$F$5/各项系数!$J$4,0.5)</f>
        <v>218.588414706449</v>
      </c>
      <c r="AF201" s="218">
        <v>1</v>
      </c>
      <c r="AG201" s="85">
        <f>IF(EM201=0,0,PI()*ER201*ER201/4*EP201*(1-K201)*(1+AF201)*各项系数!$F$5*各项系数!$J$4*10^-7)</f>
        <v>0</v>
      </c>
      <c r="AH201" s="85">
        <f t="shared" si="887"/>
        <v>0</v>
      </c>
      <c r="AI201" s="85">
        <f t="shared" si="641"/>
        <v>0</v>
      </c>
      <c r="AJ201" s="85">
        <f>IF(OR(EP201="",EP201=0),0,POWER(4*EW201/PI()/EO201/10^-7/EP201/(1-K201)/各项系数!$F$5/各项系数!$J$4,0.5))</f>
        <v>0</v>
      </c>
      <c r="AK201" s="85" t="str">
        <f t="shared" si="585"/>
        <v>√</v>
      </c>
      <c r="AL201" s="85">
        <f t="shared" si="888"/>
        <v>10.2958746109885</v>
      </c>
      <c r="AM201" s="250">
        <f t="shared" si="889"/>
        <v>4</v>
      </c>
      <c r="AN201" s="118" t="s">
        <v>486</v>
      </c>
      <c r="AO201" s="259">
        <f>AP201+各项系数!$M$9*$NK201</f>
        <v>10.0939947166554</v>
      </c>
      <c r="AP201" s="259">
        <f>AQ201*(1+$BI201+(VLOOKUP($AM201,$A$12:$B$323,2,0))+各项系数!$J$6+各项系数!$M$5)*(1+$E$2)</f>
        <v>10.0136613654917</v>
      </c>
      <c r="AQ201" s="260">
        <f>AR201+各项系数!$L$9*$NK201</f>
        <v>10.2180218015222</v>
      </c>
      <c r="AR201" s="260">
        <f>AS201*(1+$BJ201+各项系数!$J$5+各项系数!$L$5)</f>
        <v>10.1376884503585</v>
      </c>
      <c r="AS201" s="260">
        <f t="shared" si="642"/>
        <v>9.9389102454495</v>
      </c>
      <c r="AT201" s="259">
        <f>AU201+各项系数!$M$9*$NM201</f>
        <v>10.6517988062774</v>
      </c>
      <c r="AU201" s="259">
        <f>AV201*(1+$BI201+(VLOOKUP($AM201,$A$12:$B$323,2,0))+各项系数!$J$6+各项系数!$M$5)*(1+$E$2)</f>
        <v>10.5714654551137</v>
      </c>
      <c r="AV201" s="260">
        <f>AW201+各项系数!$L$9*$NM201</f>
        <v>10.7872096480752</v>
      </c>
      <c r="AW201" s="260">
        <f>AX201*(1+$BJ201+各项系数!$J$5+各项系数!$L$5)</f>
        <v>10.7068762969116</v>
      </c>
      <c r="AX201" s="260">
        <f t="shared" si="643"/>
        <v>10.4969375459917</v>
      </c>
      <c r="AY201" s="259">
        <f>AZ201+各项系数!$M$9*$NS201</f>
        <v>10.9559020934225</v>
      </c>
      <c r="AZ201" s="259">
        <f>BA201*(1+$BI201+(VLOOKUP($AM201,$A$12:$B$214,2,0))+各项系数!$J$6+各项系数!$M$5)*(1+$E$2)</f>
        <v>10.8718250169345</v>
      </c>
      <c r="BA201" s="260">
        <f>BB201+各项系数!$L$9*$NS201</f>
        <v>11.093698996872</v>
      </c>
      <c r="BB201" s="260">
        <f>BC201*(1+$BJ201+各项系数!$J$5+各项系数!$L$5)</f>
        <v>11.009621920384</v>
      </c>
      <c r="BC201" s="262">
        <f t="shared" si="644"/>
        <v>10.7937469807686</v>
      </c>
      <c r="BD201" s="259">
        <f>BE201+各项系数!$M$9*$NS201</f>
        <v>11.5221626934127</v>
      </c>
      <c r="BE201" s="259">
        <f>BF201*(1+$BI201+(VLOOKUP($AM201,$A$12:$B$214,2,0))+各项系数!$J$6+各项系数!$M$5)*(1+$E$2)</f>
        <v>11.4380856169247</v>
      </c>
      <c r="BF201" s="260">
        <f>BG201+各项系数!$L$9*$NS201</f>
        <v>11.6715159356375</v>
      </c>
      <c r="BG201" s="260">
        <f>BH201*(1+$BJ201+各项系数!$J$5+各项系数!$L$5)</f>
        <v>11.5874388591495</v>
      </c>
      <c r="BH201" s="262">
        <f t="shared" si="645"/>
        <v>11.3602341756367</v>
      </c>
      <c r="BI201" s="277"/>
      <c r="BJ201" s="272">
        <f>$BJ$199</f>
        <v>0</v>
      </c>
      <c r="BK201" s="123" t="s">
        <v>514</v>
      </c>
      <c r="BL201" s="259">
        <f>BM201+各项系数!$M$9*$NM201</f>
        <v>10.2746132182704</v>
      </c>
      <c r="BM201" s="259">
        <f>BN201*(1+$CF201+(VLOOKUP($AM201,$A$12:$B$323,2,0))+各项系数!$J$6+各项系数!$M$5)*(1+$E$2)</f>
        <v>10.1942798671068</v>
      </c>
      <c r="BN201" s="260">
        <f>BO201+各项系数!$L$9*$NM201</f>
        <v>10.4023263950069</v>
      </c>
      <c r="BO201" s="260">
        <f>BP201*(1+$CG201+各项系数!$J$5+各项系数!$L$5)</f>
        <v>10.3219930438432</v>
      </c>
      <c r="BP201" s="260">
        <f t="shared" si="646"/>
        <v>10.0213524697507</v>
      </c>
      <c r="BQ201" s="259">
        <f>BR201+各项系数!$M$9*$NM201</f>
        <v>10.7546687942281</v>
      </c>
      <c r="BR201" s="259">
        <f>BS201*(1+$CF201+(VLOOKUP($AM201,$A$12:$B$323,2,0))+各项系数!$J$6+各项系数!$M$5)*(1+$E$2)</f>
        <v>10.6743354430645</v>
      </c>
      <c r="BS201" s="260">
        <f>BT201+各项系数!$L$9*$NM201</f>
        <v>10.8921790235352</v>
      </c>
      <c r="BT201" s="260">
        <f>BU201*(1+$CG201+各项系数!$J$5+各项系数!$L$5)</f>
        <v>10.8118456723715</v>
      </c>
      <c r="BU201" s="260">
        <f t="shared" si="647"/>
        <v>10.4969375459917</v>
      </c>
      <c r="BV201" s="259">
        <f>BW201+各项系数!$M$9*$NT201</f>
        <v>11.071862197537</v>
      </c>
      <c r="BW201" s="259">
        <f>BX201*(1+$CF201+(VLOOKUP($AM201,$A$12:$B$214,2,0))+各项系数!$J$6+各项系数!$M$5)*(1+$E$2)</f>
        <v>10.987785121049</v>
      </c>
      <c r="BX201" s="260">
        <f>BY201+各项系数!$L$9*$NT$12</f>
        <v>11.2120256337235</v>
      </c>
      <c r="BY201" s="260">
        <f>BZ201*(1+$CG201+各项系数!$J$5+各项系数!$L$5)</f>
        <v>11.2037622305685</v>
      </c>
      <c r="BZ201" s="262">
        <f t="shared" si="586"/>
        <v>10.8774390588044</v>
      </c>
      <c r="CA201" s="259">
        <f>CB201+各项系数!$M$9*$NT201</f>
        <v>11.5591955884676</v>
      </c>
      <c r="CB201" s="259">
        <f>CC201*(1+$CF201+(VLOOKUP($AM201,$A$12:$B$214,2,0))+各项系数!$J$6+各项系数!$M$5)*(1+$E$2)</f>
        <v>11.4751185119796</v>
      </c>
      <c r="CC201" s="260">
        <f>CD201+各项系数!$L$9*$NT$12</f>
        <v>11.7093046040608</v>
      </c>
      <c r="CD201" s="260">
        <f>CE201*(1+$CG201+各项系数!$J$5+各项系数!$L$5)</f>
        <v>11.7010412009058</v>
      </c>
      <c r="CE201" s="262">
        <f t="shared" si="648"/>
        <v>11.3602341756367</v>
      </c>
      <c r="CF201" s="277">
        <f t="shared" si="884"/>
        <v>0</v>
      </c>
      <c r="CG201" s="277">
        <f t="shared" si="587"/>
        <v>0.01</v>
      </c>
      <c r="CH201" s="123"/>
      <c r="CI201" s="259">
        <f>CJ201+各项系数!$M$9*$NO201</f>
        <v>10.8664865962975</v>
      </c>
      <c r="CJ201" s="259">
        <f>CK201*(1+$DC201+(VLOOKUP($AM201,$A$12:$B$323,2,0))+各项系数!$J$6+各项系数!$M$5)*(1+$E$2)+各项系数!$M$9*$NK201</f>
        <v>10.745628527988</v>
      </c>
      <c r="CK201" s="260">
        <f>CL201+各项系数!$L$9*$NO201</f>
        <v>10.8829542620656</v>
      </c>
      <c r="CL201" s="260">
        <f>CM201*(1+$DD201+各项系数!$J$5+各项系数!$L$5)</f>
        <v>10.7620961937561</v>
      </c>
      <c r="CM201" s="260">
        <f t="shared" si="588"/>
        <v>10.5510746997609</v>
      </c>
      <c r="CN201" s="259">
        <f>CO201+各项系数!$M$9*$NO201</f>
        <v>11.3059144140248</v>
      </c>
      <c r="CO201" s="259">
        <f>CP201*(1+$DC201+(VLOOKUP($AM201,$A$12:$B$323,2,0))+各项系数!$J$6+各项系数!$M$5)*(1+$E$2)+各项系数!$M$9*$NK201</f>
        <v>11.1850563457153</v>
      </c>
      <c r="CP201" s="260">
        <f>CQ201+各项系数!$L$9*$NO201</f>
        <v>11.3313499944404</v>
      </c>
      <c r="CQ201" s="260">
        <f>CR201*(1+$DD201+各项系数!$J$5+各项系数!$L$5)</f>
        <v>11.2104919261309</v>
      </c>
      <c r="CR201" s="260">
        <f t="shared" si="589"/>
        <v>10.9906783589518</v>
      </c>
      <c r="CS201" s="259">
        <f>CT201+各项系数!$M$9*$NU201</f>
        <v>11.7921992489153</v>
      </c>
      <c r="CT201" s="259">
        <f t="shared" si="590"/>
        <v>11.6669621755115</v>
      </c>
      <c r="CU201" s="260">
        <f>CV201+各项系数!$L$9*$NU201</f>
        <v>11.9050634443994</v>
      </c>
      <c r="CV201" s="260">
        <f>CW201*(1+$DD201+各项系数!$J$5+各项系数!$L$5)</f>
        <v>11.7798263709956</v>
      </c>
      <c r="CW201" s="262">
        <f t="shared" si="591"/>
        <v>11.548849383329</v>
      </c>
      <c r="CX201" s="259">
        <f>CY201+各项系数!$M$9*$NU201</f>
        <v>12.4385852846437</v>
      </c>
      <c r="CY201" s="259">
        <f t="shared" si="592"/>
        <v>12.3133482112399</v>
      </c>
      <c r="CZ201" s="260">
        <f>DA201+各项系数!$L$9*$NU201</f>
        <v>12.5646410318775</v>
      </c>
      <c r="DA201" s="260">
        <f>DB201*(1+$DD201+各项系数!$J$5+各项系数!$L$5)</f>
        <v>12.4394039584736</v>
      </c>
      <c r="DB201" s="262">
        <f t="shared" si="593"/>
        <v>12.1954940769349</v>
      </c>
      <c r="DC201" s="277">
        <f t="shared" si="827"/>
        <v>0</v>
      </c>
      <c r="DD201" s="277">
        <f t="shared" si="594"/>
        <v>0</v>
      </c>
      <c r="DE201" s="69" t="s">
        <v>498</v>
      </c>
      <c r="DF201" s="69" t="s">
        <v>513</v>
      </c>
      <c r="DG201" s="259">
        <f>DH201+各项系数!$M$9*$NQ201</f>
        <v>11.0650579919228</v>
      </c>
      <c r="DH201" s="259">
        <f>DI201*(1+$EA201+(VLOOKUP($AM201,$A$12:$B$323,2,0))+各项系数!$J$6+各项系数!$M$5)*(1+$E$2)+各项系数!$M$9*$NK201</f>
        <v>10.9441999236133</v>
      </c>
      <c r="DI201" s="260">
        <f>DJ201+各项系数!$L$9*$NQ201</f>
        <v>11.0855781351527</v>
      </c>
      <c r="DJ201" s="260">
        <f>DK201*(1+$EB201+各项系数!$J$5+各项系数!$L$5)</f>
        <v>10.9647200668432</v>
      </c>
      <c r="DK201" s="260">
        <f t="shared" si="595"/>
        <v>10.6453592881972</v>
      </c>
      <c r="DL201" s="259">
        <f>DM201+各项系数!$M$9*$NQ201</f>
        <v>11.6140708647484</v>
      </c>
      <c r="DM201" s="259">
        <f>DN201*(1+$EA201+(VLOOKUP($AM201,$A$12:$B$323,2,0))+各项系数!$J$6+各项系数!$M$5)*(1+$E$2)+各项系数!$M$9*$NK201</f>
        <v>11.4932127964389</v>
      </c>
      <c r="DN201" s="260">
        <f>DO201+各项系数!$L$9*$NQ201</f>
        <v>11.6457953523216</v>
      </c>
      <c r="DO201" s="260">
        <f>DP201*(1+$EB201+各项系数!$J$5+各项系数!$L$5)</f>
        <v>11.5249372840121</v>
      </c>
      <c r="DP201" s="260">
        <f t="shared" si="596"/>
        <v>11.1892594990409</v>
      </c>
      <c r="DQ201" s="259">
        <f>DR201+各项系数!$M$9*$NV201</f>
        <v>12.0018104387992</v>
      </c>
      <c r="DR201" s="259">
        <f t="shared" si="597"/>
        <v>11.8765733653954</v>
      </c>
      <c r="DS201" s="260">
        <f>DT201+各项系数!$L$9*$NV201</f>
        <v>12.1189524136688</v>
      </c>
      <c r="DT201" s="260">
        <f>DU201*(1+$EB201+各项系数!$J$5+各项系数!$L$5)</f>
        <v>11.993715340265</v>
      </c>
      <c r="DU201" s="262">
        <f t="shared" si="598"/>
        <v>11.6443838255</v>
      </c>
      <c r="DV201" s="259">
        <f>DW201+各项系数!$M$9*$NV201</f>
        <v>12.1685201334908</v>
      </c>
      <c r="DW201" s="259">
        <f t="shared" si="599"/>
        <v>12.043283060087</v>
      </c>
      <c r="DX201" s="260">
        <f>DY201+各项系数!$L$9*$NV201</f>
        <v>12.2890643470275</v>
      </c>
      <c r="DY201" s="260">
        <f>DZ201*(1+$EB201+各项系数!$J$5+各项系数!$L$5)</f>
        <v>12.1638272736237</v>
      </c>
      <c r="DZ201" s="262">
        <f t="shared" si="600"/>
        <v>11.8095410423531</v>
      </c>
      <c r="EA201" s="277">
        <f t="shared" si="826"/>
        <v>0</v>
      </c>
      <c r="EB201" s="277">
        <f t="shared" si="601"/>
        <v>0.01</v>
      </c>
      <c r="EC201" s="302">
        <f t="shared" si="649"/>
        <v>4</v>
      </c>
      <c r="ED201" s="302" t="str">
        <f t="shared" si="890"/>
        <v>4*4</v>
      </c>
      <c r="EE201" s="251">
        <f t="shared" si="891"/>
        <v>4</v>
      </c>
      <c r="EF201" s="251">
        <f>LOOKUP(EH201,{1,7,10,14,19,24,30,37,48,61},{1,"1+6","2+8","4+10","1+6+12","2+8+14","4+10+16","1+6+12+18","3+9+15+21","1+6+12+18+24"})</f>
        <v>1</v>
      </c>
      <c r="EG201" s="250">
        <f t="shared" si="602"/>
        <v>4</v>
      </c>
      <c r="EH201" s="260">
        <f>VLOOKUP(EE201,各项系数!$B$87:$C$124,2,0)</f>
        <v>1</v>
      </c>
      <c r="EI201" s="250">
        <f>IF(EH201=0,0,VLOOKUP(EH201,各项系数!$D$142:$E$195,2,0))*1</f>
        <v>1</v>
      </c>
      <c r="EJ201" s="305">
        <f t="shared" si="650"/>
        <v>218.588414706449</v>
      </c>
      <c r="EK201" s="251">
        <f t="shared" si="892"/>
        <v>0</v>
      </c>
      <c r="EL201" s="251">
        <f t="shared" si="603"/>
        <v>0</v>
      </c>
      <c r="EM201" s="251">
        <f t="shared" si="893"/>
        <v>0</v>
      </c>
      <c r="EN201" s="251">
        <f>IF(EP201=0,0,LOOKUP(EP201,{1,7,10,14,19,24,30,37,48,61},{1,"1+6","2+8","4+10","1+6+12","2+8+14","4+10+16","1+6+12+18","3+9+15+21","1+6+12+18+24"}))</f>
        <v>0</v>
      </c>
      <c r="EO201" s="251">
        <f t="shared" si="894"/>
        <v>0</v>
      </c>
      <c r="EP201" s="251">
        <f>IF(EM201=0,0,IF(EM201&lt;10,1,IF(AND(EM201&gt;=10,EM201&lt;=35),7,LOOKUP(EM201,{50,70,95,120,150,185,240,300},{10,14,19,24,30,37,48,61})*1)))</f>
        <v>0</v>
      </c>
      <c r="EQ201" s="251">
        <f>IF(EP201=0,0,VLOOKUP(EP201,各项系数!$D$142:$E$195,2,0))*1</f>
        <v>0</v>
      </c>
      <c r="ER201" s="69">
        <f t="shared" si="895"/>
        <v>0</v>
      </c>
      <c r="ES201" s="566">
        <f t="shared" si="896"/>
        <v>4</v>
      </c>
      <c r="ET201" s="251">
        <f>VLOOKUP(ES201,各项系数!$D$142:$E$195,2,0)*1</f>
        <v>2.42</v>
      </c>
      <c r="EU201" s="311">
        <f>((各项系数!$F$76/4*$EJ201^2*$EG201*$EH201*1*10^-7)*(1-$H201)*AA201)*(VLOOKUP($EY$9,各项系数!$D$4:$F$143,3,0))*各项系数!$J$4</f>
        <v>0.132778878225398</v>
      </c>
      <c r="EV201" s="312">
        <f>EU201*(VLOOKUP($EY$9,各项系数!$D$4:$F$143,2,0))</f>
        <v>8.69701652376359</v>
      </c>
      <c r="EW201" s="324">
        <f>(IF($EO201=0,0,(各项系数!$F$76/4*$ER201^2*$EO201*$EP201*1*10^-7))*(1-$K201)*$AF201)*(VLOOKUP($EY$9,各项系数!$D$4:$F$143,3,0))*各项系数!$J$4</f>
        <v>0</v>
      </c>
      <c r="EX201" s="325">
        <f>EW201*(VLOOKUP($EY$9,各项系数!$D$4:$F$143,2,0))</f>
        <v>0</v>
      </c>
      <c r="EY201" s="251">
        <f>((各项系数!$F$76/4*$EJ201^2*$EG201*$EH201*1*10^-7)*(1-$H201)*AA201+IF($EO201=0,0,(各项系数!$F$76/4*$ER201^2*$EO201*$EP201*1*10^-7))*(1-$K201)*$AF201)*(VLOOKUP($EY$9,各项系数!$D$4:$F$143,3,0))*各项系数!$J$4</f>
        <v>0.132778878225398</v>
      </c>
      <c r="EZ201" s="123">
        <v>1</v>
      </c>
      <c r="FA201" s="251">
        <f t="shared" si="897"/>
        <v>0.132778878225398</v>
      </c>
      <c r="FB201" s="326">
        <f>FA201*(VLOOKUP($EY$9,各项系数!$D$4:$F$143,2,0))</f>
        <v>8.69701652376359</v>
      </c>
      <c r="FC201" s="327"/>
      <c r="FD201" s="302">
        <f>各项系数!$F$76/4*($MN201^2-MK201^2)*10^-2*(VLOOKUP(L201,各项系数!$D$1:$F$143,3,0))*10^-3*10^2*$EG201*各项系数!$J$4</f>
        <v>0.0277844985341846</v>
      </c>
      <c r="FE201" s="339">
        <f>FD201*VLOOKUP(L201,各项系数!$D$1:$F$143,2,0)</f>
        <v>0.319521733143123</v>
      </c>
      <c r="FF201" s="250">
        <f>各项系数!$F$76/4*($MO201^2-ML201^2)*10^-2*(VLOOKUP(L201,各项系数!$D$1:$F$143,3,0))*10^-3*10^2*$EO201*各项系数!$J$4</f>
        <v>0</v>
      </c>
      <c r="FG201" s="339">
        <f>FF201*VLOOKUP(L201,各项系数!$D$1:$F$143,2,0)</f>
        <v>0</v>
      </c>
      <c r="FH201" s="302">
        <f t="shared" si="651"/>
        <v>0.0277844985341846</v>
      </c>
      <c r="FI201" s="123">
        <v>1</v>
      </c>
      <c r="FJ201" s="251">
        <f t="shared" si="898"/>
        <v>0.0277844985341846</v>
      </c>
      <c r="FK201" s="339">
        <f>FJ201*VLOOKUP(L201,各项系数!$D$1:$F$143,2,0)</f>
        <v>0.319521733143123</v>
      </c>
      <c r="FL201" s="302"/>
      <c r="FM201" s="123"/>
      <c r="FN201" s="251"/>
      <c r="FO201" s="339"/>
      <c r="FP201" s="364">
        <f t="shared" si="899"/>
        <v>0.0277844985341846</v>
      </c>
      <c r="FQ201" s="364">
        <f t="shared" si="900"/>
        <v>0.319521733143123</v>
      </c>
      <c r="FR201" s="365">
        <f>各项系数!$F$76/4*($MQ201^2-$MN201^2*$EG201-$MO201^2*$EO201)*10^-2</f>
        <v>0.187479570261349</v>
      </c>
      <c r="FS201" s="366">
        <f t="shared" si="652"/>
        <v>1</v>
      </c>
      <c r="FT201" s="367">
        <f t="shared" si="604"/>
        <v>0.187479570261349</v>
      </c>
      <c r="FU201" s="388">
        <f>$FT201*(VLOOKUP($FT$9,各项系数!$D$1:$F$143,3,0))*10^-3*10^2*各项系数!$J$55</f>
        <v>0.0223850606892051</v>
      </c>
      <c r="FV201" s="389">
        <v>1</v>
      </c>
      <c r="FW201" s="390">
        <f t="shared" si="901"/>
        <v>0.0223850606892051</v>
      </c>
      <c r="FX201" s="367">
        <f>FW201*(VLOOKUP($FT$9,各项系数!$D$1:$F$143,2,0))</f>
        <v>0.0671551820676152</v>
      </c>
      <c r="FY201" s="388">
        <f>IF($BK201&lt;&gt;$FY$9,0,各项系数!$F$76/4*($MS201^2-$MQ201^2)*10^-2*(VLOOKUP($FY$9,各项系数!$D$1:$F$143,3,0))*10^-3*10^2)*各项系数!$J$4</f>
        <v>0</v>
      </c>
      <c r="FZ201" s="389">
        <v>1</v>
      </c>
      <c r="GA201" s="390">
        <f t="shared" si="902"/>
        <v>0</v>
      </c>
      <c r="GB201" s="367">
        <f>GA201*(VLOOKUP($FY$9,各项系数!$D$1:$F$143,2,0))</f>
        <v>0</v>
      </c>
      <c r="GC201" s="388">
        <f>IF($BK201&lt;&gt;$GC$9,0,各项系数!$F$76/4*($MS201^2-$MQ201^2)*10^-2*(VLOOKUP($GC$9,各项系数!$D$1:$F$143,3,0))*10^-3*10^2)*各项系数!$J$4</f>
        <v>0.00238717546225025</v>
      </c>
      <c r="GD201" s="389">
        <v>1</v>
      </c>
      <c r="GE201" s="390">
        <f t="shared" si="903"/>
        <v>0.00238717546225025</v>
      </c>
      <c r="GF201" s="367">
        <f>GE201*(VLOOKUP($GC$9,各项系数!$D$1:$F$143,2,0))</f>
        <v>0.0307945634630282</v>
      </c>
      <c r="GG201" s="388">
        <f>IF($BK201&lt;&gt;$GG$9,0,各项系数!$F$76/4*($MS201^2-$MQ201^2)*10^-2*(VLOOKUP($GG$9,各项系数!$D$1:$F$143,3,0))*10^-3*10^2)*各项系数!$J$4</f>
        <v>0</v>
      </c>
      <c r="GH201" s="389">
        <v>1</v>
      </c>
      <c r="GI201" s="390">
        <f t="shared" si="904"/>
        <v>0</v>
      </c>
      <c r="GJ201" s="367">
        <f>GI201*(VLOOKUP($GG$9,各项系数!$D$1:$F$143,2,0))</f>
        <v>0</v>
      </c>
      <c r="GK201" s="388">
        <f>IF($BK201&lt;&gt;$GK$9,0,各项系数!$F$76/4*($MS201^2-$MQ201^2)*10^-2*(VLOOKUP($GK$9,各项系数!$D$1:$F$143,3,0))*10^-3*10^2)*各项系数!$J$4</f>
        <v>0</v>
      </c>
      <c r="GL201" s="389">
        <v>1</v>
      </c>
      <c r="GM201" s="390">
        <f t="shared" si="905"/>
        <v>0</v>
      </c>
      <c r="GN201" s="367">
        <f>GM201*(VLOOKUP($GK$9,各项系数!$D$1:$F$143,2,0))</f>
        <v>0</v>
      </c>
      <c r="GO201" s="390">
        <f t="shared" si="906"/>
        <v>0.00238717546225025</v>
      </c>
      <c r="GP201" s="390">
        <f t="shared" si="907"/>
        <v>0.0307945634630282</v>
      </c>
      <c r="GQ201" s="406">
        <f>各项系数!$F$76/4*($MU201^2-$MS201^2)*10^-2*(VLOOKUP($S201,各项系数!$D$1:$F$143,3,0))*10^-3*10^2*各项系数!$J$4</f>
        <v>0.138656166297775</v>
      </c>
      <c r="GR201" s="389">
        <v>1</v>
      </c>
      <c r="GS201" s="390">
        <f t="shared" si="908"/>
        <v>0.138656166297775</v>
      </c>
      <c r="GT201" s="390">
        <f t="shared" si="909"/>
        <v>1</v>
      </c>
      <c r="GU201" s="390">
        <f>ROUND($GS201*(VLOOKUP($S201,各项系数!$D$1:$F$143,2,0))+$E$3*GS201,GT201)</f>
        <v>0.8</v>
      </c>
      <c r="GV201" s="406">
        <f>各项系数!$F$76/4*($MT201^2-$MS201^2)*10^-2*(VLOOKUP($GV$9,各项系数!$D$1:$F$143,3,0))*10^-3*10^2*各项系数!$J$4*PI()/4*R201</f>
        <v>0.0124790844144195</v>
      </c>
      <c r="GW201" s="389">
        <v>1</v>
      </c>
      <c r="GX201" s="390">
        <f t="shared" si="910"/>
        <v>0.0124790844144195</v>
      </c>
      <c r="GY201" s="390">
        <f>$GX201*(VLOOKUP($GV$9,各项系数!$D$1:$F$143,2,0))</f>
        <v>0.842338197973315</v>
      </c>
      <c r="GZ201" s="406">
        <f>各项系数!$F$76/4*($MV201^2-$MS201^2)*10^-2*(VLOOKUP($GZ$9,各项系数!$D$1:$F$143,3,0))*10^-3*10^2*各项系数!$J$4</f>
        <v>0.0813205613855519</v>
      </c>
      <c r="HA201" s="389">
        <v>1</v>
      </c>
      <c r="HB201" s="390">
        <f t="shared" si="653"/>
        <v>0.0813205613855519</v>
      </c>
      <c r="HC201" s="390">
        <f>HB201*(VLOOKUP($GZ$9,各项系数!$D$1:$F$143,2,0))</f>
        <v>1.38244954355438</v>
      </c>
      <c r="HD201" s="406">
        <f>各项系数!$F$76/4*($MW201^2-$MT201^2)*10^-2*(VLOOKUP($HD$9,各项系数!$D$1:$F$143,3,0))*10^-3*10^2*各项系数!$J$4</f>
        <v>0.0825534103074148</v>
      </c>
      <c r="HE201" s="389">
        <v>1</v>
      </c>
      <c r="HF201" s="390">
        <f t="shared" si="654"/>
        <v>0.0825534103074148</v>
      </c>
      <c r="HG201" s="390">
        <f>HF201*(VLOOKUP($HD$9,各项系数!$D$1:$F$143,2,0))</f>
        <v>1.40340797522605</v>
      </c>
      <c r="HH201" s="406">
        <f>各项系数!$F$76/4*($MV201^2-$MS201^2)*10^-2*(VLOOKUP($HH$9,各项系数!$D$1:$F$143,3,0))*10^-3*10^2*各项系数!$J$4</f>
        <v>0.0813205613855519</v>
      </c>
      <c r="HI201" s="420">
        <v>1</v>
      </c>
      <c r="HJ201" s="390">
        <f t="shared" si="655"/>
        <v>0.0813205613855519</v>
      </c>
      <c r="HK201" s="390">
        <f>HJ201*(VLOOKUP($HH$9,各项系数!$D$1:$F$143,2,0))</f>
        <v>1.38244954355438</v>
      </c>
      <c r="HL201" s="406">
        <f>各项系数!$F$76/4*($MW201^2-$MT201^2)*10^-2*(VLOOKUP($HL$9,各项系数!$D$1:$F$143,3,0))*10^-3*10^2*各项系数!$J$4</f>
        <v>0.0825534103074148</v>
      </c>
      <c r="HM201" s="420">
        <v>1</v>
      </c>
      <c r="HN201" s="390">
        <f t="shared" si="605"/>
        <v>0.0825534103074148</v>
      </c>
      <c r="HO201" s="390">
        <f>HN201*(VLOOKUP($HL$9,各项系数!$D$1:$F$143,2,0))</f>
        <v>1.40340797522605</v>
      </c>
      <c r="HP201" s="406">
        <f>各项系数!$F$76/4*($MV201^2-$MS201^2)*10^-2*(VLOOKUP(AN201,各项系数!$D$1:$F$143,3,0))*10^-3*10^2*各项系数!$J$4</f>
        <v>0.0824422243012147</v>
      </c>
      <c r="HQ201" s="389">
        <v>1</v>
      </c>
      <c r="HR201" s="390">
        <f t="shared" si="911"/>
        <v>0.0824422243012147</v>
      </c>
      <c r="HS201" s="390">
        <f>HR201*(VLOOKUP(AN201,各项系数!$D$1:$F$143,2,0))</f>
        <v>0.824422243012147</v>
      </c>
      <c r="HT201" s="406">
        <f>各项系数!$F$76/4*($MW201^2-$MT201^2)*10^-2*(VLOOKUP(AN201,各项系数!$D$1:$F$143,3,0))*10^-3*10^2*各项系数!$J$4</f>
        <v>0.0836920780357929</v>
      </c>
      <c r="HU201" s="389">
        <v>1</v>
      </c>
      <c r="HV201" s="390">
        <f t="shared" si="912"/>
        <v>0.0836920780357929</v>
      </c>
      <c r="HW201" s="390">
        <f>HV201*(VLOOKUP(AN201,各项系数!$D$1:$F$143,2,0))</f>
        <v>0.836920780357929</v>
      </c>
      <c r="HX201" s="406">
        <f>各项系数!$F$76/4*($MV201^2-$MS201^2)*10^-2*(VLOOKUP($HX$9,各项系数!$D$1:$F$143,3,0))*10^-3*10^2*各项系数!$J$4</f>
        <v>0.0824422243012147</v>
      </c>
      <c r="HY201" s="420">
        <v>1</v>
      </c>
      <c r="HZ201" s="390">
        <f t="shared" si="913"/>
        <v>0.0824422243012147</v>
      </c>
      <c r="IA201" s="390">
        <f>HZ201*(VLOOKUP($HX$9,各项系数!$D$1:$F$143,2,0))</f>
        <v>0.906864467313361</v>
      </c>
      <c r="IB201" s="406">
        <f>各项系数!$F$76/4*($MW201^2-$MT201^2)*10^-2*(VLOOKUP($IB$9,各项系数!$D$1:$F$143,3,0))*10^-3*10^2*各项系数!$J$4</f>
        <v>0.0836920780357929</v>
      </c>
      <c r="IC201" s="420">
        <v>1</v>
      </c>
      <c r="ID201" s="390">
        <f t="shared" si="914"/>
        <v>0.0836920780357929</v>
      </c>
      <c r="IE201" s="390">
        <f>ID201*(VLOOKUP($IB$9,各项系数!$D$1:$F$143,2,0))</f>
        <v>0.920612858393722</v>
      </c>
      <c r="IF201" s="429"/>
      <c r="IG201" s="406">
        <f t="shared" si="656"/>
        <v>0.0139870569715177</v>
      </c>
      <c r="IH201" s="389">
        <v>1</v>
      </c>
      <c r="II201" s="390">
        <f t="shared" si="915"/>
        <v>0.0139870569715177</v>
      </c>
      <c r="IJ201" s="390">
        <f>II201*(VLOOKUP($IG$8,各项系数!$D$1:$F$143,2,0))</f>
        <v>0.349676424287943</v>
      </c>
      <c r="IK201" s="406">
        <f>(各项系数!$F$76/4*($MX201^2-$MK201^2)*$EG201)*10^-2*(VLOOKUP($IG$8,各项系数!$D$1:$F$143,3,0))*10^-3*10^2*各项系数!$J$4</f>
        <v>0.0139870569715177</v>
      </c>
      <c r="IL201" s="389">
        <f>IK201*(VLOOKUP($IG$8,各项系数!$D$1:$F$143,2,0))</f>
        <v>0.349676424287943</v>
      </c>
      <c r="IM201" s="390">
        <f>(各项系数!$F$76/4*(($MM201+3*$X201)^2-MM201^2)*$EO201)*10^-2*(VLOOKUP($IG$8,各项系数!$D$1:$F$143,3,0))*10^-3*10^2*各项系数!$J$4</f>
        <v>0</v>
      </c>
      <c r="IN201" s="389">
        <f>IM201*(VLOOKUP($IG$8,各项系数!$D$1:$F$143,2,0))</f>
        <v>0</v>
      </c>
      <c r="IO201" s="406">
        <f>各项系数!$F$76/4*($MZ201^2-$MX201^2)*10^-2*(VLOOKUP(L201,各项系数!$D$1:$F$143,3,0))*10^-3*10^2*$ES201*各项系数!$J$4</f>
        <v>0.0335611334418993</v>
      </c>
      <c r="IP201" s="389">
        <v>1</v>
      </c>
      <c r="IQ201" s="390">
        <f t="shared" si="916"/>
        <v>0.0335611334418993</v>
      </c>
      <c r="IR201" s="367">
        <f>IQ201*(VLOOKUP(L201,各项系数!$D$1:$F$143,2,0))</f>
        <v>0.385953034581842</v>
      </c>
      <c r="IS201" s="406">
        <f>IF($L201&lt;&gt;$IS$9,0,各项系数!$F$76/4*($MZ201^2-$MX201^2)*10^-2*各项系数!$F$12*10^-3*10^2)*$ES201*各项系数!$J$4</f>
        <v>0</v>
      </c>
      <c r="IT201" s="389">
        <v>1</v>
      </c>
      <c r="IU201" s="390">
        <f t="shared" si="917"/>
        <v>0</v>
      </c>
      <c r="IV201" s="367">
        <f>IU201*各项系数!$E$12</f>
        <v>0</v>
      </c>
      <c r="IW201" s="388">
        <f t="shared" si="918"/>
        <v>0.0335611334418993</v>
      </c>
      <c r="IX201" s="388">
        <f t="shared" si="919"/>
        <v>0.385953034581842</v>
      </c>
      <c r="IY201" s="447">
        <f>各项系数!$F$76/4*($NB201^2-$MZ201^2*$EG201-$NA201^2*$EO201)*10^-2</f>
        <v>0.255467612498606</v>
      </c>
      <c r="IZ201" s="366">
        <f t="shared" si="697"/>
        <v>1</v>
      </c>
      <c r="JA201" s="367">
        <f t="shared" si="606"/>
        <v>0.255467612498606</v>
      </c>
      <c r="JB201" s="364">
        <f>IF($DE201&lt;&gt;$JB$9,0,$JA201*各项系数!$F$32*10^-3*10^2)*各项系数!$J$4</f>
        <v>0</v>
      </c>
      <c r="JC201" s="123">
        <v>1</v>
      </c>
      <c r="JD201" s="251">
        <f t="shared" si="920"/>
        <v>0</v>
      </c>
      <c r="JE201" s="339">
        <f>JD201*各项系数!$E$32</f>
        <v>0</v>
      </c>
      <c r="JF201" s="364">
        <f>IF($DE201&lt;&gt;$JF$9,0,$JA201*VLOOKUP($JF$9,各项系数!$D$4:$F$540,2,0)*10^-3*10^2)*各项系数!$J$4</f>
        <v>0.127095137218057</v>
      </c>
      <c r="JG201" s="123">
        <v>1</v>
      </c>
      <c r="JH201" s="251">
        <f t="shared" si="607"/>
        <v>0.127095137218057</v>
      </c>
      <c r="JI201" s="339">
        <f>JH201*VLOOKUP($JF$9,各项系数!$D$4:$F$540,3,0)</f>
        <v>0.152514164661668</v>
      </c>
      <c r="JJ201" s="364">
        <f t="shared" si="921"/>
        <v>0.127095137218057</v>
      </c>
      <c r="JK201" s="251">
        <f t="shared" si="922"/>
        <v>0.152514164661668</v>
      </c>
      <c r="JL201" s="364">
        <f>IF($DF201&lt;&gt;$JL$9,0,各项系数!$F$76/4*($NE201^2-$NC201^2)*10^-2*各项系数!$F$39*10^-3*10^2)*各项系数!$J$4</f>
        <v>0.00115343340512148</v>
      </c>
      <c r="JM201" s="123">
        <v>1</v>
      </c>
      <c r="JN201" s="251">
        <f t="shared" si="923"/>
        <v>0.00115343340512148</v>
      </c>
      <c r="JO201" s="339">
        <f>JN201*各项系数!$E$39</f>
        <v>0.0230686681024296</v>
      </c>
      <c r="JP201" s="364">
        <f>IF($DF201&lt;&gt;$JP$9,0,各项系数!$F$76/4*($NE201^2-$NC201^2)*10^-2*各项系数!$F$36*10^-3*10^2)*各项系数!$J$4</f>
        <v>0</v>
      </c>
      <c r="JQ201" s="123">
        <v>1</v>
      </c>
      <c r="JR201" s="251">
        <f t="shared" si="924"/>
        <v>0</v>
      </c>
      <c r="JS201" s="339">
        <f>JR201*各项系数!$E$36</f>
        <v>0</v>
      </c>
      <c r="JT201" s="364">
        <f>IF($DF201&lt;&gt;$JT$9,0,各项系数!$F$76/4*($NE201^2-$NC201^2)*10^-2*各项系数!$F$40*10^-3*10^2)*各项系数!$J$4</f>
        <v>0</v>
      </c>
      <c r="JU201" s="123">
        <v>1</v>
      </c>
      <c r="JV201" s="251">
        <f t="shared" si="925"/>
        <v>0</v>
      </c>
      <c r="JW201" s="339">
        <f>JV201*各项系数!$E$40</f>
        <v>0</v>
      </c>
      <c r="JX201" s="364">
        <f>IF($DF201&lt;&gt;$JX$9,0,各项系数!$F$76/4*($NE201^2-$NC201^2)*10^-2*各项系数!$F$38*10^-3*10^2)*各项系数!$J$4</f>
        <v>0</v>
      </c>
      <c r="JY201" s="123">
        <v>1</v>
      </c>
      <c r="JZ201" s="251">
        <f t="shared" si="926"/>
        <v>0</v>
      </c>
      <c r="KA201" s="339">
        <f>JZ201*各项系数!$E$38</f>
        <v>0</v>
      </c>
      <c r="KB201" s="364">
        <f>IF($DF201&lt;&gt;$KB$9,0,各项系数!$F$76/4*($NE201^2-$NC201^2)*10^-2*各项系数!$F$41*10^-3*10^2)*各项系数!$J$4</f>
        <v>0</v>
      </c>
      <c r="KC201" s="123">
        <v>1</v>
      </c>
      <c r="KD201" s="251">
        <f t="shared" si="927"/>
        <v>0</v>
      </c>
      <c r="KE201" s="339">
        <f>KD201*各项系数!$E$41</f>
        <v>0</v>
      </c>
      <c r="KF201" s="251">
        <f t="shared" si="928"/>
        <v>0.00115343340512148</v>
      </c>
      <c r="KG201" s="251">
        <f t="shared" si="929"/>
        <v>0.0230686681024296</v>
      </c>
      <c r="KH201" s="302">
        <f>各项系数!$F$76/4*($NG201^2-$NE201^2)*10^-2*各项系数!$F$44*10^-3*10^2*各项系数!$J$4*0.75*$U201</f>
        <v>0.482672427491197</v>
      </c>
      <c r="KI201" s="123">
        <v>1</v>
      </c>
      <c r="KJ201" s="251">
        <f t="shared" si="930"/>
        <v>0.482672427491197</v>
      </c>
      <c r="KK201" s="251">
        <f>ROUND(KJ201*各项系数!$E$43,GT201)</f>
        <v>2.8</v>
      </c>
      <c r="KL201" s="302">
        <f>各项系数!$F$76/4*($NF201^2-$NE201^2)*10^-2*各项系数!$F$46*10^-3*10^2*各项系数!$J$4*PI()/4*R201</f>
        <v>0.0145966836477386</v>
      </c>
      <c r="KM201" s="123">
        <v>1</v>
      </c>
      <c r="KN201" s="251">
        <f t="shared" si="931"/>
        <v>0.0145966836477386</v>
      </c>
      <c r="KO201" s="251">
        <f>KN201*各项系数!$E$46</f>
        <v>0.985276146222354</v>
      </c>
      <c r="KP201" s="302">
        <f>各项系数!$F$76/4*($NH201^2-$NE201^2)*10^-2*(VLOOKUP($KP$9,各项系数!$D$1:$F$143,3,0))*10^-3*10^2*各项系数!$J$4</f>
        <v>0.0930018049202032</v>
      </c>
      <c r="KQ201" s="123">
        <v>1</v>
      </c>
      <c r="KR201" s="251">
        <f t="shared" si="657"/>
        <v>0.0930018049202032</v>
      </c>
      <c r="KS201" s="251">
        <f>KR201*(VLOOKUP($KP$9,各项系数!$D$1:$F$143,2,0))</f>
        <v>1.58103068364345</v>
      </c>
      <c r="KT201" s="302">
        <f>各项系数!$F$76/4*($NI201^2-$NF201^2)*10^-2*(VLOOKUP($KT$9,各项系数!$D$1:$F$143,3,0))*10^-3*10^2*各项系数!$J$4</f>
        <v>0.0942346538420661</v>
      </c>
      <c r="KU201" s="123">
        <v>1</v>
      </c>
      <c r="KV201" s="251">
        <f t="shared" si="658"/>
        <v>0.0942346538420661</v>
      </c>
      <c r="KW201" s="251">
        <f>KV201*(VLOOKUP($KT$9,各项系数!$D$1:$F$143,2,0))</f>
        <v>1.60198911531512</v>
      </c>
      <c r="KX201" s="251">
        <f>各项系数!$F$76/4*($NH201^2-$NE201^2)*10^-2*(VLOOKUP($KX$9,各项系数!$D$1:$F$143,3,0))*10^-3*10^2*各项系数!$J$4</f>
        <v>0.0930018049202032</v>
      </c>
      <c r="KY201" s="479">
        <v>1</v>
      </c>
      <c r="KZ201" s="251">
        <f t="shared" si="659"/>
        <v>0.0930018049202032</v>
      </c>
      <c r="LA201" s="251">
        <f>KZ201*(VLOOKUP($KX$9,各项系数!$D$1:$F$143,2,0))</f>
        <v>1.58103068364345</v>
      </c>
      <c r="LB201" s="251">
        <f>各项系数!$F$76/4*($NI201^2-$NF201^2)*10^-2*(VLOOKUP($LB$9,各项系数!$D$1:$F$143,3,0))*10^-3*10^2*各项系数!$J$4</f>
        <v>0.0942346538420661</v>
      </c>
      <c r="LC201" s="479">
        <v>1</v>
      </c>
      <c r="LD201" s="251">
        <f t="shared" si="660"/>
        <v>0.0942346538420661</v>
      </c>
      <c r="LE201" s="251">
        <f>LD201*(VLOOKUP($LB$9,各项系数!$D$1:$F$143,2,0))</f>
        <v>1.60198911531512</v>
      </c>
      <c r="LF201" s="302">
        <f>各项系数!$F$76/4*($NH201^2-$NE201^2)*10^-2*(VLOOKUP(AN201,各项系数!$D$1:$F$143,3,0))*10^-3*10^2*各项系数!$J$4</f>
        <v>0.0942845884363439</v>
      </c>
      <c r="LG201" s="123">
        <v>1</v>
      </c>
      <c r="LH201" s="251">
        <f t="shared" si="932"/>
        <v>0.0942845884363439</v>
      </c>
      <c r="LI201" s="251">
        <f>LH201*(VLOOKUP(AN201,各项系数!$D$1:$F$143,2,0))</f>
        <v>0.942845884363439</v>
      </c>
      <c r="LJ201" s="302">
        <f>各项系数!$F$76/4*($NI201^2-$NF201^2)*10^-2*(VLOOKUP(AN201,各项系数!$D$1:$F$143,3,0))*10^-3*10^2*各项系数!$J$4</f>
        <v>0.0955344421709222</v>
      </c>
      <c r="LK201" s="123">
        <v>1</v>
      </c>
      <c r="LL201" s="251">
        <f t="shared" si="933"/>
        <v>0.0955344421709222</v>
      </c>
      <c r="LM201" s="251">
        <f>LL201*(VLOOKUP(AN201,各项系数!$D$1:$F$143,2,0))</f>
        <v>0.955344421709222</v>
      </c>
      <c r="LN201" s="251">
        <f>各项系数!$F$76/4*($NH201^2-$NE201^2)*10^-2*(VLOOKUP($LN$9,各项系数!$D$1:$F$143,3,0))*10^-3*10^2*各项系数!$J$4</f>
        <v>0.0942845884363439</v>
      </c>
      <c r="LO201" s="479">
        <v>1</v>
      </c>
      <c r="LP201" s="251">
        <f t="shared" si="934"/>
        <v>0.0942845884363439</v>
      </c>
      <c r="LQ201" s="251">
        <f>LP201*(VLOOKUP($LN$9,各项系数!$D$1:$F$143,2,0))</f>
        <v>1.03713047279978</v>
      </c>
      <c r="LR201" s="251">
        <f>各项系数!$F$76/4*($NI201^2-$NF201^2)*10^-2*(VLOOKUP($LR$9,各项系数!$D$1:$F$143,3,0))*10^-3*10^2*各项系数!$J$4</f>
        <v>0.0955344421709222</v>
      </c>
      <c r="LS201" s="479">
        <v>1</v>
      </c>
      <c r="LT201" s="251">
        <f t="shared" si="935"/>
        <v>0.0955344421709222</v>
      </c>
      <c r="LU201" s="251">
        <f>LT201*(VLOOKUP($LR$9,各项系数!$D$1:$F$143,2,0))</f>
        <v>1.05087886388014</v>
      </c>
      <c r="LV201" s="499">
        <f t="shared" si="661"/>
        <v>15.01081093</v>
      </c>
      <c r="LW201" s="499">
        <f t="shared" si="662"/>
        <v>15.01081093</v>
      </c>
      <c r="LX201" s="499">
        <f t="shared" si="663"/>
        <v>4.37176830065579</v>
      </c>
      <c r="LY201" s="515">
        <f t="shared" si="664"/>
        <v>0</v>
      </c>
      <c r="LZ201" s="516">
        <f t="shared" si="608"/>
        <v>1</v>
      </c>
      <c r="MA201" s="517">
        <f t="shared" si="609"/>
        <v>15.01081093</v>
      </c>
      <c r="MB201" s="517">
        <f t="shared" si="665"/>
        <v>2.18588415</v>
      </c>
      <c r="MC201" s="499">
        <f t="shared" si="666"/>
        <v>0</v>
      </c>
      <c r="MD201" s="499">
        <f t="shared" si="667"/>
        <v>0</v>
      </c>
      <c r="ME201" s="499">
        <f t="shared" si="668"/>
        <v>0</v>
      </c>
      <c r="MF201" s="499">
        <f t="shared" si="669"/>
        <v>0</v>
      </c>
      <c r="MG201" s="516">
        <f t="shared" si="670"/>
        <v>1</v>
      </c>
      <c r="MH201" s="517">
        <f t="shared" si="610"/>
        <v>0</v>
      </c>
      <c r="MI201" s="517">
        <f t="shared" si="671"/>
        <v>0</v>
      </c>
      <c r="MJ201" s="251">
        <f t="shared" si="611"/>
        <v>2.18588415</v>
      </c>
      <c r="MK201" s="251">
        <f t="shared" si="672"/>
        <v>2.18588415</v>
      </c>
      <c r="ML201" s="251">
        <f t="shared" si="936"/>
        <v>0</v>
      </c>
      <c r="MM201" s="251">
        <f t="shared" si="612"/>
        <v>0</v>
      </c>
      <c r="MN201" s="251">
        <f t="shared" si="613"/>
        <v>3.58588415</v>
      </c>
      <c r="MO201" s="251">
        <f t="shared" si="673"/>
        <v>0</v>
      </c>
      <c r="MP201" s="251">
        <f t="shared" si="674"/>
        <v>8.67783964</v>
      </c>
      <c r="MQ201" s="251">
        <f t="shared" si="937"/>
        <v>8.67783964</v>
      </c>
      <c r="MR201" s="314">
        <f t="shared" si="675"/>
        <v>8.67783964</v>
      </c>
      <c r="MS201" s="530">
        <f t="shared" si="614"/>
        <v>8.85383964</v>
      </c>
      <c r="MT201" s="530">
        <f t="shared" si="615"/>
        <v>9.01383964</v>
      </c>
      <c r="MU201" s="530">
        <f t="shared" si="616"/>
        <v>10.05383964</v>
      </c>
      <c r="MV201" s="530">
        <f t="shared" si="617"/>
        <v>12.25383964</v>
      </c>
      <c r="MW201" s="530">
        <f t="shared" si="618"/>
        <v>12.41383964</v>
      </c>
      <c r="MX201" s="326">
        <f t="shared" si="619"/>
        <v>2.78588415</v>
      </c>
      <c r="MY201" s="326">
        <f t="shared" si="620"/>
        <v>0</v>
      </c>
      <c r="MZ201" s="251">
        <f t="shared" si="621"/>
        <v>4.18588415</v>
      </c>
      <c r="NA201" s="251">
        <f t="shared" si="622"/>
        <v>0</v>
      </c>
      <c r="NB201" s="251">
        <f t="shared" si="676"/>
        <v>10.12983964</v>
      </c>
      <c r="NC201" s="326">
        <f t="shared" si="938"/>
        <v>10.12983964</v>
      </c>
      <c r="ND201" s="314">
        <f t="shared" si="677"/>
        <v>10.12983964</v>
      </c>
      <c r="NE201" s="537">
        <f t="shared" si="678"/>
        <v>10.36983964</v>
      </c>
      <c r="NF201" s="530">
        <f t="shared" si="623"/>
        <v>10.52983964</v>
      </c>
      <c r="NG201" s="538">
        <f t="shared" si="624"/>
        <v>11.56983964</v>
      </c>
      <c r="NH201" s="326">
        <f t="shared" si="625"/>
        <v>13.76983964</v>
      </c>
      <c r="NI201" s="530">
        <f t="shared" si="626"/>
        <v>13.92983964</v>
      </c>
      <c r="NK201" s="539">
        <f t="shared" si="627"/>
        <v>0.267777837212253</v>
      </c>
      <c r="NL201" s="539">
        <f t="shared" si="628"/>
        <v>9.9389102454495</v>
      </c>
      <c r="NM201" s="539">
        <f t="shared" si="629"/>
        <v>0.267777837212253</v>
      </c>
      <c r="NN201" s="539">
        <f t="shared" si="630"/>
        <v>10.0213524697507</v>
      </c>
      <c r="NO201" s="539">
        <f t="shared" si="631"/>
        <v>0.402860227698337</v>
      </c>
      <c r="NP201" s="539">
        <f t="shared" si="632"/>
        <v>10.5510746997609</v>
      </c>
      <c r="NQ201" s="539">
        <f t="shared" si="633"/>
        <v>0.402860227698337</v>
      </c>
      <c r="NR201" s="539">
        <f t="shared" si="634"/>
        <v>10.6453592881972</v>
      </c>
      <c r="NS201" s="539">
        <f t="shared" si="635"/>
        <v>0.280256921626672</v>
      </c>
      <c r="NT201" s="539">
        <f t="shared" si="636"/>
        <v>0.280256921626672</v>
      </c>
      <c r="NU201" s="539">
        <f t="shared" si="637"/>
        <v>0.417456911346076</v>
      </c>
      <c r="NV201" s="539">
        <f t="shared" si="638"/>
        <v>0.417456911346076</v>
      </c>
      <c r="NW201">
        <f t="shared" si="639"/>
        <v>0.406434003510028</v>
      </c>
      <c r="NX201">
        <f>各项系数!$M$9*NK201</f>
        <v>0.0803333511636758</v>
      </c>
      <c r="NY201">
        <f t="shared" si="640"/>
        <v>0.280256921626672</v>
      </c>
    </row>
    <row r="202" s="13" customFormat="1" customHeight="1" spans="1:389">
      <c r="A202" s="23"/>
      <c r="B202" s="182"/>
      <c r="C202" s="225"/>
      <c r="D202" s="78" t="s">
        <v>168</v>
      </c>
      <c r="E202" s="70">
        <f t="shared" si="885"/>
        <v>13.45788721</v>
      </c>
      <c r="F202" s="225">
        <f>$F$18</f>
        <v>218.588414706449</v>
      </c>
      <c r="G202" s="23"/>
      <c r="H202" s="23"/>
      <c r="I202" s="174">
        <v>0</v>
      </c>
      <c r="J202" s="23"/>
      <c r="K202" s="23"/>
      <c r="L202" s="121" t="s">
        <v>469</v>
      </c>
      <c r="M202" s="119">
        <f t="shared" si="582"/>
        <v>0.7</v>
      </c>
      <c r="N202" s="119">
        <f t="shared" si="804"/>
        <v>0</v>
      </c>
      <c r="O202" s="74">
        <f t="shared" si="939"/>
        <v>0.08</v>
      </c>
      <c r="P202" s="120">
        <v>0.1</v>
      </c>
      <c r="Q202" s="165">
        <f t="shared" si="882"/>
        <v>0.1</v>
      </c>
      <c r="R202" s="567">
        <v>0.8</v>
      </c>
      <c r="S202" s="173" t="str">
        <f>各项系数!$D$43</f>
        <v>钢带</v>
      </c>
      <c r="T202" s="78">
        <v>0.2</v>
      </c>
      <c r="U202" s="78">
        <v>4</v>
      </c>
      <c r="V202" s="172"/>
      <c r="W202" s="561">
        <v>1.8</v>
      </c>
      <c r="X202" s="168">
        <f t="shared" si="883"/>
        <v>0.2</v>
      </c>
      <c r="Y202" s="221"/>
      <c r="Z202" s="222"/>
      <c r="AA202" s="223">
        <v>1</v>
      </c>
      <c r="AB202" s="186">
        <f>PI()*EJ202*EJ202/4*EH202*(1-H202)*AA202*各项系数!$F$5*各项系数!$J$4*10^-7</f>
        <v>0.0331947195563496</v>
      </c>
      <c r="AC202" s="224">
        <f t="shared" si="886"/>
        <v>218.588414706449</v>
      </c>
      <c r="AD202" s="186">
        <f t="shared" si="584"/>
        <v>3.75270272129484</v>
      </c>
      <c r="AE202" s="186">
        <f>POWER(4*EU202/PI()/EG202/10^-7/EH202/(1-H202)/各项系数!$F$5/各项系数!$J$4,0.5)</f>
        <v>218.588414706449</v>
      </c>
      <c r="AF202" s="225">
        <v>1</v>
      </c>
      <c r="AG202" s="23">
        <f>IF(EM202=0,0,PI()*ER202*ER202/4*EP202*(1-K202)*(1+AF202)*各项系数!$F$5*各项系数!$J$4*10^-7)</f>
        <v>0</v>
      </c>
      <c r="AH202" s="23">
        <f t="shared" si="887"/>
        <v>0</v>
      </c>
      <c r="AI202" s="85">
        <f t="shared" si="641"/>
        <v>0</v>
      </c>
      <c r="AJ202" s="85">
        <f>IF(OR(EP202="",EP202=0),0,POWER(4*EW202/PI()/EO202/10^-7/EP202/(1-K202)/各项系数!$F$5/各项系数!$J$4,0.5))</f>
        <v>0</v>
      </c>
      <c r="AK202" s="23" t="str">
        <f t="shared" si="585"/>
        <v>√</v>
      </c>
      <c r="AL202" s="23">
        <f t="shared" si="888"/>
        <v>12.7924376752465</v>
      </c>
      <c r="AM202" s="78">
        <f t="shared" si="889"/>
        <v>4</v>
      </c>
      <c r="AN202" s="121" t="s">
        <v>486</v>
      </c>
      <c r="AO202" s="165">
        <f>AP202+各项系数!$M$9*$NK202</f>
        <v>12.5416055639672</v>
      </c>
      <c r="AP202" s="165">
        <f>AQ202*(1+$BI202+(VLOOKUP($AM202,$A$12:$B$323,2,0))+各项系数!$J$6+各项系数!$M$5)*(1+$E$2)</f>
        <v>12.4433850186325</v>
      </c>
      <c r="AQ202" s="261">
        <f>AR202+各项系数!$L$9*$NK202</f>
        <v>12.6973316516658</v>
      </c>
      <c r="AR202" s="261">
        <f>AS202*(1+$BJ202+各项系数!$J$5+各项系数!$L$5)</f>
        <v>12.599111106331</v>
      </c>
      <c r="AS202" s="261">
        <f t="shared" si="642"/>
        <v>12.3520697120893</v>
      </c>
      <c r="AT202" s="165">
        <f>AU202+各项系数!$M$9*$NM202</f>
        <v>13.1940065908492</v>
      </c>
      <c r="AU202" s="165">
        <f>AV202*(1+$BI202+(VLOOKUP($AM202,$A$12:$B$323,2,0))+各项系数!$J$6+各项系数!$M$5)*(1+$E$2)</f>
        <v>13.0957860455144</v>
      </c>
      <c r="AV202" s="261">
        <f>AW202+各项系数!$L$9*$NM202</f>
        <v>13.3630469852188</v>
      </c>
      <c r="AW202" s="261">
        <f>AX202*(1+$BJ202+各项系数!$J$5+各项系数!$L$5)</f>
        <v>13.2648264398841</v>
      </c>
      <c r="AX202" s="261">
        <f t="shared" si="643"/>
        <v>13.0047318038079</v>
      </c>
      <c r="AY202" s="165">
        <f>AZ202+各项系数!$M$9*$NS202</f>
        <v>13.4997109406121</v>
      </c>
      <c r="AZ202" s="165">
        <f>BA202*(1+$BI202+(VLOOKUP($AM202,$A$12:$B$214,2,0))+各项系数!$J$6+各项系数!$M$5)*(1+$E$2)</f>
        <v>13.3973259238387</v>
      </c>
      <c r="BA202" s="261">
        <f>BB202+各项系数!$L$9*$NS202</f>
        <v>13.6707407386109</v>
      </c>
      <c r="BB202" s="261">
        <f>BC202*(1+$BJ202+各项系数!$J$5+各项系数!$L$5)</f>
        <v>13.5683557218375</v>
      </c>
      <c r="BC202" s="261">
        <f t="shared" si="644"/>
        <v>13.3023095312133</v>
      </c>
      <c r="BD202" s="165">
        <f>BE202+各项系数!$M$9*$NS202</f>
        <v>14.1610659196486</v>
      </c>
      <c r="BE202" s="165">
        <f>BF202*(1+$BI202+(VLOOKUP($AM202,$A$12:$B$214,2,0))+各项系数!$J$6+各项系数!$M$5)*(1+$E$2)</f>
        <v>14.0586809028752</v>
      </c>
      <c r="BF202" s="261">
        <f>BG202+各项系数!$L$9*$NS202</f>
        <v>14.3455927580359</v>
      </c>
      <c r="BG202" s="261">
        <f>BH202*(1+$BJ202+各项系数!$J$5+各项系数!$L$5)</f>
        <v>14.2432077412625</v>
      </c>
      <c r="BH202" s="261">
        <f t="shared" si="645"/>
        <v>13.9639291581005</v>
      </c>
      <c r="BI202" s="568">
        <v>0</v>
      </c>
      <c r="BJ202" s="273">
        <f>$BJ$199</f>
        <v>0</v>
      </c>
      <c r="BK202" s="78" t="s">
        <v>514</v>
      </c>
      <c r="BL202" s="165">
        <f>BM202+各项系数!$M$9*$NM202</f>
        <v>12.7599856722321</v>
      </c>
      <c r="BM202" s="165">
        <f>BN202*(1+$CF202+(VLOOKUP($AM202,$A$12:$B$323,2,0))+各项系数!$J$6+各项系数!$M$5)*(1+$E$2)</f>
        <v>12.6617651268974</v>
      </c>
      <c r="BN202" s="261">
        <f>BO202+各项系数!$L$9*$NM202</f>
        <v>12.920168496834</v>
      </c>
      <c r="BO202" s="261">
        <f>BP202*(1+$CG202+各项系数!$J$5+各项系数!$L$5)</f>
        <v>12.8219479514993</v>
      </c>
      <c r="BP202" s="261">
        <f t="shared" si="646"/>
        <v>12.4484931567954</v>
      </c>
      <c r="BQ202" s="165">
        <f>BR202+各项系数!$M$9*$NM202</f>
        <v>13.3214529625265</v>
      </c>
      <c r="BR202" s="165">
        <f>BS202*(1+$CF202+(VLOOKUP($AM202,$A$12:$B$323,2,0))+各项系数!$J$6+各项系数!$M$5)*(1+$E$2)</f>
        <v>13.2232324171918</v>
      </c>
      <c r="BS202" s="261">
        <f>BT202+各项系数!$L$9*$NM202</f>
        <v>13.4930943032569</v>
      </c>
      <c r="BT202" s="261">
        <f>BU202*(1+$CG202+各项系数!$J$5+各项系数!$L$5)</f>
        <v>13.3948737579222</v>
      </c>
      <c r="BU202" s="261">
        <f t="shared" si="647"/>
        <v>13.0047318038079</v>
      </c>
      <c r="BV202" s="165">
        <f>BW202+各项系数!$M$9*$NT202</f>
        <v>13.6365000320216</v>
      </c>
      <c r="BW202" s="165">
        <f>BX202*(1+$CF202+(VLOOKUP($AM202,$A$12:$B$214,2,0))+各项系数!$J$6+各项系数!$M$5)*(1+$E$2)</f>
        <v>13.5341150152482</v>
      </c>
      <c r="BX202" s="261">
        <f>BY202+各项系数!$L$9*$NT$12</f>
        <v>13.8103214441308</v>
      </c>
      <c r="BY202" s="261">
        <f>BZ202*(1+$CG202+各项系数!$J$5+各项系数!$L$5)</f>
        <v>13.8020580409758</v>
      </c>
      <c r="BZ202" s="261">
        <f t="shared" si="586"/>
        <v>13.4000563504619</v>
      </c>
      <c r="CA202" s="165">
        <f>CB202+各项系数!$M$9*$NT202</f>
        <v>14.2056732440519</v>
      </c>
      <c r="CB202" s="165">
        <f>CC202*(1+$CF202+(VLOOKUP($AM202,$A$12:$B$214,2,0))+各项系数!$J$6+各项系数!$M$5)*(1+$E$2)</f>
        <v>14.1032882272785</v>
      </c>
      <c r="CC202" s="261">
        <f>CD202+各项系数!$L$9*$NT$12</f>
        <v>14.3911104359985</v>
      </c>
      <c r="CD202" s="261">
        <f>CE202*(1+$CG202+各项系数!$J$5+各项系数!$L$5)</f>
        <v>14.3828470328435</v>
      </c>
      <c r="CE202" s="261">
        <f t="shared" si="648"/>
        <v>13.9639291581005</v>
      </c>
      <c r="CF202" s="568">
        <f>(BI202+$CF$2)-BI202/1.3</f>
        <v>0</v>
      </c>
      <c r="CG202" s="288">
        <f t="shared" si="587"/>
        <v>0.01</v>
      </c>
      <c r="CH202" s="78"/>
      <c r="CI202" s="165">
        <f>CJ202+各项系数!$M$9*$NO202</f>
        <v>13.4944810362683</v>
      </c>
      <c r="CJ202" s="165">
        <f>CK202*(1+$DC202+(VLOOKUP($AM202,$A$12:$B$323,2,0))+各项系数!$J$6+各项系数!$M$5)*(1+$E$2)+各项系数!$M$9*$NK202</f>
        <v>13.3463329610362</v>
      </c>
      <c r="CK202" s="261">
        <f>CL202+各项系数!$L$9*$NO202</f>
        <v>13.5184820568382</v>
      </c>
      <c r="CL202" s="261">
        <f>CM202*(1+$DD202+各项系数!$J$5+各项系数!$L$5)</f>
        <v>13.3703339816062</v>
      </c>
      <c r="CM202" s="261">
        <f t="shared" si="588"/>
        <v>13.1081705702021</v>
      </c>
      <c r="CN202" s="165">
        <f>CO202+各项系数!$M$9*$NO202</f>
        <v>14.0076526066209</v>
      </c>
      <c r="CO202" s="165">
        <f>CP202*(1+$DC202+(VLOOKUP($AM202,$A$12:$B$323,2,0))+各项系数!$J$6+各项系数!$M$5)*(1+$E$2)+各项系数!$M$9*$NK202</f>
        <v>13.8595045313889</v>
      </c>
      <c r="CP202" s="261">
        <f>CQ202+各项系数!$L$9*$NO202</f>
        <v>14.0421265163818</v>
      </c>
      <c r="CQ202" s="261">
        <f>CR202*(1+$DD202+各项系数!$J$5+各项系数!$L$5)</f>
        <v>13.8939784411497</v>
      </c>
      <c r="CR202" s="261">
        <f t="shared" si="589"/>
        <v>13.6215474913232</v>
      </c>
      <c r="CS202" s="165">
        <f>CT202+各项系数!$M$9*$NU202</f>
        <v>14.5144776405944</v>
      </c>
      <c r="CT202" s="165">
        <f t="shared" si="590"/>
        <v>14.361459413757</v>
      </c>
      <c r="CU202" s="261">
        <f>CV202+各项系数!$L$9*$NU202</f>
        <v>14.654550422201</v>
      </c>
      <c r="CV202" s="261">
        <f>CW202*(1+$DD202+各项系数!$J$5+各项系数!$L$5)</f>
        <v>14.5015321953636</v>
      </c>
      <c r="CW202" s="261">
        <f t="shared" si="591"/>
        <v>14.2171884268271</v>
      </c>
      <c r="CX202" s="165">
        <f>CY202+各项系数!$M$9*$NU202</f>
        <v>15.2700729660572</v>
      </c>
      <c r="CY202" s="165">
        <f t="shared" si="592"/>
        <v>15.1170547392198</v>
      </c>
      <c r="CZ202" s="261">
        <f>DA202+各项系数!$L$9*$NU202</f>
        <v>15.4255660604284</v>
      </c>
      <c r="DA202" s="261">
        <f>DB202*(1+$DD202+各项系数!$J$5+各项系数!$L$5)</f>
        <v>15.272547833591</v>
      </c>
      <c r="DB202" s="261">
        <f t="shared" si="593"/>
        <v>14.9730861113637</v>
      </c>
      <c r="DC202" s="568">
        <f>(BI202+$DC$2)-BI202/1.3</f>
        <v>0</v>
      </c>
      <c r="DD202" s="288">
        <f t="shared" si="594"/>
        <v>0</v>
      </c>
      <c r="DE202" s="74" t="s">
        <v>498</v>
      </c>
      <c r="DF202" s="74" t="s">
        <v>513</v>
      </c>
      <c r="DG202" s="165">
        <f>DH202+各项系数!$M$9*$NQ202</f>
        <v>13.7343303780628</v>
      </c>
      <c r="DH202" s="165">
        <f>DI202*(1+$EA202+(VLOOKUP($AM202,$A$12:$B$323,2,0))+各项系数!$J$6+各项系数!$M$5)*(1+$E$2)+各项系数!$M$9*$NK202</f>
        <v>13.5861823028307</v>
      </c>
      <c r="DI202" s="261">
        <f>DJ202+各项系数!$L$9*$NQ202</f>
        <v>13.7632262831592</v>
      </c>
      <c r="DJ202" s="261">
        <f>DK202*(1+$EB202+各项系数!$J$5+各项系数!$L$5)</f>
        <v>13.6150782079271</v>
      </c>
      <c r="DK202" s="261">
        <f t="shared" si="595"/>
        <v>13.2185225319681</v>
      </c>
      <c r="DL202" s="165">
        <f>DM202+各项系数!$M$9*$NQ202</f>
        <v>14.3769024946284</v>
      </c>
      <c r="DM202" s="165">
        <f>DN202*(1+$EA202+(VLOOKUP($AM202,$A$12:$B$323,2,0))+各项系数!$J$6+各项系数!$M$5)*(1+$E$2)+各项系数!$M$9*$NK202</f>
        <v>14.2287544193963</v>
      </c>
      <c r="DN202" s="261">
        <f>DO202+各项系数!$L$9*$NQ202</f>
        <v>14.4189121163894</v>
      </c>
      <c r="DO202" s="261">
        <f>DP202*(1+$EB202+各项系数!$J$5+各项系数!$L$5)</f>
        <v>14.2707640411573</v>
      </c>
      <c r="DP202" s="261">
        <f t="shared" si="596"/>
        <v>13.8551107195702</v>
      </c>
      <c r="DQ202" s="165">
        <f>DR202+各项系数!$M$9*$NV202</f>
        <v>14.766531171647</v>
      </c>
      <c r="DR202" s="165">
        <f t="shared" si="597"/>
        <v>14.6135129448096</v>
      </c>
      <c r="DS202" s="261">
        <f>DT202+各项系数!$L$9*$NV202</f>
        <v>14.9117479028669</v>
      </c>
      <c r="DT202" s="261">
        <f>DU202*(1+$EB202+各项系数!$J$5+各项系数!$L$5)</f>
        <v>14.7587296760295</v>
      </c>
      <c r="DU202" s="261">
        <f t="shared" si="598"/>
        <v>14.3288637631355</v>
      </c>
      <c r="DV202" s="165">
        <f>DW202+各项系数!$M$9*$NV202</f>
        <v>14.9298329685649</v>
      </c>
      <c r="DW202" s="165">
        <f t="shared" si="599"/>
        <v>14.7768147417275</v>
      </c>
      <c r="DX202" s="261">
        <f>DY202+各项系数!$L$9*$NV202</f>
        <v>15.0783823895179</v>
      </c>
      <c r="DY202" s="261">
        <f>DZ202*(1+$EB202+各项系数!$J$5+各项系数!$L$5)</f>
        <v>14.9253641626805</v>
      </c>
      <c r="DZ202" s="261">
        <f t="shared" si="600"/>
        <v>14.4906448181364</v>
      </c>
      <c r="EA202" s="568">
        <f>(BI202+$EA$2)-BI202/1.3</f>
        <v>0</v>
      </c>
      <c r="EB202" s="288">
        <f t="shared" si="601"/>
        <v>0.01</v>
      </c>
      <c r="EC202" s="303">
        <f t="shared" si="649"/>
        <v>5</v>
      </c>
      <c r="ED202" s="303" t="str">
        <f t="shared" si="890"/>
        <v>5*4</v>
      </c>
      <c r="EE202" s="74">
        <f t="shared" si="891"/>
        <v>4</v>
      </c>
      <c r="EF202" s="74">
        <f>LOOKUP(EH202,{1,7,10,14,19,24,30,37,48,61},{1,"1+6","2+8","4+10","1+6+12","2+8+14","4+10+16","1+6+12+18","3+9+15+21","1+6+12+18+24"})</f>
        <v>1</v>
      </c>
      <c r="EG202" s="78">
        <f t="shared" si="602"/>
        <v>5</v>
      </c>
      <c r="EH202" s="261">
        <f>VLOOKUP(EE202,各项系数!$B$87:$C$124,2,0)</f>
        <v>1</v>
      </c>
      <c r="EI202" s="78">
        <f>IF(EH202=0,0,VLOOKUP(EH202,各项系数!$D$142:$E$195,2,0))*1</f>
        <v>1</v>
      </c>
      <c r="EJ202" s="306">
        <f t="shared" si="650"/>
        <v>218.588414706449</v>
      </c>
      <c r="EK202" s="74">
        <f t="shared" si="892"/>
        <v>0</v>
      </c>
      <c r="EL202" s="74">
        <f t="shared" si="603"/>
        <v>0</v>
      </c>
      <c r="EM202" s="74">
        <f t="shared" si="893"/>
        <v>0</v>
      </c>
      <c r="EN202" s="74">
        <f>IF(EP202=0,0,LOOKUP(EP202,{1,7,10,14,19,24,30,37,48,61},{1,"1+6","2+8","4+10","1+6+12","2+8+14","4+10+16","1+6+12+18","3+9+15+21","1+6+12+18+24"}))</f>
        <v>0</v>
      </c>
      <c r="EO202" s="74">
        <f t="shared" si="894"/>
        <v>0</v>
      </c>
      <c r="EP202" s="74">
        <f>IF(EM202=0,0,IF(EM202&lt;10,1,IF(AND(EM202&gt;=10,EM202&lt;=35),7,LOOKUP(EM202,{50,70,95,120,150,185,240,300},{10,14,19,24,30,37,48,61})*1)))</f>
        <v>0</v>
      </c>
      <c r="EQ202" s="74">
        <f>IF(EP202=0,0,VLOOKUP(EP202,各项系数!$D$142:$E$195,2,0))*1</f>
        <v>0</v>
      </c>
      <c r="ER202" s="74">
        <f t="shared" si="895"/>
        <v>0</v>
      </c>
      <c r="ES202" s="303">
        <f t="shared" si="896"/>
        <v>5</v>
      </c>
      <c r="ET202" s="74">
        <f>VLOOKUP(ES202,各项系数!$D$142:$E$195,2,0)*1</f>
        <v>2.7</v>
      </c>
      <c r="EU202" s="311">
        <f>((各项系数!$F$76/4*$EJ202^2*$EG202*$EH202*1*10^-7)*(1-$H202)*AA202)*(VLOOKUP($EY$9,各项系数!$D$4:$F$143,3,0))*各项系数!$J$4</f>
        <v>0.165973597781748</v>
      </c>
      <c r="EV202" s="313">
        <f>EU202*(VLOOKUP($EY$9,各项系数!$D$4:$F$143,2,0))</f>
        <v>10.8712706547045</v>
      </c>
      <c r="EW202" s="324">
        <f>(IF($EO202=0,0,(各项系数!$F$76/4*$ER202^2*$EO202*$EP202*1*10^-7))*(1-$K202)*$AF202)*(VLOOKUP($EY$9,各项系数!$D$4:$F$143,3,0))*各项系数!$J$4</f>
        <v>0</v>
      </c>
      <c r="EX202" s="313">
        <f>EW202*(VLOOKUP($EY$9,各项系数!$D$4:$F$143,2,0))</f>
        <v>0</v>
      </c>
      <c r="EY202" s="251">
        <f>((各项系数!$F$76/4*$EJ202^2*$EG202*$EH202*1*10^-7)*(1-$H202)*AA202+IF($EO202=0,0,(各项系数!$F$76/4*$ER202^2*$EO202*$EP202*1*10^-7))*(1-$K202)*$AF202)*(VLOOKUP($EY$9,各项系数!$D$4:$F$143,3,0))*各项系数!$J$4</f>
        <v>0.165973597781748</v>
      </c>
      <c r="EZ202" s="78">
        <v>1</v>
      </c>
      <c r="FA202" s="74">
        <f t="shared" si="897"/>
        <v>0.165973597781748</v>
      </c>
      <c r="FB202" s="313">
        <f>FA202*(VLOOKUP($EY$9,各项系数!$D$4:$F$143,2,0))</f>
        <v>10.8712706547045</v>
      </c>
      <c r="FC202" s="328"/>
      <c r="FD202" s="303">
        <f>各项系数!$F$76/4*($MN202^2-MK202^2)*10^-2*(VLOOKUP(L202,各项系数!$D$1:$F$143,3,0))*10^-3*10^2*$EG202*各项系数!$J$4</f>
        <v>0.0347306231677307</v>
      </c>
      <c r="FE202" s="340">
        <f>FD202*VLOOKUP(L202,各项系数!$D$1:$F$143,2,0)</f>
        <v>0.399402166428903</v>
      </c>
      <c r="FF202" s="78">
        <f>各项系数!$F$76/4*($MO202^2-ML202^2)*10^-2*(VLOOKUP(L202,各项系数!$D$1:$F$143,3,0))*10^-3*10^2*$EO202*各项系数!$J$4</f>
        <v>0</v>
      </c>
      <c r="FG202" s="340">
        <f>FF202*VLOOKUP(L202,各项系数!$D$1:$F$143,2,0)</f>
        <v>0</v>
      </c>
      <c r="FH202" s="303">
        <f t="shared" si="651"/>
        <v>0.0347306231677307</v>
      </c>
      <c r="FI202" s="78">
        <v>1</v>
      </c>
      <c r="FJ202" s="74">
        <f t="shared" si="898"/>
        <v>0.0347306231677307</v>
      </c>
      <c r="FK202" s="340">
        <f>FJ202*VLOOKUP(L202,各项系数!$D$1:$F$143,2,0)</f>
        <v>0.399402166428903</v>
      </c>
      <c r="FL202" s="303"/>
      <c r="FM202" s="78"/>
      <c r="FN202" s="74"/>
      <c r="FO202" s="340"/>
      <c r="FP202" s="368">
        <f t="shared" si="899"/>
        <v>0.0347306231677307</v>
      </c>
      <c r="FQ202" s="368">
        <f t="shared" si="900"/>
        <v>0.399402166428903</v>
      </c>
      <c r="FR202" s="369">
        <f>各项系数!$F$76/4*($MQ202^2-$MN202^2*$EG202-$MO202^2*$EO202)*10^-2</f>
        <v>0.231269240598244</v>
      </c>
      <c r="FS202" s="370">
        <f t="shared" si="652"/>
        <v>1</v>
      </c>
      <c r="FT202" s="367">
        <f t="shared" si="604"/>
        <v>0.231269240598244</v>
      </c>
      <c r="FU202" s="391">
        <f>$FT202*(VLOOKUP($FT$9,各项系数!$D$1:$F$143,3,0))*10^-3*10^2*各项系数!$J$55</f>
        <v>0.0276135473274303</v>
      </c>
      <c r="FV202" s="392">
        <v>1</v>
      </c>
      <c r="FW202" s="393">
        <f t="shared" si="901"/>
        <v>0.0276135473274303</v>
      </c>
      <c r="FX202" s="394">
        <f>FW202*(VLOOKUP($FT$9,各项系数!$D$1:$F$143,2,0))</f>
        <v>0.082840641982291</v>
      </c>
      <c r="FY202" s="391">
        <f>IF($BK202&lt;&gt;$FY$9,0,各项系数!$F$76/4*($MS202^2-$MQ202^2)*10^-2*(VLOOKUP($FY$9,各项系数!$D$1:$F$143,3,0))*10^-3*10^2)*各项系数!$J$4</f>
        <v>0</v>
      </c>
      <c r="FZ202" s="392">
        <v>1</v>
      </c>
      <c r="GA202" s="393">
        <f t="shared" si="902"/>
        <v>0</v>
      </c>
      <c r="GB202" s="394">
        <f>GA202*(VLOOKUP($FY$9,各项系数!$D$1:$F$143,2,0))</f>
        <v>0</v>
      </c>
      <c r="GC202" s="391">
        <f>IF($BK202&lt;&gt;$GC$9,0,各项系数!$F$76/4*($MS202^2-$MQ202^2)*10^-2*(VLOOKUP($GC$9,各项系数!$D$1:$F$143,3,0))*10^-3*10^2)*各项系数!$J$4</f>
        <v>0.0026606047993669</v>
      </c>
      <c r="GD202" s="392">
        <v>1</v>
      </c>
      <c r="GE202" s="393">
        <f t="shared" si="903"/>
        <v>0.0026606047993669</v>
      </c>
      <c r="GF202" s="394">
        <f>GE202*(VLOOKUP($GC$9,各项系数!$D$1:$F$143,2,0))</f>
        <v>0.034321801911833</v>
      </c>
      <c r="GG202" s="391">
        <f>IF($BK202&lt;&gt;$GG$9,0,各项系数!$F$76/4*($MS202^2-$MQ202^2)*10^-2*(VLOOKUP($GG$9,各项系数!$D$1:$F$143,3,0))*10^-3*10^2)*各项系数!$J$4</f>
        <v>0</v>
      </c>
      <c r="GH202" s="392">
        <v>1</v>
      </c>
      <c r="GI202" s="393">
        <f t="shared" si="904"/>
        <v>0</v>
      </c>
      <c r="GJ202" s="394">
        <f>GI202*(VLOOKUP($GG$9,各项系数!$D$1:$F$143,2,0))</f>
        <v>0</v>
      </c>
      <c r="GK202" s="391">
        <f>IF($BK202&lt;&gt;$GK$9,0,各项系数!$F$76/4*($MS202^2-$MQ202^2)*10^-2*(VLOOKUP($GK$9,各项系数!$D$1:$F$143,3,0))*10^-3*10^2)*各项系数!$J$4</f>
        <v>0</v>
      </c>
      <c r="GL202" s="392">
        <v>1</v>
      </c>
      <c r="GM202" s="393">
        <f t="shared" si="905"/>
        <v>0</v>
      </c>
      <c r="GN202" s="394">
        <f>GM202*(VLOOKUP($GK$9,各项系数!$D$1:$F$143,2,0))</f>
        <v>0</v>
      </c>
      <c r="GO202" s="393">
        <f t="shared" si="906"/>
        <v>0.0026606047993669</v>
      </c>
      <c r="GP202" s="393">
        <f t="shared" si="907"/>
        <v>0.034321801911833</v>
      </c>
      <c r="GQ202" s="407">
        <f>各项系数!$F$76/4*($MU202^2-$MS202^2)*10^-2*(VLOOKUP($S202,各项系数!$D$1:$F$143,3,0))*10^-3*10^2*各项系数!$J$4</f>
        <v>0.15338218156122</v>
      </c>
      <c r="GR202" s="392">
        <v>1</v>
      </c>
      <c r="GS202" s="393">
        <f t="shared" si="908"/>
        <v>0.15338218156122</v>
      </c>
      <c r="GT202" s="393">
        <f t="shared" si="909"/>
        <v>1</v>
      </c>
      <c r="GU202" s="393">
        <f>ROUND($GS202*(VLOOKUP($S202,各项系数!$D$1:$F$143,2,0))+$E$3*GS202,GT202)</f>
        <v>0.9</v>
      </c>
      <c r="GV202" s="406">
        <f>各项系数!$F$76/4*($MT202^2-$MS202^2)*10^-2*(VLOOKUP($GV$9,各项系数!$D$1:$F$143,3,0))*10^-3*10^2*各项系数!$J$4*PI()/4*R202</f>
        <v>0.0138815714622083</v>
      </c>
      <c r="GW202" s="392">
        <v>1</v>
      </c>
      <c r="GX202" s="393">
        <f t="shared" si="910"/>
        <v>0.0138815714622083</v>
      </c>
      <c r="GY202" s="393">
        <f>$GX202*(VLOOKUP($GV$9,各项系数!$D$1:$F$143,2,0))</f>
        <v>0.937006073699063</v>
      </c>
      <c r="GZ202" s="407">
        <f>各项系数!$F$76/4*($MV202^2-$MS202^2)*10^-2*(VLOOKUP($GZ$9,各项系数!$D$1:$F$143,3,0))*10^-3*10^2*各项系数!$J$4</f>
        <v>0.0951115611047307</v>
      </c>
      <c r="HA202" s="392">
        <v>1</v>
      </c>
      <c r="HB202" s="393">
        <f t="shared" si="653"/>
        <v>0.0951115611047307</v>
      </c>
      <c r="HC202" s="393">
        <f>HB202*(VLOOKUP($GZ$9,各项系数!$D$1:$F$143,2,0))</f>
        <v>1.61689653878042</v>
      </c>
      <c r="HD202" s="407">
        <f>各项系数!$F$76/4*($MW202^2-$MT202^2)*10^-2*(VLOOKUP($HD$9,各项系数!$D$1:$F$143,3,0))*10^-3*10^2*各项系数!$J$4</f>
        <v>0.0964169305514091</v>
      </c>
      <c r="HE202" s="392">
        <v>1</v>
      </c>
      <c r="HF202" s="393">
        <f t="shared" si="654"/>
        <v>0.0964169305514091</v>
      </c>
      <c r="HG202" s="393">
        <f>HF202*(VLOOKUP($HD$9,各项系数!$D$1:$F$143,2,0))</f>
        <v>1.63908781937395</v>
      </c>
      <c r="HH202" s="407">
        <f>各项系数!$F$76/4*($MV202^2-$MS202^2)*10^-2*(VLOOKUP($HH$9,各项系数!$D$1:$F$143,3,0))*10^-3*10^2*各项系数!$J$4</f>
        <v>0.0951115611047307</v>
      </c>
      <c r="HI202" s="393">
        <v>1</v>
      </c>
      <c r="HJ202" s="393">
        <f t="shared" si="655"/>
        <v>0.0951115611047307</v>
      </c>
      <c r="HK202" s="393">
        <f>HJ202*(VLOOKUP($HH$9,各项系数!$D$1:$F$143,2,0))</f>
        <v>1.61689653878042</v>
      </c>
      <c r="HL202" s="407">
        <f>各项系数!$F$76/4*($MW202^2-$MT202^2)*10^-2*(VLOOKUP($HL$9,各项系数!$D$1:$F$143,3,0))*10^-3*10^2*各项系数!$J$4</f>
        <v>0.0964169305514091</v>
      </c>
      <c r="HM202" s="393">
        <v>1</v>
      </c>
      <c r="HN202" s="393">
        <f t="shared" si="605"/>
        <v>0.0964169305514091</v>
      </c>
      <c r="HO202" s="393">
        <f>HN202*(VLOOKUP($HL$9,各项系数!$D$1:$F$143,2,0))</f>
        <v>1.63908781937395</v>
      </c>
      <c r="HP202" s="407">
        <f>各项系数!$F$76/4*($MV202^2-$MS202^2)*10^-2*(VLOOKUP(AN202,各项系数!$D$1:$F$143,3,0))*10^-3*10^2*各项系数!$J$4</f>
        <v>0.0964234447061752</v>
      </c>
      <c r="HQ202" s="392">
        <v>1</v>
      </c>
      <c r="HR202" s="393">
        <f t="shared" si="911"/>
        <v>0.0964234447061752</v>
      </c>
      <c r="HS202" s="393">
        <f>HR202*(VLOOKUP(AN202,各项系数!$D$1:$F$143,2,0))</f>
        <v>0.964234447061752</v>
      </c>
      <c r="HT202" s="407">
        <f>各项系数!$F$76/4*($MW202^2-$MT202^2)*10^-2*(VLOOKUP(AN202,各项系数!$D$1:$F$143,3,0))*10^-3*10^2*各项系数!$J$4</f>
        <v>0.0977468192486699</v>
      </c>
      <c r="HU202" s="392">
        <v>1</v>
      </c>
      <c r="HV202" s="393">
        <f t="shared" si="912"/>
        <v>0.0977468192486699</v>
      </c>
      <c r="HW202" s="393">
        <f>HV202*(VLOOKUP(AN202,各项系数!$D$1:$F$143,2,0))</f>
        <v>0.977468192486699</v>
      </c>
      <c r="HX202" s="407">
        <f>各项系数!$F$76/4*($MV202^2-$MS202^2)*10^-2*(VLOOKUP($HX$9,各项系数!$D$1:$F$143,3,0))*10^-3*10^2*各项系数!$J$4</f>
        <v>0.0964234447061752</v>
      </c>
      <c r="HY202" s="393">
        <v>1</v>
      </c>
      <c r="HZ202" s="393">
        <f t="shared" si="913"/>
        <v>0.0964234447061752</v>
      </c>
      <c r="IA202" s="393">
        <f>HZ202*(VLOOKUP($HX$9,各项系数!$D$1:$F$143,2,0))</f>
        <v>1.06065789176793</v>
      </c>
      <c r="IB202" s="407">
        <f>各项系数!$F$76/4*($MW202^2-$MT202^2)*10^-2*(VLOOKUP($IB$9,各项系数!$D$1:$F$143,3,0))*10^-3*10^2*各项系数!$J$4</f>
        <v>0.0977468192486699</v>
      </c>
      <c r="IC202" s="393">
        <v>1</v>
      </c>
      <c r="ID202" s="393">
        <f t="shared" si="914"/>
        <v>0.0977468192486699</v>
      </c>
      <c r="IE202" s="393">
        <f>ID202*(VLOOKUP($IB$9,各项系数!$D$1:$F$143,2,0))</f>
        <v>1.07521501173537</v>
      </c>
      <c r="IF202" s="391"/>
      <c r="IG202" s="407">
        <f t="shared" si="656"/>
        <v>0.0174838212143971</v>
      </c>
      <c r="IH202" s="392">
        <v>1</v>
      </c>
      <c r="II202" s="393">
        <f t="shared" si="915"/>
        <v>0.0174838212143971</v>
      </c>
      <c r="IJ202" s="393">
        <f>II202*(VLOOKUP($IG$8,各项系数!$D$1:$F$143,2,0))</f>
        <v>0.437095530359928</v>
      </c>
      <c r="IK202" s="407">
        <f>(各项系数!$F$76/4*($MX202^2-$MK202^2)*$EG202)*10^-2*(VLOOKUP($IG$8,各项系数!$D$1:$F$143,3,0))*10^-3*10^2*各项系数!$J$4</f>
        <v>0.0174838212143971</v>
      </c>
      <c r="IL202" s="392">
        <f>IK202*(VLOOKUP($IG$8,各项系数!$D$1:$F$143,2,0))</f>
        <v>0.437095530359928</v>
      </c>
      <c r="IM202" s="393">
        <f>(各项系数!$F$76/4*(($MM202+3*$X202)^2-MM202^2)*$EO202)*10^-2*(VLOOKUP($IG$8,各项系数!$D$1:$F$143,3,0))*10^-3*10^2*各项系数!$J$4</f>
        <v>0</v>
      </c>
      <c r="IN202" s="392">
        <f>IM202*(VLOOKUP($IG$8,各项系数!$D$1:$F$143,2,0))</f>
        <v>0</v>
      </c>
      <c r="IO202" s="407">
        <f>各项系数!$F$76/4*($MZ202^2-$MX202^2)*10^-2*(VLOOKUP(L202,各项系数!$D$1:$F$143,3,0))*10^-3*10^2*$ES202*各项系数!$J$4</f>
        <v>0.0419514168023742</v>
      </c>
      <c r="IP202" s="392">
        <v>1</v>
      </c>
      <c r="IQ202" s="393">
        <f t="shared" si="916"/>
        <v>0.0419514168023742</v>
      </c>
      <c r="IR202" s="394">
        <f>IQ202*(VLOOKUP(L202,各项系数!$D$1:$F$143,2,0))</f>
        <v>0.482441293227303</v>
      </c>
      <c r="IS202" s="407">
        <f>IF($L202&lt;&gt;$IS$9,0,各项系数!$F$76/4*($MZ202^2-$MX202^2)*10^-2*各项系数!$F$12*10^-3*10^2)*$ES202*各项系数!$J$4</f>
        <v>0</v>
      </c>
      <c r="IT202" s="392">
        <v>1</v>
      </c>
      <c r="IU202" s="393">
        <f t="shared" si="917"/>
        <v>0</v>
      </c>
      <c r="IV202" s="394">
        <f>IU202*各项系数!$E$12</f>
        <v>0</v>
      </c>
      <c r="IW202" s="391">
        <f t="shared" si="918"/>
        <v>0.0419514168023742</v>
      </c>
      <c r="IX202" s="391">
        <f t="shared" si="919"/>
        <v>0.482441293227303</v>
      </c>
      <c r="IY202" s="448">
        <f>各项系数!$F$76/4*($NB202^2-$MZ202^2*$EG202-$NA202^2*$EO202)*10^-2</f>
        <v>0.315137273951081</v>
      </c>
      <c r="IZ202" s="370">
        <f t="shared" si="697"/>
        <v>1</v>
      </c>
      <c r="JA202" s="367">
        <f t="shared" si="606"/>
        <v>0.315137273951081</v>
      </c>
      <c r="JB202" s="368">
        <f>IF($DE202&lt;&gt;$JB$9,0,$JA202*各项系数!$F$32*10^-3*10^2)*各项系数!$J$4</f>
        <v>0</v>
      </c>
      <c r="JC202" s="78">
        <v>1</v>
      </c>
      <c r="JD202" s="74">
        <f t="shared" si="920"/>
        <v>0</v>
      </c>
      <c r="JE202" s="340">
        <f>JD202*各项系数!$E$32</f>
        <v>0</v>
      </c>
      <c r="JF202" s="364">
        <f>IF($DE202&lt;&gt;$JF$9,0,$JA202*VLOOKUP($JF$9,各项系数!$D$4:$F$540,2,0)*10^-3*10^2)*各项系数!$J$4</f>
        <v>0.156780793790663</v>
      </c>
      <c r="JG202" s="123">
        <v>1</v>
      </c>
      <c r="JH202" s="251">
        <f t="shared" si="607"/>
        <v>0.156780793790663</v>
      </c>
      <c r="JI202" s="339">
        <f>JH202*VLOOKUP($JF$9,各项系数!$D$4:$F$540,3,0)</f>
        <v>0.188136952548795</v>
      </c>
      <c r="JJ202" s="368">
        <f t="shared" si="921"/>
        <v>0.156780793790663</v>
      </c>
      <c r="JK202" s="74">
        <f t="shared" si="922"/>
        <v>0.188136952548795</v>
      </c>
      <c r="JL202" s="368">
        <f>IF($DF202&lt;&gt;$JL$9,0,各项系数!$F$76/4*($NE202^2-$NC202^2)*10^-2*各项系数!$F$39*10^-3*10^2)*各项系数!$J$4</f>
        <v>0.00128532608511559</v>
      </c>
      <c r="JM202" s="78">
        <v>1</v>
      </c>
      <c r="JN202" s="74">
        <f t="shared" si="923"/>
        <v>0.00128532608511559</v>
      </c>
      <c r="JO202" s="340">
        <f>JN202*各项系数!$E$39</f>
        <v>0.0257065217023118</v>
      </c>
      <c r="JP202" s="368">
        <f>IF($DF202&lt;&gt;$JP$9,0,各项系数!$F$76/4*($NE202^2-$NC202^2)*10^-2*各项系数!$F$36*10^-3*10^2)*各项系数!$J$4</f>
        <v>0</v>
      </c>
      <c r="JQ202" s="78">
        <v>1</v>
      </c>
      <c r="JR202" s="74">
        <f t="shared" si="924"/>
        <v>0</v>
      </c>
      <c r="JS202" s="340">
        <f>JR202*各项系数!$E$36</f>
        <v>0</v>
      </c>
      <c r="JT202" s="368">
        <f>IF($DF202&lt;&gt;$JT$9,0,各项系数!$F$76/4*($NE202^2-$NC202^2)*10^-2*各项系数!$F$40*10^-3*10^2)*各项系数!$J$4</f>
        <v>0</v>
      </c>
      <c r="JU202" s="78">
        <v>1</v>
      </c>
      <c r="JV202" s="74">
        <f t="shared" si="925"/>
        <v>0</v>
      </c>
      <c r="JW202" s="340">
        <f>JV202*各项系数!$E$40</f>
        <v>0</v>
      </c>
      <c r="JX202" s="368">
        <f>IF($DF202&lt;&gt;$JX$9,0,各项系数!$F$76/4*($NE202^2-$NC202^2)*10^-2*各项系数!$F$38*10^-3*10^2)*各项系数!$J$4</f>
        <v>0</v>
      </c>
      <c r="JY202" s="78">
        <v>1</v>
      </c>
      <c r="JZ202" s="74">
        <f t="shared" si="926"/>
        <v>0</v>
      </c>
      <c r="KA202" s="340">
        <f>JZ202*各项系数!$E$38</f>
        <v>0</v>
      </c>
      <c r="KB202" s="368">
        <f>IF($DF202&lt;&gt;$KB$9,0,各项系数!$F$76/4*($NE202^2-$NC202^2)*10^-2*各项系数!$F$41*10^-3*10^2)*各项系数!$J$4</f>
        <v>0</v>
      </c>
      <c r="KC202" s="78">
        <v>1</v>
      </c>
      <c r="KD202" s="74">
        <f t="shared" si="927"/>
        <v>0</v>
      </c>
      <c r="KE202" s="340">
        <f>KD202*各项系数!$E$41</f>
        <v>0</v>
      </c>
      <c r="KF202" s="74">
        <f t="shared" si="928"/>
        <v>0.00128532608511559</v>
      </c>
      <c r="KG202" s="74">
        <f t="shared" si="929"/>
        <v>0.0257065217023118</v>
      </c>
      <c r="KH202" s="303">
        <f>各项系数!$F$76/4*($NG202^2-$NE202^2)*10^-2*各项系数!$F$44*10^-3*10^2*各项系数!$J$4*0.75*$U202</f>
        <v>0.534242465368893</v>
      </c>
      <c r="KI202" s="78">
        <v>1</v>
      </c>
      <c r="KJ202" s="74">
        <f t="shared" si="930"/>
        <v>0.534242465368893</v>
      </c>
      <c r="KK202" s="74">
        <f>ROUND(KJ202*各项系数!$E$43,GT202)</f>
        <v>3.1</v>
      </c>
      <c r="KL202" s="302">
        <f>各项系数!$F$76/4*($NF202^2-$NE202^2)*10^-2*各项系数!$F$46*10^-3*10^2*各项系数!$J$4*PI()/4*R202</f>
        <v>0.016233838684444</v>
      </c>
      <c r="KM202" s="78">
        <v>1</v>
      </c>
      <c r="KN202" s="74">
        <f t="shared" si="931"/>
        <v>0.016233838684444</v>
      </c>
      <c r="KO202" s="74">
        <f>KN202*各项系数!$E$46</f>
        <v>1.09578411119997</v>
      </c>
      <c r="KP202" s="303">
        <f>各项系数!$F$76/4*($NH202^2-$NE202^2)*10^-2*(VLOOKUP($KP$9,各项系数!$D$1:$F$143,3,0))*10^-3*10^2*各项系数!$J$4</f>
        <v>0.108850574531021</v>
      </c>
      <c r="KQ202" s="78">
        <v>1</v>
      </c>
      <c r="KR202" s="74">
        <f t="shared" si="657"/>
        <v>0.108850574531021</v>
      </c>
      <c r="KS202" s="74">
        <f>KR202*(VLOOKUP($KP$9,各项系数!$D$1:$F$143,2,0))</f>
        <v>1.85045976702735</v>
      </c>
      <c r="KT202" s="303">
        <f>各项系数!$F$76/4*($NI202^2-$NF202^2)*10^-2*(VLOOKUP($KT$9,各项系数!$D$1:$F$143,3,0))*10^-3*10^2*各项系数!$J$4</f>
        <v>0.110155943977699</v>
      </c>
      <c r="KU202" s="78">
        <v>1</v>
      </c>
      <c r="KV202" s="74">
        <f t="shared" si="658"/>
        <v>0.110155943977699</v>
      </c>
      <c r="KW202" s="74">
        <f>KV202*(VLOOKUP($KT$9,各项系数!$D$1:$F$143,2,0))</f>
        <v>1.87265104762089</v>
      </c>
      <c r="KX202" s="74">
        <f>各项系数!$F$76/4*($NH202^2-$NE202^2)*10^-2*(VLOOKUP($KX$9,各项系数!$D$1:$F$143,3,0))*10^-3*10^2*各项系数!$J$4</f>
        <v>0.108850574531021</v>
      </c>
      <c r="KY202" s="480">
        <v>1</v>
      </c>
      <c r="KZ202" s="74">
        <f t="shared" si="659"/>
        <v>0.108850574531021</v>
      </c>
      <c r="LA202" s="74">
        <f>KZ202*(VLOOKUP($KX$9,各项系数!$D$1:$F$143,2,0))</f>
        <v>1.85045976702735</v>
      </c>
      <c r="LB202" s="74">
        <f>各项系数!$F$76/4*($NI202^2-$NF202^2)*10^-2*(VLOOKUP($LB$9,各项系数!$D$1:$F$143,3,0))*10^-3*10^2*各项系数!$J$4</f>
        <v>0.110155943977699</v>
      </c>
      <c r="LC202" s="480">
        <v>1</v>
      </c>
      <c r="LD202" s="74">
        <f t="shared" si="660"/>
        <v>0.110155943977699</v>
      </c>
      <c r="LE202" s="74">
        <f>LD202*(VLOOKUP($LB$9,各项系数!$D$1:$F$143,2,0))</f>
        <v>1.87265104762089</v>
      </c>
      <c r="LF202" s="303">
        <f>各项系数!$F$76/4*($NH202^2-$NE202^2)*10^-2*(VLOOKUP(AN202,各项系数!$D$1:$F$143,3,0))*10^-3*10^2*各项系数!$J$4</f>
        <v>0.110351961765931</v>
      </c>
      <c r="LG202" s="78">
        <v>1</v>
      </c>
      <c r="LH202" s="74">
        <f t="shared" si="932"/>
        <v>0.110351961765931</v>
      </c>
      <c r="LI202" s="74">
        <f>LH202*(VLOOKUP(AN202,各项系数!$D$1:$F$143,2,0))</f>
        <v>1.10351961765931</v>
      </c>
      <c r="LJ202" s="303">
        <f>各项系数!$F$76/4*($NI202^2-$NF202^2)*10^-2*(VLOOKUP(AN202,各项系数!$D$1:$F$143,3,0))*10^-3*10^2*各项系数!$J$4</f>
        <v>0.111675336308426</v>
      </c>
      <c r="LK202" s="78">
        <v>1</v>
      </c>
      <c r="LL202" s="74">
        <f t="shared" si="933"/>
        <v>0.111675336308426</v>
      </c>
      <c r="LM202" s="74">
        <f>LL202*(VLOOKUP(AN202,各项系数!$D$1:$F$143,2,0))</f>
        <v>1.11675336308426</v>
      </c>
      <c r="LN202" s="74">
        <f>各项系数!$F$76/4*($NH202^2-$NE202^2)*10^-2*(VLOOKUP($LN$9,各项系数!$D$1:$F$143,3,0))*10^-3*10^2*各项系数!$J$4</f>
        <v>0.110351961765931</v>
      </c>
      <c r="LO202" s="480">
        <v>1</v>
      </c>
      <c r="LP202" s="74">
        <f t="shared" si="934"/>
        <v>0.110351961765931</v>
      </c>
      <c r="LQ202" s="74">
        <f>LP202*(VLOOKUP($LN$9,各项系数!$D$1:$F$143,2,0))</f>
        <v>1.21387157942525</v>
      </c>
      <c r="LR202" s="74">
        <f>各项系数!$F$76/4*($NI202^2-$NF202^2)*10^-2*(VLOOKUP($LR$9,各项系数!$D$1:$F$143,3,0))*10^-3*10^2*各项系数!$J$4</f>
        <v>0.111675336308426</v>
      </c>
      <c r="LS202" s="480">
        <v>1</v>
      </c>
      <c r="LT202" s="74">
        <f t="shared" si="935"/>
        <v>0.111675336308426</v>
      </c>
      <c r="LU202" s="74">
        <f>LT202*(VLOOKUP($LR$9,各项系数!$D$1:$F$143,2,0))</f>
        <v>1.22842869939269</v>
      </c>
      <c r="LV202" s="500">
        <f t="shared" si="661"/>
        <v>18.76351366</v>
      </c>
      <c r="LW202" s="500">
        <f t="shared" si="662"/>
        <v>18.76351366</v>
      </c>
      <c r="LX202" s="500">
        <f t="shared" si="663"/>
        <v>4.88778555074692</v>
      </c>
      <c r="LY202" s="518">
        <f t="shared" si="664"/>
        <v>0</v>
      </c>
      <c r="LZ202" s="516">
        <f t="shared" si="608"/>
        <v>1</v>
      </c>
      <c r="MA202" s="517">
        <f t="shared" si="609"/>
        <v>18.76351366</v>
      </c>
      <c r="MB202" s="500">
        <f t="shared" si="665"/>
        <v>2.18588415</v>
      </c>
      <c r="MC202" s="500">
        <f t="shared" si="666"/>
        <v>0</v>
      </c>
      <c r="MD202" s="500">
        <f t="shared" si="667"/>
        <v>0</v>
      </c>
      <c r="ME202" s="500">
        <f t="shared" si="668"/>
        <v>0</v>
      </c>
      <c r="MF202" s="500">
        <f t="shared" si="669"/>
        <v>0</v>
      </c>
      <c r="MG202" s="526">
        <f t="shared" si="670"/>
        <v>1</v>
      </c>
      <c r="MH202" s="517">
        <f t="shared" si="610"/>
        <v>0</v>
      </c>
      <c r="MI202" s="500">
        <f t="shared" si="671"/>
        <v>0</v>
      </c>
      <c r="MJ202" s="74">
        <f t="shared" si="611"/>
        <v>2.18588415</v>
      </c>
      <c r="MK202" s="74">
        <f t="shared" si="672"/>
        <v>2.18588415</v>
      </c>
      <c r="ML202" s="74">
        <f t="shared" si="936"/>
        <v>0</v>
      </c>
      <c r="MM202" s="74">
        <f t="shared" si="612"/>
        <v>0</v>
      </c>
      <c r="MN202" s="74">
        <f t="shared" si="613"/>
        <v>3.58588415</v>
      </c>
      <c r="MO202" s="74">
        <f t="shared" si="673"/>
        <v>0</v>
      </c>
      <c r="MP202" s="74">
        <f t="shared" si="674"/>
        <v>9.68188721</v>
      </c>
      <c r="MQ202" s="74">
        <f t="shared" si="937"/>
        <v>9.68188721</v>
      </c>
      <c r="MR202" s="313">
        <f t="shared" si="675"/>
        <v>9.68188721</v>
      </c>
      <c r="MS202" s="530">
        <f t="shared" si="614"/>
        <v>9.85788721</v>
      </c>
      <c r="MT202" s="531">
        <f t="shared" si="615"/>
        <v>10.01788721</v>
      </c>
      <c r="MU202" s="531">
        <f t="shared" si="616"/>
        <v>11.05788721</v>
      </c>
      <c r="MV202" s="531">
        <f t="shared" si="617"/>
        <v>13.45788721</v>
      </c>
      <c r="MW202" s="531">
        <f t="shared" si="618"/>
        <v>13.61788721</v>
      </c>
      <c r="MX202" s="313">
        <f t="shared" si="619"/>
        <v>2.78588415</v>
      </c>
      <c r="MY202" s="313">
        <f t="shared" si="620"/>
        <v>0</v>
      </c>
      <c r="MZ202" s="74">
        <f t="shared" si="621"/>
        <v>4.18588415</v>
      </c>
      <c r="NA202" s="74">
        <f t="shared" si="622"/>
        <v>0</v>
      </c>
      <c r="NB202" s="74">
        <f t="shared" si="676"/>
        <v>11.30188721</v>
      </c>
      <c r="NC202" s="313">
        <f t="shared" si="938"/>
        <v>11.30188721</v>
      </c>
      <c r="ND202" s="313">
        <f t="shared" si="677"/>
        <v>11.30188721</v>
      </c>
      <c r="NE202" s="555">
        <f t="shared" si="678"/>
        <v>11.54188721</v>
      </c>
      <c r="NF202" s="531">
        <f t="shared" si="623"/>
        <v>11.70188721</v>
      </c>
      <c r="NG202" s="168">
        <f t="shared" si="624"/>
        <v>12.74188721</v>
      </c>
      <c r="NH202" s="313">
        <f t="shared" si="625"/>
        <v>15.14188721</v>
      </c>
      <c r="NI202" s="531">
        <f t="shared" si="626"/>
        <v>15.30188721</v>
      </c>
      <c r="NK202" s="28">
        <f t="shared" si="627"/>
        <v>0.327401817782451</v>
      </c>
      <c r="NL202" s="28">
        <f t="shared" si="628"/>
        <v>12.3520697120893</v>
      </c>
      <c r="NM202" s="28">
        <f t="shared" si="629"/>
        <v>0.327401817782451</v>
      </c>
      <c r="NN202" s="28">
        <f t="shared" si="630"/>
        <v>12.4484931567954</v>
      </c>
      <c r="NO202" s="28">
        <f t="shared" si="631"/>
        <v>0.493826917440229</v>
      </c>
      <c r="NP202" s="28">
        <f t="shared" si="632"/>
        <v>13.1081705702021</v>
      </c>
      <c r="NQ202" s="28">
        <f t="shared" si="633"/>
        <v>0.493826917440229</v>
      </c>
      <c r="NR202" s="28">
        <f t="shared" si="634"/>
        <v>13.2185225319681</v>
      </c>
      <c r="NS202" s="28">
        <f t="shared" si="635"/>
        <v>0.341283389244659</v>
      </c>
      <c r="NT202" s="28">
        <f t="shared" si="636"/>
        <v>0.341283389244659</v>
      </c>
      <c r="NU202" s="28">
        <f t="shared" si="637"/>
        <v>0.510060756124673</v>
      </c>
      <c r="NV202" s="28">
        <f t="shared" si="638"/>
        <v>0.510060756124673</v>
      </c>
      <c r="NW202" s="13">
        <f t="shared" si="639"/>
        <v>0.480783999343671</v>
      </c>
      <c r="NX202" s="13">
        <f>各项系数!$M$9*NK202</f>
        <v>0.0982205453347353</v>
      </c>
      <c r="NY202" s="13">
        <f t="shared" si="640"/>
        <v>0.341283389244659</v>
      </c>
    </row>
    <row r="203" customHeight="1" spans="1:389">
      <c r="A203" s="85"/>
      <c r="B203" s="86"/>
      <c r="C203" s="218"/>
      <c r="D203" s="85" t="s">
        <v>186</v>
      </c>
      <c r="E203" s="70">
        <f t="shared" si="885"/>
        <v>11.30512723</v>
      </c>
      <c r="F203" s="225">
        <f>$F$19</f>
        <v>267.425148012862</v>
      </c>
      <c r="G203" s="23"/>
      <c r="H203" s="23"/>
      <c r="I203" s="174">
        <v>0</v>
      </c>
      <c r="J203" s="23"/>
      <c r="K203" s="23"/>
      <c r="L203" s="118" t="s">
        <v>469</v>
      </c>
      <c r="M203" s="124">
        <f t="shared" si="582"/>
        <v>0.7</v>
      </c>
      <c r="N203" s="124">
        <f t="shared" si="804"/>
        <v>0</v>
      </c>
      <c r="O203" s="69">
        <f t="shared" si="939"/>
        <v>0.08</v>
      </c>
      <c r="P203" s="120">
        <v>0.1</v>
      </c>
      <c r="Q203" s="162">
        <f t="shared" si="882"/>
        <v>0.1</v>
      </c>
      <c r="R203" s="560">
        <v>0.8</v>
      </c>
      <c r="S203" s="171" t="str">
        <f>各项系数!$D$43</f>
        <v>钢带</v>
      </c>
      <c r="T203" s="123">
        <v>0.2</v>
      </c>
      <c r="U203" s="78">
        <v>4</v>
      </c>
      <c r="V203" s="172"/>
      <c r="W203" s="170">
        <f>$W$199</f>
        <v>1.5</v>
      </c>
      <c r="X203" s="164">
        <f t="shared" si="883"/>
        <v>0.2</v>
      </c>
      <c r="Y203" s="219"/>
      <c r="Z203" s="220"/>
      <c r="AA203" s="217">
        <v>1</v>
      </c>
      <c r="AB203" s="186">
        <f>PI()*EJ203*EJ203/4*EH203*(1-H203)*AA203*各项系数!$F$5*各项系数!$J$4*10^-7</f>
        <v>0.0496843042710297</v>
      </c>
      <c r="AC203" s="186">
        <f t="shared" si="886"/>
        <v>267.425148012862</v>
      </c>
      <c r="AD203" s="186">
        <f t="shared" si="584"/>
        <v>5.61686998219778</v>
      </c>
      <c r="AE203" s="186">
        <f>POWER(4*EU203/PI()/EG203/10^-7/EH203/(1-H203)/各项系数!$F$5/各项系数!$J$4,0.5)</f>
        <v>267.425148012862</v>
      </c>
      <c r="AF203" s="218">
        <v>1</v>
      </c>
      <c r="AG203" s="85">
        <f>IF(EM203=0,0,PI()*ER203*ER203/4*EP203*(1-K203)*(1+AF203)*各项系数!$F$5*各项系数!$J$4*10^-7)</f>
        <v>0</v>
      </c>
      <c r="AH203" s="85">
        <f t="shared" si="887"/>
        <v>0</v>
      </c>
      <c r="AI203" s="85">
        <f t="shared" si="641"/>
        <v>0</v>
      </c>
      <c r="AJ203" s="85">
        <f>IF(OR(EP203="",EP203=0),0,POWER(4*EW203/PI()/EO203/10^-7/EP203/(1-K203)/各项系数!$F$5/各项系数!$J$4,0.5))</f>
        <v>0</v>
      </c>
      <c r="AK203" s="85" t="str">
        <f t="shared" si="585"/>
        <v>√</v>
      </c>
      <c r="AL203" s="85">
        <f t="shared" si="888"/>
        <v>7.73584033503049</v>
      </c>
      <c r="AM203" s="250">
        <f t="shared" si="889"/>
        <v>6</v>
      </c>
      <c r="AN203" s="118" t="s">
        <v>486</v>
      </c>
      <c r="AO203" s="259">
        <f>AP203+各项系数!$M$9*$NK203</f>
        <v>7.58415719120636</v>
      </c>
      <c r="AP203" s="259">
        <f>AQ203*(1+$BI203+(VLOOKUP($AM203,$A$12:$B$323,2,0))+各项系数!$J$6+各项系数!$M$5)*(1+$E$2)</f>
        <v>7.52813376289357</v>
      </c>
      <c r="AQ203" s="260">
        <f>AR203+各项系数!$L$9*$NK203</f>
        <v>7.60571202555422</v>
      </c>
      <c r="AR203" s="260">
        <f>AS203*(1+$BJ203+各项系数!$J$5+各项系数!$L$5)</f>
        <v>7.54968859724143</v>
      </c>
      <c r="AS203" s="260">
        <f t="shared" si="642"/>
        <v>7.4016554874916</v>
      </c>
      <c r="AT203" s="259">
        <f>AU203+各项系数!$M$9*$NM203</f>
        <v>8.04599357916081</v>
      </c>
      <c r="AU203" s="259">
        <f>AV203*(1+$BI203+(VLOOKUP($AM203,$A$12:$B$323,2,0))+各项系数!$J$6+各项系数!$M$5)*(1+$E$2)</f>
        <v>7.98997015084801</v>
      </c>
      <c r="AV203" s="260">
        <f>AW203+各项系数!$L$9*$NM203</f>
        <v>8.07230768927866</v>
      </c>
      <c r="AW203" s="260">
        <f>AX203*(1+$BJ203+各项系数!$J$5+各项系数!$L$5)</f>
        <v>8.01628426096586</v>
      </c>
      <c r="AX203" s="260">
        <f t="shared" si="643"/>
        <v>7.8591022166332</v>
      </c>
      <c r="AY203" s="259">
        <f>AZ203+各项系数!$M$9*$NS203</f>
        <v>8.40047165573711</v>
      </c>
      <c r="AZ203" s="259">
        <f>BA203*(1+$BI203+(VLOOKUP($AM203,$A$12:$B$214,2,0))+各项系数!$J$6+各项系数!$M$5)*(1+$E$2)</f>
        <v>8.34093444002454</v>
      </c>
      <c r="BA203" s="260">
        <f>BB203+各项系数!$L$9*$NS203</f>
        <v>8.42688870481364</v>
      </c>
      <c r="BB203" s="260">
        <f>BC203*(1+$BJ203+各项系数!$J$5+各项系数!$L$5)</f>
        <v>8.36735148910107</v>
      </c>
      <c r="BC203" s="262">
        <f t="shared" si="644"/>
        <v>8.2032857736285</v>
      </c>
      <c r="BD203" s="259">
        <f>BE203+各项系数!$M$9*$NS203</f>
        <v>8.86984428675494</v>
      </c>
      <c r="BE203" s="259">
        <f>BF203*(1+$BI203+(VLOOKUP($AM203,$A$12:$B$214,2,0))+各项系数!$J$6+各项系数!$M$5)*(1+$E$2)</f>
        <v>8.81030707104237</v>
      </c>
      <c r="BF203" s="260">
        <f>BG203+各项系数!$L$9*$NS203</f>
        <v>8.90109827343137</v>
      </c>
      <c r="BG203" s="260">
        <f>BH203*(1+$BJ203+各项系数!$J$5+各项系数!$L$5)</f>
        <v>8.8415610577188</v>
      </c>
      <c r="BH203" s="262">
        <f t="shared" si="645"/>
        <v>8.66819711541059</v>
      </c>
      <c r="BI203" s="277"/>
      <c r="BJ203" s="565">
        <v>0</v>
      </c>
      <c r="BK203" s="123" t="s">
        <v>514</v>
      </c>
      <c r="BL203" s="259">
        <f>BM203+各项系数!$M$9*$NM203</f>
        <v>7.72631881417119</v>
      </c>
      <c r="BM203" s="259">
        <f>BN203*(1+$CF203+(VLOOKUP($AM203,$A$12:$B$323,2,0))+各项系数!$J$6+各项系数!$M$5)*(1+$E$2)</f>
        <v>7.67029538585839</v>
      </c>
      <c r="BN203" s="260">
        <f>BO203+各项系数!$L$9*$NM203</f>
        <v>7.74933863998625</v>
      </c>
      <c r="BO203" s="260">
        <f>BP203*(1+$CG203+各项系数!$J$5+各项系数!$L$5)</f>
        <v>7.69331521167346</v>
      </c>
      <c r="BP203" s="260">
        <f t="shared" si="646"/>
        <v>7.46923806958588</v>
      </c>
      <c r="BQ203" s="259">
        <f>BR203+各项系数!$M$9*$NM203</f>
        <v>8.12378297290105</v>
      </c>
      <c r="BR203" s="259">
        <f>BS203*(1+$CF203+(VLOOKUP($AM203,$A$12:$B$323,2,0))+各项系数!$J$6+各项系数!$M$5)*(1+$E$2)</f>
        <v>8.06775954458825</v>
      </c>
      <c r="BS203" s="260">
        <f>BT203+各项系数!$L$9*$NM203</f>
        <v>8.15089871144499</v>
      </c>
      <c r="BT203" s="260">
        <f>BU203*(1+$CG203+各项系数!$J$5+各项系数!$L$5)</f>
        <v>8.0948752831322</v>
      </c>
      <c r="BU203" s="260">
        <f t="shared" si="647"/>
        <v>7.8591022166332</v>
      </c>
      <c r="BV203" s="259">
        <f>BW203+各项系数!$M$9*$NT203</f>
        <v>8.50094130594279</v>
      </c>
      <c r="BW203" s="259">
        <f>BX203*(1+$CF203+(VLOOKUP($AM203,$A$12:$B$214,2,0))+各项系数!$J$6+各项系数!$M$5)*(1+$E$2)</f>
        <v>8.44140409023022</v>
      </c>
      <c r="BX203" s="260">
        <f>BY203+各项系数!$L$9*$NT$12</f>
        <v>8.52839370603175</v>
      </c>
      <c r="BY203" s="260">
        <f>BZ203*(1+$CG203+各项系数!$J$5+各项系数!$L$5)</f>
        <v>8.52013030287677</v>
      </c>
      <c r="BZ203" s="262">
        <f t="shared" si="586"/>
        <v>8.27197116784153</v>
      </c>
      <c r="CA203" s="259">
        <f>CB203+各项系数!$M$9*$NT203</f>
        <v>8.90489128213376</v>
      </c>
      <c r="CB203" s="259">
        <f>CC203*(1+$CF203+(VLOOKUP($AM203,$A$12:$B$214,2,0))+各项系数!$J$6+各项系数!$M$5)*(1+$E$2)</f>
        <v>8.84535406642119</v>
      </c>
      <c r="CC203" s="260">
        <f>CD203+各项系数!$L$9*$NT$12</f>
        <v>8.93650643202788</v>
      </c>
      <c r="CD203" s="260">
        <f>CE203*(1+$CG203+各项系数!$J$5+各项系数!$L$5)</f>
        <v>8.9282430288729</v>
      </c>
      <c r="CE203" s="262">
        <f t="shared" si="648"/>
        <v>8.66819711541059</v>
      </c>
      <c r="CF203" s="277">
        <f t="shared" si="884"/>
        <v>0</v>
      </c>
      <c r="CG203" s="277">
        <f t="shared" si="587"/>
        <v>0.01</v>
      </c>
      <c r="CH203" s="123"/>
      <c r="CI203" s="259">
        <f>CJ203+各项系数!$M$9*$NO203</f>
        <v>7.98729032398358</v>
      </c>
      <c r="CJ203" s="259">
        <f>CK203*(1+$DC203+(VLOOKUP($AM203,$A$12:$B$323,2,0))+各项系数!$J$6+各项系数!$M$5)*(1+$E$2)+各项系数!$M$9*$NK203</f>
        <v>7.92349670098951</v>
      </c>
      <c r="CK203" s="260">
        <f>CL203+各项系数!$L$9*$NO203</f>
        <v>7.94854846704053</v>
      </c>
      <c r="CL203" s="260">
        <f>CM203*(1+$DD203+各项系数!$J$5+各项系数!$L$5)</f>
        <v>7.88475484404647</v>
      </c>
      <c r="CM203" s="260">
        <f t="shared" si="588"/>
        <v>7.73015180788869</v>
      </c>
      <c r="CN203" s="259">
        <f>CO203+各项系数!$M$9*$NO203</f>
        <v>8.36136708966702</v>
      </c>
      <c r="CO203" s="259">
        <f>CP203*(1+$DC203+(VLOOKUP($AM203,$A$12:$B$323,2,0))+各项系数!$J$6+各项系数!$M$5)*(1+$E$2)+各项系数!$M$9*$NK203</f>
        <v>8.29757346667295</v>
      </c>
      <c r="CP203" s="260">
        <f>CQ203+各项系数!$L$9*$NO203</f>
        <v>8.32648013574476</v>
      </c>
      <c r="CQ203" s="260">
        <f>CR203*(1+$DD203+各项系数!$J$5+各项系数!$L$5)</f>
        <v>8.26268651275069</v>
      </c>
      <c r="CR203" s="260">
        <f t="shared" si="589"/>
        <v>8.10067305171637</v>
      </c>
      <c r="CS203" s="259">
        <f>CT203+各项系数!$M$9*$NU203</f>
        <v>8.8686827641779</v>
      </c>
      <c r="CT203" s="259">
        <f t="shared" si="590"/>
        <v>8.8008468703221</v>
      </c>
      <c r="CU203" s="260">
        <f>CV203+各项系数!$L$9*$NU203</f>
        <v>8.89154058428178</v>
      </c>
      <c r="CV203" s="260">
        <f>CW203*(1+$DD203+各项系数!$J$5+各项系数!$L$5)</f>
        <v>8.82370469042598</v>
      </c>
      <c r="CW203" s="262">
        <f t="shared" si="591"/>
        <v>8.65069087296665</v>
      </c>
      <c r="CX203" s="259">
        <f>CY203+各项系数!$M$9*$NU203</f>
        <v>9.39745731639277</v>
      </c>
      <c r="CY203" s="259">
        <f t="shared" si="592"/>
        <v>9.32962142253697</v>
      </c>
      <c r="CZ203" s="260">
        <f>DA203+各项系数!$L$9*$NU203</f>
        <v>9.42576421755605</v>
      </c>
      <c r="DA203" s="260">
        <f>DB203*(1+$DD203+各项系数!$J$5+各项系数!$L$5)</f>
        <v>9.35792832370025</v>
      </c>
      <c r="DB203" s="262">
        <f t="shared" si="593"/>
        <v>9.17443953303946</v>
      </c>
      <c r="DC203" s="277">
        <f>(BI203+$DC$2)-BI203/1.3</f>
        <v>0</v>
      </c>
      <c r="DD203" s="277">
        <f t="shared" si="594"/>
        <v>0</v>
      </c>
      <c r="DE203" s="69" t="s">
        <v>498</v>
      </c>
      <c r="DF203" s="69" t="s">
        <v>513</v>
      </c>
      <c r="DG203" s="259">
        <f>DH203+各项系数!$M$9*$NQ203</f>
        <v>8.14156540460015</v>
      </c>
      <c r="DH203" s="259">
        <f>DI203*(1+$EA203+(VLOOKUP($AM203,$A$12:$B$323,2,0))+各项系数!$J$6+各项系数!$M$5)*(1+$E$2)+各项系数!$M$9*$NK203</f>
        <v>8.07777178160609</v>
      </c>
      <c r="DI203" s="260">
        <f>DJ203+各项系数!$L$9*$NQ203</f>
        <v>8.10441336966387</v>
      </c>
      <c r="DJ203" s="260">
        <f>DK203*(1+$EB203+各项系数!$J$5+各项系数!$L$5)</f>
        <v>8.0406197466698</v>
      </c>
      <c r="DK203" s="260">
        <f t="shared" si="595"/>
        <v>7.80642693851437</v>
      </c>
      <c r="DL203" s="259">
        <f>DM203+各项系数!$M$9*$NQ203</f>
        <v>8.59015185523102</v>
      </c>
      <c r="DM203" s="259">
        <f>DN203*(1+$EA203+(VLOOKUP($AM203,$A$12:$B$323,2,0))+各项系数!$J$6+各项系数!$M$5)*(1+$E$2)+各项系数!$M$9*$NK203</f>
        <v>8.52635823223696</v>
      </c>
      <c r="DN203" s="260">
        <f>DO203+各项系数!$L$9*$NQ203</f>
        <v>8.55762255397471</v>
      </c>
      <c r="DO203" s="260">
        <f>DP203*(1+$EB203+各项系数!$J$5+各项系数!$L$5)</f>
        <v>8.49382893098065</v>
      </c>
      <c r="DP203" s="260">
        <f t="shared" si="596"/>
        <v>8.24643585532102</v>
      </c>
      <c r="DQ203" s="259">
        <f>DR203+各项系数!$M$9*$NV203</f>
        <v>9.03319365079881</v>
      </c>
      <c r="DR203" s="259">
        <f t="shared" si="597"/>
        <v>8.96535775694301</v>
      </c>
      <c r="DS203" s="260">
        <f>DT203+各项系数!$L$9*$NV203</f>
        <v>9.0577467740382</v>
      </c>
      <c r="DT203" s="260">
        <f>DU203*(1+$EB203+各项系数!$J$5+各项系数!$L$5)</f>
        <v>8.9899108801824</v>
      </c>
      <c r="DU203" s="262">
        <f t="shared" si="598"/>
        <v>8.72806881571107</v>
      </c>
      <c r="DV203" s="259">
        <f>DW203+各项系数!$M$9*$NV203</f>
        <v>9.2639647517365</v>
      </c>
      <c r="DW203" s="259">
        <f t="shared" si="599"/>
        <v>9.1961288578807</v>
      </c>
      <c r="DX203" s="260">
        <f>DY203+各项系数!$L$9*$NV203</f>
        <v>9.29089599705062</v>
      </c>
      <c r="DY203" s="260">
        <f>DZ203*(1+$EB203+各项系数!$J$5+各项系数!$L$5)</f>
        <v>9.22306010319482</v>
      </c>
      <c r="DZ203" s="262">
        <f t="shared" si="600"/>
        <v>8.95442728465516</v>
      </c>
      <c r="EA203" s="277">
        <f t="shared" si="826"/>
        <v>0</v>
      </c>
      <c r="EB203" s="277">
        <f t="shared" si="601"/>
        <v>0.01</v>
      </c>
      <c r="EC203" s="302">
        <f t="shared" si="649"/>
        <v>2</v>
      </c>
      <c r="ED203" s="302" t="str">
        <f t="shared" si="890"/>
        <v>2*6</v>
      </c>
      <c r="EE203" s="251">
        <f t="shared" si="891"/>
        <v>6</v>
      </c>
      <c r="EF203" s="251">
        <f>LOOKUP(EH203,{1,7,10,14,19,24,30,37,48,61},{1,"1+6","2+8","4+10","1+6+12","2+8+14","4+10+16","1+6+12+18","3+9+15+21","1+6+12+18+24"})</f>
        <v>1</v>
      </c>
      <c r="EG203" s="250">
        <f t="shared" si="602"/>
        <v>2</v>
      </c>
      <c r="EH203" s="260">
        <f>VLOOKUP(EE203,各项系数!$B$87:$C$124,2,0)</f>
        <v>1</v>
      </c>
      <c r="EI203" s="250">
        <f>IF(EH203=0,0,VLOOKUP(EH203,各项系数!$D$142:$E$195,2,0))*1</f>
        <v>1</v>
      </c>
      <c r="EJ203" s="305">
        <f t="shared" si="650"/>
        <v>267.425148012862</v>
      </c>
      <c r="EK203" s="251">
        <f t="shared" si="892"/>
        <v>0</v>
      </c>
      <c r="EL203" s="251">
        <f t="shared" si="603"/>
        <v>0</v>
      </c>
      <c r="EM203" s="251">
        <f t="shared" si="893"/>
        <v>0</v>
      </c>
      <c r="EN203" s="251">
        <f>IF(EP203=0,0,LOOKUP(EP203,{1,7,10,14,19,24,30,37,48,61},{1,"1+6","2+8","4+10","1+6+12","2+8+14","4+10+16","1+6+12+18","3+9+15+21","1+6+12+18+24"}))</f>
        <v>0</v>
      </c>
      <c r="EO203" s="251">
        <f t="shared" si="894"/>
        <v>0</v>
      </c>
      <c r="EP203" s="251">
        <f>IF(EM203=0,0,IF(EM203&lt;10,1,IF(AND(EM203&gt;=10,EM203&lt;=35),7,LOOKUP(EM203,{50,70,95,120,150,185,240,300},{10,14,19,24,30,37,48,61})*1)))</f>
        <v>0</v>
      </c>
      <c r="EQ203" s="251">
        <f>IF(EP203=0,0,VLOOKUP(EP203,各项系数!$D$142:$E$195,2,0))*1</f>
        <v>0</v>
      </c>
      <c r="ER203" s="69">
        <f t="shared" si="895"/>
        <v>0</v>
      </c>
      <c r="ES203" s="566">
        <f t="shared" si="896"/>
        <v>2</v>
      </c>
      <c r="ET203" s="251">
        <f>VLOOKUP(ES203,各项系数!$D$142:$E$195,2,0)*1</f>
        <v>2</v>
      </c>
      <c r="EU203" s="311">
        <f>((各项系数!$F$76/4*$EJ203^2*$EG203*$EH203*1*10^-7)*(1-$H203)*AA203)*(VLOOKUP($EY$9,各项系数!$D$4:$F$143,3,0))*各项系数!$J$4</f>
        <v>0.0993686085420592</v>
      </c>
      <c r="EV203" s="312">
        <f>EU203*(VLOOKUP($EY$9,各项系数!$D$4:$F$143,2,0))</f>
        <v>6.50864385950488</v>
      </c>
      <c r="EW203" s="324">
        <f>(IF($EO203=0,0,(各项系数!$F$76/4*$ER203^2*$EO203*$EP203*1*10^-7))*(1-$K203)*$AF203)*(VLOOKUP($EY$9,各项系数!$D$4:$F$143,3,0))*各项系数!$J$4</f>
        <v>0</v>
      </c>
      <c r="EX203" s="325">
        <f>EW203*(VLOOKUP($EY$9,各项系数!$D$4:$F$143,2,0))</f>
        <v>0</v>
      </c>
      <c r="EY203" s="251">
        <f>((各项系数!$F$76/4*$EJ203^2*$EG203*$EH203*1*10^-7)*(1-$H203)*AA203+IF($EO203=0,0,(各项系数!$F$76/4*$ER203^2*$EO203*$EP203*1*10^-7))*(1-$K203)*$AF203)*(VLOOKUP($EY$9,各项系数!$D$4:$F$143,3,0))*各项系数!$J$4</f>
        <v>0.0993686085420592</v>
      </c>
      <c r="EZ203" s="123">
        <v>1</v>
      </c>
      <c r="FA203" s="251">
        <f t="shared" si="897"/>
        <v>0.0993686085420592</v>
      </c>
      <c r="FB203" s="326">
        <f>FA203*(VLOOKUP($EY$9,各项系数!$D$4:$F$143,2,0))</f>
        <v>6.50864385950488</v>
      </c>
      <c r="FC203" s="327"/>
      <c r="FD203" s="302">
        <f>各项系数!$F$76/4*($MN203^2-MK203^2)*10^-2*(VLOOKUP(L203,各项系数!$D$1:$F$143,3,0))*10^-3*10^2*$EG203*各项系数!$J$4</f>
        <v>0.0162431824056468</v>
      </c>
      <c r="FE203" s="339">
        <f>FD203*VLOOKUP(L203,各项系数!$D$1:$F$143,2,0)</f>
        <v>0.186796597664939</v>
      </c>
      <c r="FF203" s="250">
        <f>各项系数!$F$76/4*($MO203^2-ML203^2)*10^-2*(VLOOKUP(L203,各项系数!$D$1:$F$143,3,0))*10^-3*10^2*$EO203*各项系数!$J$4</f>
        <v>0</v>
      </c>
      <c r="FG203" s="339">
        <f>FF203*VLOOKUP(L203,各项系数!$D$1:$F$143,2,0)</f>
        <v>0</v>
      </c>
      <c r="FH203" s="302">
        <f t="shared" si="651"/>
        <v>0.0162431824056468</v>
      </c>
      <c r="FI203" s="123">
        <v>1</v>
      </c>
      <c r="FJ203" s="251">
        <f t="shared" si="898"/>
        <v>0.0162431824056468</v>
      </c>
      <c r="FK203" s="339">
        <f>FJ203*VLOOKUP(L203,各项系数!$D$1:$F$143,2,0)</f>
        <v>0.186796597664939</v>
      </c>
      <c r="FL203" s="302"/>
      <c r="FM203" s="123"/>
      <c r="FN203" s="251"/>
      <c r="FO203" s="339"/>
      <c r="FP203" s="364">
        <f t="shared" si="899"/>
        <v>0.0162431824056468</v>
      </c>
      <c r="FQ203" s="364">
        <f t="shared" si="900"/>
        <v>0.186796597664939</v>
      </c>
      <c r="FR203" s="365">
        <f>各项系数!$F$76/4*($MQ203^2-$MN203^2*$EG203-$MO203^2*$EO203)*10^-2</f>
        <v>0.260744730886205</v>
      </c>
      <c r="FS203" s="366">
        <f t="shared" si="652"/>
        <v>0.05</v>
      </c>
      <c r="FT203" s="367">
        <f t="shared" si="604"/>
        <v>0.0130372365443103</v>
      </c>
      <c r="FU203" s="388">
        <f>$FT203*(VLOOKUP($FT$9,各项系数!$D$1:$F$143,3,0))*10^-3*10^2*各项系数!$J$55</f>
        <v>0.00155664604339064</v>
      </c>
      <c r="FV203" s="389">
        <v>1</v>
      </c>
      <c r="FW203" s="390">
        <f t="shared" si="901"/>
        <v>0.00155664604339064</v>
      </c>
      <c r="FX203" s="367">
        <f>FW203*(VLOOKUP($FT$9,各项系数!$D$1:$F$143,2,0))</f>
        <v>0.00466993813017193</v>
      </c>
      <c r="FY203" s="388">
        <f>IF($BK203&lt;&gt;$FY$9,0,各项系数!$F$76/4*($MS203^2-$MQ203^2)*10^-2*(VLOOKUP($FY$9,各项系数!$D$1:$F$143,3,0))*10^-3*10^2)*各项系数!$J$4</f>
        <v>0</v>
      </c>
      <c r="FZ203" s="389">
        <v>1</v>
      </c>
      <c r="GA203" s="390">
        <f t="shared" si="902"/>
        <v>0</v>
      </c>
      <c r="GB203" s="367">
        <f>GA203*(VLOOKUP($FY$9,各项系数!$D$1:$F$143,2,0))</f>
        <v>0</v>
      </c>
      <c r="GC203" s="388">
        <f>IF($BK203&lt;&gt;$GC$9,0,各项系数!$F$76/4*($MS203^2-$MQ203^2)*10^-2*(VLOOKUP($GC$9,各项系数!$D$1:$F$143,3,0))*10^-3*10^2)*各项系数!$J$4</f>
        <v>0.00199374195726635</v>
      </c>
      <c r="GD203" s="389">
        <v>1</v>
      </c>
      <c r="GE203" s="390">
        <f t="shared" si="903"/>
        <v>0.00199374195726635</v>
      </c>
      <c r="GF203" s="367">
        <f>GE203*(VLOOKUP($GC$9,各项系数!$D$1:$F$143,2,0))</f>
        <v>0.0257192712487359</v>
      </c>
      <c r="GG203" s="388">
        <f>IF($BK203&lt;&gt;$GG$9,0,各项系数!$F$76/4*($MS203^2-$MQ203^2)*10^-2*(VLOOKUP($GG$9,各项系数!$D$1:$F$143,3,0))*10^-3*10^2)*各项系数!$J$4</f>
        <v>0</v>
      </c>
      <c r="GH203" s="389">
        <v>1</v>
      </c>
      <c r="GI203" s="390">
        <f t="shared" si="904"/>
        <v>0</v>
      </c>
      <c r="GJ203" s="367">
        <f>GI203*(VLOOKUP($GG$9,各项系数!$D$1:$F$143,2,0))</f>
        <v>0</v>
      </c>
      <c r="GK203" s="388">
        <f>IF($BK203&lt;&gt;$GK$9,0,各项系数!$F$76/4*($MS203^2-$MQ203^2)*10^-2*(VLOOKUP($GK$9,各项系数!$D$1:$F$143,3,0))*10^-3*10^2)*各项系数!$J$4</f>
        <v>0</v>
      </c>
      <c r="GL203" s="389">
        <v>1</v>
      </c>
      <c r="GM203" s="390">
        <f t="shared" si="905"/>
        <v>0</v>
      </c>
      <c r="GN203" s="367">
        <f>GM203*(VLOOKUP($GK$9,各项系数!$D$1:$F$143,2,0))</f>
        <v>0</v>
      </c>
      <c r="GO203" s="390">
        <f t="shared" si="906"/>
        <v>0.00199374195726635</v>
      </c>
      <c r="GP203" s="390">
        <f t="shared" si="907"/>
        <v>0.0257192712487359</v>
      </c>
      <c r="GQ203" s="406">
        <f>各项系数!$F$76/4*($MU203^2-$MS203^2)*10^-2*(VLOOKUP($S203,各项系数!$D$1:$F$143,3,0))*10^-3*10^2*各项系数!$J$4</f>
        <v>0.130608392899049</v>
      </c>
      <c r="GR203" s="389">
        <v>1</v>
      </c>
      <c r="GS203" s="390">
        <f t="shared" si="908"/>
        <v>0.130608392899049</v>
      </c>
      <c r="GT203" s="390">
        <f t="shared" si="909"/>
        <v>1</v>
      </c>
      <c r="GU203" s="390">
        <f>ROUND($GS203*(VLOOKUP($S203,各项系数!$D$1:$F$143,2,0))+$E$3*GS203,GT203)</f>
        <v>0.8</v>
      </c>
      <c r="GV203" s="406">
        <f>各项系数!$F$76/4*($MT203^2-$MS203^2)*10^-2*(VLOOKUP($GV$9,各项系数!$D$1:$F$143,3,0))*10^-3*10^2*各项系数!$J$4*PI()/4*R203</f>
        <v>0.0117126246659177</v>
      </c>
      <c r="GW203" s="389">
        <v>1</v>
      </c>
      <c r="GX203" s="390">
        <f t="shared" si="910"/>
        <v>0.0117126246659177</v>
      </c>
      <c r="GY203" s="390">
        <f>$GX203*(VLOOKUP($GV$9,各项系数!$D$1:$F$143,2,0))</f>
        <v>0.790602164949445</v>
      </c>
      <c r="GZ203" s="406">
        <f>各项系数!$F$76/4*($MV203^2-$MS203^2)*10^-2*(VLOOKUP($GZ$9,各项系数!$D$1:$F$143,3,0))*10^-3*10^2*各项系数!$J$4</f>
        <v>0.0666630911814397</v>
      </c>
      <c r="HA203" s="389">
        <v>1</v>
      </c>
      <c r="HB203" s="390">
        <f t="shared" si="653"/>
        <v>0.0666630911814397</v>
      </c>
      <c r="HC203" s="390">
        <f>HB203*(VLOOKUP($GZ$9,各项系数!$D$1:$F$143,2,0))</f>
        <v>1.13327255008447</v>
      </c>
      <c r="HD203" s="406">
        <f>各项系数!$F$76/4*($MW203^2-$MT203^2)*10^-2*(VLOOKUP($HD$9,各项系数!$D$1:$F$143,3,0))*10^-3*10^2*各项系数!$J$4</f>
        <v>0.0677508990536717</v>
      </c>
      <c r="HE203" s="389">
        <v>1</v>
      </c>
      <c r="HF203" s="390">
        <f t="shared" si="654"/>
        <v>0.0677508990536717</v>
      </c>
      <c r="HG203" s="390">
        <f>HF203*(VLOOKUP($HD$9,各项系数!$D$1:$F$143,2,0))</f>
        <v>1.15176528391242</v>
      </c>
      <c r="HH203" s="406">
        <f>各项系数!$F$76/4*($MV203^2-$MS203^2)*10^-2*(VLOOKUP($HH$9,各项系数!$D$1:$F$143,3,0))*10^-3*10^2*各项系数!$J$4</f>
        <v>0.0666630911814397</v>
      </c>
      <c r="HI203" s="420">
        <v>1</v>
      </c>
      <c r="HJ203" s="390">
        <f t="shared" si="655"/>
        <v>0.0666630911814397</v>
      </c>
      <c r="HK203" s="390">
        <f>HJ203*(VLOOKUP($HH$9,各项系数!$D$1:$F$143,2,0))</f>
        <v>1.13327255008447</v>
      </c>
      <c r="HL203" s="406">
        <f>各项系数!$F$76/4*($MW203^2-$MT203^2)*10^-2*(VLOOKUP($HL$9,各项系数!$D$1:$F$143,3,0))*10^-3*10^2*各项系数!$J$4</f>
        <v>0.0677508990536717</v>
      </c>
      <c r="HM203" s="420">
        <v>1</v>
      </c>
      <c r="HN203" s="390">
        <f t="shared" si="605"/>
        <v>0.0677508990536717</v>
      </c>
      <c r="HO203" s="390">
        <f>HN203*(VLOOKUP($HL$9,各项系数!$D$1:$F$143,2,0))</f>
        <v>1.15176528391242</v>
      </c>
      <c r="HP203" s="406">
        <f>各项系数!$F$76/4*($MV203^2-$MS203^2)*10^-2*(VLOOKUP(AN203,各项系数!$D$1:$F$143,3,0))*10^-3*10^2*各项系数!$J$4</f>
        <v>0.0675825820942871</v>
      </c>
      <c r="HQ203" s="389">
        <v>1</v>
      </c>
      <c r="HR203" s="390">
        <f t="shared" si="911"/>
        <v>0.0675825820942871</v>
      </c>
      <c r="HS203" s="390">
        <f>HR203*(VLOOKUP(AN203,各项系数!$D$1:$F$143,2,0))</f>
        <v>0.675825820942871</v>
      </c>
      <c r="HT203" s="406">
        <f>各项系数!$F$76/4*($MW203^2-$MT203^2)*10^-2*(VLOOKUP(AN203,各项系数!$D$1:$F$143,3,0))*10^-3*10^2*各项系数!$J$4</f>
        <v>0.0686853942130327</v>
      </c>
      <c r="HU203" s="389">
        <v>1</v>
      </c>
      <c r="HV203" s="390">
        <f t="shared" si="912"/>
        <v>0.0686853942130327</v>
      </c>
      <c r="HW203" s="390">
        <f>HV203*(VLOOKUP(AN203,各项系数!$D$1:$F$143,2,0))</f>
        <v>0.686853942130327</v>
      </c>
      <c r="HX203" s="406">
        <f>各项系数!$F$76/4*($MV203^2-$MS203^2)*10^-2*(VLOOKUP($HX$9,各项系数!$D$1:$F$143,3,0))*10^-3*10^2*各项系数!$J$4</f>
        <v>0.0675825820942871</v>
      </c>
      <c r="HY203" s="420">
        <v>1</v>
      </c>
      <c r="HZ203" s="390">
        <f t="shared" si="913"/>
        <v>0.0675825820942871</v>
      </c>
      <c r="IA203" s="390">
        <f>HZ203*(VLOOKUP($HX$9,各项系数!$D$1:$F$143,2,0))</f>
        <v>0.743408403037158</v>
      </c>
      <c r="IB203" s="406">
        <f>各项系数!$F$76/4*($MW203^2-$MT203^2)*10^-2*(VLOOKUP($IB$9,各项系数!$D$1:$F$143,3,0))*10^-3*10^2*各项系数!$J$4</f>
        <v>0.0686853942130327</v>
      </c>
      <c r="IC203" s="420">
        <v>1</v>
      </c>
      <c r="ID203" s="390">
        <f t="shared" si="914"/>
        <v>0.0686853942130327</v>
      </c>
      <c r="IE203" s="390">
        <f>ID203*(VLOOKUP($IB$9,各项系数!$D$1:$F$143,2,0))</f>
        <v>0.75553933634336</v>
      </c>
      <c r="IF203" s="429"/>
      <c r="IG203" s="406">
        <f t="shared" si="656"/>
        <v>0.00836745044984917</v>
      </c>
      <c r="IH203" s="389">
        <v>1</v>
      </c>
      <c r="II203" s="390">
        <f t="shared" si="915"/>
        <v>0.00836745044984917</v>
      </c>
      <c r="IJ203" s="390">
        <f>II203*(VLOOKUP($IG$8,各项系数!$D$1:$F$143,2,0))</f>
        <v>0.209186261246229</v>
      </c>
      <c r="IK203" s="406">
        <f>(各项系数!$F$76/4*($MX203^2-$MK203^2)*$EG203)*10^-2*(VLOOKUP($IG$8,各项系数!$D$1:$F$143,3,0))*10^-3*10^2*各项系数!$J$4</f>
        <v>0.00836745044984917</v>
      </c>
      <c r="IL203" s="389">
        <f>IK203*(VLOOKUP($IG$8,各项系数!$D$1:$F$143,2,0))</f>
        <v>0.209186261246229</v>
      </c>
      <c r="IM203" s="390">
        <f>(各项系数!$F$76/4*(($MM203+3*$X203)^2-MM203^2)*$EO203)*10^-2*(VLOOKUP($IG$8,各项系数!$D$1:$F$143,3,0))*10^-3*10^2*各项系数!$J$4</f>
        <v>0</v>
      </c>
      <c r="IN203" s="389">
        <f>IM203*(VLOOKUP($IG$8,各项系数!$D$1:$F$143,2,0))</f>
        <v>0</v>
      </c>
      <c r="IO203" s="406">
        <f>各项系数!$F$76/4*($MZ203^2-$MX203^2)*10^-2*(VLOOKUP(L203,各项系数!$D$1:$F$143,3,0))*10^-3*10^2*$ES203*各项系数!$J$4</f>
        <v>0.0191314998595042</v>
      </c>
      <c r="IP203" s="389">
        <v>1</v>
      </c>
      <c r="IQ203" s="390">
        <f t="shared" si="916"/>
        <v>0.0191314998595042</v>
      </c>
      <c r="IR203" s="367">
        <f>IQ203*(VLOOKUP(L203,各项系数!$D$1:$F$143,2,0))</f>
        <v>0.220012248384299</v>
      </c>
      <c r="IS203" s="406">
        <f>IF($L203&lt;&gt;$IS$9,0,各项系数!$F$76/4*($MZ203^2-$MX203^2)*10^-2*各项系数!$F$12*10^-3*10^2)*$ES203*各项系数!$J$4</f>
        <v>0</v>
      </c>
      <c r="IT203" s="389">
        <v>1</v>
      </c>
      <c r="IU203" s="390">
        <f t="shared" si="917"/>
        <v>0</v>
      </c>
      <c r="IV203" s="367">
        <f>IU203*各项系数!$E$12</f>
        <v>0</v>
      </c>
      <c r="IW203" s="388">
        <f t="shared" si="918"/>
        <v>0.0191314998595042</v>
      </c>
      <c r="IX203" s="388">
        <f t="shared" si="919"/>
        <v>0.220012248384299</v>
      </c>
      <c r="IY203" s="447">
        <f>各项系数!$F$76/4*($NB203^2-$MZ203^2*$EG203-$NA203^2*$EO203)*10^-2</f>
        <v>0.343197428773338</v>
      </c>
      <c r="IZ203" s="366">
        <f t="shared" si="697"/>
        <v>0.05</v>
      </c>
      <c r="JA203" s="367">
        <f t="shared" si="606"/>
        <v>0.0171598714386669</v>
      </c>
      <c r="JB203" s="364">
        <f>IF($DE203&lt;&gt;$JB$9,0,$JA203*各项系数!$F$32*10^-3*10^2)*各项系数!$J$4</f>
        <v>0</v>
      </c>
      <c r="JC203" s="123">
        <v>1</v>
      </c>
      <c r="JD203" s="251">
        <f t="shared" si="920"/>
        <v>0</v>
      </c>
      <c r="JE203" s="339">
        <f>JD203*各项系数!$E$32</f>
        <v>0</v>
      </c>
      <c r="JF203" s="364">
        <f>IF($DE203&lt;&gt;$JF$9,0,$JA203*VLOOKUP($JF$9,各项系数!$D$4:$F$540,2,0)*10^-3*10^2)*各项系数!$J$4</f>
        <v>0.00853703604073678</v>
      </c>
      <c r="JG203" s="123">
        <v>1</v>
      </c>
      <c r="JH203" s="251">
        <f t="shared" si="607"/>
        <v>0.00853703604073678</v>
      </c>
      <c r="JI203" s="339">
        <f>JH203*VLOOKUP($JF$9,各项系数!$D$4:$F$540,3,0)</f>
        <v>0.0102444432488841</v>
      </c>
      <c r="JJ203" s="364">
        <f t="shared" si="921"/>
        <v>0.00853703604073678</v>
      </c>
      <c r="JK203" s="251">
        <f t="shared" si="922"/>
        <v>0.0102444432488841</v>
      </c>
      <c r="JL203" s="364">
        <f>IF($DF203&lt;&gt;$JL$9,0,各项系数!$F$76/4*($NE203^2-$NC203^2)*10^-2*各项系数!$F$39*10^-3*10^2)*各项系数!$J$4</f>
        <v>0.000965684462380191</v>
      </c>
      <c r="JM203" s="123">
        <v>1</v>
      </c>
      <c r="JN203" s="251">
        <f t="shared" si="923"/>
        <v>0.000965684462380191</v>
      </c>
      <c r="JO203" s="339">
        <f>JN203*各项系数!$E$39</f>
        <v>0.0193136892476038</v>
      </c>
      <c r="JP203" s="364">
        <f>IF($DF203&lt;&gt;$JP$9,0,各项系数!$F$76/4*($NE203^2-$NC203^2)*10^-2*各项系数!$F$36*10^-3*10^2)*各项系数!$J$4</f>
        <v>0</v>
      </c>
      <c r="JQ203" s="123">
        <v>1</v>
      </c>
      <c r="JR203" s="251">
        <f t="shared" si="924"/>
        <v>0</v>
      </c>
      <c r="JS203" s="339">
        <f>JR203*各项系数!$E$36</f>
        <v>0</v>
      </c>
      <c r="JT203" s="364">
        <f>IF($DF203&lt;&gt;$JT$9,0,各项系数!$F$76/4*($NE203^2-$NC203^2)*10^-2*各项系数!$F$40*10^-3*10^2)*各项系数!$J$4</f>
        <v>0</v>
      </c>
      <c r="JU203" s="123">
        <v>1</v>
      </c>
      <c r="JV203" s="251">
        <f t="shared" si="925"/>
        <v>0</v>
      </c>
      <c r="JW203" s="339">
        <f>JV203*各项系数!$E$40</f>
        <v>0</v>
      </c>
      <c r="JX203" s="364">
        <f>IF($DF203&lt;&gt;$JX$9,0,各项系数!$F$76/4*($NE203^2-$NC203^2)*10^-2*各项系数!$F$38*10^-3*10^2)*各项系数!$J$4</f>
        <v>0</v>
      </c>
      <c r="JY203" s="123">
        <v>1</v>
      </c>
      <c r="JZ203" s="251">
        <f t="shared" si="926"/>
        <v>0</v>
      </c>
      <c r="KA203" s="339">
        <f>JZ203*各项系数!$E$38</f>
        <v>0</v>
      </c>
      <c r="KB203" s="364">
        <f>IF($DF203&lt;&gt;$KB$9,0,各项系数!$F$76/4*($NE203^2-$NC203^2)*10^-2*各项系数!$F$41*10^-3*10^2)*各项系数!$J$4</f>
        <v>0</v>
      </c>
      <c r="KC203" s="123">
        <v>1</v>
      </c>
      <c r="KD203" s="251">
        <f t="shared" si="927"/>
        <v>0</v>
      </c>
      <c r="KE203" s="339">
        <f>KD203*各项系数!$E$41</f>
        <v>0</v>
      </c>
      <c r="KF203" s="251">
        <f t="shared" si="928"/>
        <v>0.000965684462380191</v>
      </c>
      <c r="KG203" s="251">
        <f t="shared" si="929"/>
        <v>0.0193136892476038</v>
      </c>
      <c r="KH203" s="302">
        <f>各项系数!$F$76/4*($NG203^2-$NE203^2)*10^-2*各项系数!$F$44*10^-3*10^2*各项系数!$J$4*0.75*$U203</f>
        <v>0.447315570138366</v>
      </c>
      <c r="KI203" s="123">
        <v>1</v>
      </c>
      <c r="KJ203" s="251">
        <f t="shared" si="930"/>
        <v>0.447315570138366</v>
      </c>
      <c r="KK203" s="251">
        <f>ROUND(KJ203*各项系数!$E$43,GT203)</f>
        <v>2.6</v>
      </c>
      <c r="KL203" s="302">
        <f>各项系数!$F$76/4*($NF203^2-$NE203^2)*10^-2*各项系数!$F$46*10^-3*10^2*各项系数!$J$4*PI()/4*R203</f>
        <v>0.0134742362057851</v>
      </c>
      <c r="KM203" s="123">
        <v>1</v>
      </c>
      <c r="KN203" s="251">
        <f t="shared" si="931"/>
        <v>0.0134742362057851</v>
      </c>
      <c r="KO203" s="251">
        <f>KN203*各项系数!$E$46</f>
        <v>0.909510943890497</v>
      </c>
      <c r="KP203" s="302">
        <f>各项系数!$F$76/4*($NH203^2-$NE203^2)*10^-2*(VLOOKUP($KP$9,各项系数!$D$1:$F$143,3,0))*10^-3*10^2*各项系数!$J$4</f>
        <v>0.075237373746419</v>
      </c>
      <c r="KQ203" s="123">
        <v>1</v>
      </c>
      <c r="KR203" s="251">
        <f t="shared" si="657"/>
        <v>0.075237373746419</v>
      </c>
      <c r="KS203" s="251">
        <f>KR203*(VLOOKUP($KP$9,各项系数!$D$1:$F$143,2,0))</f>
        <v>1.27903535368912</v>
      </c>
      <c r="KT203" s="302">
        <f>各项系数!$F$76/4*($NI203^2-$NF203^2)*10^-2*(VLOOKUP($KT$9,各项系数!$D$1:$F$143,3,0))*10^-3*10^2*各项系数!$J$4</f>
        <v>0.0763251816186511</v>
      </c>
      <c r="KU203" s="123">
        <v>1</v>
      </c>
      <c r="KV203" s="251">
        <f t="shared" si="658"/>
        <v>0.0763251816186511</v>
      </c>
      <c r="KW203" s="251">
        <f>KV203*(VLOOKUP($KT$9,各项系数!$D$1:$F$143,2,0))</f>
        <v>1.29752808751707</v>
      </c>
      <c r="KX203" s="251">
        <f>各项系数!$F$76/4*($NH203^2-$NE203^2)*10^-2*(VLOOKUP($KX$9,各项系数!$D$1:$F$143,3,0))*10^-3*10^2*各项系数!$J$4</f>
        <v>0.075237373746419</v>
      </c>
      <c r="KY203" s="479">
        <v>1</v>
      </c>
      <c r="KZ203" s="251">
        <f t="shared" si="659"/>
        <v>0.075237373746419</v>
      </c>
      <c r="LA203" s="251">
        <f>KZ203*(VLOOKUP($KX$9,各项系数!$D$1:$F$143,2,0))</f>
        <v>1.27903535368912</v>
      </c>
      <c r="LB203" s="251">
        <f>各项系数!$F$76/4*($NI203^2-$NF203^2)*10^-2*(VLOOKUP($LB$9,各项系数!$D$1:$F$143,3,0))*10^-3*10^2*各项系数!$J$4</f>
        <v>0.0763251816186511</v>
      </c>
      <c r="LC203" s="479">
        <v>1</v>
      </c>
      <c r="LD203" s="251">
        <f t="shared" si="660"/>
        <v>0.0763251816186511</v>
      </c>
      <c r="LE203" s="251">
        <f>LD203*(VLOOKUP($LB$9,各项系数!$D$1:$F$143,2,0))</f>
        <v>1.29752808751707</v>
      </c>
      <c r="LF203" s="302">
        <f>各项系数!$F$76/4*($NH203^2-$NE203^2)*10^-2*(VLOOKUP(AN203,各项系数!$D$1:$F$143,3,0))*10^-3*10^2*各项系数!$J$4</f>
        <v>0.07627513062568</v>
      </c>
      <c r="LG203" s="123">
        <v>1</v>
      </c>
      <c r="LH203" s="251">
        <f t="shared" si="932"/>
        <v>0.07627513062568</v>
      </c>
      <c r="LI203" s="251">
        <f>LH203*(VLOOKUP(AN203,各项系数!$D$1:$F$143,2,0))</f>
        <v>0.7627513062568</v>
      </c>
      <c r="LJ203" s="302">
        <f>各项系数!$F$76/4*($NI203^2-$NF203^2)*10^-2*(VLOOKUP(AN203,各项系数!$D$1:$F$143,3,0))*10^-3*10^2*各项系数!$J$4</f>
        <v>0.0773779427444256</v>
      </c>
      <c r="LK203" s="123">
        <v>1</v>
      </c>
      <c r="LL203" s="251">
        <f t="shared" si="933"/>
        <v>0.0773779427444256</v>
      </c>
      <c r="LM203" s="251">
        <f>LL203*(VLOOKUP(AN203,各项系数!$D$1:$F$143,2,0))</f>
        <v>0.773779427444256</v>
      </c>
      <c r="LN203" s="251">
        <f>各项系数!$F$76/4*($NH203^2-$NE203^2)*10^-2*(VLOOKUP($LN$9,各项系数!$D$1:$F$143,3,0))*10^-3*10^2*各项系数!$J$4</f>
        <v>0.07627513062568</v>
      </c>
      <c r="LO203" s="479">
        <v>1</v>
      </c>
      <c r="LP203" s="251">
        <f t="shared" si="934"/>
        <v>0.07627513062568</v>
      </c>
      <c r="LQ203" s="251">
        <f>LP203*(VLOOKUP($LN$9,各项系数!$D$1:$F$143,2,0))</f>
        <v>0.83902643688248</v>
      </c>
      <c r="LR203" s="251">
        <f>各项系数!$F$76/4*($NI203^2-$NF203^2)*10^-2*(VLOOKUP($LR$9,各项系数!$D$1:$F$143,3,0))*10^-3*10^2*各项系数!$J$4</f>
        <v>0.0773779427444256</v>
      </c>
      <c r="LS203" s="479">
        <v>1</v>
      </c>
      <c r="LT203" s="251">
        <f t="shared" si="935"/>
        <v>0.0773779427444256</v>
      </c>
      <c r="LU203" s="251">
        <f>LT203*(VLOOKUP($LR$9,各项系数!$D$1:$F$143,2,0))</f>
        <v>0.851157370188681</v>
      </c>
      <c r="LV203" s="499">
        <f t="shared" si="661"/>
        <v>11.23373996</v>
      </c>
      <c r="LW203" s="499">
        <f t="shared" si="662"/>
        <v>11.23373996</v>
      </c>
      <c r="LX203" s="499">
        <f t="shared" si="663"/>
        <v>3.78196271165431</v>
      </c>
      <c r="LY203" s="515">
        <f t="shared" si="664"/>
        <v>0</v>
      </c>
      <c r="LZ203" s="516">
        <f t="shared" si="608"/>
        <v>1</v>
      </c>
      <c r="MA203" s="517">
        <f t="shared" si="609"/>
        <v>11.23373996</v>
      </c>
      <c r="MB203" s="517">
        <f t="shared" si="665"/>
        <v>2.67425148</v>
      </c>
      <c r="MC203" s="499">
        <f t="shared" si="666"/>
        <v>0</v>
      </c>
      <c r="MD203" s="499">
        <f t="shared" si="667"/>
        <v>0</v>
      </c>
      <c r="ME203" s="499">
        <f t="shared" si="668"/>
        <v>0</v>
      </c>
      <c r="MF203" s="499">
        <f t="shared" si="669"/>
        <v>0</v>
      </c>
      <c r="MG203" s="516">
        <f t="shared" si="670"/>
        <v>1</v>
      </c>
      <c r="MH203" s="517">
        <f t="shared" si="610"/>
        <v>0</v>
      </c>
      <c r="MI203" s="517">
        <f t="shared" si="671"/>
        <v>0</v>
      </c>
      <c r="MJ203" s="251">
        <f t="shared" si="611"/>
        <v>2.67425148</v>
      </c>
      <c r="MK203" s="251">
        <f t="shared" si="672"/>
        <v>2.67425148</v>
      </c>
      <c r="ML203" s="251">
        <f t="shared" si="936"/>
        <v>0</v>
      </c>
      <c r="MM203" s="251">
        <f t="shared" si="612"/>
        <v>0</v>
      </c>
      <c r="MN203" s="251">
        <f t="shared" si="613"/>
        <v>4.07425148</v>
      </c>
      <c r="MO203" s="251">
        <f t="shared" si="673"/>
        <v>0</v>
      </c>
      <c r="MP203" s="251">
        <f t="shared" si="674"/>
        <v>8.14850296</v>
      </c>
      <c r="MQ203" s="251">
        <f t="shared" si="937"/>
        <v>8.14850296</v>
      </c>
      <c r="MR203" s="314">
        <f t="shared" si="675"/>
        <v>8.12912723</v>
      </c>
      <c r="MS203" s="530">
        <f t="shared" si="614"/>
        <v>8.30512723</v>
      </c>
      <c r="MT203" s="530">
        <f t="shared" si="615"/>
        <v>8.46512723</v>
      </c>
      <c r="MU203" s="530">
        <f t="shared" si="616"/>
        <v>9.50512723</v>
      </c>
      <c r="MV203" s="530">
        <f t="shared" si="617"/>
        <v>11.30512723</v>
      </c>
      <c r="MW203" s="530">
        <f t="shared" si="618"/>
        <v>11.46512723</v>
      </c>
      <c r="MX203" s="326">
        <f t="shared" si="619"/>
        <v>3.27425148</v>
      </c>
      <c r="MY203" s="326">
        <f t="shared" si="620"/>
        <v>0</v>
      </c>
      <c r="MZ203" s="251">
        <f t="shared" si="621"/>
        <v>4.67425148</v>
      </c>
      <c r="NA203" s="251">
        <f t="shared" si="622"/>
        <v>0</v>
      </c>
      <c r="NB203" s="251">
        <f t="shared" si="676"/>
        <v>9.34850296</v>
      </c>
      <c r="NC203" s="326">
        <f t="shared" si="938"/>
        <v>9.34850296</v>
      </c>
      <c r="ND203" s="314">
        <f t="shared" si="677"/>
        <v>9.32627384</v>
      </c>
      <c r="NE203" s="537">
        <f t="shared" si="678"/>
        <v>9.56627384</v>
      </c>
      <c r="NF203" s="530">
        <f t="shared" si="623"/>
        <v>9.72627384</v>
      </c>
      <c r="NG203" s="538">
        <f t="shared" si="624"/>
        <v>10.76627384</v>
      </c>
      <c r="NH203" s="326">
        <f t="shared" si="625"/>
        <v>12.56627384</v>
      </c>
      <c r="NI203" s="530">
        <f t="shared" si="626"/>
        <v>12.72627384</v>
      </c>
      <c r="NK203" s="539">
        <f t="shared" si="627"/>
        <v>0.18674476104265</v>
      </c>
      <c r="NL203" s="539">
        <f t="shared" si="628"/>
        <v>7.4016554874916</v>
      </c>
      <c r="NM203" s="539">
        <f t="shared" si="629"/>
        <v>0.18674476104265</v>
      </c>
      <c r="NN203" s="539">
        <f t="shared" si="630"/>
        <v>7.46923806958588</v>
      </c>
      <c r="NO203" s="539">
        <f t="shared" si="631"/>
        <v>0.21264540998021</v>
      </c>
      <c r="NP203" s="539">
        <f t="shared" si="632"/>
        <v>7.73015180788869</v>
      </c>
      <c r="NQ203" s="539">
        <f t="shared" si="633"/>
        <v>0.21264540998021</v>
      </c>
      <c r="NR203" s="539">
        <f t="shared" si="634"/>
        <v>7.80642693851437</v>
      </c>
      <c r="NS203" s="539">
        <f t="shared" si="635"/>
        <v>0.198457385708568</v>
      </c>
      <c r="NT203" s="539">
        <f t="shared" si="636"/>
        <v>0.198457385708568</v>
      </c>
      <c r="NU203" s="539">
        <f t="shared" si="637"/>
        <v>0.226119646185995</v>
      </c>
      <c r="NV203" s="539">
        <f t="shared" si="638"/>
        <v>0.226119646185995</v>
      </c>
      <c r="NW203">
        <f t="shared" si="639"/>
        <v>0.317353153941699</v>
      </c>
      <c r="NX203">
        <f>各项系数!$M$9*NK203</f>
        <v>0.056023428312795</v>
      </c>
      <c r="NY203">
        <f t="shared" si="640"/>
        <v>0.198457385708568</v>
      </c>
    </row>
    <row r="204" customHeight="1" spans="1:389">
      <c r="A204" s="85"/>
      <c r="B204" s="86"/>
      <c r="C204" s="218"/>
      <c r="D204" s="85" t="s">
        <v>185</v>
      </c>
      <c r="E204" s="70">
        <f t="shared" si="885"/>
        <v>12.1763832</v>
      </c>
      <c r="F204" s="225">
        <f>$F$19</f>
        <v>267.425148012862</v>
      </c>
      <c r="G204" s="78"/>
      <c r="H204" s="23"/>
      <c r="I204" s="174">
        <v>0</v>
      </c>
      <c r="J204" s="23"/>
      <c r="K204" s="23"/>
      <c r="L204" s="118" t="s">
        <v>469</v>
      </c>
      <c r="M204" s="124">
        <f t="shared" ref="M204:M214" si="940">VLOOKUP(EE204,$A$12:$C$46,3,0)</f>
        <v>0.7</v>
      </c>
      <c r="N204" s="124">
        <f t="shared" si="804"/>
        <v>0</v>
      </c>
      <c r="O204" s="69">
        <f t="shared" si="939"/>
        <v>0.08</v>
      </c>
      <c r="P204" s="120">
        <v>0.1</v>
      </c>
      <c r="Q204" s="162">
        <f t="shared" ref="Q204:Q214" si="941">$Q$12</f>
        <v>0.1</v>
      </c>
      <c r="R204" s="560">
        <v>0.8</v>
      </c>
      <c r="S204" s="171" t="str">
        <f>各项系数!$D$43</f>
        <v>钢带</v>
      </c>
      <c r="T204" s="123">
        <v>0.2</v>
      </c>
      <c r="U204" s="78">
        <v>4</v>
      </c>
      <c r="V204" s="172"/>
      <c r="W204" s="170">
        <f>$W$200</f>
        <v>1.6</v>
      </c>
      <c r="X204" s="164">
        <f t="shared" ref="X204:X214" si="942">$X$12</f>
        <v>0.2</v>
      </c>
      <c r="Y204" s="219"/>
      <c r="Z204" s="220"/>
      <c r="AA204" s="217">
        <v>1</v>
      </c>
      <c r="AB204" s="186">
        <f>PI()*EJ204*EJ204/4*EH204*(1-H204)*AA204*各项系数!$F$5*各项系数!$J$4*10^-7</f>
        <v>0.0496843042710297</v>
      </c>
      <c r="AC204" s="186">
        <f t="shared" si="886"/>
        <v>267.425148012862</v>
      </c>
      <c r="AD204" s="186">
        <f t="shared" ref="AD204:AD214" si="943">PI()*AE204*AE204*10^-4/4*EH204</f>
        <v>5.61686998219778</v>
      </c>
      <c r="AE204" s="186">
        <f>POWER(4*EU204/PI()/EG204/10^-7/EH204/(1-H204)/各项系数!$F$5/各项系数!$J$4,0.5)</f>
        <v>267.425148012862</v>
      </c>
      <c r="AF204" s="218">
        <v>1</v>
      </c>
      <c r="AG204" s="85">
        <f>IF(EM204=0,0,PI()*ER204*ER204/4*EP204*(1-K204)*(1+AF204)*各项系数!$F$5*各项系数!$J$4*10^-7)</f>
        <v>0</v>
      </c>
      <c r="AH204" s="85">
        <f t="shared" si="887"/>
        <v>0</v>
      </c>
      <c r="AI204" s="85">
        <f t="shared" si="641"/>
        <v>0</v>
      </c>
      <c r="AJ204" s="85">
        <f>IF(OR(EP204="",EP204=0),0,POWER(4*EW204/PI()/EO204/10^-7/EP204/(1-K204)/各项系数!$F$5/各项系数!$J$4,0.5))</f>
        <v>0</v>
      </c>
      <c r="AK204" s="85" t="str">
        <f t="shared" ref="AK204:AK214" si="944">IF((EG204*AB204+EO204*AG204)-EY204&lt;0.000001,"√",EY204)</f>
        <v>√</v>
      </c>
      <c r="AL204" s="85">
        <f t="shared" si="888"/>
        <v>11.4255233983248</v>
      </c>
      <c r="AM204" s="250">
        <f t="shared" si="889"/>
        <v>6</v>
      </c>
      <c r="AN204" s="118" t="s">
        <v>486</v>
      </c>
      <c r="AO204" s="259">
        <f>AP204+各项系数!$M$9*$NK204</f>
        <v>11.2014935277694</v>
      </c>
      <c r="AP204" s="259">
        <f>AQ204*(1+$BI204+(VLOOKUP($AM204,$A$12:$B$323,2,0))+各项系数!$J$6+各项系数!$M$5)*(1+$E$2)</f>
        <v>11.1176362815291</v>
      </c>
      <c r="AQ204" s="260">
        <f>AR204+各项系数!$L$9*$NK204</f>
        <v>11.232204770185</v>
      </c>
      <c r="AR204" s="260">
        <f>AS204*(1+$BJ204+各项系数!$J$5+各项系数!$L$5)</f>
        <v>11.1483475239447</v>
      </c>
      <c r="AS204" s="260">
        <f t="shared" si="642"/>
        <v>10.9297524744556</v>
      </c>
      <c r="AT204" s="259">
        <f>AU204+各项系数!$M$9*$NM204</f>
        <v>11.7328681579475</v>
      </c>
      <c r="AU204" s="259">
        <f>AV204*(1+$BI204+(VLOOKUP($AM204,$A$12:$B$323,2,0))+各项系数!$J$6+各项系数!$M$5)*(1+$E$2)</f>
        <v>11.6490109117072</v>
      </c>
      <c r="AV204" s="260">
        <f>AW204+各项系数!$L$9*$NM204</f>
        <v>11.7690552755175</v>
      </c>
      <c r="AW204" s="260">
        <f>AX204*(1+$BJ204+各项系数!$J$5+各项系数!$L$5)</f>
        <v>11.6851980292773</v>
      </c>
      <c r="AX204" s="260">
        <f t="shared" si="643"/>
        <v>11.4560764992914</v>
      </c>
      <c r="AY204" s="259">
        <f>AZ204+各项系数!$M$9*$NS204</f>
        <v>12.0830075039034</v>
      </c>
      <c r="AZ204" s="259">
        <f>BA204*(1+$BI204+(VLOOKUP($AM204,$A$12:$B$214,2,0))+各项系数!$J$6+各项系数!$M$5)*(1+$E$2)</f>
        <v>11.9953551804624</v>
      </c>
      <c r="BA204" s="260">
        <f>BB204+各项系数!$L$9*$NS204</f>
        <v>12.1189686608026</v>
      </c>
      <c r="BB204" s="260">
        <f>BC204*(1+$BJ204+各项系数!$J$5+各项系数!$L$5)</f>
        <v>12.0313163373616</v>
      </c>
      <c r="BC204" s="262">
        <f t="shared" si="644"/>
        <v>11.7954081738839</v>
      </c>
      <c r="BD204" s="259">
        <f>BE204+各项系数!$M$9*$NS204</f>
        <v>12.6224207933491</v>
      </c>
      <c r="BE204" s="259">
        <f>BF204*(1+$BI204+(VLOOKUP($AM204,$A$12:$B$214,2,0))+各项系数!$J$6+各项系数!$M$5)*(1+$E$2)</f>
        <v>12.5347684699081</v>
      </c>
      <c r="BF204" s="260">
        <f>BG204+各项系数!$L$9*$NS204</f>
        <v>12.6639406646879</v>
      </c>
      <c r="BG204" s="260">
        <f>BH204*(1+$BJ204+各项系数!$J$5+各项系数!$L$5)</f>
        <v>12.576288341247</v>
      </c>
      <c r="BH204" s="262">
        <f t="shared" si="645"/>
        <v>12.3296944522029</v>
      </c>
      <c r="BI204" s="275">
        <v>0</v>
      </c>
      <c r="BJ204" s="272">
        <f>$BJ$203</f>
        <v>0</v>
      </c>
      <c r="BK204" s="123" t="s">
        <v>514</v>
      </c>
      <c r="BL204" s="259">
        <f>BM204+各项系数!$M$9*$NM204</f>
        <v>11.3889504642442</v>
      </c>
      <c r="BM204" s="259">
        <f>BN204*(1+$CF204+(VLOOKUP($AM204,$A$12:$B$323,2,0))+各项系数!$J$6+各项系数!$M$5)*(1+$E$2)</f>
        <v>11.305093218004</v>
      </c>
      <c r="BN204" s="260">
        <f>BO204+各项系数!$L$9*$NM204</f>
        <v>11.4215934714124</v>
      </c>
      <c r="BO204" s="260">
        <f>BP204*(1+$CG204+各项系数!$J$5+各项系数!$L$5)</f>
        <v>11.3377362251721</v>
      </c>
      <c r="BP204" s="260">
        <f t="shared" si="646"/>
        <v>11.0075108982253</v>
      </c>
      <c r="BQ204" s="259">
        <f>BR204+各项系数!$M$9*$NM204</f>
        <v>11.8462604031375</v>
      </c>
      <c r="BR204" s="259">
        <f>BS204*(1+$CF204+(VLOOKUP($AM204,$A$12:$B$323,2,0))+各项系数!$J$6+各项系数!$M$5)*(1+$E$2)</f>
        <v>11.7624031568972</v>
      </c>
      <c r="BS204" s="260">
        <f>BT204+各项系数!$L$9*$NM204</f>
        <v>11.8836160405104</v>
      </c>
      <c r="BT204" s="260">
        <f>BU204*(1+$CG204+各项系数!$J$5+各项系数!$L$5)</f>
        <v>11.7997587942702</v>
      </c>
      <c r="BU204" s="260">
        <f t="shared" si="647"/>
        <v>11.4560764992914</v>
      </c>
      <c r="BV204" s="259">
        <f>BW204+各项系数!$M$9*$NT204</f>
        <v>12.2016528115528</v>
      </c>
      <c r="BW204" s="259">
        <f>BX204*(1+$CF204+(VLOOKUP($AM204,$A$12:$B$214,2,0))+各项系数!$J$6+各项系数!$M$5)*(1+$E$2)</f>
        <v>12.1140004881118</v>
      </c>
      <c r="BX204" s="260">
        <f>BY204+各项系数!$L$9*$NT$12</f>
        <v>12.2388366216527</v>
      </c>
      <c r="BY204" s="260">
        <f>BZ204*(1+$CG204+各项系数!$J$5+各项系数!$L$5)</f>
        <v>12.2305732184977</v>
      </c>
      <c r="BZ204" s="262">
        <f t="shared" ref="BZ204:BZ214" si="945">SUM($FB204,$FQ204,$FX204,$GP204,$GY204,$IE204)</f>
        <v>11.8743429305803</v>
      </c>
      <c r="CA204" s="259">
        <f>CB204+各项系数!$M$9*$NT204</f>
        <v>12.6658809557379</v>
      </c>
      <c r="CB204" s="259">
        <f>CC204*(1+$CF204+(VLOOKUP($AM204,$A$12:$B$214,2,0))+各项系数!$J$6+各项系数!$M$5)*(1+$E$2)</f>
        <v>12.5782286322969</v>
      </c>
      <c r="CC204" s="260">
        <f>CD204+各项系数!$L$9*$NT$12</f>
        <v>12.707848688924</v>
      </c>
      <c r="CD204" s="260">
        <f>CE204*(1+$CG204+各项系数!$J$5+各项系数!$L$5)</f>
        <v>12.699585285769</v>
      </c>
      <c r="CE204" s="262">
        <f t="shared" si="648"/>
        <v>12.3296944522029</v>
      </c>
      <c r="CF204" s="275">
        <f>(BI204+$CF$2)-BI204/1.3</f>
        <v>0</v>
      </c>
      <c r="CG204" s="277">
        <f t="shared" ref="CG204:CG214" si="946">BJ204+$E$4</f>
        <v>0.01</v>
      </c>
      <c r="CH204" s="123"/>
      <c r="CI204" s="259">
        <f>CJ204+各项系数!$M$9*$NO204</f>
        <v>11.9235118584379</v>
      </c>
      <c r="CJ204" s="259">
        <f>CK204*(1+$DC204+(VLOOKUP($AM204,$A$12:$B$323,2,0))+各项系数!$J$6+各项系数!$M$5)*(1+$E$2)+各项系数!$M$9*$NK204</f>
        <v>11.7970915185497</v>
      </c>
      <c r="CK204" s="260">
        <f>CL204+各项系数!$L$9*$NO204</f>
        <v>11.833940465053</v>
      </c>
      <c r="CL204" s="260">
        <f>CM204*(1+$DD204+各项系数!$J$5+各项系数!$L$5)</f>
        <v>11.7075201251648</v>
      </c>
      <c r="CM204" s="260">
        <f t="shared" ref="CM204:CM214" si="947">SUM($FB204,$IJ204,$IX204,$JK204,$KG204,$LI204)</f>
        <v>11.4779609070243</v>
      </c>
      <c r="CN204" s="259">
        <f>CO204+各项系数!$M$9*$NO204</f>
        <v>12.3539387021348</v>
      </c>
      <c r="CO204" s="259">
        <f>CP204*(1+$DC204+(VLOOKUP($AM204,$A$12:$B$323,2,0))+各项系数!$J$6+各项系数!$M$5)*(1+$E$2)+各项系数!$M$9*$NK204</f>
        <v>12.2275183622466</v>
      </c>
      <c r="CP204" s="260">
        <f>CQ204+各项系数!$L$9*$NO204</f>
        <v>12.2688029056439</v>
      </c>
      <c r="CQ204" s="260">
        <f>CR204*(1+$DD204+各项系数!$J$5+各项系数!$L$5)</f>
        <v>12.1423825657558</v>
      </c>
      <c r="CR204" s="260">
        <f t="shared" ref="CR204:CR214" si="948">SUM($FB204,$IJ204,$IX204,$JK204,$KG204,$HC204)</f>
        <v>11.9042966330939</v>
      </c>
      <c r="CS204" s="259">
        <f>CT204+各项系数!$M$9*$NU204</f>
        <v>12.8517623734648</v>
      </c>
      <c r="CT204" s="259">
        <f t="shared" ref="CT204:CT214" si="949">CU204*(1+$DC204+(VLOOKUP($AM204,$A$12:$B$323,2,0)))*(1+$E$2)+$E$3*$OM204</f>
        <v>12.7209770484029</v>
      </c>
      <c r="CU204" s="260">
        <f>CV204+各项系数!$L$9*$NU204</f>
        <v>12.8520681434662</v>
      </c>
      <c r="CV204" s="260">
        <f>CW204*(1+$DD204+各项系数!$J$5+各项系数!$L$5)</f>
        <v>12.7212828184043</v>
      </c>
      <c r="CW204" s="262">
        <f t="shared" ref="CW204:CW214" si="950">SUM($FB204,$IJ204,$IX204,$JK204,$KG204,$KO204,$LM204)</f>
        <v>12.4718459003963</v>
      </c>
      <c r="CX204" s="259">
        <f>CY204+各项系数!$M$9*$NU204</f>
        <v>13.4595042666853</v>
      </c>
      <c r="CY204" s="259">
        <f t="shared" ref="CY204:CY214" si="951">CZ204*(1+$DC204+(VLOOKUP($AM204,$A$12:$B$323,2,0)))*(1+$E$2)+$E$3*$OM204</f>
        <v>13.3287189416233</v>
      </c>
      <c r="CZ204" s="260">
        <f>DA204+各项系数!$L$9*$NU204</f>
        <v>13.4660728850508</v>
      </c>
      <c r="DA204" s="260">
        <f>DB204*(1+$DD204+各项系数!$J$5+各项系数!$L$5)</f>
        <v>13.3352875599889</v>
      </c>
      <c r="DB204" s="262">
        <f t="shared" ref="DB204:DB214" si="952">SUM($FB204,$IJ204,$IX204,$JK204,$KG204,$KO204,$KW204)</f>
        <v>13.0738113333224</v>
      </c>
      <c r="DC204" s="275">
        <f>(BI204+$DC$2)-BI204/1.3</f>
        <v>0</v>
      </c>
      <c r="DD204" s="277">
        <f t="shared" ref="DD204:DD214" si="953">BJ204+$E$5</f>
        <v>0</v>
      </c>
      <c r="DE204" s="69" t="s">
        <v>498</v>
      </c>
      <c r="DF204" s="69" t="s">
        <v>513</v>
      </c>
      <c r="DG204" s="259">
        <f>DH204+各项系数!$M$9*$NQ204</f>
        <v>12.1265887090445</v>
      </c>
      <c r="DH204" s="259">
        <f>DI204*(1+$EA204+(VLOOKUP($AM204,$A$12:$B$323,2,0))+各项系数!$J$6+各项系数!$M$5)*(1+$E$2)+各项系数!$M$9*$NK204</f>
        <v>12.0001683691563</v>
      </c>
      <c r="DI204" s="260">
        <f>DJ204+各项系数!$L$9*$NQ204</f>
        <v>12.0391100453789</v>
      </c>
      <c r="DJ204" s="260">
        <f>DK204*(1+$EB204+各项系数!$J$5+各项系数!$L$5)</f>
        <v>11.9126897054908</v>
      </c>
      <c r="DK204" s="260">
        <f t="shared" ref="DK204:DK214" si="954">SUM($FB204,$IJ204,$IX204,$JK204,$KG204,$LQ204)</f>
        <v>11.5657181606707</v>
      </c>
      <c r="DL204" s="259">
        <f>DM204+各项系数!$M$9*$NQ204</f>
        <v>12.6427033929185</v>
      </c>
      <c r="DM204" s="259">
        <f>DN204*(1+$EA204+(VLOOKUP($AM204,$A$12:$B$323,2,0))+各项系数!$J$6+各项系数!$M$5)*(1+$E$2)+各项系数!$M$9*$NK204</f>
        <v>12.5162830530304</v>
      </c>
      <c r="DN204" s="260">
        <f>DO204+各项系数!$L$9*$NQ204</f>
        <v>12.5605433489494</v>
      </c>
      <c r="DO204" s="260">
        <f>DP204*(1+$EB204+各项系数!$J$5+各项系数!$L$5)</f>
        <v>12.4341230090612</v>
      </c>
      <c r="DP204" s="260">
        <f t="shared" ref="DP204:DP214" si="955">SUM($FB204,$IJ204,$IX204,$JK204,$KG204,$LA204)</f>
        <v>12.0719640864672</v>
      </c>
      <c r="DQ204" s="259">
        <f>DR204+各项系数!$M$9*$NV204</f>
        <v>13.0658759620966</v>
      </c>
      <c r="DR204" s="259">
        <f t="shared" ref="DR204:DR214" si="956">DS204*(1+$EA204+(VLOOKUP($AM204,$A$12:$B$323,2,0)))*(1+$E$2)+$E$3*$NV204</f>
        <v>12.9350906370346</v>
      </c>
      <c r="DS204" s="260">
        <f>DT204+各项系数!$L$9*$NV204</f>
        <v>13.0683881966404</v>
      </c>
      <c r="DT204" s="260">
        <f>DU204*(1+$EB204+各项系数!$J$5+各项系数!$L$5)</f>
        <v>12.9376028715784</v>
      </c>
      <c r="DU204" s="262">
        <f t="shared" ref="DU204:DU214" si="957">SUM($FB204,IX204,$IJ204,$JK204,$KG204,$LU204,$KO204)</f>
        <v>12.5607794869693</v>
      </c>
      <c r="DV204" s="259">
        <f>DW204+各项系数!$M$9*$NV204</f>
        <v>13.2524571005311</v>
      </c>
      <c r="DW204" s="259">
        <f t="shared" ref="DW204:DW214" si="958">DX204*(1+$EA204+(VLOOKUP($AM204,$A$12:$B$323,2,0)))*(1+$E$2)+$E$3*$NV204</f>
        <v>13.1216717754691</v>
      </c>
      <c r="DX204" s="260">
        <f>DY204+各项系数!$L$9*$NV204</f>
        <v>13.2568920746303</v>
      </c>
      <c r="DY204" s="260">
        <f>DZ204*(1+$EB204+各项系数!$J$5+各项系数!$L$5)</f>
        <v>13.1261067495684</v>
      </c>
      <c r="DZ204" s="262">
        <f t="shared" ref="DZ204:DZ214" si="959">SUM($FB204,JE204,$IJ204,$JK204,$KG204,$LE204,$KO204)</f>
        <v>12.743792960746</v>
      </c>
      <c r="EA204" s="275">
        <f>(BI204+$EA$2)-BI204/1.3</f>
        <v>0</v>
      </c>
      <c r="EB204" s="277">
        <f t="shared" ref="EB204:EB214" si="960">BJ204+$E$6</f>
        <v>0.01</v>
      </c>
      <c r="EC204" s="302">
        <f t="shared" si="649"/>
        <v>3</v>
      </c>
      <c r="ED204" s="302" t="str">
        <f t="shared" si="890"/>
        <v>3*6</v>
      </c>
      <c r="EE204" s="251">
        <f t="shared" si="891"/>
        <v>6</v>
      </c>
      <c r="EF204" s="251">
        <f>LOOKUP(EH204,{1,7,10,14,19,24,30,37,48,61},{1,"1+6","2+8","4+10","1+6+12","2+8+14","4+10+16","1+6+12+18","3+9+15+21","1+6+12+18+24"})</f>
        <v>1</v>
      </c>
      <c r="EG204" s="250">
        <f t="shared" ref="EG204:EG214" si="961">IF(D204="",0,MID(D204,1,FIND("*",D204)-1))*1</f>
        <v>3</v>
      </c>
      <c r="EH204" s="260">
        <f>VLOOKUP(EE204,各项系数!$B$87:$C$124,2,0)</f>
        <v>1</v>
      </c>
      <c r="EI204" s="250">
        <f>IF(EH204=0,0,VLOOKUP(EH204,各项系数!$D$142:$E$195,2,0))*1</f>
        <v>1</v>
      </c>
      <c r="EJ204" s="305">
        <f t="shared" si="650"/>
        <v>267.425148012862</v>
      </c>
      <c r="EK204" s="251">
        <f t="shared" si="892"/>
        <v>0</v>
      </c>
      <c r="EL204" s="251">
        <f t="shared" ref="EL204:EL214" si="962">IF(COUNTIF(D204,"*+*")&gt;0,(MID(D204,FIND("#",SUBSTITUTE(D204,"*","#",2))+1,FIND("#",SUBSTITUTE(D204,"*","#",2))-1)),0)</f>
        <v>0</v>
      </c>
      <c r="EM204" s="251">
        <f t="shared" si="893"/>
        <v>0</v>
      </c>
      <c r="EN204" s="251">
        <f>IF(EP204=0,0,LOOKUP(EP204,{1,7,10,14,19,24,30,37,48,61},{1,"1+6","2+8","4+10","1+6+12","2+8+14","4+10+16","1+6+12+18","3+9+15+21","1+6+12+18+24"}))</f>
        <v>0</v>
      </c>
      <c r="EO204" s="251">
        <f t="shared" si="894"/>
        <v>0</v>
      </c>
      <c r="EP204" s="251">
        <f>IF(EM204=0,0,IF(EM204&lt;10,1,IF(AND(EM204&gt;=10,EM204&lt;=35),7,LOOKUP(EM204,{50,70,95,120,150,185,240,300},{10,14,19,24,30,37,48,61})*1)))</f>
        <v>0</v>
      </c>
      <c r="EQ204" s="251">
        <f>IF(EP204=0,0,VLOOKUP(EP204,各项系数!$D$142:$E$195,2,0))*1</f>
        <v>0</v>
      </c>
      <c r="ER204" s="69">
        <f t="shared" si="895"/>
        <v>0</v>
      </c>
      <c r="ES204" s="566">
        <f t="shared" si="896"/>
        <v>3</v>
      </c>
      <c r="ET204" s="251">
        <f>VLOOKUP(ES204,各项系数!$D$142:$E$195,2,0)*1</f>
        <v>2.16</v>
      </c>
      <c r="EU204" s="311">
        <f>((各项系数!$F$76/4*$EJ204^2*$EG204*$EH204*1*10^-7)*(1-$H204)*AA204)*(VLOOKUP($EY$9,各项系数!$D$4:$F$143,3,0))*各项系数!$J$4</f>
        <v>0.149052912813089</v>
      </c>
      <c r="EV204" s="312">
        <f>EU204*(VLOOKUP($EY$9,各项系数!$D$4:$F$143,2,0))</f>
        <v>9.76296578925732</v>
      </c>
      <c r="EW204" s="324">
        <f>(IF($EO204=0,0,(各项系数!$F$76/4*$ER204^2*$EO204*$EP204*1*10^-7))*(1-$K204)*$AF204)*(VLOOKUP($EY$9,各项系数!$D$4:$F$143,3,0))*各项系数!$J$4</f>
        <v>0</v>
      </c>
      <c r="EX204" s="325">
        <f>EW204*(VLOOKUP($EY$9,各项系数!$D$4:$F$143,2,0))</f>
        <v>0</v>
      </c>
      <c r="EY204" s="251">
        <f>((各项系数!$F$76/4*$EJ204^2*$EG204*$EH204*1*10^-7)*(1-$H204)*AA204+IF($EO204=0,0,(各项系数!$F$76/4*$ER204^2*$EO204*$EP204*1*10^-7))*(1-$K204)*$AF204)*(VLOOKUP($EY$9,各项系数!$D$4:$F$143,3,0))*各项系数!$J$4</f>
        <v>0.149052912813089</v>
      </c>
      <c r="EZ204" s="123">
        <v>1</v>
      </c>
      <c r="FA204" s="251">
        <f t="shared" si="897"/>
        <v>0.149052912813089</v>
      </c>
      <c r="FB204" s="326">
        <f>FA204*(VLOOKUP($EY$9,各项系数!$D$4:$F$143,2,0))</f>
        <v>9.76296578925732</v>
      </c>
      <c r="FC204" s="327"/>
      <c r="FD204" s="302">
        <f>各项系数!$F$76/4*($MN204^2-MK204^2)*10^-2*(VLOOKUP(L204,各项系数!$D$1:$F$143,3,0))*10^-3*10^2*$EG204*各项系数!$J$4</f>
        <v>0.0243647736084703</v>
      </c>
      <c r="FE204" s="339">
        <f>FD204*VLOOKUP(L204,各项系数!$D$1:$F$143,2,0)</f>
        <v>0.280194896497408</v>
      </c>
      <c r="FF204" s="250">
        <f>各项系数!$F$76/4*($MO204^2-ML204^2)*10^-2*(VLOOKUP(L204,各项系数!$D$1:$F$143,3,0))*10^-3*10^2*$EO204*各项系数!$J$4</f>
        <v>0</v>
      </c>
      <c r="FG204" s="339">
        <f>FF204*VLOOKUP(L204,各项系数!$D$1:$F$143,2,0)</f>
        <v>0</v>
      </c>
      <c r="FH204" s="302">
        <f t="shared" si="651"/>
        <v>0.0243647736084703</v>
      </c>
      <c r="FI204" s="123">
        <v>1</v>
      </c>
      <c r="FJ204" s="251">
        <f t="shared" si="898"/>
        <v>0.0243647736084703</v>
      </c>
      <c r="FK204" s="339">
        <f>FJ204*VLOOKUP(L204,各项系数!$D$1:$F$143,2,0)</f>
        <v>0.280194896497408</v>
      </c>
      <c r="FL204" s="302"/>
      <c r="FM204" s="123"/>
      <c r="FN204" s="251"/>
      <c r="FO204" s="339"/>
      <c r="FP204" s="364">
        <f t="shared" si="899"/>
        <v>0.0243647736084703</v>
      </c>
      <c r="FQ204" s="364">
        <f t="shared" si="900"/>
        <v>0.280194896497408</v>
      </c>
      <c r="FR204" s="365">
        <f>各项系数!$F$76/4*($MQ204^2-$MN204^2*$EG204-$MO204^2*$EO204)*10^-2</f>
        <v>0.217148212324387</v>
      </c>
      <c r="FS204" s="366">
        <f t="shared" si="652"/>
        <v>1</v>
      </c>
      <c r="FT204" s="367">
        <f t="shared" ref="FT204:FT214" si="963">FR204*$FS204</f>
        <v>0.217148212324387</v>
      </c>
      <c r="FU204" s="388">
        <f>$FT204*(VLOOKUP($FT$9,各项系数!$D$1:$F$143,3,0))*10^-3*10^2*各项系数!$J$55</f>
        <v>0.0259274965515318</v>
      </c>
      <c r="FV204" s="389">
        <v>1</v>
      </c>
      <c r="FW204" s="390">
        <f t="shared" si="901"/>
        <v>0.0259274965515318</v>
      </c>
      <c r="FX204" s="367">
        <f>FW204*(VLOOKUP($FT$9,各项系数!$D$1:$F$143,2,0))</f>
        <v>0.0777824896545954</v>
      </c>
      <c r="FY204" s="388">
        <f>IF($BK204&lt;&gt;$FY$9,0,各项系数!$F$76/4*($MS204^2-$MQ204^2)*10^-2*(VLOOKUP($FY$9,各项系数!$D$1:$F$143,3,0))*10^-3*10^2)*各项系数!$J$4</f>
        <v>0</v>
      </c>
      <c r="FZ204" s="389">
        <v>1</v>
      </c>
      <c r="GA204" s="390">
        <f t="shared" si="902"/>
        <v>0</v>
      </c>
      <c r="GB204" s="367">
        <f>GA204*(VLOOKUP($FY$9,各项系数!$D$1:$F$143,2,0))</f>
        <v>0</v>
      </c>
      <c r="GC204" s="388">
        <f>IF($BK204&lt;&gt;$GC$9,0,各项系数!$F$76/4*($MS204^2-$MQ204^2)*10^-2*(VLOOKUP($GC$9,各项系数!$D$1:$F$143,3,0))*10^-3*10^2)*各项系数!$J$4</f>
        <v>0.00242054739140966</v>
      </c>
      <c r="GD204" s="389">
        <v>1</v>
      </c>
      <c r="GE204" s="390">
        <f t="shared" si="903"/>
        <v>0.00242054739140966</v>
      </c>
      <c r="GF204" s="367">
        <f>GE204*(VLOOKUP($GC$9,各项系数!$D$1:$F$143,2,0))</f>
        <v>0.0312250613491846</v>
      </c>
      <c r="GG204" s="388">
        <f>IF($BK204&lt;&gt;$GG$9,0,各项系数!$F$76/4*($MS204^2-$MQ204^2)*10^-2*(VLOOKUP($GG$9,各项系数!$D$1:$F$143,3,0))*10^-3*10^2)*各项系数!$J$4</f>
        <v>0</v>
      </c>
      <c r="GH204" s="389">
        <v>1</v>
      </c>
      <c r="GI204" s="390">
        <f t="shared" si="904"/>
        <v>0</v>
      </c>
      <c r="GJ204" s="367">
        <f>GI204*(VLOOKUP($GG$9,各项系数!$D$1:$F$143,2,0))</f>
        <v>0</v>
      </c>
      <c r="GK204" s="388">
        <f>IF($BK204&lt;&gt;$GK$9,0,各项系数!$F$76/4*($MS204^2-$MQ204^2)*10^-2*(VLOOKUP($GK$9,各项系数!$D$1:$F$143,3,0))*10^-3*10^2)*各项系数!$J$4</f>
        <v>0</v>
      </c>
      <c r="GL204" s="389">
        <v>1</v>
      </c>
      <c r="GM204" s="390">
        <f t="shared" si="905"/>
        <v>0</v>
      </c>
      <c r="GN204" s="367">
        <f>GM204*(VLOOKUP($GK$9,各项系数!$D$1:$F$143,2,0))</f>
        <v>0</v>
      </c>
      <c r="GO204" s="390">
        <f t="shared" si="906"/>
        <v>0.00242054739140966</v>
      </c>
      <c r="GP204" s="390">
        <f t="shared" si="907"/>
        <v>0.0312250613491846</v>
      </c>
      <c r="GQ204" s="406">
        <f>各项系数!$F$76/4*($MU204^2-$MS204^2)*10^-2*(VLOOKUP($S204,各项系数!$D$1:$F$143,3,0))*10^-3*10^2*各项系数!$J$4</f>
        <v>0.140453469920548</v>
      </c>
      <c r="GR204" s="389">
        <v>1</v>
      </c>
      <c r="GS204" s="390">
        <f t="shared" si="908"/>
        <v>0.140453469920548</v>
      </c>
      <c r="GT204" s="390">
        <f t="shared" si="909"/>
        <v>1</v>
      </c>
      <c r="GU204" s="390">
        <f>ROUND($GS204*(VLOOKUP($S204,各项系数!$D$1:$F$143,2,0))+$E$3*GS204,GT204)</f>
        <v>0.8</v>
      </c>
      <c r="GV204" s="406">
        <f>各项系数!$F$76/4*($MT204^2-$MS204^2)*10^-2*(VLOOKUP($GV$9,各项系数!$D$1:$F$143,3,0))*10^-3*10^2*各项系数!$J$4*PI()/4*R204</f>
        <v>0.0126502573357284</v>
      </c>
      <c r="GW204" s="389">
        <v>1</v>
      </c>
      <c r="GX204" s="390">
        <f t="shared" si="910"/>
        <v>0.0126502573357284</v>
      </c>
      <c r="GY204" s="390">
        <f>$GX204*(VLOOKUP($GV$9,各项系数!$D$1:$F$143,2,0))</f>
        <v>0.853892370161665</v>
      </c>
      <c r="GZ204" s="406">
        <f>各项系数!$F$76/4*($MV204^2-$MS204^2)*10^-2*(VLOOKUP($GZ$9,各项系数!$D$1:$F$143,3,0))*10^-3*10^2*各项系数!$J$4</f>
        <v>0.0767004860313485</v>
      </c>
      <c r="HA204" s="389">
        <v>1</v>
      </c>
      <c r="HB204" s="390">
        <f t="shared" si="653"/>
        <v>0.0767004860313485</v>
      </c>
      <c r="HC204" s="390">
        <f>HB204*(VLOOKUP($GZ$9,各项系数!$D$1:$F$143,2,0))</f>
        <v>1.30390826253292</v>
      </c>
      <c r="HD204" s="406">
        <f>各项系数!$F$76/4*($MW204^2-$MT204^2)*10^-2*(VLOOKUP($HD$9,各项系数!$D$1:$F$143,3,0))*10^-3*10^2*各项系数!$J$4</f>
        <v>0.077860814428396</v>
      </c>
      <c r="HE204" s="389">
        <v>1</v>
      </c>
      <c r="HF204" s="390">
        <f t="shared" si="654"/>
        <v>0.077860814428396</v>
      </c>
      <c r="HG204" s="390">
        <f>HF204*(VLOOKUP($HD$9,各项系数!$D$1:$F$143,2,0))</f>
        <v>1.32363384528273</v>
      </c>
      <c r="HH204" s="406">
        <f>各项系数!$F$76/4*($MV204^2-$MS204^2)*10^-2*(VLOOKUP($HH$9,各项系数!$D$1:$F$143,3,0))*10^-3*10^2*各项系数!$J$4</f>
        <v>0.0767004860313485</v>
      </c>
      <c r="HI204" s="420">
        <v>1</v>
      </c>
      <c r="HJ204" s="390">
        <f t="shared" si="655"/>
        <v>0.0767004860313485</v>
      </c>
      <c r="HK204" s="390">
        <f>HJ204*(VLOOKUP($HH$9,各项系数!$D$1:$F$143,2,0))</f>
        <v>1.30390826253292</v>
      </c>
      <c r="HL204" s="406">
        <f>各项系数!$F$76/4*($MW204^2-$MT204^2)*10^-2*(VLOOKUP($HL$9,各项系数!$D$1:$F$143,3,0))*10^-3*10^2*各项系数!$J$4</f>
        <v>0.077860814428396</v>
      </c>
      <c r="HM204" s="420">
        <v>1</v>
      </c>
      <c r="HN204" s="390">
        <f t="shared" ref="HN204:HN214" si="964">HM204*HL204</f>
        <v>0.077860814428396</v>
      </c>
      <c r="HO204" s="390">
        <f>HN204*(VLOOKUP($HL$9,各项系数!$D$1:$F$143,2,0))</f>
        <v>1.32363384528273</v>
      </c>
      <c r="HP204" s="406">
        <f>各项系数!$F$76/4*($MV204^2-$MS204^2)*10^-2*(VLOOKUP(AN204,各项系数!$D$1:$F$143,3,0))*10^-3*10^2*各项系数!$J$4</f>
        <v>0.077758423769712</v>
      </c>
      <c r="HQ204" s="389">
        <v>1</v>
      </c>
      <c r="HR204" s="390">
        <f t="shared" si="911"/>
        <v>0.077758423769712</v>
      </c>
      <c r="HS204" s="390">
        <f>HR204*(VLOOKUP(AN204,各项系数!$D$1:$F$143,2,0))</f>
        <v>0.77758423769712</v>
      </c>
      <c r="HT204" s="406">
        <f>各项系数!$F$76/4*($MW204^2-$MT204^2)*10^-2*(VLOOKUP(AN204,各项系数!$D$1:$F$143,3,0))*10^-3*10^2*各项系数!$J$4</f>
        <v>0.0789347566963739</v>
      </c>
      <c r="HU204" s="389">
        <v>1</v>
      </c>
      <c r="HV204" s="390">
        <f t="shared" si="912"/>
        <v>0.0789347566963739</v>
      </c>
      <c r="HW204" s="390">
        <f>HV204*(VLOOKUP(AN204,各项系数!$D$1:$F$143,2,0))</f>
        <v>0.789347566963739</v>
      </c>
      <c r="HX204" s="406">
        <f>各项系数!$F$76/4*($MV204^2-$MS204^2)*10^-2*(VLOOKUP($HX$9,各项系数!$D$1:$F$143,3,0))*10^-3*10^2*各项系数!$J$4</f>
        <v>0.077758423769712</v>
      </c>
      <c r="HY204" s="420">
        <v>1</v>
      </c>
      <c r="HZ204" s="390">
        <f t="shared" si="913"/>
        <v>0.077758423769712</v>
      </c>
      <c r="IA204" s="390">
        <f>HZ204*(VLOOKUP($HX$9,各项系数!$D$1:$F$143,2,0))</f>
        <v>0.855342661466831</v>
      </c>
      <c r="IB204" s="406">
        <f>各项系数!$F$76/4*($MW204^2-$MT204^2)*10^-2*(VLOOKUP($IB$9,各项系数!$D$1:$F$143,3,0))*10^-3*10^2*各项系数!$J$4</f>
        <v>0.0789347566963739</v>
      </c>
      <c r="IC204" s="420">
        <v>1</v>
      </c>
      <c r="ID204" s="390">
        <f t="shared" si="914"/>
        <v>0.0789347566963739</v>
      </c>
      <c r="IE204" s="390">
        <f>ID204*(VLOOKUP($IB$9,各项系数!$D$1:$F$143,2,0))</f>
        <v>0.868282323660112</v>
      </c>
      <c r="IF204" s="429"/>
      <c r="IG204" s="406">
        <f t="shared" si="656"/>
        <v>0.0125511756747738</v>
      </c>
      <c r="IH204" s="389">
        <v>1</v>
      </c>
      <c r="II204" s="390">
        <f t="shared" si="915"/>
        <v>0.0125511756747738</v>
      </c>
      <c r="IJ204" s="390">
        <f>II204*(VLOOKUP($IG$8,各项系数!$D$1:$F$143,2,0))</f>
        <v>0.313779391869344</v>
      </c>
      <c r="IK204" s="406">
        <f>(各项系数!$F$76/4*($MX204^2-$MK204^2)*$EG204)*10^-2*(VLOOKUP($IG$8,各项系数!$D$1:$F$143,3,0))*10^-3*10^2*各项系数!$J$4</f>
        <v>0.0125511756747738</v>
      </c>
      <c r="IL204" s="389">
        <f>IK204*(VLOOKUP($IG$8,各项系数!$D$1:$F$143,2,0))</f>
        <v>0.313779391869344</v>
      </c>
      <c r="IM204" s="390">
        <f>(各项系数!$F$76/4*(($MM204+3*$X204)^2-MM204^2)*$EO204)*10^-2*(VLOOKUP($IG$8,各项系数!$D$1:$F$143,3,0))*10^-3*10^2*各项系数!$J$4</f>
        <v>0</v>
      </c>
      <c r="IN204" s="389">
        <f>IM204*(VLOOKUP($IG$8,各项系数!$D$1:$F$143,2,0))</f>
        <v>0</v>
      </c>
      <c r="IO204" s="406">
        <f>各项系数!$F$76/4*($MZ204^2-$MX204^2)*10^-2*(VLOOKUP(L204,各项系数!$D$1:$F$143,3,0))*10^-3*10^2*$ES204*各项系数!$J$4</f>
        <v>0.0286972497892563</v>
      </c>
      <c r="IP204" s="389">
        <v>1</v>
      </c>
      <c r="IQ204" s="390">
        <f t="shared" si="916"/>
        <v>0.0286972497892563</v>
      </c>
      <c r="IR204" s="367">
        <f>IQ204*(VLOOKUP(L204,各项系数!$D$1:$F$143,2,0))</f>
        <v>0.330018372576448</v>
      </c>
      <c r="IS204" s="406">
        <f>IF($L204&lt;&gt;$IS$9,0,各项系数!$F$76/4*($MZ204^2-$MX204^2)*10^-2*各项系数!$F$12*10^-3*10^2)*$ES204*各项系数!$J$4</f>
        <v>0</v>
      </c>
      <c r="IT204" s="389">
        <v>1</v>
      </c>
      <c r="IU204" s="390">
        <f t="shared" si="917"/>
        <v>0</v>
      </c>
      <c r="IV204" s="367">
        <f>IU204*各项系数!$E$12</f>
        <v>0</v>
      </c>
      <c r="IW204" s="388">
        <f t="shared" si="918"/>
        <v>0.0286972497892563</v>
      </c>
      <c r="IX204" s="388">
        <f t="shared" si="919"/>
        <v>0.330018372576448</v>
      </c>
      <c r="IY204" s="447">
        <f>各项系数!$F$76/4*($NB204^2-$MZ204^2*$EG204-$NA204^2*$EO204)*10^-2</f>
        <v>0.285814819189935</v>
      </c>
      <c r="IZ204" s="366">
        <f t="shared" si="697"/>
        <v>1</v>
      </c>
      <c r="JA204" s="367">
        <f t="shared" ref="JA204:JA214" si="965">IY204*$IZ204</f>
        <v>0.285814819189935</v>
      </c>
      <c r="JB204" s="364">
        <f>IF($DE204&lt;&gt;$JB$9,0,$JA204*各项系数!$F$32*10^-3*10^2)*各项系数!$J$4</f>
        <v>0</v>
      </c>
      <c r="JC204" s="123">
        <v>1</v>
      </c>
      <c r="JD204" s="251">
        <f t="shared" si="920"/>
        <v>0</v>
      </c>
      <c r="JE204" s="339">
        <f>JD204*各项系数!$E$32</f>
        <v>0</v>
      </c>
      <c r="JF204" s="364">
        <f>IF($DE204&lt;&gt;$JF$9,0,$JA204*VLOOKUP($JF$9,各项系数!$D$4:$F$540,2,0)*10^-3*10^2)*各项系数!$J$4</f>
        <v>0.142192872546993</v>
      </c>
      <c r="JG204" s="123">
        <v>1</v>
      </c>
      <c r="JH204" s="251">
        <f t="shared" ref="JH204:JH214" si="966">JG204*JF204</f>
        <v>0.142192872546993</v>
      </c>
      <c r="JI204" s="339">
        <f>JH204*VLOOKUP($JF$9,各项系数!$D$4:$F$540,3,0)</f>
        <v>0.170631447056391</v>
      </c>
      <c r="JJ204" s="364">
        <f t="shared" si="921"/>
        <v>0.142192872546993</v>
      </c>
      <c r="JK204" s="251">
        <f t="shared" si="922"/>
        <v>0.170631447056391</v>
      </c>
      <c r="JL204" s="364">
        <f>IF($DF204&lt;&gt;$JL$9,0,各项系数!$F$76/4*($NE204^2-$NC204^2)*10^-2*各项系数!$F$39*10^-3*10^2)*各项系数!$J$4</f>
        <v>0.00114966849007229</v>
      </c>
      <c r="JM204" s="123">
        <v>1</v>
      </c>
      <c r="JN204" s="251">
        <f t="shared" si="923"/>
        <v>0.00114966849007229</v>
      </c>
      <c r="JO204" s="339">
        <f>JN204*各项系数!$E$39</f>
        <v>0.0229933698014457</v>
      </c>
      <c r="JP204" s="364">
        <f>IF($DF204&lt;&gt;$JP$9,0,各项系数!$F$76/4*($NE204^2-$NC204^2)*10^-2*各项系数!$F$36*10^-3*10^2)*各项系数!$J$4</f>
        <v>0</v>
      </c>
      <c r="JQ204" s="123">
        <v>1</v>
      </c>
      <c r="JR204" s="251">
        <f t="shared" si="924"/>
        <v>0</v>
      </c>
      <c r="JS204" s="339">
        <f>JR204*各项系数!$E$36</f>
        <v>0</v>
      </c>
      <c r="JT204" s="364">
        <f>IF($DF204&lt;&gt;$JT$9,0,各项系数!$F$76/4*($NE204^2-$NC204^2)*10^-2*各项系数!$F$40*10^-3*10^2)*各项系数!$J$4</f>
        <v>0</v>
      </c>
      <c r="JU204" s="123">
        <v>1</v>
      </c>
      <c r="JV204" s="251">
        <f t="shared" si="925"/>
        <v>0</v>
      </c>
      <c r="JW204" s="339">
        <f>JV204*各项系数!$E$40</f>
        <v>0</v>
      </c>
      <c r="JX204" s="364">
        <f>IF($DF204&lt;&gt;$JX$9,0,各项系数!$F$76/4*($NE204^2-$NC204^2)*10^-2*各项系数!$F$38*10^-3*10^2)*各项系数!$J$4</f>
        <v>0</v>
      </c>
      <c r="JY204" s="123">
        <v>1</v>
      </c>
      <c r="JZ204" s="251">
        <f t="shared" si="926"/>
        <v>0</v>
      </c>
      <c r="KA204" s="339">
        <f>JZ204*各项系数!$E$38</f>
        <v>0</v>
      </c>
      <c r="KB204" s="364">
        <f>IF($DF204&lt;&gt;$KB$9,0,各项系数!$F$76/4*($NE204^2-$NC204^2)*10^-2*各项系数!$F$41*10^-3*10^2)*各项系数!$J$4</f>
        <v>0</v>
      </c>
      <c r="KC204" s="123">
        <v>1</v>
      </c>
      <c r="KD204" s="251">
        <f t="shared" si="927"/>
        <v>0</v>
      </c>
      <c r="KE204" s="339">
        <f>KD204*各项系数!$E$41</f>
        <v>0</v>
      </c>
      <c r="KF204" s="251">
        <f t="shared" si="928"/>
        <v>0.00114966849007229</v>
      </c>
      <c r="KG204" s="251">
        <f t="shared" si="929"/>
        <v>0.0229933698014457</v>
      </c>
      <c r="KH204" s="302">
        <f>各项系数!$F$76/4*($NG204^2-$NE204^2)*10^-2*各项系数!$F$44*10^-3*10^2*各项系数!$J$4*0.75*$U204</f>
        <v>0.481200345706962</v>
      </c>
      <c r="KI204" s="123">
        <v>1</v>
      </c>
      <c r="KJ204" s="251">
        <f t="shared" si="930"/>
        <v>0.481200345706962</v>
      </c>
      <c r="KK204" s="251">
        <f>ROUND(KJ204*各项系数!$E$43,GT204)</f>
        <v>2.8</v>
      </c>
      <c r="KL204" s="302">
        <f>各项系数!$F$76/4*($NF204^2-$NE204^2)*10^-2*各项系数!$F$46*10^-3*10^2*各项系数!$J$4*PI()/4*R204</f>
        <v>0.0145499505793392</v>
      </c>
      <c r="KM204" s="123">
        <v>1</v>
      </c>
      <c r="KN204" s="251">
        <f t="shared" si="931"/>
        <v>0.0145499505793392</v>
      </c>
      <c r="KO204" s="251">
        <f>KN204*各项系数!$E$46</f>
        <v>0.982121664105393</v>
      </c>
      <c r="KP204" s="302">
        <f>各项系数!$F$76/4*($NH204^2-$NE204^2)*10^-2*(VLOOKUP($KP$9,各项系数!$D$1:$F$143,3,0))*10^-3*10^2*各项系数!$J$4</f>
        <v>0.086563277406252</v>
      </c>
      <c r="KQ204" s="123">
        <v>1</v>
      </c>
      <c r="KR204" s="251">
        <f t="shared" si="657"/>
        <v>0.086563277406252</v>
      </c>
      <c r="KS204" s="251">
        <f>KR204*(VLOOKUP($KP$9,各项系数!$D$1:$F$143,2,0))</f>
        <v>1.47157571590628</v>
      </c>
      <c r="KT204" s="302">
        <f>各项系数!$F$76/4*($NI204^2-$NF204^2)*10^-2*(VLOOKUP($KT$9,各项系数!$D$1:$F$143,3,0))*10^-3*10^2*各项系数!$J$4</f>
        <v>0.0877236058032995</v>
      </c>
      <c r="KU204" s="123">
        <v>1</v>
      </c>
      <c r="KV204" s="251">
        <f t="shared" si="658"/>
        <v>0.0877236058032995</v>
      </c>
      <c r="KW204" s="251">
        <f>KV204*(VLOOKUP($KT$9,各项系数!$D$1:$F$143,2,0))</f>
        <v>1.49130129865609</v>
      </c>
      <c r="KX204" s="251">
        <f>各项系数!$F$76/4*($NH204^2-$NE204^2)*10^-2*(VLOOKUP($KX$9,各项系数!$D$1:$F$143,3,0))*10^-3*10^2*各项系数!$J$4</f>
        <v>0.086563277406252</v>
      </c>
      <c r="KY204" s="479">
        <v>1</v>
      </c>
      <c r="KZ204" s="251">
        <f t="shared" si="659"/>
        <v>0.086563277406252</v>
      </c>
      <c r="LA204" s="251">
        <f>KZ204*(VLOOKUP($KX$9,各项系数!$D$1:$F$143,2,0))</f>
        <v>1.47157571590628</v>
      </c>
      <c r="LB204" s="251">
        <f>各项系数!$F$76/4*($NI204^2-$NF204^2)*10^-2*(VLOOKUP($LB$9,各项系数!$D$1:$F$143,3,0))*10^-3*10^2*各项系数!$J$4</f>
        <v>0.0877236058032995</v>
      </c>
      <c r="LC204" s="479">
        <v>1</v>
      </c>
      <c r="LD204" s="251">
        <f t="shared" si="660"/>
        <v>0.0877236058032995</v>
      </c>
      <c r="LE204" s="251">
        <f>LD204*(VLOOKUP($LB$9,各项系数!$D$1:$F$143,2,0))</f>
        <v>1.49130129865609</v>
      </c>
      <c r="LF204" s="302">
        <f>各项系数!$F$76/4*($NH204^2-$NE204^2)*10^-2*(VLOOKUP(AN204,各项系数!$D$1:$F$143,3,0))*10^-3*10^2*各项系数!$J$4</f>
        <v>0.0877572536463382</v>
      </c>
      <c r="LG204" s="123">
        <v>1</v>
      </c>
      <c r="LH204" s="251">
        <f t="shared" si="932"/>
        <v>0.0877572536463382</v>
      </c>
      <c r="LI204" s="251">
        <f>LH204*(VLOOKUP(AN204,各项系数!$D$1:$F$143,2,0))</f>
        <v>0.877572536463382</v>
      </c>
      <c r="LJ204" s="302">
        <f>各项系数!$F$76/4*($NI204^2-$NF204^2)*10^-2*(VLOOKUP(AN204,各项系数!$D$1:$F$143,3,0))*10^-3*10^2*各项系数!$J$4</f>
        <v>0.0889335865730001</v>
      </c>
      <c r="LK204" s="123">
        <v>1</v>
      </c>
      <c r="LL204" s="251">
        <f t="shared" si="933"/>
        <v>0.0889335865730001</v>
      </c>
      <c r="LM204" s="251">
        <f>LL204*(VLOOKUP(AN204,各项系数!$D$1:$F$143,2,0))</f>
        <v>0.889335865730001</v>
      </c>
      <c r="LN204" s="251">
        <f>各项系数!$F$76/4*($NH204^2-$NE204^2)*10^-2*(VLOOKUP($LN$9,各项系数!$D$1:$F$143,3,0))*10^-3*10^2*各项系数!$J$4</f>
        <v>0.0877572536463382</v>
      </c>
      <c r="LO204" s="479">
        <v>1</v>
      </c>
      <c r="LP204" s="251">
        <f t="shared" si="934"/>
        <v>0.0877572536463382</v>
      </c>
      <c r="LQ204" s="251">
        <f>LP204*(VLOOKUP($LN$9,各项系数!$D$1:$F$143,2,0))</f>
        <v>0.96532979010972</v>
      </c>
      <c r="LR204" s="251">
        <f>各项系数!$F$76/4*($NI204^2-$NF204^2)*10^-2*(VLOOKUP($LR$9,各项系数!$D$1:$F$143,3,0))*10^-3*10^2*各项系数!$J$4</f>
        <v>0.0889335865730001</v>
      </c>
      <c r="LS204" s="479">
        <v>1</v>
      </c>
      <c r="LT204" s="251">
        <f t="shared" si="935"/>
        <v>0.0889335865730001</v>
      </c>
      <c r="LU204" s="251">
        <f>LT204*(VLOOKUP($LR$9,各项系数!$D$1:$F$143,2,0))</f>
        <v>0.978269452303002</v>
      </c>
      <c r="LV204" s="499">
        <f t="shared" si="661"/>
        <v>16.85060994</v>
      </c>
      <c r="LW204" s="499">
        <f t="shared" si="662"/>
        <v>16.85060994</v>
      </c>
      <c r="LX204" s="499">
        <f t="shared" si="663"/>
        <v>4.63193943489284</v>
      </c>
      <c r="LY204" s="515">
        <f t="shared" si="664"/>
        <v>0</v>
      </c>
      <c r="LZ204" s="516">
        <f t="shared" ref="LZ204:LZ214" si="967">$LZ$8</f>
        <v>1</v>
      </c>
      <c r="MA204" s="517">
        <f t="shared" ref="MA204:MA214" si="968">LV204-LY204*(1-LZ204)</f>
        <v>16.85060994</v>
      </c>
      <c r="MB204" s="517">
        <f t="shared" si="665"/>
        <v>2.67425148</v>
      </c>
      <c r="MC204" s="499">
        <f t="shared" si="666"/>
        <v>0</v>
      </c>
      <c r="MD204" s="499">
        <f t="shared" si="667"/>
        <v>0</v>
      </c>
      <c r="ME204" s="499">
        <f t="shared" si="668"/>
        <v>0</v>
      </c>
      <c r="MF204" s="499">
        <f t="shared" si="669"/>
        <v>0</v>
      </c>
      <c r="MG204" s="516">
        <f t="shared" si="670"/>
        <v>1</v>
      </c>
      <c r="MH204" s="517">
        <f t="shared" ref="MH204:MH214" si="969">MC204-MF204*(1-MG204)</f>
        <v>0</v>
      </c>
      <c r="MI204" s="517">
        <f t="shared" si="671"/>
        <v>0</v>
      </c>
      <c r="MJ204" s="251">
        <f t="shared" ref="MJ204:MJ214" si="970">ROUND(ROUND($EJ204*10^-2,8)*$EI204,8)</f>
        <v>2.67425148</v>
      </c>
      <c r="MK204" s="251">
        <f t="shared" si="672"/>
        <v>2.67425148</v>
      </c>
      <c r="ML204" s="251">
        <f t="shared" si="936"/>
        <v>0</v>
      </c>
      <c r="MM204" s="251">
        <f t="shared" ref="MM204:MM214" si="971">(1-$K204)^(1/2)*$MI204</f>
        <v>0</v>
      </c>
      <c r="MN204" s="251">
        <f t="shared" ref="MN204:MN214" si="972">MK204+M204*2</f>
        <v>4.07425148</v>
      </c>
      <c r="MO204" s="251">
        <f t="shared" si="673"/>
        <v>0</v>
      </c>
      <c r="MP204" s="251">
        <f t="shared" si="674"/>
        <v>8.8003832</v>
      </c>
      <c r="MQ204" s="251">
        <f t="shared" si="937"/>
        <v>8.8003832</v>
      </c>
      <c r="MR204" s="314">
        <f t="shared" si="675"/>
        <v>8.8003832</v>
      </c>
      <c r="MS204" s="530">
        <f t="shared" ref="MS204:MS214" si="973">MR204+2*O204*(1+P204)</f>
        <v>8.9763832</v>
      </c>
      <c r="MT204" s="530">
        <f t="shared" ref="MT204:MT214" si="974">MS204+(Q204*R204*2)</f>
        <v>9.1363832</v>
      </c>
      <c r="MU204" s="530">
        <f t="shared" ref="MU204:MU214" si="975">MS204+(T204*U204*1.5)</f>
        <v>10.1763832</v>
      </c>
      <c r="MV204" s="530">
        <f t="shared" ref="MV204:MV214" si="976">MS204+W204*2</f>
        <v>12.1763832</v>
      </c>
      <c r="MW204" s="530">
        <f t="shared" ref="MW204:MW214" si="977">MT204+W204*2</f>
        <v>12.3363832</v>
      </c>
      <c r="MX204" s="326">
        <f t="shared" ref="MX204:MX214" si="978">MK204+3*X204</f>
        <v>3.27425148</v>
      </c>
      <c r="MY204" s="326">
        <f t="shared" ref="MY204:MY214" si="979">IF(MM204=0,0,MM204+3*X204)</f>
        <v>0</v>
      </c>
      <c r="MZ204" s="251">
        <f t="shared" ref="MZ204:MZ214" si="980">MX204+M204*2</f>
        <v>4.67425148</v>
      </c>
      <c r="NA204" s="251">
        <f t="shared" ref="NA204:NA214" si="981">IF(MM204=0,0,MY204+M204*2)</f>
        <v>0</v>
      </c>
      <c r="NB204" s="251">
        <f t="shared" si="676"/>
        <v>10.0963832</v>
      </c>
      <c r="NC204" s="326">
        <f t="shared" si="938"/>
        <v>10.0963832</v>
      </c>
      <c r="ND204" s="314">
        <f t="shared" si="677"/>
        <v>10.0963832</v>
      </c>
      <c r="NE204" s="537">
        <f t="shared" si="678"/>
        <v>10.3363832</v>
      </c>
      <c r="NF204" s="530">
        <f t="shared" ref="NF204:NF214" si="982">NE204++(Q204*R204*2)</f>
        <v>10.4963832</v>
      </c>
      <c r="NG204" s="538">
        <f t="shared" ref="NG204:NG214" si="983">NE204+(T204*U204*1.5)</f>
        <v>11.5363832</v>
      </c>
      <c r="NH204" s="326">
        <f t="shared" ref="NH204:NH214" si="984">NE204+W204*2</f>
        <v>13.5363832</v>
      </c>
      <c r="NI204" s="530">
        <f t="shared" ref="NI204:NI214" si="985">NF204+W204*2</f>
        <v>13.6963832</v>
      </c>
      <c r="NK204" s="539">
        <f t="shared" ref="NK204:NK214" si="986">SUM(HR204,GM204,GI204,GE204,GA204,FW204,FN204,FJ204,FF204,FA204)</f>
        <v>0.279524154134212</v>
      </c>
      <c r="NL204" s="539">
        <f t="shared" ref="NL204:NL214" si="987">SUM(FB204,FG204,FK204,FO204,FX204,GB204,GF204,GJ204,GN204,HS204)</f>
        <v>10.9297524744556</v>
      </c>
      <c r="NM204" s="539">
        <f t="shared" ref="NM204:NM214" si="988">SUM(HZ204,GM204,GI204,GE204,GA204,FW204,FN204,FJ204,FF204,FA204)</f>
        <v>0.279524154134212</v>
      </c>
      <c r="NN204" s="539">
        <f t="shared" ref="NN204:NN214" si="989">SUM(FB204,FG204,FK204,FO204,FX204,GB204,GF204,GJ204,GN204,IA204)</f>
        <v>11.0075108982253</v>
      </c>
      <c r="NO204" s="539">
        <f t="shared" ref="NO204:NO214" si="990">SUM(LH204,KD204,JZ204,JV204,JR204,JN204,JH204,JD204,IU204,IQ204,IM204,II204,FA204)</f>
        <v>0.421401132960522</v>
      </c>
      <c r="NP204" s="539">
        <f t="shared" ref="NP204:NP214" si="991">SUM(LI204,KE204,KA204,JW204,JS204,JO204,JI204,JE204,IV204,IR204,IN204,IJ204,FB204)</f>
        <v>11.4779609070243</v>
      </c>
      <c r="NQ204" s="539">
        <f t="shared" ref="NQ204:NQ214" si="992">SUM(LN204,KD204,JZ204,JV204,JR204,JN204,JH204,JD204,IU204,IQ204,IM204,II204,FA204)</f>
        <v>0.421401132960522</v>
      </c>
      <c r="NR204" s="539">
        <f t="shared" ref="NR204:NR214" si="993">SUM(FB204,IJ204,IN204,IR204,IV204,JE204,JI204,JO204,JS204,JW204,KA204,KE204,LQ204)</f>
        <v>11.5657181606707</v>
      </c>
      <c r="NS204" s="539">
        <f t="shared" ref="NS204:NS214" si="994">SUM(HR204,GM204,GI204,GE204,GA204,FW204,FN204,FJ204,FF204,FA204,GV204)</f>
        <v>0.292174411469941</v>
      </c>
      <c r="NT204" s="539">
        <f t="shared" ref="NT204:NT214" si="995">SUM(HZ204,GM204,GI204,GE204,GA204,FW204,FN204,FJ204,FF204,FA204,GV204)</f>
        <v>0.292174411469941</v>
      </c>
      <c r="NU204" s="539">
        <f t="shared" ref="NU204:NU214" si="996">SUM(LH204,KD204,JZ204,JV204,JR204,JN204,JH204,JD204,IU204,IQ204,IM204,II204,FA204,KL204)</f>
        <v>0.435951083539861</v>
      </c>
      <c r="NV204" s="539">
        <f t="shared" ref="NV204:NV214" si="997">SUM(LN204,KD204,JZ204,JV204,JR204,JN204,JH204,JD204,IU204,IQ204,IM204,II204,FA204,KL204)</f>
        <v>0.435951083539861</v>
      </c>
      <c r="NW204">
        <f t="shared" ref="NW204:NW214" si="998">NK204+GS204</f>
        <v>0.41997762405476</v>
      </c>
      <c r="NX204">
        <f>各项系数!$M$9*NK204</f>
        <v>0.0838572462402637</v>
      </c>
      <c r="NY204">
        <f t="shared" ref="NY204:NY214" si="999">SUM(HR204,GX204,GM204,GI204,GE204,GA204,FW204,FN204,FJ204,FF204,FA204)</f>
        <v>0.292174411469941</v>
      </c>
    </row>
    <row r="205" customHeight="1" spans="1:389">
      <c r="A205" s="85"/>
      <c r="B205" s="86"/>
      <c r="C205" s="218"/>
      <c r="D205" s="85" t="s">
        <v>184</v>
      </c>
      <c r="E205" s="77">
        <f t="shared" si="885"/>
        <v>13.43568858</v>
      </c>
      <c r="F205" s="225">
        <f>$F$19</f>
        <v>267.425148012862</v>
      </c>
      <c r="G205" s="23"/>
      <c r="H205" s="23"/>
      <c r="I205" s="174">
        <v>0</v>
      </c>
      <c r="J205" s="23"/>
      <c r="K205" s="23"/>
      <c r="L205" s="118" t="s">
        <v>469</v>
      </c>
      <c r="M205" s="124">
        <f t="shared" si="940"/>
        <v>0.7</v>
      </c>
      <c r="N205" s="124">
        <f t="shared" si="804"/>
        <v>0</v>
      </c>
      <c r="O205" s="69">
        <f t="shared" si="939"/>
        <v>0.08</v>
      </c>
      <c r="P205" s="120">
        <v>0.1</v>
      </c>
      <c r="Q205" s="162">
        <f t="shared" si="941"/>
        <v>0.1</v>
      </c>
      <c r="R205" s="560">
        <v>0.8</v>
      </c>
      <c r="S205" s="171" t="str">
        <f>各项系数!$D$43</f>
        <v>钢带</v>
      </c>
      <c r="T205" s="123">
        <v>0.2</v>
      </c>
      <c r="U205" s="78">
        <v>4</v>
      </c>
      <c r="V205" s="172"/>
      <c r="W205" s="170">
        <f>$W$201</f>
        <v>1.7</v>
      </c>
      <c r="X205" s="164">
        <f t="shared" si="942"/>
        <v>0.2</v>
      </c>
      <c r="Y205" s="219"/>
      <c r="Z205" s="220"/>
      <c r="AA205" s="217">
        <v>1</v>
      </c>
      <c r="AB205" s="186">
        <f>PI()*EJ205*EJ205/4*EH205*(1-H205)*AA205*各项系数!$F$5*各项系数!$J$4*10^-7</f>
        <v>0.0496843042710297</v>
      </c>
      <c r="AC205" s="186">
        <f t="shared" si="886"/>
        <v>267.425148012862</v>
      </c>
      <c r="AD205" s="186">
        <f t="shared" si="943"/>
        <v>5.61686998219778</v>
      </c>
      <c r="AE205" s="186">
        <f>POWER(4*EU205/PI()/EG205/10^-7/EH205/(1-H205)/各项系数!$F$5/各项系数!$J$4,0.5)</f>
        <v>267.425148012862</v>
      </c>
      <c r="AF205" s="218">
        <v>1</v>
      </c>
      <c r="AG205" s="85">
        <f>IF(EM205=0,0,PI()*ER205*ER205/4*EP205*(1-K205)*(1+AF205)*各项系数!$F$5*各项系数!$J$4*10^-7)</f>
        <v>0</v>
      </c>
      <c r="AH205" s="85">
        <f t="shared" si="887"/>
        <v>0</v>
      </c>
      <c r="AI205" s="85">
        <f t="shared" ref="AI205:AI214" si="1000">PI()*AJ205*AJ205*10^-4/4*EP205</f>
        <v>0</v>
      </c>
      <c r="AJ205" s="85">
        <f>IF(OR(EP205="",EP205=0),0,POWER(4*EW205/PI()/EO205/10^-7/EP205/(1-K205)/各项系数!$F$5/各项系数!$J$4,0.5))</f>
        <v>0</v>
      </c>
      <c r="AK205" s="85" t="str">
        <f t="shared" si="944"/>
        <v>√</v>
      </c>
      <c r="AL205" s="85">
        <f t="shared" si="888"/>
        <v>15.0749314885381</v>
      </c>
      <c r="AM205" s="250">
        <f t="shared" si="889"/>
        <v>6</v>
      </c>
      <c r="AN205" s="118" t="s">
        <v>486</v>
      </c>
      <c r="AO205" s="259">
        <f>AP205+各项系数!$M$9*$NK205</f>
        <v>14.7793445966059</v>
      </c>
      <c r="AP205" s="259">
        <f>AQ205*(1+$BI205+(VLOOKUP($AM205,$A$12:$B$323,2,0))+各项系数!$J$6+各项系数!$M$5)*(1+$E$2)</f>
        <v>14.6729932397993</v>
      </c>
      <c r="AQ205" s="260">
        <f>AR205+各项系数!$L$9*$NK205</f>
        <v>14.8242000806216</v>
      </c>
      <c r="AR205" s="260">
        <f>AS205*(1+$BJ205+各项系数!$J$5+各项系数!$L$5)</f>
        <v>14.717848723815</v>
      </c>
      <c r="AS205" s="260">
        <f t="shared" ref="AS205:AS214" si="1001">SUM($FB205,$FQ205,$FX205,$GP205,$HS205)</f>
        <v>14.4292634547206</v>
      </c>
      <c r="AT205" s="259">
        <f>AU205+各项系数!$M$9*$NM205</f>
        <v>15.4058158583295</v>
      </c>
      <c r="AU205" s="259">
        <f>AV205*(1+$BI205+(VLOOKUP($AM205,$A$12:$B$323,2,0))+各项系数!$J$6+各项系数!$M$5)*(1+$E$2)</f>
        <v>15.2994645015229</v>
      </c>
      <c r="AV205" s="260">
        <f>AW205+各项系数!$L$9*$NM205</f>
        <v>15.4571271989522</v>
      </c>
      <c r="AW205" s="260">
        <f>AX205*(1+$BJ205+各项系数!$J$5+各项系数!$L$5)</f>
        <v>15.3507758421455</v>
      </c>
      <c r="AX205" s="260">
        <f t="shared" ref="AX205:AX214" si="1002">SUM($FB205,$FQ205,$FX205,$GP205,$HC205)</f>
        <v>15.0497802373976</v>
      </c>
      <c r="AY205" s="259">
        <f>AZ205+各项系数!$M$9*$NS205</f>
        <v>15.7633204676304</v>
      </c>
      <c r="AZ205" s="259">
        <f>BA205*(1+$BI205+(VLOOKUP($AM205,$A$12:$B$214,2,0))+各项系数!$J$6+各项系数!$M$5)*(1+$E$2)</f>
        <v>15.6527301317245</v>
      </c>
      <c r="BA205" s="260">
        <f>BB205+各项系数!$L$9*$NS205</f>
        <v>15.8140332710896</v>
      </c>
      <c r="BB205" s="260">
        <f>BC205*(1+$BJ205+各项系数!$J$5+各项系数!$L$5)</f>
        <v>15.7034429351837</v>
      </c>
      <c r="BC205" s="262">
        <f t="shared" ref="BC205:BC214" si="1003">SUM($FB205,$FQ205,$FX205,$GP205,$GY205,$HW205)</f>
        <v>15.3955322893958</v>
      </c>
      <c r="BD205" s="259">
        <f>BE205+各项系数!$M$9*$NS205</f>
        <v>16.3983328048258</v>
      </c>
      <c r="BE205" s="259">
        <f>BF205*(1+$BI205+(VLOOKUP($AM205,$A$12:$B$214,2,0))+各项系数!$J$6+各项系数!$M$5)*(1+$E$2)</f>
        <v>16.2877424689199</v>
      </c>
      <c r="BF205" s="260">
        <f>BG205+各项系数!$L$9*$NS205</f>
        <v>16.4555894816326</v>
      </c>
      <c r="BG205" s="260">
        <f>BH205*(1+$BJ205+各项系数!$J$5+各项系数!$L$5)</f>
        <v>16.3449991457267</v>
      </c>
      <c r="BH205" s="262">
        <f t="shared" ref="BH205:BH214" si="1004">SUM($FB205,$FQ205,$FX205,$GP205,$GY205,$HO205)</f>
        <v>16.0245089663987</v>
      </c>
      <c r="BI205" s="277"/>
      <c r="BJ205" s="272">
        <f>$BJ$203</f>
        <v>0</v>
      </c>
      <c r="BK205" s="123" t="s">
        <v>514</v>
      </c>
      <c r="BL205" s="259">
        <f>BM205+各项系数!$M$9*$NM205</f>
        <v>15.0156268845876</v>
      </c>
      <c r="BM205" s="259">
        <f>BN205*(1+$CF205+(VLOOKUP($AM205,$A$12:$B$323,2,0))+各项系数!$J$6+各项系数!$M$5)*(1+$E$2)</f>
        <v>14.9092755277809</v>
      </c>
      <c r="BN205" s="260">
        <f>BO205+各项系数!$L$9*$NM205</f>
        <v>15.0629172840785</v>
      </c>
      <c r="BO205" s="260">
        <f>BP205*(1+$CG205+各项系数!$J$5+各项系数!$L$5)</f>
        <v>14.9565659272719</v>
      </c>
      <c r="BP205" s="260">
        <f t="shared" ref="BP205:BP214" si="1005">SUM(FB205,FQ205,FX205,GP205,IA205)</f>
        <v>14.5209377934678</v>
      </c>
      <c r="BQ205" s="259">
        <f>BR205+各项系数!$M$9*$NM205</f>
        <v>15.5547785831193</v>
      </c>
      <c r="BR205" s="259">
        <f>BS205*(1+$CF205+(VLOOKUP($AM205,$A$12:$B$323,2,0))+各项系数!$J$6+各项系数!$M$5)*(1+$E$2)</f>
        <v>15.4484272263126</v>
      </c>
      <c r="BS205" s="260">
        <f>BT205+各项系数!$L$9*$NM205</f>
        <v>15.6076250013261</v>
      </c>
      <c r="BT205" s="260">
        <f>BU205*(1+$CG205+各项系数!$J$5+各项系数!$L$5)</f>
        <v>15.5012736445195</v>
      </c>
      <c r="BU205" s="260">
        <f t="shared" ref="BU205:BU214" si="1006">SUM(FB205,FQ205,FX205,GP205,HK205)</f>
        <v>15.0497802373976</v>
      </c>
      <c r="BV205" s="259">
        <f>BW205+各项系数!$M$9*$NT205</f>
        <v>15.909157904884</v>
      </c>
      <c r="BW205" s="259">
        <f>BX205*(1+$CF205+(VLOOKUP($AM205,$A$12:$B$214,2,0))+各项系数!$J$6+各项系数!$M$5)*(1+$E$2)</f>
        <v>15.7985675689782</v>
      </c>
      <c r="BX205" s="260">
        <f>BY205+各项系数!$L$9*$NT$12</f>
        <v>15.9613735794889</v>
      </c>
      <c r="BY205" s="260">
        <f>BZ205*(1+$CG205+各项系数!$J$5+各项系数!$L$5)</f>
        <v>15.953110176334</v>
      </c>
      <c r="BZ205" s="262">
        <f t="shared" si="945"/>
        <v>15.4884564818776</v>
      </c>
      <c r="CA205" s="259">
        <f>CB205+各项系数!$M$9*$NT205</f>
        <v>16.4556601965383</v>
      </c>
      <c r="CB205" s="259">
        <f>CC205*(1+$CF205+(VLOOKUP($AM205,$A$12:$B$214,2,0))+各项系数!$J$6+各项系数!$M$5)*(1+$E$2)</f>
        <v>16.3450698606325</v>
      </c>
      <c r="CC205" s="260">
        <f>CD205+各项系数!$L$9*$NT$12</f>
        <v>16.5135076385456</v>
      </c>
      <c r="CD205" s="260">
        <f>CE205*(1+$CG205+各项系数!$J$5+各项系数!$L$5)</f>
        <v>16.5052442353906</v>
      </c>
      <c r="CE205" s="262">
        <f t="shared" ref="CE205:CE214" si="1007">SUM($FB205,$FQ205,$FX205,$GP205,$GY205,$HO205)</f>
        <v>16.0245089663987</v>
      </c>
      <c r="CF205" s="277">
        <f t="shared" si="884"/>
        <v>0</v>
      </c>
      <c r="CG205" s="277">
        <f t="shared" si="946"/>
        <v>0.01</v>
      </c>
      <c r="CH205" s="123"/>
      <c r="CI205" s="259">
        <f>CJ205+各项系数!$M$9*$NO205</f>
        <v>15.6868957122328</v>
      </c>
      <c r="CJ205" s="259">
        <f>CK205*(1+$DC205+(VLOOKUP($AM205,$A$12:$B$323,2,0))+各项系数!$J$6+各项系数!$M$5)*(1+$E$2)+各项系数!$M$9*$NK205</f>
        <v>15.5317897762662</v>
      </c>
      <c r="CK205" s="260">
        <f>CL205+各项系数!$L$9*$NO205</f>
        <v>15.5843992922404</v>
      </c>
      <c r="CL205" s="260">
        <f>CM205*(1+$DD205+各项系数!$J$5+各项系数!$L$5)</f>
        <v>15.4292933562738</v>
      </c>
      <c r="CM205" s="260">
        <f t="shared" si="947"/>
        <v>15.1267581924253</v>
      </c>
      <c r="CN205" s="259">
        <f>CO205+各项系数!$M$9*$NO205</f>
        <v>16.1938069393427</v>
      </c>
      <c r="CO205" s="259">
        <f>CP205*(1+$DC205+(VLOOKUP($AM205,$A$12:$B$323,2,0))+各项系数!$J$6+各项系数!$M$5)*(1+$E$2)+各项系数!$M$9*$NK205</f>
        <v>16.0387010033761</v>
      </c>
      <c r="CP205" s="260">
        <f>CQ205+各项系数!$L$9*$NO205</f>
        <v>16.0965342963926</v>
      </c>
      <c r="CQ205" s="260">
        <f>CR205*(1+$DD205+各项系数!$J$5+各项系数!$L$5)</f>
        <v>15.941428360426</v>
      </c>
      <c r="CR205" s="260">
        <f t="shared" si="948"/>
        <v>15.628851333751</v>
      </c>
      <c r="CS205" s="259">
        <f>CT205+各项系数!$M$9*$NU205</f>
        <v>16.7100938869374</v>
      </c>
      <c r="CT205" s="259">
        <f t="shared" si="949"/>
        <v>16.5501136921015</v>
      </c>
      <c r="CU205" s="260">
        <f>CV205+各项系数!$L$9*$NU205</f>
        <v>16.7206644696924</v>
      </c>
      <c r="CV205" s="260">
        <f>CW205*(1+$DD205+各项系数!$J$5+各项系数!$L$5)</f>
        <v>16.5606842748565</v>
      </c>
      <c r="CW205" s="262">
        <f t="shared" si="950"/>
        <v>16.2359649753495</v>
      </c>
      <c r="CX205" s="259">
        <f>CY205+各项系数!$M$9*$NU205</f>
        <v>17.4260329142285</v>
      </c>
      <c r="CY205" s="259">
        <f t="shared" si="951"/>
        <v>17.2660527193926</v>
      </c>
      <c r="CZ205" s="260">
        <f>DA205+各项系数!$L$9*$NU205</f>
        <v>17.4439813289479</v>
      </c>
      <c r="DA205" s="260">
        <f>DB205*(1+$DD205+各项系数!$J$5+各项系数!$L$5)</f>
        <v>17.284001134112</v>
      </c>
      <c r="DB205" s="262">
        <f t="shared" si="952"/>
        <v>16.9450991510902</v>
      </c>
      <c r="DC205" s="277">
        <f t="shared" si="827"/>
        <v>0</v>
      </c>
      <c r="DD205" s="277">
        <f t="shared" si="953"/>
        <v>0</v>
      </c>
      <c r="DE205" s="69" t="s">
        <v>498</v>
      </c>
      <c r="DF205" s="69" t="s">
        <v>513</v>
      </c>
      <c r="DG205" s="259">
        <f>DH205+各项系数!$M$9*$NQ205</f>
        <v>15.9421550223098</v>
      </c>
      <c r="DH205" s="259">
        <f>DI205*(1+$EA205+(VLOOKUP($AM205,$A$12:$B$323,2,0))+各项系数!$J$6+各项系数!$M$5)*(1+$E$2)+各项系数!$M$9*$NK205</f>
        <v>15.7870490863432</v>
      </c>
      <c r="DI205" s="260">
        <f>DJ205+各项系数!$L$9*$NQ205</f>
        <v>15.8422890781335</v>
      </c>
      <c r="DJ205" s="260">
        <f>DK205*(1+$EB205+各项系数!$J$5+各项系数!$L$5)</f>
        <v>15.6871831421669</v>
      </c>
      <c r="DK205" s="260">
        <f t="shared" si="954"/>
        <v>15.2302748953077</v>
      </c>
      <c r="DL205" s="259">
        <f>DM205+各项系数!$M$9*$NQ205</f>
        <v>16.5509535906781</v>
      </c>
      <c r="DM205" s="259">
        <f>DN205*(1+$EA205+(VLOOKUP($AM205,$A$12:$B$323,2,0))+各项系数!$J$6+各项系数!$M$5)*(1+$E$2)+各项系数!$M$9*$NK205</f>
        <v>16.3958476547115</v>
      </c>
      <c r="DN205" s="260">
        <f>DO205+各项系数!$L$9*$NQ205</f>
        <v>16.4573613840219</v>
      </c>
      <c r="DO205" s="260">
        <f>DP205*(1+$EB205+各项系数!$J$5+各项系数!$L$5)</f>
        <v>16.3022554480552</v>
      </c>
      <c r="DP205" s="260">
        <f t="shared" si="955"/>
        <v>15.82743247384</v>
      </c>
      <c r="DQ205" s="259">
        <f>DR205+各项系数!$M$9*$NV205</f>
        <v>16.9776063441351</v>
      </c>
      <c r="DR205" s="259">
        <f t="shared" si="956"/>
        <v>16.8176261492992</v>
      </c>
      <c r="DS205" s="260">
        <f>DT205+各项系数!$L$9*$NV205</f>
        <v>16.9909336727614</v>
      </c>
      <c r="DT205" s="260">
        <f>DU205*(1+$EB205+各项系数!$J$5+各项系数!$L$5)</f>
        <v>16.8309534779255</v>
      </c>
      <c r="DU205" s="262">
        <f t="shared" si="957"/>
        <v>16.3407315319665</v>
      </c>
      <c r="DV205" s="259">
        <f>DW205+各项系数!$M$9*$NV205</f>
        <v>17.1451531713174</v>
      </c>
      <c r="DW205" s="259">
        <f t="shared" si="958"/>
        <v>16.9851729764815</v>
      </c>
      <c r="DX205" s="260">
        <f>DY205+各项系数!$L$9*$NV205</f>
        <v>17.1602070887871</v>
      </c>
      <c r="DY205" s="260">
        <f>DZ205*(1+$EB205+各项系数!$J$5+各项系数!$L$5)</f>
        <v>17.0002268939513</v>
      </c>
      <c r="DZ205" s="262">
        <f t="shared" si="959"/>
        <v>16.5050746543216</v>
      </c>
      <c r="EA205" s="277">
        <f>BI205+$EA$2</f>
        <v>0</v>
      </c>
      <c r="EB205" s="277">
        <f t="shared" si="960"/>
        <v>0.01</v>
      </c>
      <c r="EC205" s="302">
        <f t="shared" ref="EC205:EC214" si="1008">IF(EO205=0,EG205,EG205&amp;"+"&amp;EO205)</f>
        <v>4</v>
      </c>
      <c r="ED205" s="302" t="str">
        <f t="shared" si="890"/>
        <v>4*6</v>
      </c>
      <c r="EE205" s="251">
        <f t="shared" si="891"/>
        <v>6</v>
      </c>
      <c r="EF205" s="251">
        <f>LOOKUP(EH205,{1,7,10,14,19,24,30,37,48,61},{1,"1+6","2+8","4+10","1+6+12","2+8+14","4+10+16","1+6+12+18","3+9+15+21","1+6+12+18+24"})</f>
        <v>1</v>
      </c>
      <c r="EG205" s="250">
        <f t="shared" si="961"/>
        <v>4</v>
      </c>
      <c r="EH205" s="260">
        <f>VLOOKUP(EE205,各项系数!$B$87:$C$124,2,0)</f>
        <v>1</v>
      </c>
      <c r="EI205" s="250">
        <f>IF(EH205=0,0,VLOOKUP(EH205,各项系数!$D$142:$E$195,2,0))*1</f>
        <v>1</v>
      </c>
      <c r="EJ205" s="305">
        <f t="shared" ref="EJ205:EJ214" si="1009">$F205-$G205</f>
        <v>267.425148012862</v>
      </c>
      <c r="EK205" s="251">
        <f t="shared" si="892"/>
        <v>0</v>
      </c>
      <c r="EL205" s="251">
        <f t="shared" si="962"/>
        <v>0</v>
      </c>
      <c r="EM205" s="251">
        <f t="shared" si="893"/>
        <v>0</v>
      </c>
      <c r="EN205" s="251">
        <f>IF(EP205=0,0,LOOKUP(EP205,{1,7,10,14,19,24,30,37,48,61},{1,"1+6","2+8","4+10","1+6+12","2+8+14","4+10+16","1+6+12+18","3+9+15+21","1+6+12+18+24"}))</f>
        <v>0</v>
      </c>
      <c r="EO205" s="251">
        <f t="shared" si="894"/>
        <v>0</v>
      </c>
      <c r="EP205" s="251">
        <f>IF(EM205=0,0,IF(EM205&lt;10,1,IF(AND(EM205&gt;=10,EM205&lt;=35),7,LOOKUP(EM205,{50,70,95,120,150,185,240,300},{10,14,19,24,30,37,48,61})*1)))</f>
        <v>0</v>
      </c>
      <c r="EQ205" s="251">
        <f>IF(EP205=0,0,VLOOKUP(EP205,各项系数!$D$142:$E$195,2,0))*1</f>
        <v>0</v>
      </c>
      <c r="ER205" s="69">
        <f t="shared" si="895"/>
        <v>0</v>
      </c>
      <c r="ES205" s="566">
        <f t="shared" si="896"/>
        <v>4</v>
      </c>
      <c r="ET205" s="251">
        <f>VLOOKUP(ES205,各项系数!$D$142:$E$195,2,0)*1</f>
        <v>2.42</v>
      </c>
      <c r="EU205" s="311">
        <f>((各项系数!$F$76/4*$EJ205^2*$EG205*$EH205*1*10^-7)*(1-$H205)*AA205)*(VLOOKUP($EY$9,各项系数!$D$4:$F$143,3,0))*各项系数!$J$4</f>
        <v>0.198737217084118</v>
      </c>
      <c r="EV205" s="312">
        <f>EU205*(VLOOKUP($EY$9,各项系数!$D$4:$F$143,2,0))</f>
        <v>13.0172877190098</v>
      </c>
      <c r="EW205" s="324">
        <f>(IF($EO205=0,0,(各项系数!$F$76/4*$ER205^2*$EO205*$EP205*1*10^-7))*(1-$K205)*$AF205)*(VLOOKUP($EY$9,各项系数!$D$4:$F$143,3,0))*各项系数!$J$4</f>
        <v>0</v>
      </c>
      <c r="EX205" s="325">
        <f>EW205*(VLOOKUP($EY$9,各项系数!$D$4:$F$143,2,0))</f>
        <v>0</v>
      </c>
      <c r="EY205" s="251">
        <f>((各项系数!$F$76/4*$EJ205^2*$EG205*$EH205*1*10^-7)*(1-$H205)*AA205+IF($EO205=0,0,(各项系数!$F$76/4*$ER205^2*$EO205*$EP205*1*10^-7))*(1-$K205)*$AF205)*(VLOOKUP($EY$9,各项系数!$D$4:$F$143,3,0))*各项系数!$J$4</f>
        <v>0.198737217084118</v>
      </c>
      <c r="EZ205" s="123">
        <v>1</v>
      </c>
      <c r="FA205" s="251">
        <f t="shared" si="897"/>
        <v>0.198737217084118</v>
      </c>
      <c r="FB205" s="326">
        <f>FA205*(VLOOKUP($EY$9,各项系数!$D$4:$F$143,2,0))</f>
        <v>13.0172877190098</v>
      </c>
      <c r="FC205" s="327"/>
      <c r="FD205" s="302">
        <f>各项系数!$F$76/4*($MN205^2-MK205^2)*10^-2*(VLOOKUP(L205,各项系数!$D$1:$F$143,3,0))*10^-3*10^2*$EG205*各项系数!$J$4</f>
        <v>0.0324863648112937</v>
      </c>
      <c r="FE205" s="339">
        <f>FD205*VLOOKUP(L205,各项系数!$D$1:$F$143,2,0)</f>
        <v>0.373593195329877</v>
      </c>
      <c r="FF205" s="250">
        <f>各项系数!$F$76/4*($MO205^2-ML205^2)*10^-2*(VLOOKUP(L205,各项系数!$D$1:$F$143,3,0))*10^-3*10^2*$EO205*各项系数!$J$4</f>
        <v>0</v>
      </c>
      <c r="FG205" s="339">
        <f>FF205*VLOOKUP(L205,各项系数!$D$1:$F$143,2,0)</f>
        <v>0</v>
      </c>
      <c r="FH205" s="302">
        <f t="shared" ref="FH205:FH214" si="1010">FF205+FD205</f>
        <v>0.0324863648112937</v>
      </c>
      <c r="FI205" s="123">
        <v>1</v>
      </c>
      <c r="FJ205" s="251">
        <f t="shared" si="898"/>
        <v>0.0324863648112937</v>
      </c>
      <c r="FK205" s="339">
        <f>FJ205*VLOOKUP(L205,各项系数!$D$1:$F$143,2,0)</f>
        <v>0.373593195329877</v>
      </c>
      <c r="FL205" s="302"/>
      <c r="FM205" s="123"/>
      <c r="FN205" s="251"/>
      <c r="FO205" s="339"/>
      <c r="FP205" s="364">
        <f t="shared" si="899"/>
        <v>0.0324863648112937</v>
      </c>
      <c r="FQ205" s="364">
        <f t="shared" si="900"/>
        <v>0.373593195329877</v>
      </c>
      <c r="FR205" s="365">
        <f>各项系数!$F$76/4*($MQ205^2-$MN205^2*$EG205-$MO205^2*$EO205)*10^-2</f>
        <v>0.242023258960774</v>
      </c>
      <c r="FS205" s="366">
        <f t="shared" ref="FS205:FS214" si="1011">VLOOKUP(EC205,$A$38:$B$65,2,0)</f>
        <v>1</v>
      </c>
      <c r="FT205" s="367">
        <f t="shared" si="963"/>
        <v>0.242023258960774</v>
      </c>
      <c r="FU205" s="388">
        <f>$FT205*(VLOOKUP($FT$9,各项系数!$D$1:$F$143,3,0))*10^-3*10^2*各项系数!$J$55</f>
        <v>0.0288975771199164</v>
      </c>
      <c r="FV205" s="389">
        <v>1</v>
      </c>
      <c r="FW205" s="390">
        <f t="shared" si="901"/>
        <v>0.0288975771199164</v>
      </c>
      <c r="FX205" s="367">
        <f>FW205*(VLOOKUP($FT$9,各项系数!$D$1:$F$143,2,0))</f>
        <v>0.0866927313597493</v>
      </c>
      <c r="FY205" s="388">
        <f>IF($BK205&lt;&gt;$FY$9,0,各项系数!$F$76/4*($MS205^2-$MQ205^2)*10^-2*(VLOOKUP($FY$9,各项系数!$D$1:$F$143,3,0))*10^-3*10^2)*各项系数!$J$4</f>
        <v>0</v>
      </c>
      <c r="FZ205" s="389">
        <v>1</v>
      </c>
      <c r="GA205" s="390">
        <f t="shared" si="902"/>
        <v>0</v>
      </c>
      <c r="GB205" s="367">
        <f>GA205*(VLOOKUP($FY$9,各项系数!$D$1:$F$143,2,0))</f>
        <v>0</v>
      </c>
      <c r="GC205" s="388">
        <f>IF($BK205&lt;&gt;$GC$9,0,各项系数!$F$76/4*($MS205^2-$MQ205^2)*10^-2*(VLOOKUP($GC$9,各项系数!$D$1:$F$143,3,0))*10^-3*10^2)*各项系数!$J$4</f>
        <v>0.00270902492625146</v>
      </c>
      <c r="GD205" s="389">
        <v>1</v>
      </c>
      <c r="GE205" s="390">
        <f t="shared" si="903"/>
        <v>0.00270902492625146</v>
      </c>
      <c r="GF205" s="367">
        <f>GE205*(VLOOKUP($GC$9,各项系数!$D$1:$F$143,2,0))</f>
        <v>0.0349464215486438</v>
      </c>
      <c r="GG205" s="388">
        <f>IF($BK205&lt;&gt;$GG$9,0,各项系数!$F$76/4*($MS205^2-$MQ205^2)*10^-2*(VLOOKUP($GG$9,各项系数!$D$1:$F$143,3,0))*10^-3*10^2)*各项系数!$J$4</f>
        <v>0</v>
      </c>
      <c r="GH205" s="389">
        <v>1</v>
      </c>
      <c r="GI205" s="390">
        <f t="shared" si="904"/>
        <v>0</v>
      </c>
      <c r="GJ205" s="367">
        <f>GI205*(VLOOKUP($GG$9,各项系数!$D$1:$F$143,2,0))</f>
        <v>0</v>
      </c>
      <c r="GK205" s="388">
        <f>IF($BK205&lt;&gt;$GK$9,0,各项系数!$F$76/4*($MS205^2-$MQ205^2)*10^-2*(VLOOKUP($GK$9,各项系数!$D$1:$F$143,3,0))*10^-3*10^2)*各项系数!$J$4</f>
        <v>0</v>
      </c>
      <c r="GL205" s="389">
        <v>1</v>
      </c>
      <c r="GM205" s="390">
        <f t="shared" si="905"/>
        <v>0</v>
      </c>
      <c r="GN205" s="367">
        <f>GM205*(VLOOKUP($GK$9,各项系数!$D$1:$F$143,2,0))</f>
        <v>0</v>
      </c>
      <c r="GO205" s="390">
        <f t="shared" si="906"/>
        <v>0.00270902492625146</v>
      </c>
      <c r="GP205" s="390">
        <f t="shared" si="907"/>
        <v>0.0349464215486438</v>
      </c>
      <c r="GQ205" s="406">
        <f>各项系数!$F$76/4*($MU205^2-$MS205^2)*10^-2*(VLOOKUP($S205,各项系数!$D$1:$F$143,3,0))*10^-3*10^2*各项系数!$J$4</f>
        <v>0.155989932196463</v>
      </c>
      <c r="GR205" s="389">
        <v>1</v>
      </c>
      <c r="GS205" s="390">
        <f t="shared" si="908"/>
        <v>0.155989932196463</v>
      </c>
      <c r="GT205" s="390">
        <f t="shared" si="909"/>
        <v>1</v>
      </c>
      <c r="GU205" s="390">
        <f>ROUND($GS205*(VLOOKUP($S205,各项系数!$D$1:$F$143,2,0))+$E$3*GS205,GT205)</f>
        <v>0.9</v>
      </c>
      <c r="GV205" s="406">
        <f>各项系数!$F$76/4*($MT205^2-$MS205^2)*10^-2*(VLOOKUP($GV$9,各项系数!$D$1:$F$143,3,0))*10^-3*10^2*各项系数!$J$4*PI()/4*R205</f>
        <v>0.0141299303308067</v>
      </c>
      <c r="GW205" s="389">
        <v>1</v>
      </c>
      <c r="GX205" s="390">
        <f t="shared" si="910"/>
        <v>0.0141299303308067</v>
      </c>
      <c r="GY205" s="390">
        <f>$GX205*(VLOOKUP($GV$9,各项系数!$D$1:$F$143,2,0))</f>
        <v>0.953770297329452</v>
      </c>
      <c r="GZ205" s="406">
        <f>各项系数!$F$76/4*($MV205^2-$MS205^2)*10^-2*(VLOOKUP($GZ$9,各项系数!$D$1:$F$143,3,0))*10^-3*10^2*各项系数!$J$4</f>
        <v>0.0904270688323259</v>
      </c>
      <c r="HA205" s="389">
        <v>1</v>
      </c>
      <c r="HB205" s="390">
        <f t="shared" ref="HB205:HB214" si="1012">HA205*GZ205</f>
        <v>0.0904270688323259</v>
      </c>
      <c r="HC205" s="390">
        <f>HB205*(VLOOKUP($GZ$9,各项系数!$D$1:$F$143,2,0))</f>
        <v>1.53726017014954</v>
      </c>
      <c r="HD205" s="406">
        <f>各项系数!$F$76/4*($MW205^2-$MT205^2)*10^-2*(VLOOKUP($HD$9,各项系数!$D$1:$F$143,3,0))*10^-3*10^2*各项系数!$J$4</f>
        <v>0.0916599177541889</v>
      </c>
      <c r="HE205" s="389">
        <v>1</v>
      </c>
      <c r="HF205" s="390">
        <f t="shared" ref="HF205:HF214" si="1013">HE205*HD205</f>
        <v>0.0916599177541889</v>
      </c>
      <c r="HG205" s="390">
        <f>HF205*(VLOOKUP($HD$9,各项系数!$D$1:$F$143,2,0))</f>
        <v>1.55821860182121</v>
      </c>
      <c r="HH205" s="406">
        <f>各项系数!$F$76/4*($MV205^2-$MS205^2)*10^-2*(VLOOKUP($HH$9,各项系数!$D$1:$F$143,3,0))*10^-3*10^2*各项系数!$J$4</f>
        <v>0.0904270688323259</v>
      </c>
      <c r="HI205" s="420">
        <v>1</v>
      </c>
      <c r="HJ205" s="390">
        <f t="shared" ref="HJ205:HJ214" si="1014">HI205*HH205</f>
        <v>0.0904270688323259</v>
      </c>
      <c r="HK205" s="390">
        <f>HJ205*(VLOOKUP($HH$9,各项系数!$D$1:$F$143,2,0))</f>
        <v>1.53726017014954</v>
      </c>
      <c r="HL205" s="406">
        <f>各项系数!$F$76/4*($MW205^2-$MT205^2)*10^-2*(VLOOKUP($HL$9,各项系数!$D$1:$F$143,3,0))*10^-3*10^2*各项系数!$J$4</f>
        <v>0.0916599177541889</v>
      </c>
      <c r="HM205" s="420">
        <v>1</v>
      </c>
      <c r="HN205" s="390">
        <f t="shared" si="964"/>
        <v>0.0916599177541889</v>
      </c>
      <c r="HO205" s="390">
        <f>HN205*(VLOOKUP($HL$9,各项系数!$D$1:$F$143,2,0))</f>
        <v>1.55821860182121</v>
      </c>
      <c r="HP205" s="406">
        <f>各项系数!$F$76/4*($MV205^2-$MS205^2)*10^-2*(VLOOKUP(AN205,各项系数!$D$1:$F$143,3,0))*10^-3*10^2*各项系数!$J$4</f>
        <v>0.0916743387472546</v>
      </c>
      <c r="HQ205" s="389">
        <v>1</v>
      </c>
      <c r="HR205" s="390">
        <f t="shared" si="911"/>
        <v>0.0916743387472546</v>
      </c>
      <c r="HS205" s="390">
        <f>HR205*(VLOOKUP(AN205,各项系数!$D$1:$F$143,2,0))</f>
        <v>0.916743387472546</v>
      </c>
      <c r="HT205" s="406">
        <f>各项系数!$F$76/4*($MW205^2-$MT205^2)*10^-2*(VLOOKUP(AN205,各项系数!$D$1:$F$143,3,0))*10^-3*10^2*各项系数!$J$4</f>
        <v>0.0929241924818329</v>
      </c>
      <c r="HU205" s="389">
        <v>1</v>
      </c>
      <c r="HV205" s="390">
        <f t="shared" si="912"/>
        <v>0.0929241924818329</v>
      </c>
      <c r="HW205" s="390">
        <f>HV205*(VLOOKUP(AN205,各项系数!$D$1:$F$143,2,0))</f>
        <v>0.929241924818329</v>
      </c>
      <c r="HX205" s="406">
        <f>各项系数!$F$76/4*($MV205^2-$MS205^2)*10^-2*(VLOOKUP($HX$9,各项系数!$D$1:$F$143,3,0))*10^-3*10^2*各项系数!$J$4</f>
        <v>0.0916743387472546</v>
      </c>
      <c r="HY205" s="420">
        <v>1</v>
      </c>
      <c r="HZ205" s="390">
        <f t="shared" si="913"/>
        <v>0.0916743387472546</v>
      </c>
      <c r="IA205" s="390">
        <f>HZ205*(VLOOKUP($HX$9,各项系数!$D$1:$F$143,2,0))</f>
        <v>1.0084177262198</v>
      </c>
      <c r="IB205" s="406">
        <f>各项系数!$F$76/4*($MW205^2-$MT205^2)*10^-2*(VLOOKUP($IB$9,各项系数!$D$1:$F$143,3,0))*10^-3*10^2*各项系数!$J$4</f>
        <v>0.0929241924818329</v>
      </c>
      <c r="IC205" s="420">
        <v>1</v>
      </c>
      <c r="ID205" s="390">
        <f t="shared" si="914"/>
        <v>0.0929241924818329</v>
      </c>
      <c r="IE205" s="390">
        <f>ID205*(VLOOKUP($IB$9,各项系数!$D$1:$F$143,2,0))</f>
        <v>1.02216611730016</v>
      </c>
      <c r="IF205" s="429"/>
      <c r="IG205" s="406">
        <f t="shared" ref="IG205:IG214" si="1015">IK205+IM205</f>
        <v>0.0167349008996983</v>
      </c>
      <c r="IH205" s="389">
        <v>1</v>
      </c>
      <c r="II205" s="390">
        <f t="shared" si="915"/>
        <v>0.0167349008996983</v>
      </c>
      <c r="IJ205" s="390">
        <f>II205*(VLOOKUP($IG$8,各项系数!$D$1:$F$143,2,0))</f>
        <v>0.418372522492459</v>
      </c>
      <c r="IK205" s="406">
        <f>(各项系数!$F$76/4*($MX205^2-$MK205^2)*$EG205)*10^-2*(VLOOKUP($IG$8,各项系数!$D$1:$F$143,3,0))*10^-3*10^2*各项系数!$J$4</f>
        <v>0.0167349008996983</v>
      </c>
      <c r="IL205" s="389">
        <f>IK205*(VLOOKUP($IG$8,各项系数!$D$1:$F$143,2,0))</f>
        <v>0.418372522492459</v>
      </c>
      <c r="IM205" s="390">
        <f>(各项系数!$F$76/4*(($MM205+3*$X205)^2-MM205^2)*$EO205)*10^-2*(VLOOKUP($IG$8,各项系数!$D$1:$F$143,3,0))*10^-3*10^2*各项系数!$J$4</f>
        <v>0</v>
      </c>
      <c r="IN205" s="389">
        <f>IM205*(VLOOKUP($IG$8,各项系数!$D$1:$F$143,2,0))</f>
        <v>0</v>
      </c>
      <c r="IO205" s="406">
        <f>各项系数!$F$76/4*($MZ205^2-$MX205^2)*10^-2*(VLOOKUP(L205,各项系数!$D$1:$F$143,3,0))*10^-3*10^2*$ES205*各项系数!$J$4</f>
        <v>0.0382629997190084</v>
      </c>
      <c r="IP205" s="389">
        <v>1</v>
      </c>
      <c r="IQ205" s="390">
        <f t="shared" si="916"/>
        <v>0.0382629997190084</v>
      </c>
      <c r="IR205" s="367">
        <f>IQ205*(VLOOKUP(L205,各项系数!$D$1:$F$143,2,0))</f>
        <v>0.440024496768597</v>
      </c>
      <c r="IS205" s="406">
        <f>IF($L205&lt;&gt;$IS$9,0,各项系数!$F$76/4*($MZ205^2-$MX205^2)*10^-2*各项系数!$F$12*10^-3*10^2)*$ES205*各项系数!$J$4</f>
        <v>0</v>
      </c>
      <c r="IT205" s="389">
        <v>1</v>
      </c>
      <c r="IU205" s="390">
        <f t="shared" si="917"/>
        <v>0</v>
      </c>
      <c r="IV205" s="367">
        <f>IU205*各项系数!$E$12</f>
        <v>0</v>
      </c>
      <c r="IW205" s="388">
        <f t="shared" si="918"/>
        <v>0.0382629997190084</v>
      </c>
      <c r="IX205" s="388">
        <f t="shared" si="919"/>
        <v>0.440024496768597</v>
      </c>
      <c r="IY205" s="447">
        <f>各项系数!$F$76/4*($NB205^2-$MZ205^2*$EG205-$NA205^2*$EO205)*10^-2</f>
        <v>0.318555853103119</v>
      </c>
      <c r="IZ205" s="366">
        <f t="shared" si="697"/>
        <v>1</v>
      </c>
      <c r="JA205" s="367">
        <f t="shared" si="965"/>
        <v>0.318555853103119</v>
      </c>
      <c r="JB205" s="364">
        <f>IF($DE205&lt;&gt;$JB$9,0,$JA205*各项系数!$F$32*10^-3*10^2)*各项系数!$J$4</f>
        <v>0</v>
      </c>
      <c r="JC205" s="123">
        <v>1</v>
      </c>
      <c r="JD205" s="251">
        <f t="shared" si="920"/>
        <v>0</v>
      </c>
      <c r="JE205" s="339">
        <f>JD205*各项系数!$E$32</f>
        <v>0</v>
      </c>
      <c r="JF205" s="364">
        <f>IF($DE205&lt;&gt;$JF$9,0,$JA205*VLOOKUP($JF$9,各项系数!$D$4:$F$540,2,0)*10^-3*10^2)*各项系数!$J$4</f>
        <v>0.158481536918801</v>
      </c>
      <c r="JG205" s="123">
        <v>1</v>
      </c>
      <c r="JH205" s="251">
        <f t="shared" si="966"/>
        <v>0.158481536918801</v>
      </c>
      <c r="JI205" s="339">
        <f>JH205*VLOOKUP($JF$9,各项系数!$D$4:$F$540,3,0)</f>
        <v>0.190177844302562</v>
      </c>
      <c r="JJ205" s="364">
        <f t="shared" si="921"/>
        <v>0.158481536918801</v>
      </c>
      <c r="JK205" s="251">
        <f t="shared" si="922"/>
        <v>0.190177844302562</v>
      </c>
      <c r="JL205" s="364">
        <f>IF($DF205&lt;&gt;$JL$9,0,各项系数!$F$76/4*($NE205^2-$NC205^2)*10^-2*各项系数!$F$39*10^-3*10^2)*各项系数!$J$4</f>
        <v>0.00128642905140297</v>
      </c>
      <c r="JM205" s="123">
        <v>1</v>
      </c>
      <c r="JN205" s="251">
        <f t="shared" si="923"/>
        <v>0.00128642905140297</v>
      </c>
      <c r="JO205" s="339">
        <f>JN205*各项系数!$E$39</f>
        <v>0.0257285810280593</v>
      </c>
      <c r="JP205" s="364">
        <f>IF($DF205&lt;&gt;$JP$9,0,各项系数!$F$76/4*($NE205^2-$NC205^2)*10^-2*各项系数!$F$36*10^-3*10^2)*各项系数!$J$4</f>
        <v>0</v>
      </c>
      <c r="JQ205" s="123">
        <v>1</v>
      </c>
      <c r="JR205" s="251">
        <f t="shared" si="924"/>
        <v>0</v>
      </c>
      <c r="JS205" s="339">
        <f>JR205*各项系数!$E$36</f>
        <v>0</v>
      </c>
      <c r="JT205" s="364">
        <f>IF($DF205&lt;&gt;$JT$9,0,各项系数!$F$76/4*($NE205^2-$NC205^2)*10^-2*各项系数!$F$40*10^-3*10^2)*各项系数!$J$4</f>
        <v>0</v>
      </c>
      <c r="JU205" s="123">
        <v>1</v>
      </c>
      <c r="JV205" s="251">
        <f t="shared" si="925"/>
        <v>0</v>
      </c>
      <c r="JW205" s="339">
        <f>JV205*各项系数!$E$40</f>
        <v>0</v>
      </c>
      <c r="JX205" s="364">
        <f>IF($DF205&lt;&gt;$JX$9,0,各项系数!$F$76/4*($NE205^2-$NC205^2)*10^-2*各项系数!$F$38*10^-3*10^2)*各项系数!$J$4</f>
        <v>0</v>
      </c>
      <c r="JY205" s="123">
        <v>1</v>
      </c>
      <c r="JZ205" s="251">
        <f t="shared" si="926"/>
        <v>0</v>
      </c>
      <c r="KA205" s="339">
        <f>JZ205*各项系数!$E$38</f>
        <v>0</v>
      </c>
      <c r="KB205" s="364">
        <f>IF($DF205&lt;&gt;$KB$9,0,各项系数!$F$76/4*($NE205^2-$NC205^2)*10^-2*各项系数!$F$41*10^-3*10^2)*各项系数!$J$4</f>
        <v>0</v>
      </c>
      <c r="KC205" s="123">
        <v>1</v>
      </c>
      <c r="KD205" s="251">
        <f t="shared" si="927"/>
        <v>0</v>
      </c>
      <c r="KE205" s="339">
        <f>KD205*各项系数!$E$41</f>
        <v>0</v>
      </c>
      <c r="KF205" s="251">
        <f t="shared" si="928"/>
        <v>0.00128642905140297</v>
      </c>
      <c r="KG205" s="251">
        <f t="shared" si="929"/>
        <v>0.0257285810280593</v>
      </c>
      <c r="KH205" s="302">
        <f>各项系数!$F$76/4*($NG205^2-$NE205^2)*10^-2*各项系数!$F$44*10^-3*10^2*各项系数!$J$4*0.75*$U205</f>
        <v>0.534673725187258</v>
      </c>
      <c r="KI205" s="123">
        <v>1</v>
      </c>
      <c r="KJ205" s="251">
        <f t="shared" si="930"/>
        <v>0.534673725187258</v>
      </c>
      <c r="KK205" s="251">
        <f>ROUND(KJ205*各项系数!$E$43,GT205)</f>
        <v>3.1</v>
      </c>
      <c r="KL205" s="302">
        <f>各项系数!$F$76/4*($NF205^2-$NE205^2)*10^-2*各项系数!$F$46*10^-3*10^2*各项系数!$J$4*PI()/4*R205</f>
        <v>0.0162475295641258</v>
      </c>
      <c r="KM205" s="123">
        <v>1</v>
      </c>
      <c r="KN205" s="251">
        <f t="shared" si="931"/>
        <v>0.0162475295641258</v>
      </c>
      <c r="KO205" s="251">
        <f>KN205*各项系数!$E$46</f>
        <v>1.09670824557849</v>
      </c>
      <c r="KP205" s="302">
        <f>各项系数!$F$76/4*($NH205^2-$NE205^2)*10^-2*(VLOOKUP($KP$9,各项系数!$D$1:$F$143,3,0))*10^-3*10^2*各项系数!$J$4</f>
        <v>0.102108312366977</v>
      </c>
      <c r="KQ205" s="123">
        <v>1</v>
      </c>
      <c r="KR205" s="251">
        <f t="shared" ref="KR205:KR214" si="1016">KQ205*KP205</f>
        <v>0.102108312366977</v>
      </c>
      <c r="KS205" s="251">
        <f>KR205*(VLOOKUP($KP$9,各项系数!$D$1:$F$143,2,0))</f>
        <v>1.73584131023861</v>
      </c>
      <c r="KT205" s="302">
        <f>各项系数!$F$76/4*($NI205^2-$NF205^2)*10^-2*(VLOOKUP($KT$9,各项系数!$D$1:$F$143,3,0))*10^-3*10^2*各项系数!$J$4</f>
        <v>0.10334116128884</v>
      </c>
      <c r="KU205" s="123">
        <v>1</v>
      </c>
      <c r="KV205" s="251">
        <f t="shared" ref="KV205:KV214" si="1017">KU205*KT205</f>
        <v>0.10334116128884</v>
      </c>
      <c r="KW205" s="251">
        <f>KV205*(VLOOKUP($KT$9,各项系数!$D$1:$F$143,2,0))</f>
        <v>1.75679974191028</v>
      </c>
      <c r="KX205" s="251">
        <f>各项系数!$F$76/4*($NH205^2-$NE205^2)*10^-2*(VLOOKUP($KX$9,各项系数!$D$1:$F$143,3,0))*10^-3*10^2*各项系数!$J$4</f>
        <v>0.102108312366977</v>
      </c>
      <c r="KY205" s="479">
        <v>1</v>
      </c>
      <c r="KZ205" s="251">
        <f t="shared" ref="KZ205:KZ214" si="1018">KY205*KX205</f>
        <v>0.102108312366977</v>
      </c>
      <c r="LA205" s="251">
        <f>KZ205*(VLOOKUP($KX$9,各项系数!$D$1:$F$143,2,0))</f>
        <v>1.73584131023861</v>
      </c>
      <c r="LB205" s="251">
        <f>各项系数!$F$76/4*($NI205^2-$NF205^2)*10^-2*(VLOOKUP($LB$9,各项系数!$D$1:$F$143,3,0))*10^-3*10^2*各项系数!$J$4</f>
        <v>0.10334116128884</v>
      </c>
      <c r="LC205" s="479">
        <v>1</v>
      </c>
      <c r="LD205" s="251">
        <f t="shared" ref="LD205:LD214" si="1019">LC205*LB205</f>
        <v>0.10334116128884</v>
      </c>
      <c r="LE205" s="251">
        <f>LD205*(VLOOKUP($LB$9,各项系数!$D$1:$F$143,2,0))</f>
        <v>1.75679974191028</v>
      </c>
      <c r="LF205" s="302">
        <f>各项系数!$F$76/4*($NH205^2-$NE205^2)*10^-2*(VLOOKUP(AN205,各项系数!$D$1:$F$143,3,0))*10^-3*10^2*各项系数!$J$4</f>
        <v>0.103516702882384</v>
      </c>
      <c r="LG205" s="123">
        <v>1</v>
      </c>
      <c r="LH205" s="251">
        <f t="shared" si="932"/>
        <v>0.103516702882384</v>
      </c>
      <c r="LI205" s="251">
        <f>LH205*(VLOOKUP(AN205,各项系数!$D$1:$F$143,2,0))</f>
        <v>1.03516702882384</v>
      </c>
      <c r="LJ205" s="302">
        <f>各项系数!$F$76/4*($NI205^2-$NF205^2)*10^-2*(VLOOKUP(AN205,各项系数!$D$1:$F$143,3,0))*10^-3*10^2*各项系数!$J$4</f>
        <v>0.104766556616962</v>
      </c>
      <c r="LK205" s="123">
        <v>1</v>
      </c>
      <c r="LL205" s="251">
        <f t="shared" si="933"/>
        <v>0.104766556616962</v>
      </c>
      <c r="LM205" s="251">
        <f>LL205*(VLOOKUP(AN205,各项系数!$D$1:$F$143,2,0))</f>
        <v>1.04766556616962</v>
      </c>
      <c r="LN205" s="251">
        <f>各项系数!$F$76/4*($NH205^2-$NE205^2)*10^-2*(VLOOKUP($LN$9,各项系数!$D$1:$F$143,3,0))*10^-3*10^2*各项系数!$J$4</f>
        <v>0.103516702882384</v>
      </c>
      <c r="LO205" s="479">
        <v>1</v>
      </c>
      <c r="LP205" s="251">
        <f t="shared" si="934"/>
        <v>0.103516702882384</v>
      </c>
      <c r="LQ205" s="251">
        <f>LP205*(VLOOKUP($LN$9,各项系数!$D$1:$F$143,2,0))</f>
        <v>1.13868373170622</v>
      </c>
      <c r="LR205" s="251">
        <f>各项系数!$F$76/4*($NI205^2-$NF205^2)*10^-2*(VLOOKUP($LR$9,各项系数!$D$1:$F$143,3,0))*10^-3*10^2*各项系数!$J$4</f>
        <v>0.104766556616962</v>
      </c>
      <c r="LS205" s="479">
        <v>1</v>
      </c>
      <c r="LT205" s="251">
        <f t="shared" si="935"/>
        <v>0.104766556616962</v>
      </c>
      <c r="LU205" s="251">
        <f>LT205*(VLOOKUP($LR$9,各项系数!$D$1:$F$143,2,0))</f>
        <v>1.15243212278658</v>
      </c>
      <c r="LV205" s="499">
        <f t="shared" ref="LV205:LV214" si="1020">ROUND(PI()*MJ205*MJ205/4*EG205,8)</f>
        <v>22.46747993</v>
      </c>
      <c r="LW205" s="499">
        <f t="shared" ref="LW205:LW214" si="1021">ROUND(PI()*ROUND($EJ205*10^-2,8)^2/4*$EG205*$EH205,8)</f>
        <v>22.46747993</v>
      </c>
      <c r="LX205" s="499">
        <f t="shared" ref="LX205:LX214" si="1022">SQRT(LW205/PI()*4)</f>
        <v>5.34850296040113</v>
      </c>
      <c r="LY205" s="515">
        <f t="shared" ref="LY205:LY214" si="1023">LV205-LW205</f>
        <v>0</v>
      </c>
      <c r="LZ205" s="516">
        <f t="shared" si="967"/>
        <v>1</v>
      </c>
      <c r="MA205" s="517">
        <f t="shared" si="968"/>
        <v>22.46747993</v>
      </c>
      <c r="MB205" s="517">
        <f t="shared" ref="MB205:MB214" si="1024">ROUND(SQRT(MA205/EG205/PI()*4),8)</f>
        <v>2.67425148</v>
      </c>
      <c r="MC205" s="499">
        <f t="shared" ref="MC205:MC214" si="1025">ROUND(PI()*ML205*ML205/4*EO205,8)</f>
        <v>0</v>
      </c>
      <c r="MD205" s="499">
        <f t="shared" ref="MD205:MD214" si="1026">ROUND(PI()*ROUND($ER205*10^-2,8)^2/4*$EO205*$EP205,8)</f>
        <v>0</v>
      </c>
      <c r="ME205" s="499">
        <f t="shared" ref="ME205:ME214" si="1027">SQRT(MD205/PI()*4)</f>
        <v>0</v>
      </c>
      <c r="MF205" s="499">
        <f t="shared" ref="MF205:MF214" si="1028">MC205-MD205</f>
        <v>0</v>
      </c>
      <c r="MG205" s="516">
        <f t="shared" ref="MG205:MG214" si="1029">$MG$8</f>
        <v>1</v>
      </c>
      <c r="MH205" s="517">
        <f t="shared" si="969"/>
        <v>0</v>
      </c>
      <c r="MI205" s="517">
        <f t="shared" ref="MI205:MI214" si="1030">IF(EK205=0,0,SQRT(MH205/EO205/PI()*4))</f>
        <v>0</v>
      </c>
      <c r="MJ205" s="251">
        <f t="shared" si="970"/>
        <v>2.67425148</v>
      </c>
      <c r="MK205" s="251">
        <f t="shared" ref="MK205:MK214" si="1031">ROUND((1-$H205)^(1/2)*$MB205,8)</f>
        <v>2.67425148</v>
      </c>
      <c r="ML205" s="251">
        <f t="shared" si="936"/>
        <v>0</v>
      </c>
      <c r="MM205" s="251">
        <f t="shared" si="971"/>
        <v>0</v>
      </c>
      <c r="MN205" s="251">
        <f t="shared" si="972"/>
        <v>4.07425148</v>
      </c>
      <c r="MO205" s="251">
        <f t="shared" ref="MO205:MO214" si="1032">IF(MM205=0,0,MM205+N205*2)</f>
        <v>0</v>
      </c>
      <c r="MP205" s="251">
        <f t="shared" ref="MP205:MP214" si="1033">ROUND($ET205*($EG205*MN205+$EO205*MO205)/$ES205,8)</f>
        <v>9.85968858</v>
      </c>
      <c r="MQ205" s="251">
        <f t="shared" si="937"/>
        <v>9.85968858</v>
      </c>
      <c r="MR205" s="314">
        <f t="shared" ref="MR205:MR214" si="1034">IF(FR205=0,MQ205,ROUND(SQRT((PI()*MQ205*MQ205/4-(FR205-FT205))*4/PI()),8))</f>
        <v>9.85968858</v>
      </c>
      <c r="MS205" s="530">
        <f t="shared" si="973"/>
        <v>10.03568858</v>
      </c>
      <c r="MT205" s="530">
        <f t="shared" si="974"/>
        <v>10.19568858</v>
      </c>
      <c r="MU205" s="530">
        <f t="shared" si="975"/>
        <v>11.23568858</v>
      </c>
      <c r="MV205" s="530">
        <f t="shared" si="976"/>
        <v>13.43568858</v>
      </c>
      <c r="MW205" s="530">
        <f t="shared" si="977"/>
        <v>13.59568858</v>
      </c>
      <c r="MX205" s="326">
        <f t="shared" si="978"/>
        <v>3.27425148</v>
      </c>
      <c r="MY205" s="326">
        <f t="shared" si="979"/>
        <v>0</v>
      </c>
      <c r="MZ205" s="251">
        <f t="shared" si="980"/>
        <v>4.67425148</v>
      </c>
      <c r="NA205" s="251">
        <f t="shared" si="981"/>
        <v>0</v>
      </c>
      <c r="NB205" s="251">
        <f t="shared" ref="NB205:NB214" si="1035">ROUND($ET205*($EG205*MZ205+$EO205*NA205)/$ES205,8)</f>
        <v>11.31168858</v>
      </c>
      <c r="NC205" s="326">
        <f t="shared" si="938"/>
        <v>11.31168858</v>
      </c>
      <c r="ND205" s="314">
        <f t="shared" ref="ND205:ND214" si="1036">IF(IY205=0,NC205,ROUND(SQRT((PI()*NC205*NC205/4-(IY205-JA205))*4/PI()),8))</f>
        <v>11.31168858</v>
      </c>
      <c r="NE205" s="537">
        <f t="shared" ref="NE205:NE214" si="1037">ND205+3*O205</f>
        <v>11.55168858</v>
      </c>
      <c r="NF205" s="530">
        <f t="shared" si="982"/>
        <v>11.71168858</v>
      </c>
      <c r="NG205" s="538">
        <f t="shared" si="983"/>
        <v>12.75168858</v>
      </c>
      <c r="NH205" s="326">
        <f t="shared" si="984"/>
        <v>14.95168858</v>
      </c>
      <c r="NI205" s="530">
        <f t="shared" si="985"/>
        <v>15.11168858</v>
      </c>
      <c r="NK205" s="539">
        <f t="shared" si="986"/>
        <v>0.354504522688835</v>
      </c>
      <c r="NL205" s="539">
        <f t="shared" si="987"/>
        <v>14.4292634547206</v>
      </c>
      <c r="NM205" s="539">
        <f t="shared" si="988"/>
        <v>0.354504522688835</v>
      </c>
      <c r="NN205" s="539">
        <f t="shared" si="989"/>
        <v>14.5209377934678</v>
      </c>
      <c r="NO205" s="539">
        <f t="shared" si="990"/>
        <v>0.517019786555413</v>
      </c>
      <c r="NP205" s="539">
        <f t="shared" si="991"/>
        <v>15.1267581924253</v>
      </c>
      <c r="NQ205" s="539">
        <f t="shared" si="992"/>
        <v>0.517019786555413</v>
      </c>
      <c r="NR205" s="539">
        <f t="shared" si="993"/>
        <v>15.2302748953077</v>
      </c>
      <c r="NS205" s="539">
        <f t="shared" si="994"/>
        <v>0.368634453019641</v>
      </c>
      <c r="NT205" s="539">
        <f t="shared" si="995"/>
        <v>0.368634453019641</v>
      </c>
      <c r="NU205" s="539">
        <f t="shared" si="996"/>
        <v>0.533267316119539</v>
      </c>
      <c r="NV205" s="539">
        <f t="shared" si="997"/>
        <v>0.533267316119539</v>
      </c>
      <c r="NW205">
        <f t="shared" si="998"/>
        <v>0.510494454885297</v>
      </c>
      <c r="NX205">
        <f>各项系数!$M$9*NK205</f>
        <v>0.10635135680665</v>
      </c>
      <c r="NY205">
        <f t="shared" si="999"/>
        <v>0.368634453019641</v>
      </c>
    </row>
    <row r="206" customHeight="1" spans="1:389">
      <c r="A206" s="85"/>
      <c r="B206" s="86"/>
      <c r="C206" s="218"/>
      <c r="D206" s="85" t="s">
        <v>183</v>
      </c>
      <c r="E206" s="77">
        <f t="shared" si="885"/>
        <v>14.776479</v>
      </c>
      <c r="F206" s="225">
        <f>$F$19</f>
        <v>267.425148012862</v>
      </c>
      <c r="G206" s="23"/>
      <c r="H206" s="23"/>
      <c r="I206" s="174">
        <v>0</v>
      </c>
      <c r="J206" s="23"/>
      <c r="K206" s="23"/>
      <c r="L206" s="118" t="s">
        <v>469</v>
      </c>
      <c r="M206" s="124">
        <f t="shared" si="940"/>
        <v>0.7</v>
      </c>
      <c r="N206" s="124">
        <f t="shared" si="804"/>
        <v>0</v>
      </c>
      <c r="O206" s="69">
        <f t="shared" si="939"/>
        <v>0.08</v>
      </c>
      <c r="P206" s="120">
        <v>0.1</v>
      </c>
      <c r="Q206" s="162">
        <f t="shared" si="941"/>
        <v>0.1</v>
      </c>
      <c r="R206" s="560">
        <v>0.8</v>
      </c>
      <c r="S206" s="171" t="str">
        <f>各项系数!$D$43</f>
        <v>钢带</v>
      </c>
      <c r="T206" s="123">
        <v>0.2</v>
      </c>
      <c r="U206" s="78">
        <v>4</v>
      </c>
      <c r="V206" s="172"/>
      <c r="W206" s="170">
        <f>$W$202</f>
        <v>1.8</v>
      </c>
      <c r="X206" s="164">
        <f t="shared" si="942"/>
        <v>0.2</v>
      </c>
      <c r="Y206" s="219"/>
      <c r="Z206" s="220"/>
      <c r="AA206" s="217">
        <v>1</v>
      </c>
      <c r="AB206" s="186">
        <f>PI()*EJ206*EJ206/4*EH206*(1-H206)*AA206*各项系数!$F$5*各项系数!$J$4*10^-7</f>
        <v>0.0496843042710297</v>
      </c>
      <c r="AC206" s="186">
        <f t="shared" si="886"/>
        <v>267.425148012862</v>
      </c>
      <c r="AD206" s="186">
        <f t="shared" si="943"/>
        <v>5.61686998219778</v>
      </c>
      <c r="AE206" s="186">
        <f>POWER(4*EU206/PI()/EG206/10^-7/EH206/(1-H206)/各项系数!$F$5/各项系数!$J$4,0.5)</f>
        <v>267.425148012862</v>
      </c>
      <c r="AF206" s="218">
        <v>1</v>
      </c>
      <c r="AG206" s="85">
        <f>IF(EM206=0,0,PI()*ER206*ER206/4*EP206*(1-K206)*(1+AF206)*各项系数!$F$5*各项系数!$J$4*10^-7)</f>
        <v>0</v>
      </c>
      <c r="AH206" s="85">
        <f t="shared" si="887"/>
        <v>0</v>
      </c>
      <c r="AI206" s="85">
        <f t="shared" si="1000"/>
        <v>0</v>
      </c>
      <c r="AJ206" s="85">
        <f>IF(OR(EP206="",EP206=0),0,POWER(4*EW206/PI()/EO206/10^-7/EP206/(1-K206)/各项系数!$F$5/各项系数!$J$4,0.5))</f>
        <v>0</v>
      </c>
      <c r="AK206" s="85" t="str">
        <f t="shared" si="944"/>
        <v>√</v>
      </c>
      <c r="AL206" s="85">
        <f t="shared" si="888"/>
        <v>18.7575965546591</v>
      </c>
      <c r="AM206" s="250">
        <f t="shared" si="889"/>
        <v>6</v>
      </c>
      <c r="AN206" s="118" t="s">
        <v>486</v>
      </c>
      <c r="AO206" s="259">
        <f>AP206+各项系数!$M$9*$NK206</f>
        <v>18.3898005437835</v>
      </c>
      <c r="AP206" s="259">
        <f>AQ206*(1+$BI206+(VLOOKUP($AM206,$A$12:$B$323,2,0))+各项系数!$J$6+各项系数!$M$5)*(1+$E$2)</f>
        <v>18.2592927431421</v>
      </c>
      <c r="AQ206" s="260">
        <f>AR206+各项系数!$L$9*$NK206</f>
        <v>18.4474568025279</v>
      </c>
      <c r="AR206" s="260">
        <f>AS206*(1+$BJ206+各项系数!$J$5+各项系数!$L$5)</f>
        <v>18.3169490018865</v>
      </c>
      <c r="AS206" s="260">
        <f t="shared" si="1001"/>
        <v>17.9577931391044</v>
      </c>
      <c r="AT206" s="259">
        <f>AU206+各项系数!$M$9*$NM206</f>
        <v>19.1232547926655</v>
      </c>
      <c r="AU206" s="259">
        <f>AV206*(1+$BI206+(VLOOKUP($AM206,$A$12:$B$323,2,0))+各项系数!$J$6+各项系数!$M$5)*(1+$E$2)</f>
        <v>18.9927469920241</v>
      </c>
      <c r="AV206" s="260">
        <f>AW206+各项系数!$L$9*$NM206</f>
        <v>19.188469379697</v>
      </c>
      <c r="AW206" s="260">
        <f>AX206*(1+$BJ206+各项系数!$J$5+各项系数!$L$5)</f>
        <v>19.0579615790556</v>
      </c>
      <c r="AX206" s="260">
        <f t="shared" si="1002"/>
        <v>18.6842760578977</v>
      </c>
      <c r="AY206" s="259">
        <f>AZ206+各项系数!$M$9*$NS206</f>
        <v>19.4840628977905</v>
      </c>
      <c r="AZ206" s="259">
        <f>BA206*(1+$BI206+(VLOOKUP($AM206,$A$12:$B$214,2,0))+各项系数!$J$6+各项系数!$M$5)*(1+$E$2)</f>
        <v>19.348838069847</v>
      </c>
      <c r="BA206" s="260">
        <f>BB206+各项系数!$L$9*$NS206</f>
        <v>19.5482300160103</v>
      </c>
      <c r="BB206" s="260">
        <f>BC206*(1+$BJ206+各项系数!$J$5+各项系数!$L$5)</f>
        <v>19.4130051880668</v>
      </c>
      <c r="BC206" s="262">
        <f t="shared" si="1003"/>
        <v>19.0323580275164</v>
      </c>
      <c r="BD206" s="259">
        <f>BE206+各项系数!$M$9*$NS206</f>
        <v>20.2265606383486</v>
      </c>
      <c r="BE206" s="259">
        <f>BF206*(1+$BI206+(VLOOKUP($AM206,$A$12:$B$214,2,0))+各项系数!$J$6+各项系数!$M$5)*(1+$E$2)</f>
        <v>20.0913358104051</v>
      </c>
      <c r="BF206" s="260">
        <f>BG206+各项系数!$L$9*$NS206</f>
        <v>20.2983792790514</v>
      </c>
      <c r="BG206" s="260">
        <f>BH206*(1+$BJ206+各项系数!$J$5+各项系数!$L$5)</f>
        <v>20.1631544511078</v>
      </c>
      <c r="BH206" s="262">
        <f t="shared" si="1004"/>
        <v>19.7677984814783</v>
      </c>
      <c r="BI206" s="275"/>
      <c r="BJ206" s="272">
        <f>$BJ$203</f>
        <v>0</v>
      </c>
      <c r="BK206" s="123" t="s">
        <v>514</v>
      </c>
      <c r="BL206" s="259">
        <f>BM206+各项系数!$M$9*$NM206</f>
        <v>18.6769687014717</v>
      </c>
      <c r="BM206" s="259">
        <f>BN206*(1+$CF206+(VLOOKUP($AM206,$A$12:$B$323,2,0))+各项系数!$J$6+各项系数!$M$5)*(1+$E$2)</f>
        <v>18.5464609008303</v>
      </c>
      <c r="BN206" s="260">
        <f>BO206+各项系数!$L$9*$NM206</f>
        <v>18.7375842602852</v>
      </c>
      <c r="BO206" s="260">
        <f>BP206*(1+$CG206+各项系数!$J$5+各项系数!$L$5)</f>
        <v>18.6070764596439</v>
      </c>
      <c r="BP206" s="260">
        <f t="shared" si="1005"/>
        <v>18.0651227763533</v>
      </c>
      <c r="BQ206" s="259">
        <f>BR206+各项系数!$M$9*$NM206</f>
        <v>19.3081917570865</v>
      </c>
      <c r="BR206" s="259">
        <f>BS206*(1+$CF206+(VLOOKUP($AM206,$A$12:$B$323,2,0))+各项系数!$J$6+各项系数!$M$5)*(1+$E$2)</f>
        <v>19.1776839564452</v>
      </c>
      <c r="BS206" s="260">
        <f>BT206+各项系数!$L$9*$NM206</f>
        <v>19.375312140276</v>
      </c>
      <c r="BT206" s="260">
        <f>BU206*(1+$CG206+各项系数!$J$5+各项系数!$L$5)</f>
        <v>19.2448043396346</v>
      </c>
      <c r="BU206" s="260">
        <f t="shared" si="1006"/>
        <v>18.6842760578977</v>
      </c>
      <c r="BV206" s="259">
        <f>BW206+各项系数!$M$9*$NT206</f>
        <v>19.6575498528944</v>
      </c>
      <c r="BW206" s="259">
        <f>BX206*(1+$CF206+(VLOOKUP($AM206,$A$12:$B$214,2,0))+各项系数!$J$6+各项系数!$M$5)*(1+$E$2)</f>
        <v>19.5223250249508</v>
      </c>
      <c r="BX206" s="260">
        <f>BY206+各项系数!$L$9*$NT$12</f>
        <v>19.723504773642</v>
      </c>
      <c r="BY206" s="260">
        <f>BZ206*(1+$CG206+各项系数!$J$5+各项系数!$L$5)</f>
        <v>19.715241370487</v>
      </c>
      <c r="BZ206" s="262">
        <f t="shared" si="945"/>
        <v>19.1410110393078</v>
      </c>
      <c r="CA206" s="259">
        <f>CB206+各项系数!$M$9*$NT206</f>
        <v>20.2965558894625</v>
      </c>
      <c r="CB206" s="259">
        <f>CC206*(1+$CF206+(VLOOKUP($AM206,$A$12:$B$214,2,0))+各项系数!$J$6+各项系数!$M$5)*(1+$E$2)</f>
        <v>20.161331061519</v>
      </c>
      <c r="CC206" s="260">
        <f>CD206+各项系数!$L$9*$NT$12</f>
        <v>20.3690958390776</v>
      </c>
      <c r="CD206" s="260">
        <f>CE206*(1+$CG206+各项系数!$J$5+各项系数!$L$5)</f>
        <v>20.3608324359226</v>
      </c>
      <c r="CE206" s="262">
        <f t="shared" si="1007"/>
        <v>19.7677984814783</v>
      </c>
      <c r="CF206" s="275">
        <f>(BI206+$CF$2)-BI206/1.3</f>
        <v>0</v>
      </c>
      <c r="CG206" s="277">
        <f t="shared" si="946"/>
        <v>0.01</v>
      </c>
      <c r="CH206" s="123"/>
      <c r="CI206" s="259">
        <f>CJ206+各项系数!$M$9*$NO206</f>
        <v>19.5108394729784</v>
      </c>
      <c r="CJ206" s="259">
        <f>CK206*(1+$DC206+(VLOOKUP($AM206,$A$12:$B$323,2,0))+各项系数!$J$6+各项系数!$M$5)*(1+$E$2)+各项系数!$M$9*$NK206</f>
        <v>19.3202318069319</v>
      </c>
      <c r="CK206" s="260">
        <f>CL206+各项系数!$L$9*$NO206</f>
        <v>19.3874762641852</v>
      </c>
      <c r="CL206" s="260">
        <f>CM206*(1+$DD206+各项系数!$J$5+各项系数!$L$5)</f>
        <v>19.1968685981387</v>
      </c>
      <c r="CM206" s="260">
        <f t="shared" si="947"/>
        <v>18.82045940994</v>
      </c>
      <c r="CN206" s="259">
        <f>CO206+各项系数!$M$9*$NO206</f>
        <v>20.1036719707658</v>
      </c>
      <c r="CO206" s="259">
        <f>CP206*(1+$DC206+(VLOOKUP($AM206,$A$12:$B$323,2,0))+各项系数!$J$6+各项系数!$M$5)*(1+$E$2)+各项系数!$M$9*$NK206</f>
        <v>19.9130643047193</v>
      </c>
      <c r="CP206" s="260">
        <f>CQ206+各项系数!$L$9*$NO206</f>
        <v>19.9864179673449</v>
      </c>
      <c r="CQ206" s="260">
        <f>CR206*(1+$DD206+各项系数!$J$5+各项系数!$L$5)</f>
        <v>19.7958103012984</v>
      </c>
      <c r="CR206" s="260">
        <f t="shared" si="948"/>
        <v>19.4076571581356</v>
      </c>
      <c r="CS206" s="259">
        <f>CT206+各项系数!$M$9*$NU206</f>
        <v>20.6362998602885</v>
      </c>
      <c r="CT206" s="259">
        <f t="shared" si="949"/>
        <v>20.4402694867732</v>
      </c>
      <c r="CU206" s="260">
        <f>CV206+各项系数!$L$9*$NU206</f>
        <v>20.6509087560853</v>
      </c>
      <c r="CV206" s="260">
        <f>CW206*(1+$DD206+各项系数!$J$5+各项系数!$L$5)</f>
        <v>20.4548783825699</v>
      </c>
      <c r="CW206" s="262">
        <f t="shared" si="950"/>
        <v>20.0538023358529</v>
      </c>
      <c r="CX206" s="259">
        <f>CY206+各项系数!$M$9*$NU206</f>
        <v>21.4739803507372</v>
      </c>
      <c r="CY206" s="259">
        <f t="shared" si="951"/>
        <v>21.2779499772218</v>
      </c>
      <c r="CZ206" s="260">
        <f>DA206+各项系数!$L$9*$NU206</f>
        <v>21.4972216379287</v>
      </c>
      <c r="DA206" s="260">
        <f>DB206*(1+$DD206+各项系数!$J$5+各项系数!$L$5)</f>
        <v>21.3011912644134</v>
      </c>
      <c r="DB206" s="262">
        <f t="shared" si="952"/>
        <v>20.8835208474641</v>
      </c>
      <c r="DC206" s="275">
        <f>(BI206+$DC$2)-BI206/1.3</f>
        <v>0</v>
      </c>
      <c r="DD206" s="277">
        <f t="shared" si="953"/>
        <v>0</v>
      </c>
      <c r="DE206" s="69" t="s">
        <v>498</v>
      </c>
      <c r="DF206" s="69" t="s">
        <v>513</v>
      </c>
      <c r="DG206" s="259">
        <f>DH206+各项系数!$M$9*$NQ206</f>
        <v>19.8207463409867</v>
      </c>
      <c r="DH206" s="259">
        <f>DI206*(1+$EA206+(VLOOKUP($AM206,$A$12:$B$323,2,0))+各项系数!$J$6+各项系数!$M$5)*(1+$E$2)+各项系数!$M$9*$NK206</f>
        <v>19.6301386749402</v>
      </c>
      <c r="DI206" s="260">
        <f>DJ206+各项系数!$L$9*$NQ206</f>
        <v>19.7005767572225</v>
      </c>
      <c r="DJ206" s="260">
        <f>DK206*(1+$EB206+各项系数!$J$5+各项系数!$L$5)</f>
        <v>19.509969091176</v>
      </c>
      <c r="DK206" s="260">
        <f t="shared" si="954"/>
        <v>18.9417175642486</v>
      </c>
      <c r="DL206" s="259">
        <f>DM206+各项系数!$M$9*$NQ206</f>
        <v>20.5338852711354</v>
      </c>
      <c r="DM206" s="259">
        <f>DN206*(1+$EA206+(VLOOKUP($AM206,$A$12:$B$323,2,0))+各项系数!$J$6+各项系数!$M$5)*(1+$E$2)+各项系数!$M$9*$NK206</f>
        <v>20.3432776050889</v>
      </c>
      <c r="DN206" s="260">
        <f>DO206+各项系数!$L$9*$NQ206</f>
        <v>20.4210646640205</v>
      </c>
      <c r="DO206" s="260">
        <f>DP206*(1+$EB206+各项系数!$J$5+各项系数!$L$5)</f>
        <v>20.2304569979741</v>
      </c>
      <c r="DP206" s="260">
        <f t="shared" si="955"/>
        <v>19.6412203863826</v>
      </c>
      <c r="DQ206" s="259">
        <f>DR206+各项系数!$M$9*$NV206</f>
        <v>20.9597635289833</v>
      </c>
      <c r="DR206" s="259">
        <f t="shared" si="956"/>
        <v>20.763733155468</v>
      </c>
      <c r="DS206" s="260">
        <f>DT206+各项系数!$L$9*$NV206</f>
        <v>20.9777057541604</v>
      </c>
      <c r="DT206" s="260">
        <f>DU206*(1+$EB206+各项系数!$J$5+各项系数!$L$5)</f>
        <v>20.7816753806451</v>
      </c>
      <c r="DU206" s="262">
        <f t="shared" si="957"/>
        <v>20.176383864704</v>
      </c>
      <c r="DV206" s="259">
        <f>DW206+各项系数!$M$9*$NV206</f>
        <v>21.1199325221996</v>
      </c>
      <c r="DW206" s="259">
        <f t="shared" si="958"/>
        <v>20.9239021486843</v>
      </c>
      <c r="DX206" s="260">
        <f>DY206+各项系数!$L$9*$NV206</f>
        <v>21.1395253068138</v>
      </c>
      <c r="DY206" s="260">
        <f>DZ206*(1+$EB206+各项系数!$J$5+各项系数!$L$5)</f>
        <v>20.9434949332985</v>
      </c>
      <c r="DZ206" s="262">
        <f t="shared" si="959"/>
        <v>20.3334902265034</v>
      </c>
      <c r="EA206" s="275">
        <f>(BI206+$EA$2)-BI206/1.3</f>
        <v>0</v>
      </c>
      <c r="EB206" s="277">
        <f t="shared" si="960"/>
        <v>0.01</v>
      </c>
      <c r="EC206" s="302">
        <f t="shared" si="1008"/>
        <v>5</v>
      </c>
      <c r="ED206" s="302" t="str">
        <f t="shared" si="890"/>
        <v>5*6</v>
      </c>
      <c r="EE206" s="251">
        <f t="shared" si="891"/>
        <v>6</v>
      </c>
      <c r="EF206" s="251">
        <f>LOOKUP(EH206,{1,7,10,14,19,24,30,37,48,61},{1,"1+6","2+8","4+10","1+6+12","2+8+14","4+10+16","1+6+12+18","3+9+15+21","1+6+12+18+24"})</f>
        <v>1</v>
      </c>
      <c r="EG206" s="250">
        <f t="shared" si="961"/>
        <v>5</v>
      </c>
      <c r="EH206" s="260">
        <f>VLOOKUP(EE206,各项系数!$B$87:$C$124,2,0)</f>
        <v>1</v>
      </c>
      <c r="EI206" s="250">
        <f>IF(EH206=0,0,VLOOKUP(EH206,各项系数!$D$142:$E$195,2,0))*1</f>
        <v>1</v>
      </c>
      <c r="EJ206" s="305">
        <f t="shared" si="1009"/>
        <v>267.425148012862</v>
      </c>
      <c r="EK206" s="251">
        <f t="shared" si="892"/>
        <v>0</v>
      </c>
      <c r="EL206" s="251">
        <f t="shared" si="962"/>
        <v>0</v>
      </c>
      <c r="EM206" s="251">
        <f t="shared" si="893"/>
        <v>0</v>
      </c>
      <c r="EN206" s="251">
        <f>IF(EP206=0,0,LOOKUP(EP206,{1,7,10,14,19,24,30,37,48,61},{1,"1+6","2+8","4+10","1+6+12","2+8+14","4+10+16","1+6+12+18","3+9+15+21","1+6+12+18+24"}))</f>
        <v>0</v>
      </c>
      <c r="EO206" s="251">
        <f t="shared" si="894"/>
        <v>0</v>
      </c>
      <c r="EP206" s="251">
        <f>IF(EM206=0,0,IF(EM206&lt;10,1,IF(AND(EM206&gt;=10,EM206&lt;=35),7,LOOKUP(EM206,{50,70,95,120,150,185,240,300},{10,14,19,24,30,37,48,61})*1)))</f>
        <v>0</v>
      </c>
      <c r="EQ206" s="251">
        <f>IF(EP206=0,0,VLOOKUP(EP206,各项系数!$D$142:$E$195,2,0))*1</f>
        <v>0</v>
      </c>
      <c r="ER206" s="69">
        <f t="shared" si="895"/>
        <v>0</v>
      </c>
      <c r="ES206" s="566">
        <f t="shared" si="896"/>
        <v>5</v>
      </c>
      <c r="ET206" s="251">
        <f>VLOOKUP(ES206,各项系数!$D$142:$E$195,2,0)*1</f>
        <v>2.7</v>
      </c>
      <c r="EU206" s="311">
        <f>((各项系数!$F$76/4*$EJ206^2*$EG206*$EH206*1*10^-7)*(1-$H206)*AA206)*(VLOOKUP($EY$9,各项系数!$D$4:$F$143,3,0))*各项系数!$J$4</f>
        <v>0.248421521355148</v>
      </c>
      <c r="EV206" s="312">
        <f>EU206*(VLOOKUP($EY$9,各项系数!$D$4:$F$143,2,0))</f>
        <v>16.2716096487622</v>
      </c>
      <c r="EW206" s="324">
        <f>(IF($EO206=0,0,(各项系数!$F$76/4*$ER206^2*$EO206*$EP206*1*10^-7))*(1-$K206)*$AF206)*(VLOOKUP($EY$9,各项系数!$D$4:$F$143,3,0))*各项系数!$J$4</f>
        <v>0</v>
      </c>
      <c r="EX206" s="325">
        <f>EW206*(VLOOKUP($EY$9,各项系数!$D$4:$F$143,2,0))</f>
        <v>0</v>
      </c>
      <c r="EY206" s="251">
        <f>((各项系数!$F$76/4*$EJ206^2*$EG206*$EH206*1*10^-7)*(1-$H206)*AA206+IF($EO206=0,0,(各项系数!$F$76/4*$ER206^2*$EO206*$EP206*1*10^-7))*(1-$K206)*$AF206)*(VLOOKUP($EY$9,各项系数!$D$4:$F$143,3,0))*各项系数!$J$4</f>
        <v>0.248421521355148</v>
      </c>
      <c r="EZ206" s="123">
        <v>1</v>
      </c>
      <c r="FA206" s="251">
        <f t="shared" si="897"/>
        <v>0.248421521355148</v>
      </c>
      <c r="FB206" s="326">
        <f>FA206*(VLOOKUP($EY$9,各项系数!$D$4:$F$143,2,0))</f>
        <v>16.2716096487622</v>
      </c>
      <c r="FC206" s="327"/>
      <c r="FD206" s="302">
        <f>各项系数!$F$76/4*($MN206^2-MK206^2)*10^-2*(VLOOKUP(L206,各项系数!$D$1:$F$143,3,0))*10^-3*10^2*$EG206*各项系数!$J$4</f>
        <v>0.0406079560141171</v>
      </c>
      <c r="FE206" s="339">
        <f>FD206*VLOOKUP(L206,各项系数!$D$1:$F$143,2,0)</f>
        <v>0.466991494162347</v>
      </c>
      <c r="FF206" s="250">
        <f>各项系数!$F$76/4*($MO206^2-ML206^2)*10^-2*(VLOOKUP(L206,各项系数!$D$1:$F$143,3,0))*10^-3*10^2*$EO206*各项系数!$J$4</f>
        <v>0</v>
      </c>
      <c r="FG206" s="339">
        <f>FF206*VLOOKUP(L206,各项系数!$D$1:$F$143,2,0)</f>
        <v>0</v>
      </c>
      <c r="FH206" s="302">
        <f t="shared" si="1010"/>
        <v>0.0406079560141171</v>
      </c>
      <c r="FI206" s="123">
        <v>1</v>
      </c>
      <c r="FJ206" s="251">
        <f t="shared" si="898"/>
        <v>0.0406079560141171</v>
      </c>
      <c r="FK206" s="339">
        <f>FJ206*VLOOKUP(L206,各项系数!$D$1:$F$143,2,0)</f>
        <v>0.466991494162347</v>
      </c>
      <c r="FL206" s="302"/>
      <c r="FM206" s="123"/>
      <c r="FN206" s="251"/>
      <c r="FO206" s="339"/>
      <c r="FP206" s="364">
        <f t="shared" si="899"/>
        <v>0.0406079560141171</v>
      </c>
      <c r="FQ206" s="364">
        <f t="shared" si="900"/>
        <v>0.466991494162347</v>
      </c>
      <c r="FR206" s="365">
        <f>各项系数!$F$76/4*($MQ206^2-$MN206^2*$EG206-$MO206^2*$EO206)*10^-2</f>
        <v>0.298552717555885</v>
      </c>
      <c r="FS206" s="366">
        <f t="shared" si="1011"/>
        <v>1</v>
      </c>
      <c r="FT206" s="367">
        <f t="shared" si="963"/>
        <v>0.298552717555885</v>
      </c>
      <c r="FU206" s="388">
        <f>$FT206*(VLOOKUP($FT$9,各项系数!$D$1:$F$143,3,0))*10^-3*10^2*各项系数!$J$55</f>
        <v>0.0356471944761727</v>
      </c>
      <c r="FV206" s="389">
        <v>1</v>
      </c>
      <c r="FW206" s="390">
        <f t="shared" si="901"/>
        <v>0.0356471944761727</v>
      </c>
      <c r="FX206" s="367">
        <f>FW206*(VLOOKUP($FT$9,各项系数!$D$1:$F$143,2,0))</f>
        <v>0.106941583428518</v>
      </c>
      <c r="FY206" s="388">
        <f>IF($BK206&lt;&gt;$FY$9,0,各项系数!$F$76/4*($MS206^2-$MQ206^2)*10^-2*(VLOOKUP($FY$9,各项系数!$D$1:$F$143,3,0))*10^-3*10^2)*各项系数!$J$4</f>
        <v>0</v>
      </c>
      <c r="FZ206" s="389">
        <v>1</v>
      </c>
      <c r="GA206" s="390">
        <f t="shared" si="902"/>
        <v>0</v>
      </c>
      <c r="GB206" s="367">
        <f>GA206*(VLOOKUP($FY$9,各项系数!$D$1:$F$143,2,0))</f>
        <v>0</v>
      </c>
      <c r="GC206" s="388">
        <f>IF($BK206&lt;&gt;$GC$9,0,各项系数!$F$76/4*($MS206^2-$MQ206^2)*10^-2*(VLOOKUP($GC$9,各项系数!$D$1:$F$143,3,0))*10^-3*10^2)*各项系数!$J$4</f>
        <v>0.00301969304362922</v>
      </c>
      <c r="GD206" s="389">
        <v>1</v>
      </c>
      <c r="GE206" s="390">
        <f t="shared" si="903"/>
        <v>0.00301969304362922</v>
      </c>
      <c r="GF206" s="367">
        <f>GE206*(VLOOKUP($GC$9,各项系数!$D$1:$F$143,2,0))</f>
        <v>0.0389540402628169</v>
      </c>
      <c r="GG206" s="388">
        <f>IF($BK206&lt;&gt;$GG$9,0,各项系数!$F$76/4*($MS206^2-$MQ206^2)*10^-2*(VLOOKUP($GG$9,各项系数!$D$1:$F$143,3,0))*10^-3*10^2)*各项系数!$J$4</f>
        <v>0</v>
      </c>
      <c r="GH206" s="389">
        <v>1</v>
      </c>
      <c r="GI206" s="390">
        <f t="shared" si="904"/>
        <v>0</v>
      </c>
      <c r="GJ206" s="367">
        <f>GI206*(VLOOKUP($GG$9,各项系数!$D$1:$F$143,2,0))</f>
        <v>0</v>
      </c>
      <c r="GK206" s="388">
        <f>IF($BK206&lt;&gt;$GK$9,0,各项系数!$F$76/4*($MS206^2-$MQ206^2)*10^-2*(VLOOKUP($GK$9,各项系数!$D$1:$F$143,3,0))*10^-3*10^2)*各项系数!$J$4</f>
        <v>0</v>
      </c>
      <c r="GL206" s="389">
        <v>1</v>
      </c>
      <c r="GM206" s="390">
        <f t="shared" si="905"/>
        <v>0</v>
      </c>
      <c r="GN206" s="367">
        <f>GM206*(VLOOKUP($GK$9,各项系数!$D$1:$F$143,2,0))</f>
        <v>0</v>
      </c>
      <c r="GO206" s="390">
        <f t="shared" si="906"/>
        <v>0.00301969304362922</v>
      </c>
      <c r="GP206" s="390">
        <f t="shared" si="907"/>
        <v>0.0389540402628169</v>
      </c>
      <c r="GQ206" s="406">
        <f>各项系数!$F$76/4*($MU206^2-$MS206^2)*10^-2*(VLOOKUP($S206,各项系数!$D$1:$F$143,3,0))*10^-3*10^2*各项系数!$J$4</f>
        <v>0.172721507113088</v>
      </c>
      <c r="GR206" s="389">
        <v>1</v>
      </c>
      <c r="GS206" s="390">
        <f t="shared" si="908"/>
        <v>0.172721507113088</v>
      </c>
      <c r="GT206" s="390">
        <f t="shared" si="909"/>
        <v>1</v>
      </c>
      <c r="GU206" s="390">
        <f>ROUND($GS206*(VLOOKUP($S206,各项系数!$D$1:$F$143,2,0))+$E$3*GS206,GT206)</f>
        <v>1</v>
      </c>
      <c r="GV206" s="406">
        <f>各项系数!$F$76/4*($MT206^2-$MS206^2)*10^-2*(VLOOKUP($GV$9,各项系数!$D$1:$F$143,3,0))*10^-3*10^2*各项系数!$J$4*PI()/4*R206</f>
        <v>0.0157234243405493</v>
      </c>
      <c r="GW206" s="389">
        <v>1</v>
      </c>
      <c r="GX206" s="390">
        <f t="shared" si="910"/>
        <v>0.0157234243405493</v>
      </c>
      <c r="GY206" s="390">
        <f>$GX206*(VLOOKUP($GV$9,各项系数!$D$1:$F$143,2,0))</f>
        <v>1.06133114298708</v>
      </c>
      <c r="GZ206" s="406">
        <f>各项系数!$F$76/4*($MV206^2-$MS206^2)*10^-2*(VLOOKUP($GZ$9,各项系数!$D$1:$F$143,3,0))*10^-3*10^2*各项系数!$J$4</f>
        <v>0.105869370075399</v>
      </c>
      <c r="HA206" s="389">
        <v>1</v>
      </c>
      <c r="HB206" s="390">
        <f t="shared" si="1012"/>
        <v>0.105869370075399</v>
      </c>
      <c r="HC206" s="390">
        <f>HB206*(VLOOKUP($GZ$9,各项系数!$D$1:$F$143,2,0))</f>
        <v>1.79977929128179</v>
      </c>
      <c r="HD206" s="406">
        <f>各项系数!$F$76/4*($MW206^2-$MT206^2)*10^-2*(VLOOKUP($HD$9,各项系数!$D$1:$F$143,3,0))*10^-3*10^2*各项系数!$J$4</f>
        <v>0.107174739522078</v>
      </c>
      <c r="HE206" s="389">
        <v>1</v>
      </c>
      <c r="HF206" s="390">
        <f t="shared" si="1013"/>
        <v>0.107174739522078</v>
      </c>
      <c r="HG206" s="390">
        <f>HF206*(VLOOKUP($HD$9,各项系数!$D$1:$F$143,2,0))</f>
        <v>1.82197057187532</v>
      </c>
      <c r="HH206" s="406">
        <f>各项系数!$F$76/4*($MV206^2-$MS206^2)*10^-2*(VLOOKUP($HH$9,各项系数!$D$1:$F$143,3,0))*10^-3*10^2*各项系数!$J$4</f>
        <v>0.105869370075399</v>
      </c>
      <c r="HI206" s="420">
        <v>1</v>
      </c>
      <c r="HJ206" s="390">
        <f t="shared" si="1014"/>
        <v>0.105869370075399</v>
      </c>
      <c r="HK206" s="390">
        <f>HJ206*(VLOOKUP($HH$9,各项系数!$D$1:$F$143,2,0))</f>
        <v>1.79977929128179</v>
      </c>
      <c r="HL206" s="406">
        <f>各项系数!$F$76/4*($MW206^2-$MT206^2)*10^-2*(VLOOKUP($HL$9,各项系数!$D$1:$F$143,3,0))*10^-3*10^2*各项系数!$J$4</f>
        <v>0.107174739522078</v>
      </c>
      <c r="HM206" s="420">
        <v>1</v>
      </c>
      <c r="HN206" s="390">
        <f t="shared" si="964"/>
        <v>0.107174739522078</v>
      </c>
      <c r="HO206" s="390">
        <f>HN206*(VLOOKUP($HL$9,各项系数!$D$1:$F$143,2,0))</f>
        <v>1.82197057187532</v>
      </c>
      <c r="HP206" s="406">
        <f>各项系数!$F$76/4*($MV206^2-$MS206^2)*10^-2*(VLOOKUP(AN206,各项系数!$D$1:$F$143,3,0))*10^-3*10^2*各项系数!$J$4</f>
        <v>0.107329637248853</v>
      </c>
      <c r="HQ206" s="389">
        <v>1</v>
      </c>
      <c r="HR206" s="390">
        <f t="shared" si="911"/>
        <v>0.107329637248853</v>
      </c>
      <c r="HS206" s="390">
        <f>HR206*(VLOOKUP(AN206,各项系数!$D$1:$F$143,2,0))</f>
        <v>1.07329637248853</v>
      </c>
      <c r="HT206" s="406">
        <f>各项系数!$F$76/4*($MW206^2-$MT206^2)*10^-2*(VLOOKUP(AN206,各项系数!$D$1:$F$143,3,0))*10^-3*10^2*各项系数!$J$4</f>
        <v>0.108653011791348</v>
      </c>
      <c r="HU206" s="389">
        <v>1</v>
      </c>
      <c r="HV206" s="390">
        <f t="shared" si="912"/>
        <v>0.108653011791348</v>
      </c>
      <c r="HW206" s="390">
        <f>HV206*(VLOOKUP(AN206,各项系数!$D$1:$F$143,2,0))</f>
        <v>1.08653011791348</v>
      </c>
      <c r="HX206" s="406">
        <f>各项系数!$F$76/4*($MV206^2-$MS206^2)*10^-2*(VLOOKUP($HX$9,各项系数!$D$1:$F$143,3,0))*10^-3*10^2*各项系数!$J$4</f>
        <v>0.107329637248853</v>
      </c>
      <c r="HY206" s="420">
        <v>1</v>
      </c>
      <c r="HZ206" s="390">
        <f t="shared" si="913"/>
        <v>0.107329637248853</v>
      </c>
      <c r="IA206" s="390">
        <f>HZ206*(VLOOKUP($HX$9,各项系数!$D$1:$F$143,2,0))</f>
        <v>1.18062600973738</v>
      </c>
      <c r="IB206" s="406">
        <f>各项系数!$F$76/4*($MW206^2-$MT206^2)*10^-2*(VLOOKUP($IB$9,各项系数!$D$1:$F$143,3,0))*10^-3*10^2*各项系数!$J$4</f>
        <v>0.108653011791348</v>
      </c>
      <c r="IC206" s="420">
        <v>1</v>
      </c>
      <c r="ID206" s="390">
        <f t="shared" si="914"/>
        <v>0.108653011791348</v>
      </c>
      <c r="IE206" s="390">
        <f>ID206*(VLOOKUP($IB$9,各项系数!$D$1:$F$143,2,0))</f>
        <v>1.19518312970482</v>
      </c>
      <c r="IF206" s="429"/>
      <c r="IG206" s="406">
        <f t="shared" si="1015"/>
        <v>0.0209186261246229</v>
      </c>
      <c r="IH206" s="389">
        <v>1</v>
      </c>
      <c r="II206" s="390">
        <f t="shared" si="915"/>
        <v>0.0209186261246229</v>
      </c>
      <c r="IJ206" s="390">
        <f>II206*(VLOOKUP($IG$8,各项系数!$D$1:$F$143,2,0))</f>
        <v>0.522965653115573</v>
      </c>
      <c r="IK206" s="406">
        <f>(各项系数!$F$76/4*($MX206^2-$MK206^2)*$EG206)*10^-2*(VLOOKUP($IG$8,各项系数!$D$1:$F$143,3,0))*10^-3*10^2*各项系数!$J$4</f>
        <v>0.0209186261246229</v>
      </c>
      <c r="IL206" s="389">
        <f>IK206*(VLOOKUP($IG$8,各项系数!$D$1:$F$143,2,0))</f>
        <v>0.522965653115573</v>
      </c>
      <c r="IM206" s="390">
        <f>(各项系数!$F$76/4*(($MM206+3*$X206)^2-MM206^2)*$EO206)*10^-2*(VLOOKUP($IG$8,各项系数!$D$1:$F$143,3,0))*10^-3*10^2*各项系数!$J$4</f>
        <v>0</v>
      </c>
      <c r="IN206" s="389">
        <f>IM206*(VLOOKUP($IG$8,各项系数!$D$1:$F$143,2,0))</f>
        <v>0</v>
      </c>
      <c r="IO206" s="406">
        <f>各项系数!$F$76/4*($MZ206^2-$MX206^2)*10^-2*(VLOOKUP(L206,各项系数!$D$1:$F$143,3,0))*10^-3*10^2*$ES206*各项系数!$J$4</f>
        <v>0.0478287496487605</v>
      </c>
      <c r="IP206" s="389">
        <v>1</v>
      </c>
      <c r="IQ206" s="390">
        <f t="shared" si="916"/>
        <v>0.0478287496487605</v>
      </c>
      <c r="IR206" s="367">
        <f>IQ206*(VLOOKUP(L206,各项系数!$D$1:$F$143,2,0))</f>
        <v>0.550030620960746</v>
      </c>
      <c r="IS206" s="406">
        <f>IF($L206&lt;&gt;$IS$9,0,各项系数!$F$76/4*($MZ206^2-$MX206^2)*10^-2*各项系数!$F$12*10^-3*10^2)*$ES206*各项系数!$J$4</f>
        <v>0</v>
      </c>
      <c r="IT206" s="389">
        <v>1</v>
      </c>
      <c r="IU206" s="390">
        <f t="shared" si="917"/>
        <v>0</v>
      </c>
      <c r="IV206" s="367">
        <f>IU206*各项系数!$E$12</f>
        <v>0</v>
      </c>
      <c r="IW206" s="388">
        <f t="shared" si="918"/>
        <v>0.0478287496487605</v>
      </c>
      <c r="IX206" s="388">
        <f t="shared" si="919"/>
        <v>0.550030620960746</v>
      </c>
      <c r="IY206" s="447">
        <f>各项系数!$F$76/4*($NB206^2-$MZ206^2*$EG206-$NA206^2*$EO206)*10^-2</f>
        <v>0.39296105673844</v>
      </c>
      <c r="IZ206" s="366">
        <f t="shared" si="697"/>
        <v>1</v>
      </c>
      <c r="JA206" s="367">
        <f t="shared" si="965"/>
        <v>0.39296105673844</v>
      </c>
      <c r="JB206" s="364">
        <f>IF($DE206&lt;&gt;$JB$9,0,$JA206*各项系数!$F$32*10^-3*10^2)*各项系数!$J$4</f>
        <v>0</v>
      </c>
      <c r="JC206" s="123">
        <v>1</v>
      </c>
      <c r="JD206" s="251">
        <f t="shared" si="920"/>
        <v>0</v>
      </c>
      <c r="JE206" s="339">
        <f>JD206*各项系数!$E$32</f>
        <v>0</v>
      </c>
      <c r="JF206" s="364">
        <f>IF($DE206&lt;&gt;$JF$9,0,$JA206*VLOOKUP($JF$9,各项系数!$D$4:$F$540,2,0)*10^-3*10^2)*各项系数!$J$4</f>
        <v>0.195498125727374</v>
      </c>
      <c r="JG206" s="123">
        <v>1</v>
      </c>
      <c r="JH206" s="251">
        <f t="shared" si="966"/>
        <v>0.195498125727374</v>
      </c>
      <c r="JI206" s="339">
        <f>JH206*VLOOKUP($JF$9,各项系数!$D$4:$F$540,3,0)</f>
        <v>0.234597750872849</v>
      </c>
      <c r="JJ206" s="364">
        <f t="shared" si="921"/>
        <v>0.195498125727374</v>
      </c>
      <c r="JK206" s="251">
        <f t="shared" si="922"/>
        <v>0.234597750872849</v>
      </c>
      <c r="JL206" s="364">
        <f>IF($DF206&lt;&gt;$JL$9,0,各项系数!$F$76/4*($NE206^2-$NC206^2)*10^-2*各项系数!$F$39*10^-3*10^2)*各项系数!$J$4</f>
        <v>0.00143370965712481</v>
      </c>
      <c r="JM206" s="123">
        <v>1</v>
      </c>
      <c r="JN206" s="251">
        <f t="shared" si="923"/>
        <v>0.00143370965712481</v>
      </c>
      <c r="JO206" s="339">
        <f>JN206*各项系数!$E$39</f>
        <v>0.0286741931424963</v>
      </c>
      <c r="JP206" s="364">
        <f>IF($DF206&lt;&gt;$JP$9,0,各项系数!$F$76/4*($NE206^2-$NC206^2)*10^-2*各项系数!$F$36*10^-3*10^2)*各项系数!$J$4</f>
        <v>0</v>
      </c>
      <c r="JQ206" s="123">
        <v>1</v>
      </c>
      <c r="JR206" s="251">
        <f t="shared" si="924"/>
        <v>0</v>
      </c>
      <c r="JS206" s="339">
        <f>JR206*各项系数!$E$36</f>
        <v>0</v>
      </c>
      <c r="JT206" s="364">
        <f>IF($DF206&lt;&gt;$JT$9,0,各项系数!$F$76/4*($NE206^2-$NC206^2)*10^-2*各项系数!$F$40*10^-3*10^2)*各项系数!$J$4</f>
        <v>0</v>
      </c>
      <c r="JU206" s="123">
        <v>1</v>
      </c>
      <c r="JV206" s="251">
        <f t="shared" si="925"/>
        <v>0</v>
      </c>
      <c r="JW206" s="339">
        <f>JV206*各项系数!$E$40</f>
        <v>0</v>
      </c>
      <c r="JX206" s="364">
        <f>IF($DF206&lt;&gt;$JX$9,0,各项系数!$F$76/4*($NE206^2-$NC206^2)*10^-2*各项系数!$F$38*10^-3*10^2)*各项系数!$J$4</f>
        <v>0</v>
      </c>
      <c r="JY206" s="123">
        <v>1</v>
      </c>
      <c r="JZ206" s="251">
        <f t="shared" si="926"/>
        <v>0</v>
      </c>
      <c r="KA206" s="339">
        <f>JZ206*各项系数!$E$38</f>
        <v>0</v>
      </c>
      <c r="KB206" s="364">
        <f>IF($DF206&lt;&gt;$KB$9,0,各项系数!$F$76/4*($NE206^2-$NC206^2)*10^-2*各项系数!$F$41*10^-3*10^2)*各项系数!$J$4</f>
        <v>0</v>
      </c>
      <c r="KC206" s="123">
        <v>1</v>
      </c>
      <c r="KD206" s="251">
        <f t="shared" si="927"/>
        <v>0</v>
      </c>
      <c r="KE206" s="339">
        <f>KD206*各项系数!$E$41</f>
        <v>0</v>
      </c>
      <c r="KF206" s="251">
        <f t="shared" si="928"/>
        <v>0.00143370965712481</v>
      </c>
      <c r="KG206" s="251">
        <f t="shared" si="929"/>
        <v>0.0286741931424963</v>
      </c>
      <c r="KH206" s="302">
        <f>各项系数!$F$76/4*($NG206^2-$NE206^2)*10^-2*各项系数!$F$44*10^-3*10^2*各项系数!$J$4*0.75*$U206</f>
        <v>0.592260442024499</v>
      </c>
      <c r="KI206" s="123">
        <v>1</v>
      </c>
      <c r="KJ206" s="251">
        <f t="shared" si="930"/>
        <v>0.592260442024499</v>
      </c>
      <c r="KK206" s="251">
        <f>ROUND(KJ206*各项系数!$E$43,GT206)</f>
        <v>3.4</v>
      </c>
      <c r="KL206" s="302">
        <f>各项系数!$F$76/4*($NF206^2-$NE206^2)*10^-2*各项系数!$F$46*10^-3*10^2*各项系数!$J$4*PI()/4*R206</f>
        <v>0.018075691562785</v>
      </c>
      <c r="KM206" s="123">
        <v>1</v>
      </c>
      <c r="KN206" s="251">
        <f t="shared" si="931"/>
        <v>0.018075691562785</v>
      </c>
      <c r="KO206" s="251">
        <f>KN206*各项系数!$E$46</f>
        <v>1.22010918048799</v>
      </c>
      <c r="KP206" s="302">
        <f>各项系数!$F$76/4*($NH206^2-$NE206^2)*10^-2*(VLOOKUP($KP$9,各项系数!$D$1:$F$143,3,0))*10^-3*10^2*各项系数!$J$4</f>
        <v>0.119608383501689</v>
      </c>
      <c r="KQ206" s="123">
        <v>1</v>
      </c>
      <c r="KR206" s="251">
        <f t="shared" si="1016"/>
        <v>0.119608383501689</v>
      </c>
      <c r="KS206" s="251">
        <f>KR206*(VLOOKUP($KP$9,各项系数!$D$1:$F$143,2,0))</f>
        <v>2.03334251952872</v>
      </c>
      <c r="KT206" s="302">
        <f>各项系数!$F$76/4*($NI206^2-$NF206^2)*10^-2*(VLOOKUP($KT$9,各项系数!$D$1:$F$143,3,0))*10^-3*10^2*各项系数!$J$4</f>
        <v>0.120913752948368</v>
      </c>
      <c r="KU206" s="123">
        <v>1</v>
      </c>
      <c r="KV206" s="251">
        <f t="shared" si="1017"/>
        <v>0.120913752948368</v>
      </c>
      <c r="KW206" s="251">
        <f>KV206*(VLOOKUP($KT$9,各项系数!$D$1:$F$143,2,0))</f>
        <v>2.05553380012225</v>
      </c>
      <c r="KX206" s="251">
        <f>各项系数!$F$76/4*($NH206^2-$NE206^2)*10^-2*(VLOOKUP($KX$9,各项系数!$D$1:$F$143,3,0))*10^-3*10^2*各项系数!$J$4</f>
        <v>0.119608383501689</v>
      </c>
      <c r="KY206" s="479">
        <v>1</v>
      </c>
      <c r="KZ206" s="251">
        <f t="shared" si="1018"/>
        <v>0.119608383501689</v>
      </c>
      <c r="LA206" s="251">
        <f>KZ206*(VLOOKUP($KX$9,各项系数!$D$1:$F$143,2,0))</f>
        <v>2.03334251952872</v>
      </c>
      <c r="LB206" s="251">
        <f>各项系数!$F$76/4*($NI206^2-$NF206^2)*10^-2*(VLOOKUP($LB$9,各项系数!$D$1:$F$143,3,0))*10^-3*10^2*各项系数!$J$4</f>
        <v>0.120913752948368</v>
      </c>
      <c r="LC206" s="479">
        <v>1</v>
      </c>
      <c r="LD206" s="251">
        <f t="shared" si="1019"/>
        <v>0.120913752948368</v>
      </c>
      <c r="LE206" s="251">
        <f>LD206*(VLOOKUP($LB$9,各项系数!$D$1:$F$143,2,0))</f>
        <v>2.05553380012225</v>
      </c>
      <c r="LF206" s="302">
        <f>各项系数!$F$76/4*($NH206^2-$NE206^2)*10^-2*(VLOOKUP(AN206,各项系数!$D$1:$F$143,3,0))*10^-3*10^2*各项系数!$J$4</f>
        <v>0.121258154308609</v>
      </c>
      <c r="LG206" s="123">
        <v>1</v>
      </c>
      <c r="LH206" s="251">
        <f t="shared" si="932"/>
        <v>0.121258154308609</v>
      </c>
      <c r="LI206" s="251">
        <f>LH206*(VLOOKUP(AN206,各项系数!$D$1:$F$143,2,0))</f>
        <v>1.21258154308609</v>
      </c>
      <c r="LJ206" s="302">
        <f>各项系数!$F$76/4*($NI206^2-$NF206^2)*10^-2*(VLOOKUP(AN206,各项系数!$D$1:$F$143,3,0))*10^-3*10^2*各项系数!$J$4</f>
        <v>0.122581528851104</v>
      </c>
      <c r="LK206" s="123">
        <v>1</v>
      </c>
      <c r="LL206" s="251">
        <f t="shared" si="933"/>
        <v>0.122581528851104</v>
      </c>
      <c r="LM206" s="251">
        <f>LL206*(VLOOKUP(AN206,各项系数!$D$1:$F$143,2,0))</f>
        <v>1.22581528851104</v>
      </c>
      <c r="LN206" s="251">
        <f>各项系数!$F$76/4*($NH206^2-$NE206^2)*10^-2*(VLOOKUP($LN$9,各项系数!$D$1:$F$143,3,0))*10^-3*10^2*各项系数!$J$4</f>
        <v>0.121258154308609</v>
      </c>
      <c r="LO206" s="479">
        <v>1</v>
      </c>
      <c r="LP206" s="251">
        <f t="shared" si="934"/>
        <v>0.121258154308609</v>
      </c>
      <c r="LQ206" s="251">
        <f>LP206*(VLOOKUP($LN$9,各项系数!$D$1:$F$143,2,0))</f>
        <v>1.3338396973947</v>
      </c>
      <c r="LR206" s="251">
        <f>各项系数!$F$76/4*($NI206^2-$NF206^2)*10^-2*(VLOOKUP($LR$9,各项系数!$D$1:$F$143,3,0))*10^-3*10^2*各项系数!$J$4</f>
        <v>0.122581528851104</v>
      </c>
      <c r="LS206" s="479">
        <v>1</v>
      </c>
      <c r="LT206" s="251">
        <f t="shared" si="935"/>
        <v>0.122581528851104</v>
      </c>
      <c r="LU206" s="251">
        <f>LT206*(VLOOKUP($LR$9,各项系数!$D$1:$F$143,2,0))</f>
        <v>1.34839681736214</v>
      </c>
      <c r="LV206" s="499">
        <f t="shared" si="1020"/>
        <v>28.08434991</v>
      </c>
      <c r="LW206" s="499">
        <f t="shared" si="1021"/>
        <v>28.08434991</v>
      </c>
      <c r="LX206" s="499">
        <f t="shared" si="1022"/>
        <v>5.97980809839174</v>
      </c>
      <c r="LY206" s="515">
        <f t="shared" si="1023"/>
        <v>0</v>
      </c>
      <c r="LZ206" s="516">
        <f t="shared" si="967"/>
        <v>1</v>
      </c>
      <c r="MA206" s="517">
        <f t="shared" si="968"/>
        <v>28.08434991</v>
      </c>
      <c r="MB206" s="517">
        <f t="shared" si="1024"/>
        <v>2.67425148</v>
      </c>
      <c r="MC206" s="499">
        <f t="shared" si="1025"/>
        <v>0</v>
      </c>
      <c r="MD206" s="499">
        <f t="shared" si="1026"/>
        <v>0</v>
      </c>
      <c r="ME206" s="499">
        <f t="shared" si="1027"/>
        <v>0</v>
      </c>
      <c r="MF206" s="499">
        <f t="shared" si="1028"/>
        <v>0</v>
      </c>
      <c r="MG206" s="516">
        <f t="shared" si="1029"/>
        <v>1</v>
      </c>
      <c r="MH206" s="517">
        <f t="shared" si="969"/>
        <v>0</v>
      </c>
      <c r="MI206" s="517">
        <f t="shared" si="1030"/>
        <v>0</v>
      </c>
      <c r="MJ206" s="251">
        <f t="shared" si="970"/>
        <v>2.67425148</v>
      </c>
      <c r="MK206" s="251">
        <f t="shared" si="1031"/>
        <v>2.67425148</v>
      </c>
      <c r="ML206" s="251">
        <f t="shared" si="936"/>
        <v>0</v>
      </c>
      <c r="MM206" s="251">
        <f t="shared" si="971"/>
        <v>0</v>
      </c>
      <c r="MN206" s="251">
        <f t="shared" si="972"/>
        <v>4.07425148</v>
      </c>
      <c r="MO206" s="251">
        <f t="shared" si="1032"/>
        <v>0</v>
      </c>
      <c r="MP206" s="251">
        <f t="shared" si="1033"/>
        <v>11.000479</v>
      </c>
      <c r="MQ206" s="251">
        <f t="shared" si="937"/>
        <v>11.000479</v>
      </c>
      <c r="MR206" s="314">
        <f t="shared" si="1034"/>
        <v>11.000479</v>
      </c>
      <c r="MS206" s="530">
        <f t="shared" si="973"/>
        <v>11.176479</v>
      </c>
      <c r="MT206" s="530">
        <f t="shared" si="974"/>
        <v>11.336479</v>
      </c>
      <c r="MU206" s="530">
        <f t="shared" si="975"/>
        <v>12.376479</v>
      </c>
      <c r="MV206" s="530">
        <f t="shared" si="976"/>
        <v>14.776479</v>
      </c>
      <c r="MW206" s="530">
        <f t="shared" si="977"/>
        <v>14.936479</v>
      </c>
      <c r="MX206" s="326">
        <f t="shared" si="978"/>
        <v>3.27425148</v>
      </c>
      <c r="MY206" s="326">
        <f t="shared" si="979"/>
        <v>0</v>
      </c>
      <c r="MZ206" s="251">
        <f t="shared" si="980"/>
        <v>4.67425148</v>
      </c>
      <c r="NA206" s="251">
        <f t="shared" si="981"/>
        <v>0</v>
      </c>
      <c r="NB206" s="251">
        <f t="shared" si="1035"/>
        <v>12.620479</v>
      </c>
      <c r="NC206" s="326">
        <f t="shared" si="938"/>
        <v>12.620479</v>
      </c>
      <c r="ND206" s="314">
        <f t="shared" si="1036"/>
        <v>12.620479</v>
      </c>
      <c r="NE206" s="537">
        <f t="shared" si="1037"/>
        <v>12.860479</v>
      </c>
      <c r="NF206" s="530">
        <f t="shared" si="982"/>
        <v>13.020479</v>
      </c>
      <c r="NG206" s="538">
        <f t="shared" si="983"/>
        <v>14.060479</v>
      </c>
      <c r="NH206" s="326">
        <f t="shared" si="984"/>
        <v>16.460479</v>
      </c>
      <c r="NI206" s="530">
        <f t="shared" si="985"/>
        <v>16.620479</v>
      </c>
      <c r="NK206" s="539">
        <f t="shared" si="986"/>
        <v>0.43502600213792</v>
      </c>
      <c r="NL206" s="539">
        <f t="shared" si="987"/>
        <v>17.9577931391044</v>
      </c>
      <c r="NM206" s="539">
        <f t="shared" si="988"/>
        <v>0.43502600213792</v>
      </c>
      <c r="NN206" s="539">
        <f t="shared" si="989"/>
        <v>18.0651227763533</v>
      </c>
      <c r="NO206" s="539">
        <f t="shared" si="990"/>
        <v>0.635358886821639</v>
      </c>
      <c r="NP206" s="539">
        <f t="shared" si="991"/>
        <v>18.82045940994</v>
      </c>
      <c r="NQ206" s="539">
        <f t="shared" si="992"/>
        <v>0.635358886821639</v>
      </c>
      <c r="NR206" s="539">
        <f t="shared" si="993"/>
        <v>18.9417175642486</v>
      </c>
      <c r="NS206" s="539">
        <f t="shared" si="994"/>
        <v>0.450749426478469</v>
      </c>
      <c r="NT206" s="539">
        <f t="shared" si="995"/>
        <v>0.450749426478469</v>
      </c>
      <c r="NU206" s="539">
        <f t="shared" si="996"/>
        <v>0.653434578384424</v>
      </c>
      <c r="NV206" s="539">
        <f t="shared" si="997"/>
        <v>0.653434578384424</v>
      </c>
      <c r="NW206">
        <f t="shared" si="998"/>
        <v>0.607747509251008</v>
      </c>
      <c r="NX206">
        <f>各项系数!$M$9*NK206</f>
        <v>0.130507800641376</v>
      </c>
      <c r="NY206">
        <f t="shared" si="999"/>
        <v>0.450749426478469</v>
      </c>
    </row>
    <row r="207" customHeight="1" spans="1:389">
      <c r="A207" s="85"/>
      <c r="B207" s="86"/>
      <c r="C207" s="218"/>
      <c r="D207" s="85" t="s">
        <v>301</v>
      </c>
      <c r="E207" s="77">
        <f t="shared" si="885"/>
        <v>10.50956721</v>
      </c>
      <c r="F207" s="559">
        <f>$F$17</f>
        <v>172.412400708262</v>
      </c>
      <c r="G207" s="23"/>
      <c r="H207" s="23"/>
      <c r="I207" s="174">
        <f>$F$16</f>
        <v>134.922667214547</v>
      </c>
      <c r="J207" s="23"/>
      <c r="K207" s="23"/>
      <c r="L207" s="118" t="s">
        <v>469</v>
      </c>
      <c r="M207" s="124">
        <f t="shared" si="940"/>
        <v>0.7</v>
      </c>
      <c r="N207" s="124">
        <f t="shared" ref="N207:N214" si="1038">$M$182</f>
        <v>0.7</v>
      </c>
      <c r="O207" s="69">
        <f t="shared" si="939"/>
        <v>0.08</v>
      </c>
      <c r="P207" s="120">
        <v>0.1</v>
      </c>
      <c r="Q207" s="162">
        <f t="shared" si="941"/>
        <v>0.1</v>
      </c>
      <c r="R207" s="560">
        <v>0.8</v>
      </c>
      <c r="S207" s="171" t="str">
        <f>各项系数!$D$43</f>
        <v>钢带</v>
      </c>
      <c r="T207" s="123">
        <v>0.2</v>
      </c>
      <c r="U207" s="78">
        <v>4</v>
      </c>
      <c r="V207" s="172"/>
      <c r="W207" s="170">
        <f>$W$182</f>
        <v>1.5</v>
      </c>
      <c r="X207" s="164">
        <f t="shared" si="942"/>
        <v>0.2</v>
      </c>
      <c r="Y207" s="219"/>
      <c r="Z207" s="220"/>
      <c r="AA207" s="217">
        <v>1</v>
      </c>
      <c r="AB207" s="186">
        <f>PI()*EJ207*EJ207/4*EH207*(1-H207)*AA207*各项系数!$F$5*各项系数!$J$4*10^-7</f>
        <v>0.0206515056889029</v>
      </c>
      <c r="AC207" s="186">
        <f t="shared" si="886"/>
        <v>172.412400708262</v>
      </c>
      <c r="AD207" s="186">
        <f t="shared" si="943"/>
        <v>2.3346774015073</v>
      </c>
      <c r="AE207" s="186">
        <f>POWER(4*EU207/PI()/EG207/10^-7/EH207/(1-H207)/各项系数!$F$5/各项系数!$J$4,0.5)</f>
        <v>172.412400708262</v>
      </c>
      <c r="AF207" s="218">
        <f>$AA$165</f>
        <v>1</v>
      </c>
      <c r="AG207" s="85">
        <f>IF(EM207=0,0,PI()*ER207*ER207/4*EP207*(1-K207)*(1+AF207)*各项系数!$F$5*各项系数!$J$4*10^-7)</f>
        <v>0.0252938276288876</v>
      </c>
      <c r="AH207" s="85">
        <f t="shared" si="887"/>
        <v>134.922667214547</v>
      </c>
      <c r="AI207" s="85">
        <f t="shared" si="1000"/>
        <v>1.42974872274124</v>
      </c>
      <c r="AJ207" s="85">
        <f>IF(OR(EP207="",EP207=0),0,POWER(4*EW207/PI()/EO207/10^-7/EP207/(1-K207)/各项系数!$F$5/各项系数!$J$4,0.5))</f>
        <v>134.922667214547</v>
      </c>
      <c r="AK207" s="85">
        <f t="shared" si="944"/>
        <v>0.0746014308811525</v>
      </c>
      <c r="AL207" s="85">
        <f t="shared" si="888"/>
        <v>6.1238792348201</v>
      </c>
      <c r="AM207" s="250">
        <f t="shared" si="889"/>
        <v>2.5</v>
      </c>
      <c r="AN207" s="118" t="s">
        <v>486</v>
      </c>
      <c r="AO207" s="259">
        <f>AP207+各项系数!$M$9*$NK207</f>
        <v>6.00380317139225</v>
      </c>
      <c r="AP207" s="259">
        <f>AQ207*(1+$BI207+(VLOOKUP($AM207,$A$12:$B$323,2,0))+各项系数!$J$6+各项系数!$M$5)*(1+$E$2)</f>
        <v>5.94920960891537</v>
      </c>
      <c r="AQ207" s="260">
        <f>AR207+各项系数!$L$9*$NK207</f>
        <v>6.01051688110261</v>
      </c>
      <c r="AR207" s="260">
        <f>AS207*(1+$BJ207+各项系数!$J$5+各项系数!$L$5)</f>
        <v>5.95592331862573</v>
      </c>
      <c r="AS207" s="260">
        <f t="shared" si="1001"/>
        <v>5.83914050845659</v>
      </c>
      <c r="AT207" s="259">
        <f>AU207+各项系数!$M$9*$NM207</f>
        <v>6.42816747383274</v>
      </c>
      <c r="AU207" s="259">
        <f>AV207*(1+$BI207+(VLOOKUP($AM207,$A$12:$B$323,2,0))+各项系数!$J$6+各项系数!$M$5)*(1+$E$2)</f>
        <v>6.37357391135586</v>
      </c>
      <c r="AV207" s="260">
        <f>AW207+各项系数!$L$9*$NM207</f>
        <v>6.43925430526961</v>
      </c>
      <c r="AW207" s="260">
        <f>AX207*(1+$BJ207+各项系数!$J$5+各项系数!$L$5)</f>
        <v>6.38466074279272</v>
      </c>
      <c r="AX207" s="260">
        <f t="shared" si="1002"/>
        <v>6.25947131646345</v>
      </c>
      <c r="AY207" s="259">
        <f>AZ207+各项系数!$M$9*$NS207</f>
        <v>6.74372411069322</v>
      </c>
      <c r="AZ207" s="259">
        <f>BA207*(1+$BI207+(VLOOKUP($AM207,$A$12:$B$214,2,0))+各项系数!$J$6+各项系数!$M$5)*(1+$E$2)</f>
        <v>6.6859501402272</v>
      </c>
      <c r="BA207" s="260">
        <f>BB207+各项系数!$L$9*$NS207</f>
        <v>6.75484960621055</v>
      </c>
      <c r="BB207" s="260">
        <f>BC207*(1+$BJ207+各项系数!$J$5+各项系数!$L$5)</f>
        <v>6.69707563574452</v>
      </c>
      <c r="BC207" s="262">
        <f t="shared" si="1003"/>
        <v>6.56576042720051</v>
      </c>
      <c r="BD207" s="259">
        <f>BE207+各项系数!$M$9*$NS207</f>
        <v>7.1756246561971</v>
      </c>
      <c r="BE207" s="259">
        <f>BF207*(1+$BI207+(VLOOKUP($AM207,$A$12:$B$214,2,0))+各项系数!$J$6+各项系数!$M$5)*(1+$E$2)</f>
        <v>7.11785068573108</v>
      </c>
      <c r="BF207" s="260">
        <f>BG207+各项系数!$L$9*$NS207</f>
        <v>7.19120093527084</v>
      </c>
      <c r="BG207" s="260">
        <f>BH207*(1+$BJ207+各项系数!$J$5+各项系数!$L$5)</f>
        <v>7.13342696480482</v>
      </c>
      <c r="BH207" s="262">
        <f t="shared" si="1004"/>
        <v>6.99355584784786</v>
      </c>
      <c r="BI207" s="277">
        <v>0.01</v>
      </c>
      <c r="BJ207" s="272">
        <f>$BJ$182</f>
        <v>0</v>
      </c>
      <c r="BK207" s="123" t="s">
        <v>514</v>
      </c>
      <c r="BL207" s="259">
        <f>BM207+各项系数!$M$9*$NM207</f>
        <v>6.12490866887499</v>
      </c>
      <c r="BM207" s="259">
        <f>BN207*(1+$CF207+(VLOOKUP($AM207,$A$12:$B$323,2,0))+各项系数!$J$6+各项系数!$M$5)*(1+$E$2)</f>
        <v>6.07031510639811</v>
      </c>
      <c r="BN207" s="260">
        <f>BO207+各项系数!$L$9*$NM207</f>
        <v>6.13287038431815</v>
      </c>
      <c r="BO207" s="260">
        <f>BP207*(1+$CG207+各项系数!$J$5+各项系数!$L$5)</f>
        <v>6.07827682184127</v>
      </c>
      <c r="BP207" s="260">
        <f t="shared" si="1005"/>
        <v>5.9012396328556</v>
      </c>
      <c r="BQ207" s="259">
        <f>BR207+各项系数!$M$9*$NM207</f>
        <v>6.4901237209231</v>
      </c>
      <c r="BR207" s="259">
        <f>BS207*(1+$CF207+(VLOOKUP($AM207,$A$12:$B$323,2,0))+各项系数!$J$6+各项系数!$M$5)*(1+$E$2)</f>
        <v>6.43553015844621</v>
      </c>
      <c r="BS207" s="260">
        <f>BT207+各项系数!$L$9*$NM207</f>
        <v>6.50184901843424</v>
      </c>
      <c r="BT207" s="260">
        <f>BU207*(1+$CG207+各项系数!$J$5+各项系数!$L$5)</f>
        <v>6.44725545595736</v>
      </c>
      <c r="BU207" s="260">
        <f t="shared" si="1006"/>
        <v>6.25947131646345</v>
      </c>
      <c r="BV207" s="259">
        <f>BW207+各项系数!$M$9*$NT207</f>
        <v>6.8241404429454</v>
      </c>
      <c r="BW207" s="259">
        <f>BX207*(1+$CF207+(VLOOKUP($AM207,$A$12:$B$214,2,0))+各项系数!$J$6+各项系数!$M$5)*(1+$E$2)</f>
        <v>6.76636647247938</v>
      </c>
      <c r="BX207" s="260">
        <f>BY207+各项系数!$L$9*$NT$12</f>
        <v>6.83609463778478</v>
      </c>
      <c r="BY207" s="260">
        <f>BZ207*(1+$CG207+各项系数!$J$5+各项系数!$L$5)</f>
        <v>6.82783123462981</v>
      </c>
      <c r="BZ207" s="262">
        <f t="shared" si="945"/>
        <v>6.62896236371826</v>
      </c>
      <c r="CA207" s="259">
        <f>CB207+各项系数!$M$9*$NT207</f>
        <v>7.19584131245462</v>
      </c>
      <c r="CB207" s="259">
        <f>CC207*(1+$CF207+(VLOOKUP($AM207,$A$12:$B$214,2,0))+各项系数!$J$6+各项系数!$M$5)*(1+$E$2)</f>
        <v>7.1380673419886</v>
      </c>
      <c r="CC207" s="260">
        <f>CD207+各项系数!$L$9*$NT$12</f>
        <v>7.21162592643827</v>
      </c>
      <c r="CD207" s="260">
        <f>CE207*(1+$CG207+各项系数!$J$5+各项系数!$L$5)</f>
        <v>7.20336252328329</v>
      </c>
      <c r="CE207" s="262">
        <f t="shared" si="1007"/>
        <v>6.99355584784786</v>
      </c>
      <c r="CF207" s="277">
        <f>BI207+$CF$2</f>
        <v>0.01</v>
      </c>
      <c r="CG207" s="277">
        <f t="shared" si="946"/>
        <v>0.01</v>
      </c>
      <c r="CH207" s="123"/>
      <c r="CI207" s="259">
        <f>CJ207+各项系数!$M$9*$NO207</f>
        <v>6.6385746911401</v>
      </c>
      <c r="CJ207" s="259">
        <f>CK207*(1+$DC207+(VLOOKUP($AM207,$A$12:$B$323,2,0))+各项系数!$J$6+各项系数!$M$5)*(1+$E$2)+各项系数!$M$9*$NK207</f>
        <v>6.55288326631604</v>
      </c>
      <c r="CK207" s="260">
        <f>CL207+各项系数!$L$9*$NO207</f>
        <v>6.56525530798056</v>
      </c>
      <c r="CL207" s="260">
        <f>CM207*(1+$DD207+各项系数!$J$5+各项系数!$L$5)</f>
        <v>6.47956388315649</v>
      </c>
      <c r="CM207" s="260">
        <f t="shared" si="947"/>
        <v>6.35251361093774</v>
      </c>
      <c r="CN207" s="259">
        <f>CO207+各项系数!$M$9*$NO207</f>
        <v>6.95744484539204</v>
      </c>
      <c r="CO207" s="259">
        <f>CP207*(1+$DC207+(VLOOKUP($AM207,$A$12:$B$323,2,0))+各项系数!$J$6+各项系数!$M$5)*(1+$E$2)+各项系数!$M$9*$NK207</f>
        <v>6.87175342056797</v>
      </c>
      <c r="CP207" s="260">
        <f>CQ207+各项系数!$L$9*$NO207</f>
        <v>6.88741145493139</v>
      </c>
      <c r="CQ207" s="260">
        <f>CR207*(1+$DD207+各项系数!$J$5+各项系数!$L$5)</f>
        <v>6.80172003010733</v>
      </c>
      <c r="CR207" s="260">
        <f t="shared" si="948"/>
        <v>6.66835297069346</v>
      </c>
      <c r="CS207" s="259">
        <f>CT207+各项系数!$M$9*$NU207</f>
        <v>7.46947572845097</v>
      </c>
      <c r="CT207" s="259">
        <f t="shared" si="949"/>
        <v>7.37996861586777</v>
      </c>
      <c r="CU207" s="260">
        <f>CV207+各项系数!$L$9*$NU207</f>
        <v>7.45602002007251</v>
      </c>
      <c r="CV207" s="260">
        <f>CW207*(1+$DD207+各项系数!$J$5+各项系数!$L$5)</f>
        <v>7.36651290748931</v>
      </c>
      <c r="CW207" s="262">
        <f t="shared" si="950"/>
        <v>7.2220714779307</v>
      </c>
      <c r="CX207" s="259">
        <f>CY207+各项系数!$M$9*$NU207</f>
        <v>7.97278217698043</v>
      </c>
      <c r="CY207" s="259">
        <f t="shared" si="951"/>
        <v>7.88327506439724</v>
      </c>
      <c r="CZ207" s="260">
        <f>DA207+各项系数!$L$9*$NU207</f>
        <v>7.96451309799681</v>
      </c>
      <c r="DA207" s="260">
        <f>DB207*(1+$DD207+各项系数!$J$5+各项系数!$L$5)</f>
        <v>7.87500598541361</v>
      </c>
      <c r="DB207" s="262">
        <f t="shared" si="952"/>
        <v>7.72059410334667</v>
      </c>
      <c r="DC207" s="277">
        <f t="shared" si="827"/>
        <v>0.01</v>
      </c>
      <c r="DD207" s="277">
        <f t="shared" si="953"/>
        <v>0</v>
      </c>
      <c r="DE207" s="69" t="s">
        <v>498</v>
      </c>
      <c r="DF207" s="69" t="s">
        <v>513</v>
      </c>
      <c r="DG207" s="259">
        <f>DH207+各项系数!$M$9*$NQ207</f>
        <v>6.77541439604554</v>
      </c>
      <c r="DH207" s="259">
        <f>DI207*(1+$EA207+(VLOOKUP($AM207,$A$12:$B$323,2,0))+各项系数!$J$6+各项系数!$M$5)*(1+$E$2)+各项系数!$M$9*$NK207</f>
        <v>6.68972297122147</v>
      </c>
      <c r="DI207" s="260">
        <f>DJ207+各项系数!$L$9*$NQ207</f>
        <v>6.70350516139077</v>
      </c>
      <c r="DJ207" s="260">
        <f>DK207*(1+$EB207+各项系数!$J$5+各项系数!$L$5)</f>
        <v>6.61781373656671</v>
      </c>
      <c r="DK207" s="260">
        <f t="shared" si="954"/>
        <v>6.42506188016186</v>
      </c>
      <c r="DL207" s="259">
        <f>DM207+各项系数!$M$9*$NQ207</f>
        <v>7.2020825685377</v>
      </c>
      <c r="DM207" s="259">
        <f>DN207*(1+$EA207+(VLOOKUP($AM207,$A$12:$B$323,2,0))+各项系数!$J$6+各项系数!$M$5)*(1+$E$2)+各项系数!$M$9*$NK207</f>
        <v>7.11639114371363</v>
      </c>
      <c r="DN207" s="260">
        <f>DO207+各项系数!$L$9*$NQ207</f>
        <v>7.13457019724869</v>
      </c>
      <c r="DO207" s="260">
        <f>DP207*(1+$EB207+各项系数!$J$5+各项系数!$L$5)</f>
        <v>7.04887877242462</v>
      </c>
      <c r="DP207" s="260">
        <f t="shared" si="955"/>
        <v>6.84357162371323</v>
      </c>
      <c r="DQ207" s="259">
        <f>DR207+各项系数!$M$9*$NV207</f>
        <v>7.61604662746209</v>
      </c>
      <c r="DR207" s="259">
        <f t="shared" si="956"/>
        <v>7.52653951487889</v>
      </c>
      <c r="DS207" s="260">
        <f>DT207+各项系数!$L$9*$NV207</f>
        <v>7.60410134863497</v>
      </c>
      <c r="DT207" s="260">
        <f>DU207*(1+$EB207+各项系数!$J$5+各项系数!$L$5)</f>
        <v>7.51459423605177</v>
      </c>
      <c r="DU207" s="262">
        <f t="shared" si="957"/>
        <v>7.29572255927356</v>
      </c>
      <c r="DV207" s="259">
        <f>DW207+各项系数!$M$9*$NV207</f>
        <v>7.7078460008412</v>
      </c>
      <c r="DW207" s="259">
        <f t="shared" si="958"/>
        <v>7.618338888258</v>
      </c>
      <c r="DX207" s="260">
        <f>DY207+各项系数!$L$9*$NV207</f>
        <v>7.69684672485149</v>
      </c>
      <c r="DY207" s="260">
        <f>DZ207*(1+$EB207+各项系数!$J$5+各项系数!$L$5)</f>
        <v>7.60733961226829</v>
      </c>
      <c r="DZ207" s="262">
        <f t="shared" si="959"/>
        <v>7.38576661385271</v>
      </c>
      <c r="EA207" s="277">
        <f t="shared" si="826"/>
        <v>0.01</v>
      </c>
      <c r="EB207" s="277">
        <f t="shared" si="960"/>
        <v>0.01</v>
      </c>
      <c r="EC207" s="302" t="str">
        <f t="shared" si="1008"/>
        <v>3+1</v>
      </c>
      <c r="ED207" s="302" t="str">
        <f t="shared" si="890"/>
        <v>3*2.5</v>
      </c>
      <c r="EE207" s="251">
        <f t="shared" si="891"/>
        <v>2.5</v>
      </c>
      <c r="EF207" s="251">
        <f>LOOKUP(EH207,{1,7,10,14,19,24,30,37,48,61},{1,"1+6","2+8","4+10","1+6+12","2+8+14","4+10+16","1+6+12+18","3+9+15+21","1+6+12+18+24"})</f>
        <v>1</v>
      </c>
      <c r="EG207" s="250">
        <f t="shared" si="961"/>
        <v>3</v>
      </c>
      <c r="EH207" s="260">
        <f>VLOOKUP(EE207,各项系数!$B$87:$C$124,2,0)</f>
        <v>1</v>
      </c>
      <c r="EI207" s="250">
        <f>IF(EH207=0,0,VLOOKUP(EH207,各项系数!$D$142:$E$195,2,0))*1</f>
        <v>1</v>
      </c>
      <c r="EJ207" s="305">
        <f t="shared" si="1009"/>
        <v>172.412400708262</v>
      </c>
      <c r="EK207" s="251" t="str">
        <f t="shared" si="892"/>
        <v>1*1.5</v>
      </c>
      <c r="EL207" s="251" t="str">
        <f t="shared" si="962"/>
        <v>1.5</v>
      </c>
      <c r="EM207" s="251">
        <f t="shared" si="893"/>
        <v>1.5</v>
      </c>
      <c r="EN207" s="251">
        <f>IF(EP207=0,0,LOOKUP(EP207,{1,7,10,14,19,24,30,37,48,61},{1,"1+6","2+8","4+10","1+6+12","2+8+14","4+10+16","1+6+12+18","3+9+15+21","1+6+12+18+24"}))</f>
        <v>1</v>
      </c>
      <c r="EO207" s="251" t="str">
        <f t="shared" si="894"/>
        <v>1</v>
      </c>
      <c r="EP207" s="251">
        <f>IF(EM207=0,0,IF(EM207&lt;10,1,IF(AND(EM207&gt;=10,EM207&lt;=35),7,LOOKUP(EM207,{50,70,95,120,150,185,240,300},{10,14,19,24,30,37,48,61})*1)))</f>
        <v>1</v>
      </c>
      <c r="EQ207" s="251">
        <f>IF(EP207=0,0,VLOOKUP(EP207,各项系数!$D$142:$E$195,2,0))*1</f>
        <v>1</v>
      </c>
      <c r="ER207" s="69">
        <f t="shared" si="895"/>
        <v>134.922667214547</v>
      </c>
      <c r="ES207" s="566">
        <f t="shared" si="896"/>
        <v>4</v>
      </c>
      <c r="ET207" s="251">
        <f>VLOOKUP(ES207,各项系数!$D$142:$E$195,2,0)*1</f>
        <v>2.42</v>
      </c>
      <c r="EU207" s="311">
        <f>((各项系数!$F$76/4*$EJ207^2*$EG207*$EH207*1*10^-7)*(1-$H207)*AA207)*(VLOOKUP($EY$9,各项系数!$D$4:$F$143,3,0))*各项系数!$J$4</f>
        <v>0.0619545170667087</v>
      </c>
      <c r="EV207" s="312">
        <f>EU207*(VLOOKUP($EY$9,各项系数!$D$4:$F$143,2,0))</f>
        <v>4.05802086786942</v>
      </c>
      <c r="EW207" s="324">
        <f>(IF($EO207=0,0,(各项系数!$F$76/4*$ER207^2*$EO207*$EP207*1*10^-7))*(1-$K207)*$AF207)*(VLOOKUP($EY$9,各项系数!$D$4:$F$143,3,0))*各项系数!$J$4</f>
        <v>0.0126469138144438</v>
      </c>
      <c r="EX207" s="325">
        <f>EW207*(VLOOKUP($EY$9,各项系数!$D$4:$F$143,2,0))</f>
        <v>0.828372854846068</v>
      </c>
      <c r="EY207" s="251">
        <f>((各项系数!$F$76/4*$EJ207^2*$EG207*$EH207*1*10^-7)*(1-$H207)*AA207+IF($EO207=0,0,(各项系数!$F$76/4*$ER207^2*$EO207*$EP207*1*10^-7))*(1-$K207)*$AF207)*(VLOOKUP($EY$9,各项系数!$D$4:$F$143,3,0))*各项系数!$J$4</f>
        <v>0.0746014308811525</v>
      </c>
      <c r="EZ207" s="123">
        <v>1</v>
      </c>
      <c r="FA207" s="251">
        <f t="shared" si="897"/>
        <v>0.0746014308811525</v>
      </c>
      <c r="FB207" s="326">
        <f>FA207*(VLOOKUP($EY$9,各项系数!$D$4:$F$143,2,0))</f>
        <v>4.88639372271549</v>
      </c>
      <c r="FC207" s="327"/>
      <c r="FD207" s="302">
        <f>各项系数!$F$76/4*($MN207^2-MK207^2)*10^-2*(VLOOKUP(L207,各项系数!$D$1:$F$143,3,0))*10^-3*10^2*$EG207*各项系数!$J$4</f>
        <v>0.0175040992209944</v>
      </c>
      <c r="FE207" s="339">
        <f>FD207*VLOOKUP(L207,各项系数!$D$1:$F$143,2,0)</f>
        <v>0.201297141041435</v>
      </c>
      <c r="FF207" s="250">
        <f>各项系数!$F$76/4*($MO207^2-ML207^2)*10^-2*(VLOOKUP(L207,各项系数!$D$1:$F$143,3,0))*10^-3*10^2*$EO207*各项系数!$J$4</f>
        <v>0.00493234763060971</v>
      </c>
      <c r="FG207" s="339">
        <f>FF207*VLOOKUP(L207,各项系数!$D$1:$F$143,2,0)</f>
        <v>0.0567219977520117</v>
      </c>
      <c r="FH207" s="302">
        <f t="shared" si="1010"/>
        <v>0.0224364468516041</v>
      </c>
      <c r="FI207" s="123">
        <v>1</v>
      </c>
      <c r="FJ207" s="251">
        <f t="shared" si="898"/>
        <v>0.0224364468516041</v>
      </c>
      <c r="FK207" s="339">
        <f>FJ207*VLOOKUP(L207,各项系数!$D$1:$F$143,2,0)</f>
        <v>0.258019138793447</v>
      </c>
      <c r="FL207" s="302"/>
      <c r="FM207" s="123"/>
      <c r="FN207" s="251"/>
      <c r="FO207" s="339"/>
      <c r="FP207" s="364">
        <f t="shared" si="899"/>
        <v>0.0224364468516041</v>
      </c>
      <c r="FQ207" s="364">
        <f t="shared" si="900"/>
        <v>0.258019138793447</v>
      </c>
      <c r="FR207" s="365">
        <f>各项系数!$F$76/4*($MQ207^2-$MN207^2*$EG207-$MO207^2*$EO207)*10^-2</f>
        <v>0.133066148599804</v>
      </c>
      <c r="FS207" s="366">
        <f t="shared" si="1011"/>
        <v>1</v>
      </c>
      <c r="FT207" s="367">
        <f t="shared" si="963"/>
        <v>0.133066148599804</v>
      </c>
      <c r="FU207" s="388">
        <f>$FT207*(VLOOKUP($FT$9,各项系数!$D$1:$F$143,3,0))*10^-3*10^2*各项系数!$J$55</f>
        <v>0.0158880981428166</v>
      </c>
      <c r="FV207" s="389">
        <v>1</v>
      </c>
      <c r="FW207" s="390">
        <f t="shared" si="901"/>
        <v>0.0158880981428166</v>
      </c>
      <c r="FX207" s="367">
        <f>FW207*(VLOOKUP($FT$9,各项系数!$D$1:$F$143,2,0))</f>
        <v>0.0476642944284498</v>
      </c>
      <c r="FY207" s="388">
        <f>IF($BK207&lt;&gt;$FY$9,0,各项系数!$F$76/4*($MS207^2-$MQ207^2)*10^-2*(VLOOKUP($FY$9,各项系数!$D$1:$F$143,3,0))*10^-3*10^2)*各项系数!$J$4</f>
        <v>0</v>
      </c>
      <c r="FZ207" s="389">
        <v>1</v>
      </c>
      <c r="GA207" s="390">
        <f t="shared" si="902"/>
        <v>0</v>
      </c>
      <c r="GB207" s="367">
        <f>GA207*(VLOOKUP($FY$9,各项系数!$D$1:$F$143,2,0))</f>
        <v>0</v>
      </c>
      <c r="GC207" s="388">
        <f>IF($BK207&lt;&gt;$GC$9,0,各项系数!$F$76/4*($MS207^2-$MQ207^2)*10^-2*(VLOOKUP($GC$9,各项系数!$D$1:$F$143,3,0))*10^-3*10^2)*各项系数!$J$4</f>
        <v>0.00202109368443261</v>
      </c>
      <c r="GD207" s="389">
        <v>1</v>
      </c>
      <c r="GE207" s="390">
        <f t="shared" si="903"/>
        <v>0.00202109368443261</v>
      </c>
      <c r="GF207" s="367">
        <f>GE207*(VLOOKUP($GC$9,各项系数!$D$1:$F$143,2,0))</f>
        <v>0.0260721085291807</v>
      </c>
      <c r="GG207" s="388">
        <f>IF($BK207&lt;&gt;$GG$9,0,各项系数!$F$76/4*($MS207^2-$MQ207^2)*10^-2*(VLOOKUP($GG$9,各项系数!$D$1:$F$143,3,0))*10^-3*10^2)*各项系数!$J$4</f>
        <v>0</v>
      </c>
      <c r="GH207" s="389">
        <v>1</v>
      </c>
      <c r="GI207" s="390">
        <f t="shared" si="904"/>
        <v>0</v>
      </c>
      <c r="GJ207" s="367">
        <f>GI207*(VLOOKUP($GG$9,各项系数!$D$1:$F$143,2,0))</f>
        <v>0</v>
      </c>
      <c r="GK207" s="388">
        <f>IF($BK207&lt;&gt;$GK$9,0,各项系数!$F$76/4*($MS207^2-$MQ207^2)*10^-2*(VLOOKUP($GK$9,各项系数!$D$1:$F$143,3,0))*10^-3*10^2)*各项系数!$J$4</f>
        <v>0</v>
      </c>
      <c r="GL207" s="389">
        <v>1</v>
      </c>
      <c r="GM207" s="390">
        <f t="shared" si="905"/>
        <v>0</v>
      </c>
      <c r="GN207" s="367">
        <f>GM207*(VLOOKUP($GK$9,各项系数!$D$1:$F$143,2,0))</f>
        <v>0</v>
      </c>
      <c r="GO207" s="390">
        <f t="shared" si="906"/>
        <v>0.00202109368443261</v>
      </c>
      <c r="GP207" s="390">
        <f t="shared" si="907"/>
        <v>0.0260721085291807</v>
      </c>
      <c r="GQ207" s="406">
        <f>各项系数!$F$76/4*($MU207^2-$MS207^2)*10^-2*(VLOOKUP($S207,各项系数!$D$1:$F$143,3,0))*10^-3*10^2*各项系数!$J$4</f>
        <v>0.118940191762417</v>
      </c>
      <c r="GR207" s="389">
        <v>1</v>
      </c>
      <c r="GS207" s="390">
        <f t="shared" si="908"/>
        <v>0.118940191762417</v>
      </c>
      <c r="GT207" s="390">
        <f t="shared" si="909"/>
        <v>1</v>
      </c>
      <c r="GU207" s="390">
        <f>ROUND($GS207*(VLOOKUP($S207,各项系数!$D$1:$F$143,2,0))+$E$3*GS207,GT207)</f>
        <v>0.7</v>
      </c>
      <c r="GV207" s="406">
        <f>各项系数!$F$76/4*($MT207^2-$MS207^2)*10^-2*(VLOOKUP($GV$9,各项系数!$D$1:$F$143,3,0))*10^-3*10^2*各项系数!$J$4*PI()/4*R207</f>
        <v>0.0106013599637994</v>
      </c>
      <c r="GW207" s="389">
        <v>1</v>
      </c>
      <c r="GX207" s="390">
        <f t="shared" si="910"/>
        <v>0.0106013599637994</v>
      </c>
      <c r="GY207" s="390">
        <f>$GX207*(VLOOKUP($GV$9,各项系数!$D$1:$F$143,2,0))</f>
        <v>0.715591797556461</v>
      </c>
      <c r="GZ207" s="406">
        <f>各项系数!$F$76/4*($MV207^2-$MS207^2)*10^-2*(VLOOKUP($GZ$9,各项系数!$D$1:$F$143,3,0))*10^-3*10^2*各项系数!$J$4</f>
        <v>0.0612542383527581</v>
      </c>
      <c r="HA207" s="389">
        <v>1</v>
      </c>
      <c r="HB207" s="390">
        <f t="shared" si="1012"/>
        <v>0.0612542383527581</v>
      </c>
      <c r="HC207" s="390">
        <f>HB207*(VLOOKUP($GZ$9,各项系数!$D$1:$F$143,2,0))</f>
        <v>1.04132205199689</v>
      </c>
      <c r="HD207" s="406">
        <f>各项系数!$F$76/4*($MW207^2-$MT207^2)*10^-2*(VLOOKUP($HD$9,各项系数!$D$1:$F$143,3,0))*10^-3*10^2*各项系数!$J$4</f>
        <v>0.0623420462249901</v>
      </c>
      <c r="HE207" s="389">
        <v>1</v>
      </c>
      <c r="HF207" s="390">
        <f t="shared" si="1013"/>
        <v>0.0623420462249901</v>
      </c>
      <c r="HG207" s="390">
        <f>HF207*(VLOOKUP($HD$9,各项系数!$D$1:$F$143,2,0))</f>
        <v>1.05981478582483</v>
      </c>
      <c r="HH207" s="406">
        <f>各项系数!$F$76/4*($MV207^2-$MS207^2)*10^-2*(VLOOKUP($HH$9,各项系数!$D$1:$F$143,3,0))*10^-3*10^2*各项系数!$J$4</f>
        <v>0.0612542383527581</v>
      </c>
      <c r="HI207" s="420">
        <v>1</v>
      </c>
      <c r="HJ207" s="390">
        <f t="shared" si="1014"/>
        <v>0.0612542383527581</v>
      </c>
      <c r="HK207" s="390">
        <f>HJ207*(VLOOKUP($HH$9,各项系数!$D$1:$F$143,2,0))</f>
        <v>1.04132205199689</v>
      </c>
      <c r="HL207" s="406">
        <f>各项系数!$F$76/4*($MW207^2-$MT207^2)*10^-2*(VLOOKUP($HL$9,各项系数!$D$1:$F$143,3,0))*10^-3*10^2*各项系数!$J$4</f>
        <v>0.0623420462249901</v>
      </c>
      <c r="HM207" s="420">
        <v>1</v>
      </c>
      <c r="HN207" s="390">
        <f t="shared" si="964"/>
        <v>0.0623420462249901</v>
      </c>
      <c r="HO207" s="390">
        <f>HN207*(VLOOKUP($HL$9,各项系数!$D$1:$F$143,2,0))</f>
        <v>1.05981478582483</v>
      </c>
      <c r="HP207" s="406">
        <f>各项系数!$F$76/4*($MV207^2-$MS207^2)*10^-2*(VLOOKUP(AN207,各项系数!$D$1:$F$143,3,0))*10^-3*10^2*各项系数!$J$4</f>
        <v>0.0620991243990031</v>
      </c>
      <c r="HQ207" s="389">
        <v>1</v>
      </c>
      <c r="HR207" s="390">
        <f t="shared" si="911"/>
        <v>0.0620991243990031</v>
      </c>
      <c r="HS207" s="390">
        <f>HR207*(VLOOKUP(AN207,各项系数!$D$1:$F$143,2,0))</f>
        <v>0.620991243990031</v>
      </c>
      <c r="HT207" s="406">
        <f>各项系数!$F$76/4*($MW207^2-$MT207^2)*10^-2*(VLOOKUP(AN207,各项系数!$D$1:$F$143,3,0))*10^-3*10^2*各项系数!$J$4</f>
        <v>0.0632019365177486</v>
      </c>
      <c r="HU207" s="389">
        <v>1</v>
      </c>
      <c r="HV207" s="390">
        <f t="shared" si="912"/>
        <v>0.0632019365177486</v>
      </c>
      <c r="HW207" s="390">
        <f>HV207*(VLOOKUP(AN207,各项系数!$D$1:$F$143,2,0))</f>
        <v>0.632019365177486</v>
      </c>
      <c r="HX207" s="406">
        <f>各项系数!$F$76/4*($MV207^2-$MS207^2)*10^-2*(VLOOKUP($HX$9,各项系数!$D$1:$F$143,3,0))*10^-3*10^2*各项系数!$J$4</f>
        <v>0.0620991243990031</v>
      </c>
      <c r="HY207" s="420">
        <v>1</v>
      </c>
      <c r="HZ207" s="390">
        <f t="shared" si="913"/>
        <v>0.0620991243990031</v>
      </c>
      <c r="IA207" s="390">
        <f>HZ207*(VLOOKUP($HX$9,各项系数!$D$1:$F$143,2,0))</f>
        <v>0.683090368389034</v>
      </c>
      <c r="IB207" s="406">
        <f>各项系数!$F$76/4*($MW207^2-$MT207^2)*10^-2*(VLOOKUP($IB$9,各项系数!$D$1:$F$143,3,0))*10^-3*10^2*各项系数!$J$4</f>
        <v>0.0632019365177486</v>
      </c>
      <c r="IC207" s="420">
        <v>1</v>
      </c>
      <c r="ID207" s="390">
        <f t="shared" si="914"/>
        <v>0.0632019365177486</v>
      </c>
      <c r="IE207" s="390">
        <f>ID207*(VLOOKUP($IB$9,各项系数!$D$1:$F$143,2,0))</f>
        <v>0.695221301695235</v>
      </c>
      <c r="IF207" s="429"/>
      <c r="IG207" s="406">
        <f t="shared" si="1015"/>
        <v>0.0108615722237111</v>
      </c>
      <c r="IH207" s="389">
        <v>1</v>
      </c>
      <c r="II207" s="390">
        <f t="shared" si="915"/>
        <v>0.0108615722237111</v>
      </c>
      <c r="IJ207" s="390">
        <f>II207*(VLOOKUP($IG$8,各项系数!$D$1:$F$143,2,0))</f>
        <v>0.271539305592777</v>
      </c>
      <c r="IK207" s="406">
        <f>(各项系数!$F$76/4*($MX207^2-$MK207^2)*$EG207)*10^-2*(VLOOKUP($IG$8,各项系数!$D$1:$F$143,3,0))*10^-3*10^2*各项系数!$J$4</f>
        <v>0.00854169064313201</v>
      </c>
      <c r="IL207" s="389">
        <f>IK207*(VLOOKUP($IG$8,各项系数!$D$1:$F$143,2,0))</f>
        <v>0.2135422660783</v>
      </c>
      <c r="IM207" s="390">
        <f>(各项系数!$F$76/4*(($MM207+3*$X207)^2-MM207^2)*$EO207)*10^-2*(VLOOKUP($IG$8,各项系数!$D$1:$F$143,3,0))*10^-3*10^2*各项系数!$J$4</f>
        <v>0.00231988158057908</v>
      </c>
      <c r="IN207" s="389">
        <f>IM207*(VLOOKUP($IG$8,各项系数!$D$1:$F$143,2,0))</f>
        <v>0.0579970395144771</v>
      </c>
      <c r="IO207" s="406">
        <f>各项系数!$F$76/4*($MZ207^2-$MX207^2)*10^-2*(VLOOKUP(L207,各项系数!$D$1:$F$143,3,0))*10^-3*10^2*$ES207*各项系数!$J$4</f>
        <v>0.0291154338690406</v>
      </c>
      <c r="IP207" s="389">
        <v>1</v>
      </c>
      <c r="IQ207" s="390">
        <f t="shared" si="916"/>
        <v>0.0291154338690406</v>
      </c>
      <c r="IR207" s="367">
        <f>IQ207*(VLOOKUP(L207,各项系数!$D$1:$F$143,2,0))</f>
        <v>0.334827489493967</v>
      </c>
      <c r="IS207" s="406">
        <f>IF($L207&lt;&gt;$IS$9,0,各项系数!$F$76/4*($MZ207^2-$MX207^2)*10^-2*各项系数!$F$12*10^-3*10^2)*$ES207*各项系数!$J$4</f>
        <v>0</v>
      </c>
      <c r="IT207" s="389">
        <v>1</v>
      </c>
      <c r="IU207" s="390">
        <f t="shared" si="917"/>
        <v>0</v>
      </c>
      <c r="IV207" s="367">
        <f>IU207*各项系数!$E$12</f>
        <v>0</v>
      </c>
      <c r="IW207" s="388">
        <f t="shared" si="918"/>
        <v>0.0291154338690406</v>
      </c>
      <c r="IX207" s="388">
        <f t="shared" si="919"/>
        <v>0.334827489493967</v>
      </c>
      <c r="IY207" s="447">
        <f>各项系数!$F$76/4*($NB207^2-$MZ207^2*$EG207-$NA207^2*$EO207)*10^-2</f>
        <v>0.191335346784036</v>
      </c>
      <c r="IZ207" s="366">
        <f t="shared" si="697"/>
        <v>1</v>
      </c>
      <c r="JA207" s="367">
        <f t="shared" si="965"/>
        <v>0.191335346784036</v>
      </c>
      <c r="JB207" s="364">
        <f>IF($DE207&lt;&gt;$JB$9,0,$JA207*各项系数!$F$32*10^-3*10^2)*各项系数!$J$4</f>
        <v>0</v>
      </c>
      <c r="JC207" s="123">
        <v>1</v>
      </c>
      <c r="JD207" s="251">
        <f t="shared" si="920"/>
        <v>0</v>
      </c>
      <c r="JE207" s="339">
        <f>JD207*各项系数!$E$32</f>
        <v>0</v>
      </c>
      <c r="JF207" s="364">
        <f>IF($DE207&lt;&gt;$JF$9,0,$JA207*VLOOKUP($JF$9,各项系数!$D$4:$F$540,2,0)*10^-3*10^2)*各项系数!$J$4</f>
        <v>0.095189335025058</v>
      </c>
      <c r="JG207" s="123">
        <v>1</v>
      </c>
      <c r="JH207" s="251">
        <f t="shared" si="966"/>
        <v>0.095189335025058</v>
      </c>
      <c r="JI207" s="339">
        <f>JH207*VLOOKUP($JF$9,各项系数!$D$4:$F$540,3,0)</f>
        <v>0.11422720203007</v>
      </c>
      <c r="JJ207" s="364">
        <f t="shared" si="921"/>
        <v>0.095189335025058</v>
      </c>
      <c r="JK207" s="251">
        <f t="shared" si="922"/>
        <v>0.11422720203007</v>
      </c>
      <c r="JL207" s="364">
        <f>IF($DF207&lt;&gt;$JL$9,0,各项系数!$F$76/4*($NE207^2-$NC207^2)*10^-2*各项系数!$F$39*10^-3*10^2)*各项系数!$J$4</f>
        <v>0.00100215994321336</v>
      </c>
      <c r="JM207" s="123">
        <v>1</v>
      </c>
      <c r="JN207" s="251">
        <f t="shared" si="923"/>
        <v>0.00100215994321336</v>
      </c>
      <c r="JO207" s="339">
        <f>JN207*各项系数!$E$39</f>
        <v>0.0200431988642673</v>
      </c>
      <c r="JP207" s="364">
        <f>IF($DF207&lt;&gt;$JP$9,0,各项系数!$F$76/4*($NE207^2-$NC207^2)*10^-2*各项系数!$F$36*10^-3*10^2)*各项系数!$J$4</f>
        <v>0</v>
      </c>
      <c r="JQ207" s="123">
        <v>1</v>
      </c>
      <c r="JR207" s="251">
        <f t="shared" si="924"/>
        <v>0</v>
      </c>
      <c r="JS207" s="339">
        <f>JR207*各项系数!$E$36</f>
        <v>0</v>
      </c>
      <c r="JT207" s="364">
        <f>IF($DF207&lt;&gt;$JT$9,0,各项系数!$F$76/4*($NE207^2-$NC207^2)*10^-2*各项系数!$F$40*10^-3*10^2)*各项系数!$J$4</f>
        <v>0</v>
      </c>
      <c r="JU207" s="123">
        <v>1</v>
      </c>
      <c r="JV207" s="251">
        <f t="shared" si="925"/>
        <v>0</v>
      </c>
      <c r="JW207" s="339">
        <f>JV207*各项系数!$E$40</f>
        <v>0</v>
      </c>
      <c r="JX207" s="364">
        <f>IF($DF207&lt;&gt;$JX$9,0,各项系数!$F$76/4*($NE207^2-$NC207^2)*10^-2*各项系数!$F$38*10^-3*10^2)*各项系数!$J$4</f>
        <v>0</v>
      </c>
      <c r="JY207" s="123">
        <v>1</v>
      </c>
      <c r="JZ207" s="251">
        <f t="shared" si="926"/>
        <v>0</v>
      </c>
      <c r="KA207" s="339">
        <f>JZ207*各项系数!$E$38</f>
        <v>0</v>
      </c>
      <c r="KB207" s="364">
        <f>IF($DF207&lt;&gt;$KB$9,0,各项系数!$F$76/4*($NE207^2-$NC207^2)*10^-2*各项系数!$F$41*10^-3*10^2)*各项系数!$J$4</f>
        <v>0</v>
      </c>
      <c r="KC207" s="123">
        <v>1</v>
      </c>
      <c r="KD207" s="251">
        <f t="shared" si="927"/>
        <v>0</v>
      </c>
      <c r="KE207" s="339">
        <f>KD207*各项系数!$E$41</f>
        <v>0</v>
      </c>
      <c r="KF207" s="251">
        <f t="shared" si="928"/>
        <v>0.00100215994321336</v>
      </c>
      <c r="KG207" s="251">
        <f t="shared" si="929"/>
        <v>0.0200431988642673</v>
      </c>
      <c r="KH207" s="302">
        <f>各项系数!$F$76/4*($NG207^2-$NE207^2)*10^-2*各项系数!$F$44*10^-3*10^2*各项系数!$J$4*0.75*$U207</f>
        <v>0.423524503885124</v>
      </c>
      <c r="KI207" s="123">
        <v>1</v>
      </c>
      <c r="KJ207" s="251">
        <f t="shared" si="930"/>
        <v>0.423524503885124</v>
      </c>
      <c r="KK207" s="251">
        <f>ROUND(KJ207*各项系数!$E$43,GT207)</f>
        <v>2.5</v>
      </c>
      <c r="KL207" s="302">
        <f>各项系数!$F$76/4*($NF207^2-$NE207^2)*10^-2*各项系数!$F$46*10^-3*10^2*各项系数!$J$4*PI()/4*R207</f>
        <v>0.0127189591971186</v>
      </c>
      <c r="KM207" s="123">
        <v>1</v>
      </c>
      <c r="KN207" s="251">
        <f t="shared" si="931"/>
        <v>0.0127189591971186</v>
      </c>
      <c r="KO207" s="251">
        <f>KN207*各项系数!$E$46</f>
        <v>0.858529745805504</v>
      </c>
      <c r="KP207" s="302">
        <f>各项系数!$F$76/4*($NH207^2-$NE207^2)*10^-2*(VLOOKUP($KP$9,各项系数!$D$1:$F$143,3,0))*10^-3*10^2*各项系数!$J$4</f>
        <v>0.0715612179421564</v>
      </c>
      <c r="KQ207" s="123">
        <v>1</v>
      </c>
      <c r="KR207" s="251">
        <f t="shared" si="1016"/>
        <v>0.0715612179421564</v>
      </c>
      <c r="KS207" s="251">
        <f>KR207*(VLOOKUP($KP$9,各项系数!$D$1:$F$143,2,0))</f>
        <v>1.21654070501666</v>
      </c>
      <c r="KT207" s="302">
        <f>各项系数!$F$76/4*($NI207^2-$NF207^2)*10^-2*(VLOOKUP($KT$9,各项系数!$D$1:$F$143,3,0))*10^-3*10^2*各项系数!$J$4</f>
        <v>0.0726490258143883</v>
      </c>
      <c r="KU207" s="123">
        <v>1</v>
      </c>
      <c r="KV207" s="251">
        <f t="shared" si="1017"/>
        <v>0.0726490258143883</v>
      </c>
      <c r="KW207" s="251">
        <f>KV207*(VLOOKUP($KT$9,各项系数!$D$1:$F$143,2,0))</f>
        <v>1.2350334388446</v>
      </c>
      <c r="KX207" s="251">
        <f>各项系数!$F$76/4*($NH207^2-$NE207^2)*10^-2*(VLOOKUP($KX$9,各项系数!$D$1:$F$143,3,0))*10^-3*10^2*各项系数!$J$4</f>
        <v>0.0715612179421564</v>
      </c>
      <c r="KY207" s="479">
        <v>1</v>
      </c>
      <c r="KZ207" s="251">
        <f t="shared" si="1018"/>
        <v>0.0715612179421564</v>
      </c>
      <c r="LA207" s="251">
        <f>KZ207*(VLOOKUP($KX$9,各项系数!$D$1:$F$143,2,0))</f>
        <v>1.21654070501666</v>
      </c>
      <c r="LB207" s="251">
        <f>各项系数!$F$76/4*($NI207^2-$NF207^2)*10^-2*(VLOOKUP($LB$9,各项系数!$D$1:$F$143,3,0))*10^-3*10^2*各项系数!$J$4</f>
        <v>0.0726490258143883</v>
      </c>
      <c r="LC207" s="479">
        <v>1</v>
      </c>
      <c r="LD207" s="251">
        <f t="shared" si="1019"/>
        <v>0.0726490258143883</v>
      </c>
      <c r="LE207" s="251">
        <f>LD207*(VLOOKUP($LB$9,各项系数!$D$1:$F$143,2,0))</f>
        <v>1.2350334388446</v>
      </c>
      <c r="LF207" s="302">
        <f>各项系数!$F$76/4*($NH207^2-$NE207^2)*10^-2*(VLOOKUP(AN207,各项系数!$D$1:$F$143,3,0))*10^-3*10^2*各项系数!$J$4</f>
        <v>0.0725482692241172</v>
      </c>
      <c r="LG207" s="123">
        <v>1</v>
      </c>
      <c r="LH207" s="251">
        <f t="shared" si="932"/>
        <v>0.0725482692241172</v>
      </c>
      <c r="LI207" s="251">
        <f>LH207*(VLOOKUP(AN207,各项系数!$D$1:$F$143,2,0))</f>
        <v>0.725482692241172</v>
      </c>
      <c r="LJ207" s="302">
        <f>各项系数!$F$76/4*($NI207^2-$NF207^2)*10^-2*(VLOOKUP(AN207,各项系数!$D$1:$F$143,3,0))*10^-3*10^2*各项系数!$J$4</f>
        <v>0.0736510813428627</v>
      </c>
      <c r="LK207" s="123">
        <v>1</v>
      </c>
      <c r="LL207" s="251">
        <f t="shared" si="933"/>
        <v>0.0736510813428627</v>
      </c>
      <c r="LM207" s="251">
        <f>LL207*(VLOOKUP(AN207,各项系数!$D$1:$F$143,2,0))</f>
        <v>0.736510813428627</v>
      </c>
      <c r="LN207" s="251">
        <f>各项系数!$F$76/4*($NH207^2-$NE207^2)*10^-2*(VLOOKUP($LN$9,各项系数!$D$1:$F$143,3,0))*10^-3*10^2*各项系数!$J$4</f>
        <v>0.0725482692241172</v>
      </c>
      <c r="LO207" s="479">
        <v>1</v>
      </c>
      <c r="LP207" s="251">
        <f t="shared" si="934"/>
        <v>0.0725482692241172</v>
      </c>
      <c r="LQ207" s="251">
        <f>LP207*(VLOOKUP($LN$9,各项系数!$D$1:$F$143,2,0))</f>
        <v>0.798030961465289</v>
      </c>
      <c r="LR207" s="251">
        <f>各项系数!$F$76/4*($NI207^2-$NF207^2)*10^-2*(VLOOKUP($LR$9,各项系数!$D$1:$F$143,3,0))*10^-3*10^2*各项系数!$J$4</f>
        <v>0.0736510813428627</v>
      </c>
      <c r="LS207" s="479">
        <v>1</v>
      </c>
      <c r="LT207" s="251">
        <f t="shared" si="935"/>
        <v>0.0736510813428627</v>
      </c>
      <c r="LU207" s="251">
        <f>LT207*(VLOOKUP($LR$9,各项系数!$D$1:$F$143,2,0))</f>
        <v>0.810161894771489</v>
      </c>
      <c r="LV207" s="499">
        <f t="shared" si="1020"/>
        <v>7.00403223</v>
      </c>
      <c r="LW207" s="499">
        <f t="shared" si="1021"/>
        <v>7.00403223</v>
      </c>
      <c r="LX207" s="499">
        <f t="shared" si="1022"/>
        <v>2.98627038424782</v>
      </c>
      <c r="LY207" s="515">
        <f t="shared" si="1023"/>
        <v>0</v>
      </c>
      <c r="LZ207" s="516">
        <f t="shared" si="967"/>
        <v>1</v>
      </c>
      <c r="MA207" s="517">
        <f t="shared" si="968"/>
        <v>7.00403223</v>
      </c>
      <c r="MB207" s="517">
        <f t="shared" si="1024"/>
        <v>1.72412401</v>
      </c>
      <c r="MC207" s="499">
        <f t="shared" si="1025"/>
        <v>1.42974872</v>
      </c>
      <c r="MD207" s="499">
        <f t="shared" si="1026"/>
        <v>1.42974872</v>
      </c>
      <c r="ME207" s="499">
        <f t="shared" si="1027"/>
        <v>1.34922667085204</v>
      </c>
      <c r="MF207" s="499">
        <f t="shared" si="1028"/>
        <v>0</v>
      </c>
      <c r="MG207" s="516">
        <f t="shared" si="1029"/>
        <v>1</v>
      </c>
      <c r="MH207" s="517">
        <f t="shared" si="969"/>
        <v>1.42974872</v>
      </c>
      <c r="MI207" s="517">
        <f t="shared" si="1030"/>
        <v>1.34922667085204</v>
      </c>
      <c r="MJ207" s="251">
        <f t="shared" si="970"/>
        <v>1.72412401</v>
      </c>
      <c r="MK207" s="251">
        <f t="shared" si="1031"/>
        <v>1.72412401</v>
      </c>
      <c r="ML207" s="251">
        <f t="shared" si="936"/>
        <v>1.34922667214547</v>
      </c>
      <c r="MM207" s="251">
        <f t="shared" si="971"/>
        <v>1.34922667085204</v>
      </c>
      <c r="MN207" s="251">
        <f t="shared" si="972"/>
        <v>3.12412401</v>
      </c>
      <c r="MO207" s="251">
        <f t="shared" si="1032"/>
        <v>2.74922667085204</v>
      </c>
      <c r="MP207" s="251">
        <f t="shared" si="1033"/>
        <v>7.33356721</v>
      </c>
      <c r="MQ207" s="251">
        <f t="shared" si="937"/>
        <v>7.33356721</v>
      </c>
      <c r="MR207" s="314">
        <f t="shared" si="1034"/>
        <v>7.33356721</v>
      </c>
      <c r="MS207" s="530">
        <f t="shared" si="973"/>
        <v>7.50956721</v>
      </c>
      <c r="MT207" s="530">
        <f t="shared" si="974"/>
        <v>7.66956721</v>
      </c>
      <c r="MU207" s="530">
        <f t="shared" si="975"/>
        <v>8.70956721</v>
      </c>
      <c r="MV207" s="530">
        <f t="shared" si="976"/>
        <v>10.50956721</v>
      </c>
      <c r="MW207" s="530">
        <f t="shared" si="977"/>
        <v>10.66956721</v>
      </c>
      <c r="MX207" s="326">
        <f t="shared" si="978"/>
        <v>2.32412401</v>
      </c>
      <c r="MY207" s="326">
        <f t="shared" si="979"/>
        <v>1.94922667085204</v>
      </c>
      <c r="MZ207" s="251">
        <f t="shared" si="980"/>
        <v>3.72412401</v>
      </c>
      <c r="NA207" s="251">
        <f t="shared" si="981"/>
        <v>3.34922667085204</v>
      </c>
      <c r="NB207" s="251">
        <f t="shared" si="1035"/>
        <v>8.78556721</v>
      </c>
      <c r="NC207" s="326">
        <f t="shared" si="938"/>
        <v>8.78556721</v>
      </c>
      <c r="ND207" s="314">
        <f t="shared" si="1036"/>
        <v>8.78556721</v>
      </c>
      <c r="NE207" s="537">
        <f t="shared" si="1037"/>
        <v>9.02556721</v>
      </c>
      <c r="NF207" s="530">
        <f t="shared" si="982"/>
        <v>9.18556721</v>
      </c>
      <c r="NG207" s="538">
        <f t="shared" si="983"/>
        <v>10.22556721</v>
      </c>
      <c r="NH207" s="326">
        <f t="shared" si="984"/>
        <v>12.02556721</v>
      </c>
      <c r="NI207" s="530">
        <f t="shared" si="985"/>
        <v>12.18556721</v>
      </c>
      <c r="NK207" s="539">
        <f t="shared" si="986"/>
        <v>0.181978541589619</v>
      </c>
      <c r="NL207" s="539">
        <f t="shared" si="987"/>
        <v>5.89586250620861</v>
      </c>
      <c r="NM207" s="539">
        <f t="shared" si="988"/>
        <v>0.181978541589619</v>
      </c>
      <c r="NN207" s="539">
        <f t="shared" si="989"/>
        <v>5.95796163060761</v>
      </c>
      <c r="NO207" s="539">
        <f t="shared" si="990"/>
        <v>0.285638082746872</v>
      </c>
      <c r="NP207" s="539">
        <f t="shared" si="991"/>
        <v>6.41051065045222</v>
      </c>
      <c r="NQ207" s="539">
        <f t="shared" si="992"/>
        <v>0.285638082746872</v>
      </c>
      <c r="NR207" s="539">
        <f t="shared" si="993"/>
        <v>6.48305891967633</v>
      </c>
      <c r="NS207" s="539">
        <f t="shared" si="994"/>
        <v>0.192579901553418</v>
      </c>
      <c r="NT207" s="539">
        <f t="shared" si="995"/>
        <v>0.192579901553418</v>
      </c>
      <c r="NU207" s="539">
        <f t="shared" si="996"/>
        <v>0.29835704194399</v>
      </c>
      <c r="NV207" s="539">
        <f t="shared" si="997"/>
        <v>0.29835704194399</v>
      </c>
      <c r="NW207">
        <f t="shared" si="998"/>
        <v>0.300918733352036</v>
      </c>
      <c r="NX207">
        <f>各项系数!$M$9*NK207</f>
        <v>0.0545935624768856</v>
      </c>
      <c r="NY207">
        <f t="shared" si="999"/>
        <v>0.192579901553418</v>
      </c>
    </row>
    <row r="208" customHeight="1" spans="1:389">
      <c r="A208" s="85"/>
      <c r="B208" s="86"/>
      <c r="C208" s="218"/>
      <c r="D208" s="123" t="s">
        <v>302</v>
      </c>
      <c r="E208" s="77">
        <f t="shared" si="885"/>
        <v>11.2062457</v>
      </c>
      <c r="F208" s="559">
        <f>$F$17</f>
        <v>172.412400708262</v>
      </c>
      <c r="G208" s="23"/>
      <c r="H208" s="23"/>
      <c r="I208" s="174">
        <f>$F$16</f>
        <v>134.922667214547</v>
      </c>
      <c r="J208" s="23"/>
      <c r="K208" s="23"/>
      <c r="L208" s="118" t="s">
        <v>469</v>
      </c>
      <c r="M208" s="124">
        <f t="shared" si="940"/>
        <v>0.7</v>
      </c>
      <c r="N208" s="124">
        <f t="shared" si="1038"/>
        <v>0.7</v>
      </c>
      <c r="O208" s="69">
        <f t="shared" ref="O208:O214" si="1039">$O$36</f>
        <v>0.08</v>
      </c>
      <c r="P208" s="120">
        <v>0.1</v>
      </c>
      <c r="Q208" s="162">
        <f t="shared" si="941"/>
        <v>0.1</v>
      </c>
      <c r="R208" s="560">
        <v>0.8</v>
      </c>
      <c r="S208" s="171" t="str">
        <f>各项系数!$D$43</f>
        <v>钢带</v>
      </c>
      <c r="T208" s="123">
        <v>0.2</v>
      </c>
      <c r="U208" s="78">
        <v>4</v>
      </c>
      <c r="V208" s="172"/>
      <c r="W208" s="170">
        <f>$W$182</f>
        <v>1.5</v>
      </c>
      <c r="X208" s="164">
        <f t="shared" si="942"/>
        <v>0.2</v>
      </c>
      <c r="Y208" s="219"/>
      <c r="Z208" s="220"/>
      <c r="AA208" s="217">
        <v>1</v>
      </c>
      <c r="AB208" s="186">
        <f>PI()*EJ208*EJ208/4*EH208*(1-H208)*AA208*各项系数!$F$5*各项系数!$J$4*10^-7</f>
        <v>0.0206515056889029</v>
      </c>
      <c r="AC208" s="186">
        <f t="shared" si="886"/>
        <v>172.412400708262</v>
      </c>
      <c r="AD208" s="186">
        <f t="shared" si="943"/>
        <v>2.3346774015073</v>
      </c>
      <c r="AE208" s="186">
        <f>POWER(4*EU208/PI()/EG208/10^-7/EH208/(1-H208)/各项系数!$F$5/各项系数!$J$4,0.5)</f>
        <v>172.412400708262</v>
      </c>
      <c r="AF208" s="218">
        <f>$AA$165</f>
        <v>1</v>
      </c>
      <c r="AG208" s="85">
        <f>IF(EM208=0,0,PI()*ER208*ER208/4*EP208*(1-K208)*(1+AF208)*各项系数!$F$5*各项系数!$J$4*10^-7)</f>
        <v>0.0252938276288876</v>
      </c>
      <c r="AH208" s="85">
        <f t="shared" si="887"/>
        <v>134.922667214547</v>
      </c>
      <c r="AI208" s="85">
        <f t="shared" si="1000"/>
        <v>1.42974872274124</v>
      </c>
      <c r="AJ208" s="85">
        <f>IF(OR(EP208="",EP208=0),0,POWER(4*EW208/PI()/EO208/10^-7/EP208/(1-K208)/各项系数!$F$5/各项系数!$J$4,0.5))</f>
        <v>134.922667214547</v>
      </c>
      <c r="AK208" s="85">
        <f t="shared" si="944"/>
        <v>0.0872483446955963</v>
      </c>
      <c r="AL208" s="85">
        <f t="shared" si="888"/>
        <v>7.11496367340093</v>
      </c>
      <c r="AM208" s="250">
        <f t="shared" si="889"/>
        <v>2.5</v>
      </c>
      <c r="AN208" s="118" t="s">
        <v>486</v>
      </c>
      <c r="AO208" s="259">
        <f>AP208+各项系数!$M$9*$NK208</f>
        <v>6.97545458176562</v>
      </c>
      <c r="AP208" s="259">
        <f>AQ208*(1+$BI208+(VLOOKUP($AM208,$A$12:$B$323,2,0))+各项系数!$J$6+各项系数!$M$5)*(1+$E$2)</f>
        <v>6.91172515488286</v>
      </c>
      <c r="AQ208" s="260">
        <f>AR208+各项系数!$L$9*$NK208</f>
        <v>6.98295125771152</v>
      </c>
      <c r="AR208" s="260">
        <f>AS208*(1+$BJ208+各项系数!$J$5+各项系数!$L$5)</f>
        <v>6.91922183082875</v>
      </c>
      <c r="AS208" s="260">
        <f t="shared" si="1001"/>
        <v>6.78355081453799</v>
      </c>
      <c r="AT208" s="259">
        <f>AU208+各项系数!$M$9*$NM208</f>
        <v>7.43263349944157</v>
      </c>
      <c r="AU208" s="259">
        <f>AV208*(1+$BI208+(VLOOKUP($AM208,$A$12:$B$323,2,0))+各项系数!$J$6+各项系数!$M$5)*(1+$E$2)</f>
        <v>7.36890407255881</v>
      </c>
      <c r="AV208" s="260">
        <f>AW208+各项系数!$L$9*$NM208</f>
        <v>7.44484145540393</v>
      </c>
      <c r="AW208" s="260">
        <f>AX208*(1+$BJ208+各项系数!$J$5+各项系数!$L$5)</f>
        <v>7.38111202852116</v>
      </c>
      <c r="AX208" s="260">
        <f t="shared" si="1002"/>
        <v>7.23638434168742</v>
      </c>
      <c r="AY208" s="259">
        <f>AZ208+各项系数!$M$9*$NS208</f>
        <v>7.78227396300043</v>
      </c>
      <c r="AZ208" s="259">
        <f>BA208*(1+$BI208+(VLOOKUP($AM208,$A$12:$B$214,2,0))+各项系数!$J$6+各项系数!$M$5)*(1+$E$2)</f>
        <v>7.71507218502108</v>
      </c>
      <c r="BA208" s="260">
        <f>BB208+各项系数!$L$9*$NS208</f>
        <v>7.79457686908576</v>
      </c>
      <c r="BB208" s="260">
        <f>BC208*(1+$BJ208+各项系数!$J$5+各项系数!$L$5)</f>
        <v>7.72737509110641</v>
      </c>
      <c r="BC208" s="262">
        <f t="shared" si="1003"/>
        <v>7.57585793245726</v>
      </c>
      <c r="BD208" s="259">
        <f>BE208+各项系数!$M$9*$NS208</f>
        <v>8.24698912373977</v>
      </c>
      <c r="BE208" s="259">
        <f>BF208*(1+$BI208+(VLOOKUP($AM208,$A$12:$B$214,2,0))+各项系数!$J$6+各项系数!$M$5)*(1+$E$2)</f>
        <v>8.17978734576042</v>
      </c>
      <c r="BF208" s="260">
        <f>BG208+各项系数!$L$9*$NS208</f>
        <v>8.26408097167147</v>
      </c>
      <c r="BG208" s="260">
        <f>BH208*(1+$BJ208+各项系数!$J$5+各项系数!$L$5)</f>
        <v>8.19687919369212</v>
      </c>
      <c r="BH208" s="262">
        <f t="shared" si="1004"/>
        <v>8.03615607224718</v>
      </c>
      <c r="BI208" s="277">
        <v>0.01</v>
      </c>
      <c r="BJ208" s="272">
        <f>$BJ$182</f>
        <v>0</v>
      </c>
      <c r="BK208" s="123" t="s">
        <v>514</v>
      </c>
      <c r="BL208" s="259">
        <f>BM208+各项系数!$M$9*$NM208</f>
        <v>7.11080337013733</v>
      </c>
      <c r="BM208" s="259">
        <f>BN208*(1+$CF208+(VLOOKUP($AM208,$A$12:$B$323,2,0))+各项系数!$J$6+各项系数!$M$5)*(1+$E$2)</f>
        <v>7.04707394325457</v>
      </c>
      <c r="BN208" s="260">
        <f>BO208+各项系数!$L$9*$NM208</f>
        <v>7.11969483052594</v>
      </c>
      <c r="BO208" s="260">
        <f>BP208*(1+$CG208+各项系数!$J$5+各项系数!$L$5)</f>
        <v>7.05596540364317</v>
      </c>
      <c r="BP208" s="260">
        <f t="shared" si="1005"/>
        <v>6.85045184819725</v>
      </c>
      <c r="BQ208" s="259">
        <f>BR208+各项系数!$M$9*$NM208</f>
        <v>7.50425923165559</v>
      </c>
      <c r="BR208" s="259">
        <f>BS208*(1+$CF208+(VLOOKUP($AM208,$A$12:$B$323,2,0))+各项系数!$J$6+各项系数!$M$5)*(1+$E$2)</f>
        <v>7.44052980477283</v>
      </c>
      <c r="BS208" s="260">
        <f>BT208+各项系数!$L$9*$NM208</f>
        <v>7.5172052988208</v>
      </c>
      <c r="BT208" s="260">
        <f>BU208*(1+$CG208+各项系数!$J$5+各项系数!$L$5)</f>
        <v>7.45347587193804</v>
      </c>
      <c r="BU208" s="260">
        <f t="shared" si="1006"/>
        <v>7.23638434168742</v>
      </c>
      <c r="BV208" s="259">
        <f>BW208+各项系数!$M$9*$NT208</f>
        <v>7.86825211416233</v>
      </c>
      <c r="BW208" s="259">
        <f>BX208*(1+$CF208+(VLOOKUP($AM208,$A$12:$B$214,2,0))+各项系数!$J$6+各项系数!$M$5)*(1+$E$2)</f>
        <v>7.80105033618298</v>
      </c>
      <c r="BX208" s="260">
        <f>BY208+各项系数!$L$9*$NT$12</f>
        <v>7.8814410347373</v>
      </c>
      <c r="BY208" s="260">
        <f>BZ208*(1+$CG208+各项系数!$J$5+各项系数!$L$5)</f>
        <v>7.87317763158233</v>
      </c>
      <c r="BZ208" s="262">
        <f t="shared" si="945"/>
        <v>7.64386177823527</v>
      </c>
      <c r="CA208" s="259">
        <f>CB208+各项系数!$M$9*$NT208</f>
        <v>8.2681937931417</v>
      </c>
      <c r="CB208" s="259">
        <f>CC208*(1+$CF208+(VLOOKUP($AM208,$A$12:$B$214,2,0))+各项系数!$J$6+各项系数!$M$5)*(1+$E$2)</f>
        <v>8.20099201516235</v>
      </c>
      <c r="CC208" s="260">
        <f>CD208+各项系数!$L$9*$NT$12</f>
        <v>8.28550415756956</v>
      </c>
      <c r="CD208" s="260">
        <f>CE208*(1+$CG208+各项系数!$J$5+各项系数!$L$5)</f>
        <v>8.27724075441459</v>
      </c>
      <c r="CE208" s="262">
        <f t="shared" si="1007"/>
        <v>8.03615607224718</v>
      </c>
      <c r="CF208" s="277">
        <f t="shared" si="884"/>
        <v>0.01</v>
      </c>
      <c r="CG208" s="277">
        <f t="shared" si="946"/>
        <v>0.01</v>
      </c>
      <c r="CH208" s="123"/>
      <c r="CI208" s="259">
        <f>CJ208+各项系数!$M$9*$NO208</f>
        <v>7.74089057499426</v>
      </c>
      <c r="CJ208" s="259">
        <f>CK208*(1+$DC208+(VLOOKUP($AM208,$A$12:$B$323,2,0))+各项系数!$J$6+各项系数!$M$5)*(1+$E$2)+各项系数!$M$9*$NK208</f>
        <v>7.64047514973348</v>
      </c>
      <c r="CK208" s="260">
        <f>CL208+各项系数!$L$9*$NO208</f>
        <v>7.65482493721026</v>
      </c>
      <c r="CL208" s="260">
        <f>CM208*(1+$DD208+各项系数!$J$5+各项系数!$L$5)</f>
        <v>7.55440951194948</v>
      </c>
      <c r="CM208" s="260">
        <f t="shared" si="947"/>
        <v>7.40628383524458</v>
      </c>
      <c r="CN208" s="259">
        <f>CO208+各项系数!$M$9*$NO208</f>
        <v>8.08088470009137</v>
      </c>
      <c r="CO208" s="259">
        <f>CP208*(1+$DC208+(VLOOKUP($AM208,$A$12:$B$323,2,0))+各项系数!$J$6+各项系数!$M$5)*(1+$E$2)+各项系数!$M$9*$NK208</f>
        <v>7.98046927483058</v>
      </c>
      <c r="CP208" s="260">
        <f>CQ208+各项系数!$L$9*$NO208</f>
        <v>7.99832273989474</v>
      </c>
      <c r="CQ208" s="260">
        <f>CR208*(1+$DD208+各项系数!$J$5+各项系数!$L$5)</f>
        <v>7.89790731463396</v>
      </c>
      <c r="CR208" s="260">
        <f t="shared" si="948"/>
        <v>7.74304638689604</v>
      </c>
      <c r="CS208" s="259">
        <f>CT208+各项系数!$M$9*$NU208</f>
        <v>8.64568636329073</v>
      </c>
      <c r="CT208" s="259">
        <f t="shared" si="949"/>
        <v>8.54109290676669</v>
      </c>
      <c r="CU208" s="260">
        <f>CV208+各项系数!$L$9*$NU208</f>
        <v>8.62910982700211</v>
      </c>
      <c r="CV208" s="260">
        <f>CW208*(1+$DD208+各项系数!$J$5+各项系数!$L$5)</f>
        <v>8.52451637047807</v>
      </c>
      <c r="CW208" s="262">
        <f t="shared" si="950"/>
        <v>8.35736899066477</v>
      </c>
      <c r="CX208" s="259">
        <f>CY208+各项系数!$M$9*$NU208</f>
        <v>9.18972048227221</v>
      </c>
      <c r="CY208" s="259">
        <f t="shared" si="951"/>
        <v>9.08512702574817</v>
      </c>
      <c r="CZ208" s="260">
        <f>DA208+各项系数!$L$9*$NU208</f>
        <v>9.17875027858978</v>
      </c>
      <c r="DA208" s="260">
        <f>DB208*(1+$DD208+各项系数!$J$5+各项系数!$L$5)</f>
        <v>9.07415682206574</v>
      </c>
      <c r="DB208" s="262">
        <f t="shared" si="952"/>
        <v>8.89623217849582</v>
      </c>
      <c r="DC208" s="277">
        <f t="shared" si="827"/>
        <v>0.01</v>
      </c>
      <c r="DD208" s="277">
        <f t="shared" si="953"/>
        <v>0</v>
      </c>
      <c r="DE208" s="69" t="s">
        <v>498</v>
      </c>
      <c r="DF208" s="69" t="s">
        <v>513</v>
      </c>
      <c r="DG208" s="259">
        <f>DH208+各项系数!$M$9*$NQ208</f>
        <v>7.89423654111436</v>
      </c>
      <c r="DH208" s="259">
        <f>DI208*(1+$EA208+(VLOOKUP($AM208,$A$12:$B$323,2,0))+各项系数!$J$6+各项系数!$M$5)*(1+$E$2)+各项系数!$M$9*$NK208</f>
        <v>7.79382111585358</v>
      </c>
      <c r="DI208" s="260">
        <f>DJ208+各项系数!$L$9*$NQ208</f>
        <v>7.80975115070804</v>
      </c>
      <c r="DJ208" s="260">
        <f>DK208*(1+$EB208+各项系数!$J$5+各项系数!$L$5)</f>
        <v>7.70933572544725</v>
      </c>
      <c r="DK208" s="260">
        <f t="shared" si="954"/>
        <v>7.48479196645364</v>
      </c>
      <c r="DL208" s="259">
        <f>DM208+各项系数!$M$9*$NQ208</f>
        <v>8.35595563141085</v>
      </c>
      <c r="DM208" s="259">
        <f>DN208*(1+$EA208+(VLOOKUP($AM208,$A$12:$B$323,2,0))+各项系数!$J$6+各项系数!$M$5)*(1+$E$2)+各项系数!$M$9*$NK208</f>
        <v>8.25554020615006</v>
      </c>
      <c r="DN208" s="260">
        <f>DO208+各项系数!$L$9*$NQ208</f>
        <v>8.27622830800899</v>
      </c>
      <c r="DO208" s="260">
        <f>DP208*(1+$EB208+各项系数!$J$5+各项系数!$L$5)</f>
        <v>8.1758128827482</v>
      </c>
      <c r="DP208" s="260">
        <f t="shared" si="955"/>
        <v>7.93768241043515</v>
      </c>
      <c r="DQ208" s="259">
        <f>DR208+各项系数!$M$9*$NV208</f>
        <v>8.80957048061736</v>
      </c>
      <c r="DR208" s="259">
        <f t="shared" si="956"/>
        <v>8.70497702409332</v>
      </c>
      <c r="DS208" s="260">
        <f>DT208+各项系数!$L$9*$NV208</f>
        <v>8.79468278853639</v>
      </c>
      <c r="DT208" s="260">
        <f>DU208*(1+$EB208+各项系数!$J$5+各项系数!$L$5)</f>
        <v>8.69008933201235</v>
      </c>
      <c r="DU208" s="262">
        <f t="shared" si="957"/>
        <v>8.43697993399257</v>
      </c>
      <c r="DV208" s="259">
        <f>DW208+各项系数!$M$9*$NV208</f>
        <v>8.85108211765726</v>
      </c>
      <c r="DW208" s="259">
        <f t="shared" si="958"/>
        <v>8.74648866113322</v>
      </c>
      <c r="DX208" s="260">
        <f>DY208+各项系数!$L$9*$NV208</f>
        <v>8.83662220765126</v>
      </c>
      <c r="DY208" s="260">
        <f>DZ208*(1+$EB208+各项系数!$J$5+各项系数!$L$5)</f>
        <v>8.73202875112722</v>
      </c>
      <c r="DZ208" s="262">
        <f t="shared" si="959"/>
        <v>8.47769781662837</v>
      </c>
      <c r="EA208" s="277">
        <f t="shared" si="826"/>
        <v>0.01</v>
      </c>
      <c r="EB208" s="277">
        <f t="shared" si="960"/>
        <v>0.01</v>
      </c>
      <c r="EC208" s="302" t="str">
        <f t="shared" si="1008"/>
        <v>3+2</v>
      </c>
      <c r="ED208" s="302" t="str">
        <f t="shared" si="890"/>
        <v>3*2.5</v>
      </c>
      <c r="EE208" s="251">
        <f t="shared" si="891"/>
        <v>2.5</v>
      </c>
      <c r="EF208" s="251">
        <f>LOOKUP(EH208,{1,7,10,14,19,24,30,37,48,61},{1,"1+6","2+8","4+10","1+6+12","2+8+14","4+10+16","1+6+12+18","3+9+15+21","1+6+12+18+24"})</f>
        <v>1</v>
      </c>
      <c r="EG208" s="250">
        <f t="shared" si="961"/>
        <v>3</v>
      </c>
      <c r="EH208" s="260">
        <f>VLOOKUP(EE208,各项系数!$B$87:$C$124,2,0)</f>
        <v>1</v>
      </c>
      <c r="EI208" s="250">
        <f>IF(EH208=0,0,VLOOKUP(EH208,各项系数!$D$142:$E$195,2,0))*1</f>
        <v>1</v>
      </c>
      <c r="EJ208" s="305">
        <f t="shared" si="1009"/>
        <v>172.412400708262</v>
      </c>
      <c r="EK208" s="251" t="str">
        <f t="shared" si="892"/>
        <v>2*1.5</v>
      </c>
      <c r="EL208" s="251" t="str">
        <f t="shared" si="962"/>
        <v>1.5</v>
      </c>
      <c r="EM208" s="251">
        <f t="shared" si="893"/>
        <v>1.5</v>
      </c>
      <c r="EN208" s="251">
        <f>IF(EP208=0,0,LOOKUP(EP208,{1,7,10,14,19,24,30,37,48,61},{1,"1+6","2+8","4+10","1+6+12","2+8+14","4+10+16","1+6+12+18","3+9+15+21","1+6+12+18+24"}))</f>
        <v>1</v>
      </c>
      <c r="EO208" s="251" t="str">
        <f t="shared" si="894"/>
        <v>2</v>
      </c>
      <c r="EP208" s="251">
        <f>IF(EM208=0,0,IF(EM208&lt;10,1,IF(AND(EM208&gt;=10,EM208&lt;=35),7,LOOKUP(EM208,{50,70,95,120,150,185,240,300},{10,14,19,24,30,37,48,61})*1)))</f>
        <v>1</v>
      </c>
      <c r="EQ208" s="251">
        <f>IF(EP208=0,0,VLOOKUP(EP208,各项系数!$D$142:$E$195,2,0))*1</f>
        <v>1</v>
      </c>
      <c r="ER208" s="69">
        <f t="shared" si="895"/>
        <v>134.922667214547</v>
      </c>
      <c r="ES208" s="566">
        <f t="shared" si="896"/>
        <v>5</v>
      </c>
      <c r="ET208" s="251">
        <f>VLOOKUP(ES208,各项系数!$D$142:$E$195,2,0)*1</f>
        <v>2.7</v>
      </c>
      <c r="EU208" s="311">
        <f>((各项系数!$F$76/4*$EJ208^2*$EG208*$EH208*1*10^-7)*(1-$H208)*AA208)*(VLOOKUP($EY$9,各项系数!$D$4:$F$143,3,0))*各项系数!$J$4</f>
        <v>0.0619545170667087</v>
      </c>
      <c r="EV208" s="312">
        <f>EU208*(VLOOKUP($EY$9,各项系数!$D$4:$F$143,2,0))</f>
        <v>4.05802086786942</v>
      </c>
      <c r="EW208" s="324">
        <f>(IF($EO208=0,0,(各项系数!$F$76/4*$ER208^2*$EO208*$EP208*1*10^-7))*(1-$K208)*$AF208)*(VLOOKUP($EY$9,各项系数!$D$4:$F$143,3,0))*各项系数!$J$4</f>
        <v>0.0252938276288876</v>
      </c>
      <c r="EX208" s="325">
        <f>EW208*(VLOOKUP($EY$9,各项系数!$D$4:$F$143,2,0))</f>
        <v>1.65674570969214</v>
      </c>
      <c r="EY208" s="251">
        <f>((各项系数!$F$76/4*$EJ208^2*$EG208*$EH208*1*10^-7)*(1-$H208)*AA208+IF($EO208=0,0,(各项系数!$F$76/4*$ER208^2*$EO208*$EP208*1*10^-7))*(1-$K208)*$AF208)*(VLOOKUP($EY$9,各项系数!$D$4:$F$143,3,0))*各项系数!$J$4</f>
        <v>0.0872483446955963</v>
      </c>
      <c r="EZ208" s="123">
        <v>1</v>
      </c>
      <c r="FA208" s="251">
        <f t="shared" si="897"/>
        <v>0.0872483446955963</v>
      </c>
      <c r="FB208" s="326">
        <f>FA208*(VLOOKUP($EY$9,各项系数!$D$4:$F$143,2,0))</f>
        <v>5.71476657756156</v>
      </c>
      <c r="FC208" s="327"/>
      <c r="FD208" s="302">
        <f>各项系数!$F$76/4*($MN208^2-MK208^2)*10^-2*(VLOOKUP(L208,各项系数!$D$1:$F$143,3,0))*10^-3*10^2*$EG208*各项系数!$J$4</f>
        <v>0.0175040992209944</v>
      </c>
      <c r="FE208" s="339">
        <f>FD208*VLOOKUP(L208,各项系数!$D$1:$F$143,2,0)</f>
        <v>0.201297141041435</v>
      </c>
      <c r="FF208" s="250">
        <f>各项系数!$F$76/4*($MO208^2-ML208^2)*10^-2*(VLOOKUP(L208,各项系数!$D$1:$F$143,3,0))*10^-3*10^2*$EO208*各项系数!$J$4</f>
        <v>0.00986469528352127</v>
      </c>
      <c r="FG208" s="339">
        <f>FF208*VLOOKUP(L208,各项系数!$D$1:$F$143,2,0)</f>
        <v>0.113443995760495</v>
      </c>
      <c r="FH208" s="302">
        <f t="shared" si="1010"/>
        <v>0.0273687945045156</v>
      </c>
      <c r="FI208" s="123">
        <v>1</v>
      </c>
      <c r="FJ208" s="251">
        <f t="shared" si="898"/>
        <v>0.0273687945045156</v>
      </c>
      <c r="FK208" s="339">
        <f>FJ208*VLOOKUP(L208,各项系数!$D$1:$F$143,2,0)</f>
        <v>0.31474113680193</v>
      </c>
      <c r="FL208" s="302"/>
      <c r="FM208" s="123"/>
      <c r="FN208" s="251"/>
      <c r="FO208" s="339"/>
      <c r="FP208" s="364">
        <f t="shared" si="899"/>
        <v>0.0273687945045156</v>
      </c>
      <c r="FQ208" s="364">
        <f t="shared" si="900"/>
        <v>0.31474113680193</v>
      </c>
      <c r="FR208" s="365">
        <f>各项系数!$F$76/4*($MQ208^2-$MN208^2*$EG208-$MO208^2*$EO208)*10^-2</f>
        <v>0.157769989115277</v>
      </c>
      <c r="FS208" s="366">
        <f t="shared" si="1011"/>
        <v>1</v>
      </c>
      <c r="FT208" s="367">
        <f t="shared" si="963"/>
        <v>0.157769989115277</v>
      </c>
      <c r="FU208" s="388">
        <f>$FT208*(VLOOKUP($FT$9,各项系数!$D$1:$F$143,3,0))*10^-3*10^2*各项系数!$J$55</f>
        <v>0.0188377367003641</v>
      </c>
      <c r="FV208" s="389">
        <v>1</v>
      </c>
      <c r="FW208" s="390">
        <f t="shared" si="901"/>
        <v>0.0188377367003641</v>
      </c>
      <c r="FX208" s="367">
        <f>FW208*(VLOOKUP($FT$9,各项系数!$D$1:$F$143,2,0))</f>
        <v>0.0565132101010922</v>
      </c>
      <c r="FY208" s="388">
        <f>IF($BK208&lt;&gt;$FY$9,0,各项系数!$F$76/4*($MS208^2-$MQ208^2)*10^-2*(VLOOKUP($FY$9,各项系数!$D$1:$F$143,3,0))*10^-3*10^2)*各项系数!$J$4</f>
        <v>0</v>
      </c>
      <c r="FZ208" s="389">
        <v>1</v>
      </c>
      <c r="GA208" s="390">
        <f t="shared" si="902"/>
        <v>0</v>
      </c>
      <c r="GB208" s="367">
        <f>GA208*(VLOOKUP($FY$9,各项系数!$D$1:$F$143,2,0))</f>
        <v>0</v>
      </c>
      <c r="GC208" s="388">
        <f>IF($BK208&lt;&gt;$GC$9,0,各项系数!$F$76/4*($MS208^2-$MQ208^2)*10^-2*(VLOOKUP($GC$9,各项系数!$D$1:$F$143,3,0))*10^-3*10^2)*各项系数!$J$4</f>
        <v>0.00221081809928691</v>
      </c>
      <c r="GD208" s="389">
        <v>1</v>
      </c>
      <c r="GE208" s="390">
        <f t="shared" si="903"/>
        <v>0.00221081809928691</v>
      </c>
      <c r="GF208" s="367">
        <f>GE208*(VLOOKUP($GC$9,各项系数!$D$1:$F$143,2,0))</f>
        <v>0.0285195534808011</v>
      </c>
      <c r="GG208" s="388">
        <f>IF($BK208&lt;&gt;$GG$9,0,各项系数!$F$76/4*($MS208^2-$MQ208^2)*10^-2*(VLOOKUP($GG$9,各项系数!$D$1:$F$143,3,0))*10^-3*10^2)*各项系数!$J$4</f>
        <v>0</v>
      </c>
      <c r="GH208" s="389">
        <v>1</v>
      </c>
      <c r="GI208" s="390">
        <f t="shared" si="904"/>
        <v>0</v>
      </c>
      <c r="GJ208" s="367">
        <f>GI208*(VLOOKUP($GG$9,各项系数!$D$1:$F$143,2,0))</f>
        <v>0</v>
      </c>
      <c r="GK208" s="388">
        <f>IF($BK208&lt;&gt;$GK$9,0,各项系数!$F$76/4*($MS208^2-$MQ208^2)*10^-2*(VLOOKUP($GK$9,各项系数!$D$1:$F$143,3,0))*10^-3*10^2)*各项系数!$J$4</f>
        <v>0</v>
      </c>
      <c r="GL208" s="389">
        <v>1</v>
      </c>
      <c r="GM208" s="390">
        <f t="shared" si="905"/>
        <v>0</v>
      </c>
      <c r="GN208" s="367">
        <f>GM208*(VLOOKUP($GK$9,各项系数!$D$1:$F$143,2,0))</f>
        <v>0</v>
      </c>
      <c r="GO208" s="390">
        <f t="shared" si="906"/>
        <v>0.00221081809928691</v>
      </c>
      <c r="GP208" s="390">
        <f t="shared" si="907"/>
        <v>0.0285195534808011</v>
      </c>
      <c r="GQ208" s="406">
        <f>各项系数!$F$76/4*($MU208^2-$MS208^2)*10^-2*(VLOOKUP($S208,各项系数!$D$1:$F$143,3,0))*10^-3*10^2*各项系数!$J$4</f>
        <v>0.129158132011457</v>
      </c>
      <c r="GR208" s="389">
        <v>1</v>
      </c>
      <c r="GS208" s="390">
        <f t="shared" si="908"/>
        <v>0.129158132011457</v>
      </c>
      <c r="GT208" s="390">
        <f t="shared" si="909"/>
        <v>1</v>
      </c>
      <c r="GU208" s="390">
        <f>ROUND($GS208*(VLOOKUP($S208,各项系数!$D$1:$F$143,2,0))+$E$3*GS208,GT208)</f>
        <v>0.7</v>
      </c>
      <c r="GV208" s="406">
        <f>各项系数!$F$76/4*($MT208^2-$MS208^2)*10^-2*(VLOOKUP($GV$9,各项系数!$D$1:$F$143,3,0))*10^-3*10^2*各项系数!$J$4*PI()/4*R208</f>
        <v>0.0115745036552862</v>
      </c>
      <c r="GW208" s="389">
        <v>1</v>
      </c>
      <c r="GX208" s="390">
        <f t="shared" si="910"/>
        <v>0.0115745036552862</v>
      </c>
      <c r="GY208" s="390">
        <f>$GX208*(VLOOKUP($GV$9,各项系数!$D$1:$F$143,2,0))</f>
        <v>0.781278996731816</v>
      </c>
      <c r="GZ208" s="406">
        <f>各项系数!$F$76/4*($MV208^2-$MS208^2)*10^-2*(VLOOKUP($GZ$9,各项系数!$D$1:$F$143,3,0))*10^-3*10^2*各项系数!$J$4</f>
        <v>0.0659908155142376</v>
      </c>
      <c r="HA208" s="389">
        <v>1</v>
      </c>
      <c r="HB208" s="390">
        <f t="shared" si="1012"/>
        <v>0.0659908155142376</v>
      </c>
      <c r="HC208" s="390">
        <f>HB208*(VLOOKUP($GZ$9,各项系数!$D$1:$F$143,2,0))</f>
        <v>1.12184386374204</v>
      </c>
      <c r="HD208" s="406">
        <f>各项系数!$F$76/4*($MW208^2-$MT208^2)*10^-2*(VLOOKUP($HD$9,各项系数!$D$1:$F$143,3,0))*10^-3*10^2*各项系数!$J$4</f>
        <v>0.0670786233864695</v>
      </c>
      <c r="HE208" s="389">
        <v>1</v>
      </c>
      <c r="HF208" s="390">
        <f t="shared" si="1013"/>
        <v>0.0670786233864695</v>
      </c>
      <c r="HG208" s="390">
        <f>HF208*(VLOOKUP($HD$9,各项系数!$D$1:$F$143,2,0))</f>
        <v>1.14033659756998</v>
      </c>
      <c r="HH208" s="406">
        <f>各项系数!$F$76/4*($MV208^2-$MS208^2)*10^-2*(VLOOKUP($HH$9,各项系数!$D$1:$F$143,3,0))*10^-3*10^2*各项系数!$J$4</f>
        <v>0.0659908155142376</v>
      </c>
      <c r="HI208" s="420">
        <v>1</v>
      </c>
      <c r="HJ208" s="390">
        <f t="shared" si="1014"/>
        <v>0.0659908155142376</v>
      </c>
      <c r="HK208" s="390">
        <f>HJ208*(VLOOKUP($HH$9,各项系数!$D$1:$F$143,2,0))</f>
        <v>1.12184386374204</v>
      </c>
      <c r="HL208" s="406">
        <f>各项系数!$F$76/4*($MW208^2-$MT208^2)*10^-2*(VLOOKUP($HL$9,各项系数!$D$1:$F$143,3,0))*10^-3*10^2*各项系数!$J$4</f>
        <v>0.0670786233864695</v>
      </c>
      <c r="HM208" s="420">
        <v>1</v>
      </c>
      <c r="HN208" s="390">
        <f t="shared" si="964"/>
        <v>0.0670786233864695</v>
      </c>
      <c r="HO208" s="390">
        <f>HN208*(VLOOKUP($HL$9,各项系数!$D$1:$F$143,2,0))</f>
        <v>1.14033659756998</v>
      </c>
      <c r="HP208" s="406">
        <f>各项系数!$F$76/4*($MV208^2-$MS208^2)*10^-2*(VLOOKUP(AN208,各项系数!$D$1:$F$143,3,0))*10^-3*10^2*各项系数!$J$4</f>
        <v>0.0669010336592615</v>
      </c>
      <c r="HQ208" s="389">
        <v>1</v>
      </c>
      <c r="HR208" s="390">
        <f t="shared" si="911"/>
        <v>0.0669010336592615</v>
      </c>
      <c r="HS208" s="390">
        <f>HR208*(VLOOKUP(AN208,各项系数!$D$1:$F$143,2,0))</f>
        <v>0.669010336592615</v>
      </c>
      <c r="HT208" s="406">
        <f>各项系数!$F$76/4*($MW208^2-$MT208^2)*10^-2*(VLOOKUP(AN208,各项系数!$D$1:$F$143,3,0))*10^-3*10^2*各项系数!$J$4</f>
        <v>0.068003845778007</v>
      </c>
      <c r="HU208" s="389">
        <v>1</v>
      </c>
      <c r="HV208" s="390">
        <f t="shared" si="912"/>
        <v>0.068003845778007</v>
      </c>
      <c r="HW208" s="390">
        <f>HV208*(VLOOKUP(AN208,各项系数!$D$1:$F$143,2,0))</f>
        <v>0.68003845778007</v>
      </c>
      <c r="HX208" s="406">
        <f>各项系数!$F$76/4*($MV208^2-$MS208^2)*10^-2*(VLOOKUP($HX$9,各项系数!$D$1:$F$143,3,0))*10^-3*10^2*各项系数!$J$4</f>
        <v>0.0669010336592615</v>
      </c>
      <c r="HY208" s="420">
        <v>1</v>
      </c>
      <c r="HZ208" s="390">
        <f t="shared" si="913"/>
        <v>0.0669010336592615</v>
      </c>
      <c r="IA208" s="390">
        <f>HZ208*(VLOOKUP($HX$9,各项系数!$D$1:$F$143,2,0))</f>
        <v>0.735911370251877</v>
      </c>
      <c r="IB208" s="406">
        <f>各项系数!$F$76/4*($MW208^2-$MT208^2)*10^-2*(VLOOKUP($IB$9,各项系数!$D$1:$F$143,3,0))*10^-3*10^2*各项系数!$J$4</f>
        <v>0.068003845778007</v>
      </c>
      <c r="IC208" s="420">
        <v>1</v>
      </c>
      <c r="ID208" s="390">
        <f t="shared" si="914"/>
        <v>0.068003845778007</v>
      </c>
      <c r="IE208" s="390">
        <f>ID208*(VLOOKUP($IB$9,各项系数!$D$1:$F$143,2,0))</f>
        <v>0.748042303558077</v>
      </c>
      <c r="IF208" s="429"/>
      <c r="IG208" s="406">
        <f t="shared" si="1015"/>
        <v>0.0131814538109273</v>
      </c>
      <c r="IH208" s="389">
        <v>1</v>
      </c>
      <c r="II208" s="390">
        <f t="shared" si="915"/>
        <v>0.0131814538109273</v>
      </c>
      <c r="IJ208" s="390">
        <f>II208*(VLOOKUP($IG$8,各项系数!$D$1:$F$143,2,0))</f>
        <v>0.329536345273182</v>
      </c>
      <c r="IK208" s="406">
        <f>(各项系数!$F$76/4*($MX208^2-$MK208^2)*$EG208)*10^-2*(VLOOKUP($IG$8,各项系数!$D$1:$F$143,3,0))*10^-3*10^2*各项系数!$J$4</f>
        <v>0.00854169064313201</v>
      </c>
      <c r="IL208" s="389">
        <f>IK208*(VLOOKUP($IG$8,各项系数!$D$1:$F$143,2,0))</f>
        <v>0.2135422660783</v>
      </c>
      <c r="IM208" s="390">
        <f>(各项系数!$F$76/4*(($MM208+3*$X208)^2-MM208^2)*$EO208)*10^-2*(VLOOKUP($IG$8,各项系数!$D$1:$F$143,3,0))*10^-3*10^2*各项系数!$J$4</f>
        <v>0.00463976316779529</v>
      </c>
      <c r="IN208" s="389">
        <f>IM208*(VLOOKUP($IG$8,各项系数!$D$1:$F$143,2,0))</f>
        <v>0.115994079194882</v>
      </c>
      <c r="IO208" s="406">
        <f>各项系数!$F$76/4*($MZ208^2-$MX208^2)*10^-2*(VLOOKUP(L208,各项系数!$D$1:$F$143,3,0))*10^-3*10^2*$ES208*各项系数!$J$4</f>
        <v>0.0363942923363007</v>
      </c>
      <c r="IP208" s="389">
        <v>1</v>
      </c>
      <c r="IQ208" s="390">
        <f t="shared" si="916"/>
        <v>0.0363942923363007</v>
      </c>
      <c r="IR208" s="367">
        <f>IQ208*(VLOOKUP(L208,各项系数!$D$1:$F$143,2,0))</f>
        <v>0.418534361867458</v>
      </c>
      <c r="IS208" s="406">
        <f>IF($L208&lt;&gt;$IS$9,0,各项系数!$F$76/4*($MZ208^2-$MX208^2)*10^-2*各项系数!$F$12*10^-3*10^2)*$ES208*各项系数!$J$4</f>
        <v>0</v>
      </c>
      <c r="IT208" s="389">
        <v>1</v>
      </c>
      <c r="IU208" s="390">
        <f t="shared" si="917"/>
        <v>0</v>
      </c>
      <c r="IV208" s="367">
        <f>IU208*各项系数!$E$12</f>
        <v>0</v>
      </c>
      <c r="IW208" s="388">
        <f t="shared" si="918"/>
        <v>0.0363942923363007</v>
      </c>
      <c r="IX208" s="388">
        <f t="shared" si="919"/>
        <v>0.418534361867458</v>
      </c>
      <c r="IY208" s="447">
        <f>各项系数!$F$76/4*($NB208^2-$MZ208^2*$EG208-$NA208^2*$EO208)*10^-2</f>
        <v>0.228435447579062</v>
      </c>
      <c r="IZ208" s="366">
        <f t="shared" si="697"/>
        <v>1</v>
      </c>
      <c r="JA208" s="367">
        <f t="shared" si="965"/>
        <v>0.228435447579062</v>
      </c>
      <c r="JB208" s="364">
        <f>IF($DE208&lt;&gt;$JB$9,0,$JA208*各项系数!$F$32*10^-3*10^2)*各项系数!$J$4</f>
        <v>0</v>
      </c>
      <c r="JC208" s="123">
        <v>1</v>
      </c>
      <c r="JD208" s="251">
        <f t="shared" si="920"/>
        <v>0</v>
      </c>
      <c r="JE208" s="339">
        <f>JD208*各项系数!$E$32</f>
        <v>0</v>
      </c>
      <c r="JF208" s="364">
        <f>IF($DE208&lt;&gt;$JF$9,0,$JA208*VLOOKUP($JF$9,各项系数!$D$4:$F$540,2,0)*10^-3*10^2)*各项系数!$J$4</f>
        <v>0.113646635170583</v>
      </c>
      <c r="JG208" s="123">
        <v>1</v>
      </c>
      <c r="JH208" s="251">
        <f t="shared" si="966"/>
        <v>0.113646635170583</v>
      </c>
      <c r="JI208" s="339">
        <f>JH208*VLOOKUP($JF$9,各项系数!$D$4:$F$540,3,0)</f>
        <v>0.1363759622047</v>
      </c>
      <c r="JJ208" s="364">
        <f t="shared" si="921"/>
        <v>0.113646635170583</v>
      </c>
      <c r="JK208" s="251">
        <f t="shared" si="922"/>
        <v>0.1363759622047</v>
      </c>
      <c r="JL208" s="364">
        <f>IF($DF208&lt;&gt;$JL$9,0,各项系数!$F$76/4*($NE208^2-$NC208^2)*10^-2*各项系数!$F$39*10^-3*10^2)*各项系数!$J$4</f>
        <v>0.00109946381235526</v>
      </c>
      <c r="JM208" s="123">
        <v>1</v>
      </c>
      <c r="JN208" s="251">
        <f t="shared" si="923"/>
        <v>0.00109946381235526</v>
      </c>
      <c r="JO208" s="339">
        <f>JN208*各项系数!$E$39</f>
        <v>0.0219892762471052</v>
      </c>
      <c r="JP208" s="364">
        <f>IF($DF208&lt;&gt;$JP$9,0,各项系数!$F$76/4*($NE208^2-$NC208^2)*10^-2*各项系数!$F$36*10^-3*10^2)*各项系数!$J$4</f>
        <v>0</v>
      </c>
      <c r="JQ208" s="123">
        <v>1</v>
      </c>
      <c r="JR208" s="251">
        <f t="shared" si="924"/>
        <v>0</v>
      </c>
      <c r="JS208" s="339">
        <f>JR208*各项系数!$E$36</f>
        <v>0</v>
      </c>
      <c r="JT208" s="364">
        <f>IF($DF208&lt;&gt;$JT$9,0,各项系数!$F$76/4*($NE208^2-$NC208^2)*10^-2*各项系数!$F$40*10^-3*10^2)*各项系数!$J$4</f>
        <v>0</v>
      </c>
      <c r="JU208" s="123">
        <v>1</v>
      </c>
      <c r="JV208" s="251">
        <f t="shared" si="925"/>
        <v>0</v>
      </c>
      <c r="JW208" s="339">
        <f>JV208*各项系数!$E$40</f>
        <v>0</v>
      </c>
      <c r="JX208" s="364">
        <f>IF($DF208&lt;&gt;$JX$9,0,各项系数!$F$76/4*($NE208^2-$NC208^2)*10^-2*各项系数!$F$38*10^-3*10^2)*各项系数!$J$4</f>
        <v>0</v>
      </c>
      <c r="JY208" s="123">
        <v>1</v>
      </c>
      <c r="JZ208" s="251">
        <f t="shared" si="926"/>
        <v>0</v>
      </c>
      <c r="KA208" s="339">
        <f>JZ208*各项系数!$E$38</f>
        <v>0</v>
      </c>
      <c r="KB208" s="364">
        <f>IF($DF208&lt;&gt;$KB$9,0,各项系数!$F$76/4*($NE208^2-$NC208^2)*10^-2*各项系数!$F$41*10^-3*10^2)*各项系数!$J$4</f>
        <v>0</v>
      </c>
      <c r="KC208" s="123">
        <v>1</v>
      </c>
      <c r="KD208" s="251">
        <f t="shared" si="927"/>
        <v>0</v>
      </c>
      <c r="KE208" s="339">
        <f>KD208*各项系数!$E$41</f>
        <v>0</v>
      </c>
      <c r="KF208" s="251">
        <f t="shared" si="928"/>
        <v>0.00109946381235526</v>
      </c>
      <c r="KG208" s="251">
        <f t="shared" si="929"/>
        <v>0.0219892762471052</v>
      </c>
      <c r="KH208" s="302">
        <f>各项系数!$F$76/4*($NG208^2-$NE208^2)*10^-2*各项系数!$F$44*10^-3*10^2*各项系数!$J$4*0.75*$U208</f>
        <v>0.461570316719606</v>
      </c>
      <c r="KI208" s="123">
        <v>1</v>
      </c>
      <c r="KJ208" s="251">
        <f t="shared" si="930"/>
        <v>0.461570316719606</v>
      </c>
      <c r="KK208" s="251">
        <f>ROUND(KJ208*各项系数!$E$43,GT208)</f>
        <v>2.7</v>
      </c>
      <c r="KL208" s="302">
        <f>各项系数!$F$76/4*($NF208^2-$NE208^2)*10^-2*各项系数!$F$46*10^-3*10^2*各项系数!$J$4*PI()/4*R208</f>
        <v>0.0139267708775219</v>
      </c>
      <c r="KM208" s="123">
        <v>1</v>
      </c>
      <c r="KN208" s="251">
        <f t="shared" si="931"/>
        <v>0.0139267708775219</v>
      </c>
      <c r="KO208" s="251">
        <f>KN208*各项系数!$E$46</f>
        <v>0.940057034232731</v>
      </c>
      <c r="KP208" s="302">
        <f>各项系数!$F$76/4*($NH208^2-$NE208^2)*10^-2*(VLOOKUP($KP$9,各项系数!$D$1:$F$143,3,0))*10^-3*10^2*各项系数!$J$4</f>
        <v>0.0774399933694793</v>
      </c>
      <c r="KQ208" s="123">
        <v>1</v>
      </c>
      <c r="KR208" s="251">
        <f t="shared" si="1016"/>
        <v>0.0774399933694793</v>
      </c>
      <c r="KS208" s="251">
        <f>KR208*(VLOOKUP($KP$9,各项系数!$D$1:$F$143,2,0))</f>
        <v>1.31647988728115</v>
      </c>
      <c r="KT208" s="302">
        <f>各项系数!$F$76/4*($NI208^2-$NF208^2)*10^-2*(VLOOKUP($KT$9,各项系数!$D$1:$F$143,3,0))*10^-3*10^2*各项系数!$J$4</f>
        <v>0.0785278012417114</v>
      </c>
      <c r="KU208" s="123">
        <v>1</v>
      </c>
      <c r="KV208" s="251">
        <f t="shared" si="1017"/>
        <v>0.0785278012417114</v>
      </c>
      <c r="KW208" s="251">
        <f>KV208*(VLOOKUP($KT$9,各项系数!$D$1:$F$143,2,0))</f>
        <v>1.33497262110909</v>
      </c>
      <c r="KX208" s="251">
        <f>各项系数!$F$76/4*($NH208^2-$NE208^2)*10^-2*(VLOOKUP($KX$9,各项系数!$D$1:$F$143,3,0))*10^-3*10^2*各项系数!$J$4</f>
        <v>0.0774399933694793</v>
      </c>
      <c r="KY208" s="479">
        <v>1</v>
      </c>
      <c r="KZ208" s="251">
        <f t="shared" si="1018"/>
        <v>0.0774399933694793</v>
      </c>
      <c r="LA208" s="251">
        <f>KZ208*(VLOOKUP($KX$9,各项系数!$D$1:$F$143,2,0))</f>
        <v>1.31647988728115</v>
      </c>
      <c r="LB208" s="251">
        <f>各项系数!$F$76/4*($NI208^2-$NF208^2)*10^-2*(VLOOKUP($LB$9,各项系数!$D$1:$F$143,3,0))*10^-3*10^2*各项系数!$J$4</f>
        <v>0.0785278012417114</v>
      </c>
      <c r="LC208" s="479">
        <v>1</v>
      </c>
      <c r="LD208" s="251">
        <f t="shared" si="1019"/>
        <v>0.0785278012417114</v>
      </c>
      <c r="LE208" s="251">
        <f>LD208*(VLOOKUP($LB$9,各项系数!$D$1:$F$143,2,0))</f>
        <v>1.33497262110909</v>
      </c>
      <c r="LF208" s="302">
        <f>各项系数!$F$76/4*($NH208^2-$NE208^2)*10^-2*(VLOOKUP(AN208,各项系数!$D$1:$F$143,3,0))*10^-3*10^2*各项系数!$J$4</f>
        <v>0.0785081312090584</v>
      </c>
      <c r="LG208" s="123">
        <v>1</v>
      </c>
      <c r="LH208" s="251">
        <f t="shared" si="932"/>
        <v>0.0785081312090584</v>
      </c>
      <c r="LI208" s="251">
        <f>LH208*(VLOOKUP(AN208,各项系数!$D$1:$F$143,2,0))</f>
        <v>0.785081312090584</v>
      </c>
      <c r="LJ208" s="302">
        <f>各项系数!$F$76/4*($NI208^2-$NF208^2)*10^-2*(VLOOKUP(AN208,各项系数!$D$1:$F$143,3,0))*10^-3*10^2*各项系数!$J$4</f>
        <v>0.0796109433278039</v>
      </c>
      <c r="LK208" s="123">
        <v>1</v>
      </c>
      <c r="LL208" s="251">
        <f t="shared" si="933"/>
        <v>0.0796109433278039</v>
      </c>
      <c r="LM208" s="251">
        <f>LL208*(VLOOKUP(AN208,各项系数!$D$1:$F$143,2,0))</f>
        <v>0.796109433278039</v>
      </c>
      <c r="LN208" s="251">
        <f>各项系数!$F$76/4*($NH208^2-$NE208^2)*10^-2*(VLOOKUP($LN$9,各项系数!$D$1:$F$143,3,0))*10^-3*10^2*各项系数!$J$4</f>
        <v>0.0785081312090584</v>
      </c>
      <c r="LO208" s="479">
        <v>1</v>
      </c>
      <c r="LP208" s="251">
        <f t="shared" si="934"/>
        <v>0.0785081312090584</v>
      </c>
      <c r="LQ208" s="251">
        <f>LP208*(VLOOKUP($LN$9,各项系数!$D$1:$F$143,2,0))</f>
        <v>0.863589443299642</v>
      </c>
      <c r="LR208" s="251">
        <f>各项系数!$F$76/4*($NI208^2-$NF208^2)*10^-2*(VLOOKUP($LR$9,各项系数!$D$1:$F$143,3,0))*10^-3*10^2*各项系数!$J$4</f>
        <v>0.0796109433278039</v>
      </c>
      <c r="LS208" s="479">
        <v>1</v>
      </c>
      <c r="LT208" s="251">
        <f t="shared" si="935"/>
        <v>0.0796109433278039</v>
      </c>
      <c r="LU208" s="251">
        <f>LT208*(VLOOKUP($LR$9,各项系数!$D$1:$F$143,2,0))</f>
        <v>0.875720376605843</v>
      </c>
      <c r="LV208" s="499">
        <f t="shared" si="1020"/>
        <v>7.00403223</v>
      </c>
      <c r="LW208" s="499">
        <f t="shared" si="1021"/>
        <v>7.00403223</v>
      </c>
      <c r="LX208" s="499">
        <f t="shared" si="1022"/>
        <v>2.98627038424782</v>
      </c>
      <c r="LY208" s="515">
        <f t="shared" si="1023"/>
        <v>0</v>
      </c>
      <c r="LZ208" s="516">
        <f t="shared" si="967"/>
        <v>1</v>
      </c>
      <c r="MA208" s="517">
        <f t="shared" si="968"/>
        <v>7.00403223</v>
      </c>
      <c r="MB208" s="517">
        <f t="shared" si="1024"/>
        <v>1.72412401</v>
      </c>
      <c r="MC208" s="499">
        <f t="shared" si="1025"/>
        <v>2.85949745</v>
      </c>
      <c r="MD208" s="499">
        <f t="shared" si="1026"/>
        <v>2.85949744</v>
      </c>
      <c r="ME208" s="499">
        <f t="shared" si="1027"/>
        <v>1.90809465663446</v>
      </c>
      <c r="MF208" s="499">
        <f t="shared" si="1028"/>
        <v>9.99999993922529e-9</v>
      </c>
      <c r="MG208" s="516">
        <f t="shared" si="1029"/>
        <v>1</v>
      </c>
      <c r="MH208" s="517">
        <f t="shared" si="969"/>
        <v>2.85949745</v>
      </c>
      <c r="MI208" s="517">
        <f t="shared" si="1030"/>
        <v>1.34922667321124</v>
      </c>
      <c r="MJ208" s="251">
        <f t="shared" si="970"/>
        <v>1.72412401</v>
      </c>
      <c r="MK208" s="251">
        <f t="shared" si="1031"/>
        <v>1.72412401</v>
      </c>
      <c r="ML208" s="251">
        <f t="shared" si="936"/>
        <v>1.34922667214547</v>
      </c>
      <c r="MM208" s="251">
        <f t="shared" si="971"/>
        <v>1.34922667321124</v>
      </c>
      <c r="MN208" s="251">
        <f t="shared" si="972"/>
        <v>3.12412401</v>
      </c>
      <c r="MO208" s="251">
        <f t="shared" si="1032"/>
        <v>2.74922667321124</v>
      </c>
      <c r="MP208" s="251">
        <f t="shared" si="1033"/>
        <v>8.0302457</v>
      </c>
      <c r="MQ208" s="251">
        <f t="shared" si="937"/>
        <v>8.0302457</v>
      </c>
      <c r="MR208" s="314">
        <f t="shared" si="1034"/>
        <v>8.0302457</v>
      </c>
      <c r="MS208" s="530">
        <f t="shared" si="973"/>
        <v>8.2062457</v>
      </c>
      <c r="MT208" s="530">
        <f t="shared" si="974"/>
        <v>8.3662457</v>
      </c>
      <c r="MU208" s="530">
        <f t="shared" si="975"/>
        <v>9.4062457</v>
      </c>
      <c r="MV208" s="530">
        <f t="shared" si="976"/>
        <v>11.2062457</v>
      </c>
      <c r="MW208" s="530">
        <f t="shared" si="977"/>
        <v>11.3662457</v>
      </c>
      <c r="MX208" s="326">
        <f t="shared" si="978"/>
        <v>2.32412401</v>
      </c>
      <c r="MY208" s="326">
        <f t="shared" si="979"/>
        <v>1.94922667321124</v>
      </c>
      <c r="MZ208" s="251">
        <f t="shared" si="980"/>
        <v>3.72412401</v>
      </c>
      <c r="NA208" s="251">
        <f t="shared" si="981"/>
        <v>3.34922667321124</v>
      </c>
      <c r="NB208" s="251">
        <f t="shared" si="1035"/>
        <v>9.6502457</v>
      </c>
      <c r="NC208" s="326">
        <f t="shared" si="938"/>
        <v>9.6502457</v>
      </c>
      <c r="ND208" s="314">
        <f t="shared" si="1036"/>
        <v>9.6502457</v>
      </c>
      <c r="NE208" s="537">
        <f t="shared" si="1037"/>
        <v>9.8902457</v>
      </c>
      <c r="NF208" s="530">
        <f t="shared" si="982"/>
        <v>10.0502457</v>
      </c>
      <c r="NG208" s="538">
        <f t="shared" si="983"/>
        <v>11.0902457</v>
      </c>
      <c r="NH208" s="326">
        <f t="shared" si="984"/>
        <v>12.8902457</v>
      </c>
      <c r="NI208" s="530">
        <f t="shared" si="985"/>
        <v>13.0502457</v>
      </c>
      <c r="NK208" s="539">
        <f t="shared" si="986"/>
        <v>0.212431422942546</v>
      </c>
      <c r="NL208" s="539">
        <f t="shared" si="987"/>
        <v>6.89699481029849</v>
      </c>
      <c r="NM208" s="539">
        <f t="shared" si="988"/>
        <v>0.212431422942546</v>
      </c>
      <c r="NN208" s="539">
        <f t="shared" si="989"/>
        <v>6.96389584395775</v>
      </c>
      <c r="NO208" s="539">
        <f t="shared" si="990"/>
        <v>0.334718084202616</v>
      </c>
      <c r="NP208" s="539">
        <f t="shared" si="991"/>
        <v>7.52227791443947</v>
      </c>
      <c r="NQ208" s="539">
        <f t="shared" si="992"/>
        <v>0.334718084202616</v>
      </c>
      <c r="NR208" s="539">
        <f t="shared" si="993"/>
        <v>7.60078604564852</v>
      </c>
      <c r="NS208" s="539">
        <f t="shared" si="994"/>
        <v>0.224005926597832</v>
      </c>
      <c r="NT208" s="539">
        <f t="shared" si="995"/>
        <v>0.224005926597832</v>
      </c>
      <c r="NU208" s="539">
        <f t="shared" si="996"/>
        <v>0.348644855080138</v>
      </c>
      <c r="NV208" s="539">
        <f t="shared" si="997"/>
        <v>0.348644855080138</v>
      </c>
      <c r="NW208">
        <f t="shared" si="998"/>
        <v>0.341589554954003</v>
      </c>
      <c r="NX208">
        <f>各项系数!$M$9*NK208</f>
        <v>0.0637294268827637</v>
      </c>
      <c r="NY208">
        <f t="shared" si="999"/>
        <v>0.224005926597832</v>
      </c>
    </row>
    <row r="209" customHeight="1" spans="1:389">
      <c r="A209" s="85"/>
      <c r="B209" s="86"/>
      <c r="C209" s="218"/>
      <c r="D209" s="123" t="s">
        <v>310</v>
      </c>
      <c r="E209" s="77">
        <f t="shared" si="885"/>
        <v>11.97447476</v>
      </c>
      <c r="F209" s="225">
        <f>$F$18</f>
        <v>218.588414706449</v>
      </c>
      <c r="G209" s="23"/>
      <c r="H209" s="23"/>
      <c r="I209" s="174">
        <f>$F$17</f>
        <v>172.412400708262</v>
      </c>
      <c r="J209" s="23"/>
      <c r="K209" s="23"/>
      <c r="L209" s="118" t="s">
        <v>469</v>
      </c>
      <c r="M209" s="124">
        <f t="shared" si="940"/>
        <v>0.7</v>
      </c>
      <c r="N209" s="124">
        <f t="shared" si="1038"/>
        <v>0.7</v>
      </c>
      <c r="O209" s="69">
        <f t="shared" si="1039"/>
        <v>0.08</v>
      </c>
      <c r="P209" s="120">
        <v>0.1</v>
      </c>
      <c r="Q209" s="162">
        <f t="shared" si="941"/>
        <v>0.1</v>
      </c>
      <c r="R209" s="560">
        <v>0.8</v>
      </c>
      <c r="S209" s="171" t="str">
        <f>各项系数!$D$43</f>
        <v>钢带</v>
      </c>
      <c r="T209" s="123">
        <v>0.2</v>
      </c>
      <c r="U209" s="78">
        <v>4</v>
      </c>
      <c r="V209" s="172"/>
      <c r="W209" s="170">
        <f>$W$201</f>
        <v>1.7</v>
      </c>
      <c r="X209" s="164">
        <f t="shared" si="942"/>
        <v>0.2</v>
      </c>
      <c r="Y209" s="219"/>
      <c r="Z209" s="220"/>
      <c r="AA209" s="217">
        <v>1</v>
      </c>
      <c r="AB209" s="186">
        <f>PI()*EJ209*EJ209/4*EH209*(1-H209)*AA209*各项系数!$F$5*各项系数!$J$4*10^-7</f>
        <v>0.0331947195563496</v>
      </c>
      <c r="AC209" s="186">
        <f t="shared" si="886"/>
        <v>218.588414706449</v>
      </c>
      <c r="AD209" s="186">
        <f t="shared" si="943"/>
        <v>3.75270272129484</v>
      </c>
      <c r="AE209" s="186">
        <f>POWER(4*EU209/PI()/EG209/10^-7/EH209/(1-H209)/各项系数!$F$5/各项系数!$J$4,0.5)</f>
        <v>218.588414706449</v>
      </c>
      <c r="AF209" s="218">
        <f>$AA$182</f>
        <v>1</v>
      </c>
      <c r="AG209" s="85">
        <f>IF(EM209=0,0,PI()*ER209*ER209/4*EP209*(1-K209)*(1+AF209)*各项系数!$F$5*各项系数!$J$4*10^-7)</f>
        <v>0.0413030113778058</v>
      </c>
      <c r="AH209" s="85">
        <f t="shared" si="887"/>
        <v>172.412400708262</v>
      </c>
      <c r="AI209" s="85">
        <f t="shared" si="1000"/>
        <v>2.3346774015073</v>
      </c>
      <c r="AJ209" s="85">
        <f>IF(OR(EP209="",EP209=0),0,POWER(4*EW209/PI()/EO209/10^-7/EP209/(1-K209)/各项系数!$F$5/各项系数!$J$4,0.5))</f>
        <v>172.412400708262</v>
      </c>
      <c r="AK209" s="85">
        <f t="shared" si="944"/>
        <v>0.120235664357952</v>
      </c>
      <c r="AL209" s="85">
        <f t="shared" si="888"/>
        <v>9.41006228875018</v>
      </c>
      <c r="AM209" s="250">
        <f t="shared" si="889"/>
        <v>4</v>
      </c>
      <c r="AN209" s="118" t="s">
        <v>486</v>
      </c>
      <c r="AO209" s="259">
        <f>AP209+各项系数!$M$9*$NK209</f>
        <v>9.22555126348057</v>
      </c>
      <c r="AP209" s="259">
        <f>AQ209*(1+$BI209+(VLOOKUP($AM209,$A$12:$B$323,2,0))+各项系数!$J$6+各项系数!$M$5)*(1+$E$2)</f>
        <v>9.14871181600387</v>
      </c>
      <c r="AQ209" s="260">
        <f>AR209+各项系数!$L$9*$NK209</f>
        <v>9.33542022041212</v>
      </c>
      <c r="AR209" s="260">
        <f>AS209*(1+$BJ209+各项系数!$J$5+各项系数!$L$5)</f>
        <v>9.25858077293542</v>
      </c>
      <c r="AS209" s="260">
        <f t="shared" si="1001"/>
        <v>9.07703997346609</v>
      </c>
      <c r="AT209" s="259">
        <f>AU209+各项系数!$M$9*$NM209</f>
        <v>9.76859002807622</v>
      </c>
      <c r="AU209" s="259">
        <f>AV209*(1+$BI209+(VLOOKUP($AM209,$A$12:$B$323,2,0))+各项系数!$J$6+各项系数!$M$5)*(1+$E$2)</f>
        <v>9.69175058059952</v>
      </c>
      <c r="AV209" s="260">
        <f>AW209+各项系数!$L$9*$NM209</f>
        <v>9.88954140877502</v>
      </c>
      <c r="AW209" s="260">
        <f>AX209*(1+$BJ209+各项系数!$J$5+各项系数!$L$5)</f>
        <v>9.81270196129832</v>
      </c>
      <c r="AX209" s="260">
        <f t="shared" si="1002"/>
        <v>9.62029604048855</v>
      </c>
      <c r="AY209" s="259">
        <f>AZ209+各项系数!$M$9*$NS209</f>
        <v>10.0608971163432</v>
      </c>
      <c r="AZ209" s="259">
        <f>BA209*(1+$BI209+(VLOOKUP($AM209,$A$12:$B$214,2,0))+各项系数!$J$6+各项系数!$M$5)*(1+$E$2)</f>
        <v>9.98043101138961</v>
      </c>
      <c r="BA209" s="260">
        <f>BB209+各项系数!$L$9*$NS209</f>
        <v>10.1841132769282</v>
      </c>
      <c r="BB209" s="260">
        <f>BC209*(1+$BJ209+各项系数!$J$5+各项系数!$L$5)</f>
        <v>10.1036471719746</v>
      </c>
      <c r="BC209" s="262">
        <f t="shared" si="1003"/>
        <v>9.90553644311234</v>
      </c>
      <c r="BD209" s="259">
        <f>BE209+各项系数!$M$9*$NS209</f>
        <v>10.612392391307</v>
      </c>
      <c r="BE209" s="259">
        <f>BF209*(1+$BI209+(VLOOKUP($AM209,$A$12:$B$214,2,0))+各项系数!$J$6+各项系数!$M$5)*(1+$E$2)</f>
        <v>10.5319262863534</v>
      </c>
      <c r="BF209" s="260">
        <f>BG209+各项系数!$L$9*$NS209</f>
        <v>10.7468635575035</v>
      </c>
      <c r="BG209" s="260">
        <f>BH209*(1+$BJ209+各项系数!$J$5+各项系数!$L$5)</f>
        <v>10.6663974525499</v>
      </c>
      <c r="BH209" s="262">
        <f t="shared" si="1004"/>
        <v>10.4572524044607</v>
      </c>
      <c r="BI209" s="277"/>
      <c r="BJ209" s="272">
        <f>$BJ$199</f>
        <v>0</v>
      </c>
      <c r="BK209" s="123" t="s">
        <v>514</v>
      </c>
      <c r="BL209" s="259">
        <f>BM209+各项系数!$M$9*$NM209</f>
        <v>9.39552064023131</v>
      </c>
      <c r="BM209" s="259">
        <f>BN209*(1+$CF209+(VLOOKUP($AM209,$A$12:$B$323,2,0))+各项系数!$J$6+各项系数!$M$5)*(1+$E$2)</f>
        <v>9.31868119275461</v>
      </c>
      <c r="BN209" s="260">
        <f>BO209+各项系数!$L$9*$NM209</f>
        <v>9.50885835995368</v>
      </c>
      <c r="BO209" s="260">
        <f>BP209*(1+$CG209+各项系数!$J$5+各项系数!$L$5)</f>
        <v>9.43201891247698</v>
      </c>
      <c r="BP209" s="260">
        <f t="shared" si="1005"/>
        <v>9.15729991502619</v>
      </c>
      <c r="BQ209" s="259">
        <f>BR209+各项系数!$M$9*$NM209</f>
        <v>9.86286892927301</v>
      </c>
      <c r="BR209" s="259">
        <f>BS209*(1+$CF209+(VLOOKUP($AM209,$A$12:$B$323,2,0))+各项系数!$J$6+各项系数!$M$5)*(1+$E$2)</f>
        <v>9.78602948179631</v>
      </c>
      <c r="BS209" s="260">
        <f>BT209+各项系数!$L$9*$NM209</f>
        <v>9.98574436917991</v>
      </c>
      <c r="BT209" s="260">
        <f>BU209*(1+$CG209+各项系数!$J$5+各项系数!$L$5)</f>
        <v>9.90890492170321</v>
      </c>
      <c r="BU209" s="260">
        <f t="shared" si="1006"/>
        <v>9.62029604048855</v>
      </c>
      <c r="BV209" s="259">
        <f>BW209+各项系数!$M$9*$NT209</f>
        <v>10.1694887130935</v>
      </c>
      <c r="BW209" s="259">
        <f>BX209*(1+$CF209+(VLOOKUP($AM209,$A$12:$B$214,2,0))+各项系数!$J$6+各项系数!$M$5)*(1+$E$2)</f>
        <v>10.0890226081399</v>
      </c>
      <c r="BX209" s="260">
        <f>BY209+各项系数!$L$9*$NT$12</f>
        <v>10.2949210287142</v>
      </c>
      <c r="BY209" s="260">
        <f>BZ209*(1+$CG209+各项系数!$J$5+各项系数!$L$5)</f>
        <v>10.2866576255592</v>
      </c>
      <c r="BZ209" s="262">
        <f t="shared" si="945"/>
        <v>9.98704623840702</v>
      </c>
      <c r="CA209" s="259">
        <f>CB209+各项系数!$M$9*$NT209</f>
        <v>10.6441148171081</v>
      </c>
      <c r="CB209" s="259">
        <f>CC209*(1+$CF209+(VLOOKUP($AM209,$A$12:$B$214,2,0))+各项系数!$J$6+各项系数!$M$5)*(1+$E$2)</f>
        <v>10.5636487121545</v>
      </c>
      <c r="CC209" s="260">
        <f>CD209+各项系数!$L$9*$NT$12</f>
        <v>10.7792333797495</v>
      </c>
      <c r="CD209" s="260">
        <f>CE209*(1+$CG209+各项系数!$J$5+各项系数!$L$5)</f>
        <v>10.7709699765945</v>
      </c>
      <c r="CE209" s="262">
        <f t="shared" si="1007"/>
        <v>10.4572524044607</v>
      </c>
      <c r="CF209" s="277">
        <f t="shared" si="884"/>
        <v>0</v>
      </c>
      <c r="CG209" s="277">
        <f t="shared" si="946"/>
        <v>0.01</v>
      </c>
      <c r="CH209" s="123"/>
      <c r="CI209" s="259">
        <f>CJ209+各项系数!$M$9*$NO209</f>
        <v>9.98208599501461</v>
      </c>
      <c r="CJ209" s="259">
        <f>CK209*(1+$DC209+(VLOOKUP($AM209,$A$12:$B$323,2,0))+各项系数!$J$6+各项系数!$M$5)*(1+$E$2)+各项系数!$M$9*$NK209</f>
        <v>9.86725720331725</v>
      </c>
      <c r="CK209" s="260">
        <f>CL209+各项系数!$L$9*$NO209</f>
        <v>9.99022219983729</v>
      </c>
      <c r="CL209" s="260">
        <f>CM209*(1+$DD209+各项系数!$J$5+各项系数!$L$5)</f>
        <v>9.87539340813993</v>
      </c>
      <c r="CM209" s="260">
        <f t="shared" si="947"/>
        <v>9.68175824327444</v>
      </c>
      <c r="CN209" s="259">
        <f>CO209+各项系数!$M$9*$NO209</f>
        <v>10.4067484877155</v>
      </c>
      <c r="CO209" s="259">
        <f>CP209*(1+$DC209+(VLOOKUP($AM209,$A$12:$B$323,2,0))+各项系数!$J$6+各项系数!$M$5)*(1+$E$2)+各项系数!$M$9*$NK209</f>
        <v>10.2919196960181</v>
      </c>
      <c r="CP209" s="260">
        <f>CQ209+各项系数!$L$9*$NO209</f>
        <v>10.4235512740219</v>
      </c>
      <c r="CQ209" s="260">
        <f>CR209*(1+$DD209+各项系数!$J$5+各项系数!$L$5)</f>
        <v>10.3087224823245</v>
      </c>
      <c r="CR209" s="260">
        <f t="shared" si="948"/>
        <v>10.1065906689456</v>
      </c>
      <c r="CS209" s="259">
        <f>CT209+各项系数!$M$9*$NU209</f>
        <v>10.8847310274149</v>
      </c>
      <c r="CT209" s="259">
        <f t="shared" si="949"/>
        <v>10.7656402984706</v>
      </c>
      <c r="CU209" s="260">
        <f>CV209+各项系数!$L$9*$NU209</f>
        <v>10.9853472433374</v>
      </c>
      <c r="CV209" s="260">
        <f>CW209*(1+$DD209+各项系数!$J$5+各项系数!$L$5)</f>
        <v>10.8662565143931</v>
      </c>
      <c r="CW209" s="262">
        <f t="shared" si="950"/>
        <v>10.6531926611697</v>
      </c>
      <c r="CX209" s="259">
        <f>CY209+各项系数!$M$9*$NU209</f>
        <v>11.516351738117</v>
      </c>
      <c r="CY209" s="259">
        <f t="shared" si="951"/>
        <v>11.3972610091727</v>
      </c>
      <c r="CZ209" s="260">
        <f>DA209+各项系数!$L$9*$NU209</f>
        <v>11.6298581726252</v>
      </c>
      <c r="DA209" s="260">
        <f>DB209*(1+$DD209+各项系数!$J$5+各项系数!$L$5)</f>
        <v>11.510767443681</v>
      </c>
      <c r="DB209" s="262">
        <f t="shared" si="952"/>
        <v>11.2850661212559</v>
      </c>
      <c r="DC209" s="277">
        <f t="shared" ref="DC209:DC214" si="1040">BI209+$DC$2</f>
        <v>0</v>
      </c>
      <c r="DD209" s="277">
        <f t="shared" si="953"/>
        <v>0</v>
      </c>
      <c r="DE209" s="69" t="s">
        <v>498</v>
      </c>
      <c r="DF209" s="69" t="s">
        <v>513</v>
      </c>
      <c r="DG209" s="259">
        <f>DH209+各项系数!$M$9*$NQ209</f>
        <v>10.1699352931675</v>
      </c>
      <c r="DH209" s="259">
        <f>DI209*(1+$EA209+(VLOOKUP($AM209,$A$12:$B$323,2,0))+各项系数!$J$6+各项系数!$M$5)*(1+$E$2)+各项系数!$M$9*$NK209</f>
        <v>10.0551065014701</v>
      </c>
      <c r="DI209" s="260">
        <f>DJ209+各项系数!$L$9*$NQ209</f>
        <v>10.1819051571361</v>
      </c>
      <c r="DJ209" s="260">
        <f>DK209*(1+$EB209+各项系数!$J$5+各项系数!$L$5)</f>
        <v>10.0670763654388</v>
      </c>
      <c r="DK209" s="260">
        <f t="shared" si="954"/>
        <v>9.77386054896967</v>
      </c>
      <c r="DL209" s="259">
        <f>DM209+各项系数!$M$9*$NQ209</f>
        <v>10.7062408790771</v>
      </c>
      <c r="DM209" s="259">
        <f>DN209*(1+$EA209+(VLOOKUP($AM209,$A$12:$B$323,2,0))+各项系数!$J$6+各项系数!$M$5)*(1+$E$2)+各项系数!$M$9*$NK209</f>
        <v>10.5914120873797</v>
      </c>
      <c r="DN209" s="260">
        <f>DO209+各项系数!$L$9*$NQ209</f>
        <v>10.7291557550031</v>
      </c>
      <c r="DO209" s="260">
        <f>DP209*(1+$EB209+各项系数!$J$5+各项系数!$L$5)</f>
        <v>10.6143269633057</v>
      </c>
      <c r="DP209" s="260">
        <f t="shared" si="955"/>
        <v>10.3051718090347</v>
      </c>
      <c r="DQ209" s="259">
        <f>DR209+各项系数!$M$9*$NV209</f>
        <v>11.0833619852228</v>
      </c>
      <c r="DR209" s="259">
        <f t="shared" si="956"/>
        <v>10.9642712562785</v>
      </c>
      <c r="DS209" s="260">
        <f>DT209+各项系数!$L$9*$NV209</f>
        <v>11.1880318941618</v>
      </c>
      <c r="DT209" s="260">
        <f>DU209*(1+$EB209+各项系数!$J$5+各项系数!$L$5)</f>
        <v>11.0689411652175</v>
      </c>
      <c r="DU209" s="262">
        <f t="shared" si="957"/>
        <v>10.7465448205995</v>
      </c>
      <c r="DV209" s="259">
        <f>DW209+各项系数!$M$9*$NV209</f>
        <v>11.2373643929984</v>
      </c>
      <c r="DW209" s="259">
        <f t="shared" si="958"/>
        <v>11.1182736640541</v>
      </c>
      <c r="DX209" s="260">
        <f>DY209+各项系数!$L$9*$NV209</f>
        <v>11.3451772082185</v>
      </c>
      <c r="DY209" s="260">
        <f>DZ209*(1+$EB209+各项系数!$J$5+各项系数!$L$5)</f>
        <v>11.2260864792742</v>
      </c>
      <c r="DZ209" s="262">
        <f t="shared" si="959"/>
        <v>10.899113086674</v>
      </c>
      <c r="EA209" s="277">
        <f t="shared" si="826"/>
        <v>0</v>
      </c>
      <c r="EB209" s="277">
        <f t="shared" si="960"/>
        <v>0.01</v>
      </c>
      <c r="EC209" s="302" t="str">
        <f t="shared" si="1008"/>
        <v>3+1</v>
      </c>
      <c r="ED209" s="302" t="str">
        <f t="shared" si="890"/>
        <v>3*4</v>
      </c>
      <c r="EE209" s="251">
        <f t="shared" si="891"/>
        <v>4</v>
      </c>
      <c r="EF209" s="251">
        <f>LOOKUP(EH209,{1,7,10,14,19,24,30,37,48,61},{1,"1+6","2+8","4+10","1+6+12","2+8+14","4+10+16","1+6+12+18","3+9+15+21","1+6+12+18+24"})</f>
        <v>1</v>
      </c>
      <c r="EG209" s="250">
        <f t="shared" si="961"/>
        <v>3</v>
      </c>
      <c r="EH209" s="260">
        <f>VLOOKUP(EE209,各项系数!$B$87:$C$124,2,0)</f>
        <v>1</v>
      </c>
      <c r="EI209" s="250">
        <f>IF(EH209=0,0,VLOOKUP(EH209,各项系数!$D$142:$E$195,2,0))*1</f>
        <v>1</v>
      </c>
      <c r="EJ209" s="305">
        <f t="shared" si="1009"/>
        <v>218.588414706449</v>
      </c>
      <c r="EK209" s="251" t="str">
        <f t="shared" si="892"/>
        <v>1*2.5</v>
      </c>
      <c r="EL209" s="251" t="str">
        <f t="shared" si="962"/>
        <v>2.5</v>
      </c>
      <c r="EM209" s="251">
        <f t="shared" si="893"/>
        <v>2.5</v>
      </c>
      <c r="EN209" s="251">
        <f>IF(EP209=0,0,LOOKUP(EP209,{1,7,10,14,19,24,30,37,48,61},{1,"1+6","2+8","4+10","1+6+12","2+8+14","4+10+16","1+6+12+18","3+9+15+21","1+6+12+18+24"}))</f>
        <v>1</v>
      </c>
      <c r="EO209" s="251" t="str">
        <f t="shared" si="894"/>
        <v>1</v>
      </c>
      <c r="EP209" s="251">
        <f>IF(EM209=0,0,IF(EM209&lt;10,1,IF(AND(EM209&gt;=10,EM209&lt;=35),7,LOOKUP(EM209,{50,70,95,120,150,185,240,300},{10,14,19,24,30,37,48,61})*1)))</f>
        <v>1</v>
      </c>
      <c r="EQ209" s="251">
        <f>IF(EP209=0,0,VLOOKUP(EP209,各项系数!$D$142:$E$195,2,0))*1</f>
        <v>1</v>
      </c>
      <c r="ER209" s="69">
        <f t="shared" si="895"/>
        <v>172.412400708262</v>
      </c>
      <c r="ES209" s="566">
        <f t="shared" si="896"/>
        <v>4</v>
      </c>
      <c r="ET209" s="251">
        <f>VLOOKUP(ES209,各项系数!$D$142:$E$195,2,0)*1</f>
        <v>2.42</v>
      </c>
      <c r="EU209" s="311">
        <f>((各项系数!$F$76/4*$EJ209^2*$EG209*$EH209*1*10^-7)*(1-$H209)*AA209)*(VLOOKUP($EY$9,各项系数!$D$4:$F$143,3,0))*各项系数!$J$4</f>
        <v>0.0995841586690487</v>
      </c>
      <c r="EV209" s="312">
        <f>EU209*(VLOOKUP($EY$9,各项系数!$D$4:$F$143,2,0))</f>
        <v>6.52276239282269</v>
      </c>
      <c r="EW209" s="324">
        <f>(IF($EO209=0,0,(各项系数!$F$76/4*$ER209^2*$EO209*$EP209*1*10^-7))*(1-$K209)*$AF209)*(VLOOKUP($EY$9,各项系数!$D$4:$F$143,3,0))*各项系数!$J$4</f>
        <v>0.0206515056889029</v>
      </c>
      <c r="EX209" s="325">
        <f>EW209*(VLOOKUP($EY$9,各项系数!$D$4:$F$143,2,0))</f>
        <v>1.35267362262314</v>
      </c>
      <c r="EY209" s="251">
        <f>((各项系数!$F$76/4*$EJ209^2*$EG209*$EH209*1*10^-7)*(1-$H209)*AA209+IF($EO209=0,0,(各项系数!$F$76/4*$ER209^2*$EO209*$EP209*1*10^-7))*(1-$K209)*$AF209)*(VLOOKUP($EY$9,各项系数!$D$4:$F$143,3,0))*各项系数!$J$4</f>
        <v>0.120235664357952</v>
      </c>
      <c r="EZ209" s="123">
        <v>1</v>
      </c>
      <c r="FA209" s="251">
        <f t="shared" si="897"/>
        <v>0.120235664357952</v>
      </c>
      <c r="FB209" s="326">
        <f>FA209*(VLOOKUP($EY$9,各项系数!$D$4:$F$143,2,0))</f>
        <v>7.87543601544583</v>
      </c>
      <c r="FC209" s="327"/>
      <c r="FD209" s="302">
        <f>各项系数!$F$76/4*($MN209^2-MK209^2)*10^-2*(VLOOKUP(L209,各项系数!$D$1:$F$143,3,0))*10^-3*10^2*$EG209*各项系数!$J$4</f>
        <v>0.0208383739006384</v>
      </c>
      <c r="FE209" s="339">
        <f>FD209*VLOOKUP(L209,各项系数!$D$1:$F$143,2,0)</f>
        <v>0.239641299857342</v>
      </c>
      <c r="FF209" s="250">
        <f>各项系数!$F$76/4*($MO209^2-ML209^2)*10^-2*(VLOOKUP(L209,各项系数!$D$1:$F$143,3,0))*10^-3*10^2*$EO209*各项系数!$J$4</f>
        <v>0.00583469973032018</v>
      </c>
      <c r="FG209" s="339">
        <f>FF209*VLOOKUP(L209,各项系数!$D$1:$F$143,2,0)</f>
        <v>0.067099046898682</v>
      </c>
      <c r="FH209" s="302">
        <f t="shared" si="1010"/>
        <v>0.0266730736309586</v>
      </c>
      <c r="FI209" s="123">
        <v>1</v>
      </c>
      <c r="FJ209" s="251">
        <f t="shared" si="898"/>
        <v>0.0266730736309586</v>
      </c>
      <c r="FK209" s="339">
        <f>FJ209*VLOOKUP(L209,各项系数!$D$1:$F$143,2,0)</f>
        <v>0.306740346756024</v>
      </c>
      <c r="FL209" s="302"/>
      <c r="FM209" s="123"/>
      <c r="FN209" s="251"/>
      <c r="FO209" s="339"/>
      <c r="FP209" s="364">
        <f t="shared" si="899"/>
        <v>0.0266730736309586</v>
      </c>
      <c r="FQ209" s="364">
        <f t="shared" si="900"/>
        <v>0.306740346756024</v>
      </c>
      <c r="FR209" s="365">
        <f>各项系数!$F$76/4*($MQ209^2-$MN209^2*$EG209-$MO209^2*$EO209)*10^-2</f>
        <v>0.174346863214638</v>
      </c>
      <c r="FS209" s="366">
        <f t="shared" si="1011"/>
        <v>1</v>
      </c>
      <c r="FT209" s="367">
        <f t="shared" si="963"/>
        <v>0.174346863214638</v>
      </c>
      <c r="FU209" s="388">
        <f>$FT209*(VLOOKUP($FT$9,各项系数!$D$1:$F$143,3,0))*10^-3*10^2*各项系数!$J$55</f>
        <v>0.0208170154678278</v>
      </c>
      <c r="FV209" s="389">
        <v>1</v>
      </c>
      <c r="FW209" s="390">
        <f t="shared" si="901"/>
        <v>0.0208170154678278</v>
      </c>
      <c r="FX209" s="367">
        <f>FW209*(VLOOKUP($FT$9,各项系数!$D$1:$F$143,2,0))</f>
        <v>0.0624510464034833</v>
      </c>
      <c r="FY209" s="388">
        <f>IF($BK209&lt;&gt;$FY$9,0,各项系数!$F$76/4*($MS209^2-$MQ209^2)*10^-2*(VLOOKUP($FY$9,各项系数!$D$1:$F$143,3,0))*10^-3*10^2)*各项系数!$J$4</f>
        <v>0</v>
      </c>
      <c r="FZ209" s="389">
        <v>1</v>
      </c>
      <c r="GA209" s="390">
        <f t="shared" si="902"/>
        <v>0</v>
      </c>
      <c r="GB209" s="367">
        <f>GA209*(VLOOKUP($FY$9,各项系数!$D$1:$F$143,2,0))</f>
        <v>0</v>
      </c>
      <c r="GC209" s="388">
        <f>IF($BK209&lt;&gt;$GC$9,0,各项系数!$F$76/4*($MS209^2-$MQ209^2)*10^-2*(VLOOKUP($GC$9,各项系数!$D$1:$F$143,3,0))*10^-3*10^2)*各项系数!$J$4</f>
        <v>0.0023110968418398</v>
      </c>
      <c r="GD209" s="389">
        <v>1</v>
      </c>
      <c r="GE209" s="390">
        <f t="shared" si="903"/>
        <v>0.0023110968418398</v>
      </c>
      <c r="GF209" s="367">
        <f>GE209*(VLOOKUP($GC$9,各项系数!$D$1:$F$143,2,0))</f>
        <v>0.0298131492597335</v>
      </c>
      <c r="GG209" s="388">
        <f>IF($BK209&lt;&gt;$GG$9,0,各项系数!$F$76/4*($MS209^2-$MQ209^2)*10^-2*(VLOOKUP($GG$9,各项系数!$D$1:$F$143,3,0))*10^-3*10^2)*各项系数!$J$4</f>
        <v>0</v>
      </c>
      <c r="GH209" s="389">
        <v>1</v>
      </c>
      <c r="GI209" s="390">
        <f t="shared" si="904"/>
        <v>0</v>
      </c>
      <c r="GJ209" s="367">
        <f>GI209*(VLOOKUP($GG$9,各项系数!$D$1:$F$143,2,0))</f>
        <v>0</v>
      </c>
      <c r="GK209" s="388">
        <f>IF($BK209&lt;&gt;$GK$9,0,各项系数!$F$76/4*($MS209^2-$MQ209^2)*10^-2*(VLOOKUP($GK$9,各项系数!$D$1:$F$143,3,0))*10^-3*10^2)*各项系数!$J$4</f>
        <v>0</v>
      </c>
      <c r="GL209" s="389">
        <v>1</v>
      </c>
      <c r="GM209" s="390">
        <f t="shared" si="905"/>
        <v>0</v>
      </c>
      <c r="GN209" s="367">
        <f>GM209*(VLOOKUP($GK$9,各项系数!$D$1:$F$143,2,0))</f>
        <v>0</v>
      </c>
      <c r="GO209" s="390">
        <f t="shared" si="906"/>
        <v>0.0023110968418398</v>
      </c>
      <c r="GP209" s="390">
        <f t="shared" si="907"/>
        <v>0.0298131492597335</v>
      </c>
      <c r="GQ209" s="406">
        <f>各项系数!$F$76/4*($MU209^2-$MS209^2)*10^-2*(VLOOKUP($S209,各项系数!$D$1:$F$143,3,0))*10^-3*10^2*各项系数!$J$4</f>
        <v>0.13455881911038</v>
      </c>
      <c r="GR209" s="389">
        <v>1</v>
      </c>
      <c r="GS209" s="390">
        <f t="shared" si="908"/>
        <v>0.13455881911038</v>
      </c>
      <c r="GT209" s="390">
        <f t="shared" si="909"/>
        <v>1</v>
      </c>
      <c r="GU209" s="390">
        <f>ROUND($GS209*(VLOOKUP($S209,各项系数!$D$1:$F$143,2,0))+$E$3*GS209,GT209)</f>
        <v>0.8</v>
      </c>
      <c r="GV209" s="406">
        <f>各项系数!$F$76/4*($MT209^2-$MS209^2)*10^-2*(VLOOKUP($GV$9,各项系数!$D$1:$F$143,3,0))*10^-3*10^2*各项系数!$J$4*PI()/4*R209</f>
        <v>0.0120888582563032</v>
      </c>
      <c r="GW209" s="389">
        <v>1</v>
      </c>
      <c r="GX209" s="390">
        <f t="shared" si="910"/>
        <v>0.0120888582563032</v>
      </c>
      <c r="GY209" s="390">
        <f>$GX209*(VLOOKUP($GV$9,各项系数!$D$1:$F$143,2,0))</f>
        <v>0.815997932300466</v>
      </c>
      <c r="GZ209" s="406">
        <f>各项系数!$F$76/4*($MV209^2-$MS209^2)*10^-2*(VLOOKUP($GZ$9,各项系数!$D$1:$F$143,3,0))*10^-3*10^2*各项系数!$J$4</f>
        <v>0.079167969566087</v>
      </c>
      <c r="HA209" s="389">
        <v>1</v>
      </c>
      <c r="HB209" s="390">
        <f t="shared" si="1012"/>
        <v>0.079167969566087</v>
      </c>
      <c r="HC209" s="390">
        <f>HB209*(VLOOKUP($GZ$9,各项系数!$D$1:$F$143,2,0))</f>
        <v>1.34585548262348</v>
      </c>
      <c r="HD209" s="406">
        <f>各项系数!$F$76/4*($MW209^2-$MT209^2)*10^-2*(VLOOKUP($HD$9,各项系数!$D$1:$F$143,3,0))*10^-3*10^2*各项系数!$J$4</f>
        <v>0.08040081848795</v>
      </c>
      <c r="HE209" s="389">
        <v>1</v>
      </c>
      <c r="HF209" s="390">
        <f t="shared" si="1013"/>
        <v>0.08040081848795</v>
      </c>
      <c r="HG209" s="390">
        <f>HF209*(VLOOKUP($HD$9,各项系数!$D$1:$F$143,2,0))</f>
        <v>1.36681391429515</v>
      </c>
      <c r="HH209" s="406">
        <f>各项系数!$F$76/4*($MV209^2-$MS209^2)*10^-2*(VLOOKUP($HH$9,各项系数!$D$1:$F$143,3,0))*10^-3*10^2*各项系数!$J$4</f>
        <v>0.079167969566087</v>
      </c>
      <c r="HI209" s="420">
        <v>1</v>
      </c>
      <c r="HJ209" s="390">
        <f t="shared" si="1014"/>
        <v>0.079167969566087</v>
      </c>
      <c r="HK209" s="390">
        <f>HJ209*(VLOOKUP($HH$9,各项系数!$D$1:$F$143,2,0))</f>
        <v>1.34585548262348</v>
      </c>
      <c r="HL209" s="406">
        <f>各项系数!$F$76/4*($MW209^2-$MT209^2)*10^-2*(VLOOKUP($HL$9,各项系数!$D$1:$F$143,3,0))*10^-3*10^2*各项系数!$J$4</f>
        <v>0.08040081848795</v>
      </c>
      <c r="HM209" s="420">
        <v>1</v>
      </c>
      <c r="HN209" s="390">
        <f t="shared" si="964"/>
        <v>0.08040081848795</v>
      </c>
      <c r="HO209" s="390">
        <f>HN209*(VLOOKUP($HL$9,各项系数!$D$1:$F$143,2,0))</f>
        <v>1.36681391429515</v>
      </c>
      <c r="HP209" s="406">
        <f>各项系数!$F$76/4*($MV209^2-$MS209^2)*10^-2*(VLOOKUP(AN209,各项系数!$D$1:$F$143,3,0))*10^-3*10^2*各项系数!$J$4</f>
        <v>0.080259941560102</v>
      </c>
      <c r="HQ209" s="389">
        <v>1</v>
      </c>
      <c r="HR209" s="390">
        <f t="shared" si="911"/>
        <v>0.080259941560102</v>
      </c>
      <c r="HS209" s="390">
        <f>HR209*(VLOOKUP(AN209,各项系数!$D$1:$F$143,2,0))</f>
        <v>0.802599415601021</v>
      </c>
      <c r="HT209" s="406">
        <f>各项系数!$F$76/4*($MW209^2-$MT209^2)*10^-2*(VLOOKUP(AN209,各项系数!$D$1:$F$143,3,0))*10^-3*10^2*各项系数!$J$4</f>
        <v>0.0815097952946803</v>
      </c>
      <c r="HU209" s="389">
        <v>1</v>
      </c>
      <c r="HV209" s="390">
        <f t="shared" si="912"/>
        <v>0.0815097952946803</v>
      </c>
      <c r="HW209" s="390">
        <f>HV209*(VLOOKUP(AN209,各项系数!$D$1:$F$143,2,0))</f>
        <v>0.815097952946803</v>
      </c>
      <c r="HX209" s="406">
        <f>各项系数!$F$76/4*($MV209^2-$MS209^2)*10^-2*(VLOOKUP($HX$9,各项系数!$D$1:$F$143,3,0))*10^-3*10^2*各项系数!$J$4</f>
        <v>0.080259941560102</v>
      </c>
      <c r="HY209" s="420">
        <v>1</v>
      </c>
      <c r="HZ209" s="390">
        <f t="shared" si="913"/>
        <v>0.080259941560102</v>
      </c>
      <c r="IA209" s="390">
        <f>HZ209*(VLOOKUP($HX$9,各项系数!$D$1:$F$143,2,0))</f>
        <v>0.882859357161123</v>
      </c>
      <c r="IB209" s="406">
        <f>各项系数!$F$76/4*($MW209^2-$MT209^2)*10^-2*(VLOOKUP($IB$9,各项系数!$D$1:$F$143,3,0))*10^-3*10^2*各项系数!$J$4</f>
        <v>0.0815097952946803</v>
      </c>
      <c r="IC209" s="420">
        <v>1</v>
      </c>
      <c r="ID209" s="390">
        <f t="shared" si="914"/>
        <v>0.0815097952946803</v>
      </c>
      <c r="IE209" s="390">
        <f>ID209*(VLOOKUP($IB$9,各项系数!$D$1:$F$143,2,0))</f>
        <v>0.896607748241484</v>
      </c>
      <c r="IF209" s="429"/>
      <c r="IG209" s="406">
        <f t="shared" si="1015"/>
        <v>0.013337522938129</v>
      </c>
      <c r="IH209" s="389">
        <v>1</v>
      </c>
      <c r="II209" s="390">
        <f t="shared" si="915"/>
        <v>0.013337522938129</v>
      </c>
      <c r="IJ209" s="390">
        <f>II209*(VLOOKUP($IG$8,各项系数!$D$1:$F$143,2,0))</f>
        <v>0.333438073453225</v>
      </c>
      <c r="IK209" s="406">
        <f>(各项系数!$F$76/4*($MX209^2-$MK209^2)*$EG209)*10^-2*(VLOOKUP($IG$8,各项系数!$D$1:$F$143,3,0))*10^-3*10^2*各项系数!$J$4</f>
        <v>0.0104902927286383</v>
      </c>
      <c r="IL209" s="389">
        <f>IK209*(VLOOKUP($IG$8,各项系数!$D$1:$F$143,2,0))</f>
        <v>0.262257318215957</v>
      </c>
      <c r="IM209" s="390">
        <f>(各项系数!$F$76/4*(($MM209+3*$X209)^2-MM209^2)*$EO209)*10^-2*(VLOOKUP($IG$8,各项系数!$D$1:$F$143,3,0))*10^-3*10^2*各项系数!$J$4</f>
        <v>0.00284723020949072</v>
      </c>
      <c r="IN209" s="389">
        <f>IM209*(VLOOKUP($IG$8,各项系数!$D$1:$F$143,2,0))</f>
        <v>0.0711807552372681</v>
      </c>
      <c r="IO209" s="406">
        <f>各项系数!$F$76/4*($MZ209^2-$MX209^2)*10^-2*(VLOOKUP(L209,各项系数!$D$1:$F$143,3,0))*10^-3*10^2*$ES209*各项系数!$J$4</f>
        <v>0.0335611334418993</v>
      </c>
      <c r="IP209" s="389">
        <v>1</v>
      </c>
      <c r="IQ209" s="390">
        <f t="shared" si="916"/>
        <v>0.0335611334418993</v>
      </c>
      <c r="IR209" s="367">
        <f>IQ209*(VLOOKUP(L209,各项系数!$D$1:$F$143,2,0))</f>
        <v>0.385953034581842</v>
      </c>
      <c r="IS209" s="406">
        <f>IF($L209&lt;&gt;$IS$9,0,各项系数!$F$76/4*($MZ209^2-$MX209^2)*10^-2*各项系数!$F$12*10^-3*10^2)*$ES209*各项系数!$J$4</f>
        <v>0</v>
      </c>
      <c r="IT209" s="389">
        <v>1</v>
      </c>
      <c r="IU209" s="390">
        <f t="shared" si="917"/>
        <v>0</v>
      </c>
      <c r="IV209" s="367">
        <f>IU209*各项系数!$E$12</f>
        <v>0</v>
      </c>
      <c r="IW209" s="388">
        <f t="shared" si="918"/>
        <v>0.0335611334418993</v>
      </c>
      <c r="IX209" s="388">
        <f t="shared" si="919"/>
        <v>0.385953034581842</v>
      </c>
      <c r="IY209" s="447">
        <f>各项系数!$F$76/4*($NB209^2-$MZ209^2*$EG209-$NA209^2*$EO209)*10^-2</f>
        <v>0.2403151485223</v>
      </c>
      <c r="IZ209" s="366">
        <f t="shared" si="697"/>
        <v>1</v>
      </c>
      <c r="JA209" s="367">
        <f t="shared" si="965"/>
        <v>0.2403151485223</v>
      </c>
      <c r="JB209" s="364">
        <f>IF($DE209&lt;&gt;$JB$9,0,$JA209*各项系数!$F$32*10^-3*10^2)*各项系数!$J$4</f>
        <v>0</v>
      </c>
      <c r="JC209" s="123">
        <v>1</v>
      </c>
      <c r="JD209" s="251">
        <f t="shared" si="920"/>
        <v>0</v>
      </c>
      <c r="JE209" s="339">
        <f>JD209*各项系数!$E$32</f>
        <v>0</v>
      </c>
      <c r="JF209" s="364">
        <f>IF($DE209&lt;&gt;$JF$9,0,$JA209*VLOOKUP($JF$9,各项系数!$D$4:$F$540,2,0)*10^-3*10^2)*各项系数!$J$4</f>
        <v>0.119556786389844</v>
      </c>
      <c r="JG209" s="123">
        <v>1</v>
      </c>
      <c r="JH209" s="251">
        <f t="shared" si="966"/>
        <v>0.119556786389844</v>
      </c>
      <c r="JI209" s="339">
        <f>JH209*VLOOKUP($JF$9,各项系数!$D$4:$F$540,3,0)</f>
        <v>0.143468143667813</v>
      </c>
      <c r="JJ209" s="364">
        <f t="shared" si="921"/>
        <v>0.119556786389844</v>
      </c>
      <c r="JK209" s="251">
        <f t="shared" si="922"/>
        <v>0.143468143667813</v>
      </c>
      <c r="JL209" s="364">
        <f>IF($DF209&lt;&gt;$JL$9,0,各项系数!$F$76/4*($NE209^2-$NC209^2)*10^-2*各项系数!$F$39*10^-3*10^2)*各项系数!$J$4</f>
        <v>0.00112199595867088</v>
      </c>
      <c r="JM209" s="123">
        <v>1</v>
      </c>
      <c r="JN209" s="251">
        <f t="shared" si="923"/>
        <v>0.00112199595867088</v>
      </c>
      <c r="JO209" s="339">
        <f>JN209*各项系数!$E$39</f>
        <v>0.0224399191734175</v>
      </c>
      <c r="JP209" s="364">
        <f>IF($DF209&lt;&gt;$JP$9,0,各项系数!$F$76/4*($NE209^2-$NC209^2)*10^-2*各项系数!$F$36*10^-3*10^2)*各项系数!$J$4</f>
        <v>0</v>
      </c>
      <c r="JQ209" s="123">
        <v>1</v>
      </c>
      <c r="JR209" s="251">
        <f t="shared" si="924"/>
        <v>0</v>
      </c>
      <c r="JS209" s="339">
        <f>JR209*各项系数!$E$36</f>
        <v>0</v>
      </c>
      <c r="JT209" s="364">
        <f>IF($DF209&lt;&gt;$JT$9,0,各项系数!$F$76/4*($NE209^2-$NC209^2)*10^-2*各项系数!$F$40*10^-3*10^2)*各项系数!$J$4</f>
        <v>0</v>
      </c>
      <c r="JU209" s="123">
        <v>1</v>
      </c>
      <c r="JV209" s="251">
        <f t="shared" si="925"/>
        <v>0</v>
      </c>
      <c r="JW209" s="339">
        <f>JV209*各项系数!$E$40</f>
        <v>0</v>
      </c>
      <c r="JX209" s="364">
        <f>IF($DF209&lt;&gt;$JX$9,0,各项系数!$F$76/4*($NE209^2-$NC209^2)*10^-2*各项系数!$F$38*10^-3*10^2)*各项系数!$J$4</f>
        <v>0</v>
      </c>
      <c r="JY209" s="123">
        <v>1</v>
      </c>
      <c r="JZ209" s="251">
        <f t="shared" si="926"/>
        <v>0</v>
      </c>
      <c r="KA209" s="339">
        <f>JZ209*各项系数!$E$38</f>
        <v>0</v>
      </c>
      <c r="KB209" s="364">
        <f>IF($DF209&lt;&gt;$KB$9,0,各项系数!$F$76/4*($NE209^2-$NC209^2)*10^-2*各项系数!$F$41*10^-3*10^2)*各项系数!$J$4</f>
        <v>0</v>
      </c>
      <c r="KC209" s="123">
        <v>1</v>
      </c>
      <c r="KD209" s="251">
        <f t="shared" si="927"/>
        <v>0</v>
      </c>
      <c r="KE209" s="339">
        <f>KD209*各项系数!$E$41</f>
        <v>0</v>
      </c>
      <c r="KF209" s="251">
        <f t="shared" si="928"/>
        <v>0.00112199595867088</v>
      </c>
      <c r="KG209" s="251">
        <f t="shared" si="929"/>
        <v>0.0224399191734175</v>
      </c>
      <c r="KH209" s="302">
        <f>各项系数!$F$76/4*($NG209^2-$NE209^2)*10^-2*各项系数!$F$44*10^-3*10^2*各项系数!$J$4*0.75*$U209</f>
        <v>0.470380385929011</v>
      </c>
      <c r="KI209" s="123">
        <v>1</v>
      </c>
      <c r="KJ209" s="251">
        <f t="shared" si="930"/>
        <v>0.470380385929011</v>
      </c>
      <c r="KK209" s="251">
        <f>ROUND(KJ209*各项系数!$E$43,GT209)</f>
        <v>2.7</v>
      </c>
      <c r="KL209" s="302">
        <f>各项系数!$F$76/4*($NF209^2-$NE209^2)*10^-2*各项系数!$F$46*10^-3*10^2*各项系数!$J$4*PI()/4*R209</f>
        <v>0.0142064574896223</v>
      </c>
      <c r="KM209" s="123">
        <v>1</v>
      </c>
      <c r="KN209" s="251">
        <f t="shared" si="931"/>
        <v>0.0142064574896223</v>
      </c>
      <c r="KO209" s="251">
        <f>KN209*各项系数!$E$46</f>
        <v>0.958935880549505</v>
      </c>
      <c r="KP209" s="302">
        <f>各项系数!$F$76/4*($NH209^2-$NE209^2)*10^-2*(VLOOKUP($KP$9,各项系数!$D$1:$F$143,3,0))*10^-3*10^2*各项系数!$J$4</f>
        <v>0.0908492131007384</v>
      </c>
      <c r="KQ209" s="123">
        <v>1</v>
      </c>
      <c r="KR209" s="251">
        <f t="shared" si="1016"/>
        <v>0.0908492131007384</v>
      </c>
      <c r="KS209" s="251">
        <f>KR209*(VLOOKUP($KP$9,各项系数!$D$1:$F$143,2,0))</f>
        <v>1.54443662271255</v>
      </c>
      <c r="KT209" s="302">
        <f>各项系数!$F$76/4*($NI209^2-$NF209^2)*10^-2*(VLOOKUP($KT$9,各项系数!$D$1:$F$143,3,0))*10^-3*10^2*各项系数!$J$4</f>
        <v>0.0920820620226013</v>
      </c>
      <c r="KU209" s="123">
        <v>1</v>
      </c>
      <c r="KV209" s="251">
        <f t="shared" si="1017"/>
        <v>0.0920820620226013</v>
      </c>
      <c r="KW209" s="251">
        <f>KV209*(VLOOKUP($KT$9,各项系数!$D$1:$F$143,2,0))</f>
        <v>1.56539505438422</v>
      </c>
      <c r="KX209" s="251">
        <f>各项系数!$F$76/4*($NH209^2-$NE209^2)*10^-2*(VLOOKUP($KX$9,各项系数!$D$1:$F$143,3,0))*10^-3*10^2*各项系数!$J$4</f>
        <v>0.0908492131007384</v>
      </c>
      <c r="KY209" s="479">
        <v>1</v>
      </c>
      <c r="KZ209" s="251">
        <f t="shared" si="1018"/>
        <v>0.0908492131007384</v>
      </c>
      <c r="LA209" s="251">
        <f>KZ209*(VLOOKUP($KX$9,各项系数!$D$1:$F$143,2,0))</f>
        <v>1.54443662271255</v>
      </c>
      <c r="LB209" s="251">
        <f>各项系数!$F$76/4*($NI209^2-$NF209^2)*10^-2*(VLOOKUP($LB$9,各项系数!$D$1:$F$143,3,0))*10^-3*10^2*各项系数!$J$4</f>
        <v>0.0920820620226013</v>
      </c>
      <c r="LC209" s="479">
        <v>1</v>
      </c>
      <c r="LD209" s="251">
        <f t="shared" si="1019"/>
        <v>0.0920820620226013</v>
      </c>
      <c r="LE209" s="251">
        <f>LD209*(VLOOKUP($LB$9,各项系数!$D$1:$F$143,2,0))</f>
        <v>1.56539505438422</v>
      </c>
      <c r="LF209" s="302">
        <f>各项系数!$F$76/4*($NH209^2-$NE209^2)*10^-2*(VLOOKUP(AN209,各项系数!$D$1:$F$143,3,0))*10^-3*10^2*各项系数!$J$4</f>
        <v>0.0921023056952313</v>
      </c>
      <c r="LG209" s="123">
        <v>1</v>
      </c>
      <c r="LH209" s="251">
        <f t="shared" si="932"/>
        <v>0.0921023056952313</v>
      </c>
      <c r="LI209" s="251">
        <f>LH209*(VLOOKUP(AN209,各项系数!$D$1:$F$143,2,0))</f>
        <v>0.921023056952313</v>
      </c>
      <c r="LJ209" s="302">
        <f>各项系数!$F$76/4*($NI209^2-$NF209^2)*10^-2*(VLOOKUP(AN209,各项系数!$D$1:$F$143,3,0))*10^-3*10^2*各项系数!$J$4</f>
        <v>0.0933521594298096</v>
      </c>
      <c r="LK209" s="123">
        <v>1</v>
      </c>
      <c r="LL209" s="251">
        <f t="shared" si="933"/>
        <v>0.0933521594298096</v>
      </c>
      <c r="LM209" s="251">
        <f>LL209*(VLOOKUP(AN209,各项系数!$D$1:$F$143,2,0))</f>
        <v>0.933521594298096</v>
      </c>
      <c r="LN209" s="251">
        <f>各项系数!$F$76/4*($NH209^2-$NE209^2)*10^-2*(VLOOKUP($LN$9,各项系数!$D$1:$F$143,3,0))*10^-3*10^2*各项系数!$J$4</f>
        <v>0.0921023056952313</v>
      </c>
      <c r="LO209" s="479">
        <v>1</v>
      </c>
      <c r="LP209" s="251">
        <f t="shared" si="934"/>
        <v>0.0921023056952313</v>
      </c>
      <c r="LQ209" s="251">
        <f>LP209*(VLOOKUP($LN$9,各项系数!$D$1:$F$143,2,0))</f>
        <v>1.01312536264754</v>
      </c>
      <c r="LR209" s="251">
        <f>各项系数!$F$76/4*($NI209^2-$NF209^2)*10^-2*(VLOOKUP($LR$9,各项系数!$D$1:$F$143,3,0))*10^-3*10^2*各项系数!$J$4</f>
        <v>0.0933521594298096</v>
      </c>
      <c r="LS209" s="479">
        <v>1</v>
      </c>
      <c r="LT209" s="251">
        <f t="shared" si="935"/>
        <v>0.0933521594298096</v>
      </c>
      <c r="LU209" s="251">
        <f>LT209*(VLOOKUP($LR$9,各项系数!$D$1:$F$143,2,0))</f>
        <v>1.02687375372791</v>
      </c>
      <c r="LV209" s="499">
        <f t="shared" si="1020"/>
        <v>11.25810819</v>
      </c>
      <c r="LW209" s="499">
        <f t="shared" si="1021"/>
        <v>11.25810819</v>
      </c>
      <c r="LX209" s="499">
        <f t="shared" si="1022"/>
        <v>3.78606240656633</v>
      </c>
      <c r="LY209" s="515">
        <f t="shared" si="1023"/>
        <v>0</v>
      </c>
      <c r="LZ209" s="516">
        <f t="shared" si="967"/>
        <v>1</v>
      </c>
      <c r="MA209" s="517">
        <f t="shared" si="968"/>
        <v>11.25810819</v>
      </c>
      <c r="MB209" s="517">
        <f t="shared" si="1024"/>
        <v>2.18588415</v>
      </c>
      <c r="MC209" s="499">
        <f t="shared" si="1025"/>
        <v>2.3346774</v>
      </c>
      <c r="MD209" s="499">
        <f t="shared" si="1026"/>
        <v>2.33467741</v>
      </c>
      <c r="ME209" s="499">
        <f t="shared" si="1027"/>
        <v>1.72412401021848</v>
      </c>
      <c r="MF209" s="499">
        <f t="shared" si="1028"/>
        <v>-9.99999993922529e-9</v>
      </c>
      <c r="MG209" s="516">
        <f t="shared" si="1029"/>
        <v>1</v>
      </c>
      <c r="MH209" s="517">
        <f t="shared" si="969"/>
        <v>2.3346774</v>
      </c>
      <c r="MI209" s="517">
        <f t="shared" si="1030"/>
        <v>1.72412400652606</v>
      </c>
      <c r="MJ209" s="251">
        <f t="shared" si="970"/>
        <v>2.18588415</v>
      </c>
      <c r="MK209" s="251">
        <f t="shared" si="1031"/>
        <v>2.18588415</v>
      </c>
      <c r="ML209" s="251">
        <f t="shared" si="936"/>
        <v>1.72412400708262</v>
      </c>
      <c r="MM209" s="251">
        <f t="shared" si="971"/>
        <v>1.72412400652606</v>
      </c>
      <c r="MN209" s="251">
        <f t="shared" si="972"/>
        <v>3.58588415</v>
      </c>
      <c r="MO209" s="251">
        <f t="shared" si="1032"/>
        <v>3.12412400652606</v>
      </c>
      <c r="MP209" s="251">
        <f t="shared" si="1033"/>
        <v>8.39847476</v>
      </c>
      <c r="MQ209" s="251">
        <f t="shared" si="937"/>
        <v>8.39847476</v>
      </c>
      <c r="MR209" s="314">
        <f t="shared" si="1034"/>
        <v>8.39847476</v>
      </c>
      <c r="MS209" s="530">
        <f t="shared" si="973"/>
        <v>8.57447476</v>
      </c>
      <c r="MT209" s="530">
        <f t="shared" si="974"/>
        <v>8.73447476</v>
      </c>
      <c r="MU209" s="530">
        <f t="shared" si="975"/>
        <v>9.77447476</v>
      </c>
      <c r="MV209" s="530">
        <f t="shared" si="976"/>
        <v>11.97447476</v>
      </c>
      <c r="MW209" s="530">
        <f t="shared" si="977"/>
        <v>12.13447476</v>
      </c>
      <c r="MX209" s="326">
        <f t="shared" si="978"/>
        <v>2.78588415</v>
      </c>
      <c r="MY209" s="326">
        <f t="shared" si="979"/>
        <v>2.32412400652606</v>
      </c>
      <c r="MZ209" s="251">
        <f t="shared" si="980"/>
        <v>4.18588415</v>
      </c>
      <c r="NA209" s="251">
        <f t="shared" si="981"/>
        <v>3.72412400652606</v>
      </c>
      <c r="NB209" s="251">
        <f t="shared" si="1035"/>
        <v>9.85047476</v>
      </c>
      <c r="NC209" s="326">
        <f t="shared" si="938"/>
        <v>9.85047476</v>
      </c>
      <c r="ND209" s="314">
        <f t="shared" si="1036"/>
        <v>9.85047476</v>
      </c>
      <c r="NE209" s="537">
        <f t="shared" si="1037"/>
        <v>10.09047476</v>
      </c>
      <c r="NF209" s="530">
        <f t="shared" si="982"/>
        <v>10.25047476</v>
      </c>
      <c r="NG209" s="538">
        <f t="shared" si="983"/>
        <v>11.29047476</v>
      </c>
      <c r="NH209" s="326">
        <f t="shared" si="984"/>
        <v>13.49047476</v>
      </c>
      <c r="NI209" s="530">
        <f t="shared" si="985"/>
        <v>13.65047476</v>
      </c>
      <c r="NK209" s="539">
        <f t="shared" si="986"/>
        <v>0.256131491589</v>
      </c>
      <c r="NL209" s="539">
        <f t="shared" si="987"/>
        <v>9.14413902036477</v>
      </c>
      <c r="NM209" s="539">
        <f t="shared" si="988"/>
        <v>0.256131491589</v>
      </c>
      <c r="NN209" s="539">
        <f t="shared" si="989"/>
        <v>9.22439896192487</v>
      </c>
      <c r="NO209" s="539">
        <f t="shared" si="990"/>
        <v>0.382762638991217</v>
      </c>
      <c r="NP209" s="539">
        <f t="shared" si="991"/>
        <v>9.75293899851171</v>
      </c>
      <c r="NQ209" s="539">
        <f t="shared" si="992"/>
        <v>0.382762638991217</v>
      </c>
      <c r="NR209" s="539">
        <f t="shared" si="993"/>
        <v>9.84504130420694</v>
      </c>
      <c r="NS209" s="539">
        <f t="shared" si="994"/>
        <v>0.268220349845303</v>
      </c>
      <c r="NT209" s="539">
        <f t="shared" si="995"/>
        <v>0.268220349845303</v>
      </c>
      <c r="NU209" s="539">
        <f t="shared" si="996"/>
        <v>0.39696909648084</v>
      </c>
      <c r="NV209" s="539">
        <f t="shared" si="997"/>
        <v>0.39696909648084</v>
      </c>
      <c r="NW209">
        <f t="shared" si="998"/>
        <v>0.39069031069938</v>
      </c>
      <c r="NX209">
        <f>各项系数!$M$9*NK209</f>
        <v>0.0768394474767</v>
      </c>
      <c r="NY209">
        <f t="shared" si="999"/>
        <v>0.268220349845303</v>
      </c>
    </row>
    <row r="210" customHeight="1" spans="1:389">
      <c r="A210" s="85"/>
      <c r="B210" s="86"/>
      <c r="C210" s="218"/>
      <c r="D210" s="123" t="s">
        <v>311</v>
      </c>
      <c r="E210" s="77">
        <f t="shared" si="885"/>
        <v>12.95918625</v>
      </c>
      <c r="F210" s="225">
        <f>$F$18</f>
        <v>218.588414706449</v>
      </c>
      <c r="G210" s="23"/>
      <c r="H210" s="23"/>
      <c r="I210" s="174">
        <f>$F$17</f>
        <v>172.412400708262</v>
      </c>
      <c r="J210" s="23"/>
      <c r="K210" s="23"/>
      <c r="L210" s="118" t="s">
        <v>469</v>
      </c>
      <c r="M210" s="124">
        <f t="shared" si="940"/>
        <v>0.7</v>
      </c>
      <c r="N210" s="124">
        <f t="shared" si="1038"/>
        <v>0.7</v>
      </c>
      <c r="O210" s="69">
        <f t="shared" si="1039"/>
        <v>0.08</v>
      </c>
      <c r="P210" s="120">
        <v>0.1</v>
      </c>
      <c r="Q210" s="162">
        <f t="shared" si="941"/>
        <v>0.1</v>
      </c>
      <c r="R210" s="560">
        <v>0.8</v>
      </c>
      <c r="S210" s="171" t="str">
        <f>各项系数!$D$43</f>
        <v>钢带</v>
      </c>
      <c r="T210" s="123">
        <v>0.2</v>
      </c>
      <c r="U210" s="78">
        <v>4</v>
      </c>
      <c r="V210" s="172"/>
      <c r="W210" s="170">
        <f>$W$202</f>
        <v>1.8</v>
      </c>
      <c r="X210" s="164">
        <f t="shared" si="942"/>
        <v>0.2</v>
      </c>
      <c r="Y210" s="219"/>
      <c r="Z210" s="220"/>
      <c r="AA210" s="217">
        <v>1</v>
      </c>
      <c r="AB210" s="186">
        <f>PI()*EJ210*EJ210/4*EH210*(1-H210)*AA210*各项系数!$F$5*各项系数!$J$4*10^-7</f>
        <v>0.0331947195563496</v>
      </c>
      <c r="AC210" s="186">
        <f t="shared" si="886"/>
        <v>218.588414706449</v>
      </c>
      <c r="AD210" s="186">
        <f t="shared" si="943"/>
        <v>3.75270272129484</v>
      </c>
      <c r="AE210" s="186">
        <f>POWER(4*EU210/PI()/EG210/10^-7/EH210/(1-H210)/各项系数!$F$5/各项系数!$J$4,0.5)</f>
        <v>218.588414706449</v>
      </c>
      <c r="AF210" s="218">
        <f>$AA$182</f>
        <v>1</v>
      </c>
      <c r="AG210" s="85">
        <f>IF(EM210=0,0,PI()*ER210*ER210/4*EP210*(1-K210)*(1+AF210)*各项系数!$F$5*各项系数!$J$4*10^-7)</f>
        <v>0.0413030113778058</v>
      </c>
      <c r="AH210" s="85">
        <f t="shared" si="887"/>
        <v>172.412400708262</v>
      </c>
      <c r="AI210" s="85">
        <f t="shared" si="1000"/>
        <v>2.3346774015073</v>
      </c>
      <c r="AJ210" s="85">
        <f>IF(OR(EP210="",EP210=0),0,POWER(4*EW210/PI()/EO210/10^-7/EP210/(1-K210)/各项系数!$F$5/各项系数!$J$4,0.5))</f>
        <v>172.412400708262</v>
      </c>
      <c r="AK210" s="85">
        <f t="shared" si="944"/>
        <v>0.140887170046854</v>
      </c>
      <c r="AL210" s="85">
        <f t="shared" si="888"/>
        <v>11.1333940648901</v>
      </c>
      <c r="AM210" s="250">
        <f t="shared" si="889"/>
        <v>4</v>
      </c>
      <c r="AN210" s="118" t="s">
        <v>486</v>
      </c>
      <c r="AO210" s="259">
        <f>AP210+各项系数!$M$9*$NK210</f>
        <v>10.9150922204805</v>
      </c>
      <c r="AP210" s="259">
        <f>AQ210*(1+$BI210+(VLOOKUP($AM210,$A$12:$B$323,2,0))+各项系数!$J$6+各项系数!$M$5)*(1+$E$2)</f>
        <v>10.8237452279212</v>
      </c>
      <c r="AQ210" s="260">
        <f>AR210+各项系数!$L$9*$NK210</f>
        <v>10.9352851363116</v>
      </c>
      <c r="AR210" s="260">
        <f>AS210*(1+$BJ210+各项系数!$J$5+各项系数!$L$5)</f>
        <v>10.8439381437523</v>
      </c>
      <c r="AS210" s="260">
        <f t="shared" si="1001"/>
        <v>10.6313119056395</v>
      </c>
      <c r="AT210" s="259">
        <f>AU210+各项系数!$M$9*$NM210</f>
        <v>11.5458297702525</v>
      </c>
      <c r="AU210" s="259">
        <f>AV210*(1+$BI210+(VLOOKUP($AM210,$A$12:$B$323,2,0))+各项系数!$J$6+各项系数!$M$5)*(1+$E$2)</f>
        <v>11.4544827776932</v>
      </c>
      <c r="AV210" s="260">
        <f>AW210+各项系数!$L$9*$NM210</f>
        <v>11.5725225072673</v>
      </c>
      <c r="AW210" s="260">
        <f>AX210*(1+$BJ210+各项系数!$J$5+各项系数!$L$5)</f>
        <v>11.481175514708</v>
      </c>
      <c r="AX210" s="260">
        <f t="shared" si="1002"/>
        <v>11.2560544261843</v>
      </c>
      <c r="AY210" s="259">
        <f>AZ210+各项系数!$M$9*$NS210</f>
        <v>11.8348493252833</v>
      </c>
      <c r="AZ210" s="259">
        <f>BA210*(1+$BI210+(VLOOKUP($AM210,$A$12:$B$214,2,0))+各项系数!$J$6+各项系数!$M$5)*(1+$E$2)</f>
        <v>11.7395468419128</v>
      </c>
      <c r="BA210" s="260">
        <f>BB210+各项系数!$L$9*$NS210</f>
        <v>11.8605241886369</v>
      </c>
      <c r="BB210" s="260">
        <f>BC210*(1+$BJ210+各项系数!$J$5+各项系数!$L$5)</f>
        <v>11.7652217052664</v>
      </c>
      <c r="BC210" s="262">
        <f t="shared" si="1003"/>
        <v>11.5345310835945</v>
      </c>
      <c r="BD210" s="259">
        <f>BE210+各项系数!$M$9*$NS210</f>
        <v>12.4746303667314</v>
      </c>
      <c r="BE210" s="259">
        <f>BF210*(1+$BI210+(VLOOKUP($AM210,$A$12:$B$214,2,0))+各项系数!$J$6+各项系数!$M$5)*(1+$E$2)</f>
        <v>12.3793278833609</v>
      </c>
      <c r="BF210" s="260">
        <f>BG210+各项系数!$L$9*$NS210</f>
        <v>12.5068982454646</v>
      </c>
      <c r="BG210" s="260">
        <f>BH210*(1+$BJ210+各项系数!$J$5+各项系数!$L$5)</f>
        <v>12.4115957620941</v>
      </c>
      <c r="BH210" s="262">
        <f t="shared" si="1004"/>
        <v>12.1682311393079</v>
      </c>
      <c r="BI210" s="277">
        <v>0.01</v>
      </c>
      <c r="BJ210" s="272">
        <f>$BJ$199</f>
        <v>0</v>
      </c>
      <c r="BK210" s="123" t="s">
        <v>514</v>
      </c>
      <c r="BL210" s="259">
        <f>BM210+各项系数!$M$9*$NM210</f>
        <v>11.1144188592223</v>
      </c>
      <c r="BM210" s="259">
        <f>BN210*(1+$CF210+(VLOOKUP($AM210,$A$12:$B$323,2,0))+各项系数!$J$6+各项系数!$M$5)*(1+$E$2)</f>
        <v>11.023071866663</v>
      </c>
      <c r="BN210" s="260">
        <f>BO210+各项系数!$L$9*$NM210</f>
        <v>11.1366658584189</v>
      </c>
      <c r="BO210" s="260">
        <f>BP210*(1+$CG210+各项系数!$J$5+各项系数!$L$5)</f>
        <v>11.0453188658596</v>
      </c>
      <c r="BP210" s="260">
        <f t="shared" si="1005"/>
        <v>10.7236105493783</v>
      </c>
      <c r="BQ210" s="259">
        <f>BR210+各项系数!$M$9*$NM210</f>
        <v>11.6572421969629</v>
      </c>
      <c r="BR210" s="259">
        <f>BS210*(1+$CF210+(VLOOKUP($AM210,$A$12:$B$323,2,0))+各项系数!$J$6+各项系数!$M$5)*(1+$E$2)</f>
        <v>11.5658952044036</v>
      </c>
      <c r="BS210" s="260">
        <f>BT210+各项系数!$L$9*$NM210</f>
        <v>11.6850830515292</v>
      </c>
      <c r="BT210" s="260">
        <f>BU210*(1+$CG210+各项系数!$J$5+各项系数!$L$5)</f>
        <v>11.5937360589699</v>
      </c>
      <c r="BU210" s="260">
        <f t="shared" si="1006"/>
        <v>11.2560544261843</v>
      </c>
      <c r="BV210" s="259">
        <f>BW210+各项系数!$M$9*$NT210</f>
        <v>11.9583139182571</v>
      </c>
      <c r="BW210" s="259">
        <f>BX210*(1+$CF210+(VLOOKUP($AM210,$A$12:$B$214,2,0))+各项系数!$J$6+各项系数!$M$5)*(1+$E$2)</f>
        <v>11.8630114348865</v>
      </c>
      <c r="BX210" s="260">
        <f>BY210+各项系数!$L$9*$NT$12</f>
        <v>11.985261098087</v>
      </c>
      <c r="BY210" s="260">
        <f>BZ210*(1+$CG210+各项系数!$J$5+各项系数!$L$5)</f>
        <v>11.976997694932</v>
      </c>
      <c r="BZ210" s="262">
        <f t="shared" si="945"/>
        <v>11.6281531018757</v>
      </c>
      <c r="CA210" s="259">
        <f>CB210+各项系数!$M$9*$NT210</f>
        <v>12.5089202369509</v>
      </c>
      <c r="CB210" s="259">
        <f>CC210*(1+$CF210+(VLOOKUP($AM210,$A$12:$B$214,2,0))+各项系数!$J$6+各项系数!$M$5)*(1+$E$2)</f>
        <v>12.4136177535804</v>
      </c>
      <c r="CC210" s="260">
        <f>CD210+各项系数!$L$9*$NT$12</f>
        <v>12.5415414766421</v>
      </c>
      <c r="CD210" s="260">
        <f>CE210*(1+$CG210+各项系数!$J$5+各项系数!$L$5)</f>
        <v>12.5332780734872</v>
      </c>
      <c r="CE210" s="262">
        <f t="shared" si="1007"/>
        <v>12.1682311393079</v>
      </c>
      <c r="CF210" s="277">
        <f t="shared" si="884"/>
        <v>0.01</v>
      </c>
      <c r="CG210" s="277">
        <f t="shared" si="946"/>
        <v>0.01</v>
      </c>
      <c r="CH210" s="123"/>
      <c r="CI210" s="259">
        <f>CJ210+各项系数!$M$9*$NO210</f>
        <v>11.8444695623294</v>
      </c>
      <c r="CJ210" s="259">
        <f>CK210*(1+$DC210+(VLOOKUP($AM210,$A$12:$B$323,2,0))+各项系数!$J$6+各项系数!$M$5)*(1+$E$2)+各项系数!$M$9*$NK210</f>
        <v>11.7081422393226</v>
      </c>
      <c r="CK210" s="260">
        <f>CL210+各项系数!$L$9*$NO210</f>
        <v>11.7365076245335</v>
      </c>
      <c r="CL210" s="260">
        <f>CM210*(1+$DD210+各项系数!$J$5+各项系数!$L$5)</f>
        <v>11.6001803015267</v>
      </c>
      <c r="CM210" s="260">
        <f t="shared" si="947"/>
        <v>11.3727257858105</v>
      </c>
      <c r="CN210" s="259">
        <f>CO210+各项系数!$M$9*$NO210</f>
        <v>12.3345853610068</v>
      </c>
      <c r="CO210" s="259">
        <f>CP210*(1+$DC210+(VLOOKUP($AM210,$A$12:$B$323,2,0))+各项系数!$J$6+各项系数!$M$5)*(1+$E$2)+各项系数!$M$9*$NK210</f>
        <v>12.198258038</v>
      </c>
      <c r="CP210" s="260">
        <f>CQ210+各项系数!$L$9*$NO210</f>
        <v>12.2316741214798</v>
      </c>
      <c r="CQ210" s="260">
        <f>CR210*(1+$DD210+各项系数!$J$5+各项系数!$L$5)</f>
        <v>12.095346798473</v>
      </c>
      <c r="CR210" s="260">
        <f t="shared" si="948"/>
        <v>11.8581831357578</v>
      </c>
      <c r="CS210" s="259">
        <f>CT210+各项系数!$M$9*$NU210</f>
        <v>12.8345855085173</v>
      </c>
      <c r="CT210" s="259">
        <f t="shared" si="949"/>
        <v>12.6935970145326</v>
      </c>
      <c r="CU210" s="260">
        <f>CV210+各项系数!$L$9*$NU210</f>
        <v>12.8244059552765</v>
      </c>
      <c r="CV210" s="260">
        <f>CW210*(1+$DD210+各项系数!$J$5+各项系数!$L$5)</f>
        <v>12.6834174612918</v>
      </c>
      <c r="CW210" s="262">
        <f t="shared" si="950"/>
        <v>12.4347230012664</v>
      </c>
      <c r="CX210" s="259">
        <f>CY210+各项系数!$M$9*$NU210</f>
        <v>13.569549299856</v>
      </c>
      <c r="CY210" s="259">
        <f t="shared" si="951"/>
        <v>13.4285608058713</v>
      </c>
      <c r="CZ210" s="260">
        <f>DA210+各项系数!$L$9*$NU210</f>
        <v>13.5669436309065</v>
      </c>
      <c r="DA210" s="260">
        <f>DB210*(1+$DD210+各项系数!$J$5+各项系数!$L$5)</f>
        <v>13.4259551369218</v>
      </c>
      <c r="DB210" s="262">
        <f t="shared" si="952"/>
        <v>13.1627011146292</v>
      </c>
      <c r="DC210" s="277">
        <f t="shared" si="1040"/>
        <v>0.01</v>
      </c>
      <c r="DD210" s="277">
        <f t="shared" si="953"/>
        <v>0</v>
      </c>
      <c r="DE210" s="69" t="s">
        <v>498</v>
      </c>
      <c r="DF210" s="69" t="s">
        <v>513</v>
      </c>
      <c r="DG210" s="259">
        <f>DH210+各项系数!$M$9*$NQ210</f>
        <v>12.0653347552285</v>
      </c>
      <c r="DH210" s="259">
        <f>DI210*(1+$EA210+(VLOOKUP($AM210,$A$12:$B$323,2,0))+各项系数!$J$6+各项系数!$M$5)*(1+$E$2)+各项系数!$M$9*$NK210</f>
        <v>11.9290074322217</v>
      </c>
      <c r="DI210" s="260">
        <f>DJ210+各项系数!$L$9*$NQ210</f>
        <v>11.9596488580141</v>
      </c>
      <c r="DJ210" s="260">
        <f>DK210*(1+$EB210+各项系数!$J$5+各项系数!$L$5)</f>
        <v>11.8233215350073</v>
      </c>
      <c r="DK210" s="260">
        <f t="shared" si="954"/>
        <v>11.4789529466091</v>
      </c>
      <c r="DL210" s="259">
        <f>DM210+各项系数!$M$9*$NQ210</f>
        <v>12.6900739675029</v>
      </c>
      <c r="DM210" s="259">
        <f>DN210*(1+$EA210+(VLOOKUP($AM210,$A$12:$B$323,2,0))+各项系数!$J$6+各项系数!$M$5)*(1+$E$2)+各项系数!$M$9*$NK210</f>
        <v>12.5537466444961</v>
      </c>
      <c r="DN210" s="260">
        <f>DO210+各项系数!$L$9*$NQ210</f>
        <v>12.5908260779317</v>
      </c>
      <c r="DO210" s="260">
        <f>DP210*(1+$EB210+各项系数!$J$5+各项系数!$L$5)</f>
        <v>12.4544987549249</v>
      </c>
      <c r="DP210" s="260">
        <f t="shared" si="955"/>
        <v>12.0917463640048</v>
      </c>
      <c r="DQ210" s="259">
        <f>DR210+各项系数!$M$9*$NV210</f>
        <v>13.0673115222609</v>
      </c>
      <c r="DR210" s="259">
        <f t="shared" si="956"/>
        <v>12.9263230282762</v>
      </c>
      <c r="DS210" s="260">
        <f>DT210+各项系数!$L$9*$NV210</f>
        <v>13.0595302366904</v>
      </c>
      <c r="DT210" s="260">
        <f>DU210*(1+$EB210+各项系数!$J$5+各项系数!$L$5)</f>
        <v>12.9185417427057</v>
      </c>
      <c r="DU210" s="262">
        <f t="shared" si="957"/>
        <v>12.5422735366075</v>
      </c>
      <c r="DV210" s="259">
        <f>DW210+各项系数!$M$9*$NV210</f>
        <v>13.2079877116911</v>
      </c>
      <c r="DW210" s="259">
        <f t="shared" si="958"/>
        <v>13.0669992177064</v>
      </c>
      <c r="DX210" s="260">
        <f>DY210+各项系数!$L$9*$NV210</f>
        <v>13.2016561100287</v>
      </c>
      <c r="DY210" s="260">
        <f>DZ210*(1+$EB210+各项系数!$J$5+各项系数!$L$5)</f>
        <v>13.060667616044</v>
      </c>
      <c r="DZ210" s="262">
        <f t="shared" si="959"/>
        <v>12.6802598214019</v>
      </c>
      <c r="EA210" s="277">
        <f>BI210+$EA$2</f>
        <v>0.01</v>
      </c>
      <c r="EB210" s="277">
        <f t="shared" si="960"/>
        <v>0.01</v>
      </c>
      <c r="EC210" s="302" t="str">
        <f t="shared" si="1008"/>
        <v>3+2</v>
      </c>
      <c r="ED210" s="302" t="str">
        <f t="shared" si="890"/>
        <v>3*4</v>
      </c>
      <c r="EE210" s="251">
        <f t="shared" si="891"/>
        <v>4</v>
      </c>
      <c r="EF210" s="251">
        <f>LOOKUP(EH210,{1,7,10,14,19,24,30,37,48,61},{1,"1+6","2+8","4+10","1+6+12","2+8+14","4+10+16","1+6+12+18","3+9+15+21","1+6+12+18+24"})</f>
        <v>1</v>
      </c>
      <c r="EG210" s="250">
        <f t="shared" si="961"/>
        <v>3</v>
      </c>
      <c r="EH210" s="260">
        <f>VLOOKUP(EE210,各项系数!$B$87:$C$124,2,0)</f>
        <v>1</v>
      </c>
      <c r="EI210" s="250">
        <f>IF(EH210=0,0,VLOOKUP(EH210,各项系数!$D$142:$E$195,2,0))*1</f>
        <v>1</v>
      </c>
      <c r="EJ210" s="305">
        <f t="shared" si="1009"/>
        <v>218.588414706449</v>
      </c>
      <c r="EK210" s="251" t="str">
        <f t="shared" si="892"/>
        <v>2*2.5</v>
      </c>
      <c r="EL210" s="251" t="str">
        <f t="shared" si="962"/>
        <v>2.5</v>
      </c>
      <c r="EM210" s="251">
        <f t="shared" si="893"/>
        <v>2.5</v>
      </c>
      <c r="EN210" s="251">
        <f>IF(EP210=0,0,LOOKUP(EP210,{1,7,10,14,19,24,30,37,48,61},{1,"1+6","2+8","4+10","1+6+12","2+8+14","4+10+16","1+6+12+18","3+9+15+21","1+6+12+18+24"}))</f>
        <v>1</v>
      </c>
      <c r="EO210" s="251" t="str">
        <f t="shared" si="894"/>
        <v>2</v>
      </c>
      <c r="EP210" s="251">
        <f>IF(EM210=0,0,IF(EM210&lt;10,1,IF(AND(EM210&gt;=10,EM210&lt;=35),7,LOOKUP(EM210,{50,70,95,120,150,185,240,300},{10,14,19,24,30,37,48,61})*1)))</f>
        <v>1</v>
      </c>
      <c r="EQ210" s="251">
        <f>IF(EP210=0,0,VLOOKUP(EP210,各项系数!$D$142:$E$195,2,0))*1</f>
        <v>1</v>
      </c>
      <c r="ER210" s="69">
        <f t="shared" si="895"/>
        <v>172.412400708262</v>
      </c>
      <c r="ES210" s="566">
        <f t="shared" si="896"/>
        <v>5</v>
      </c>
      <c r="ET210" s="251">
        <f>VLOOKUP(ES210,各项系数!$D$142:$E$195,2,0)*1</f>
        <v>2.7</v>
      </c>
      <c r="EU210" s="311">
        <f>((各项系数!$F$76/4*$EJ210^2*$EG210*$EH210*1*10^-7)*(1-$H210)*AA210)*(VLOOKUP($EY$9,各项系数!$D$4:$F$143,3,0))*各项系数!$J$4</f>
        <v>0.0995841586690487</v>
      </c>
      <c r="EV210" s="312">
        <f>EU210*(VLOOKUP($EY$9,各项系数!$D$4:$F$143,2,0))</f>
        <v>6.52276239282269</v>
      </c>
      <c r="EW210" s="324">
        <f>(IF($EO210=0,0,(各项系数!$F$76/4*$ER210^2*$EO210*$EP210*1*10^-7))*(1-$K210)*$AF210)*(VLOOKUP($EY$9,各项系数!$D$4:$F$143,3,0))*各项系数!$J$4</f>
        <v>0.0413030113778058</v>
      </c>
      <c r="EX210" s="325">
        <f>EW210*(VLOOKUP($EY$9,各项系数!$D$4:$F$143,2,0))</f>
        <v>2.70534724524628</v>
      </c>
      <c r="EY210" s="251">
        <f>((各项系数!$F$76/4*$EJ210^2*$EG210*$EH210*1*10^-7)*(1-$H210)*AA210+IF($EO210=0,0,(各项系数!$F$76/4*$ER210^2*$EO210*$EP210*1*10^-7))*(1-$K210)*$AF210)*(VLOOKUP($EY$9,各项系数!$D$4:$F$143,3,0))*各项系数!$J$4</f>
        <v>0.140887170046854</v>
      </c>
      <c r="EZ210" s="123">
        <v>1</v>
      </c>
      <c r="FA210" s="251">
        <f t="shared" si="897"/>
        <v>0.140887170046854</v>
      </c>
      <c r="FB210" s="326">
        <f>FA210*(VLOOKUP($EY$9,各项系数!$D$4:$F$143,2,0))</f>
        <v>9.22810963806897</v>
      </c>
      <c r="FC210" s="327"/>
      <c r="FD210" s="302">
        <f>各项系数!$F$76/4*($MN210^2-MK210^2)*10^-2*(VLOOKUP(L210,各项系数!$D$1:$F$143,3,0))*10^-3*10^2*$EG210*各项系数!$J$4</f>
        <v>0.0208383739006384</v>
      </c>
      <c r="FE210" s="339">
        <f>FD210*VLOOKUP(L210,各项系数!$D$1:$F$143,2,0)</f>
        <v>0.239641299857342</v>
      </c>
      <c r="FF210" s="250">
        <f>各项系数!$F$76/4*($MO210^2-ML210^2)*10^-2*(VLOOKUP(L210,各项系数!$D$1:$F$143,3,0))*10^-3*10^2*$EO210*各项系数!$J$4</f>
        <v>0.0116693994606404</v>
      </c>
      <c r="FG210" s="339">
        <f>FF210*VLOOKUP(L210,各项系数!$D$1:$F$143,2,0)</f>
        <v>0.134198093797364</v>
      </c>
      <c r="FH210" s="302">
        <f t="shared" si="1010"/>
        <v>0.0325077733612788</v>
      </c>
      <c r="FI210" s="123">
        <v>1</v>
      </c>
      <c r="FJ210" s="251">
        <f t="shared" si="898"/>
        <v>0.0325077733612788</v>
      </c>
      <c r="FK210" s="339">
        <f>FJ210*VLOOKUP(L210,各项系数!$D$1:$F$143,2,0)</f>
        <v>0.373839393654706</v>
      </c>
      <c r="FL210" s="302"/>
      <c r="FM210" s="123"/>
      <c r="FN210" s="251"/>
      <c r="FO210" s="339"/>
      <c r="FP210" s="364">
        <f t="shared" si="899"/>
        <v>0.0325077733612788</v>
      </c>
      <c r="FQ210" s="364">
        <f t="shared" si="900"/>
        <v>0.373839393654706</v>
      </c>
      <c r="FR210" s="365">
        <f>各项系数!$F$76/4*($MQ210^2-$MN210^2*$EG210-$MO210^2*$EO210)*10^-2</f>
        <v>0.206048522312252</v>
      </c>
      <c r="FS210" s="366">
        <f t="shared" si="1011"/>
        <v>1</v>
      </c>
      <c r="FT210" s="367">
        <f t="shared" si="963"/>
        <v>0.206048522312252</v>
      </c>
      <c r="FU210" s="388">
        <f>$FT210*(VLOOKUP($FT$9,各项系数!$D$1:$F$143,3,0))*10^-3*10^2*各项系数!$J$55</f>
        <v>0.0246021935640829</v>
      </c>
      <c r="FV210" s="389">
        <v>1</v>
      </c>
      <c r="FW210" s="390">
        <f t="shared" si="901"/>
        <v>0.0246021935640829</v>
      </c>
      <c r="FX210" s="367">
        <f>FW210*(VLOOKUP($FT$9,各项系数!$D$1:$F$143,2,0))</f>
        <v>0.0738065806922487</v>
      </c>
      <c r="FY210" s="388">
        <f>IF($BK210&lt;&gt;$FY$9,0,各项系数!$F$76/4*($MS210^2-$MQ210^2)*10^-2*(VLOOKUP($FY$9,各项系数!$D$1:$F$143,3,0))*10^-3*10^2)*各项系数!$J$4</f>
        <v>0</v>
      </c>
      <c r="FZ210" s="389">
        <v>1</v>
      </c>
      <c r="GA210" s="390">
        <f t="shared" si="902"/>
        <v>0</v>
      </c>
      <c r="GB210" s="367">
        <f>GA210*(VLOOKUP($FY$9,各项系数!$D$1:$F$143,2,0))</f>
        <v>0</v>
      </c>
      <c r="GC210" s="388">
        <f>IF($BK210&lt;&gt;$GC$9,0,各项系数!$F$76/4*($MS210^2-$MQ210^2)*10^-2*(VLOOKUP($GC$9,各项系数!$D$1:$F$143,3,0))*10^-3*10^2)*各项系数!$J$4</f>
        <v>0.00252479502601896</v>
      </c>
      <c r="GD210" s="389">
        <v>1</v>
      </c>
      <c r="GE210" s="390">
        <f t="shared" si="903"/>
        <v>0.00252479502601896</v>
      </c>
      <c r="GF210" s="367">
        <f>GE210*(VLOOKUP($GC$9,各项系数!$D$1:$F$143,2,0))</f>
        <v>0.0325698558356446</v>
      </c>
      <c r="GG210" s="388">
        <f>IF($BK210&lt;&gt;$GG$9,0,各项系数!$F$76/4*($MS210^2-$MQ210^2)*10^-2*(VLOOKUP($GG$9,各项系数!$D$1:$F$143,3,0))*10^-3*10^2)*各项系数!$J$4</f>
        <v>0</v>
      </c>
      <c r="GH210" s="389">
        <v>1</v>
      </c>
      <c r="GI210" s="390">
        <f t="shared" si="904"/>
        <v>0</v>
      </c>
      <c r="GJ210" s="367">
        <f>GI210*(VLOOKUP($GG$9,各项系数!$D$1:$F$143,2,0))</f>
        <v>0</v>
      </c>
      <c r="GK210" s="388">
        <f>IF($BK210&lt;&gt;$GK$9,0,各项系数!$F$76/4*($MS210^2-$MQ210^2)*10^-2*(VLOOKUP($GK$9,各项系数!$D$1:$F$143,3,0))*10^-3*10^2)*各项系数!$J$4</f>
        <v>0</v>
      </c>
      <c r="GL210" s="389">
        <v>1</v>
      </c>
      <c r="GM210" s="390">
        <f t="shared" si="905"/>
        <v>0</v>
      </c>
      <c r="GN210" s="367">
        <f>GM210*(VLOOKUP($GK$9,各项系数!$D$1:$F$143,2,0))</f>
        <v>0</v>
      </c>
      <c r="GO210" s="390">
        <f t="shared" si="906"/>
        <v>0.00252479502601896</v>
      </c>
      <c r="GP210" s="390">
        <f t="shared" si="907"/>
        <v>0.0325698558356446</v>
      </c>
      <c r="GQ210" s="406">
        <f>各项系数!$F$76/4*($MU210^2-$MS210^2)*10^-2*(VLOOKUP($S210,各项系数!$D$1:$F$143,3,0))*10^-3*10^2*各项系数!$J$4</f>
        <v>0.146067908643997</v>
      </c>
      <c r="GR210" s="389">
        <v>1</v>
      </c>
      <c r="GS210" s="390">
        <f t="shared" si="908"/>
        <v>0.146067908643997</v>
      </c>
      <c r="GT210" s="390">
        <f t="shared" si="909"/>
        <v>1</v>
      </c>
      <c r="GU210" s="390">
        <f>ROUND($GS210*(VLOOKUP($S210,各项系数!$D$1:$F$143,2,0))+$E$3*GS210,GT210)</f>
        <v>0.8</v>
      </c>
      <c r="GV210" s="406">
        <f>各项系数!$F$76/4*($MT210^2-$MS210^2)*10^-2*(VLOOKUP($GV$9,各项系数!$D$1:$F$143,3,0))*10^-3*10^2*各项系数!$J$4*PI()/4*R210</f>
        <v>0.0131849693708156</v>
      </c>
      <c r="GW210" s="389">
        <v>1</v>
      </c>
      <c r="GX210" s="390">
        <f t="shared" si="910"/>
        <v>0.0131849693708156</v>
      </c>
      <c r="GY210" s="390">
        <f>$GX210*(VLOOKUP($GV$9,各项系数!$D$1:$F$143,2,0))</f>
        <v>0.88998543253005</v>
      </c>
      <c r="GZ210" s="406">
        <f>各项系数!$F$76/4*($MV210^2-$MS210^2)*10^-2*(VLOOKUP($GZ$9,各项系数!$D$1:$F$143,3,0))*10^-3*10^2*各项系数!$J$4</f>
        <v>0.0910428798783982</v>
      </c>
      <c r="HA210" s="389">
        <v>1</v>
      </c>
      <c r="HB210" s="390">
        <f t="shared" si="1012"/>
        <v>0.0910428798783982</v>
      </c>
      <c r="HC210" s="390">
        <f>HB210*(VLOOKUP($GZ$9,各项系数!$D$1:$F$143,2,0))</f>
        <v>1.54772895793277</v>
      </c>
      <c r="HD210" s="406">
        <f>各项系数!$F$76/4*($MW210^2-$MT210^2)*10^-2*(VLOOKUP($HD$9,各项系数!$D$1:$F$143,3,0))*10^-3*10^2*各项系数!$J$4</f>
        <v>0.0923482493250766</v>
      </c>
      <c r="HE210" s="389">
        <v>1</v>
      </c>
      <c r="HF210" s="390">
        <f t="shared" si="1013"/>
        <v>0.0923482493250766</v>
      </c>
      <c r="HG210" s="390">
        <f>HF210*(VLOOKUP($HD$9,各项系数!$D$1:$F$143,2,0))</f>
        <v>1.5699202385263</v>
      </c>
      <c r="HH210" s="406">
        <f>各项系数!$F$76/4*($MV210^2-$MS210^2)*10^-2*(VLOOKUP($HH$9,各项系数!$D$1:$F$143,3,0))*10^-3*10^2*各项系数!$J$4</f>
        <v>0.0910428798783982</v>
      </c>
      <c r="HI210" s="420">
        <v>1</v>
      </c>
      <c r="HJ210" s="390">
        <f t="shared" si="1014"/>
        <v>0.0910428798783982</v>
      </c>
      <c r="HK210" s="390">
        <f>HJ210*(VLOOKUP($HH$9,各项系数!$D$1:$F$143,2,0))</f>
        <v>1.54772895793277</v>
      </c>
      <c r="HL210" s="406">
        <f>各项系数!$F$76/4*($MW210^2-$MT210^2)*10^-2*(VLOOKUP($HL$9,各项系数!$D$1:$F$143,3,0))*10^-3*10^2*各项系数!$J$4</f>
        <v>0.0923482493250766</v>
      </c>
      <c r="HM210" s="420">
        <v>1</v>
      </c>
      <c r="HN210" s="390">
        <f t="shared" si="964"/>
        <v>0.0923482493250766</v>
      </c>
      <c r="HO210" s="390">
        <f>HN210*(VLOOKUP($HL$9,各项系数!$D$1:$F$143,2,0))</f>
        <v>1.5699202385263</v>
      </c>
      <c r="HP210" s="406">
        <f>各项系数!$F$76/4*($MV210^2-$MS210^2)*10^-2*(VLOOKUP(AN210,各项系数!$D$1:$F$143,3,0))*10^-3*10^2*各项系数!$J$4</f>
        <v>0.09229864373879</v>
      </c>
      <c r="HQ210" s="389">
        <v>1</v>
      </c>
      <c r="HR210" s="390">
        <f t="shared" si="911"/>
        <v>0.09229864373879</v>
      </c>
      <c r="HS210" s="390">
        <f>HR210*(VLOOKUP(AN210,各项系数!$D$1:$F$143,2,0))</f>
        <v>0.9229864373879</v>
      </c>
      <c r="HT210" s="406">
        <f>各项系数!$F$76/4*($MW210^2-$MT210^2)*10^-2*(VLOOKUP(AN210,各项系数!$D$1:$F$143,3,0))*10^-3*10^2*各项系数!$J$4</f>
        <v>0.0936220182812846</v>
      </c>
      <c r="HU210" s="389">
        <v>1</v>
      </c>
      <c r="HV210" s="390">
        <f t="shared" si="912"/>
        <v>0.0936220182812846</v>
      </c>
      <c r="HW210" s="390">
        <f>HV210*(VLOOKUP(AN210,各项系数!$D$1:$F$143,2,0))</f>
        <v>0.936220182812846</v>
      </c>
      <c r="HX210" s="406">
        <f>各项系数!$F$76/4*($MV210^2-$MS210^2)*10^-2*(VLOOKUP($HX$9,各项系数!$D$1:$F$143,3,0))*10^-3*10^2*各项系数!$J$4</f>
        <v>0.09229864373879</v>
      </c>
      <c r="HY210" s="420">
        <v>1</v>
      </c>
      <c r="HZ210" s="390">
        <f t="shared" si="913"/>
        <v>0.09229864373879</v>
      </c>
      <c r="IA210" s="390">
        <f>HZ210*(VLOOKUP($HX$9,各项系数!$D$1:$F$143,2,0))</f>
        <v>1.01528508112669</v>
      </c>
      <c r="IB210" s="406">
        <f>各项系数!$F$76/4*($MW210^2-$MT210^2)*10^-2*(VLOOKUP($IB$9,各项系数!$D$1:$F$143,3,0))*10^-3*10^2*各项系数!$J$4</f>
        <v>0.0936220182812846</v>
      </c>
      <c r="IC210" s="420">
        <v>1</v>
      </c>
      <c r="ID210" s="390">
        <f t="shared" si="914"/>
        <v>0.0936220182812846</v>
      </c>
      <c r="IE210" s="390">
        <f>ID210*(VLOOKUP($IB$9,各项系数!$D$1:$F$143,2,0))</f>
        <v>1.02984220109413</v>
      </c>
      <c r="IF210" s="429"/>
      <c r="IG210" s="406">
        <f t="shared" si="1015"/>
        <v>0.0161847531476197</v>
      </c>
      <c r="IH210" s="389">
        <v>1</v>
      </c>
      <c r="II210" s="390">
        <f t="shared" si="915"/>
        <v>0.0161847531476197</v>
      </c>
      <c r="IJ210" s="390">
        <f>II210*(VLOOKUP($IG$8,各项系数!$D$1:$F$143,2,0))</f>
        <v>0.404618828690493</v>
      </c>
      <c r="IK210" s="406">
        <f>(各项系数!$F$76/4*($MX210^2-$MK210^2)*$EG210)*10^-2*(VLOOKUP($IG$8,各项系数!$D$1:$F$143,3,0))*10^-3*10^2*各项系数!$J$4</f>
        <v>0.0104902927286383</v>
      </c>
      <c r="IL210" s="389">
        <f>IK210*(VLOOKUP($IG$8,各项系数!$D$1:$F$143,2,0))</f>
        <v>0.262257318215957</v>
      </c>
      <c r="IM210" s="390">
        <f>(各项系数!$F$76/4*(($MM210+3*$X210)^2-MM210^2)*$EO210)*10^-2*(VLOOKUP($IG$8,各项系数!$D$1:$F$143,3,0))*10^-3*10^2*各项系数!$J$4</f>
        <v>0.00569446041898144</v>
      </c>
      <c r="IN210" s="389">
        <f>IM210*(VLOOKUP($IG$8,各项系数!$D$1:$F$143,2,0))</f>
        <v>0.142361510474536</v>
      </c>
      <c r="IO210" s="406">
        <f>各项系数!$F$76/4*($MZ210^2-$MX210^2)*10^-2*(VLOOKUP(L210,各项系数!$D$1:$F$143,3,0))*10^-3*10^2*$ES210*各项系数!$J$4</f>
        <v>0.0419514168023742</v>
      </c>
      <c r="IP210" s="389">
        <v>1</v>
      </c>
      <c r="IQ210" s="390">
        <f t="shared" si="916"/>
        <v>0.0419514168023742</v>
      </c>
      <c r="IR210" s="367">
        <f>IQ210*(VLOOKUP(L210,各项系数!$D$1:$F$143,2,0))</f>
        <v>0.482441293227303</v>
      </c>
      <c r="IS210" s="406">
        <f>IF($L210&lt;&gt;$IS$9,0,各项系数!$F$76/4*($MZ210^2-$MX210^2)*10^-2*各项系数!$F$12*10^-3*10^2)*$ES210*各项系数!$J$4</f>
        <v>0</v>
      </c>
      <c r="IT210" s="389">
        <v>1</v>
      </c>
      <c r="IU210" s="390">
        <f t="shared" si="917"/>
        <v>0</v>
      </c>
      <c r="IV210" s="367">
        <f>IU210*各项系数!$E$12</f>
        <v>0</v>
      </c>
      <c r="IW210" s="388">
        <f t="shared" si="918"/>
        <v>0.0419514168023742</v>
      </c>
      <c r="IX210" s="388">
        <f t="shared" si="919"/>
        <v>0.482441293227303</v>
      </c>
      <c r="IY210" s="447">
        <f>各项系数!$F$76/4*($NB210^2-$MZ210^2*$EG210-$NA210^2*$EO210)*10^-2</f>
        <v>0.285930135606418</v>
      </c>
      <c r="IZ210" s="366">
        <f t="shared" si="697"/>
        <v>1</v>
      </c>
      <c r="JA210" s="367">
        <f t="shared" si="965"/>
        <v>0.285930135606418</v>
      </c>
      <c r="JB210" s="364">
        <f>IF($DE210&lt;&gt;$JB$9,0,$JA210*各项系数!$F$32*10^-3*10^2)*各项系数!$J$4</f>
        <v>0</v>
      </c>
      <c r="JC210" s="123">
        <v>1</v>
      </c>
      <c r="JD210" s="251">
        <f t="shared" si="920"/>
        <v>0</v>
      </c>
      <c r="JE210" s="339">
        <f>JD210*各项系数!$E$32</f>
        <v>0</v>
      </c>
      <c r="JF210" s="364">
        <f>IF($DE210&lt;&gt;$JF$9,0,$JA210*VLOOKUP($JF$9,各项系数!$D$4:$F$540,2,0)*10^-3*10^2)*各项系数!$J$4</f>
        <v>0.142250242464193</v>
      </c>
      <c r="JG210" s="123">
        <v>1</v>
      </c>
      <c r="JH210" s="251">
        <f t="shared" si="966"/>
        <v>0.142250242464193</v>
      </c>
      <c r="JI210" s="339">
        <f>JH210*VLOOKUP($JF$9,各项系数!$D$4:$F$540,3,0)</f>
        <v>0.170700290957032</v>
      </c>
      <c r="JJ210" s="364">
        <f t="shared" si="921"/>
        <v>0.142250242464193</v>
      </c>
      <c r="JK210" s="251">
        <f t="shared" si="922"/>
        <v>0.170700290957032</v>
      </c>
      <c r="JL210" s="364">
        <f>IF($DF210&lt;&gt;$JL$9,0,各项系数!$F$76/4*($NE210^2-$NC210^2)*10^-2*各项系数!$F$39*10^-3*10^2)*各项系数!$J$4</f>
        <v>0.00122920634406273</v>
      </c>
      <c r="JM210" s="123">
        <v>1</v>
      </c>
      <c r="JN210" s="251">
        <f t="shared" si="923"/>
        <v>0.00122920634406273</v>
      </c>
      <c r="JO210" s="339">
        <f>JN210*各项系数!$E$39</f>
        <v>0.0245841268812545</v>
      </c>
      <c r="JP210" s="364">
        <f>IF($DF210&lt;&gt;$JP$9,0,各项系数!$F$76/4*($NE210^2-$NC210^2)*10^-2*各项系数!$F$36*10^-3*10^2)*各项系数!$J$4</f>
        <v>0</v>
      </c>
      <c r="JQ210" s="123">
        <v>1</v>
      </c>
      <c r="JR210" s="251">
        <f t="shared" si="924"/>
        <v>0</v>
      </c>
      <c r="JS210" s="339">
        <f>JR210*各项系数!$E$36</f>
        <v>0</v>
      </c>
      <c r="JT210" s="364">
        <f>IF($DF210&lt;&gt;$JT$9,0,各项系数!$F$76/4*($NE210^2-$NC210^2)*10^-2*各项系数!$F$40*10^-3*10^2)*各项系数!$J$4</f>
        <v>0</v>
      </c>
      <c r="JU210" s="123">
        <v>1</v>
      </c>
      <c r="JV210" s="251">
        <f t="shared" si="925"/>
        <v>0</v>
      </c>
      <c r="JW210" s="339">
        <f>JV210*各项系数!$E$40</f>
        <v>0</v>
      </c>
      <c r="JX210" s="364">
        <f>IF($DF210&lt;&gt;$JX$9,0,各项系数!$F$76/4*($NE210^2-$NC210^2)*10^-2*各项系数!$F$38*10^-3*10^2)*各项系数!$J$4</f>
        <v>0</v>
      </c>
      <c r="JY210" s="123">
        <v>1</v>
      </c>
      <c r="JZ210" s="251">
        <f t="shared" si="926"/>
        <v>0</v>
      </c>
      <c r="KA210" s="339">
        <f>JZ210*各项系数!$E$38</f>
        <v>0</v>
      </c>
      <c r="KB210" s="364">
        <f>IF($DF210&lt;&gt;$KB$9,0,各项系数!$F$76/4*($NE210^2-$NC210^2)*10^-2*各项系数!$F$41*10^-3*10^2)*各项系数!$J$4</f>
        <v>0</v>
      </c>
      <c r="KC210" s="123">
        <v>1</v>
      </c>
      <c r="KD210" s="251">
        <f t="shared" si="927"/>
        <v>0</v>
      </c>
      <c r="KE210" s="339">
        <f>KD210*各项系数!$E$41</f>
        <v>0</v>
      </c>
      <c r="KF210" s="251">
        <f t="shared" si="928"/>
        <v>0.00122920634406273</v>
      </c>
      <c r="KG210" s="251">
        <f t="shared" si="929"/>
        <v>0.0245841268812545</v>
      </c>
      <c r="KH210" s="302">
        <f>各项系数!$F$76/4*($NG210^2-$NE210^2)*10^-2*各项系数!$F$44*10^-3*10^2*各项系数!$J$4*0.75*$U210</f>
        <v>0.512299646617225</v>
      </c>
      <c r="KI210" s="123">
        <v>1</v>
      </c>
      <c r="KJ210" s="251">
        <f t="shared" si="930"/>
        <v>0.512299646617225</v>
      </c>
      <c r="KK210" s="251">
        <f>ROUND(KJ210*各项系数!$E$43,GT210)</f>
        <v>3</v>
      </c>
      <c r="KL210" s="302">
        <f>各项系数!$F$76/4*($NF210^2-$NE210^2)*10^-2*各项系数!$F$46*10^-3*10^2*各项系数!$J$4*PI()/4*R210</f>
        <v>0.0155372365930513</v>
      </c>
      <c r="KM210" s="123">
        <v>1</v>
      </c>
      <c r="KN210" s="251">
        <f t="shared" si="931"/>
        <v>0.0155372365930513</v>
      </c>
      <c r="KO210" s="251">
        <f>KN210*各项系数!$E$46</f>
        <v>1.04876347003096</v>
      </c>
      <c r="KP210" s="302">
        <f>各项系数!$F$76/4*($NH210^2-$NE210^2)*10^-2*(VLOOKUP($KP$9,各项系数!$D$1:$F$143,3,0))*10^-3*10^2*各项系数!$J$4</f>
        <v>0.104781893304688</v>
      </c>
      <c r="KQ210" s="123">
        <v>1</v>
      </c>
      <c r="KR210" s="251">
        <f t="shared" si="1016"/>
        <v>0.104781893304688</v>
      </c>
      <c r="KS210" s="251">
        <f>KR210*(VLOOKUP($KP$9,各项系数!$D$1:$F$143,2,0))</f>
        <v>1.7812921861797</v>
      </c>
      <c r="KT210" s="302">
        <f>各项系数!$F$76/4*($NI210^2-$NF210^2)*10^-2*(VLOOKUP($KT$9,各项系数!$D$1:$F$143,3,0))*10^-3*10^2*各项系数!$J$4</f>
        <v>0.106087262751367</v>
      </c>
      <c r="KU210" s="123">
        <v>1</v>
      </c>
      <c r="KV210" s="251">
        <f t="shared" si="1017"/>
        <v>0.106087262751367</v>
      </c>
      <c r="KW210" s="251">
        <f>KV210*(VLOOKUP($KT$9,各项系数!$D$1:$F$143,2,0))</f>
        <v>1.80348346677323</v>
      </c>
      <c r="KX210" s="251">
        <f>各项系数!$F$76/4*($NH210^2-$NE210^2)*10^-2*(VLOOKUP($KX$9,各项系数!$D$1:$F$143,3,0))*10^-3*10^2*各项系数!$J$4</f>
        <v>0.104781893304688</v>
      </c>
      <c r="KY210" s="479">
        <v>1</v>
      </c>
      <c r="KZ210" s="251">
        <f t="shared" si="1018"/>
        <v>0.104781893304688</v>
      </c>
      <c r="LA210" s="251">
        <f>KZ210*(VLOOKUP($KX$9,各项系数!$D$1:$F$143,2,0))</f>
        <v>1.7812921861797</v>
      </c>
      <c r="LB210" s="251">
        <f>各项系数!$F$76/4*($NI210^2-$NF210^2)*10^-2*(VLOOKUP($LB$9,各项系数!$D$1:$F$143,3,0))*10^-3*10^2*各项系数!$J$4</f>
        <v>0.106087262751367</v>
      </c>
      <c r="LC210" s="479">
        <v>1</v>
      </c>
      <c r="LD210" s="251">
        <f t="shared" si="1019"/>
        <v>0.106087262751367</v>
      </c>
      <c r="LE210" s="251">
        <f>LD210*(VLOOKUP($LB$9,各项系数!$D$1:$F$143,2,0))</f>
        <v>1.80348346677323</v>
      </c>
      <c r="LF210" s="302">
        <f>各项系数!$F$76/4*($NH210^2-$NE210^2)*10^-2*(VLOOKUP(AN210,各项系数!$D$1:$F$143,3,0))*10^-3*10^2*各项系数!$J$4</f>
        <v>0.106227160798546</v>
      </c>
      <c r="LG210" s="123">
        <v>1</v>
      </c>
      <c r="LH210" s="251">
        <f t="shared" si="932"/>
        <v>0.106227160798546</v>
      </c>
      <c r="LI210" s="251">
        <f>LH210*(VLOOKUP(AN210,各项系数!$D$1:$F$143,2,0))</f>
        <v>1.06227160798546</v>
      </c>
      <c r="LJ210" s="302">
        <f>各项系数!$F$76/4*($NI210^2-$NF210^2)*10^-2*(VLOOKUP(AN210,各项系数!$D$1:$F$143,3,0))*10^-3*10^2*各项系数!$J$4</f>
        <v>0.107550535341041</v>
      </c>
      <c r="LK210" s="123">
        <v>1</v>
      </c>
      <c r="LL210" s="251">
        <f t="shared" si="933"/>
        <v>0.107550535341041</v>
      </c>
      <c r="LM210" s="251">
        <f>LL210*(VLOOKUP(AN210,各项系数!$D$1:$F$143,2,0))</f>
        <v>1.07550535341041</v>
      </c>
      <c r="LN210" s="251">
        <f>各项系数!$F$76/4*($NH210^2-$NE210^2)*10^-2*(VLOOKUP($LN$9,各项系数!$D$1:$F$143,3,0))*10^-3*10^2*各项系数!$J$4</f>
        <v>0.106227160798546</v>
      </c>
      <c r="LO210" s="479">
        <v>1</v>
      </c>
      <c r="LP210" s="251">
        <f t="shared" si="934"/>
        <v>0.106227160798546</v>
      </c>
      <c r="LQ210" s="251">
        <f>LP210*(VLOOKUP($LN$9,各项系数!$D$1:$F$143,2,0))</f>
        <v>1.16849876878401</v>
      </c>
      <c r="LR210" s="251">
        <f>各项系数!$F$76/4*($NI210^2-$NF210^2)*10^-2*(VLOOKUP($LR$9,各项系数!$D$1:$F$143,3,0))*10^-3*10^2*各项系数!$J$4</f>
        <v>0.107550535341041</v>
      </c>
      <c r="LS210" s="479">
        <v>1</v>
      </c>
      <c r="LT210" s="251">
        <f t="shared" si="935"/>
        <v>0.107550535341041</v>
      </c>
      <c r="LU210" s="251">
        <f>LT210*(VLOOKUP($LR$9,各项系数!$D$1:$F$143,2,0))</f>
        <v>1.18305588875145</v>
      </c>
      <c r="LV210" s="499">
        <f t="shared" si="1020"/>
        <v>11.25810819</v>
      </c>
      <c r="LW210" s="499">
        <f t="shared" si="1021"/>
        <v>11.25810819</v>
      </c>
      <c r="LX210" s="499">
        <f t="shared" si="1022"/>
        <v>3.78606240656633</v>
      </c>
      <c r="LY210" s="515">
        <f t="shared" si="1023"/>
        <v>0</v>
      </c>
      <c r="LZ210" s="516">
        <f t="shared" si="967"/>
        <v>1</v>
      </c>
      <c r="MA210" s="517">
        <f t="shared" si="968"/>
        <v>11.25810819</v>
      </c>
      <c r="MB210" s="517">
        <f t="shared" si="1024"/>
        <v>2.18588415</v>
      </c>
      <c r="MC210" s="499">
        <f t="shared" si="1025"/>
        <v>4.6693548</v>
      </c>
      <c r="MD210" s="499">
        <f t="shared" si="1026"/>
        <v>4.66935482</v>
      </c>
      <c r="ME210" s="499">
        <f t="shared" si="1027"/>
        <v>2.43827955846407</v>
      </c>
      <c r="MF210" s="499">
        <f t="shared" si="1028"/>
        <v>-1.99999998784506e-8</v>
      </c>
      <c r="MG210" s="516">
        <f t="shared" si="1029"/>
        <v>1</v>
      </c>
      <c r="MH210" s="517">
        <f t="shared" si="969"/>
        <v>4.6693548</v>
      </c>
      <c r="MI210" s="517">
        <f t="shared" si="1030"/>
        <v>1.72412400652606</v>
      </c>
      <c r="MJ210" s="251">
        <f t="shared" si="970"/>
        <v>2.18588415</v>
      </c>
      <c r="MK210" s="251">
        <f t="shared" si="1031"/>
        <v>2.18588415</v>
      </c>
      <c r="ML210" s="251">
        <f t="shared" si="936"/>
        <v>1.72412400708262</v>
      </c>
      <c r="MM210" s="251">
        <f t="shared" si="971"/>
        <v>1.72412400652606</v>
      </c>
      <c r="MN210" s="251">
        <f t="shared" si="972"/>
        <v>3.58588415</v>
      </c>
      <c r="MO210" s="251">
        <f t="shared" si="1032"/>
        <v>3.12412400652606</v>
      </c>
      <c r="MP210" s="251">
        <f t="shared" si="1033"/>
        <v>9.18318625</v>
      </c>
      <c r="MQ210" s="251">
        <f t="shared" si="937"/>
        <v>9.18318625</v>
      </c>
      <c r="MR210" s="314">
        <f t="shared" si="1034"/>
        <v>9.18318625</v>
      </c>
      <c r="MS210" s="530">
        <f t="shared" si="973"/>
        <v>9.35918625</v>
      </c>
      <c r="MT210" s="530">
        <f t="shared" si="974"/>
        <v>9.51918625</v>
      </c>
      <c r="MU210" s="530">
        <f t="shared" si="975"/>
        <v>10.55918625</v>
      </c>
      <c r="MV210" s="530">
        <f t="shared" si="976"/>
        <v>12.95918625</v>
      </c>
      <c r="MW210" s="530">
        <f t="shared" si="977"/>
        <v>13.11918625</v>
      </c>
      <c r="MX210" s="326">
        <f t="shared" si="978"/>
        <v>2.78588415</v>
      </c>
      <c r="MY210" s="326">
        <f t="shared" si="979"/>
        <v>2.32412400652606</v>
      </c>
      <c r="MZ210" s="251">
        <f t="shared" si="980"/>
        <v>4.18588415</v>
      </c>
      <c r="NA210" s="251">
        <f t="shared" si="981"/>
        <v>3.72412400652606</v>
      </c>
      <c r="NB210" s="251">
        <f t="shared" si="1035"/>
        <v>10.80318625</v>
      </c>
      <c r="NC210" s="326">
        <f t="shared" si="938"/>
        <v>10.80318625</v>
      </c>
      <c r="ND210" s="314">
        <f t="shared" si="1036"/>
        <v>10.80318625</v>
      </c>
      <c r="NE210" s="537">
        <f t="shared" si="1037"/>
        <v>11.04318625</v>
      </c>
      <c r="NF210" s="530">
        <f t="shared" si="982"/>
        <v>11.20318625</v>
      </c>
      <c r="NG210" s="538">
        <f t="shared" si="983"/>
        <v>12.24318625</v>
      </c>
      <c r="NH210" s="326">
        <f t="shared" si="984"/>
        <v>14.64318625</v>
      </c>
      <c r="NI210" s="530">
        <f t="shared" si="985"/>
        <v>14.80318625</v>
      </c>
      <c r="NK210" s="539">
        <f t="shared" si="986"/>
        <v>0.304489975197665</v>
      </c>
      <c r="NL210" s="539">
        <f t="shared" si="987"/>
        <v>10.7655099994368</v>
      </c>
      <c r="NM210" s="539">
        <f t="shared" si="988"/>
        <v>0.304489975197665</v>
      </c>
      <c r="NN210" s="539">
        <f t="shared" si="989"/>
        <v>10.8578086431756</v>
      </c>
      <c r="NO210" s="539">
        <f t="shared" si="990"/>
        <v>0.454424410022632</v>
      </c>
      <c r="NP210" s="539">
        <f t="shared" si="991"/>
        <v>11.515087296285</v>
      </c>
      <c r="NQ210" s="539">
        <f t="shared" si="992"/>
        <v>0.454424410022632</v>
      </c>
      <c r="NR210" s="539">
        <f t="shared" si="993"/>
        <v>11.6213144570836</v>
      </c>
      <c r="NS210" s="539">
        <f t="shared" si="994"/>
        <v>0.317674944568481</v>
      </c>
      <c r="NT210" s="539">
        <f t="shared" si="995"/>
        <v>0.317674944568481</v>
      </c>
      <c r="NU210" s="539">
        <f t="shared" si="996"/>
        <v>0.469961646615683</v>
      </c>
      <c r="NV210" s="539">
        <f t="shared" si="997"/>
        <v>0.469961646615683</v>
      </c>
      <c r="NW210">
        <f t="shared" si="998"/>
        <v>0.450557883841662</v>
      </c>
      <c r="NX210">
        <f>各项系数!$M$9*NK210</f>
        <v>0.0913469925592996</v>
      </c>
      <c r="NY210">
        <f t="shared" si="999"/>
        <v>0.317674944568481</v>
      </c>
    </row>
    <row r="211" customHeight="1" spans="1:389">
      <c r="A211" s="85"/>
      <c r="B211" s="86"/>
      <c r="C211" s="218"/>
      <c r="D211" s="123" t="s">
        <v>309</v>
      </c>
      <c r="E211" s="77">
        <f t="shared" si="885"/>
        <v>13.20853673</v>
      </c>
      <c r="F211" s="225">
        <f>$F$18</f>
        <v>218.588414706449</v>
      </c>
      <c r="G211" s="23"/>
      <c r="H211" s="23"/>
      <c r="I211" s="174">
        <f>$F$17</f>
        <v>172.412400708262</v>
      </c>
      <c r="J211" s="23"/>
      <c r="K211" s="23"/>
      <c r="L211" s="118" t="s">
        <v>469</v>
      </c>
      <c r="M211" s="124">
        <f t="shared" si="940"/>
        <v>0.7</v>
      </c>
      <c r="N211" s="124">
        <f t="shared" si="1038"/>
        <v>0.7</v>
      </c>
      <c r="O211" s="69">
        <f t="shared" si="1039"/>
        <v>0.08</v>
      </c>
      <c r="P211" s="120">
        <v>0.1</v>
      </c>
      <c r="Q211" s="162">
        <f t="shared" si="941"/>
        <v>0.1</v>
      </c>
      <c r="R211" s="560">
        <v>0.8</v>
      </c>
      <c r="S211" s="171" t="str">
        <f>各项系数!$D$43</f>
        <v>钢带</v>
      </c>
      <c r="T211" s="123">
        <v>0.2</v>
      </c>
      <c r="U211" s="78">
        <v>4</v>
      </c>
      <c r="V211" s="172"/>
      <c r="W211" s="170">
        <f>$W$202</f>
        <v>1.8</v>
      </c>
      <c r="X211" s="164">
        <f t="shared" si="942"/>
        <v>0.2</v>
      </c>
      <c r="Y211" s="219"/>
      <c r="Z211" s="220"/>
      <c r="AA211" s="217">
        <v>1</v>
      </c>
      <c r="AB211" s="186">
        <f>PI()*EJ211*EJ211/4*EH211*(1-H211)*AA211*各项系数!$F$5*各项系数!$J$4*10^-7</f>
        <v>0.0331947195563496</v>
      </c>
      <c r="AC211" s="186">
        <f t="shared" si="886"/>
        <v>218.588414706449</v>
      </c>
      <c r="AD211" s="186">
        <f t="shared" si="943"/>
        <v>3.75270272129484</v>
      </c>
      <c r="AE211" s="186">
        <f>POWER(4*EU211/PI()/EG211/10^-7/EH211/(1-H211)/各项系数!$F$5/各项系数!$J$4,0.5)</f>
        <v>218.588414706449</v>
      </c>
      <c r="AF211" s="218">
        <f>$AA$182</f>
        <v>1</v>
      </c>
      <c r="AG211" s="85">
        <f>IF(EM211=0,0,PI()*ER211*ER211/4*EP211*(1-K211)*(1+AF211)*各项系数!$F$5*各项系数!$J$4*10^-7)</f>
        <v>0.0413030113778058</v>
      </c>
      <c r="AH211" s="85">
        <f t="shared" si="887"/>
        <v>172.412400708262</v>
      </c>
      <c r="AI211" s="85">
        <f t="shared" si="1000"/>
        <v>2.3346774015073</v>
      </c>
      <c r="AJ211" s="85">
        <f>IF(OR(EP211="",EP211=0),0,POWER(4*EW211/PI()/EO211/10^-7/EP211/(1-K211)/各项系数!$F$5/各项系数!$J$4,0.5))</f>
        <v>172.412400708262</v>
      </c>
      <c r="AK211" s="85">
        <f t="shared" si="944"/>
        <v>0.153430383914301</v>
      </c>
      <c r="AL211" s="85">
        <f t="shared" si="888"/>
        <v>12.0261615032489</v>
      </c>
      <c r="AM211" s="250">
        <f t="shared" si="889"/>
        <v>4</v>
      </c>
      <c r="AN211" s="118" t="s">
        <v>486</v>
      </c>
      <c r="AO211" s="259">
        <f>AP211+各项系数!$M$9*$NK211</f>
        <v>11.7903544149499</v>
      </c>
      <c r="AP211" s="259">
        <f>AQ211*(1+$BI211+(VLOOKUP($AM211,$A$12:$B$323,2,0))+各项系数!$J$6+各项系数!$M$5)*(1+$E$2)</f>
        <v>11.6955881378584</v>
      </c>
      <c r="AQ211" s="260">
        <f>AR211+各项系数!$L$9*$NK211</f>
        <v>11.8161124852075</v>
      </c>
      <c r="AR211" s="260">
        <f>AS211*(1+$BJ211+各项系数!$J$5+各项系数!$L$5)</f>
        <v>11.7213462081159</v>
      </c>
      <c r="AS211" s="260">
        <f t="shared" si="1001"/>
        <v>11.4915158903098</v>
      </c>
      <c r="AT211" s="259">
        <f>AU211+各项系数!$M$9*$NM211</f>
        <v>12.4351857084114</v>
      </c>
      <c r="AU211" s="259">
        <f>AV211*(1+$BI211+(VLOOKUP($AM211,$A$12:$B$323,2,0))+各项系数!$J$6+各项系数!$M$5)*(1+$E$2)</f>
        <v>12.3404194313198</v>
      </c>
      <c r="AV211" s="260">
        <f>AW211+各项系数!$L$9*$NM211</f>
        <v>12.4675888374619</v>
      </c>
      <c r="AW211" s="260">
        <f>AX211*(1+$BJ211+各项系数!$J$5+各项系数!$L$5)</f>
        <v>12.3728225603704</v>
      </c>
      <c r="AX211" s="260">
        <f t="shared" si="1002"/>
        <v>12.1302181964415</v>
      </c>
      <c r="AY211" s="259">
        <f>AZ211+各项系数!$M$9*$NS211</f>
        <v>12.7340553601999</v>
      </c>
      <c r="AZ211" s="259">
        <f>BA211*(1+$BI211+(VLOOKUP($AM211,$A$12:$B$214,2,0))+各项系数!$J$6+各项系数!$M$5)*(1+$E$2)</f>
        <v>12.6352291019834</v>
      </c>
      <c r="BA211" s="260">
        <f>BB211+各项系数!$L$9*$NS211</f>
        <v>12.7654365548427</v>
      </c>
      <c r="BB211" s="260">
        <f>BC211*(1+$BJ211+各项系数!$J$5+各项系数!$L$5)</f>
        <v>12.6666102966262</v>
      </c>
      <c r="BC211" s="262">
        <f t="shared" si="1003"/>
        <v>12.4182453888493</v>
      </c>
      <c r="BD211" s="259">
        <f>BE211+各项系数!$M$9*$NS211</f>
        <v>13.3879301453373</v>
      </c>
      <c r="BE211" s="259">
        <f>BF211*(1+$BI211+(VLOOKUP($AM211,$A$12:$B$214,2,0))+各项系数!$J$6+各项系数!$M$5)*(1+$E$2)</f>
        <v>13.2891038871208</v>
      </c>
      <c r="BF211" s="260">
        <f>BG211+各项系数!$L$9*$NS211</f>
        <v>13.4260495929691</v>
      </c>
      <c r="BG211" s="260">
        <f>BH211*(1+$BJ211+各项系数!$J$5+各项系数!$L$5)</f>
        <v>13.3272233347526</v>
      </c>
      <c r="BH211" s="262">
        <f t="shared" si="1004"/>
        <v>13.0659052301496</v>
      </c>
      <c r="BI211" s="277">
        <v>0.01</v>
      </c>
      <c r="BJ211" s="272">
        <f>$BJ$199</f>
        <v>0</v>
      </c>
      <c r="BK211" s="123" t="s">
        <v>514</v>
      </c>
      <c r="BL211" s="259">
        <f>BM211+各项系数!$M$9*$NM211</f>
        <v>12.0002979576508</v>
      </c>
      <c r="BM211" s="259">
        <f>BN211*(1+$CF211+(VLOOKUP($AM211,$A$12:$B$323,2,0))+各项系数!$J$6+各项系数!$M$5)*(1+$E$2)</f>
        <v>11.9055316805592</v>
      </c>
      <c r="BN211" s="260">
        <f>BO211+各项系数!$L$9*$NM211</f>
        <v>12.0282195196598</v>
      </c>
      <c r="BO211" s="260">
        <f>BP211*(1+$CG211+各项系数!$J$5+各项系数!$L$5)</f>
        <v>11.9334532425682</v>
      </c>
      <c r="BP211" s="260">
        <f t="shared" si="1005"/>
        <v>11.5858769345322</v>
      </c>
      <c r="BQ211" s="259">
        <f>BR211+各项系数!$M$9*$NM211</f>
        <v>12.5552506081197</v>
      </c>
      <c r="BR211" s="259">
        <f>BS211*(1+$CF211+(VLOOKUP($AM211,$A$12:$B$323,2,0))+各项系数!$J$6+各项系数!$M$5)*(1+$E$2)</f>
        <v>12.4604843310282</v>
      </c>
      <c r="BS211" s="260">
        <f>BT211+各项系数!$L$9*$NM211</f>
        <v>12.5888910194263</v>
      </c>
      <c r="BT211" s="260">
        <f>BU211*(1+$CG211+各项系数!$J$5+各项系数!$L$5)</f>
        <v>12.4941247423348</v>
      </c>
      <c r="BU211" s="260">
        <f t="shared" si="1006"/>
        <v>12.1302181964415</v>
      </c>
      <c r="BV211" s="259">
        <f>BW211+各项系数!$M$9*$NT211</f>
        <v>12.8648817299432</v>
      </c>
      <c r="BW211" s="259">
        <f>BX211*(1+$CF211+(VLOOKUP($AM211,$A$12:$B$214,2,0))+各项系数!$J$6+各项系数!$M$5)*(1+$E$2)</f>
        <v>12.7660554717267</v>
      </c>
      <c r="BX211" s="260">
        <f>BY211+各项系数!$L$9*$NT$12</f>
        <v>12.8976111049976</v>
      </c>
      <c r="BY211" s="260">
        <f>BZ211*(1+$CG211+各项系数!$J$5+各项系数!$L$5)</f>
        <v>12.8893477018427</v>
      </c>
      <c r="BZ211" s="262">
        <f t="shared" si="945"/>
        <v>12.5139298076142</v>
      </c>
      <c r="CA211" s="259">
        <f>CB211+各项系数!$M$9*$NT211</f>
        <v>13.4276173613654</v>
      </c>
      <c r="CB211" s="259">
        <f>CC211*(1+$CF211+(VLOOKUP($AM211,$A$12:$B$214,2,0))+各项系数!$J$6+各项系数!$M$5)*(1+$E$2)</f>
        <v>13.3287911031489</v>
      </c>
      <c r="CC211" s="260">
        <f>CD211+各项系数!$L$9*$NT$12</f>
        <v>13.4661457902091</v>
      </c>
      <c r="CD211" s="260">
        <f>CE211*(1+$CG211+各项系数!$J$5+各项系数!$L$5)</f>
        <v>13.4578823870541</v>
      </c>
      <c r="CE211" s="262">
        <f t="shared" si="1007"/>
        <v>13.0659052301496</v>
      </c>
      <c r="CF211" s="277">
        <f t="shared" si="884"/>
        <v>0.01</v>
      </c>
      <c r="CG211" s="277">
        <f t="shared" si="946"/>
        <v>0.01</v>
      </c>
      <c r="CH211" s="123"/>
      <c r="CI211" s="259">
        <f>CJ211+各项系数!$M$9*$NO211</f>
        <v>12.7352590190084</v>
      </c>
      <c r="CJ211" s="259">
        <f>CK211*(1+$DC211+(VLOOKUP($AM211,$A$12:$B$323,2,0))+各项系数!$J$6+各项系数!$M$5)*(1+$E$2)+各项系数!$M$9*$NK211</f>
        <v>12.5930942026201</v>
      </c>
      <c r="CK211" s="260">
        <f>CL211+各项系数!$L$9*$NO211</f>
        <v>12.627124596412</v>
      </c>
      <c r="CL211" s="260">
        <f>CM211*(1+$DD211+各项系数!$J$5+各项系数!$L$5)</f>
        <v>12.4849597800236</v>
      </c>
      <c r="CM211" s="260">
        <f t="shared" si="947"/>
        <v>12.240156647082</v>
      </c>
      <c r="CN211" s="259">
        <f>CO211+各项系数!$M$9*$NO211</f>
        <v>13.2394685613752</v>
      </c>
      <c r="CO211" s="259">
        <f>CP211*(1+$DC211+(VLOOKUP($AM211,$A$12:$B$323,2,0))+各项系数!$J$6+各项系数!$M$5)*(1+$E$2)+各项系数!$M$9*$NK211</f>
        <v>13.0973037449869</v>
      </c>
      <c r="CP211" s="260">
        <f>CQ211+各项系数!$L$9*$NO211</f>
        <v>13.1365300746568</v>
      </c>
      <c r="CQ211" s="260">
        <f>CR211*(1+$DD211+各项系数!$J$5+各项系数!$L$5)</f>
        <v>12.9943652582685</v>
      </c>
      <c r="CR211" s="260">
        <f t="shared" si="948"/>
        <v>12.7395737826162</v>
      </c>
      <c r="CS211" s="259">
        <f>CT211+各项系数!$M$9*$NU211</f>
        <v>13.7458995211112</v>
      </c>
      <c r="CT211" s="259">
        <f t="shared" si="949"/>
        <v>13.5989690434313</v>
      </c>
      <c r="CU211" s="260">
        <f>CV211+各项系数!$L$9*$NU211</f>
        <v>13.7391079444648</v>
      </c>
      <c r="CV211" s="260">
        <f>CW211*(1+$DD211+各项系数!$J$5+各项系数!$L$5)</f>
        <v>13.5921774667848</v>
      </c>
      <c r="CW211" s="262">
        <f t="shared" si="950"/>
        <v>13.3256641831224</v>
      </c>
      <c r="CX211" s="259">
        <f>CY211+各项系数!$M$9*$NU211</f>
        <v>14.4949570561393</v>
      </c>
      <c r="CY211" s="259">
        <f t="shared" si="951"/>
        <v>14.3480265784593</v>
      </c>
      <c r="CZ211" s="260">
        <f>DA211+各项系数!$L$9*$NU211</f>
        <v>14.4958846013935</v>
      </c>
      <c r="DA211" s="260">
        <f>DB211*(1+$DD211+各项系数!$J$5+各项系数!$L$5)</f>
        <v>14.3489541237136</v>
      </c>
      <c r="DB211" s="262">
        <f t="shared" si="952"/>
        <v>14.0676020820721</v>
      </c>
      <c r="DC211" s="277">
        <f t="shared" si="1040"/>
        <v>0.01</v>
      </c>
      <c r="DD211" s="277">
        <f t="shared" si="953"/>
        <v>0</v>
      </c>
      <c r="DE211" s="69" t="s">
        <v>498</v>
      </c>
      <c r="DF211" s="69" t="s">
        <v>513</v>
      </c>
      <c r="DG211" s="259">
        <f>DH211+各项系数!$M$9*$NQ211</f>
        <v>12.9668126474911</v>
      </c>
      <c r="DH211" s="259">
        <f>DI211*(1+$EA211+(VLOOKUP($AM211,$A$12:$B$323,2,0))+各项系数!$J$6+各项系数!$M$5)*(1+$E$2)+各项系数!$M$9*$NK211</f>
        <v>12.8246478311028</v>
      </c>
      <c r="DI211" s="260">
        <f>DJ211+各项系数!$L$9*$NQ211</f>
        <v>12.8610644110035</v>
      </c>
      <c r="DJ211" s="260">
        <f>DK211*(1+$EB211+各项系数!$J$5+各项系数!$L$5)</f>
        <v>12.7188995946151</v>
      </c>
      <c r="DK211" s="260">
        <f t="shared" si="954"/>
        <v>12.3484462083642</v>
      </c>
      <c r="DL211" s="259">
        <f>DM211+各项系数!$M$9*$NQ211</f>
        <v>13.603681172494</v>
      </c>
      <c r="DM211" s="259">
        <f>DN211*(1+$EA211+(VLOOKUP($AM211,$A$12:$B$323,2,0))+各项系数!$J$6+各项系数!$M$5)*(1+$E$2)+各项系数!$M$9*$NK211</f>
        <v>13.4615163561056</v>
      </c>
      <c r="DN211" s="260">
        <f>DO211+各项系数!$L$9*$NQ211</f>
        <v>13.5044959375773</v>
      </c>
      <c r="DO211" s="260">
        <f>DP211*(1+$EB211+各项系数!$J$5+各项系数!$L$5)</f>
        <v>13.362331121189</v>
      </c>
      <c r="DP211" s="260">
        <f t="shared" si="955"/>
        <v>12.9731370108631</v>
      </c>
      <c r="DQ211" s="259">
        <f>DR211+各项系数!$M$9*$NV211</f>
        <v>13.9895466755915</v>
      </c>
      <c r="DR211" s="259">
        <f t="shared" si="956"/>
        <v>13.8426161979115</v>
      </c>
      <c r="DS211" s="260">
        <f>DT211+各项系数!$L$9*$NV211</f>
        <v>13.9852659101955</v>
      </c>
      <c r="DT211" s="260">
        <f>DU211*(1+$EB211+各项系数!$J$5+各项系数!$L$5)</f>
        <v>13.8383354325155</v>
      </c>
      <c r="DU211" s="262">
        <f t="shared" si="957"/>
        <v>13.4352771189471</v>
      </c>
      <c r="DV211" s="259">
        <f>DW211+各项系数!$M$9*$NV211</f>
        <v>14.1423521777501</v>
      </c>
      <c r="DW211" s="259">
        <f t="shared" si="958"/>
        <v>13.9954217000702</v>
      </c>
      <c r="DX211" s="260">
        <f>DY211+各项系数!$L$9*$NV211</f>
        <v>14.1396460901901</v>
      </c>
      <c r="DY211" s="260">
        <f>DZ211*(1+$EB211+各项系数!$J$5+各项系数!$L$5)</f>
        <v>13.9927156125102</v>
      </c>
      <c r="DZ211" s="262">
        <f t="shared" si="959"/>
        <v>13.5851607888448</v>
      </c>
      <c r="EA211" s="277">
        <f>BI211+$EA$2</f>
        <v>0.01</v>
      </c>
      <c r="EB211" s="277">
        <f t="shared" si="960"/>
        <v>0.01</v>
      </c>
      <c r="EC211" s="302" t="str">
        <f t="shared" si="1008"/>
        <v>4+1</v>
      </c>
      <c r="ED211" s="302" t="str">
        <f t="shared" si="890"/>
        <v>4*4</v>
      </c>
      <c r="EE211" s="251">
        <f t="shared" si="891"/>
        <v>4</v>
      </c>
      <c r="EF211" s="251">
        <f>LOOKUP(EH211,{1,7,10,14,19,24,30,37,48,61},{1,"1+6","2+8","4+10","1+6+12","2+8+14","4+10+16","1+6+12+18","3+9+15+21","1+6+12+18+24"})</f>
        <v>1</v>
      </c>
      <c r="EG211" s="250">
        <f t="shared" si="961"/>
        <v>4</v>
      </c>
      <c r="EH211" s="260">
        <f>VLOOKUP(EE211,各项系数!$B$87:$C$124,2,0)</f>
        <v>1</v>
      </c>
      <c r="EI211" s="250">
        <f>IF(EH211=0,0,VLOOKUP(EH211,各项系数!$D$142:$E$195,2,0))*1</f>
        <v>1</v>
      </c>
      <c r="EJ211" s="305">
        <f t="shared" si="1009"/>
        <v>218.588414706449</v>
      </c>
      <c r="EK211" s="251" t="str">
        <f t="shared" si="892"/>
        <v>1*2.5</v>
      </c>
      <c r="EL211" s="251" t="str">
        <f t="shared" si="962"/>
        <v>2.5</v>
      </c>
      <c r="EM211" s="251">
        <f t="shared" si="893"/>
        <v>2.5</v>
      </c>
      <c r="EN211" s="251">
        <f>IF(EP211=0,0,LOOKUP(EP211,{1,7,10,14,19,24,30,37,48,61},{1,"1+6","2+8","4+10","1+6+12","2+8+14","4+10+16","1+6+12+18","3+9+15+21","1+6+12+18+24"}))</f>
        <v>1</v>
      </c>
      <c r="EO211" s="251" t="str">
        <f t="shared" si="894"/>
        <v>1</v>
      </c>
      <c r="EP211" s="251">
        <f>IF(EM211=0,0,IF(EM211&lt;10,1,IF(AND(EM211&gt;=10,EM211&lt;=35),7,LOOKUP(EM211,{50,70,95,120,150,185,240,300},{10,14,19,24,30,37,48,61})*1)))</f>
        <v>1</v>
      </c>
      <c r="EQ211" s="251">
        <f>IF(EP211=0,0,VLOOKUP(EP211,各项系数!$D$142:$E$195,2,0))*1</f>
        <v>1</v>
      </c>
      <c r="ER211" s="69">
        <f t="shared" si="895"/>
        <v>172.412400708262</v>
      </c>
      <c r="ES211" s="566">
        <f t="shared" si="896"/>
        <v>5</v>
      </c>
      <c r="ET211" s="251">
        <f>VLOOKUP(ES211,各项系数!$D$142:$E$195,2,0)*1</f>
        <v>2.7</v>
      </c>
      <c r="EU211" s="311">
        <f>((各项系数!$F$76/4*$EJ211^2*$EG211*$EH211*1*10^-7)*(1-$H211)*AA211)*(VLOOKUP($EY$9,各项系数!$D$4:$F$143,3,0))*各项系数!$J$4</f>
        <v>0.132778878225398</v>
      </c>
      <c r="EV211" s="312">
        <f>EU211*(VLOOKUP($EY$9,各项系数!$D$4:$F$143,2,0))</f>
        <v>8.69701652376359</v>
      </c>
      <c r="EW211" s="324">
        <f>(IF($EO211=0,0,(各项系数!$F$76/4*$ER211^2*$EO211*$EP211*1*10^-7))*(1-$K211)*$AF211)*(VLOOKUP($EY$9,各项系数!$D$4:$F$143,3,0))*各项系数!$J$4</f>
        <v>0.0206515056889029</v>
      </c>
      <c r="EX211" s="325">
        <f>EW211*(VLOOKUP($EY$9,各项系数!$D$4:$F$143,2,0))</f>
        <v>1.35267362262314</v>
      </c>
      <c r="EY211" s="251">
        <f>((各项系数!$F$76/4*$EJ211^2*$EG211*$EH211*1*10^-7)*(1-$H211)*AA211+IF($EO211=0,0,(各项系数!$F$76/4*$ER211^2*$EO211*$EP211*1*10^-7))*(1-$K211)*$AF211)*(VLOOKUP($EY$9,各项系数!$D$4:$F$143,3,0))*各项系数!$J$4</f>
        <v>0.153430383914301</v>
      </c>
      <c r="EZ211" s="123">
        <v>1</v>
      </c>
      <c r="FA211" s="251">
        <f t="shared" si="897"/>
        <v>0.153430383914301</v>
      </c>
      <c r="FB211" s="326">
        <f>FA211*(VLOOKUP($EY$9,各项系数!$D$4:$F$143,2,0))</f>
        <v>10.0496901463867</v>
      </c>
      <c r="FC211" s="327"/>
      <c r="FD211" s="302">
        <f>各项系数!$F$76/4*($MN211^2-MK211^2)*10^-2*(VLOOKUP(L211,各项系数!$D$1:$F$143,3,0))*10^-3*10^2*$EG211*各项系数!$J$4</f>
        <v>0.0277844985341846</v>
      </c>
      <c r="FE211" s="339">
        <f>FD211*VLOOKUP(L211,各项系数!$D$1:$F$143,2,0)</f>
        <v>0.319521733143123</v>
      </c>
      <c r="FF211" s="250">
        <f>各项系数!$F$76/4*($MO211^2-ML211^2)*10^-2*(VLOOKUP(L211,各项系数!$D$1:$F$143,3,0))*10^-3*10^2*$EO211*各项系数!$J$4</f>
        <v>0.00583469973032018</v>
      </c>
      <c r="FG211" s="339">
        <f>FF211*VLOOKUP(L211,各项系数!$D$1:$F$143,2,0)</f>
        <v>0.067099046898682</v>
      </c>
      <c r="FH211" s="302">
        <f t="shared" si="1010"/>
        <v>0.0336191982645048</v>
      </c>
      <c r="FI211" s="123">
        <v>1</v>
      </c>
      <c r="FJ211" s="251">
        <f t="shared" si="898"/>
        <v>0.0336191982645048</v>
      </c>
      <c r="FK211" s="339">
        <f>FJ211*VLOOKUP(L211,各项系数!$D$1:$F$143,2,0)</f>
        <v>0.386620780041805</v>
      </c>
      <c r="FL211" s="302"/>
      <c r="FM211" s="123"/>
      <c r="FN211" s="251"/>
      <c r="FO211" s="339"/>
      <c r="FP211" s="364">
        <f t="shared" si="899"/>
        <v>0.0336191982645048</v>
      </c>
      <c r="FQ211" s="364">
        <f t="shared" si="900"/>
        <v>0.386620780041805</v>
      </c>
      <c r="FR211" s="365">
        <f>各项系数!$F$76/4*($MQ211^2-$MN211^2*$EG211-$MO211^2*$EO211)*10^-2</f>
        <v>0.218170554948792</v>
      </c>
      <c r="FS211" s="366">
        <f t="shared" si="1011"/>
        <v>1</v>
      </c>
      <c r="FT211" s="367">
        <f t="shared" si="963"/>
        <v>0.218170554948792</v>
      </c>
      <c r="FU211" s="388">
        <f>$FT211*(VLOOKUP($FT$9,各项系数!$D$1:$F$143,3,0))*10^-3*10^2*各项系数!$J$55</f>
        <v>0.0260495642608858</v>
      </c>
      <c r="FV211" s="389">
        <v>1</v>
      </c>
      <c r="FW211" s="390">
        <f t="shared" si="901"/>
        <v>0.0260495642608858</v>
      </c>
      <c r="FX211" s="367">
        <f>FW211*(VLOOKUP($FT$9,各项系数!$D$1:$F$143,2,0))</f>
        <v>0.0781486927826573</v>
      </c>
      <c r="FY211" s="388">
        <f>IF($BK211&lt;&gt;$FY$9,0,各项系数!$F$76/4*($MS211^2-$MQ211^2)*10^-2*(VLOOKUP($FY$9,各项系数!$D$1:$F$143,3,0))*10^-3*10^2)*各项系数!$J$4</f>
        <v>0</v>
      </c>
      <c r="FZ211" s="389">
        <v>1</v>
      </c>
      <c r="GA211" s="390">
        <f t="shared" si="902"/>
        <v>0</v>
      </c>
      <c r="GB211" s="367">
        <f>GA211*(VLOOKUP($FY$9,各项系数!$D$1:$F$143,2,0))</f>
        <v>0</v>
      </c>
      <c r="GC211" s="388">
        <f>IF($BK211&lt;&gt;$GC$9,0,各项系数!$F$76/4*($MS211^2-$MQ211^2)*10^-2*(VLOOKUP($GC$9,各项系数!$D$1:$F$143,3,0))*10^-3*10^2)*各项系数!$J$4</f>
        <v>0.00259269991269294</v>
      </c>
      <c r="GD211" s="389">
        <v>1</v>
      </c>
      <c r="GE211" s="390">
        <f t="shared" si="903"/>
        <v>0.00259269991269294</v>
      </c>
      <c r="GF211" s="367">
        <f>GE211*(VLOOKUP($GC$9,各项系数!$D$1:$F$143,2,0))</f>
        <v>0.0334458288737389</v>
      </c>
      <c r="GG211" s="388">
        <f>IF($BK211&lt;&gt;$GG$9,0,各项系数!$F$76/4*($MS211^2-$MQ211^2)*10^-2*(VLOOKUP($GG$9,各项系数!$D$1:$F$143,3,0))*10^-3*10^2)*各项系数!$J$4</f>
        <v>0</v>
      </c>
      <c r="GH211" s="389">
        <v>1</v>
      </c>
      <c r="GI211" s="390">
        <f t="shared" si="904"/>
        <v>0</v>
      </c>
      <c r="GJ211" s="367">
        <f>GI211*(VLOOKUP($GG$9,各项系数!$D$1:$F$143,2,0))</f>
        <v>0</v>
      </c>
      <c r="GK211" s="388">
        <f>IF($BK211&lt;&gt;$GK$9,0,各项系数!$F$76/4*($MS211^2-$MQ211^2)*10^-2*(VLOOKUP($GK$9,各项系数!$D$1:$F$143,3,0))*10^-3*10^2)*各项系数!$J$4</f>
        <v>0</v>
      </c>
      <c r="GL211" s="389">
        <v>1</v>
      </c>
      <c r="GM211" s="390">
        <f t="shared" si="905"/>
        <v>0</v>
      </c>
      <c r="GN211" s="367">
        <f>GM211*(VLOOKUP($GK$9,各项系数!$D$1:$F$143,2,0))</f>
        <v>0</v>
      </c>
      <c r="GO211" s="390">
        <f t="shared" si="906"/>
        <v>0.00259269991269294</v>
      </c>
      <c r="GP211" s="390">
        <f t="shared" si="907"/>
        <v>0.0334458288737389</v>
      </c>
      <c r="GQ211" s="406">
        <f>各项系数!$F$76/4*($MU211^2-$MS211^2)*10^-2*(VLOOKUP($S211,各项系数!$D$1:$F$143,3,0))*10^-3*10^2*各项系数!$J$4</f>
        <v>0.149725045102608</v>
      </c>
      <c r="GR211" s="389">
        <v>1</v>
      </c>
      <c r="GS211" s="390">
        <f t="shared" si="908"/>
        <v>0.149725045102608</v>
      </c>
      <c r="GT211" s="390">
        <f t="shared" si="909"/>
        <v>1</v>
      </c>
      <c r="GU211" s="390">
        <f>ROUND($GS211*(VLOOKUP($S211,各项系数!$D$1:$F$143,2,0))+$E$3*GS211,GT211)</f>
        <v>0.9</v>
      </c>
      <c r="GV211" s="406">
        <f>各项系数!$F$76/4*($MT211^2-$MS211^2)*10^-2*(VLOOKUP($GV$9,各项系数!$D$1:$F$143,3,0))*10^-3*10^2*各项系数!$J$4*PI()/4*R211</f>
        <v>0.0135332704165119</v>
      </c>
      <c r="GW211" s="389">
        <v>1</v>
      </c>
      <c r="GX211" s="390">
        <f t="shared" si="910"/>
        <v>0.0135332704165119</v>
      </c>
      <c r="GY211" s="390">
        <f>$GX211*(VLOOKUP($GV$9,各项系数!$D$1:$F$143,2,0))</f>
        <v>0.913495753114557</v>
      </c>
      <c r="GZ211" s="406">
        <f>各项系数!$F$76/4*($MV211^2-$MS211^2)*10^-2*(VLOOKUP($GZ$9,各项系数!$D$1:$F$143,3,0))*10^-3*10^2*各项系数!$J$4</f>
        <v>0.0930772204915644</v>
      </c>
      <c r="HA211" s="389">
        <v>1</v>
      </c>
      <c r="HB211" s="390">
        <f t="shared" si="1012"/>
        <v>0.0930772204915644</v>
      </c>
      <c r="HC211" s="390">
        <f>HB211*(VLOOKUP($GZ$9,各项系数!$D$1:$F$143,2,0))</f>
        <v>1.5823127483566</v>
      </c>
      <c r="HD211" s="406">
        <f>各项系数!$F$76/4*($MW211^2-$MT211^2)*10^-2*(VLOOKUP($HD$9,各项系数!$D$1:$F$143,3,0))*10^-3*10^2*各项系数!$J$4</f>
        <v>0.0943825899382428</v>
      </c>
      <c r="HE211" s="389">
        <v>1</v>
      </c>
      <c r="HF211" s="390">
        <f t="shared" si="1013"/>
        <v>0.0943825899382428</v>
      </c>
      <c r="HG211" s="390">
        <f>HF211*(VLOOKUP($HD$9,各项系数!$D$1:$F$143,2,0))</f>
        <v>1.60450402895013</v>
      </c>
      <c r="HH211" s="406">
        <f>各项系数!$F$76/4*($MV211^2-$MS211^2)*10^-2*(VLOOKUP($HH$9,各项系数!$D$1:$F$143,3,0))*10^-3*10^2*各项系数!$J$4</f>
        <v>0.0930772204915644</v>
      </c>
      <c r="HI211" s="420">
        <v>1</v>
      </c>
      <c r="HJ211" s="390">
        <f t="shared" si="1014"/>
        <v>0.0930772204915644</v>
      </c>
      <c r="HK211" s="390">
        <f>HJ211*(VLOOKUP($HH$9,各项系数!$D$1:$F$143,2,0))</f>
        <v>1.5823127483566</v>
      </c>
      <c r="HL211" s="406">
        <f>各项系数!$F$76/4*($MW211^2-$MT211^2)*10^-2*(VLOOKUP($HL$9,各项系数!$D$1:$F$143,3,0))*10^-3*10^2*各项系数!$J$4</f>
        <v>0.0943825899382428</v>
      </c>
      <c r="HM211" s="420">
        <v>1</v>
      </c>
      <c r="HN211" s="390">
        <f t="shared" si="964"/>
        <v>0.0943825899382428</v>
      </c>
      <c r="HO211" s="390">
        <f>HN211*(VLOOKUP($HL$9,各项系数!$D$1:$F$143,2,0))</f>
        <v>1.60450402895013</v>
      </c>
      <c r="HP211" s="406">
        <f>各项系数!$F$76/4*($MV211^2-$MS211^2)*10^-2*(VLOOKUP(AN211,各项系数!$D$1:$F$143,3,0))*10^-3*10^2*各项系数!$J$4</f>
        <v>0.0943610442224826</v>
      </c>
      <c r="HQ211" s="389">
        <v>1</v>
      </c>
      <c r="HR211" s="390">
        <f t="shared" si="911"/>
        <v>0.0943610442224826</v>
      </c>
      <c r="HS211" s="390">
        <f>HR211*(VLOOKUP(AN211,各项系数!$D$1:$F$143,2,0))</f>
        <v>0.943610442224826</v>
      </c>
      <c r="HT211" s="406">
        <f>各项系数!$F$76/4*($MW211^2-$MT211^2)*10^-2*(VLOOKUP(AN211,各项系数!$D$1:$F$143,3,0))*10^-3*10^2*各项系数!$J$4</f>
        <v>0.0956844187649772</v>
      </c>
      <c r="HU211" s="389">
        <v>1</v>
      </c>
      <c r="HV211" s="390">
        <f t="shared" si="912"/>
        <v>0.0956844187649772</v>
      </c>
      <c r="HW211" s="390">
        <f>HV211*(VLOOKUP(AN211,各项系数!$D$1:$F$143,2,0))</f>
        <v>0.956844187649772</v>
      </c>
      <c r="HX211" s="406">
        <f>各项系数!$F$76/4*($MV211^2-$MS211^2)*10^-2*(VLOOKUP($HX$9,各项系数!$D$1:$F$143,3,0))*10^-3*10^2*各项系数!$J$4</f>
        <v>0.0943610442224826</v>
      </c>
      <c r="HY211" s="420">
        <v>1</v>
      </c>
      <c r="HZ211" s="390">
        <f t="shared" si="913"/>
        <v>0.0943610442224826</v>
      </c>
      <c r="IA211" s="390">
        <f>HZ211*(VLOOKUP($HX$9,各项系数!$D$1:$F$143,2,0))</f>
        <v>1.03797148644731</v>
      </c>
      <c r="IB211" s="406">
        <f>各项系数!$F$76/4*($MW211^2-$MT211^2)*10^-2*(VLOOKUP($IB$9,各项系数!$D$1:$F$143,3,0))*10^-3*10^2*各项系数!$J$4</f>
        <v>0.0956844187649772</v>
      </c>
      <c r="IC211" s="420">
        <v>1</v>
      </c>
      <c r="ID211" s="390">
        <f t="shared" si="914"/>
        <v>0.0956844187649772</v>
      </c>
      <c r="IE211" s="390">
        <f>ID211*(VLOOKUP($IB$9,各项系数!$D$1:$F$143,2,0))</f>
        <v>1.05252860641475</v>
      </c>
      <c r="IF211" s="429"/>
      <c r="IG211" s="406">
        <f t="shared" si="1015"/>
        <v>0.0168342871810084</v>
      </c>
      <c r="IH211" s="389">
        <v>1</v>
      </c>
      <c r="II211" s="390">
        <f t="shared" si="915"/>
        <v>0.0168342871810084</v>
      </c>
      <c r="IJ211" s="390">
        <f>II211*(VLOOKUP($IG$8,各项系数!$D$1:$F$143,2,0))</f>
        <v>0.420857179525211</v>
      </c>
      <c r="IK211" s="406">
        <f>(各项系数!$F$76/4*($MX211^2-$MK211^2)*$EG211)*10^-2*(VLOOKUP($IG$8,各项系数!$D$1:$F$143,3,0))*10^-3*10^2*各项系数!$J$4</f>
        <v>0.0139870569715177</v>
      </c>
      <c r="IL211" s="389">
        <f>IK211*(VLOOKUP($IG$8,各项系数!$D$1:$F$143,2,0))</f>
        <v>0.349676424287943</v>
      </c>
      <c r="IM211" s="390">
        <f>(各项系数!$F$76/4*(($MM211+3*$X211)^2-MM211^2)*$EO211)*10^-2*(VLOOKUP($IG$8,各项系数!$D$1:$F$143,3,0))*10^-3*10^2*各项系数!$J$4</f>
        <v>0.00284723020949072</v>
      </c>
      <c r="IN211" s="389">
        <f>IM211*(VLOOKUP($IG$8,各项系数!$D$1:$F$143,2,0))</f>
        <v>0.0711807552372681</v>
      </c>
      <c r="IO211" s="406">
        <f>各项系数!$F$76/4*($MZ211^2-$MX211^2)*10^-2*(VLOOKUP(L211,各项系数!$D$1:$F$143,3,0))*10^-3*10^2*$ES211*各项系数!$J$4</f>
        <v>0.0419514168023742</v>
      </c>
      <c r="IP211" s="389">
        <v>1</v>
      </c>
      <c r="IQ211" s="390">
        <f t="shared" si="916"/>
        <v>0.0419514168023742</v>
      </c>
      <c r="IR211" s="367">
        <f>IQ211*(VLOOKUP(L211,各项系数!$D$1:$F$143,2,0))</f>
        <v>0.482441293227303</v>
      </c>
      <c r="IS211" s="406">
        <f>IF($L211&lt;&gt;$IS$9,0,各项系数!$F$76/4*($MZ211^2-$MX211^2)*10^-2*各项系数!$F$12*10^-3*10^2)*$ES211*各项系数!$J$4</f>
        <v>0</v>
      </c>
      <c r="IT211" s="389">
        <v>1</v>
      </c>
      <c r="IU211" s="390">
        <f t="shared" si="917"/>
        <v>0</v>
      </c>
      <c r="IV211" s="367">
        <f>IU211*各项系数!$E$12</f>
        <v>0</v>
      </c>
      <c r="IW211" s="388">
        <f t="shared" si="918"/>
        <v>0.0419514168023742</v>
      </c>
      <c r="IX211" s="388">
        <f t="shared" si="919"/>
        <v>0.482441293227303</v>
      </c>
      <c r="IY211" s="447">
        <f>各项系数!$F$76/4*($NB211^2-$MZ211^2*$EG211-$NA211^2*$EO211)*10^-2</f>
        <v>0.300045378272293</v>
      </c>
      <c r="IZ211" s="366">
        <f t="shared" si="697"/>
        <v>1</v>
      </c>
      <c r="JA211" s="367">
        <f t="shared" si="965"/>
        <v>0.300045378272293</v>
      </c>
      <c r="JB211" s="364">
        <f>IF($DE211&lt;&gt;$JB$9,0,$JA211*各项系数!$F$32*10^-3*10^2)*各项系数!$J$4</f>
        <v>0</v>
      </c>
      <c r="JC211" s="123">
        <v>1</v>
      </c>
      <c r="JD211" s="251">
        <f t="shared" si="920"/>
        <v>0</v>
      </c>
      <c r="JE211" s="339">
        <f>JD211*各项系数!$E$32</f>
        <v>0</v>
      </c>
      <c r="JF211" s="364">
        <f>IF($DE211&lt;&gt;$JF$9,0,$JA211*VLOOKUP($JF$9,各项系数!$D$4:$F$540,2,0)*10^-3*10^2)*各项系数!$J$4</f>
        <v>0.149272575690466</v>
      </c>
      <c r="JG211" s="123">
        <v>1</v>
      </c>
      <c r="JH211" s="251">
        <f t="shared" si="966"/>
        <v>0.149272575690466</v>
      </c>
      <c r="JI211" s="339">
        <f>JH211*VLOOKUP($JF$9,各项系数!$D$4:$F$540,3,0)</f>
        <v>0.179127090828559</v>
      </c>
      <c r="JJ211" s="364">
        <f t="shared" si="921"/>
        <v>0.149272575690466</v>
      </c>
      <c r="JK211" s="251">
        <f t="shared" si="922"/>
        <v>0.179127090828559</v>
      </c>
      <c r="JL211" s="364">
        <f>IF($DF211&lt;&gt;$JL$9,0,各项系数!$F$76/4*($NE211^2-$NC211^2)*10^-2*各项系数!$F$39*10^-3*10^2)*各项系数!$J$4</f>
        <v>0.00125726621458916</v>
      </c>
      <c r="JM211" s="123">
        <v>1</v>
      </c>
      <c r="JN211" s="251">
        <f t="shared" si="923"/>
        <v>0.00125726621458916</v>
      </c>
      <c r="JO211" s="339">
        <f>JN211*各项系数!$E$39</f>
        <v>0.0251453242917831</v>
      </c>
      <c r="JP211" s="364">
        <f>IF($DF211&lt;&gt;$JP$9,0,各项系数!$F$76/4*($NE211^2-$NC211^2)*10^-2*各项系数!$F$36*10^-3*10^2)*各项系数!$J$4</f>
        <v>0</v>
      </c>
      <c r="JQ211" s="123">
        <v>1</v>
      </c>
      <c r="JR211" s="251">
        <f t="shared" si="924"/>
        <v>0</v>
      </c>
      <c r="JS211" s="339">
        <f>JR211*各项系数!$E$36</f>
        <v>0</v>
      </c>
      <c r="JT211" s="364">
        <f>IF($DF211&lt;&gt;$JT$9,0,各项系数!$F$76/4*($NE211^2-$NC211^2)*10^-2*各项系数!$F$40*10^-3*10^2)*各项系数!$J$4</f>
        <v>0</v>
      </c>
      <c r="JU211" s="123">
        <v>1</v>
      </c>
      <c r="JV211" s="251">
        <f t="shared" si="925"/>
        <v>0</v>
      </c>
      <c r="JW211" s="339">
        <f>JV211*各项系数!$E$40</f>
        <v>0</v>
      </c>
      <c r="JX211" s="364">
        <f>IF($DF211&lt;&gt;$JX$9,0,各项系数!$F$76/4*($NE211^2-$NC211^2)*10^-2*各项系数!$F$38*10^-3*10^2)*各项系数!$J$4</f>
        <v>0</v>
      </c>
      <c r="JY211" s="123">
        <v>1</v>
      </c>
      <c r="JZ211" s="251">
        <f t="shared" si="926"/>
        <v>0</v>
      </c>
      <c r="KA211" s="339">
        <f>JZ211*各项系数!$E$38</f>
        <v>0</v>
      </c>
      <c r="KB211" s="364">
        <f>IF($DF211&lt;&gt;$KB$9,0,各项系数!$F$76/4*($NE211^2-$NC211^2)*10^-2*各项系数!$F$41*10^-3*10^2)*各项系数!$J$4</f>
        <v>0</v>
      </c>
      <c r="KC211" s="123">
        <v>1</v>
      </c>
      <c r="KD211" s="251">
        <f t="shared" si="927"/>
        <v>0</v>
      </c>
      <c r="KE211" s="339">
        <f>KD211*各项系数!$E$41</f>
        <v>0</v>
      </c>
      <c r="KF211" s="251">
        <f t="shared" si="928"/>
        <v>0.00125726621458916</v>
      </c>
      <c r="KG211" s="251">
        <f t="shared" si="929"/>
        <v>0.0251453242917831</v>
      </c>
      <c r="KH211" s="302">
        <f>各项系数!$F$76/4*($NG211^2-$NE211^2)*10^-2*各项系数!$F$44*10^-3*10^2*各项系数!$J$4*0.75*$U211</f>
        <v>0.523271055993059</v>
      </c>
      <c r="KI211" s="123">
        <v>1</v>
      </c>
      <c r="KJ211" s="251">
        <f t="shared" si="930"/>
        <v>0.523271055993059</v>
      </c>
      <c r="KK211" s="251">
        <f>ROUND(KJ211*各项系数!$E$43,GT211)</f>
        <v>3</v>
      </c>
      <c r="KL211" s="302">
        <f>各项系数!$F$76/4*($NF211^2-$NE211^2)*10^-2*各项系数!$F$46*10^-3*10^2*各项系数!$J$4*PI()/4*R211</f>
        <v>0.0158855376387477</v>
      </c>
      <c r="KM211" s="123">
        <v>1</v>
      </c>
      <c r="KN211" s="251">
        <f t="shared" si="931"/>
        <v>0.0158855376387477</v>
      </c>
      <c r="KO211" s="251">
        <f>KN211*各项系数!$E$46</f>
        <v>1.07227379061547</v>
      </c>
      <c r="KP211" s="302">
        <f>各项系数!$F$76/4*($NH211^2-$NE211^2)*10^-2*(VLOOKUP($KP$9,各项系数!$D$1:$F$143,3,0))*10^-3*10^2*各项系数!$J$4</f>
        <v>0.106816233917855</v>
      </c>
      <c r="KQ211" s="123">
        <v>1</v>
      </c>
      <c r="KR211" s="251">
        <f t="shared" si="1016"/>
        <v>0.106816233917855</v>
      </c>
      <c r="KS211" s="251">
        <f>KR211*(VLOOKUP($KP$9,各项系数!$D$1:$F$143,2,0))</f>
        <v>1.81587597660353</v>
      </c>
      <c r="KT211" s="302">
        <f>各项系数!$F$76/4*($NI211^2-$NF211^2)*10^-2*(VLOOKUP($KT$9,各项系数!$D$1:$F$143,3,0))*10^-3*10^2*各项系数!$J$4</f>
        <v>0.108121603364533</v>
      </c>
      <c r="KU211" s="123">
        <v>1</v>
      </c>
      <c r="KV211" s="251">
        <f t="shared" si="1017"/>
        <v>0.108121603364533</v>
      </c>
      <c r="KW211" s="251">
        <f>KV211*(VLOOKUP($KT$9,各项系数!$D$1:$F$143,2,0))</f>
        <v>1.83806725719706</v>
      </c>
      <c r="KX211" s="251">
        <f>各项系数!$F$76/4*($NH211^2-$NE211^2)*10^-2*(VLOOKUP($KX$9,各项系数!$D$1:$F$143,3,0))*10^-3*10^2*各项系数!$J$4</f>
        <v>0.106816233917855</v>
      </c>
      <c r="KY211" s="479">
        <v>1</v>
      </c>
      <c r="KZ211" s="251">
        <f t="shared" si="1018"/>
        <v>0.106816233917855</v>
      </c>
      <c r="LA211" s="251">
        <f>KZ211*(VLOOKUP($KX$9,各项系数!$D$1:$F$143,2,0))</f>
        <v>1.81587597660353</v>
      </c>
      <c r="LB211" s="251">
        <f>各项系数!$F$76/4*($NI211^2-$NF211^2)*10^-2*(VLOOKUP($LB$9,各项系数!$D$1:$F$143,3,0))*10^-3*10^2*各项系数!$J$4</f>
        <v>0.108121603364533</v>
      </c>
      <c r="LC211" s="479">
        <v>1</v>
      </c>
      <c r="LD211" s="251">
        <f t="shared" si="1019"/>
        <v>0.108121603364533</v>
      </c>
      <c r="LE211" s="251">
        <f>LD211*(VLOOKUP($LB$9,各项系数!$D$1:$F$143,2,0))</f>
        <v>1.83806725719706</v>
      </c>
      <c r="LF211" s="302">
        <f>各项系数!$F$76/4*($NH211^2-$NE211^2)*10^-2*(VLOOKUP(AN211,各项系数!$D$1:$F$143,3,0))*10^-3*10^2*各项系数!$J$4</f>
        <v>0.108289561282239</v>
      </c>
      <c r="LG211" s="123">
        <v>1</v>
      </c>
      <c r="LH211" s="251">
        <f t="shared" si="932"/>
        <v>0.108289561282239</v>
      </c>
      <c r="LI211" s="251">
        <f>LH211*(VLOOKUP(AN211,各项系数!$D$1:$F$143,2,0))</f>
        <v>1.08289561282239</v>
      </c>
      <c r="LJ211" s="302">
        <f>各项系数!$F$76/4*($NI211^2-$NF211^2)*10^-2*(VLOOKUP(AN211,各项系数!$D$1:$F$143,3,0))*10^-3*10^2*各项系数!$J$4</f>
        <v>0.109612935824733</v>
      </c>
      <c r="LK211" s="123">
        <v>1</v>
      </c>
      <c r="LL211" s="251">
        <f t="shared" si="933"/>
        <v>0.109612935824733</v>
      </c>
      <c r="LM211" s="251">
        <f>LL211*(VLOOKUP(AN211,各项系数!$D$1:$F$143,2,0))</f>
        <v>1.09612935824733</v>
      </c>
      <c r="LN211" s="251">
        <f>各项系数!$F$76/4*($NH211^2-$NE211^2)*10^-2*(VLOOKUP($LN$9,各项系数!$D$1:$F$143,3,0))*10^-3*10^2*各项系数!$J$4</f>
        <v>0.108289561282239</v>
      </c>
      <c r="LO211" s="479">
        <v>1</v>
      </c>
      <c r="LP211" s="251">
        <f t="shared" si="934"/>
        <v>0.108289561282239</v>
      </c>
      <c r="LQ211" s="251">
        <f>LP211*(VLOOKUP($LN$9,各项系数!$D$1:$F$143,2,0))</f>
        <v>1.19118517410463</v>
      </c>
      <c r="LR211" s="251">
        <f>各项系数!$F$76/4*($NI211^2-$NF211^2)*10^-2*(VLOOKUP($LR$9,各项系数!$D$1:$F$143,3,0))*10^-3*10^2*各项系数!$J$4</f>
        <v>0.109612935824733</v>
      </c>
      <c r="LS211" s="479">
        <v>1</v>
      </c>
      <c r="LT211" s="251">
        <f t="shared" si="935"/>
        <v>0.109612935824733</v>
      </c>
      <c r="LU211" s="251">
        <f>LT211*(VLOOKUP($LR$9,各项系数!$D$1:$F$143,2,0))</f>
        <v>1.20574229407207</v>
      </c>
      <c r="LV211" s="499">
        <f t="shared" si="1020"/>
        <v>15.01081093</v>
      </c>
      <c r="LW211" s="499">
        <f t="shared" si="1021"/>
        <v>15.01081093</v>
      </c>
      <c r="LX211" s="499">
        <f t="shared" si="1022"/>
        <v>4.37176830065579</v>
      </c>
      <c r="LY211" s="515">
        <f t="shared" si="1023"/>
        <v>0</v>
      </c>
      <c r="LZ211" s="516">
        <f t="shared" si="967"/>
        <v>1</v>
      </c>
      <c r="MA211" s="517">
        <f t="shared" si="968"/>
        <v>15.01081093</v>
      </c>
      <c r="MB211" s="517">
        <f t="shared" si="1024"/>
        <v>2.18588415</v>
      </c>
      <c r="MC211" s="499">
        <f t="shared" si="1025"/>
        <v>2.3346774</v>
      </c>
      <c r="MD211" s="499">
        <f t="shared" si="1026"/>
        <v>2.33467741</v>
      </c>
      <c r="ME211" s="499">
        <f t="shared" si="1027"/>
        <v>1.72412401021848</v>
      </c>
      <c r="MF211" s="499">
        <f t="shared" si="1028"/>
        <v>-9.99999993922529e-9</v>
      </c>
      <c r="MG211" s="516">
        <f t="shared" si="1029"/>
        <v>1</v>
      </c>
      <c r="MH211" s="517">
        <f t="shared" si="969"/>
        <v>2.3346774</v>
      </c>
      <c r="MI211" s="517">
        <f t="shared" si="1030"/>
        <v>1.72412400652606</v>
      </c>
      <c r="MJ211" s="251">
        <f t="shared" si="970"/>
        <v>2.18588415</v>
      </c>
      <c r="MK211" s="251">
        <f t="shared" si="1031"/>
        <v>2.18588415</v>
      </c>
      <c r="ML211" s="251">
        <f t="shared" si="936"/>
        <v>1.72412400708262</v>
      </c>
      <c r="MM211" s="251">
        <f t="shared" si="971"/>
        <v>1.72412400652606</v>
      </c>
      <c r="MN211" s="251">
        <f t="shared" si="972"/>
        <v>3.58588415</v>
      </c>
      <c r="MO211" s="251">
        <f t="shared" si="1032"/>
        <v>3.12412400652606</v>
      </c>
      <c r="MP211" s="251">
        <f t="shared" si="1033"/>
        <v>9.43253673</v>
      </c>
      <c r="MQ211" s="251">
        <f t="shared" si="937"/>
        <v>9.43253673</v>
      </c>
      <c r="MR211" s="314">
        <f t="shared" si="1034"/>
        <v>9.43253673</v>
      </c>
      <c r="MS211" s="530">
        <f t="shared" si="973"/>
        <v>9.60853673</v>
      </c>
      <c r="MT211" s="530">
        <f t="shared" si="974"/>
        <v>9.76853673</v>
      </c>
      <c r="MU211" s="530">
        <f t="shared" si="975"/>
        <v>10.80853673</v>
      </c>
      <c r="MV211" s="530">
        <f t="shared" si="976"/>
        <v>13.20853673</v>
      </c>
      <c r="MW211" s="530">
        <f t="shared" si="977"/>
        <v>13.36853673</v>
      </c>
      <c r="MX211" s="326">
        <f t="shared" si="978"/>
        <v>2.78588415</v>
      </c>
      <c r="MY211" s="326">
        <f t="shared" si="979"/>
        <v>2.32412400652606</v>
      </c>
      <c r="MZ211" s="251">
        <f t="shared" si="980"/>
        <v>4.18588415</v>
      </c>
      <c r="NA211" s="251">
        <f t="shared" si="981"/>
        <v>3.72412400652606</v>
      </c>
      <c r="NB211" s="251">
        <f t="shared" si="1035"/>
        <v>11.05253673</v>
      </c>
      <c r="NC211" s="326">
        <f t="shared" si="938"/>
        <v>11.05253673</v>
      </c>
      <c r="ND211" s="314">
        <f t="shared" si="1036"/>
        <v>11.05253673</v>
      </c>
      <c r="NE211" s="537">
        <f t="shared" si="1037"/>
        <v>11.29253673</v>
      </c>
      <c r="NF211" s="530">
        <f t="shared" si="982"/>
        <v>11.45253673</v>
      </c>
      <c r="NG211" s="538">
        <f t="shared" si="983"/>
        <v>12.49253673</v>
      </c>
      <c r="NH211" s="326">
        <f t="shared" si="984"/>
        <v>14.89253673</v>
      </c>
      <c r="NI211" s="530">
        <f t="shared" si="985"/>
        <v>15.05253673</v>
      </c>
      <c r="NK211" s="539">
        <f t="shared" si="986"/>
        <v>0.315887590305187</v>
      </c>
      <c r="NL211" s="539">
        <f t="shared" si="987"/>
        <v>11.5586149372084</v>
      </c>
      <c r="NM211" s="539">
        <f t="shared" si="988"/>
        <v>0.315887590305187</v>
      </c>
      <c r="NN211" s="539">
        <f t="shared" si="989"/>
        <v>11.6529759814309</v>
      </c>
      <c r="NO211" s="539">
        <f t="shared" si="990"/>
        <v>0.473882721294468</v>
      </c>
      <c r="NP211" s="539">
        <f t="shared" si="991"/>
        <v>12.3113374023192</v>
      </c>
      <c r="NQ211" s="539">
        <f t="shared" si="992"/>
        <v>0.473882721294468</v>
      </c>
      <c r="NR211" s="539">
        <f t="shared" si="993"/>
        <v>12.4196269636015</v>
      </c>
      <c r="NS211" s="539">
        <f t="shared" si="994"/>
        <v>0.329420860721699</v>
      </c>
      <c r="NT211" s="539">
        <f t="shared" si="995"/>
        <v>0.329420860721699</v>
      </c>
      <c r="NU211" s="539">
        <f t="shared" si="996"/>
        <v>0.489768258933216</v>
      </c>
      <c r="NV211" s="539">
        <f t="shared" si="997"/>
        <v>0.489768258933216</v>
      </c>
      <c r="NW211">
        <f t="shared" si="998"/>
        <v>0.465612635407795</v>
      </c>
      <c r="NX211">
        <f>各项系数!$M$9*NK211</f>
        <v>0.0947662770915562</v>
      </c>
      <c r="NY211">
        <f t="shared" si="999"/>
        <v>0.329420860721699</v>
      </c>
    </row>
    <row r="212" customHeight="1" spans="1:389">
      <c r="A212" s="85"/>
      <c r="B212" s="86"/>
      <c r="C212" s="218"/>
      <c r="D212" s="85" t="s">
        <v>319</v>
      </c>
      <c r="E212" s="77">
        <f t="shared" si="885"/>
        <v>13.34022634</v>
      </c>
      <c r="F212" s="225">
        <f>$F$19</f>
        <v>267.425148012862</v>
      </c>
      <c r="G212" s="23"/>
      <c r="H212" s="23"/>
      <c r="I212" s="174">
        <f>$F$18</f>
        <v>218.588414706449</v>
      </c>
      <c r="J212" s="23"/>
      <c r="K212" s="23"/>
      <c r="L212" s="118" t="s">
        <v>469</v>
      </c>
      <c r="M212" s="124">
        <f t="shared" si="940"/>
        <v>0.7</v>
      </c>
      <c r="N212" s="124">
        <f t="shared" si="1038"/>
        <v>0.7</v>
      </c>
      <c r="O212" s="69">
        <f t="shared" si="1039"/>
        <v>0.08</v>
      </c>
      <c r="P212" s="120">
        <v>0.1</v>
      </c>
      <c r="Q212" s="162">
        <f t="shared" si="941"/>
        <v>0.1</v>
      </c>
      <c r="R212" s="560">
        <v>0.8</v>
      </c>
      <c r="S212" s="171" t="str">
        <f>各项系数!$D$43</f>
        <v>钢带</v>
      </c>
      <c r="T212" s="123">
        <v>0.2</v>
      </c>
      <c r="U212" s="78">
        <v>4</v>
      </c>
      <c r="V212" s="172"/>
      <c r="W212" s="170">
        <f>$W$202</f>
        <v>1.8</v>
      </c>
      <c r="X212" s="164">
        <f t="shared" si="942"/>
        <v>0.2</v>
      </c>
      <c r="Y212" s="219"/>
      <c r="Z212" s="220"/>
      <c r="AA212" s="217">
        <v>1</v>
      </c>
      <c r="AB212" s="186">
        <f>PI()*EJ212*EJ212/4*EH212*(1-H212)*AA212*各项系数!$F$5*各项系数!$J$4*10^-7</f>
        <v>0.0496843042710297</v>
      </c>
      <c r="AC212" s="186">
        <f t="shared" si="886"/>
        <v>267.425148012862</v>
      </c>
      <c r="AD212" s="186">
        <f t="shared" si="943"/>
        <v>5.61686998219778</v>
      </c>
      <c r="AE212" s="186">
        <f>POWER(4*EU212/PI()/EG212/10^-7/EH212/(1-H212)/各项系数!$F$5/各项系数!$J$4,0.5)</f>
        <v>267.425148012862</v>
      </c>
      <c r="AF212" s="218">
        <f>$AA$199</f>
        <v>1</v>
      </c>
      <c r="AG212" s="85">
        <f>IF(EM212=0,0,PI()*ER212*ER212/4*EP212*(1-K212)*(1+AF212)*各项系数!$F$5*各项系数!$J$4*10^-7)</f>
        <v>0.0663894391126992</v>
      </c>
      <c r="AH212" s="85">
        <f t="shared" si="887"/>
        <v>218.588414706449</v>
      </c>
      <c r="AI212" s="85">
        <f t="shared" si="1000"/>
        <v>3.75270272129484</v>
      </c>
      <c r="AJ212" s="85">
        <f>IF(OR(EP212="",EP212=0),0,POWER(4*EW212/PI()/EO212/10^-7/EP212/(1-K212)/各项系数!$F$5/各项系数!$J$4,0.5))</f>
        <v>218.588414706449</v>
      </c>
      <c r="AK212" s="85">
        <f t="shared" si="944"/>
        <v>0.182247632369438</v>
      </c>
      <c r="AL212" s="85">
        <f t="shared" si="888"/>
        <v>13.9753793628842</v>
      </c>
      <c r="AM212" s="250">
        <f t="shared" si="889"/>
        <v>6</v>
      </c>
      <c r="AN212" s="118" t="s">
        <v>486</v>
      </c>
      <c r="AO212" s="259">
        <f>AP212+各项系数!$M$9*$NK212</f>
        <v>13.7013523165531</v>
      </c>
      <c r="AP212" s="259">
        <f>AQ212*(1+$BI212+(VLOOKUP($AM212,$A$12:$B$323,2,0))+各项系数!$J$6+各项系数!$M$5)*(1+$E$2)</f>
        <v>13.5976701170302</v>
      </c>
      <c r="AQ212" s="260">
        <f>AR212+各项系数!$L$9*$NK212</f>
        <v>13.7377956324816</v>
      </c>
      <c r="AR212" s="260">
        <f>AS212*(1+$BJ212+各项系数!$J$5+各项系数!$L$5)</f>
        <v>13.6341134329587</v>
      </c>
      <c r="AS212" s="260">
        <f t="shared" si="1001"/>
        <v>13.3667778754497</v>
      </c>
      <c r="AT212" s="259">
        <f>AU212+各项系数!$M$9*$NM212</f>
        <v>14.3536269468387</v>
      </c>
      <c r="AU212" s="259">
        <f>AV212*(1+$BI212+(VLOOKUP($AM212,$A$12:$B$323,2,0))+各项系数!$J$6+各项系数!$M$5)*(1+$E$2)</f>
        <v>14.2499447473158</v>
      </c>
      <c r="AV212" s="260">
        <f>AW212+各项系数!$L$9*$NM212</f>
        <v>14.3967920259808</v>
      </c>
      <c r="AW212" s="260">
        <f>AX212*(1+$BJ212+各项系数!$J$5+各项系数!$L$5)</f>
        <v>14.2931098264579</v>
      </c>
      <c r="AX212" s="260">
        <f t="shared" si="1002"/>
        <v>14.0128527710371</v>
      </c>
      <c r="AY212" s="259">
        <f>AZ212+各项系数!$M$9*$NS212</f>
        <v>14.6576987357976</v>
      </c>
      <c r="AZ212" s="259">
        <f>BA212*(1+$BI212+(VLOOKUP($AM212,$A$12:$B$214,2,0))+各项系数!$J$6+各项系数!$M$5)*(1+$E$2)</f>
        <v>14.5499013706213</v>
      </c>
      <c r="BA212" s="260">
        <f>BB212+各项系数!$L$9*$NS212</f>
        <v>14.6998397359278</v>
      </c>
      <c r="BB212" s="260">
        <f>BC212*(1+$BJ212+各项系数!$J$5+各项系数!$L$5)</f>
        <v>14.5920423707515</v>
      </c>
      <c r="BC212" s="262">
        <f t="shared" si="1003"/>
        <v>14.3059238928936</v>
      </c>
      <c r="BD212" s="259">
        <f>BE212+各项系数!$M$9*$NS212</f>
        <v>15.3190168577592</v>
      </c>
      <c r="BE212" s="259">
        <f>BF212*(1+$BI212+(VLOOKUP($AM212,$A$12:$B$214,2,0))+各项系数!$J$6+各项系数!$M$5)*(1+$E$2)</f>
        <v>15.2112194925829</v>
      </c>
      <c r="BF212" s="260">
        <f>BG212+各项系数!$L$9*$NS212</f>
        <v>15.367972815299</v>
      </c>
      <c r="BG212" s="260">
        <f>BH212*(1+$BJ212+各项系数!$J$5+各项系数!$L$5)</f>
        <v>15.2601754501227</v>
      </c>
      <c r="BH212" s="262">
        <f t="shared" si="1004"/>
        <v>14.9609563236497</v>
      </c>
      <c r="BI212" s="277"/>
      <c r="BJ212" s="272">
        <f>$BJ$203</f>
        <v>0</v>
      </c>
      <c r="BK212" s="123" t="s">
        <v>514</v>
      </c>
      <c r="BL212" s="259">
        <f>BM212+各项系数!$M$9*$NM212</f>
        <v>13.9309676523076</v>
      </c>
      <c r="BM212" s="259">
        <f>BN212*(1+$CF212+(VLOOKUP($AM212,$A$12:$B$323,2,0))+各项系数!$J$6+各项系数!$M$5)*(1+$E$2)</f>
        <v>13.8272854527847</v>
      </c>
      <c r="BN212" s="260">
        <f>BO212+各项系数!$L$9*$NM212</f>
        <v>13.9697771800209</v>
      </c>
      <c r="BO212" s="260">
        <f>BP212*(1+$CG212+各项系数!$J$5+各项系数!$L$5)</f>
        <v>13.866094980498</v>
      </c>
      <c r="BP212" s="260">
        <f t="shared" si="1005"/>
        <v>13.4622281364058</v>
      </c>
      <c r="BQ212" s="259">
        <f>BR212+各项系数!$M$9*$NM212</f>
        <v>14.4923261635664</v>
      </c>
      <c r="BR212" s="259">
        <f>BS212*(1+$CF212+(VLOOKUP($AM212,$A$12:$B$323,2,0))+各项系数!$J$6+各项系数!$M$5)*(1+$E$2)</f>
        <v>14.3886439640435</v>
      </c>
      <c r="BS212" s="260">
        <f>BT212+各项系数!$L$9*$NM212</f>
        <v>14.5369205536912</v>
      </c>
      <c r="BT212" s="260">
        <f>BU212*(1+$CG212+各项系数!$J$5+各项系数!$L$5)</f>
        <v>14.4332383541683</v>
      </c>
      <c r="BU212" s="260">
        <f t="shared" si="1006"/>
        <v>14.0128527710371</v>
      </c>
      <c r="BV212" s="259">
        <f>BW212+各项系数!$M$9*$NT212</f>
        <v>14.7994401956298</v>
      </c>
      <c r="BW212" s="259">
        <f>BX212*(1+$CF212+(VLOOKUP($AM212,$A$12:$B$214,2,0))+各项系数!$J$6+各项系数!$M$5)*(1+$E$2)</f>
        <v>14.6916428304535</v>
      </c>
      <c r="BX212" s="260">
        <f>BY212+各项系数!$L$9*$NT$12</f>
        <v>14.843041857399</v>
      </c>
      <c r="BY212" s="260">
        <f>BZ212*(1+$CG212+各项系数!$J$5+各项系数!$L$5)</f>
        <v>14.834778454244</v>
      </c>
      <c r="BZ212" s="262">
        <f t="shared" si="945"/>
        <v>14.4026975283922</v>
      </c>
      <c r="CA212" s="259">
        <f>CB212+各项系数!$M$9*$NT212</f>
        <v>15.368581687842</v>
      </c>
      <c r="CB212" s="259">
        <f>CC212*(1+$CF212+(VLOOKUP($AM212,$A$12:$B$214,2,0))+各项系数!$J$6+各项系数!$M$5)*(1+$E$2)</f>
        <v>15.2607843226657</v>
      </c>
      <c r="CC212" s="260">
        <f>CD212+各项系数!$L$9*$NT$12</f>
        <v>15.4180484165141</v>
      </c>
      <c r="CD212" s="260">
        <f>CE212*(1+$CG212+各项系数!$J$5+各项系数!$L$5)</f>
        <v>15.4097850133592</v>
      </c>
      <c r="CE212" s="262">
        <f t="shared" si="1007"/>
        <v>14.9609563236497</v>
      </c>
      <c r="CF212" s="277">
        <f t="shared" si="884"/>
        <v>0</v>
      </c>
      <c r="CG212" s="277">
        <f t="shared" si="946"/>
        <v>0.01</v>
      </c>
      <c r="CH212" s="123"/>
      <c r="CI212" s="259">
        <f>CJ212+各项系数!$M$9*$NO212</f>
        <v>14.5993818797705</v>
      </c>
      <c r="CJ212" s="259">
        <f>CK212*(1+$DC212+(VLOOKUP($AM212,$A$12:$B$323,2,0))+各项系数!$J$6+各项系数!$M$5)*(1+$E$2)+各项系数!$M$9*$NK212</f>
        <v>14.4497090671104</v>
      </c>
      <c r="CK212" s="260">
        <f>CL212+各项系数!$L$9*$NO212</f>
        <v>14.4938642832769</v>
      </c>
      <c r="CL212" s="260">
        <f>CM212*(1+$DD212+各项系数!$J$5+各项系数!$L$5)</f>
        <v>14.3441914706168</v>
      </c>
      <c r="CM212" s="260">
        <f t="shared" si="947"/>
        <v>14.0629328143302</v>
      </c>
      <c r="CN212" s="259">
        <f>CO212+各项系数!$M$9*$NO212</f>
        <v>15.1250635322298</v>
      </c>
      <c r="CO212" s="259">
        <f>CP212*(1+$DC212+(VLOOKUP($AM212,$A$12:$B$323,2,0))+各项系数!$J$6+各项系数!$M$5)*(1+$E$2)+各项系数!$M$9*$NK212</f>
        <v>14.9753907195696</v>
      </c>
      <c r="CP212" s="260">
        <f>CQ212+各项系数!$L$9*$NO212</f>
        <v>15.0249631441167</v>
      </c>
      <c r="CQ212" s="260">
        <f>CR212*(1+$DD212+各项系数!$J$5+各项系数!$L$5)</f>
        <v>14.8752903314566</v>
      </c>
      <c r="CR212" s="260">
        <f t="shared" si="948"/>
        <v>14.5836179720163</v>
      </c>
      <c r="CS212" s="259">
        <f>CT212+各项系数!$M$9*$NU212</f>
        <v>15.5976197599789</v>
      </c>
      <c r="CT212" s="259">
        <f t="shared" si="949"/>
        <v>15.4431965018953</v>
      </c>
      <c r="CU212" s="260">
        <f>CV212+各项系数!$L$9*$NU212</f>
        <v>15.6023403737072</v>
      </c>
      <c r="CV212" s="260">
        <f>CW212*(1+$DD212+各项系数!$J$5+各项系数!$L$5)</f>
        <v>15.4479171156236</v>
      </c>
      <c r="CW212" s="262">
        <f t="shared" si="950"/>
        <v>15.1450167800231</v>
      </c>
      <c r="CX212" s="259">
        <f>CY212+各项系数!$M$9*$NU212</f>
        <v>16.3446249655712</v>
      </c>
      <c r="CY212" s="259">
        <f t="shared" si="951"/>
        <v>16.1902017074876</v>
      </c>
      <c r="CZ212" s="260">
        <f>DA212+各项系数!$L$9*$NU212</f>
        <v>16.3570435517151</v>
      </c>
      <c r="DA212" s="260">
        <f>DB212*(1+$DD212+各项系数!$J$5+各项系数!$L$5)</f>
        <v>16.2026202936316</v>
      </c>
      <c r="DB212" s="262">
        <f t="shared" si="952"/>
        <v>15.8849218565015</v>
      </c>
      <c r="DC212" s="277">
        <f t="shared" si="1040"/>
        <v>0</v>
      </c>
      <c r="DD212" s="277">
        <f t="shared" si="953"/>
        <v>0</v>
      </c>
      <c r="DE212" s="69" t="s">
        <v>498</v>
      </c>
      <c r="DF212" s="69" t="s">
        <v>513</v>
      </c>
      <c r="DG212" s="259">
        <f>DH212+各项系数!$M$9*$NQ212</f>
        <v>14.8486711656552</v>
      </c>
      <c r="DH212" s="259">
        <f>DI212*(1+$EA212+(VLOOKUP($AM212,$A$12:$B$323,2,0))+各项系数!$J$6+各项系数!$M$5)*(1+$E$2)+各项系数!$M$9*$NK212</f>
        <v>14.698998352995</v>
      </c>
      <c r="DI212" s="260">
        <f>DJ212+各项系数!$L$9*$NQ212</f>
        <v>14.7457225232089</v>
      </c>
      <c r="DJ212" s="260">
        <f>DK212*(1+$EB212+各项系数!$J$5+各项系数!$L$5)</f>
        <v>14.5960497105487</v>
      </c>
      <c r="DK212" s="260">
        <f t="shared" si="954"/>
        <v>14.1709220490764</v>
      </c>
      <c r="DL212" s="259">
        <f>DM212+各项系数!$M$9*$NQ212</f>
        <v>15.4837734214469</v>
      </c>
      <c r="DM212" s="259">
        <f>DN212*(1+$EA212+(VLOOKUP($AM212,$A$12:$B$323,2,0))+各项系数!$J$6+各项系数!$M$5)*(1+$E$2)+各项系数!$M$9*$NK212</f>
        <v>15.3341006087867</v>
      </c>
      <c r="DN212" s="260">
        <f>DO212+各项系数!$L$9*$NQ212</f>
        <v>15.3873695789693</v>
      </c>
      <c r="DO212" s="260">
        <f>DP212*(1+$EB212+各项系数!$J$5+各项系数!$L$5)</f>
        <v>15.2376967663092</v>
      </c>
      <c r="DP212" s="260">
        <f t="shared" si="955"/>
        <v>14.79388035564</v>
      </c>
      <c r="DQ212" s="259">
        <f>DR212+各项系数!$M$9*$NV212</f>
        <v>15.8589686853618</v>
      </c>
      <c r="DR212" s="259">
        <f t="shared" si="956"/>
        <v>15.7045454272783</v>
      </c>
      <c r="DS212" s="260">
        <f>DT212+各项系数!$L$9*$NV212</f>
        <v>15.8663825290748</v>
      </c>
      <c r="DT212" s="260">
        <f>DU212*(1+$EB212+各项系数!$J$5+各项系数!$L$5)</f>
        <v>15.7119592709913</v>
      </c>
      <c r="DU212" s="262">
        <f t="shared" si="957"/>
        <v>15.2543293893119</v>
      </c>
      <c r="DV212" s="259">
        <f>DW212+各项系数!$M$9*$NV212</f>
        <v>16.0532515877983</v>
      </c>
      <c r="DW212" s="259">
        <f t="shared" si="958"/>
        <v>15.8988283297147</v>
      </c>
      <c r="DX212" s="260">
        <f>DY212+各项系数!$L$9*$NV212</f>
        <v>16.0626675386085</v>
      </c>
      <c r="DY212" s="260">
        <f>DZ212*(1+$EB212+各项系数!$J$5+各项系数!$L$5)</f>
        <v>15.9082442805249</v>
      </c>
      <c r="DZ212" s="262">
        <f t="shared" si="959"/>
        <v>15.444897359733</v>
      </c>
      <c r="EA212" s="277">
        <f>BI212+$EA$2</f>
        <v>0</v>
      </c>
      <c r="EB212" s="277">
        <f t="shared" si="960"/>
        <v>0.01</v>
      </c>
      <c r="EC212" s="302" t="str">
        <f t="shared" si="1008"/>
        <v>3+1</v>
      </c>
      <c r="ED212" s="302" t="str">
        <f t="shared" si="890"/>
        <v>3*6</v>
      </c>
      <c r="EE212" s="251">
        <f t="shared" si="891"/>
        <v>6</v>
      </c>
      <c r="EF212" s="251">
        <f>LOOKUP(EH212,{1,7,10,14,19,24,30,37,48,61},{1,"1+6","2+8","4+10","1+6+12","2+8+14","4+10+16","1+6+12+18","3+9+15+21","1+6+12+18+24"})</f>
        <v>1</v>
      </c>
      <c r="EG212" s="250">
        <f t="shared" si="961"/>
        <v>3</v>
      </c>
      <c r="EH212" s="260">
        <f>VLOOKUP(EE212,各项系数!$B$87:$C$124,2,0)</f>
        <v>1</v>
      </c>
      <c r="EI212" s="250">
        <f>IF(EH212=0,0,VLOOKUP(EH212,各项系数!$D$142:$E$195,2,0))*1</f>
        <v>1</v>
      </c>
      <c r="EJ212" s="305">
        <f t="shared" si="1009"/>
        <v>267.425148012862</v>
      </c>
      <c r="EK212" s="251" t="str">
        <f t="shared" si="892"/>
        <v>1*4</v>
      </c>
      <c r="EL212" s="251" t="str">
        <f t="shared" si="962"/>
        <v>4</v>
      </c>
      <c r="EM212" s="251">
        <f t="shared" si="893"/>
        <v>4</v>
      </c>
      <c r="EN212" s="251">
        <f>IF(EP212=0,0,LOOKUP(EP212,{1,7,10,14,19,24,30,37,48,61},{1,"1+6","2+8","4+10","1+6+12","2+8+14","4+10+16","1+6+12+18","3+9+15+21","1+6+12+18+24"}))</f>
        <v>1</v>
      </c>
      <c r="EO212" s="251" t="str">
        <f t="shared" si="894"/>
        <v>1</v>
      </c>
      <c r="EP212" s="251">
        <f>IF(EM212=0,0,IF(EM212&lt;10,1,IF(AND(EM212&gt;=10,EM212&lt;=35),7,LOOKUP(EM212,{50,70,95,120,150,185,240,300},{10,14,19,24,30,37,48,61})*1)))</f>
        <v>1</v>
      </c>
      <c r="EQ212" s="251">
        <f>IF(EP212=0,0,VLOOKUP(EP212,各项系数!$D$142:$E$195,2,0))*1</f>
        <v>1</v>
      </c>
      <c r="ER212" s="69">
        <f t="shared" si="895"/>
        <v>218.588414706449</v>
      </c>
      <c r="ES212" s="566">
        <f t="shared" si="896"/>
        <v>4</v>
      </c>
      <c r="ET212" s="251">
        <f>VLOOKUP(ES212,各项系数!$D$142:$E$195,2,0)*1</f>
        <v>2.42</v>
      </c>
      <c r="EU212" s="311">
        <f>((各项系数!$F$76/4*$EJ212^2*$EG212*$EH212*1*10^-7)*(1-$H212)*AA212)*(VLOOKUP($EY$9,各项系数!$D$4:$F$143,3,0))*各项系数!$J$4</f>
        <v>0.149052912813089</v>
      </c>
      <c r="EV212" s="312">
        <f>EU212*(VLOOKUP($EY$9,各项系数!$D$4:$F$143,2,0))</f>
        <v>9.76296578925732</v>
      </c>
      <c r="EW212" s="324">
        <f>(IF($EO212=0,0,(各项系数!$F$76/4*$ER212^2*$EO212*$EP212*1*10^-7))*(1-$K212)*$AF212)*(VLOOKUP($EY$9,各项系数!$D$4:$F$143,3,0))*各项系数!$J$4</f>
        <v>0.0331947195563496</v>
      </c>
      <c r="EX212" s="325">
        <f>EW212*(VLOOKUP($EY$9,各项系数!$D$4:$F$143,2,0))</f>
        <v>2.1742541309409</v>
      </c>
      <c r="EY212" s="251">
        <f>((各项系数!$F$76/4*$EJ212^2*$EG212*$EH212*1*10^-7)*(1-$H212)*AA212+IF($EO212=0,0,(各项系数!$F$76/4*$ER212^2*$EO212*$EP212*1*10^-7))*(1-$K212)*$AF212)*(VLOOKUP($EY$9,各项系数!$D$4:$F$143,3,0))*各项系数!$J$4</f>
        <v>0.182247632369438</v>
      </c>
      <c r="EZ212" s="123">
        <v>1</v>
      </c>
      <c r="FA212" s="251">
        <f t="shared" si="897"/>
        <v>0.182247632369438</v>
      </c>
      <c r="FB212" s="326">
        <f>FA212*(VLOOKUP($EY$9,各项系数!$D$4:$F$143,2,0))</f>
        <v>11.9372199201982</v>
      </c>
      <c r="FC212" s="327"/>
      <c r="FD212" s="302">
        <f>各项系数!$F$76/4*($MN212^2-MK212^2)*10^-2*(VLOOKUP(L212,各项系数!$D$1:$F$143,3,0))*10^-3*10^2*$EG212*各项系数!$J$4</f>
        <v>0.0243647736084703</v>
      </c>
      <c r="FE212" s="339">
        <f>FD212*VLOOKUP(L212,各项系数!$D$1:$F$143,2,0)</f>
        <v>0.280194896497408</v>
      </c>
      <c r="FF212" s="250">
        <f>各项系数!$F$76/4*($MO212^2-ML212^2)*10^-2*(VLOOKUP(L212,各项系数!$D$1:$F$143,3,0))*10^-3*10^2*$EO212*各项系数!$J$4</f>
        <v>0.0069461246241557</v>
      </c>
      <c r="FG212" s="339">
        <f>FF212*VLOOKUP(L212,各项系数!$D$1:$F$143,2,0)</f>
        <v>0.0798804331777905</v>
      </c>
      <c r="FH212" s="302">
        <f t="shared" si="1010"/>
        <v>0.031310898232626</v>
      </c>
      <c r="FI212" s="123">
        <v>1</v>
      </c>
      <c r="FJ212" s="251">
        <f t="shared" si="898"/>
        <v>0.031310898232626</v>
      </c>
      <c r="FK212" s="339">
        <f>FJ212*VLOOKUP(L212,各项系数!$D$1:$F$143,2,0)</f>
        <v>0.360075329675199</v>
      </c>
      <c r="FL212" s="302"/>
      <c r="FM212" s="123"/>
      <c r="FN212" s="251"/>
      <c r="FO212" s="339"/>
      <c r="FP212" s="364">
        <f t="shared" si="899"/>
        <v>0.031310898232626</v>
      </c>
      <c r="FQ212" s="364">
        <f t="shared" si="900"/>
        <v>0.360075329675199</v>
      </c>
      <c r="FR212" s="365">
        <f>各项系数!$F$76/4*($MQ212^2-$MN212^2*$EG212-$MO212^2*$EO212)*10^-2</f>
        <v>0.226330427150167</v>
      </c>
      <c r="FS212" s="366">
        <f t="shared" si="1011"/>
        <v>1</v>
      </c>
      <c r="FT212" s="367">
        <f t="shared" si="963"/>
        <v>0.226330427150167</v>
      </c>
      <c r="FU212" s="388">
        <f>$FT212*(VLOOKUP($FT$9,各项系数!$D$1:$F$143,3,0))*10^-3*10^2*各项系数!$J$55</f>
        <v>0.0270238530017299</v>
      </c>
      <c r="FV212" s="389">
        <v>1</v>
      </c>
      <c r="FW212" s="390">
        <f t="shared" si="901"/>
        <v>0.0270238530017299</v>
      </c>
      <c r="FX212" s="367">
        <f>FW212*(VLOOKUP($FT$9,各项系数!$D$1:$F$143,2,0))</f>
        <v>0.0810715590051898</v>
      </c>
      <c r="FY212" s="388">
        <f>IF($BK212&lt;&gt;$FY$9,0,各项系数!$F$76/4*($MS212^2-$MQ212^2)*10^-2*(VLOOKUP($FY$9,各项系数!$D$1:$F$143,3,0))*10^-3*10^2)*各项系数!$J$4</f>
        <v>0</v>
      </c>
      <c r="FZ212" s="389">
        <v>1</v>
      </c>
      <c r="GA212" s="390">
        <f t="shared" si="902"/>
        <v>0</v>
      </c>
      <c r="GB212" s="367">
        <f>GA212*(VLOOKUP($FY$9,各项系数!$D$1:$F$143,2,0))</f>
        <v>0</v>
      </c>
      <c r="GC212" s="388">
        <f>IF($BK212&lt;&gt;$GC$9,0,各项系数!$F$76/4*($MS212^2-$MQ212^2)*10^-2*(VLOOKUP($GC$9,各项系数!$D$1:$F$143,3,0))*10^-3*10^2)*各项系数!$J$4</f>
        <v>0.00262856255888952</v>
      </c>
      <c r="GD212" s="389">
        <v>1</v>
      </c>
      <c r="GE212" s="390">
        <f t="shared" si="903"/>
        <v>0.00262856255888952</v>
      </c>
      <c r="GF212" s="367">
        <f>GE212*(VLOOKUP($GC$9,各项系数!$D$1:$F$143,2,0))</f>
        <v>0.0339084570096748</v>
      </c>
      <c r="GG212" s="388">
        <f>IF($BK212&lt;&gt;$GG$9,0,各项系数!$F$76/4*($MS212^2-$MQ212^2)*10^-2*(VLOOKUP($GG$9,各项系数!$D$1:$F$143,3,0))*10^-3*10^2)*各项系数!$J$4</f>
        <v>0</v>
      </c>
      <c r="GH212" s="389">
        <v>1</v>
      </c>
      <c r="GI212" s="390">
        <f t="shared" si="904"/>
        <v>0</v>
      </c>
      <c r="GJ212" s="367">
        <f>GI212*(VLOOKUP($GG$9,各项系数!$D$1:$F$143,2,0))</f>
        <v>0</v>
      </c>
      <c r="GK212" s="388">
        <f>IF($BK212&lt;&gt;$GK$9,0,各项系数!$F$76/4*($MS212^2-$MQ212^2)*10^-2*(VLOOKUP($GK$9,各项系数!$D$1:$F$143,3,0))*10^-3*10^2)*各项系数!$J$4</f>
        <v>0</v>
      </c>
      <c r="GL212" s="389">
        <v>1</v>
      </c>
      <c r="GM212" s="390">
        <f t="shared" si="905"/>
        <v>0</v>
      </c>
      <c r="GN212" s="367">
        <f>GM212*(VLOOKUP($GK$9,各项系数!$D$1:$F$143,2,0))</f>
        <v>0</v>
      </c>
      <c r="GO212" s="390">
        <f t="shared" si="906"/>
        <v>0.00262856255888952</v>
      </c>
      <c r="GP212" s="390">
        <f t="shared" si="907"/>
        <v>0.0339084570096748</v>
      </c>
      <c r="GQ212" s="406">
        <f>各项系数!$F$76/4*($MU212^2-$MS212^2)*10^-2*(VLOOKUP($S212,各项系数!$D$1:$F$143,3,0))*10^-3*10^2*各项系数!$J$4</f>
        <v>0.151656490648457</v>
      </c>
      <c r="GR212" s="389">
        <v>1</v>
      </c>
      <c r="GS212" s="390">
        <f t="shared" si="908"/>
        <v>0.151656490648457</v>
      </c>
      <c r="GT212" s="390">
        <f t="shared" si="909"/>
        <v>1</v>
      </c>
      <c r="GU212" s="390">
        <f>ROUND($GS212*(VLOOKUP($S212,各项系数!$D$1:$F$143,2,0))+$E$3*GS212,GT212)</f>
        <v>0.9</v>
      </c>
      <c r="GV212" s="406">
        <f>各项系数!$F$76/4*($MT212^2-$MS212^2)*10^-2*(VLOOKUP($GV$9,各项系数!$D$1:$F$143,3,0))*10^-3*10^2*各项系数!$J$4*PI()/4*R212</f>
        <v>0.0137172188447257</v>
      </c>
      <c r="GW212" s="389">
        <v>1</v>
      </c>
      <c r="GX212" s="390">
        <f t="shared" si="910"/>
        <v>0.0137172188447257</v>
      </c>
      <c r="GY212" s="390">
        <f>$GX212*(VLOOKUP($GV$9,各项系数!$D$1:$F$143,2,0))</f>
        <v>0.925912272018987</v>
      </c>
      <c r="GZ212" s="406">
        <f>各项系数!$F$76/4*($MV212^2-$MS212^2)*10^-2*(VLOOKUP($GZ$9,各项系数!$D$1:$F$143,3,0))*10^-3*10^2*各项系数!$J$4</f>
        <v>0.0941516179499331</v>
      </c>
      <c r="HA212" s="389">
        <v>1</v>
      </c>
      <c r="HB212" s="390">
        <f t="shared" si="1012"/>
        <v>0.0941516179499331</v>
      </c>
      <c r="HC212" s="390">
        <f>HB212*(VLOOKUP($GZ$9,各项系数!$D$1:$F$143,2,0))</f>
        <v>1.60057750514886</v>
      </c>
      <c r="HD212" s="406">
        <f>各项系数!$F$76/4*($MW212^2-$MT212^2)*10^-2*(VLOOKUP($HD$9,各项系数!$D$1:$F$143,3,0))*10^-3*10^2*各项系数!$J$4</f>
        <v>0.0954569873966115</v>
      </c>
      <c r="HE212" s="389">
        <v>1</v>
      </c>
      <c r="HF212" s="390">
        <f t="shared" si="1013"/>
        <v>0.0954569873966115</v>
      </c>
      <c r="HG212" s="390">
        <f>HF212*(VLOOKUP($HD$9,各项系数!$D$1:$F$143,2,0))</f>
        <v>1.6227687857424</v>
      </c>
      <c r="HH212" s="406">
        <f>各项系数!$F$76/4*($MV212^2-$MS212^2)*10^-2*(VLOOKUP($HH$9,各项系数!$D$1:$F$143,3,0))*10^-3*10^2*各项系数!$J$4</f>
        <v>0.0941516179499331</v>
      </c>
      <c r="HI212" s="420">
        <v>1</v>
      </c>
      <c r="HJ212" s="390">
        <f t="shared" si="1014"/>
        <v>0.0941516179499331</v>
      </c>
      <c r="HK212" s="390">
        <f>HJ212*(VLOOKUP($HH$9,各项系数!$D$1:$F$143,2,0))</f>
        <v>1.60057750514886</v>
      </c>
      <c r="HL212" s="406">
        <f>各项系数!$F$76/4*($MW212^2-$MT212^2)*10^-2*(VLOOKUP($HL$9,各项系数!$D$1:$F$143,3,0))*10^-3*10^2*各项系数!$J$4</f>
        <v>0.0954569873966115</v>
      </c>
      <c r="HM212" s="420">
        <v>1</v>
      </c>
      <c r="HN212" s="390">
        <f t="shared" si="964"/>
        <v>0.0954569873966115</v>
      </c>
      <c r="HO212" s="390">
        <f>HN212*(VLOOKUP($HL$9,各项系数!$D$1:$F$143,2,0))</f>
        <v>1.6227687857424</v>
      </c>
      <c r="HP212" s="406">
        <f>各项系数!$F$76/4*($MV212^2-$MS212^2)*10^-2*(VLOOKUP(AN212,各项系数!$D$1:$F$143,3,0))*10^-3*10^2*各项系数!$J$4</f>
        <v>0.0954502609561391</v>
      </c>
      <c r="HQ212" s="389">
        <v>1</v>
      </c>
      <c r="HR212" s="390">
        <f t="shared" si="911"/>
        <v>0.0954502609561391</v>
      </c>
      <c r="HS212" s="390">
        <f>HR212*(VLOOKUP(AN212,各项系数!$D$1:$F$143,2,0))</f>
        <v>0.954502609561391</v>
      </c>
      <c r="HT212" s="406">
        <f>各项系数!$F$76/4*($MW212^2-$MT212^2)*10^-2*(VLOOKUP(AN212,各项系数!$D$1:$F$143,3,0))*10^-3*10^2*各项系数!$J$4</f>
        <v>0.0967736354986338</v>
      </c>
      <c r="HU212" s="389">
        <v>1</v>
      </c>
      <c r="HV212" s="390">
        <f t="shared" si="912"/>
        <v>0.0967736354986338</v>
      </c>
      <c r="HW212" s="390">
        <f>HV212*(VLOOKUP(AN212,各项系数!$D$1:$F$143,2,0))</f>
        <v>0.967736354986338</v>
      </c>
      <c r="HX212" s="406">
        <f>各项系数!$F$76/4*($MV212^2-$MS212^2)*10^-2*(VLOOKUP($HX$9,各项系数!$D$1:$F$143,3,0))*10^-3*10^2*各项系数!$J$4</f>
        <v>0.0954502609561391</v>
      </c>
      <c r="HY212" s="420">
        <v>1</v>
      </c>
      <c r="HZ212" s="390">
        <f t="shared" si="913"/>
        <v>0.0954502609561391</v>
      </c>
      <c r="IA212" s="390">
        <f>HZ212*(VLOOKUP($HX$9,各项系数!$D$1:$F$143,2,0))</f>
        <v>1.04995287051753</v>
      </c>
      <c r="IB212" s="406">
        <f>各项系数!$F$76/4*($MW212^2-$MT212^2)*10^-2*(VLOOKUP($IB$9,各项系数!$D$1:$F$143,3,0))*10^-3*10^2*各项系数!$J$4</f>
        <v>0.0967736354986338</v>
      </c>
      <c r="IC212" s="420">
        <v>1</v>
      </c>
      <c r="ID212" s="390">
        <f t="shared" si="914"/>
        <v>0.0967736354986338</v>
      </c>
      <c r="IE212" s="390">
        <f>ID212*(VLOOKUP($IB$9,各项系数!$D$1:$F$143,2,0))</f>
        <v>1.06450999048497</v>
      </c>
      <c r="IF212" s="429"/>
      <c r="IG212" s="406">
        <f t="shared" si="1015"/>
        <v>0.0160479399129935</v>
      </c>
      <c r="IH212" s="389">
        <v>1</v>
      </c>
      <c r="II212" s="390">
        <f t="shared" si="915"/>
        <v>0.0160479399129935</v>
      </c>
      <c r="IJ212" s="390">
        <f>II212*(VLOOKUP($IG$8,各项系数!$D$1:$F$143,2,0))</f>
        <v>0.401198497824837</v>
      </c>
      <c r="IK212" s="406">
        <f>(各项系数!$F$76/4*($MX212^2-$MK212^2)*$EG212)*10^-2*(VLOOKUP($IG$8,各项系数!$D$1:$F$143,3,0))*10^-3*10^2*各项系数!$J$4</f>
        <v>0.0125511756747738</v>
      </c>
      <c r="IL212" s="389">
        <f>IK212*(VLOOKUP($IG$8,各项系数!$D$1:$F$143,2,0))</f>
        <v>0.313779391869344</v>
      </c>
      <c r="IM212" s="390">
        <f>(各项系数!$F$76/4*(($MM212+3*$X212)^2-MM212^2)*$EO212)*10^-2*(VLOOKUP($IG$8,各项系数!$D$1:$F$143,3,0))*10^-3*10^2*各项系数!$J$4</f>
        <v>0.00349676423821974</v>
      </c>
      <c r="IN212" s="389">
        <f>IM212*(VLOOKUP($IG$8,各项系数!$D$1:$F$143,2,0))</f>
        <v>0.0874191059554934</v>
      </c>
      <c r="IO212" s="406">
        <f>各项系数!$F$76/4*($MZ212^2-$MX212^2)*10^-2*(VLOOKUP(L212,各项系数!$D$1:$F$143,3,0))*10^-3*10^2*$ES212*各项系数!$J$4</f>
        <v>0.0382629997190084</v>
      </c>
      <c r="IP212" s="389">
        <v>1</v>
      </c>
      <c r="IQ212" s="390">
        <f t="shared" si="916"/>
        <v>0.0382629997190084</v>
      </c>
      <c r="IR212" s="367">
        <f>IQ212*(VLOOKUP(L212,各项系数!$D$1:$F$143,2,0))</f>
        <v>0.440024496768597</v>
      </c>
      <c r="IS212" s="406">
        <f>IF($L212&lt;&gt;$IS$9,0,各项系数!$F$76/4*($MZ212^2-$MX212^2)*10^-2*各项系数!$F$12*10^-3*10^2)*$ES212*各项系数!$J$4</f>
        <v>0</v>
      </c>
      <c r="IT212" s="389">
        <v>1</v>
      </c>
      <c r="IU212" s="390">
        <f t="shared" si="917"/>
        <v>0</v>
      </c>
      <c r="IV212" s="367">
        <f>IU212*各项系数!$E$12</f>
        <v>0</v>
      </c>
      <c r="IW212" s="388">
        <f t="shared" si="918"/>
        <v>0.0382629997190084</v>
      </c>
      <c r="IX212" s="388">
        <f t="shared" si="919"/>
        <v>0.440024496768597</v>
      </c>
      <c r="IY212" s="447">
        <f>各项系数!$F$76/4*($NB212^2-$MZ212^2*$EG212-$NA212^2*$EO212)*10^-2</f>
        <v>0.30072688323342</v>
      </c>
      <c r="IZ212" s="366">
        <f t="shared" si="697"/>
        <v>1</v>
      </c>
      <c r="JA212" s="367">
        <f t="shared" si="965"/>
        <v>0.30072688323342</v>
      </c>
      <c r="JB212" s="364">
        <f>IF($DE212&lt;&gt;$JB$9,0,$JA212*各项系数!$F$32*10^-3*10^2)*各项系数!$J$4</f>
        <v>0</v>
      </c>
      <c r="JC212" s="123">
        <v>1</v>
      </c>
      <c r="JD212" s="251">
        <f t="shared" si="920"/>
        <v>0</v>
      </c>
      <c r="JE212" s="339">
        <f>JD212*各项系数!$E$32</f>
        <v>0</v>
      </c>
      <c r="JF212" s="364">
        <f>IF($DE212&lt;&gt;$JF$9,0,$JA212*VLOOKUP($JF$9,各项系数!$D$4:$F$540,2,0)*10^-3*10^2)*各项系数!$J$4</f>
        <v>0.149611624408626</v>
      </c>
      <c r="JG212" s="123">
        <v>1</v>
      </c>
      <c r="JH212" s="251">
        <f t="shared" si="966"/>
        <v>0.149611624408626</v>
      </c>
      <c r="JI212" s="339">
        <f>JH212*VLOOKUP($JF$9,各项系数!$D$4:$F$540,3,0)</f>
        <v>0.179533949290352</v>
      </c>
      <c r="JJ212" s="364">
        <f t="shared" si="921"/>
        <v>0.149611624408626</v>
      </c>
      <c r="JK212" s="251">
        <f t="shared" si="922"/>
        <v>0.179533949290352</v>
      </c>
      <c r="JL212" s="364">
        <f>IF($DF212&lt;&gt;$JL$9,0,各项系数!$F$76/4*($NE212^2-$NC212^2)*10^-2*各项系数!$F$39*10^-3*10^2)*各项系数!$J$4</f>
        <v>0.00125318013926994</v>
      </c>
      <c r="JM212" s="123">
        <v>1</v>
      </c>
      <c r="JN212" s="251">
        <f t="shared" si="923"/>
        <v>0.00125318013926994</v>
      </c>
      <c r="JO212" s="339">
        <f>JN212*各项系数!$E$39</f>
        <v>0.0250636027853987</v>
      </c>
      <c r="JP212" s="364">
        <f>IF($DF212&lt;&gt;$JP$9,0,各项系数!$F$76/4*($NE212^2-$NC212^2)*10^-2*各项系数!$F$36*10^-3*10^2)*各项系数!$J$4</f>
        <v>0</v>
      </c>
      <c r="JQ212" s="123">
        <v>1</v>
      </c>
      <c r="JR212" s="251">
        <f t="shared" si="924"/>
        <v>0</v>
      </c>
      <c r="JS212" s="339">
        <f>JR212*各项系数!$E$36</f>
        <v>0</v>
      </c>
      <c r="JT212" s="364">
        <f>IF($DF212&lt;&gt;$JT$9,0,各项系数!$F$76/4*($NE212^2-$NC212^2)*10^-2*各项系数!$F$40*10^-3*10^2)*各项系数!$J$4</f>
        <v>0</v>
      </c>
      <c r="JU212" s="123">
        <v>1</v>
      </c>
      <c r="JV212" s="251">
        <f t="shared" si="925"/>
        <v>0</v>
      </c>
      <c r="JW212" s="339">
        <f>JV212*各项系数!$E$40</f>
        <v>0</v>
      </c>
      <c r="JX212" s="364">
        <f>IF($DF212&lt;&gt;$JX$9,0,各项系数!$F$76/4*($NE212^2-$NC212^2)*10^-2*各项系数!$F$38*10^-3*10^2)*各项系数!$J$4</f>
        <v>0</v>
      </c>
      <c r="JY212" s="123">
        <v>1</v>
      </c>
      <c r="JZ212" s="251">
        <f t="shared" si="926"/>
        <v>0</v>
      </c>
      <c r="KA212" s="339">
        <f>JZ212*各项系数!$E$38</f>
        <v>0</v>
      </c>
      <c r="KB212" s="364">
        <f>IF($DF212&lt;&gt;$KB$9,0,各项系数!$F$76/4*($NE212^2-$NC212^2)*10^-2*各项系数!$F$41*10^-3*10^2)*各项系数!$J$4</f>
        <v>0</v>
      </c>
      <c r="KC212" s="123">
        <v>1</v>
      </c>
      <c r="KD212" s="251">
        <f t="shared" si="927"/>
        <v>0</v>
      </c>
      <c r="KE212" s="339">
        <f>KD212*各项系数!$E$41</f>
        <v>0</v>
      </c>
      <c r="KF212" s="251">
        <f t="shared" si="928"/>
        <v>0.00125318013926994</v>
      </c>
      <c r="KG212" s="251">
        <f t="shared" si="929"/>
        <v>0.0250636027853987</v>
      </c>
      <c r="KH212" s="302">
        <f>各项系数!$F$76/4*($NG212^2-$NE212^2)*10^-2*各项系数!$F$44*10^-3*10^2*各项系数!$J$4*0.75*$U212</f>
        <v>0.521673400543243</v>
      </c>
      <c r="KI212" s="123">
        <v>1</v>
      </c>
      <c r="KJ212" s="251">
        <f t="shared" si="930"/>
        <v>0.521673400543243</v>
      </c>
      <c r="KK212" s="251">
        <f>ROUND(KJ212*各项系数!$E$43,GT212)</f>
        <v>3</v>
      </c>
      <c r="KL212" s="302">
        <f>各项系数!$F$76/4*($NF212^2-$NE212^2)*10^-2*各项系数!$F$46*10^-3*10^2*各项系数!$J$4*PI()/4*R212</f>
        <v>0.0158348180780448</v>
      </c>
      <c r="KM212" s="123">
        <v>1</v>
      </c>
      <c r="KN212" s="251">
        <f t="shared" si="931"/>
        <v>0.0158348180780448</v>
      </c>
      <c r="KO212" s="251">
        <f>KN212*各项系数!$E$46</f>
        <v>1.06885022026803</v>
      </c>
      <c r="KP212" s="302">
        <f>各项系数!$F$76/4*($NH212^2-$NE212^2)*10^-2*(VLOOKUP($KP$9,各项系数!$D$1:$F$143,3,0))*10^-3*10^2*各项系数!$J$4</f>
        <v>0.106519993457211</v>
      </c>
      <c r="KQ212" s="123">
        <v>1</v>
      </c>
      <c r="KR212" s="251">
        <f t="shared" si="1016"/>
        <v>0.106519993457211</v>
      </c>
      <c r="KS212" s="251">
        <f>KR212*(VLOOKUP($KP$9,各项系数!$D$1:$F$143,2,0))</f>
        <v>1.81083988877259</v>
      </c>
      <c r="KT212" s="302">
        <f>各项系数!$F$76/4*($NI212^2-$NF212^2)*10^-2*(VLOOKUP($KT$9,各项系数!$D$1:$F$143,3,0))*10^-3*10^2*各项系数!$J$4</f>
        <v>0.107825362903889</v>
      </c>
      <c r="KU212" s="123">
        <v>1</v>
      </c>
      <c r="KV212" s="251">
        <f t="shared" si="1017"/>
        <v>0.107825362903889</v>
      </c>
      <c r="KW212" s="251">
        <f>KV212*(VLOOKUP($KT$9,各项系数!$D$1:$F$143,2,0))</f>
        <v>1.83303116936612</v>
      </c>
      <c r="KX212" s="251">
        <f>各项系数!$F$76/4*($NH212^2-$NE212^2)*10^-2*(VLOOKUP($KX$9,各项系数!$D$1:$F$143,3,0))*10^-3*10^2*各项系数!$J$4</f>
        <v>0.106519993457211</v>
      </c>
      <c r="KY212" s="479">
        <v>1</v>
      </c>
      <c r="KZ212" s="251">
        <f t="shared" si="1018"/>
        <v>0.106519993457211</v>
      </c>
      <c r="LA212" s="251">
        <f>KZ212*(VLOOKUP($KX$9,各项系数!$D$1:$F$143,2,0))</f>
        <v>1.81083988877259</v>
      </c>
      <c r="LB212" s="251">
        <f>各项系数!$F$76/4*($NI212^2-$NF212^2)*10^-2*(VLOOKUP($LB$9,各项系数!$D$1:$F$143,3,0))*10^-3*10^2*各项系数!$J$4</f>
        <v>0.107825362903889</v>
      </c>
      <c r="LC212" s="479">
        <v>1</v>
      </c>
      <c r="LD212" s="251">
        <f t="shared" si="1019"/>
        <v>0.107825362903889</v>
      </c>
      <c r="LE212" s="251">
        <f>LD212*(VLOOKUP($LB$9,各项系数!$D$1:$F$143,2,0))</f>
        <v>1.83303116936612</v>
      </c>
      <c r="LF212" s="302">
        <f>各项系数!$F$76/4*($NH212^2-$NE212^2)*10^-2*(VLOOKUP(AN212,各项系数!$D$1:$F$143,3,0))*10^-3*10^2*各项系数!$J$4</f>
        <v>0.107989234746276</v>
      </c>
      <c r="LG212" s="123">
        <v>1</v>
      </c>
      <c r="LH212" s="251">
        <f t="shared" si="932"/>
        <v>0.107989234746276</v>
      </c>
      <c r="LI212" s="251">
        <f>LH212*(VLOOKUP(AN212,各项系数!$D$1:$F$143,2,0))</f>
        <v>1.07989234746276</v>
      </c>
      <c r="LJ212" s="302">
        <f>各项系数!$F$76/4*($NI212^2-$NF212^2)*10^-2*(VLOOKUP(AN212,各项系数!$D$1:$F$143,3,0))*10^-3*10^2*各项系数!$J$4</f>
        <v>0.109312609288771</v>
      </c>
      <c r="LK212" s="123">
        <v>1</v>
      </c>
      <c r="LL212" s="251">
        <f t="shared" si="933"/>
        <v>0.109312609288771</v>
      </c>
      <c r="LM212" s="251">
        <f>LL212*(VLOOKUP(AN212,各项系数!$D$1:$F$143,2,0))</f>
        <v>1.09312609288771</v>
      </c>
      <c r="LN212" s="251">
        <f>各项系数!$F$76/4*($NH212^2-$NE212^2)*10^-2*(VLOOKUP($LN$9,各项系数!$D$1:$F$143,3,0))*10^-3*10^2*各项系数!$J$4</f>
        <v>0.107989234746276</v>
      </c>
      <c r="LO212" s="479">
        <v>1</v>
      </c>
      <c r="LP212" s="251">
        <f t="shared" si="934"/>
        <v>0.107989234746276</v>
      </c>
      <c r="LQ212" s="251">
        <f>LP212*(VLOOKUP($LN$9,各项系数!$D$1:$F$143,2,0))</f>
        <v>1.18788158220904</v>
      </c>
      <c r="LR212" s="251">
        <f>各项系数!$F$76/4*($NI212^2-$NF212^2)*10^-2*(VLOOKUP($LR$9,各项系数!$D$1:$F$143,3,0))*10^-3*10^2*各项系数!$J$4</f>
        <v>0.109312609288771</v>
      </c>
      <c r="LS212" s="479">
        <v>1</v>
      </c>
      <c r="LT212" s="251">
        <f t="shared" si="935"/>
        <v>0.109312609288771</v>
      </c>
      <c r="LU212" s="251">
        <f>LT212*(VLOOKUP($LR$9,各项系数!$D$1:$F$143,2,0))</f>
        <v>1.20243870217648</v>
      </c>
      <c r="LV212" s="499">
        <f t="shared" si="1020"/>
        <v>16.85060994</v>
      </c>
      <c r="LW212" s="499">
        <f t="shared" si="1021"/>
        <v>16.85060994</v>
      </c>
      <c r="LX212" s="499">
        <f t="shared" si="1022"/>
        <v>4.63193943489284</v>
      </c>
      <c r="LY212" s="515">
        <f t="shared" si="1023"/>
        <v>0</v>
      </c>
      <c r="LZ212" s="516">
        <f t="shared" si="967"/>
        <v>1</v>
      </c>
      <c r="MA212" s="517">
        <f t="shared" si="968"/>
        <v>16.85060994</v>
      </c>
      <c r="MB212" s="517">
        <f t="shared" si="1024"/>
        <v>2.67425148</v>
      </c>
      <c r="MC212" s="499">
        <f t="shared" si="1025"/>
        <v>3.75270272</v>
      </c>
      <c r="MD212" s="499">
        <f t="shared" si="1026"/>
        <v>3.75270273</v>
      </c>
      <c r="ME212" s="499">
        <f t="shared" si="1027"/>
        <v>2.18588414959979</v>
      </c>
      <c r="MF212" s="499">
        <f t="shared" si="1028"/>
        <v>-1.00000003833145e-8</v>
      </c>
      <c r="MG212" s="516">
        <f t="shared" si="1029"/>
        <v>1</v>
      </c>
      <c r="MH212" s="517">
        <f t="shared" si="969"/>
        <v>3.75270272</v>
      </c>
      <c r="MI212" s="517">
        <f t="shared" si="1030"/>
        <v>2.18588414668738</v>
      </c>
      <c r="MJ212" s="251">
        <f t="shared" si="970"/>
        <v>2.67425148</v>
      </c>
      <c r="MK212" s="251">
        <f t="shared" si="1031"/>
        <v>2.67425148</v>
      </c>
      <c r="ML212" s="251">
        <f t="shared" si="936"/>
        <v>2.18588414706449</v>
      </c>
      <c r="MM212" s="251">
        <f t="shared" si="971"/>
        <v>2.18588414668738</v>
      </c>
      <c r="MN212" s="251">
        <f t="shared" si="972"/>
        <v>4.07425148</v>
      </c>
      <c r="MO212" s="251">
        <f t="shared" si="1032"/>
        <v>3.58588414668738</v>
      </c>
      <c r="MP212" s="251">
        <f t="shared" si="1033"/>
        <v>9.56422634</v>
      </c>
      <c r="MQ212" s="251">
        <f t="shared" si="937"/>
        <v>9.56422634</v>
      </c>
      <c r="MR212" s="314">
        <f t="shared" si="1034"/>
        <v>9.56422634</v>
      </c>
      <c r="MS212" s="530">
        <f t="shared" si="973"/>
        <v>9.74022634</v>
      </c>
      <c r="MT212" s="530">
        <f t="shared" si="974"/>
        <v>9.90022634</v>
      </c>
      <c r="MU212" s="530">
        <f t="shared" si="975"/>
        <v>10.94022634</v>
      </c>
      <c r="MV212" s="530">
        <f t="shared" si="976"/>
        <v>13.34022634</v>
      </c>
      <c r="MW212" s="530">
        <f t="shared" si="977"/>
        <v>13.50022634</v>
      </c>
      <c r="MX212" s="326">
        <f t="shared" si="978"/>
        <v>3.27425148</v>
      </c>
      <c r="MY212" s="326">
        <f t="shared" si="979"/>
        <v>2.78588414668738</v>
      </c>
      <c r="MZ212" s="251">
        <f t="shared" si="980"/>
        <v>4.67425148</v>
      </c>
      <c r="NA212" s="251">
        <f t="shared" si="981"/>
        <v>4.18588414668738</v>
      </c>
      <c r="NB212" s="251">
        <f t="shared" si="1035"/>
        <v>11.01622634</v>
      </c>
      <c r="NC212" s="326">
        <f t="shared" si="938"/>
        <v>11.01622634</v>
      </c>
      <c r="ND212" s="314">
        <f t="shared" si="1036"/>
        <v>11.01622634</v>
      </c>
      <c r="NE212" s="537">
        <f t="shared" si="1037"/>
        <v>11.25622634</v>
      </c>
      <c r="NF212" s="530">
        <f t="shared" si="982"/>
        <v>11.41622634</v>
      </c>
      <c r="NG212" s="538">
        <f t="shared" si="983"/>
        <v>12.45622634</v>
      </c>
      <c r="NH212" s="326">
        <f t="shared" si="984"/>
        <v>14.85622634</v>
      </c>
      <c r="NI212" s="530">
        <f t="shared" si="985"/>
        <v>15.01622634</v>
      </c>
      <c r="NK212" s="539">
        <f t="shared" si="986"/>
        <v>0.345607331742979</v>
      </c>
      <c r="NL212" s="539">
        <f t="shared" si="987"/>
        <v>13.4466583086275</v>
      </c>
      <c r="NM212" s="539">
        <f t="shared" si="988"/>
        <v>0.345607331742979</v>
      </c>
      <c r="NN212" s="539">
        <f t="shared" si="989"/>
        <v>13.5421085695836</v>
      </c>
      <c r="NO212" s="539">
        <f t="shared" si="990"/>
        <v>0.498909375533832</v>
      </c>
      <c r="NP212" s="539">
        <f t="shared" si="991"/>
        <v>14.1503519202857</v>
      </c>
      <c r="NQ212" s="539">
        <f t="shared" si="992"/>
        <v>0.498909375533832</v>
      </c>
      <c r="NR212" s="539">
        <f t="shared" si="993"/>
        <v>14.2583411550319</v>
      </c>
      <c r="NS212" s="539">
        <f t="shared" si="994"/>
        <v>0.359324550587704</v>
      </c>
      <c r="NT212" s="539">
        <f t="shared" si="995"/>
        <v>0.359324550587704</v>
      </c>
      <c r="NU212" s="539">
        <f t="shared" si="996"/>
        <v>0.514744193611877</v>
      </c>
      <c r="NV212" s="539">
        <f t="shared" si="997"/>
        <v>0.514744193611877</v>
      </c>
      <c r="NW212">
        <f t="shared" si="998"/>
        <v>0.497263822391436</v>
      </c>
      <c r="NX212">
        <f>各项系数!$M$9*NK212</f>
        <v>0.103682199522894</v>
      </c>
      <c r="NY212">
        <f t="shared" si="999"/>
        <v>0.359324550587704</v>
      </c>
    </row>
    <row r="213" customHeight="1" spans="1:389">
      <c r="A213" s="85"/>
      <c r="B213" s="86"/>
      <c r="C213" s="218"/>
      <c r="D213" s="85" t="s">
        <v>320</v>
      </c>
      <c r="E213" s="77">
        <f t="shared" si="885"/>
        <v>14.24904228</v>
      </c>
      <c r="F213" s="225">
        <f>$F$19</f>
        <v>267.425148012862</v>
      </c>
      <c r="G213" s="23"/>
      <c r="H213" s="23"/>
      <c r="I213" s="174">
        <f>$F$18</f>
        <v>218.588414706449</v>
      </c>
      <c r="J213" s="23"/>
      <c r="K213" s="23"/>
      <c r="L213" s="118" t="s">
        <v>469</v>
      </c>
      <c r="M213" s="124">
        <f t="shared" si="940"/>
        <v>0.7</v>
      </c>
      <c r="N213" s="124">
        <f t="shared" si="1038"/>
        <v>0.7</v>
      </c>
      <c r="O213" s="69">
        <f t="shared" si="1039"/>
        <v>0.08</v>
      </c>
      <c r="P213" s="120">
        <v>0.1</v>
      </c>
      <c r="Q213" s="162">
        <f t="shared" si="941"/>
        <v>0.1</v>
      </c>
      <c r="R213" s="560">
        <v>0.8</v>
      </c>
      <c r="S213" s="171" t="str">
        <f>各项系数!$D$43</f>
        <v>钢带</v>
      </c>
      <c r="T213" s="123">
        <v>0.2</v>
      </c>
      <c r="U213" s="78">
        <v>4</v>
      </c>
      <c r="V213" s="172"/>
      <c r="W213" s="170">
        <f>$W$202</f>
        <v>1.8</v>
      </c>
      <c r="X213" s="164">
        <f t="shared" si="942"/>
        <v>0.2</v>
      </c>
      <c r="Y213" s="219"/>
      <c r="Z213" s="220"/>
      <c r="AA213" s="217">
        <v>1</v>
      </c>
      <c r="AB213" s="186">
        <f>PI()*EJ213*EJ213/4*EH213*(1-H213)*AA213*各项系数!$F$5*各项系数!$J$4*10^-7</f>
        <v>0.0496843042710297</v>
      </c>
      <c r="AC213" s="186">
        <f t="shared" si="886"/>
        <v>267.425148012862</v>
      </c>
      <c r="AD213" s="186">
        <f t="shared" si="943"/>
        <v>5.61686998219778</v>
      </c>
      <c r="AE213" s="186">
        <f>POWER(4*EU213/PI()/EG213/10^-7/EH213/(1-H213)/各项系数!$F$5/各项系数!$J$4,0.5)</f>
        <v>267.425148012862</v>
      </c>
      <c r="AF213" s="218">
        <f>$AA$199</f>
        <v>1</v>
      </c>
      <c r="AG213" s="85">
        <f>IF(EM213=0,0,PI()*ER213*ER213/4*EP213*(1-K213)*(1+AF213)*各项系数!$F$5*各项系数!$J$4*10^-7)</f>
        <v>0.0663894391126992</v>
      </c>
      <c r="AH213" s="85">
        <f t="shared" si="887"/>
        <v>218.588414706449</v>
      </c>
      <c r="AI213" s="85">
        <f t="shared" si="1000"/>
        <v>3.75270272129484</v>
      </c>
      <c r="AJ213" s="85">
        <f>IF(OR(EP213="",EP213=0),0,POWER(4*EW213/PI()/EO213/10^-7/EP213/(1-K213)/各项系数!$F$5/各项系数!$J$4,0.5))</f>
        <v>218.588414706449</v>
      </c>
      <c r="AK213" s="85">
        <f t="shared" si="944"/>
        <v>0.215442351925788</v>
      </c>
      <c r="AL213" s="85">
        <f t="shared" si="888"/>
        <v>16.5907515272851</v>
      </c>
      <c r="AM213" s="250">
        <f t="shared" si="889"/>
        <v>6</v>
      </c>
      <c r="AN213" s="118" t="s">
        <v>486</v>
      </c>
      <c r="AO213" s="259">
        <f>AP213+各项系数!$M$9*$NK213</f>
        <v>16.265442673809</v>
      </c>
      <c r="AP213" s="259">
        <f>AQ213*(1+$BI213+(VLOOKUP($AM213,$A$12:$B$323,2,0))+各项系数!$J$6+各项系数!$M$5)*(1+$E$2)</f>
        <v>16.1437994949577</v>
      </c>
      <c r="AQ213" s="260">
        <f>AR213+各项系数!$L$9*$NK213</f>
        <v>16.1502595987973</v>
      </c>
      <c r="AR213" s="260">
        <f>AS213*(1+$BJ213+各项系数!$J$5+各项系数!$L$5)</f>
        <v>16.028616419946</v>
      </c>
      <c r="AS213" s="260">
        <f t="shared" si="1001"/>
        <v>15.7143298234765</v>
      </c>
      <c r="AT213" s="259">
        <f>AU213+各项系数!$M$9*$NM213</f>
        <v>16.9760519958314</v>
      </c>
      <c r="AU213" s="259">
        <f>AV213*(1+$BI213+(VLOOKUP($AM213,$A$12:$B$323,2,0))+各项系数!$J$6+各项系数!$M$5)*(1+$E$2)</f>
        <v>16.8544088169802</v>
      </c>
      <c r="AV213" s="260">
        <f>AW213+各项系数!$L$9*$NM213</f>
        <v>16.8611532782915</v>
      </c>
      <c r="AW213" s="260">
        <f>AX213*(1+$BJ213+各项系数!$J$5+各项系数!$L$5)</f>
        <v>16.7395100994403</v>
      </c>
      <c r="AX213" s="260">
        <f t="shared" si="1002"/>
        <v>16.411284411216</v>
      </c>
      <c r="AY213" s="259">
        <f>AZ213+各项系数!$M$9*$NS213</f>
        <v>17.3193463102202</v>
      </c>
      <c r="AZ213" s="259">
        <f>BA213*(1+$BI213+(VLOOKUP($AM213,$A$12:$B$214,2,0))+各项系数!$J$6+各项系数!$M$5)*(1+$E$2)</f>
        <v>17.1932071264139</v>
      </c>
      <c r="BA213" s="260">
        <f>BB213+各项系数!$L$9*$NS213</f>
        <v>17.2000871612784</v>
      </c>
      <c r="BB213" s="260">
        <f>BC213*(1+$BJ213+各项系数!$J$5+各项系数!$L$5)</f>
        <v>17.0739479774721</v>
      </c>
      <c r="BC213" s="262">
        <f t="shared" si="1003"/>
        <v>16.7391646837962</v>
      </c>
      <c r="BD213" s="259">
        <f>BE213+各项系数!$M$9*$NS213</f>
        <v>18.0390886634403</v>
      </c>
      <c r="BE213" s="259">
        <f>BF213*(1+$BI213+(VLOOKUP($AM213,$A$12:$B$214,2,0))+各项系数!$J$6+各项系数!$M$5)*(1+$E$2)</f>
        <v>17.912949479634</v>
      </c>
      <c r="BF213" s="260">
        <f>BG213+各项系数!$L$9*$NS213</f>
        <v>17.9201175266446</v>
      </c>
      <c r="BG213" s="260">
        <f>BH213*(1+$BJ213+各项系数!$J$5+各项系数!$L$5)</f>
        <v>17.7939783428383</v>
      </c>
      <c r="BH213" s="262">
        <f t="shared" si="1004"/>
        <v>17.4450768067042</v>
      </c>
      <c r="BI213" s="277">
        <v>0.01</v>
      </c>
      <c r="BJ213" s="272">
        <f>$BJ$203</f>
        <v>0</v>
      </c>
      <c r="BK213" s="123" t="s">
        <v>514</v>
      </c>
      <c r="BL213" s="259">
        <f>BM213+各项系数!$M$9*$NM213</f>
        <v>16.5285368672591</v>
      </c>
      <c r="BM213" s="259">
        <f>BN213*(1+$CF213+(VLOOKUP($AM213,$A$12:$B$323,2,0))+各项系数!$J$6+各项系数!$M$5)*(1+$E$2)</f>
        <v>16.4068936884079</v>
      </c>
      <c r="BN213" s="260">
        <f>BO213+各项系数!$L$9*$NM213</f>
        <v>16.4134590720367</v>
      </c>
      <c r="BO213" s="260">
        <f>BP213*(1+$CG213+各项系数!$J$5+各项系数!$L$5)</f>
        <v>16.2918158931855</v>
      </c>
      <c r="BP213" s="260">
        <f t="shared" si="1005"/>
        <v>15.8172969836752</v>
      </c>
      <c r="BQ213" s="259">
        <f>BR213+各项系数!$M$9*$NM213</f>
        <v>17.140099194806</v>
      </c>
      <c r="BR213" s="259">
        <f>BS213*(1+$CF213+(VLOOKUP($AM213,$A$12:$B$323,2,0))+各项系数!$J$6+各项系数!$M$5)*(1+$E$2)</f>
        <v>17.0184560159547</v>
      </c>
      <c r="BS213" s="260">
        <f>BT213+各项系数!$L$9*$NM213</f>
        <v>17.0252661224037</v>
      </c>
      <c r="BT213" s="260">
        <f>BU213*(1+$CG213+各项系数!$J$5+各项系数!$L$5)</f>
        <v>16.9036229435525</v>
      </c>
      <c r="BU213" s="260">
        <f t="shared" si="1006"/>
        <v>16.411284411216</v>
      </c>
      <c r="BV213" s="259">
        <f>BW213+各项系数!$M$9*$NT213</f>
        <v>17.4762186531435</v>
      </c>
      <c r="BW213" s="259">
        <f>BX213*(1+$CF213+(VLOOKUP($AM213,$A$12:$B$214,2,0))+各项系数!$J$6+各项系数!$M$5)*(1+$E$2)</f>
        <v>17.3500794693372</v>
      </c>
      <c r="BX213" s="260">
        <f>BY213+各项系数!$L$9*$NT$12</f>
        <v>17.3570222782485</v>
      </c>
      <c r="BY213" s="260">
        <f>BZ213*(1+$CG213+各项系数!$J$5+各项系数!$L$5)</f>
        <v>17.3487588750935</v>
      </c>
      <c r="BZ213" s="262">
        <f t="shared" si="945"/>
        <v>16.8434552185374</v>
      </c>
      <c r="CA213" s="259">
        <f>CB213+各项系数!$M$9*$NT213</f>
        <v>18.095641020861</v>
      </c>
      <c r="CB213" s="259">
        <f>CC213*(1+$CF213+(VLOOKUP($AM213,$A$12:$B$214,2,0))+各项系数!$J$6+各项系数!$M$5)*(1+$E$2)</f>
        <v>17.9695018370547</v>
      </c>
      <c r="CC213" s="260">
        <f>CD213+各项系数!$L$9*$NT$12</f>
        <v>17.9766925140603</v>
      </c>
      <c r="CD213" s="260">
        <f>CE213*(1+$CG213+各项系数!$J$5+各项系数!$L$5)</f>
        <v>17.9684291109054</v>
      </c>
      <c r="CE213" s="262">
        <f t="shared" si="1007"/>
        <v>17.4450768067042</v>
      </c>
      <c r="CF213" s="277">
        <f t="shared" si="884"/>
        <v>0.01</v>
      </c>
      <c r="CG213" s="277">
        <f t="shared" si="946"/>
        <v>0.01</v>
      </c>
      <c r="CH213" s="123"/>
      <c r="CI213" s="259">
        <f>CJ213+各项系数!$M$9*$NO213</f>
        <v>17.3585276103227</v>
      </c>
      <c r="CJ213" s="259">
        <f>CK213*(1+$DC213+(VLOOKUP($AM213,$A$12:$B$323,2,0))+各项系数!$J$6+各项系数!$M$5)*(1+$E$2)+各项系数!$M$9*$NK213</f>
        <v>17.1825895855783</v>
      </c>
      <c r="CK213" s="260">
        <f>CL213+各项系数!$L$9*$NO213</f>
        <v>17.0677735161335</v>
      </c>
      <c r="CL213" s="260">
        <f>CM213*(1+$DD213+各项系数!$J$5+各项系数!$L$5)</f>
        <v>16.8918354913891</v>
      </c>
      <c r="CM213" s="260">
        <f t="shared" si="947"/>
        <v>16.5606230307736</v>
      </c>
      <c r="CN213" s="259">
        <f>CO213+各项系数!$M$9*$NO213</f>
        <v>17.9271228866853</v>
      </c>
      <c r="CO213" s="259">
        <f>CP213*(1+$DC213+(VLOOKUP($AM213,$A$12:$B$323,2,0))+各项系数!$J$6+各项系数!$M$5)*(1+$E$2)+各项系数!$M$9*$NK213</f>
        <v>17.7511848619408</v>
      </c>
      <c r="CP213" s="260">
        <f>CQ213+各项系数!$L$9*$NO213</f>
        <v>17.6365963216182</v>
      </c>
      <c r="CQ213" s="260">
        <f>CR213*(1+$DD213+各项系数!$J$5+各项系数!$L$5)</f>
        <v>17.4606582968738</v>
      </c>
      <c r="CR213" s="260">
        <f t="shared" si="948"/>
        <v>17.1182924479155</v>
      </c>
      <c r="CS213" s="259">
        <f>CT213+各项系数!$M$9*$NU213</f>
        <v>18.4540879627556</v>
      </c>
      <c r="CT213" s="259">
        <f t="shared" si="949"/>
        <v>18.2729482528894</v>
      </c>
      <c r="CU213" s="260">
        <f>CV213+各项系数!$L$9*$NU213</f>
        <v>18.2802603570322</v>
      </c>
      <c r="CV213" s="260">
        <f>CW213*(1+$DD213+各项系数!$J$5+各项系数!$L$5)</f>
        <v>18.0991206471661</v>
      </c>
      <c r="CW213" s="262">
        <f t="shared" si="950"/>
        <v>17.7442359285942</v>
      </c>
      <c r="CX213" s="259">
        <f>CY213+各项系数!$M$9*$NU213</f>
        <v>19.2699554693305</v>
      </c>
      <c r="CY213" s="259">
        <f t="shared" si="951"/>
        <v>19.0888157594643</v>
      </c>
      <c r="CZ213" s="260">
        <f>DA213+各项系数!$L$9*$NU213</f>
        <v>19.0964543412008</v>
      </c>
      <c r="DA213" s="260">
        <f>DB213*(1+$DD213+各项系数!$J$5+各项系数!$L$5)</f>
        <v>18.9153146313346</v>
      </c>
      <c r="DB213" s="262">
        <f t="shared" si="952"/>
        <v>18.5444261091516</v>
      </c>
      <c r="DC213" s="277">
        <f t="shared" si="1040"/>
        <v>0.01</v>
      </c>
      <c r="DD213" s="277">
        <f t="shared" si="953"/>
        <v>0</v>
      </c>
      <c r="DE213" s="69" t="s">
        <v>498</v>
      </c>
      <c r="DF213" s="69" t="s">
        <v>513</v>
      </c>
      <c r="DG213" s="259">
        <f>DH213+各项系数!$M$9*$NQ213</f>
        <v>17.6444219846955</v>
      </c>
      <c r="DH213" s="259">
        <f>DI213*(1+$EA213+(VLOOKUP($AM213,$A$12:$B$323,2,0))+各项系数!$J$6+各项系数!$M$5)*(1+$E$2)+各项系数!$M$9*$NK213</f>
        <v>17.4684839599511</v>
      </c>
      <c r="DI213" s="260">
        <f>DJ213+各项系数!$L$9*$NQ213</f>
        <v>17.3537822940174</v>
      </c>
      <c r="DJ213" s="260">
        <f>DK213*(1+$EB213+各项系数!$J$5+各项系数!$L$5)</f>
        <v>17.177844269273</v>
      </c>
      <c r="DK213" s="260">
        <f t="shared" si="954"/>
        <v>16.677518708032</v>
      </c>
      <c r="DL213" s="259">
        <f>DM213+各项系数!$M$9*$NQ213</f>
        <v>18.3387112350389</v>
      </c>
      <c r="DM213" s="259">
        <f>DN213*(1+$EA213+(VLOOKUP($AM213,$A$12:$B$323,2,0))+各项系数!$J$6+各项系数!$M$5)*(1+$E$2)+各项系数!$M$9*$NK213</f>
        <v>18.1627732102945</v>
      </c>
      <c r="DN213" s="260">
        <f>DO213+各项系数!$L$9*$NQ213</f>
        <v>18.0483493711917</v>
      </c>
      <c r="DO213" s="260">
        <f>DP213*(1+$EB213+各项系数!$J$5+各项系数!$L$5)</f>
        <v>17.8724113464473</v>
      </c>
      <c r="DP213" s="260">
        <f t="shared" si="955"/>
        <v>17.3518556761625</v>
      </c>
      <c r="DQ213" s="259">
        <f>DR213+各项系数!$M$9*$NV213</f>
        <v>18.7531762622035</v>
      </c>
      <c r="DR213" s="259">
        <f t="shared" si="956"/>
        <v>18.5720365523373</v>
      </c>
      <c r="DS213" s="260">
        <f>DT213+各项系数!$L$9*$NV213</f>
        <v>18.5794683396732</v>
      </c>
      <c r="DT213" s="260">
        <f>DU213*(1+$EB213+各项系数!$J$5+各项系数!$L$5)</f>
        <v>18.398328629807</v>
      </c>
      <c r="DU213" s="262">
        <f t="shared" si="957"/>
        <v>17.8624549803951</v>
      </c>
      <c r="DV213" s="259">
        <f>DW213+各项系数!$M$9*$NV213</f>
        <v>18.8890206257439</v>
      </c>
      <c r="DW213" s="259">
        <f t="shared" si="958"/>
        <v>18.7078809158777</v>
      </c>
      <c r="DX213" s="260">
        <f>DY213+各项系数!$L$9*$NV213</f>
        <v>18.7153670627028</v>
      </c>
      <c r="DY213" s="260">
        <f>DZ213*(1+$EB213+各项系数!$J$5+各项系数!$L$5)</f>
        <v>18.5342273528366</v>
      </c>
      <c r="DZ213" s="262">
        <f t="shared" si="959"/>
        <v>17.9943954881909</v>
      </c>
      <c r="EA213" s="277">
        <f>BI213+$EA$2</f>
        <v>0.01</v>
      </c>
      <c r="EB213" s="277">
        <f t="shared" si="960"/>
        <v>0.01</v>
      </c>
      <c r="EC213" s="302" t="str">
        <f t="shared" si="1008"/>
        <v>3+2</v>
      </c>
      <c r="ED213" s="302" t="str">
        <f t="shared" si="890"/>
        <v>3*6</v>
      </c>
      <c r="EE213" s="251">
        <f t="shared" si="891"/>
        <v>6</v>
      </c>
      <c r="EF213" s="251">
        <f>LOOKUP(EH213,{1,7,10,14,19,24,30,37,48,61},{1,"1+6","2+8","4+10","1+6+12","2+8+14","4+10+16","1+6+12+18","3+9+15+21","1+6+12+18+24"})</f>
        <v>1</v>
      </c>
      <c r="EG213" s="250">
        <f t="shared" si="961"/>
        <v>3</v>
      </c>
      <c r="EH213" s="260">
        <f>VLOOKUP(EE213,各项系数!$B$87:$C$124,2,0)</f>
        <v>1</v>
      </c>
      <c r="EI213" s="250">
        <f>IF(EH213=0,0,VLOOKUP(EH213,各项系数!$D$142:$E$195,2,0))*1</f>
        <v>1</v>
      </c>
      <c r="EJ213" s="305">
        <f t="shared" si="1009"/>
        <v>267.425148012862</v>
      </c>
      <c r="EK213" s="251" t="str">
        <f t="shared" si="892"/>
        <v>2*4</v>
      </c>
      <c r="EL213" s="251" t="str">
        <f t="shared" si="962"/>
        <v>4</v>
      </c>
      <c r="EM213" s="251">
        <f t="shared" si="893"/>
        <v>4</v>
      </c>
      <c r="EN213" s="251">
        <f>IF(EP213=0,0,LOOKUP(EP213,{1,7,10,14,19,24,30,37,48,61},{1,"1+6","2+8","4+10","1+6+12","2+8+14","4+10+16","1+6+12+18","3+9+15+21","1+6+12+18+24"}))</f>
        <v>1</v>
      </c>
      <c r="EO213" s="251" t="str">
        <f t="shared" si="894"/>
        <v>2</v>
      </c>
      <c r="EP213" s="251">
        <f>IF(EM213=0,0,IF(EM213&lt;10,1,IF(AND(EM213&gt;=10,EM213&lt;=35),7,LOOKUP(EM213,{50,70,95,120,150,185,240,300},{10,14,19,24,30,37,48,61})*1)))</f>
        <v>1</v>
      </c>
      <c r="EQ213" s="251">
        <f>IF(EP213=0,0,VLOOKUP(EP213,各项系数!$D$142:$E$195,2,0))*1</f>
        <v>1</v>
      </c>
      <c r="ER213" s="69">
        <f t="shared" si="895"/>
        <v>218.588414706449</v>
      </c>
      <c r="ES213" s="566">
        <f t="shared" si="896"/>
        <v>5</v>
      </c>
      <c r="ET213" s="251">
        <f>VLOOKUP(ES213,各项系数!$D$142:$E$195,2,0)*1</f>
        <v>2.7</v>
      </c>
      <c r="EU213" s="311">
        <f>((各项系数!$F$76/4*$EJ213^2*$EG213*$EH213*1*10^-7)*(1-$H213)*AA213)*(VLOOKUP($EY$9,各项系数!$D$4:$F$143,3,0))*各项系数!$J$4</f>
        <v>0.149052912813089</v>
      </c>
      <c r="EV213" s="312">
        <f>EU213*(VLOOKUP($EY$9,各项系数!$D$4:$F$143,2,0))</f>
        <v>9.76296578925732</v>
      </c>
      <c r="EW213" s="324">
        <f>(IF($EO213=0,0,(各项系数!$F$76/4*$ER213^2*$EO213*$EP213*1*10^-7))*(1-$K213)*$AF213)*(VLOOKUP($EY$9,各项系数!$D$4:$F$143,3,0))*各项系数!$J$4</f>
        <v>0.0663894391126991</v>
      </c>
      <c r="EX213" s="325">
        <f>EW213*(VLOOKUP($EY$9,各项系数!$D$4:$F$143,2,0))</f>
        <v>4.34850826188179</v>
      </c>
      <c r="EY213" s="251">
        <f>((各项系数!$F$76/4*$EJ213^2*$EG213*$EH213*1*10^-7)*(1-$H213)*AA213+IF($EO213=0,0,(各项系数!$F$76/4*$ER213^2*$EO213*$EP213*1*10^-7))*(1-$K213)*$AF213)*(VLOOKUP($EY$9,各项系数!$D$4:$F$143,3,0))*各项系数!$J$4</f>
        <v>0.215442351925788</v>
      </c>
      <c r="EZ213" s="123">
        <v>1</v>
      </c>
      <c r="FA213" s="251">
        <f t="shared" si="897"/>
        <v>0.215442351925788</v>
      </c>
      <c r="FB213" s="326">
        <f>FA213*(VLOOKUP($EY$9,各项系数!$D$4:$F$143,2,0))</f>
        <v>14.1114740511391</v>
      </c>
      <c r="FC213" s="327"/>
      <c r="FD213" s="302">
        <f>各项系数!$F$76/4*($MN213^2-MK213^2)*10^-2*(VLOOKUP(L213,各项系数!$D$1:$F$143,3,0))*10^-3*10^2*$EG213*各项系数!$J$4</f>
        <v>0.0243647736084703</v>
      </c>
      <c r="FE213" s="339">
        <f>FD213*VLOOKUP(L213,各项系数!$D$1:$F$143,2,0)</f>
        <v>0.280194896497408</v>
      </c>
      <c r="FF213" s="250">
        <f>各项系数!$F$76/4*($MO213^2-ML213^2)*10^-2*(VLOOKUP(L213,各项系数!$D$1:$F$143,3,0))*10^-3*10^2*$EO213*各项系数!$J$4</f>
        <v>0.0138922492483114</v>
      </c>
      <c r="FG213" s="339">
        <f>FF213*VLOOKUP(L213,各项系数!$D$1:$F$143,2,0)</f>
        <v>0.159760866355581</v>
      </c>
      <c r="FH213" s="302">
        <f t="shared" si="1010"/>
        <v>0.0382570228567817</v>
      </c>
      <c r="FI213" s="123">
        <v>1</v>
      </c>
      <c r="FJ213" s="251">
        <f t="shared" si="898"/>
        <v>0.0382570228567817</v>
      </c>
      <c r="FK213" s="339">
        <f>FJ213*VLOOKUP(L213,各项系数!$D$1:$F$143,2,0)</f>
        <v>0.439955762852989</v>
      </c>
      <c r="FL213" s="302"/>
      <c r="FM213" s="123"/>
      <c r="FN213" s="251"/>
      <c r="FO213" s="339"/>
      <c r="FP213" s="364">
        <f t="shared" si="899"/>
        <v>0.0382570228567817</v>
      </c>
      <c r="FQ213" s="364">
        <f t="shared" si="900"/>
        <v>0.439955762852989</v>
      </c>
      <c r="FR213" s="365">
        <f>各项系数!$F$76/4*($MQ213^2-$MN213^2*$EG213-$MO213^2*$EO213)*10^-2</f>
        <v>0.268361983777377</v>
      </c>
      <c r="FS213" s="366">
        <f t="shared" si="1011"/>
        <v>1</v>
      </c>
      <c r="FT213" s="367">
        <f t="shared" si="963"/>
        <v>0.268361983777377</v>
      </c>
      <c r="FU213" s="388">
        <f>$FT213*(VLOOKUP($FT$9,各项系数!$D$1:$F$143,3,0))*10^-3*10^2*各项系数!$J$55</f>
        <v>0.0320424208630188</v>
      </c>
      <c r="FV213" s="389">
        <v>1</v>
      </c>
      <c r="FW213" s="390">
        <f t="shared" si="901"/>
        <v>0.0320424208630188</v>
      </c>
      <c r="FX213" s="367">
        <f>FW213*(VLOOKUP($FT$9,各项系数!$D$1:$F$143,2,0))</f>
        <v>0.0961272625890565</v>
      </c>
      <c r="FY213" s="388">
        <f>IF($BK213&lt;&gt;$FY$9,0,各项系数!$F$76/4*($MS213^2-$MQ213^2)*10^-2*(VLOOKUP($FY$9,各项系数!$D$1:$F$143,3,0))*10^-3*10^2)*各项系数!$J$4</f>
        <v>0</v>
      </c>
      <c r="FZ213" s="389">
        <v>1</v>
      </c>
      <c r="GA213" s="390">
        <f t="shared" si="902"/>
        <v>0</v>
      </c>
      <c r="GB213" s="367">
        <f>GA213*(VLOOKUP($FY$9,各项系数!$D$1:$F$143,2,0))</f>
        <v>0</v>
      </c>
      <c r="GC213" s="388">
        <f>IF($BK213&lt;&gt;$GC$9,0,各项系数!$F$76/4*($MS213^2-$MQ213^2)*10^-2*(VLOOKUP($GC$9,各项系数!$D$1:$F$143,3,0))*10^-3*10^2)*各项系数!$J$4</f>
        <v>0.00287605774483497</v>
      </c>
      <c r="GD213" s="389">
        <v>1</v>
      </c>
      <c r="GE213" s="390">
        <f t="shared" si="903"/>
        <v>0.00287605774483497</v>
      </c>
      <c r="GF213" s="367">
        <f>GE213*(VLOOKUP($GC$9,各项系数!$D$1:$F$143,2,0))</f>
        <v>0.0371011449083712</v>
      </c>
      <c r="GG213" s="388">
        <f>IF($BK213&lt;&gt;$GG$9,0,各项系数!$F$76/4*($MS213^2-$MQ213^2)*10^-2*(VLOOKUP($GG$9,各项系数!$D$1:$F$143,3,0))*10^-3*10^2)*各项系数!$J$4</f>
        <v>0</v>
      </c>
      <c r="GH213" s="389">
        <v>1</v>
      </c>
      <c r="GI213" s="390">
        <f t="shared" si="904"/>
        <v>0</v>
      </c>
      <c r="GJ213" s="367">
        <f>GI213*(VLOOKUP($GG$9,各项系数!$D$1:$F$143,2,0))</f>
        <v>0</v>
      </c>
      <c r="GK213" s="388">
        <f>IF($BK213&lt;&gt;$GK$9,0,各项系数!$F$76/4*($MS213^2-$MQ213^2)*10^-2*(VLOOKUP($GK$9,各项系数!$D$1:$F$143,3,0))*10^-3*10^2)*各项系数!$J$4</f>
        <v>0</v>
      </c>
      <c r="GL213" s="389">
        <v>1</v>
      </c>
      <c r="GM213" s="390">
        <f t="shared" si="905"/>
        <v>0</v>
      </c>
      <c r="GN213" s="367">
        <f>GM213*(VLOOKUP($GK$9,各项系数!$D$1:$F$143,2,0))</f>
        <v>0</v>
      </c>
      <c r="GO213" s="390">
        <f t="shared" si="906"/>
        <v>0.00287605774483497</v>
      </c>
      <c r="GP213" s="390">
        <f t="shared" si="907"/>
        <v>0.0371011449083712</v>
      </c>
      <c r="GQ213" s="406">
        <f>各项系数!$F$76/4*($MU213^2-$MS213^2)*10^-2*(VLOOKUP($S213,各项系数!$D$1:$F$143,3,0))*10^-3*10^2*各项系数!$J$4</f>
        <v>0.164985776833674</v>
      </c>
      <c r="GR213" s="389">
        <v>1</v>
      </c>
      <c r="GS213" s="390">
        <f t="shared" si="908"/>
        <v>0.164985776833674</v>
      </c>
      <c r="GT213" s="390">
        <f t="shared" si="909"/>
        <v>1</v>
      </c>
      <c r="GU213" s="390">
        <f>ROUND($GS213*(VLOOKUP($S213,各项系数!$D$1:$F$143,2,0))+$E$3*GS213,GT213)</f>
        <v>1</v>
      </c>
      <c r="GV213" s="406">
        <f>各项系数!$F$76/4*($MT213^2-$MS213^2)*10^-2*(VLOOKUP($GV$9,各项系数!$D$1:$F$143,3,0))*10^-3*10^2*各项系数!$J$4*PI()/4*R213</f>
        <v>0.0149866831836256</v>
      </c>
      <c r="GW213" s="389">
        <v>1</v>
      </c>
      <c r="GX213" s="390">
        <f t="shared" si="910"/>
        <v>0.0149866831836256</v>
      </c>
      <c r="GY213" s="390">
        <f>$GX213*(VLOOKUP($GV$9,各项系数!$D$1:$F$143,2,0))</f>
        <v>1.01160111489473</v>
      </c>
      <c r="GZ213" s="406">
        <f>各项系数!$F$76/4*($MV213^2-$MS213^2)*10^-2*(VLOOKUP($GZ$9,各项系数!$D$1:$F$143,3,0))*10^-3*10^2*各项系数!$J$4</f>
        <v>0.101566246454498</v>
      </c>
      <c r="HA213" s="389">
        <v>1</v>
      </c>
      <c r="HB213" s="390">
        <f t="shared" si="1012"/>
        <v>0.101566246454498</v>
      </c>
      <c r="HC213" s="390">
        <f>HB213*(VLOOKUP($GZ$9,各项系数!$D$1:$F$143,2,0))</f>
        <v>1.72662618972646</v>
      </c>
      <c r="HD213" s="406">
        <f>各项系数!$F$76/4*($MW213^2-$MT213^2)*10^-2*(VLOOKUP($HD$9,各项系数!$D$1:$F$143,3,0))*10^-3*10^2*各项系数!$J$4</f>
        <v>0.102871615901176</v>
      </c>
      <c r="HE213" s="389">
        <v>1</v>
      </c>
      <c r="HF213" s="390">
        <f t="shared" si="1013"/>
        <v>0.102871615901176</v>
      </c>
      <c r="HG213" s="390">
        <f>HF213*(VLOOKUP($HD$9,各项系数!$D$1:$F$143,2,0))</f>
        <v>1.74881747031999</v>
      </c>
      <c r="HH213" s="406">
        <f>各项系数!$F$76/4*($MV213^2-$MS213^2)*10^-2*(VLOOKUP($HH$9,各项系数!$D$1:$F$143,3,0))*10^-3*10^2*各项系数!$J$4</f>
        <v>0.101566246454498</v>
      </c>
      <c r="HI213" s="420">
        <v>1</v>
      </c>
      <c r="HJ213" s="390">
        <f t="shared" si="1014"/>
        <v>0.101566246454498</v>
      </c>
      <c r="HK213" s="390">
        <f>HJ213*(VLOOKUP($HH$9,各项系数!$D$1:$F$143,2,0))</f>
        <v>1.72662618972646</v>
      </c>
      <c r="HL213" s="406">
        <f>各项系数!$F$76/4*($MW213^2-$MT213^2)*10^-2*(VLOOKUP($HL$9,各项系数!$D$1:$F$143,3,0))*10^-3*10^2*各项系数!$J$4</f>
        <v>0.102871615901176</v>
      </c>
      <c r="HM213" s="420">
        <v>1</v>
      </c>
      <c r="HN213" s="390">
        <f t="shared" si="964"/>
        <v>0.102871615901176</v>
      </c>
      <c r="HO213" s="390">
        <f>HN213*(VLOOKUP($HL$9,各项系数!$D$1:$F$143,2,0))</f>
        <v>1.74881747031999</v>
      </c>
      <c r="HP213" s="406">
        <f>各项系数!$F$76/4*($MV213^2-$MS213^2)*10^-2*(VLOOKUP(AN213,各项系数!$D$1:$F$143,3,0))*10^-3*10^2*各项系数!$J$4</f>
        <v>0.102967160198698</v>
      </c>
      <c r="HQ213" s="389">
        <v>1</v>
      </c>
      <c r="HR213" s="390">
        <f t="shared" si="911"/>
        <v>0.102967160198698</v>
      </c>
      <c r="HS213" s="390">
        <f>HR213*(VLOOKUP(AN213,各项系数!$D$1:$F$143,2,0))</f>
        <v>1.02967160198698</v>
      </c>
      <c r="HT213" s="406">
        <f>各项系数!$F$76/4*($MW213^2-$MT213^2)*10^-2*(VLOOKUP(AN213,各项系数!$D$1:$F$143,3,0))*10^-3*10^2*各项系数!$J$4</f>
        <v>0.104290534741192</v>
      </c>
      <c r="HU213" s="389">
        <v>1</v>
      </c>
      <c r="HV213" s="390">
        <f t="shared" si="912"/>
        <v>0.104290534741192</v>
      </c>
      <c r="HW213" s="390">
        <f>HV213*(VLOOKUP(AN213,各项系数!$D$1:$F$143,2,0))</f>
        <v>1.04290534741192</v>
      </c>
      <c r="HX213" s="406">
        <f>各项系数!$F$76/4*($MV213^2-$MS213^2)*10^-2*(VLOOKUP($HX$9,各项系数!$D$1:$F$143,3,0))*10^-3*10^2*各项系数!$J$4</f>
        <v>0.102967160198698</v>
      </c>
      <c r="HY213" s="420">
        <v>1</v>
      </c>
      <c r="HZ213" s="390">
        <f t="shared" si="913"/>
        <v>0.102967160198698</v>
      </c>
      <c r="IA213" s="390">
        <f>HZ213*(VLOOKUP($HX$9,各项系数!$D$1:$F$143,2,0))</f>
        <v>1.13263876218567</v>
      </c>
      <c r="IB213" s="406">
        <f>各项系数!$F$76/4*($MW213^2-$MT213^2)*10^-2*(VLOOKUP($IB$9,各项系数!$D$1:$F$143,3,0))*10^-3*10^2*各项系数!$J$4</f>
        <v>0.104290534741192</v>
      </c>
      <c r="IC213" s="420">
        <v>1</v>
      </c>
      <c r="ID213" s="390">
        <f t="shared" si="914"/>
        <v>0.104290534741192</v>
      </c>
      <c r="IE213" s="390">
        <f>ID213*(VLOOKUP($IB$9,各项系数!$D$1:$F$143,2,0))</f>
        <v>1.14719588215311</v>
      </c>
      <c r="IF213" s="429"/>
      <c r="IG213" s="406">
        <f t="shared" si="1015"/>
        <v>0.0195447041512132</v>
      </c>
      <c r="IH213" s="389">
        <v>1</v>
      </c>
      <c r="II213" s="390">
        <f t="shared" si="915"/>
        <v>0.0195447041512132</v>
      </c>
      <c r="IJ213" s="390">
        <f>II213*(VLOOKUP($IG$8,各项系数!$D$1:$F$143,2,0))</f>
        <v>0.488617603780331</v>
      </c>
      <c r="IK213" s="406">
        <f>(各项系数!$F$76/4*($MX213^2-$MK213^2)*$EG213)*10^-2*(VLOOKUP($IG$8,各项系数!$D$1:$F$143,3,0))*10^-3*10^2*各项系数!$J$4</f>
        <v>0.0125511756747738</v>
      </c>
      <c r="IL213" s="389">
        <f>IK213*(VLOOKUP($IG$8,各项系数!$D$1:$F$143,2,0))</f>
        <v>0.313779391869344</v>
      </c>
      <c r="IM213" s="390">
        <f>(各项系数!$F$76/4*(($MM213+3*$X213)^2-MM213^2)*$EO213)*10^-2*(VLOOKUP($IG$8,各项系数!$D$1:$F$143,3,0))*10^-3*10^2*各项系数!$J$4</f>
        <v>0.00699352847643947</v>
      </c>
      <c r="IN213" s="389">
        <f>IM213*(VLOOKUP($IG$8,各项系数!$D$1:$F$143,2,0))</f>
        <v>0.174838211910987</v>
      </c>
      <c r="IO213" s="406">
        <f>各项系数!$F$76/4*($MZ213^2-$MX213^2)*10^-2*(VLOOKUP(L213,各项系数!$D$1:$F$143,3,0))*10^-3*10^2*$ES213*各项系数!$J$4</f>
        <v>0.0478287496487605</v>
      </c>
      <c r="IP213" s="389">
        <v>1</v>
      </c>
      <c r="IQ213" s="390">
        <f t="shared" si="916"/>
        <v>0.0478287496487605</v>
      </c>
      <c r="IR213" s="367">
        <f>IQ213*(VLOOKUP(L213,各项系数!$D$1:$F$143,2,0))</f>
        <v>0.550030620960746</v>
      </c>
      <c r="IS213" s="406">
        <f>IF($L213&lt;&gt;$IS$9,0,各项系数!$F$76/4*($MZ213^2-$MX213^2)*10^-2*各项系数!$F$12*10^-3*10^2)*$ES213*各项系数!$J$4</f>
        <v>0</v>
      </c>
      <c r="IT213" s="389">
        <v>1</v>
      </c>
      <c r="IU213" s="390">
        <f t="shared" si="917"/>
        <v>0</v>
      </c>
      <c r="IV213" s="367">
        <f>IU213*各项系数!$E$12</f>
        <v>0</v>
      </c>
      <c r="IW213" s="388">
        <f t="shared" si="918"/>
        <v>0.0478287496487605</v>
      </c>
      <c r="IX213" s="388">
        <f t="shared" si="919"/>
        <v>0.550030620960746</v>
      </c>
      <c r="IY213" s="447">
        <f>各项系数!$F$76/4*($NB213^2-$MZ213^2*$EG213-$NA213^2*$EO213)*10^-2</f>
        <v>0.358554200588699</v>
      </c>
      <c r="IZ213" s="366">
        <f t="shared" si="697"/>
        <v>1</v>
      </c>
      <c r="JA213" s="367">
        <f t="shared" si="965"/>
        <v>0.358554200588699</v>
      </c>
      <c r="JB213" s="364">
        <f>IF($DE213&lt;&gt;$JB$9,0,$JA213*各项系数!$F$32*10^-3*10^2)*各项系数!$J$4</f>
        <v>0</v>
      </c>
      <c r="JC213" s="123">
        <v>1</v>
      </c>
      <c r="JD213" s="251">
        <f t="shared" si="920"/>
        <v>0</v>
      </c>
      <c r="JE213" s="339">
        <f>JD213*各项系数!$E$32</f>
        <v>0</v>
      </c>
      <c r="JF213" s="364">
        <f>IF($DE213&lt;&gt;$JF$9,0,$JA213*VLOOKUP($JF$9,各项系数!$D$4:$F$540,2,0)*10^-3*10^2)*各项系数!$J$4</f>
        <v>0.178380714792878</v>
      </c>
      <c r="JG213" s="123">
        <v>1</v>
      </c>
      <c r="JH213" s="251">
        <f t="shared" si="966"/>
        <v>0.178380714792878</v>
      </c>
      <c r="JI213" s="339">
        <f>JH213*VLOOKUP($JF$9,各项系数!$D$4:$F$540,3,0)</f>
        <v>0.214056857751453</v>
      </c>
      <c r="JJ213" s="364">
        <f t="shared" si="921"/>
        <v>0.178380714792878</v>
      </c>
      <c r="JK213" s="251">
        <f t="shared" si="922"/>
        <v>0.214056857751453</v>
      </c>
      <c r="JL213" s="364">
        <f>IF($DF213&lt;&gt;$JL$9,0,各项系数!$F$76/4*($NE213^2-$NC213^2)*10^-2*各项系数!$F$39*10^-3*10^2)*各项系数!$J$4</f>
        <v>0.001374356227871</v>
      </c>
      <c r="JM213" s="123">
        <v>1</v>
      </c>
      <c r="JN213" s="251">
        <f t="shared" si="923"/>
        <v>0.001374356227871</v>
      </c>
      <c r="JO213" s="339">
        <f>JN213*各项系数!$E$39</f>
        <v>0.0274871245574199</v>
      </c>
      <c r="JP213" s="364">
        <f>IF($DF213&lt;&gt;$JP$9,0,各项系数!$F$76/4*($NE213^2-$NC213^2)*10^-2*各项系数!$F$36*10^-3*10^2)*各项系数!$J$4</f>
        <v>0</v>
      </c>
      <c r="JQ213" s="123">
        <v>1</v>
      </c>
      <c r="JR213" s="251">
        <f t="shared" si="924"/>
        <v>0</v>
      </c>
      <c r="JS213" s="339">
        <f>JR213*各项系数!$E$36</f>
        <v>0</v>
      </c>
      <c r="JT213" s="364">
        <f>IF($DF213&lt;&gt;$JT$9,0,各项系数!$F$76/4*($NE213^2-$NC213^2)*10^-2*各项系数!$F$40*10^-3*10^2)*各项系数!$J$4</f>
        <v>0</v>
      </c>
      <c r="JU213" s="123">
        <v>1</v>
      </c>
      <c r="JV213" s="251">
        <f t="shared" si="925"/>
        <v>0</v>
      </c>
      <c r="JW213" s="339">
        <f>JV213*各项系数!$E$40</f>
        <v>0</v>
      </c>
      <c r="JX213" s="364">
        <f>IF($DF213&lt;&gt;$JX$9,0,各项系数!$F$76/4*($NE213^2-$NC213^2)*10^-2*各项系数!$F$38*10^-3*10^2)*各项系数!$J$4</f>
        <v>0</v>
      </c>
      <c r="JY213" s="123">
        <v>1</v>
      </c>
      <c r="JZ213" s="251">
        <f t="shared" si="926"/>
        <v>0</v>
      </c>
      <c r="KA213" s="339">
        <f>JZ213*各项系数!$E$38</f>
        <v>0</v>
      </c>
      <c r="KB213" s="364">
        <f>IF($DF213&lt;&gt;$KB$9,0,各项系数!$F$76/4*($NE213^2-$NC213^2)*10^-2*各项系数!$F$41*10^-3*10^2)*各项系数!$J$4</f>
        <v>0</v>
      </c>
      <c r="KC213" s="123">
        <v>1</v>
      </c>
      <c r="KD213" s="251">
        <f t="shared" si="927"/>
        <v>0</v>
      </c>
      <c r="KE213" s="339">
        <f>KD213*各项系数!$E$41</f>
        <v>0</v>
      </c>
      <c r="KF213" s="251">
        <f t="shared" si="928"/>
        <v>0.001374356227871</v>
      </c>
      <c r="KG213" s="251">
        <f t="shared" si="929"/>
        <v>0.0274871245574199</v>
      </c>
      <c r="KH213" s="302">
        <f>各项系数!$F$76/4*($NG213^2-$NE213^2)*10^-2*各项系数!$F$44*10^-3*10^2*各项系数!$J$4*0.75*$U213</f>
        <v>0.569053251186256</v>
      </c>
      <c r="KI213" s="123">
        <v>1</v>
      </c>
      <c r="KJ213" s="251">
        <f t="shared" si="930"/>
        <v>0.569053251186256</v>
      </c>
      <c r="KK213" s="251">
        <f>ROUND(KJ213*各项系数!$E$43,GT213)</f>
        <v>3.3</v>
      </c>
      <c r="KL213" s="302">
        <f>各项系数!$F$76/4*($NF213^2-$NE213^2)*10^-2*各项系数!$F$46*10^-3*10^2*各项系数!$J$4*PI()/4*R213</f>
        <v>0.0173389504058613</v>
      </c>
      <c r="KM213" s="123">
        <v>1</v>
      </c>
      <c r="KN213" s="251">
        <f t="shared" si="931"/>
        <v>0.0173389504058613</v>
      </c>
      <c r="KO213" s="251">
        <f>KN213*各项系数!$E$46</f>
        <v>1.17037915239564</v>
      </c>
      <c r="KP213" s="302">
        <f>各项系数!$F$76/4*($NH213^2-$NE213^2)*10^-2*(VLOOKUP($KP$9,各项系数!$D$1:$F$143,3,0))*10^-3*10^2*各项系数!$J$4</f>
        <v>0.115305259880788</v>
      </c>
      <c r="KQ213" s="123">
        <v>1</v>
      </c>
      <c r="KR213" s="251">
        <f t="shared" si="1016"/>
        <v>0.115305259880788</v>
      </c>
      <c r="KS213" s="251">
        <f>KR213*(VLOOKUP($KP$9,各项系数!$D$1:$F$143,2,0))</f>
        <v>1.96018941797339</v>
      </c>
      <c r="KT213" s="302">
        <f>各项系数!$F$76/4*($NI213^2-$NF213^2)*10^-2*(VLOOKUP($KT$9,各项系数!$D$1:$F$143,3,0))*10^-3*10^2*各项系数!$J$4</f>
        <v>0.116610629327466</v>
      </c>
      <c r="KU213" s="123">
        <v>1</v>
      </c>
      <c r="KV213" s="251">
        <f t="shared" si="1017"/>
        <v>0.116610629327466</v>
      </c>
      <c r="KW213" s="251">
        <f>KV213*(VLOOKUP($KT$9,各项系数!$D$1:$F$143,2,0))</f>
        <v>1.98238069856693</v>
      </c>
      <c r="KX213" s="251">
        <f>各项系数!$F$76/4*($NH213^2-$NE213^2)*10^-2*(VLOOKUP($KX$9,各项系数!$D$1:$F$143,3,0))*10^-3*10^2*各项系数!$J$4</f>
        <v>0.115305259880788</v>
      </c>
      <c r="KY213" s="479">
        <v>1</v>
      </c>
      <c r="KZ213" s="251">
        <f t="shared" si="1018"/>
        <v>0.115305259880788</v>
      </c>
      <c r="LA213" s="251">
        <f>KZ213*(VLOOKUP($KX$9,各项系数!$D$1:$F$143,2,0))</f>
        <v>1.96018941797339</v>
      </c>
      <c r="LB213" s="251">
        <f>各项系数!$F$76/4*($NI213^2-$NF213^2)*10^-2*(VLOOKUP($LB$9,各项系数!$D$1:$F$143,3,0))*10^-3*10^2*各项系数!$J$4</f>
        <v>0.116610629327466</v>
      </c>
      <c r="LC213" s="479">
        <v>1</v>
      </c>
      <c r="LD213" s="251">
        <f t="shared" si="1019"/>
        <v>0.116610629327466</v>
      </c>
      <c r="LE213" s="251">
        <f>LD213*(VLOOKUP($LB$9,各项系数!$D$1:$F$143,2,0))</f>
        <v>1.98238069856693</v>
      </c>
      <c r="LF213" s="302">
        <f>各项系数!$F$76/4*($NH213^2-$NE213^2)*10^-2*(VLOOKUP(AN213,各项系数!$D$1:$F$143,3,0))*10^-3*10^2*各项系数!$J$4</f>
        <v>0.116895677258454</v>
      </c>
      <c r="LG213" s="123">
        <v>1</v>
      </c>
      <c r="LH213" s="251">
        <f t="shared" si="932"/>
        <v>0.116895677258454</v>
      </c>
      <c r="LI213" s="251">
        <f>LH213*(VLOOKUP(AN213,各项系数!$D$1:$F$143,2,0))</f>
        <v>1.16895677258454</v>
      </c>
      <c r="LJ213" s="302">
        <f>各项系数!$F$76/4*($NI213^2-$NF213^2)*10^-2*(VLOOKUP(AN213,各项系数!$D$1:$F$143,3,0))*10^-3*10^2*各项系数!$J$4</f>
        <v>0.118219051800949</v>
      </c>
      <c r="LK213" s="123">
        <v>1</v>
      </c>
      <c r="LL213" s="251">
        <f t="shared" si="933"/>
        <v>0.118219051800949</v>
      </c>
      <c r="LM213" s="251">
        <f>LL213*(VLOOKUP(AN213,各项系数!$D$1:$F$143,2,0))</f>
        <v>1.18219051800949</v>
      </c>
      <c r="LN213" s="251">
        <f>各项系数!$F$76/4*($NH213^2-$NE213^2)*10^-2*(VLOOKUP($LN$9,各项系数!$D$1:$F$143,3,0))*10^-3*10^2*各项系数!$J$4</f>
        <v>0.116895677258454</v>
      </c>
      <c r="LO213" s="479">
        <v>1</v>
      </c>
      <c r="LP213" s="251">
        <f t="shared" si="934"/>
        <v>0.116895677258454</v>
      </c>
      <c r="LQ213" s="251">
        <f>LP213*(VLOOKUP($LN$9,各项系数!$D$1:$F$143,2,0))</f>
        <v>1.28585244984299</v>
      </c>
      <c r="LR213" s="251">
        <f>各项系数!$F$76/4*($NI213^2-$NF213^2)*10^-2*(VLOOKUP($LR$9,各项系数!$D$1:$F$143,3,0))*10^-3*10^2*各项系数!$J$4</f>
        <v>0.118219051800949</v>
      </c>
      <c r="LS213" s="479">
        <v>1</v>
      </c>
      <c r="LT213" s="251">
        <f t="shared" si="935"/>
        <v>0.118219051800949</v>
      </c>
      <c r="LU213" s="251">
        <f>LT213*(VLOOKUP($LR$9,各项系数!$D$1:$F$143,2,0))</f>
        <v>1.30040956981043</v>
      </c>
      <c r="LV213" s="499">
        <f t="shared" si="1020"/>
        <v>16.85060994</v>
      </c>
      <c r="LW213" s="499">
        <f t="shared" si="1021"/>
        <v>16.85060994</v>
      </c>
      <c r="LX213" s="499">
        <f t="shared" si="1022"/>
        <v>4.63193943489284</v>
      </c>
      <c r="LY213" s="515">
        <f t="shared" si="1023"/>
        <v>0</v>
      </c>
      <c r="LZ213" s="516">
        <f t="shared" si="967"/>
        <v>1</v>
      </c>
      <c r="MA213" s="517">
        <f t="shared" si="968"/>
        <v>16.85060994</v>
      </c>
      <c r="MB213" s="517">
        <f t="shared" si="1024"/>
        <v>2.67425148</v>
      </c>
      <c r="MC213" s="499">
        <f t="shared" si="1025"/>
        <v>7.50540544</v>
      </c>
      <c r="MD213" s="499">
        <f t="shared" si="1026"/>
        <v>7.50540546</v>
      </c>
      <c r="ME213" s="499">
        <f t="shared" si="1027"/>
        <v>3.0913070101404</v>
      </c>
      <c r="MF213" s="499">
        <f t="shared" si="1028"/>
        <v>-2.0000000766629e-8</v>
      </c>
      <c r="MG213" s="516">
        <f t="shared" si="1029"/>
        <v>1</v>
      </c>
      <c r="MH213" s="517">
        <f t="shared" si="969"/>
        <v>7.50540544</v>
      </c>
      <c r="MI213" s="517">
        <f t="shared" si="1030"/>
        <v>2.18588414668738</v>
      </c>
      <c r="MJ213" s="251">
        <f t="shared" si="970"/>
        <v>2.67425148</v>
      </c>
      <c r="MK213" s="251">
        <f t="shared" si="1031"/>
        <v>2.67425148</v>
      </c>
      <c r="ML213" s="251">
        <f t="shared" si="936"/>
        <v>2.18588414706449</v>
      </c>
      <c r="MM213" s="251">
        <f t="shared" si="971"/>
        <v>2.18588414668738</v>
      </c>
      <c r="MN213" s="251">
        <f t="shared" si="972"/>
        <v>4.07425148</v>
      </c>
      <c r="MO213" s="251">
        <f t="shared" si="1032"/>
        <v>3.58588414668738</v>
      </c>
      <c r="MP213" s="251">
        <f t="shared" si="1033"/>
        <v>10.47304228</v>
      </c>
      <c r="MQ213" s="251">
        <f t="shared" si="937"/>
        <v>10.47304228</v>
      </c>
      <c r="MR213" s="314">
        <f t="shared" si="1034"/>
        <v>10.47304228</v>
      </c>
      <c r="MS213" s="530">
        <f t="shared" si="973"/>
        <v>10.64904228</v>
      </c>
      <c r="MT213" s="530">
        <f t="shared" si="974"/>
        <v>10.80904228</v>
      </c>
      <c r="MU213" s="530">
        <f t="shared" si="975"/>
        <v>11.84904228</v>
      </c>
      <c r="MV213" s="530">
        <f t="shared" si="976"/>
        <v>14.24904228</v>
      </c>
      <c r="MW213" s="530">
        <f t="shared" si="977"/>
        <v>14.40904228</v>
      </c>
      <c r="MX213" s="326">
        <f t="shared" si="978"/>
        <v>3.27425148</v>
      </c>
      <c r="MY213" s="326">
        <f t="shared" si="979"/>
        <v>2.78588414668738</v>
      </c>
      <c r="MZ213" s="251">
        <f t="shared" si="980"/>
        <v>4.67425148</v>
      </c>
      <c r="NA213" s="251">
        <f t="shared" si="981"/>
        <v>4.18588414668738</v>
      </c>
      <c r="NB213" s="251">
        <f t="shared" si="1035"/>
        <v>12.09304228</v>
      </c>
      <c r="NC213" s="326">
        <f t="shared" si="938"/>
        <v>12.09304228</v>
      </c>
      <c r="ND213" s="314">
        <f t="shared" si="1036"/>
        <v>12.09304228</v>
      </c>
      <c r="NE213" s="537">
        <f t="shared" si="1037"/>
        <v>12.33304228</v>
      </c>
      <c r="NF213" s="530">
        <f t="shared" si="982"/>
        <v>12.49304228</v>
      </c>
      <c r="NG213" s="538">
        <f t="shared" si="983"/>
        <v>13.53304228</v>
      </c>
      <c r="NH213" s="326">
        <f t="shared" si="984"/>
        <v>15.93304228</v>
      </c>
      <c r="NI213" s="530">
        <f t="shared" si="985"/>
        <v>16.09304228</v>
      </c>
      <c r="NK213" s="539">
        <f t="shared" si="986"/>
        <v>0.405477262837432</v>
      </c>
      <c r="NL213" s="539">
        <f t="shared" si="987"/>
        <v>15.8740906898321</v>
      </c>
      <c r="NM213" s="539">
        <f t="shared" si="988"/>
        <v>0.405477262837432</v>
      </c>
      <c r="NN213" s="539">
        <f t="shared" si="989"/>
        <v>15.9770578500308</v>
      </c>
      <c r="NO213" s="539">
        <f t="shared" si="990"/>
        <v>0.586460082481404</v>
      </c>
      <c r="NP213" s="539">
        <f t="shared" si="991"/>
        <v>16.7354612426846</v>
      </c>
      <c r="NQ213" s="539">
        <f t="shared" si="992"/>
        <v>0.586460082481404</v>
      </c>
      <c r="NR213" s="539">
        <f t="shared" si="993"/>
        <v>16.852356919943</v>
      </c>
      <c r="NS213" s="539">
        <f t="shared" si="994"/>
        <v>0.420463946021058</v>
      </c>
      <c r="NT213" s="539">
        <f t="shared" si="995"/>
        <v>0.420463946021058</v>
      </c>
      <c r="NU213" s="539">
        <f t="shared" si="996"/>
        <v>0.603799032887265</v>
      </c>
      <c r="NV213" s="539">
        <f t="shared" si="997"/>
        <v>0.603799032887265</v>
      </c>
      <c r="NW213">
        <f t="shared" si="998"/>
        <v>0.570463039671107</v>
      </c>
      <c r="NX213">
        <f>各项系数!$M$9*NK213</f>
        <v>0.12164317885123</v>
      </c>
      <c r="NY213">
        <f t="shared" si="999"/>
        <v>0.420463946021058</v>
      </c>
    </row>
    <row r="214" customHeight="1" spans="1:389">
      <c r="A214" s="85"/>
      <c r="B214" s="86"/>
      <c r="C214" s="218"/>
      <c r="D214" s="85" t="s">
        <v>318</v>
      </c>
      <c r="E214" s="77">
        <f t="shared" si="885"/>
        <v>14.51276064</v>
      </c>
      <c r="F214" s="225">
        <f>$F$19</f>
        <v>267.425148012862</v>
      </c>
      <c r="G214" s="23"/>
      <c r="H214" s="23"/>
      <c r="I214" s="174">
        <f>$F$18</f>
        <v>218.588414706449</v>
      </c>
      <c r="J214" s="23"/>
      <c r="K214" s="23"/>
      <c r="L214" s="118" t="s">
        <v>469</v>
      </c>
      <c r="M214" s="124">
        <f t="shared" si="940"/>
        <v>0.7</v>
      </c>
      <c r="N214" s="124">
        <f t="shared" si="1038"/>
        <v>0.7</v>
      </c>
      <c r="O214" s="69">
        <f t="shared" si="1039"/>
        <v>0.08</v>
      </c>
      <c r="P214" s="120">
        <v>0.1</v>
      </c>
      <c r="Q214" s="162">
        <f t="shared" si="941"/>
        <v>0.1</v>
      </c>
      <c r="R214" s="560">
        <v>0.8</v>
      </c>
      <c r="S214" s="171" t="str">
        <f>各项系数!$D$43</f>
        <v>钢带</v>
      </c>
      <c r="T214" s="123">
        <v>0.2</v>
      </c>
      <c r="U214" s="78">
        <v>4</v>
      </c>
      <c r="V214" s="172"/>
      <c r="W214" s="170">
        <f>$W$202</f>
        <v>1.8</v>
      </c>
      <c r="X214" s="164">
        <f t="shared" si="942"/>
        <v>0.2</v>
      </c>
      <c r="Y214" s="219"/>
      <c r="Z214" s="220"/>
      <c r="AA214" s="217">
        <v>1</v>
      </c>
      <c r="AB214" s="186">
        <f>PI()*EJ214*EJ214/4*EH214*(1-H214)*AA214*各项系数!$F$5*各项系数!$J$4*10^-7</f>
        <v>0.0496843042710297</v>
      </c>
      <c r="AC214" s="186">
        <f t="shared" si="886"/>
        <v>267.425148012862</v>
      </c>
      <c r="AD214" s="186">
        <f t="shared" si="943"/>
        <v>5.61686998219778</v>
      </c>
      <c r="AE214" s="186">
        <f>POWER(4*EU214/PI()/EG214/10^-7/EH214/(1-H214)/各项系数!$F$5/各项系数!$J$4,0.5)</f>
        <v>267.425148012862</v>
      </c>
      <c r="AF214" s="218">
        <f>$AA$199</f>
        <v>1</v>
      </c>
      <c r="AG214" s="85">
        <f>IF(EM214=0,0,PI()*ER214*ER214/4*EP214*(1-K214)*(1+AF214)*各项系数!$F$5*各项系数!$J$4*10^-7)</f>
        <v>0.0663894391126992</v>
      </c>
      <c r="AH214" s="85">
        <f t="shared" si="887"/>
        <v>218.588414706449</v>
      </c>
      <c r="AI214" s="85">
        <f t="shared" si="1000"/>
        <v>3.75270272129484</v>
      </c>
      <c r="AJ214" s="85">
        <f>IF(OR(EP214="",EP214=0),0,POWER(4*EW214/PI()/EO214/10^-7/EP214/(1-K214)/各项系数!$F$5/各项系数!$J$4,0.5))</f>
        <v>218.588414706449</v>
      </c>
      <c r="AK214" s="85">
        <f t="shared" si="944"/>
        <v>0.231931936640468</v>
      </c>
      <c r="AL214" s="85">
        <f t="shared" si="888"/>
        <v>17.7661310434565</v>
      </c>
      <c r="AM214" s="250">
        <f t="shared" si="889"/>
        <v>6</v>
      </c>
      <c r="AN214" s="118" t="s">
        <v>486</v>
      </c>
      <c r="AO214" s="259">
        <f>AP214+各项系数!$M$9*$NK214</f>
        <v>17.4177755328005</v>
      </c>
      <c r="AP214" s="259">
        <f>AQ214*(1+$BI214+(VLOOKUP($AM214,$A$12:$B$323,2,0))+各项系数!$J$6+各项系数!$M$5)*(1+$E$2)</f>
        <v>17.2917196087905</v>
      </c>
      <c r="AQ214" s="260">
        <f>AR214+各项系数!$L$9*$NK214</f>
        <v>17.2986390644162</v>
      </c>
      <c r="AR214" s="260">
        <f>AS214*(1+$BJ214+各项系数!$J$5+各项系数!$L$5)</f>
        <v>17.1725831404062</v>
      </c>
      <c r="AS214" s="260">
        <f t="shared" si="1001"/>
        <v>16.8358658239277</v>
      </c>
      <c r="AT214" s="259">
        <f>AU214+各项系数!$M$9*$NM214</f>
        <v>18.1434382798809</v>
      </c>
      <c r="AU214" s="259">
        <f>AV214*(1+$BI214+(VLOOKUP($AM214,$A$12:$B$323,2,0))+各项系数!$J$6+各项系数!$M$5)*(1+$E$2)</f>
        <v>18.0173823558708</v>
      </c>
      <c r="AV214" s="260">
        <f>AW214+各项系数!$L$9*$NM214</f>
        <v>18.0245921927479</v>
      </c>
      <c r="AW214" s="260">
        <f>AX214*(1+$BJ214+各项系数!$J$5+各项系数!$L$5)</f>
        <v>17.8985362687379</v>
      </c>
      <c r="AX214" s="260">
        <f t="shared" si="1002"/>
        <v>17.547584577194</v>
      </c>
      <c r="AY214" s="259">
        <f>AZ214+各项系数!$M$9*$NS214</f>
        <v>18.4972523167557</v>
      </c>
      <c r="AZ214" s="259">
        <f>BA214*(1+$BI214+(VLOOKUP($AM214,$A$12:$B$214,2,0))+各项系数!$J$6+各项系数!$M$5)*(1+$E$2)</f>
        <v>18.3665898766171</v>
      </c>
      <c r="BA214" s="260">
        <f>BB214+各项系数!$L$9*$NS214</f>
        <v>18.373939452398</v>
      </c>
      <c r="BB214" s="260">
        <f>BC214*(1+$BJ214+各项系数!$J$5+各项系数!$L$5)</f>
        <v>18.2432770122594</v>
      </c>
      <c r="BC214" s="262">
        <f t="shared" si="1003"/>
        <v>17.8855656982935</v>
      </c>
      <c r="BD214" s="259">
        <f>BE214+各项系数!$M$9*$NS214</f>
        <v>19.2320480950337</v>
      </c>
      <c r="BE214" s="259">
        <f>BF214*(1+$BI214+(VLOOKUP($AM214,$A$12:$B$214,2,0))+各项系数!$J$6+各项系数!$M$5)*(1+$E$2)</f>
        <v>19.1013856548951</v>
      </c>
      <c r="BF214" s="260">
        <f>BG214+各项系数!$L$9*$NS214</f>
        <v>19.1090292666017</v>
      </c>
      <c r="BG214" s="260">
        <f>BH214*(1+$BJ214+各项系数!$J$5+各项系数!$L$5)</f>
        <v>18.978366826463</v>
      </c>
      <c r="BH214" s="262">
        <f t="shared" si="1004"/>
        <v>18.6062419867285</v>
      </c>
      <c r="BI214" s="277">
        <v>0.01</v>
      </c>
      <c r="BJ214" s="272">
        <f>$BJ$203</f>
        <v>0</v>
      </c>
      <c r="BK214" s="123" t="s">
        <v>514</v>
      </c>
      <c r="BL214" s="259">
        <f>BM214+各项系数!$M$9*$NM214</f>
        <v>17.6943263771217</v>
      </c>
      <c r="BM214" s="259">
        <f>BN214*(1+$CF214+(VLOOKUP($AM214,$A$12:$B$323,2,0))+各项系数!$J$6+各项系数!$M$5)*(1+$E$2)</f>
        <v>17.5682704531117</v>
      </c>
      <c r="BN214" s="260">
        <f>BO214+各项系数!$L$9*$NM214</f>
        <v>17.575300573341</v>
      </c>
      <c r="BO214" s="260">
        <f>BP214*(1+$CG214+各项系数!$J$5+各项系数!$L$5)</f>
        <v>17.449244649331</v>
      </c>
      <c r="BP214" s="260">
        <f t="shared" si="1005"/>
        <v>16.9410142226514</v>
      </c>
      <c r="BQ214" s="259">
        <f>BR214+各项系数!$M$9*$NM214</f>
        <v>18.3188439353145</v>
      </c>
      <c r="BR214" s="259">
        <f>BS214*(1+$CF214+(VLOOKUP($AM214,$A$12:$B$323,2,0))+各项系数!$J$6+各项系数!$M$5)*(1+$E$2)</f>
        <v>18.1927880113045</v>
      </c>
      <c r="BS214" s="260">
        <f>BT214+各项系数!$L$9*$NM214</f>
        <v>18.2000680385199</v>
      </c>
      <c r="BT214" s="260">
        <f>BU214*(1+$CG214+各项系数!$J$5+各项系数!$L$5)</f>
        <v>18.0740121145099</v>
      </c>
      <c r="BU214" s="260">
        <f t="shared" si="1006"/>
        <v>17.547584577194</v>
      </c>
      <c r="BV214" s="259">
        <f>BW214+各项系数!$M$9*$NT214</f>
        <v>18.6633084142007</v>
      </c>
      <c r="BW214" s="259">
        <f>BX214*(1+$CF214+(VLOOKUP($AM214,$A$12:$B$214,2,0))+各项系数!$J$6+各项系数!$M$5)*(1+$E$2)</f>
        <v>18.532645974062</v>
      </c>
      <c r="BX214" s="260">
        <f>BY214+各项系数!$L$9*$NT$12</f>
        <v>18.5400619988615</v>
      </c>
      <c r="BY214" s="260">
        <f>BZ214*(1+$CG214+各项系数!$J$5+各项系数!$L$5)</f>
        <v>18.5317985957066</v>
      </c>
      <c r="BZ214" s="262">
        <f t="shared" si="945"/>
        <v>17.9920374715598</v>
      </c>
      <c r="CA214" s="259">
        <f>CB214+各项系数!$M$9*$NT214</f>
        <v>19.2956860125642</v>
      </c>
      <c r="CB214" s="259">
        <f>CC214*(1+$CF214+(VLOOKUP($AM214,$A$12:$B$214,2,0))+各项系数!$J$6+各项系数!$M$5)*(1+$E$2)</f>
        <v>19.1650235724255</v>
      </c>
      <c r="CC214" s="260">
        <f>CD214+各项系数!$L$9*$NT$12</f>
        <v>19.1726926494853</v>
      </c>
      <c r="CD214" s="260">
        <f>CE214*(1+$CG214+各项系数!$J$5+各项系数!$L$5)</f>
        <v>19.1644292463303</v>
      </c>
      <c r="CE214" s="262">
        <f t="shared" si="1007"/>
        <v>18.6062419867285</v>
      </c>
      <c r="CF214" s="277">
        <f t="shared" si="884"/>
        <v>0.01</v>
      </c>
      <c r="CG214" s="277">
        <f t="shared" si="946"/>
        <v>0.01</v>
      </c>
      <c r="CH214" s="123"/>
      <c r="CI214" s="259">
        <f>CJ214+各项系数!$M$9*$NO214</f>
        <v>18.5291671099463</v>
      </c>
      <c r="CJ214" s="259">
        <f>CK214*(1+$DC214+(VLOOKUP($AM214,$A$12:$B$323,2,0))+各项系数!$J$6+各项系数!$M$5)*(1+$E$2)+各项系数!$M$9*$NK214</f>
        <v>18.345975788452</v>
      </c>
      <c r="CK214" s="260">
        <f>CL214+各项系数!$L$9*$NO214</f>
        <v>18.2272107487415</v>
      </c>
      <c r="CL214" s="260">
        <f>CM214*(1+$DD214+各项系数!$J$5+各项系数!$L$5)</f>
        <v>18.0440194272472</v>
      </c>
      <c r="CM214" s="260">
        <f t="shared" si="947"/>
        <v>17.6902151247521</v>
      </c>
      <c r="CN214" s="259">
        <f>CO214+各项系数!$M$9*$NO214</f>
        <v>19.1128158113667</v>
      </c>
      <c r="CO214" s="259">
        <f>CP214*(1+$DC214+(VLOOKUP($AM214,$A$12:$B$323,2,0))+各项系数!$J$6+各项系数!$M$5)*(1+$E$2)+各项系数!$M$9*$NK214</f>
        <v>18.9296244898725</v>
      </c>
      <c r="CP214" s="260">
        <f>CQ214+各项系数!$L$9*$NO214</f>
        <v>18.8110930030637</v>
      </c>
      <c r="CQ214" s="260">
        <f>CR214*(1+$DD214+各项系数!$J$5+各项系数!$L$5)</f>
        <v>18.6279016815694</v>
      </c>
      <c r="CR214" s="260">
        <f t="shared" si="948"/>
        <v>18.2626487074209</v>
      </c>
      <c r="CS214" s="259">
        <f>CT214+各项系数!$M$9*$NU214</f>
        <v>19.6458878647644</v>
      </c>
      <c r="CT214" s="259">
        <f t="shared" si="949"/>
        <v>19.4573843469748</v>
      </c>
      <c r="CU214" s="260">
        <f>CV214+各项系数!$L$9*$NU214</f>
        <v>19.4651704151409</v>
      </c>
      <c r="CV214" s="260">
        <f>CW214*(1+$DD214+各项系数!$J$5+各项系数!$L$5)</f>
        <v>19.2766668973513</v>
      </c>
      <c r="CW214" s="262">
        <f t="shared" si="950"/>
        <v>18.8986930366189</v>
      </c>
      <c r="CX214" s="259">
        <f>CY214+各项系数!$M$9*$NU214</f>
        <v>20.4768087963972</v>
      </c>
      <c r="CY214" s="259">
        <f t="shared" si="951"/>
        <v>20.2883052786076</v>
      </c>
      <c r="CZ214" s="260">
        <f>DA214+各项系数!$L$9*$NU214</f>
        <v>20.2964238481469</v>
      </c>
      <c r="DA214" s="260">
        <f>DB214*(1+$DD214+各项系数!$J$5+各项系数!$L$5)</f>
        <v>20.1079203303573</v>
      </c>
      <c r="DB214" s="262">
        <f t="shared" si="952"/>
        <v>19.7136473827032</v>
      </c>
      <c r="DC214" s="277">
        <f t="shared" si="1040"/>
        <v>0.01</v>
      </c>
      <c r="DD214" s="277">
        <f t="shared" si="953"/>
        <v>0</v>
      </c>
      <c r="DE214" s="69" t="s">
        <v>498</v>
      </c>
      <c r="DF214" s="69" t="s">
        <v>513</v>
      </c>
      <c r="DG214" s="259">
        <f>DH214+各项系数!$M$9*$NQ214</f>
        <v>18.828598663901</v>
      </c>
      <c r="DH214" s="259">
        <f>DI214*(1+$EA214+(VLOOKUP($AM214,$A$12:$B$323,2,0))+各项系数!$J$6+各项系数!$M$5)*(1+$E$2)+各项系数!$M$9*$NK214</f>
        <v>18.6454073424068</v>
      </c>
      <c r="DI214" s="260">
        <f>DJ214+各项系数!$L$9*$NQ214</f>
        <v>18.526762123246</v>
      </c>
      <c r="DJ214" s="260">
        <f>DK214*(1+$EB214+各项系数!$J$5+各项系数!$L$5)</f>
        <v>18.3435708017517</v>
      </c>
      <c r="DK214" s="260">
        <f t="shared" si="954"/>
        <v>17.8092920405357</v>
      </c>
      <c r="DL214" s="259">
        <f>DM214+各项系数!$M$9*$NQ214</f>
        <v>19.5358431448904</v>
      </c>
      <c r="DM214" s="259">
        <f>DN214*(1+$EA214+(VLOOKUP($AM214,$A$12:$B$323,2,0))+各项系数!$J$6+各项系数!$M$5)*(1+$E$2)+各项系数!$M$9*$NK214</f>
        <v>19.3526518233961</v>
      </c>
      <c r="DN214" s="260">
        <f>DO214+各项系数!$L$9*$NQ214</f>
        <v>19.2342896152322</v>
      </c>
      <c r="DO214" s="260">
        <f>DP214*(1+$EB214+各项系数!$J$5+各项系数!$L$5)</f>
        <v>19.0510982937379</v>
      </c>
      <c r="DP214" s="260">
        <f t="shared" si="955"/>
        <v>18.4962119356679</v>
      </c>
      <c r="DQ214" s="259">
        <f>DR214+各项系数!$M$9*$NV214</f>
        <v>19.9587618944746</v>
      </c>
      <c r="DR214" s="259">
        <f t="shared" si="956"/>
        <v>19.770258376685</v>
      </c>
      <c r="DS214" s="260">
        <f>DT214+各项系数!$L$9*$NV214</f>
        <v>19.7781696445429</v>
      </c>
      <c r="DT214" s="260">
        <f>DU214*(1+$EB214+各项系数!$J$5+各项系数!$L$5)</f>
        <v>19.5896661267533</v>
      </c>
      <c r="DU214" s="262">
        <f t="shared" si="957"/>
        <v>19.0190933269449</v>
      </c>
      <c r="DV214" s="259">
        <f>DW214+各项系数!$M$9*$NV214</f>
        <v>20.107561488661</v>
      </c>
      <c r="DW214" s="259">
        <f t="shared" si="958"/>
        <v>19.9190579708714</v>
      </c>
      <c r="DX214" s="260">
        <f>DY214+各项系数!$L$9*$NV214</f>
        <v>19.9270287823843</v>
      </c>
      <c r="DY214" s="260">
        <f>DZ214*(1+$EB214+各项系数!$J$5+各项系数!$L$5)</f>
        <v>19.7385252645947</v>
      </c>
      <c r="DZ214" s="262">
        <f t="shared" si="959"/>
        <v>19.1636167617425</v>
      </c>
      <c r="EA214" s="277">
        <f>BI214+$EA$2</f>
        <v>0.01</v>
      </c>
      <c r="EB214" s="277">
        <f t="shared" si="960"/>
        <v>0.01</v>
      </c>
      <c r="EC214" s="302" t="str">
        <f t="shared" si="1008"/>
        <v>4+1</v>
      </c>
      <c r="ED214" s="302" t="str">
        <f t="shared" si="890"/>
        <v>4*6</v>
      </c>
      <c r="EE214" s="251">
        <f t="shared" si="891"/>
        <v>6</v>
      </c>
      <c r="EF214" s="251">
        <f>LOOKUP(EH214,{1,7,10,14,19,24,30,37,48,61},{1,"1+6","2+8","4+10","1+6+12","2+8+14","4+10+16","1+6+12+18","3+9+15+21","1+6+12+18+24"})</f>
        <v>1</v>
      </c>
      <c r="EG214" s="250">
        <f t="shared" si="961"/>
        <v>4</v>
      </c>
      <c r="EH214" s="260">
        <f>VLOOKUP(EE214,各项系数!$B$87:$C$124,2,0)</f>
        <v>1</v>
      </c>
      <c r="EI214" s="250">
        <f>IF(EH214=0,0,VLOOKUP(EH214,各项系数!$D$142:$E$195,2,0))*1</f>
        <v>1</v>
      </c>
      <c r="EJ214" s="305">
        <f t="shared" si="1009"/>
        <v>267.425148012862</v>
      </c>
      <c r="EK214" s="251" t="str">
        <f t="shared" si="892"/>
        <v>1*4</v>
      </c>
      <c r="EL214" s="251" t="str">
        <f t="shared" si="962"/>
        <v>4</v>
      </c>
      <c r="EM214" s="251">
        <f t="shared" si="893"/>
        <v>4</v>
      </c>
      <c r="EN214" s="251">
        <f>IF(EP214=0,0,LOOKUP(EP214,{1,7,10,14,19,24,30,37,48,61},{1,"1+6","2+8","4+10","1+6+12","2+8+14","4+10+16","1+6+12+18","3+9+15+21","1+6+12+18+24"}))</f>
        <v>1</v>
      </c>
      <c r="EO214" s="251" t="str">
        <f t="shared" si="894"/>
        <v>1</v>
      </c>
      <c r="EP214" s="251">
        <f>IF(EM214=0,0,IF(EM214&lt;10,1,IF(AND(EM214&gt;=10,EM214&lt;=35),7,LOOKUP(EM214,{50,70,95,120,150,185,240,300},{10,14,19,24,30,37,48,61})*1)))</f>
        <v>1</v>
      </c>
      <c r="EQ214" s="251">
        <f>IF(EP214=0,0,VLOOKUP(EP214,各项系数!$D$142:$E$195,2,0))*1</f>
        <v>1</v>
      </c>
      <c r="ER214" s="69">
        <f t="shared" si="895"/>
        <v>218.588414706449</v>
      </c>
      <c r="ES214" s="566">
        <f t="shared" si="896"/>
        <v>5</v>
      </c>
      <c r="ET214" s="251">
        <f>VLOOKUP(ES214,各项系数!$D$142:$E$195,2,0)*1</f>
        <v>2.7</v>
      </c>
      <c r="EU214" s="311">
        <f>((各项系数!$F$76/4*$EJ214^2*$EG214*$EH214*1*10^-7)*(1-$H214)*AA214)*(VLOOKUP($EY$9,各项系数!$D$4:$F$143,3,0))*各项系数!$J$4</f>
        <v>0.198737217084118</v>
      </c>
      <c r="EV214" s="312">
        <f>EU214*(VLOOKUP($EY$9,各项系数!$D$4:$F$143,2,0))</f>
        <v>13.0172877190098</v>
      </c>
      <c r="EW214" s="324">
        <f>(IF($EO214=0,0,(各项系数!$F$76/4*$ER214^2*$EO214*$EP214*1*10^-7))*(1-$K214)*$AF214)*(VLOOKUP($EY$9,各项系数!$D$4:$F$143,3,0))*各项系数!$J$4</f>
        <v>0.0331947195563496</v>
      </c>
      <c r="EX214" s="325">
        <f>EW214*(VLOOKUP($EY$9,各项系数!$D$4:$F$143,2,0))</f>
        <v>2.1742541309409</v>
      </c>
      <c r="EY214" s="251">
        <f>((各项系数!$F$76/4*$EJ214^2*$EG214*$EH214*1*10^-7)*(1-$H214)*AA214+IF($EO214=0,0,(各项系数!$F$76/4*$ER214^2*$EO214*$EP214*1*10^-7))*(1-$K214)*$AF214)*(VLOOKUP($EY$9,各项系数!$D$4:$F$143,3,0))*各项系数!$J$4</f>
        <v>0.231931936640468</v>
      </c>
      <c r="EZ214" s="123">
        <v>1</v>
      </c>
      <c r="FA214" s="251">
        <f t="shared" si="897"/>
        <v>0.231931936640468</v>
      </c>
      <c r="FB214" s="326">
        <f>FA214*(VLOOKUP($EY$9,各项系数!$D$4:$F$143,2,0))</f>
        <v>15.1915418499507</v>
      </c>
      <c r="FC214" s="327"/>
      <c r="FD214" s="302">
        <f>各项系数!$F$76/4*($MN214^2-MK214^2)*10^-2*(VLOOKUP(L214,各项系数!$D$1:$F$143,3,0))*10^-3*10^2*$EG214*各项系数!$J$4</f>
        <v>0.0324863648112937</v>
      </c>
      <c r="FE214" s="339">
        <f>FD214*VLOOKUP(L214,各项系数!$D$1:$F$143,2,0)</f>
        <v>0.373593195329877</v>
      </c>
      <c r="FF214" s="250">
        <f>各项系数!$F$76/4*($MO214^2-ML214^2)*10^-2*(VLOOKUP(L214,各项系数!$D$1:$F$143,3,0))*10^-3*10^2*$EO214*各项系数!$J$4</f>
        <v>0.0069461246241557</v>
      </c>
      <c r="FG214" s="339">
        <f>FF214*VLOOKUP(L214,各项系数!$D$1:$F$143,2,0)</f>
        <v>0.0798804331777905</v>
      </c>
      <c r="FH214" s="302">
        <f t="shared" si="1010"/>
        <v>0.0394324894354494</v>
      </c>
      <c r="FI214" s="123">
        <v>1</v>
      </c>
      <c r="FJ214" s="251">
        <f t="shared" si="898"/>
        <v>0.0394324894354494</v>
      </c>
      <c r="FK214" s="339">
        <f>FJ214*VLOOKUP(L214,各项系数!$D$1:$F$143,2,0)</f>
        <v>0.453473628507668</v>
      </c>
      <c r="FL214" s="302"/>
      <c r="FM214" s="123"/>
      <c r="FN214" s="251"/>
      <c r="FO214" s="339"/>
      <c r="FP214" s="364">
        <f t="shared" si="899"/>
        <v>0.0394324894354494</v>
      </c>
      <c r="FQ214" s="364">
        <f t="shared" si="900"/>
        <v>0.453473628507668</v>
      </c>
      <c r="FR214" s="365">
        <f>各项系数!$F$76/4*($MQ214^2-$MN214^2*$EG214-$MO214^2*$EO214)*10^-2</f>
        <v>0.282911126873248</v>
      </c>
      <c r="FS214" s="366">
        <f t="shared" si="1011"/>
        <v>1</v>
      </c>
      <c r="FT214" s="367">
        <f t="shared" si="963"/>
        <v>0.282911126873248</v>
      </c>
      <c r="FU214" s="388">
        <f>$FT214*(VLOOKUP($FT$9,各项系数!$D$1:$F$143,3,0))*10^-3*10^2*各项系数!$J$55</f>
        <v>0.0337795885486658</v>
      </c>
      <c r="FV214" s="389">
        <v>1</v>
      </c>
      <c r="FW214" s="390">
        <f t="shared" si="901"/>
        <v>0.0337795885486658</v>
      </c>
      <c r="FX214" s="367">
        <f>FW214*(VLOOKUP($FT$9,各项系数!$D$1:$F$143,2,0))</f>
        <v>0.101338765645997</v>
      </c>
      <c r="FY214" s="388">
        <f>IF($BK214&lt;&gt;$FY$9,0,各项系数!$F$76/4*($MS214^2-$MQ214^2)*10^-2*(VLOOKUP($FY$9,各项系数!$D$1:$F$143,3,0))*10^-3*10^2)*各项系数!$J$4</f>
        <v>0</v>
      </c>
      <c r="FZ214" s="389">
        <v>1</v>
      </c>
      <c r="GA214" s="390">
        <f t="shared" si="902"/>
        <v>0</v>
      </c>
      <c r="GB214" s="367">
        <f>GA214*(VLOOKUP($FY$9,各项系数!$D$1:$F$143,2,0))</f>
        <v>0</v>
      </c>
      <c r="GC214" s="388">
        <f>IF($BK214&lt;&gt;$GC$9,0,各项系数!$F$76/4*($MS214^2-$MQ214^2)*10^-2*(VLOOKUP($GC$9,各项系数!$D$1:$F$143,3,0))*10^-3*10^2)*各项系数!$J$4</f>
        <v>0.0029478753942321</v>
      </c>
      <c r="GD214" s="389">
        <v>1</v>
      </c>
      <c r="GE214" s="390">
        <f t="shared" si="903"/>
        <v>0.0029478753942321</v>
      </c>
      <c r="GF214" s="367">
        <f>GE214*(VLOOKUP($GC$9,各项系数!$D$1:$F$143,2,0))</f>
        <v>0.0380275925855941</v>
      </c>
      <c r="GG214" s="388">
        <f>IF($BK214&lt;&gt;$GG$9,0,各项系数!$F$76/4*($MS214^2-$MQ214^2)*10^-2*(VLOOKUP($GG$9,各项系数!$D$1:$F$143,3,0))*10^-3*10^2)*各项系数!$J$4</f>
        <v>0</v>
      </c>
      <c r="GH214" s="389">
        <v>1</v>
      </c>
      <c r="GI214" s="390">
        <f t="shared" si="904"/>
        <v>0</v>
      </c>
      <c r="GJ214" s="367">
        <f>GI214*(VLOOKUP($GG$9,各项系数!$D$1:$F$143,2,0))</f>
        <v>0</v>
      </c>
      <c r="GK214" s="388">
        <f>IF($BK214&lt;&gt;$GK$9,0,各项系数!$F$76/4*($MS214^2-$MQ214^2)*10^-2*(VLOOKUP($GK$9,各项系数!$D$1:$F$143,3,0))*10^-3*10^2)*各项系数!$J$4</f>
        <v>0</v>
      </c>
      <c r="GL214" s="389">
        <v>1</v>
      </c>
      <c r="GM214" s="390">
        <f t="shared" si="905"/>
        <v>0</v>
      </c>
      <c r="GN214" s="367">
        <f>GM214*(VLOOKUP($GK$9,各项系数!$D$1:$F$143,2,0))</f>
        <v>0</v>
      </c>
      <c r="GO214" s="390">
        <f t="shared" si="906"/>
        <v>0.0029478753942321</v>
      </c>
      <c r="GP214" s="390">
        <f t="shared" si="907"/>
        <v>0.0380275925855941</v>
      </c>
      <c r="GQ214" s="406">
        <f>各项系数!$F$76/4*($MU214^2-$MS214^2)*10^-2*(VLOOKUP($S214,各项系数!$D$1:$F$143,3,0))*10^-3*10^2*各项系数!$J$4</f>
        <v>0.168853641973381</v>
      </c>
      <c r="GR214" s="389">
        <v>1</v>
      </c>
      <c r="GS214" s="390">
        <f t="shared" si="908"/>
        <v>0.168853641973381</v>
      </c>
      <c r="GT214" s="390">
        <f t="shared" si="909"/>
        <v>1</v>
      </c>
      <c r="GU214" s="390">
        <f>ROUND($GS214*(VLOOKUP($S214,各项系数!$D$1:$F$143,2,0))+$E$3*GS214,GT214)</f>
        <v>1</v>
      </c>
      <c r="GV214" s="406">
        <f>各项系数!$F$76/4*($MT214^2-$MS214^2)*10^-2*(VLOOKUP($GV$9,各项系数!$D$1:$F$143,3,0))*10^-3*10^2*各项系数!$J$4*PI()/4*R214</f>
        <v>0.0153550537620874</v>
      </c>
      <c r="GW214" s="389">
        <v>1</v>
      </c>
      <c r="GX214" s="390">
        <f t="shared" si="910"/>
        <v>0.0153550537620874</v>
      </c>
      <c r="GY214" s="390">
        <f>$GX214*(VLOOKUP($GV$9,各项系数!$D$1:$F$143,2,0))</f>
        <v>1.0364661289409</v>
      </c>
      <c r="GZ214" s="406">
        <f>各项系数!$F$76/4*($MV214^2-$MS214^2)*10^-2*(VLOOKUP($GZ$9,各项系数!$D$1:$F$143,3,0))*10^-3*10^2*各项系数!$J$4</f>
        <v>0.103717808264948</v>
      </c>
      <c r="HA214" s="389">
        <v>1</v>
      </c>
      <c r="HB214" s="390">
        <f t="shared" si="1012"/>
        <v>0.103717808264948</v>
      </c>
      <c r="HC214" s="390">
        <f>HB214*(VLOOKUP($GZ$9,各项系数!$D$1:$F$143,2,0))</f>
        <v>1.76320274050412</v>
      </c>
      <c r="HD214" s="406">
        <f>各项系数!$F$76/4*($MW214^2-$MT214^2)*10^-2*(VLOOKUP($HD$9,各项系数!$D$1:$F$143,3,0))*10^-3*10^2*各项系数!$J$4</f>
        <v>0.105023177711627</v>
      </c>
      <c r="HE214" s="389">
        <v>1</v>
      </c>
      <c r="HF214" s="390">
        <f t="shared" si="1013"/>
        <v>0.105023177711627</v>
      </c>
      <c r="HG214" s="390">
        <f>HF214*(VLOOKUP($HD$9,各项系数!$D$1:$F$143,2,0))</f>
        <v>1.78539402109766</v>
      </c>
      <c r="HH214" s="406">
        <f>各项系数!$F$76/4*($MV214^2-$MS214^2)*10^-2*(VLOOKUP($HH$9,各项系数!$D$1:$F$143,3,0))*10^-3*10^2*各项系数!$J$4</f>
        <v>0.103717808264948</v>
      </c>
      <c r="HI214" s="420">
        <v>1</v>
      </c>
      <c r="HJ214" s="390">
        <f t="shared" si="1014"/>
        <v>0.103717808264948</v>
      </c>
      <c r="HK214" s="390">
        <f>HJ214*(VLOOKUP($HH$9,各项系数!$D$1:$F$143,2,0))</f>
        <v>1.76320274050412</v>
      </c>
      <c r="HL214" s="406">
        <f>各项系数!$F$76/4*($MW214^2-$MT214^2)*10^-2*(VLOOKUP($HL$9,各项系数!$D$1:$F$143,3,0))*10^-3*10^2*各项系数!$J$4</f>
        <v>0.105023177711627</v>
      </c>
      <c r="HM214" s="420">
        <v>1</v>
      </c>
      <c r="HN214" s="390">
        <f t="shared" si="964"/>
        <v>0.105023177711627</v>
      </c>
      <c r="HO214" s="390">
        <f>HN214*(VLOOKUP($HL$9,各项系数!$D$1:$F$143,2,0))</f>
        <v>1.78539402109766</v>
      </c>
      <c r="HP214" s="406">
        <f>各项系数!$F$76/4*($MV214^2-$MS214^2)*10^-2*(VLOOKUP(AN214,各项系数!$D$1:$F$143,3,0))*10^-3*10^2*各项系数!$J$4</f>
        <v>0.105148398723775</v>
      </c>
      <c r="HQ214" s="389">
        <v>1</v>
      </c>
      <c r="HR214" s="390">
        <f t="shared" si="911"/>
        <v>0.105148398723775</v>
      </c>
      <c r="HS214" s="390">
        <f>HR214*(VLOOKUP(AN214,各项系数!$D$1:$F$143,2,0))</f>
        <v>1.05148398723775</v>
      </c>
      <c r="HT214" s="406">
        <f>各项系数!$F$76/4*($MW214^2-$MT214^2)*10^-2*(VLOOKUP(AN214,各项系数!$D$1:$F$143,3,0))*10^-3*10^2*各项系数!$J$4</f>
        <v>0.10647177326627</v>
      </c>
      <c r="HU214" s="389">
        <v>1</v>
      </c>
      <c r="HV214" s="390">
        <f t="shared" si="912"/>
        <v>0.10647177326627</v>
      </c>
      <c r="HW214" s="390">
        <f>HV214*(VLOOKUP(AN214,各项系数!$D$1:$F$143,2,0))</f>
        <v>1.0647177326627</v>
      </c>
      <c r="HX214" s="406">
        <f>各项系数!$F$76/4*($MV214^2-$MS214^2)*10^-2*(VLOOKUP($HX$9,各项系数!$D$1:$F$143,3,0))*10^-3*10^2*各项系数!$J$4</f>
        <v>0.105148398723775</v>
      </c>
      <c r="HY214" s="420">
        <v>1</v>
      </c>
      <c r="HZ214" s="390">
        <f t="shared" si="913"/>
        <v>0.105148398723775</v>
      </c>
      <c r="IA214" s="390">
        <f>HZ214*(VLOOKUP($HX$9,各项系数!$D$1:$F$143,2,0))</f>
        <v>1.15663238596153</v>
      </c>
      <c r="IB214" s="406">
        <f>各项系数!$F$76/4*($MW214^2-$MT214^2)*10^-2*(VLOOKUP($IB$9,各项系数!$D$1:$F$143,3,0))*10^-3*10^2*各项系数!$J$4</f>
        <v>0.10647177326627</v>
      </c>
      <c r="IC214" s="420">
        <v>1</v>
      </c>
      <c r="ID214" s="390">
        <f t="shared" si="914"/>
        <v>0.10647177326627</v>
      </c>
      <c r="IE214" s="390">
        <f>ID214*(VLOOKUP($IB$9,各项系数!$D$1:$F$143,2,0))</f>
        <v>1.17118950592897</v>
      </c>
      <c r="IF214" s="429"/>
      <c r="IG214" s="406">
        <f t="shared" si="1015"/>
        <v>0.0202316651379181</v>
      </c>
      <c r="IH214" s="389">
        <v>1</v>
      </c>
      <c r="II214" s="390">
        <f t="shared" si="915"/>
        <v>0.0202316651379181</v>
      </c>
      <c r="IJ214" s="390">
        <f>II214*(VLOOKUP($IG$8,各项系数!$D$1:$F$143,2,0))</f>
        <v>0.505791628447952</v>
      </c>
      <c r="IK214" s="406">
        <f>(各项系数!$F$76/4*($MX214^2-$MK214^2)*$EG214)*10^-2*(VLOOKUP($IG$8,各项系数!$D$1:$F$143,3,0))*10^-3*10^2*各项系数!$J$4</f>
        <v>0.0167349008996983</v>
      </c>
      <c r="IL214" s="389">
        <f>IK214*(VLOOKUP($IG$8,各项系数!$D$1:$F$143,2,0))</f>
        <v>0.418372522492459</v>
      </c>
      <c r="IM214" s="390">
        <f>(各项系数!$F$76/4*(($MM214+3*$X214)^2-MM214^2)*$EO214)*10^-2*(VLOOKUP($IG$8,各项系数!$D$1:$F$143,3,0))*10^-3*10^2*各项系数!$J$4</f>
        <v>0.00349676423821974</v>
      </c>
      <c r="IN214" s="389">
        <f>IM214*(VLOOKUP($IG$8,各项系数!$D$1:$F$143,2,0))</f>
        <v>0.0874191059554934</v>
      </c>
      <c r="IO214" s="406">
        <f>各项系数!$F$76/4*($MZ214^2-$MX214^2)*10^-2*(VLOOKUP(L214,各项系数!$D$1:$F$143,3,0))*10^-3*10^2*$ES214*各项系数!$J$4</f>
        <v>0.0478287496487605</v>
      </c>
      <c r="IP214" s="389">
        <v>1</v>
      </c>
      <c r="IQ214" s="390">
        <f t="shared" si="916"/>
        <v>0.0478287496487605</v>
      </c>
      <c r="IR214" s="367">
        <f>IQ214*(VLOOKUP(L214,各项系数!$D$1:$F$143,2,0))</f>
        <v>0.550030620960746</v>
      </c>
      <c r="IS214" s="406">
        <f>IF($L214&lt;&gt;$IS$9,0,各项系数!$F$76/4*($MZ214^2-$MX214^2)*10^-2*各项系数!$F$12*10^-3*10^2)*$ES214*各项系数!$J$4</f>
        <v>0</v>
      </c>
      <c r="IT214" s="389">
        <v>1</v>
      </c>
      <c r="IU214" s="390">
        <f t="shared" si="917"/>
        <v>0</v>
      </c>
      <c r="IV214" s="367">
        <f>IU214*各项系数!$E$12</f>
        <v>0</v>
      </c>
      <c r="IW214" s="388">
        <f t="shared" si="918"/>
        <v>0.0478287496487605</v>
      </c>
      <c r="IX214" s="388">
        <f t="shared" si="919"/>
        <v>0.550030620960746</v>
      </c>
      <c r="IY214" s="447">
        <f>各项系数!$F$76/4*($NB214^2-$MZ214^2*$EG214-$NA214^2*$EO214)*10^-2</f>
        <v>0.375211404870186</v>
      </c>
      <c r="IZ214" s="366">
        <f t="shared" ref="IZ214" si="1041">VLOOKUP(EC214,$A$38:$B$65,2,0)</f>
        <v>1</v>
      </c>
      <c r="JA214" s="367">
        <f t="shared" si="965"/>
        <v>0.375211404870186</v>
      </c>
      <c r="JB214" s="364">
        <f>IF($DE214&lt;&gt;$JB$9,0,$JA214*各项系数!$F$32*10^-3*10^2)*各项系数!$J$4</f>
        <v>0</v>
      </c>
      <c r="JC214" s="123">
        <v>1</v>
      </c>
      <c r="JD214" s="251">
        <f t="shared" si="920"/>
        <v>0</v>
      </c>
      <c r="JE214" s="339">
        <f>JD214*各项系数!$E$32</f>
        <v>0</v>
      </c>
      <c r="JF214" s="364">
        <f>IF($DE214&lt;&gt;$JF$9,0,$JA214*VLOOKUP($JF$9,各项系数!$D$4:$F$540,2,0)*10^-3*10^2)*各项系数!$J$4</f>
        <v>0.186667673922917</v>
      </c>
      <c r="JG214" s="123">
        <v>1</v>
      </c>
      <c r="JH214" s="251">
        <f t="shared" si="966"/>
        <v>0.186667673922917</v>
      </c>
      <c r="JI214" s="339">
        <f>JH214*VLOOKUP($JF$9,各项系数!$D$4:$F$540,3,0)</f>
        <v>0.224001208707501</v>
      </c>
      <c r="JJ214" s="364">
        <f t="shared" si="921"/>
        <v>0.186667673922917</v>
      </c>
      <c r="JK214" s="251">
        <f t="shared" si="922"/>
        <v>0.224001208707501</v>
      </c>
      <c r="JL214" s="364">
        <f>IF($DF214&lt;&gt;$JL$9,0,各项系数!$F$76/4*($NE214^2-$NC214^2)*10^-2*各项系数!$F$39*10^-3*10^2)*各项系数!$J$4</f>
        <v>0.0014040329424979</v>
      </c>
      <c r="JM214" s="123">
        <v>1</v>
      </c>
      <c r="JN214" s="251">
        <f t="shared" si="923"/>
        <v>0.0014040329424979</v>
      </c>
      <c r="JO214" s="339">
        <f>JN214*各项系数!$E$39</f>
        <v>0.028080658849958</v>
      </c>
      <c r="JP214" s="364">
        <f>IF($DF214&lt;&gt;$JP$9,0,各项系数!$F$76/4*($NE214^2-$NC214^2)*10^-2*各项系数!$F$36*10^-3*10^2)*各项系数!$J$4</f>
        <v>0</v>
      </c>
      <c r="JQ214" s="123">
        <v>1</v>
      </c>
      <c r="JR214" s="251">
        <f t="shared" si="924"/>
        <v>0</v>
      </c>
      <c r="JS214" s="339">
        <f>JR214*各项系数!$E$36</f>
        <v>0</v>
      </c>
      <c r="JT214" s="364">
        <f>IF($DF214&lt;&gt;$JT$9,0,各项系数!$F$76/4*($NE214^2-$NC214^2)*10^-2*各项系数!$F$40*10^-3*10^2)*各项系数!$J$4</f>
        <v>0</v>
      </c>
      <c r="JU214" s="123">
        <v>1</v>
      </c>
      <c r="JV214" s="251">
        <f t="shared" si="925"/>
        <v>0</v>
      </c>
      <c r="JW214" s="339">
        <f>JV214*各项系数!$E$40</f>
        <v>0</v>
      </c>
      <c r="JX214" s="364">
        <f>IF($DF214&lt;&gt;$JX$9,0,各项系数!$F$76/4*($NE214^2-$NC214^2)*10^-2*各项系数!$F$38*10^-3*10^2)*各项系数!$J$4</f>
        <v>0</v>
      </c>
      <c r="JY214" s="123">
        <v>1</v>
      </c>
      <c r="JZ214" s="251">
        <f t="shared" si="926"/>
        <v>0</v>
      </c>
      <c r="KA214" s="339">
        <f>JZ214*各项系数!$E$38</f>
        <v>0</v>
      </c>
      <c r="KB214" s="364">
        <f>IF($DF214&lt;&gt;$KB$9,0,各项系数!$F$76/4*($NE214^2-$NC214^2)*10^-2*各项系数!$F$41*10^-3*10^2)*各项系数!$J$4</f>
        <v>0</v>
      </c>
      <c r="KC214" s="123">
        <v>1</v>
      </c>
      <c r="KD214" s="251">
        <f t="shared" si="927"/>
        <v>0</v>
      </c>
      <c r="KE214" s="339">
        <f>KD214*各项系数!$E$41</f>
        <v>0</v>
      </c>
      <c r="KF214" s="251">
        <f t="shared" si="928"/>
        <v>0.0014040329424979</v>
      </c>
      <c r="KG214" s="251">
        <f t="shared" si="929"/>
        <v>0.028080658849958</v>
      </c>
      <c r="KH214" s="302">
        <f>各项系数!$F$76/4*($NG214^2-$NE214^2)*10^-2*各项系数!$F$44*10^-3*10^2*各项系数!$J$4*0.75*$U214</f>
        <v>0.580656846605378</v>
      </c>
      <c r="KI214" s="123">
        <v>1</v>
      </c>
      <c r="KJ214" s="251">
        <f t="shared" si="930"/>
        <v>0.580656846605378</v>
      </c>
      <c r="KK214" s="251">
        <f>ROUND(KJ214*各项系数!$E$43,GT214)</f>
        <v>3.4</v>
      </c>
      <c r="KL214" s="302">
        <f>各项系数!$F$76/4*($NF214^2-$NE214^2)*10^-2*各项系数!$F$46*10^-3*10^2*各项系数!$J$4*PI()/4*R214</f>
        <v>0.0177073209843233</v>
      </c>
      <c r="KM214" s="123">
        <v>1</v>
      </c>
      <c r="KN214" s="251">
        <f t="shared" si="931"/>
        <v>0.0177073209843233</v>
      </c>
      <c r="KO214" s="251">
        <f>KN214*各项系数!$E$46</f>
        <v>1.19524416644182</v>
      </c>
      <c r="KP214" s="302">
        <f>各项系数!$F$76/4*($NH214^2-$NE214^2)*10^-2*(VLOOKUP($KP$9,各项系数!$D$1:$F$143,3,0))*10^-3*10^2*各项系数!$J$4</f>
        <v>0.117456821691239</v>
      </c>
      <c r="KQ214" s="123">
        <v>1</v>
      </c>
      <c r="KR214" s="251">
        <f t="shared" si="1016"/>
        <v>0.117456821691239</v>
      </c>
      <c r="KS214" s="251">
        <f>KR214*(VLOOKUP($KP$9,各项系数!$D$1:$F$143,2,0))</f>
        <v>1.99676596875106</v>
      </c>
      <c r="KT214" s="302">
        <f>各项系数!$F$76/4*($NI214^2-$NF214^2)*10^-2*(VLOOKUP($KT$9,各项系数!$D$1:$F$143,3,0))*10^-3*10^2*各项系数!$J$4</f>
        <v>0.118762191137917</v>
      </c>
      <c r="KU214" s="123">
        <v>1</v>
      </c>
      <c r="KV214" s="251">
        <f t="shared" si="1017"/>
        <v>0.118762191137917</v>
      </c>
      <c r="KW214" s="251">
        <f>KV214*(VLOOKUP($KT$9,各项系数!$D$1:$F$143,2,0))</f>
        <v>2.01895724934459</v>
      </c>
      <c r="KX214" s="251">
        <f>各项系数!$F$76/4*($NH214^2-$NE214^2)*10^-2*(VLOOKUP($KX$9,各项系数!$D$1:$F$143,3,0))*10^-3*10^2*各项系数!$J$4</f>
        <v>0.117456821691239</v>
      </c>
      <c r="KY214" s="479">
        <v>1</v>
      </c>
      <c r="KZ214" s="251">
        <f t="shared" si="1018"/>
        <v>0.117456821691239</v>
      </c>
      <c r="LA214" s="251">
        <f>KZ214*(VLOOKUP($KX$9,各项系数!$D$1:$F$143,2,0))</f>
        <v>1.99676596875106</v>
      </c>
      <c r="LB214" s="251">
        <f>各项系数!$F$76/4*($NI214^2-$NF214^2)*10^-2*(VLOOKUP($LB$9,各项系数!$D$1:$F$143,3,0))*10^-3*10^2*各项系数!$J$4</f>
        <v>0.118762191137917</v>
      </c>
      <c r="LC214" s="479">
        <v>1</v>
      </c>
      <c r="LD214" s="251">
        <f t="shared" si="1019"/>
        <v>0.118762191137917</v>
      </c>
      <c r="LE214" s="251">
        <f>LD214*(VLOOKUP($LB$9,各项系数!$D$1:$F$143,2,0))</f>
        <v>2.01895724934459</v>
      </c>
      <c r="LF214" s="302">
        <f>各项系数!$F$76/4*($NH214^2-$NE214^2)*10^-2*(VLOOKUP(AN214,各项系数!$D$1:$F$143,3,0))*10^-3*10^2*各项系数!$J$4</f>
        <v>0.119076915783532</v>
      </c>
      <c r="LG214" s="123">
        <v>1</v>
      </c>
      <c r="LH214" s="251">
        <f t="shared" si="932"/>
        <v>0.119076915783532</v>
      </c>
      <c r="LI214" s="251">
        <f>LH214*(VLOOKUP(AN214,各项系数!$D$1:$F$143,2,0))</f>
        <v>1.19076915783532</v>
      </c>
      <c r="LJ214" s="302">
        <f>各项系数!$F$76/4*($NI214^2-$NF214^2)*10^-2*(VLOOKUP(AN214,各项系数!$D$1:$F$143,3,0))*10^-3*10^2*各项系数!$J$4</f>
        <v>0.120400290326026</v>
      </c>
      <c r="LK214" s="123">
        <v>1</v>
      </c>
      <c r="LL214" s="251">
        <f t="shared" si="933"/>
        <v>0.120400290326026</v>
      </c>
      <c r="LM214" s="251">
        <f>LL214*(VLOOKUP(AN214,各项系数!$D$1:$F$143,2,0))</f>
        <v>1.20400290326026</v>
      </c>
      <c r="LN214" s="251">
        <f>各项系数!$F$76/4*($NH214^2-$NE214^2)*10^-2*(VLOOKUP($LN$9,各项系数!$D$1:$F$143,3,0))*10^-3*10^2*各项系数!$J$4</f>
        <v>0.119076915783532</v>
      </c>
      <c r="LO214" s="479">
        <v>1</v>
      </c>
      <c r="LP214" s="251">
        <f t="shared" si="934"/>
        <v>0.119076915783532</v>
      </c>
      <c r="LQ214" s="251">
        <f>LP214*(VLOOKUP($LN$9,各项系数!$D$1:$F$143,2,0))</f>
        <v>1.30984607361885</v>
      </c>
      <c r="LR214" s="251">
        <f>各项系数!$F$76/4*($NI214^2-$NF214^2)*10^-2*(VLOOKUP($LR$9,各项系数!$D$1:$F$143,3,0))*10^-3*10^2*各项系数!$J$4</f>
        <v>0.120400290326026</v>
      </c>
      <c r="LS214" s="479">
        <v>1</v>
      </c>
      <c r="LT214" s="251">
        <f t="shared" si="935"/>
        <v>0.120400290326026</v>
      </c>
      <c r="LU214" s="251">
        <f>LT214*(VLOOKUP($LR$9,各项系数!$D$1:$F$143,2,0))</f>
        <v>1.32440319358629</v>
      </c>
      <c r="LV214" s="499">
        <f t="shared" si="1020"/>
        <v>22.46747993</v>
      </c>
      <c r="LW214" s="499">
        <f t="shared" si="1021"/>
        <v>22.46747993</v>
      </c>
      <c r="LX214" s="499">
        <f t="shared" si="1022"/>
        <v>5.34850296040113</v>
      </c>
      <c r="LY214" s="515">
        <f t="shared" si="1023"/>
        <v>0</v>
      </c>
      <c r="LZ214" s="516">
        <f t="shared" si="967"/>
        <v>1</v>
      </c>
      <c r="MA214" s="517">
        <f t="shared" si="968"/>
        <v>22.46747993</v>
      </c>
      <c r="MB214" s="517">
        <f t="shared" si="1024"/>
        <v>2.67425148</v>
      </c>
      <c r="MC214" s="499">
        <f t="shared" si="1025"/>
        <v>3.75270272</v>
      </c>
      <c r="MD214" s="499">
        <f t="shared" si="1026"/>
        <v>3.75270273</v>
      </c>
      <c r="ME214" s="499">
        <f t="shared" si="1027"/>
        <v>2.18588414959979</v>
      </c>
      <c r="MF214" s="499">
        <f t="shared" si="1028"/>
        <v>-1.00000003833145e-8</v>
      </c>
      <c r="MG214" s="516">
        <f t="shared" si="1029"/>
        <v>1</v>
      </c>
      <c r="MH214" s="517">
        <f t="shared" si="969"/>
        <v>3.75270272</v>
      </c>
      <c r="MI214" s="517">
        <f t="shared" si="1030"/>
        <v>2.18588414668738</v>
      </c>
      <c r="MJ214" s="251">
        <f t="shared" si="970"/>
        <v>2.67425148</v>
      </c>
      <c r="MK214" s="251">
        <f t="shared" si="1031"/>
        <v>2.67425148</v>
      </c>
      <c r="ML214" s="251">
        <f t="shared" si="936"/>
        <v>2.18588414706449</v>
      </c>
      <c r="MM214" s="251">
        <f t="shared" si="971"/>
        <v>2.18588414668738</v>
      </c>
      <c r="MN214" s="251">
        <f t="shared" si="972"/>
        <v>4.07425148</v>
      </c>
      <c r="MO214" s="251">
        <f t="shared" si="1032"/>
        <v>3.58588414668738</v>
      </c>
      <c r="MP214" s="251">
        <f t="shared" si="1033"/>
        <v>10.73676064</v>
      </c>
      <c r="MQ214" s="251">
        <f t="shared" si="937"/>
        <v>10.73676064</v>
      </c>
      <c r="MR214" s="314">
        <f t="shared" si="1034"/>
        <v>10.73676064</v>
      </c>
      <c r="MS214" s="530">
        <f t="shared" si="973"/>
        <v>10.91276064</v>
      </c>
      <c r="MT214" s="530">
        <f t="shared" si="974"/>
        <v>11.07276064</v>
      </c>
      <c r="MU214" s="530">
        <f t="shared" si="975"/>
        <v>12.11276064</v>
      </c>
      <c r="MV214" s="530">
        <f t="shared" si="976"/>
        <v>14.51276064</v>
      </c>
      <c r="MW214" s="530">
        <f t="shared" si="977"/>
        <v>14.67276064</v>
      </c>
      <c r="MX214" s="326">
        <f t="shared" si="978"/>
        <v>3.27425148</v>
      </c>
      <c r="MY214" s="326">
        <f t="shared" si="979"/>
        <v>2.78588414668738</v>
      </c>
      <c r="MZ214" s="251">
        <f t="shared" si="980"/>
        <v>4.67425148</v>
      </c>
      <c r="NA214" s="251">
        <f t="shared" si="981"/>
        <v>4.18588414668738</v>
      </c>
      <c r="NB214" s="251">
        <f t="shared" si="1035"/>
        <v>12.35676064</v>
      </c>
      <c r="NC214" s="326">
        <f t="shared" si="938"/>
        <v>12.35676064</v>
      </c>
      <c r="ND214" s="314">
        <f t="shared" si="1036"/>
        <v>12.35676064</v>
      </c>
      <c r="NE214" s="537">
        <f t="shared" si="1037"/>
        <v>12.59676064</v>
      </c>
      <c r="NF214" s="530">
        <f t="shared" si="982"/>
        <v>12.75676064</v>
      </c>
      <c r="NG214" s="538">
        <f t="shared" si="983"/>
        <v>13.79676064</v>
      </c>
      <c r="NH214" s="326">
        <f t="shared" si="984"/>
        <v>16.19676064</v>
      </c>
      <c r="NI214" s="530">
        <f t="shared" si="985"/>
        <v>16.35676064</v>
      </c>
      <c r="NK214" s="539">
        <f t="shared" si="986"/>
        <v>0.420186413366746</v>
      </c>
      <c r="NL214" s="539">
        <f t="shared" si="987"/>
        <v>16.9157462571055</v>
      </c>
      <c r="NM214" s="539">
        <f t="shared" si="988"/>
        <v>0.420186413366746</v>
      </c>
      <c r="NN214" s="539">
        <f t="shared" si="989"/>
        <v>17.0208946558292</v>
      </c>
      <c r="NO214" s="539">
        <f t="shared" si="990"/>
        <v>0.610637738314313</v>
      </c>
      <c r="NP214" s="539">
        <f t="shared" si="991"/>
        <v>17.7776342307076</v>
      </c>
      <c r="NQ214" s="539">
        <f t="shared" si="992"/>
        <v>0.610637738314313</v>
      </c>
      <c r="NR214" s="539">
        <f t="shared" si="993"/>
        <v>17.8967111464912</v>
      </c>
      <c r="NS214" s="539">
        <f t="shared" si="994"/>
        <v>0.435541467128834</v>
      </c>
      <c r="NT214" s="539">
        <f t="shared" si="995"/>
        <v>0.435541467128834</v>
      </c>
      <c r="NU214" s="539">
        <f t="shared" si="996"/>
        <v>0.628345059298637</v>
      </c>
      <c r="NV214" s="539">
        <f t="shared" si="997"/>
        <v>0.628345059298637</v>
      </c>
      <c r="NW214">
        <f t="shared" si="998"/>
        <v>0.589040055340128</v>
      </c>
      <c r="NX214">
        <f>各项系数!$M$9*NK214</f>
        <v>0.126055924010024</v>
      </c>
      <c r="NY214">
        <f t="shared" si="999"/>
        <v>0.435541467128834</v>
      </c>
    </row>
    <row r="215" customHeight="1" spans="135:139">
      <c r="EE215" s="251"/>
      <c r="EF215" s="251"/>
      <c r="EG215" s="250"/>
      <c r="EH215" s="260"/>
      <c r="EI215" s="250"/>
    </row>
    <row r="217" customHeight="1" spans="174:174">
      <c r="FR217" s="15"/>
    </row>
  </sheetData>
  <sheetProtection sort="0" autoFilter="0" pivotTables="0"/>
  <mergeCells count="137">
    <mergeCell ref="B2:D2"/>
    <mergeCell ref="B3:D3"/>
    <mergeCell ref="ED3:FB3"/>
    <mergeCell ref="FD3:IA3"/>
    <mergeCell ref="IG3:LQ3"/>
    <mergeCell ref="MJ3:NH3"/>
    <mergeCell ref="B4:D4"/>
    <mergeCell ref="EF4:FB4"/>
    <mergeCell ref="B5:D5"/>
    <mergeCell ref="B6:D6"/>
    <mergeCell ref="F8:X8"/>
    <mergeCell ref="AN8:CG8"/>
    <mergeCell ref="EY8:FB8"/>
    <mergeCell ref="FD8:FQ8"/>
    <mergeCell ref="FT8:FX8"/>
    <mergeCell ref="FY8:GP8"/>
    <mergeCell ref="GQ8:GU8"/>
    <mergeCell ref="GV8:GY8"/>
    <mergeCell ref="GZ8:HO8"/>
    <mergeCell ref="HP8:IE8"/>
    <mergeCell ref="IG8:IJ8"/>
    <mergeCell ref="IK8:IX8"/>
    <mergeCell ref="JA8:JK8"/>
    <mergeCell ref="JL8:KG8"/>
    <mergeCell ref="KH8:KK8"/>
    <mergeCell ref="KL8:KO8"/>
    <mergeCell ref="KP8:LE8"/>
    <mergeCell ref="LF8:LU8"/>
    <mergeCell ref="MJ8:MM8"/>
    <mergeCell ref="MN8:MW8"/>
    <mergeCell ref="MX8:NH8"/>
    <mergeCell ref="NK8:NN8"/>
    <mergeCell ref="NO8:NR8"/>
    <mergeCell ref="O9:P9"/>
    <mergeCell ref="Q9:R9"/>
    <mergeCell ref="S9:V9"/>
    <mergeCell ref="X9:Z9"/>
    <mergeCell ref="AA9:AE9"/>
    <mergeCell ref="AF9:AJ9"/>
    <mergeCell ref="AN9:BJ9"/>
    <mergeCell ref="BL9:CG9"/>
    <mergeCell ref="CH9:DD9"/>
    <mergeCell ref="DG9:EB9"/>
    <mergeCell ref="ED9:EJ9"/>
    <mergeCell ref="EK9:ER9"/>
    <mergeCell ref="ES9:ET9"/>
    <mergeCell ref="EY9:FB9"/>
    <mergeCell ref="FD9:FG9"/>
    <mergeCell ref="FH9:FK9"/>
    <mergeCell ref="FL9:FO9"/>
    <mergeCell ref="FT9:FX9"/>
    <mergeCell ref="FY9:GB9"/>
    <mergeCell ref="GC9:GF9"/>
    <mergeCell ref="GG9:GJ9"/>
    <mergeCell ref="GK9:GN9"/>
    <mergeCell ref="GQ9:GU9"/>
    <mergeCell ref="GV9:GY9"/>
    <mergeCell ref="GZ9:HB9"/>
    <mergeCell ref="HD9:HF9"/>
    <mergeCell ref="HH9:HJ9"/>
    <mergeCell ref="HL9:HN9"/>
    <mergeCell ref="HP9:HS9"/>
    <mergeCell ref="HT9:HW9"/>
    <mergeCell ref="HX9:HZ9"/>
    <mergeCell ref="IB9:ID9"/>
    <mergeCell ref="IG9:IJ9"/>
    <mergeCell ref="IK9:IN9"/>
    <mergeCell ref="IO9:IR9"/>
    <mergeCell ref="IS9:IV9"/>
    <mergeCell ref="JB9:JE9"/>
    <mergeCell ref="JF9:JI9"/>
    <mergeCell ref="JL9:JO9"/>
    <mergeCell ref="JP9:JS9"/>
    <mergeCell ref="JT9:JW9"/>
    <mergeCell ref="JX9:KA9"/>
    <mergeCell ref="KB9:KE9"/>
    <mergeCell ref="KH9:KK9"/>
    <mergeCell ref="KL9:KO9"/>
    <mergeCell ref="KP9:KR9"/>
    <mergeCell ref="KT9:KV9"/>
    <mergeCell ref="KX9:KZ9"/>
    <mergeCell ref="LB9:LD9"/>
    <mergeCell ref="LF9:LI9"/>
    <mergeCell ref="LJ9:LM9"/>
    <mergeCell ref="LN9:LP9"/>
    <mergeCell ref="LR9:LT9"/>
    <mergeCell ref="LV9:LZ9"/>
    <mergeCell ref="MC9:MG9"/>
    <mergeCell ref="NK9:NL9"/>
    <mergeCell ref="NM9:NN9"/>
    <mergeCell ref="NO9:NP9"/>
    <mergeCell ref="NQ9:NR9"/>
    <mergeCell ref="F9:F10"/>
    <mergeCell ref="G9:G10"/>
    <mergeCell ref="H9:H10"/>
    <mergeCell ref="I9:I10"/>
    <mergeCell ref="J9:J10"/>
    <mergeCell ref="K9:K10"/>
    <mergeCell ref="W9:W10"/>
    <mergeCell ref="BK9:BK10"/>
    <mergeCell ref="FP9:FP10"/>
    <mergeCell ref="FQ9:FQ10"/>
    <mergeCell ref="GO9:GO10"/>
    <mergeCell ref="GP9:GP10"/>
    <mergeCell ref="IW9:IW10"/>
    <mergeCell ref="IX9:IX10"/>
    <mergeCell ref="JA9:JA10"/>
    <mergeCell ref="JJ9:JJ10"/>
    <mergeCell ref="JK9:JK10"/>
    <mergeCell ref="KF9:KF10"/>
    <mergeCell ref="KG9:KG10"/>
    <mergeCell ref="MJ9:MJ10"/>
    <mergeCell ref="MK9:MK10"/>
    <mergeCell ref="ML9:ML10"/>
    <mergeCell ref="MM9:MM10"/>
    <mergeCell ref="MN9:MN10"/>
    <mergeCell ref="MO9:MO10"/>
    <mergeCell ref="MP9:MP10"/>
    <mergeCell ref="MQ9:MQ10"/>
    <mergeCell ref="MR9:MR10"/>
    <mergeCell ref="MS9:MS10"/>
    <mergeCell ref="MT9:MT10"/>
    <mergeCell ref="MU9:MU10"/>
    <mergeCell ref="MV9:MV10"/>
    <mergeCell ref="MW9:MW10"/>
    <mergeCell ref="MX9:MX10"/>
    <mergeCell ref="MY9:MY10"/>
    <mergeCell ref="MZ9:MZ10"/>
    <mergeCell ref="NA9:NA10"/>
    <mergeCell ref="NB9:NB10"/>
    <mergeCell ref="NC9:NC10"/>
    <mergeCell ref="ND9:ND10"/>
    <mergeCell ref="NE9:NE10"/>
    <mergeCell ref="NF9:NF10"/>
    <mergeCell ref="NG9:NG10"/>
    <mergeCell ref="NH9:NH10"/>
    <mergeCell ref="NI9:NI10"/>
  </mergeCells>
  <conditionalFormatting sqref="L12:L214">
    <cfRule type="expression" dxfId="0" priority="1">
      <formula>ISNUMBER(FIND("一步法",L12))</formula>
    </cfRule>
  </conditionalFormatting>
  <dataValidations count="8">
    <dataValidation allowBlank="1" showInputMessage="1" showErrorMessage="1" sqref="IG2:IJ2 F9:K9 M9:O9 Q9 S9 JA9 MJ9:MO9 MX9:NA9 AS10 AX10 BC10 BH10 BP10 BU10 BZ10 CE10 CM10 CR10 CW10 DB10 DK10 DP10 DU10 DZ10 FR10:FT10 IY10:IZ10 G35:H35 EF215:EI215 ES215:FG215 GZ215:HB215 HD215:HF215 HL215:HN215 HP215:HR215 HT215:HV215 IB215:ID215 IG215:IN215 KP215:KR215 KT215:KV215 LF215:LH215 LJ215:LL215 MX215:ND215 I37:I48 J38:J48 K35:K48 N207:N214 O33:O35 W20:W147 X10:X214 DF10:DF11 ED10:ED11 EF233:EF65212 EI233:EI65212 EQ12:EQ215 EQ233:EQ65212 EU12:EU214 EV12:EV214 EW12:EW214 EX12:EX20 EX21:EX214 EY12:EY214 FY12:FY214 GC12:GC214 GG12:GG214 GK12:GK214 GQ12:GQ214 GV12:GV214 JL12:JL214 JP12:JP214 JT12:JT214 JX12:JX214 KB12:KB214 KH12:KH214 KL12:KL214 KX12:KX214 LB12:LB214 LN12:LN214 LR12:LR214 MX12:MX21 F49:K214 I35:J36 F36:H48 G20:K34 EN12:EO214 GZ12:HA214 HD12:HE214 HH12:HI214 HL12:HM214 HP12:HQ214 HT12:HU214 HX12:HY214 IB12:IC214 KP12:KQ214 KT12:KU214 LF12:LG214 LJ12:LK214 MJ12:MK214 FU10:GN11 IC10:IV11 HA10:HC11 HM10:HO11 HY10:IA11 KY10:LA11 LK10:LM11 HE10:HG11 HQ10:HS11 KQ10:KS11 LC10:LE11 LO10:LQ11 HI10:HK11 HU10:HW11 KU10:KW11 LG10:LI11 LS10:LU11 JB10:JI11 KH10:KO11 HD233:HF65212 HP233:HR65212 IB233:ID65212 KP233:KR65212 HT233:HV65212 KT233:KV65212 LF233:LH65212 GZ233:HB65212 HL233:HN65212 LJ233:LL65212 ES233:FG65212 EF10:FO11 ML233:MR65212 GQ10:GY11 IG233:IN65212 IG12:JA214 EF12:EL214 MX233:ND65212 ML12:MQ215 JL10:KE11 ER12:ET214 EZ12:FT20 EZ21:FT214 Y11:Z214 MY12:NB21 MX22:NB214"/>
    <dataValidation type="list" allowBlank="1" showInputMessage="1" showErrorMessage="1" sqref="S12:S214">
      <formula1>"钢带,磁性钢带"</formula1>
    </dataValidation>
    <dataValidation type="list" allowBlank="1" showInputMessage="1" showErrorMessage="1" sqref="L12:L214">
      <formula1>"纯硅烷(一步法),纯硅烷(二步法)"</formula1>
    </dataValidation>
    <dataValidation type="list" allowBlank="1" showInputMessage="1" showErrorMessage="1" sqref="DE12:DE214">
      <formula1>"填充绳(无阻燃),填充绳(阻燃),石棉绳,纤维绳"</formula1>
    </dataValidation>
    <dataValidation type="list" allowBlank="1" showInputMessage="1" showErrorMessage="1" sqref="AN12:AN214">
      <formula1>"聚氯乙烯（一代）,聚氯乙烯（二代）"</formula1>
    </dataValidation>
    <dataValidation type="list" allowBlank="1" showInputMessage="1" showErrorMessage="1" sqref="BK12:BK214">
      <formula1>"无纺布,PPD绕包带,丙带,锁带"</formula1>
    </dataValidation>
    <dataValidation type="list" allowBlank="1" showInputMessage="1" showErrorMessage="1" sqref="CH12:CH214">
      <formula1>"一代,二代"</formula1>
    </dataValidation>
    <dataValidation type="list" allowBlank="1" showInputMessage="1" showErrorMessage="1" sqref="DF12:DF214">
      <formula1>"耐火带,无纺布,PPD绕包带,丙带,锁带"</formula1>
    </dataValidation>
  </dataValidations>
  <pageMargins left="0.75" right="0.75" top="1" bottom="1" header="0.509027777777778" footer="0.509027777777778"/>
  <pageSetup paperSize="9" orientation="portrait" horizontalDpi="300" verticalDpi="300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7" name="Drop Down 7" r:id="rId3">
              <controlPr print="0" defaultSize="0">
                <anchor moveWithCells="1" sizeWithCells="1">
                  <from>
                    <xdr:col>42</xdr:col>
                    <xdr:colOff>0</xdr:colOff>
                    <xdr:row>36</xdr:row>
                    <xdr:rowOff>0</xdr:rowOff>
                  </from>
                  <to>
                    <xdr:col>43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name="Drop Down 8" r:id="rId4">
              <controlPr print="0" defaultSize="0">
                <anchor moveWithCells="1" sizeWithCells="1">
                  <from>
                    <xdr:col>43</xdr:col>
                    <xdr:colOff>0</xdr:colOff>
                    <xdr:row>36</xdr:row>
                    <xdr:rowOff>0</xdr:rowOff>
                  </from>
                  <to>
                    <xdr:col>44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name="Drop Down 9" r:id="rId5">
              <controlPr print="0" defaultSize="0">
                <anchor moveWithCells="1" sizeWithCells="1">
                  <from>
                    <xdr:col>47</xdr:col>
                    <xdr:colOff>0</xdr:colOff>
                    <xdr:row>36</xdr:row>
                    <xdr:rowOff>0</xdr:rowOff>
                  </from>
                  <to>
                    <xdr:col>48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name="Drop Down 10" r:id="rId6">
              <controlPr print="0" defaultSize="0">
                <anchor moveWithCells="1" sizeWithCells="1">
                  <from>
                    <xdr:col>48</xdr:col>
                    <xdr:colOff>0</xdr:colOff>
                    <xdr:row>36</xdr:row>
                    <xdr:rowOff>0</xdr:rowOff>
                  </from>
                  <to>
                    <xdr:col>49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AE20"/>
  <sheetViews>
    <sheetView tabSelected="1" zoomScale="85" zoomScaleNormal="85" workbookViewId="0">
      <pane xSplit="2" ySplit="5" topLeftCell="C6" activePane="bottomRight" state="frozen"/>
      <selection/>
      <selection pane="topRight"/>
      <selection pane="bottomLeft"/>
      <selection pane="bottomRight" activeCell="H28" sqref="H28"/>
    </sheetView>
  </sheetViews>
  <sheetFormatPr defaultColWidth="9" defaultRowHeight="14.25"/>
  <cols>
    <col min="2" max="2" width="13.675" customWidth="1"/>
    <col min="3" max="3" width="12.25" style="1" customWidth="1"/>
    <col min="4" max="6" width="12.625"/>
    <col min="7" max="7" width="12.25" style="1" customWidth="1"/>
    <col min="8" max="10" width="12.625"/>
    <col min="11" max="11" width="18.875" customWidth="1"/>
    <col min="12" max="16" width="13.25" customWidth="1"/>
    <col min="17" max="19" width="12.625"/>
    <col min="20" max="21" width="16" customWidth="1"/>
    <col min="22" max="22" width="16.875" style="1" customWidth="1"/>
    <col min="23" max="31" width="12.625"/>
  </cols>
  <sheetData>
    <row r="1" spans="2:2">
      <c r="B1" t="str">
        <f>TA!E10</f>
        <v>最大外径</v>
      </c>
    </row>
    <row r="2" ht="28" customHeight="1" spans="2:31">
      <c r="B2" s="2" t="s">
        <v>943</v>
      </c>
      <c r="C2" s="3" t="s">
        <v>444</v>
      </c>
      <c r="D2" s="3"/>
      <c r="E2" s="3"/>
      <c r="F2" s="3"/>
      <c r="G2" s="3"/>
      <c r="H2" s="3"/>
      <c r="I2" s="3"/>
      <c r="J2" s="3"/>
      <c r="K2" s="3"/>
      <c r="L2" s="3"/>
      <c r="M2" s="6" t="s">
        <v>466</v>
      </c>
      <c r="N2" s="6"/>
      <c r="O2" s="6"/>
      <c r="P2" s="6"/>
      <c r="Q2" s="6"/>
      <c r="R2" s="6"/>
      <c r="S2" s="6"/>
      <c r="T2" s="6"/>
      <c r="U2" s="6"/>
      <c r="V2" s="7" t="s">
        <v>720</v>
      </c>
      <c r="W2" s="7"/>
      <c r="X2" s="7"/>
      <c r="Y2" s="7"/>
      <c r="Z2" s="2" t="s">
        <v>508</v>
      </c>
      <c r="AA2" s="2"/>
      <c r="AB2" s="2"/>
      <c r="AC2" s="2" t="s">
        <v>481</v>
      </c>
      <c r="AD2" s="2"/>
      <c r="AE2" s="2"/>
    </row>
    <row r="3" ht="23" customHeight="1" spans="2:31">
      <c r="B3" s="2"/>
      <c r="C3" s="3" t="s">
        <v>944</v>
      </c>
      <c r="D3" s="4"/>
      <c r="E3" s="4"/>
      <c r="F3" s="4"/>
      <c r="G3" s="5" t="s">
        <v>945</v>
      </c>
      <c r="H3" s="6"/>
      <c r="I3" s="6"/>
      <c r="J3" s="6"/>
      <c r="K3" s="2" t="s">
        <v>946</v>
      </c>
      <c r="L3" s="2"/>
      <c r="M3" s="4" t="s">
        <v>944</v>
      </c>
      <c r="N3" s="4"/>
      <c r="O3" s="4"/>
      <c r="P3" s="10" t="s">
        <v>945</v>
      </c>
      <c r="Q3" s="10"/>
      <c r="R3" s="10"/>
      <c r="S3" s="6" t="s">
        <v>946</v>
      </c>
      <c r="T3" s="6"/>
      <c r="U3" s="6"/>
      <c r="V3" s="7"/>
      <c r="W3" s="7"/>
      <c r="X3" s="7"/>
      <c r="Y3" s="7"/>
      <c r="Z3" s="2"/>
      <c r="AA3" s="2"/>
      <c r="AB3" s="2"/>
      <c r="AC3" s="2"/>
      <c r="AD3" s="2"/>
      <c r="AE3" s="2"/>
    </row>
    <row r="4" spans="2:31">
      <c r="B4" s="2"/>
      <c r="C4" s="7" t="s">
        <v>947</v>
      </c>
      <c r="D4" s="2" t="s">
        <v>745</v>
      </c>
      <c r="E4" s="2" t="s">
        <v>703</v>
      </c>
      <c r="F4" s="2" t="s">
        <v>5</v>
      </c>
      <c r="G4" s="7" t="s">
        <v>947</v>
      </c>
      <c r="H4" s="2" t="s">
        <v>745</v>
      </c>
      <c r="I4" s="2" t="s">
        <v>703</v>
      </c>
      <c r="J4" s="2" t="s">
        <v>5</v>
      </c>
      <c r="K4" t="s">
        <v>948</v>
      </c>
      <c r="L4" t="s">
        <v>949</v>
      </c>
      <c r="M4" s="4" t="s">
        <v>745</v>
      </c>
      <c r="N4" s="4" t="s">
        <v>703</v>
      </c>
      <c r="O4" s="4" t="s">
        <v>5</v>
      </c>
      <c r="P4" s="10" t="s">
        <v>745</v>
      </c>
      <c r="Q4" s="10" t="s">
        <v>703</v>
      </c>
      <c r="R4" s="10" t="s">
        <v>5</v>
      </c>
      <c r="S4" s="11" t="s">
        <v>948</v>
      </c>
      <c r="T4" s="11" t="s">
        <v>949</v>
      </c>
      <c r="U4" s="6" t="s">
        <v>5</v>
      </c>
      <c r="V4" s="7" t="s">
        <v>749</v>
      </c>
      <c r="W4" s="12" t="s">
        <v>745</v>
      </c>
      <c r="X4" s="2" t="s">
        <v>703</v>
      </c>
      <c r="Y4" s="2" t="s">
        <v>5</v>
      </c>
      <c r="Z4" s="12" t="s">
        <v>745</v>
      </c>
      <c r="AA4" s="2" t="s">
        <v>703</v>
      </c>
      <c r="AB4" s="2" t="s">
        <v>5</v>
      </c>
      <c r="AC4" s="12" t="s">
        <v>745</v>
      </c>
      <c r="AD4" s="2" t="s">
        <v>703</v>
      </c>
      <c r="AE4" s="2" t="s">
        <v>5</v>
      </c>
    </row>
    <row r="5" spans="2:31">
      <c r="B5" t="s">
        <v>329</v>
      </c>
      <c r="C5" s="8">
        <f>IF($B5="","",VLOOKUP($B5,TA!$D$13:$PH$2502,335,0))</f>
        <v>1</v>
      </c>
      <c r="D5" s="9">
        <f>IF($B5="","",VLOOKUP($B5,TA!$D$13:$PH$2502,148,0))</f>
        <v>1.19930977816646</v>
      </c>
      <c r="E5" s="9">
        <f>IF($B5="","",VLOOKUP($B5,TA!$D$13:$PH$2502,149,0))</f>
        <v>78.5547904699034</v>
      </c>
      <c r="F5" s="9">
        <f>IF($B5="","",VLOOKUP($B5,TA!$D$13:$PH$2502,346,0))</f>
        <v>9.5429382</v>
      </c>
      <c r="G5" s="8">
        <f>IF($B5="","",VLOOKUP($B5,TA!$D$13:$PH$2502,342,0))</f>
        <v>1</v>
      </c>
      <c r="H5" s="9">
        <f>IF($B5="","",VLOOKUP($B5,TA!$D$13:$PH$2502,150,0))</f>
        <v>0.212807374667777</v>
      </c>
      <c r="I5" s="9">
        <f>IF($B5="","",VLOOKUP($B5,TA!$D$13:$PH$2502,151,0))</f>
        <v>13.9388830407394</v>
      </c>
      <c r="J5" s="9">
        <f>IF($B5="","",VLOOKUP($B5,TA!$D$13:$PH$2502,348,0))</f>
        <v>6.24140884914567</v>
      </c>
      <c r="K5" s="9">
        <f>IF($B5="","",VLOOKUP($B5,TA!$D$13:$PH$2502,152,0))</f>
        <v>1.41211715283424</v>
      </c>
      <c r="L5" s="9">
        <f>IF($B5="","",VLOOKUP($B5,TA!$D$13:$PH$2502,155,0))</f>
        <v>92.4936735106428</v>
      </c>
      <c r="M5" s="9">
        <f>IF($B5="","",VLOOKUP($B5,TA!$D$13:$PH$2502,157,0))</f>
        <v>0.108754830064285</v>
      </c>
      <c r="N5" s="9">
        <f>IF($B5="","",VLOOKUP($B5,TA!$D$13:$PH$2502,158,0))</f>
        <v>1.1092992666557</v>
      </c>
      <c r="O5" s="9">
        <f>IF($B5="","",VLOOKUP($B5,TA!$D$13:$PH$2502,349,0))</f>
        <v>11.5429382</v>
      </c>
      <c r="P5" s="9">
        <f>IF($B5="","",VLOOKUP($B5,TA!$D$13:$PH$2502,159,0))</f>
        <v>0.0220999883808721</v>
      </c>
      <c r="Q5" s="9">
        <f>IF($B5="","",VLOOKUP($B5,TA!$D$13:$PH$2502,160,0))</f>
        <v>0.225419881484895</v>
      </c>
      <c r="R5" s="9">
        <f>IF($B5="","",VLOOKUP($B5,TA!$D$13:$PH$2502,350,0))</f>
        <v>8.04140884914568</v>
      </c>
      <c r="S5" s="9">
        <f>IF($B5="","",VLOOKUP($B5,TA!$D$13:$PH$2502,161,0))</f>
        <v>0.130854818445157</v>
      </c>
      <c r="T5" s="9">
        <f>IF($B5="","",VLOOKUP($B5,TA!$D$13:$PH$2502,164,0))</f>
        <v>1.3347191481406</v>
      </c>
      <c r="U5" s="9">
        <f>IF($B5="","",VLOOKUP($B5,TA!$D$13:$PH$2502,351,0))</f>
        <v>25.81548519</v>
      </c>
      <c r="V5" s="8">
        <f>IF($B5="","",VLOOKUP($B5,TA!$D$13:$PH$2502,172,0))</f>
        <v>1</v>
      </c>
      <c r="W5" s="9">
        <f>IF($B5="","",VLOOKUP($B5,TA!$D$13:$PH$2502,173,0))</f>
        <v>1.58695002275445</v>
      </c>
      <c r="X5" s="9">
        <f>IF($B5="","",VLOOKUP($B5,TA!$D$13:$PH$2502,177,0))</f>
        <v>0.568445498150644</v>
      </c>
      <c r="Y5" s="9">
        <f>IF($B5="","",VLOOKUP($B5,TA!$D$13:$PH$2502,353,0))</f>
        <v>25.81548519</v>
      </c>
      <c r="Z5" s="9">
        <f>IF($B5="","",VLOOKUP($B5,TA!$D$13:$PH$2502,178,0))</f>
        <v>0</v>
      </c>
      <c r="AA5" s="9">
        <f>IF($B5="","",VLOOKUP($B5,TA!$D$13:$PH$2502,181,0))</f>
        <v>0</v>
      </c>
      <c r="AB5" s="9">
        <f>IF($B5="","",VLOOKUP($B5,TA!$D$13:$PH$2502,354,0))</f>
        <v>25.99148519</v>
      </c>
      <c r="AC5" s="9">
        <f>IF($B5="","",VLOOKUP($B5,TA!$D$13:$PH$2502,221,0))</f>
        <v>0.243509287362306</v>
      </c>
      <c r="AD5" s="9">
        <f>IF($B5="","",VLOOKUP($B5,TA!$D$13:$PH$2502,224,0))</f>
        <v>2.43509287362306</v>
      </c>
      <c r="AE5" s="9">
        <f>IF($B5="","",VLOOKUP($B5,TA!$D$13:$PH$2502,357,0))</f>
        <v>29.79148519</v>
      </c>
    </row>
    <row r="6" spans="3:31">
      <c r="C6" s="8" t="str">
        <f>IF($B6="","",VLOOKUP($B6,TA!$D$13:$PH$2502,335,0))</f>
        <v/>
      </c>
      <c r="D6" s="9" t="str">
        <f>IF($B6="","",VLOOKUP($B6,TA!$D$13:$PH$2502,148,0))</f>
        <v/>
      </c>
      <c r="E6" s="9" t="str">
        <f>IF($B6="","",VLOOKUP($B6,TA!$D$13:$PH$2502,149,0))</f>
        <v/>
      </c>
      <c r="F6" s="9" t="str">
        <f>IF($B6="","",VLOOKUP($B6,TA!$D$13:$PH$2502,346,0))</f>
        <v/>
      </c>
      <c r="G6" s="8" t="str">
        <f>IF($B6="","",VLOOKUP($B6,TA!$D$13:$PH$2502,342,0))</f>
        <v/>
      </c>
      <c r="H6" s="9" t="str">
        <f>IF($B6="","",VLOOKUP($B6,TA!$D$13:$PH$2502,150,0))</f>
        <v/>
      </c>
      <c r="I6" s="9" t="str">
        <f>IF($B6="","",VLOOKUP($B6,TA!$D$13:$PH$2502,151,0))</f>
        <v/>
      </c>
      <c r="J6" s="9" t="str">
        <f>IF($B6="","",VLOOKUP($B6,TA!$D$13:$PH$2502,348,0))</f>
        <v/>
      </c>
      <c r="K6" s="9" t="str">
        <f>IF($B6="","",VLOOKUP($B6,TA!$D$13:$PH$2502,152,0))</f>
        <v/>
      </c>
      <c r="L6" s="9" t="str">
        <f>IF($B6="","",VLOOKUP($B6,TA!$D$13:$PH$2502,155,0))</f>
        <v/>
      </c>
      <c r="M6" s="9" t="str">
        <f>IF($B6="","",VLOOKUP($B6,TA!$D$13:$PH$2502,157,0))</f>
        <v/>
      </c>
      <c r="N6" s="9" t="str">
        <f>IF($B6="","",VLOOKUP($B6,TA!$D$13:$PH$2502,158,0))</f>
        <v/>
      </c>
      <c r="O6" s="9" t="str">
        <f>IF($B6="","",VLOOKUP($B6,TA!$D$13:$PH$2502,349,0))</f>
        <v/>
      </c>
      <c r="P6" s="9" t="str">
        <f>IF($B6="","",VLOOKUP($B6,TA!$D$13:$PH$2502,159,0))</f>
        <v/>
      </c>
      <c r="Q6" s="9" t="str">
        <f>IF($B6="","",VLOOKUP($B6,TA!$D$13:$PH$2502,160,0))</f>
        <v/>
      </c>
      <c r="R6" s="9" t="str">
        <f>IF($B6="","",VLOOKUP($B6,TA!$D$13:$PH$2502,350,0))</f>
        <v/>
      </c>
      <c r="S6" s="9" t="str">
        <f>IF($B6="","",VLOOKUP($B6,TA!$D$13:$PH$2502,161,0))</f>
        <v/>
      </c>
      <c r="T6" s="9" t="str">
        <f>IF($B6="","",VLOOKUP($B6,TA!$D$13:$PH$2502,164,0))</f>
        <v/>
      </c>
      <c r="U6" s="9" t="str">
        <f>IF($B6="","",VLOOKUP($B6,TA!$D$13:$PH$2502,351,0))</f>
        <v/>
      </c>
      <c r="V6" s="8" t="str">
        <f>IF($B6="","",VLOOKUP($B6,TA!$D$13:$PH$2502,172,0))</f>
        <v/>
      </c>
      <c r="W6" s="9" t="str">
        <f>IF($B6="","",VLOOKUP($B6,TA!$D$13:$PH$2502,173,0))</f>
        <v/>
      </c>
      <c r="X6" s="9" t="str">
        <f>IF($B6="","",VLOOKUP($B6,TA!$D$13:$PH$2502,177,0))</f>
        <v/>
      </c>
      <c r="Y6" s="9" t="str">
        <f>IF($B6="","",VLOOKUP($B6,TA!$D$13:$PH$2502,353,0))</f>
        <v/>
      </c>
      <c r="Z6" s="9" t="str">
        <f>IF($B6="","",VLOOKUP($B6,TA!$D$13:$PH$2502,178,0))</f>
        <v/>
      </c>
      <c r="AA6" s="9" t="str">
        <f>IF($B6="","",VLOOKUP($B6,TA!$D$13:$PH$2502,181,0))</f>
        <v/>
      </c>
      <c r="AB6" s="9" t="str">
        <f>IF($B6="","",VLOOKUP($B6,TA!$D$13:$PH$2502,354,0))</f>
        <v/>
      </c>
      <c r="AC6" s="9" t="str">
        <f>IF($B6="","",VLOOKUP($B6,TA!$D$13:$PH$2502,221,0))</f>
        <v/>
      </c>
      <c r="AD6" s="9" t="str">
        <f>IF($B6="","",VLOOKUP($B6,TA!$D$13:$PH$2502,224,0))</f>
        <v/>
      </c>
      <c r="AE6" s="9" t="str">
        <f>IF($B6="","",VLOOKUP($B6,TA!$D$13:$PH$2502,357,0))</f>
        <v/>
      </c>
    </row>
    <row r="7" spans="3:31">
      <c r="C7" s="8" t="str">
        <f>IF($B7="","",VLOOKUP($B7,TA!$D$13:$PH$2502,335,0))</f>
        <v/>
      </c>
      <c r="D7" s="9" t="str">
        <f>IF($B7="","",VLOOKUP($B7,TA!$D$13:$PH$2502,148,0))</f>
        <v/>
      </c>
      <c r="E7" s="9" t="str">
        <f>IF($B7="","",VLOOKUP($B7,TA!$D$13:$PH$2502,149,0))</f>
        <v/>
      </c>
      <c r="F7" s="9" t="str">
        <f>IF($B7="","",VLOOKUP($B7,TA!$D$13:$PH$2502,346,0))</f>
        <v/>
      </c>
      <c r="G7" s="8" t="str">
        <f>IF($B7="","",VLOOKUP($B7,TA!$D$13:$PH$2502,342,0))</f>
        <v/>
      </c>
      <c r="H7" s="9" t="str">
        <f>IF($B7="","",VLOOKUP($B7,TA!$D$13:$PH$2502,150,0))</f>
        <v/>
      </c>
      <c r="I7" s="9" t="str">
        <f>IF($B7="","",VLOOKUP($B7,TA!$D$13:$PH$2502,151,0))</f>
        <v/>
      </c>
      <c r="J7" s="9" t="str">
        <f>IF($B7="","",VLOOKUP($B7,TA!$D$13:$PH$2502,348,0))</f>
        <v/>
      </c>
      <c r="K7" s="9" t="str">
        <f>IF($B7="","",VLOOKUP($B7,TA!$D$13:$PH$2502,152,0))</f>
        <v/>
      </c>
      <c r="L7" s="9" t="str">
        <f>IF($B7="","",VLOOKUP($B7,TA!$D$13:$PH$2502,155,0))</f>
        <v/>
      </c>
      <c r="M7" s="9" t="str">
        <f>IF($B7="","",VLOOKUP($B7,TA!$D$13:$PH$2502,157,0))</f>
        <v/>
      </c>
      <c r="N7" s="9" t="str">
        <f>IF($B7="","",VLOOKUP($B7,TA!$D$13:$PH$2502,158,0))</f>
        <v/>
      </c>
      <c r="O7" s="9" t="str">
        <f>IF($B7="","",VLOOKUP($B7,TA!$D$13:$PH$2502,349,0))</f>
        <v/>
      </c>
      <c r="P7" s="9" t="str">
        <f>IF($B7="","",VLOOKUP($B7,TA!$D$13:$PH$2502,159,0))</f>
        <v/>
      </c>
      <c r="Q7" s="9" t="str">
        <f>IF($B7="","",VLOOKUP($B7,TA!$D$13:$PH$2502,160,0))</f>
        <v/>
      </c>
      <c r="R7" s="9" t="str">
        <f>IF($B7="","",VLOOKUP($B7,TA!$D$13:$PH$2502,350,0))</f>
        <v/>
      </c>
      <c r="S7" s="9" t="str">
        <f>IF($B7="","",VLOOKUP($B7,TA!$D$13:$PH$2502,161,0))</f>
        <v/>
      </c>
      <c r="T7" s="9" t="str">
        <f>IF($B7="","",VLOOKUP($B7,TA!$D$13:$PH$2502,164,0))</f>
        <v/>
      </c>
      <c r="U7" s="9" t="str">
        <f>IF($B7="","",VLOOKUP($B7,TA!$D$13:$PH$2502,351,0))</f>
        <v/>
      </c>
      <c r="V7" s="8" t="str">
        <f>IF($B7="","",VLOOKUP($B7,TA!$D$13:$PH$2502,172,0))</f>
        <v/>
      </c>
      <c r="W7" s="9" t="str">
        <f>IF($B7="","",VLOOKUP($B7,TA!$D$13:$PH$2502,173,0))</f>
        <v/>
      </c>
      <c r="X7" s="9" t="str">
        <f>IF($B7="","",VLOOKUP($B7,TA!$D$13:$PH$2502,177,0))</f>
        <v/>
      </c>
      <c r="Y7" s="9" t="str">
        <f>IF($B7="","",VLOOKUP($B7,TA!$D$13:$PH$2502,353,0))</f>
        <v/>
      </c>
      <c r="Z7" s="9" t="str">
        <f>IF($B7="","",VLOOKUP($B7,TA!$D$13:$PH$2502,178,0))</f>
        <v/>
      </c>
      <c r="AA7" s="9" t="str">
        <f>IF($B7="","",VLOOKUP($B7,TA!$D$13:$PH$2502,181,0))</f>
        <v/>
      </c>
      <c r="AB7" s="9" t="str">
        <f>IF($B7="","",VLOOKUP($B7,TA!$D$13:$PH$2502,354,0))</f>
        <v/>
      </c>
      <c r="AC7" s="9" t="str">
        <f>IF($B7="","",VLOOKUP($B7,TA!$D$13:$PH$2502,221,0))</f>
        <v/>
      </c>
      <c r="AD7" s="9" t="str">
        <f>IF($B7="","",VLOOKUP($B7,TA!$D$13:$PH$2502,224,0))</f>
        <v/>
      </c>
      <c r="AE7" s="9" t="str">
        <f>IF($B7="","",VLOOKUP($B7,TA!$D$13:$PH$2502,357,0))</f>
        <v/>
      </c>
    </row>
    <row r="8" spans="3:31">
      <c r="C8" s="8" t="str">
        <f>IF($B8="","",VLOOKUP($B8,TA!$D$13:$PH$2502,335,0))</f>
        <v/>
      </c>
      <c r="D8" s="9" t="str">
        <f>IF($B8="","",VLOOKUP($B8,TA!$D$13:$PH$2502,148,0))</f>
        <v/>
      </c>
      <c r="E8" s="9" t="str">
        <f>IF($B8="","",VLOOKUP($B8,TA!$D$13:$PH$2502,149,0))</f>
        <v/>
      </c>
      <c r="F8" s="9" t="str">
        <f>IF($B8="","",VLOOKUP($B8,TA!$D$13:$PH$2502,346,0))</f>
        <v/>
      </c>
      <c r="G8" s="8" t="str">
        <f>IF($B8="","",VLOOKUP($B8,TA!$D$13:$PH$2502,342,0))</f>
        <v/>
      </c>
      <c r="H8" s="9" t="str">
        <f>IF($B8="","",VLOOKUP($B8,TA!$D$13:$PH$2502,150,0))</f>
        <v/>
      </c>
      <c r="I8" s="9" t="str">
        <f>IF($B8="","",VLOOKUP($B8,TA!$D$13:$PH$2502,151,0))</f>
        <v/>
      </c>
      <c r="J8" s="9" t="str">
        <f>IF($B8="","",VLOOKUP($B8,TA!$D$13:$PH$2502,348,0))</f>
        <v/>
      </c>
      <c r="K8" s="9" t="str">
        <f>IF($B8="","",VLOOKUP($B8,TA!$D$13:$PH$2502,152,0))</f>
        <v/>
      </c>
      <c r="L8" s="9" t="str">
        <f>IF($B8="","",VLOOKUP($B8,TA!$D$13:$PH$2502,155,0))</f>
        <v/>
      </c>
      <c r="M8" s="9" t="str">
        <f>IF($B8="","",VLOOKUP($B8,TA!$D$13:$PH$2502,157,0))</f>
        <v/>
      </c>
      <c r="N8" s="9" t="str">
        <f>IF($B8="","",VLOOKUP($B8,TA!$D$13:$PH$2502,158,0))</f>
        <v/>
      </c>
      <c r="O8" s="9" t="str">
        <f>IF($B8="","",VLOOKUP($B8,TA!$D$13:$PH$2502,349,0))</f>
        <v/>
      </c>
      <c r="P8" s="9" t="str">
        <f>IF($B8="","",VLOOKUP($B8,TA!$D$13:$PH$2502,159,0))</f>
        <v/>
      </c>
      <c r="Q8" s="9" t="str">
        <f>IF($B8="","",VLOOKUP($B8,TA!$D$13:$PH$2502,160,0))</f>
        <v/>
      </c>
      <c r="R8" s="9" t="str">
        <f>IF($B8="","",VLOOKUP($B8,TA!$D$13:$PH$2502,350,0))</f>
        <v/>
      </c>
      <c r="S8" s="9" t="str">
        <f>IF($B8="","",VLOOKUP($B8,TA!$D$13:$PH$2502,161,0))</f>
        <v/>
      </c>
      <c r="T8" s="9" t="str">
        <f>IF($B8="","",VLOOKUP($B8,TA!$D$13:$PH$2502,164,0))</f>
        <v/>
      </c>
      <c r="U8" s="9" t="str">
        <f>IF($B8="","",VLOOKUP($B8,TA!$D$13:$PH$2502,351,0))</f>
        <v/>
      </c>
      <c r="V8" s="8" t="str">
        <f>IF($B8="","",VLOOKUP($B8,TA!$D$13:$PH$2502,172,0))</f>
        <v/>
      </c>
      <c r="W8" s="9" t="str">
        <f>IF($B8="","",VLOOKUP($B8,TA!$D$13:$PH$2502,173,0))</f>
        <v/>
      </c>
      <c r="X8" s="9" t="str">
        <f>IF($B8="","",VLOOKUP($B8,TA!$D$13:$PH$2502,177,0))</f>
        <v/>
      </c>
      <c r="Y8" s="9" t="str">
        <f>IF($B8="","",VLOOKUP($B8,TA!$D$13:$PH$2502,353,0))</f>
        <v/>
      </c>
      <c r="Z8" s="9" t="str">
        <f>IF($B8="","",VLOOKUP($B8,TA!$D$13:$PH$2502,178,0))</f>
        <v/>
      </c>
      <c r="AA8" s="9" t="str">
        <f>IF($B8="","",VLOOKUP($B8,TA!$D$13:$PH$2502,181,0))</f>
        <v/>
      </c>
      <c r="AB8" s="9" t="str">
        <f>IF($B8="","",VLOOKUP($B8,TA!$D$13:$PH$2502,354,0))</f>
        <v/>
      </c>
      <c r="AC8" s="9" t="str">
        <f>IF($B8="","",VLOOKUP($B8,TA!$D$13:$PH$2502,221,0))</f>
        <v/>
      </c>
      <c r="AD8" s="9" t="str">
        <f>IF($B8="","",VLOOKUP($B8,TA!$D$13:$PH$2502,224,0))</f>
        <v/>
      </c>
      <c r="AE8" s="9" t="str">
        <f>IF($B8="","",VLOOKUP($B8,TA!$D$13:$PH$2502,357,0))</f>
        <v/>
      </c>
    </row>
    <row r="9" spans="3:31">
      <c r="C9" s="8" t="str">
        <f>IF($B9="","",VLOOKUP($B9,TA!$D$13:$PH$2502,335,0))</f>
        <v/>
      </c>
      <c r="D9" s="9" t="str">
        <f>IF($B9="","",VLOOKUP($B9,TA!$D$13:$PH$2502,148,0))</f>
        <v/>
      </c>
      <c r="E9" s="9" t="str">
        <f>IF($B9="","",VLOOKUP($B9,TA!$D$13:$PH$2502,149,0))</f>
        <v/>
      </c>
      <c r="F9" s="9" t="str">
        <f>IF($B9="","",VLOOKUP($B9,TA!$D$13:$PH$2502,346,0))</f>
        <v/>
      </c>
      <c r="G9" s="8" t="str">
        <f>IF($B9="","",VLOOKUP($B9,TA!$D$13:$PH$2502,342,0))</f>
        <v/>
      </c>
      <c r="H9" s="9" t="str">
        <f>IF($B9="","",VLOOKUP($B9,TA!$D$13:$PH$2502,150,0))</f>
        <v/>
      </c>
      <c r="I9" s="9" t="str">
        <f>IF($B9="","",VLOOKUP($B9,TA!$D$13:$PH$2502,151,0))</f>
        <v/>
      </c>
      <c r="J9" s="9" t="str">
        <f>IF($B9="","",VLOOKUP($B9,TA!$D$13:$PH$2502,348,0))</f>
        <v/>
      </c>
      <c r="K9" s="9" t="str">
        <f>IF($B9="","",VLOOKUP($B9,TA!$D$13:$PH$2502,152,0))</f>
        <v/>
      </c>
      <c r="L9" s="9" t="str">
        <f>IF($B9="","",VLOOKUP($B9,TA!$D$13:$PH$2502,155,0))</f>
        <v/>
      </c>
      <c r="M9" s="9" t="str">
        <f>IF($B9="","",VLOOKUP($B9,TA!$D$13:$PH$2502,157,0))</f>
        <v/>
      </c>
      <c r="N9" s="9" t="str">
        <f>IF($B9="","",VLOOKUP($B9,TA!$D$13:$PH$2502,158,0))</f>
        <v/>
      </c>
      <c r="O9" s="9" t="str">
        <f>IF($B9="","",VLOOKUP($B9,TA!$D$13:$PH$2502,349,0))</f>
        <v/>
      </c>
      <c r="P9" s="9" t="str">
        <f>IF($B9="","",VLOOKUP($B9,TA!$D$13:$PH$2502,159,0))</f>
        <v/>
      </c>
      <c r="Q9" s="9" t="str">
        <f>IF($B9="","",VLOOKUP($B9,TA!$D$13:$PH$2502,160,0))</f>
        <v/>
      </c>
      <c r="R9" s="9" t="str">
        <f>IF($B9="","",VLOOKUP($B9,TA!$D$13:$PH$2502,350,0))</f>
        <v/>
      </c>
      <c r="S9" s="9" t="str">
        <f>IF($B9="","",VLOOKUP($B9,TA!$D$13:$PH$2502,161,0))</f>
        <v/>
      </c>
      <c r="T9" s="9" t="str">
        <f>IF($B9="","",VLOOKUP($B9,TA!$D$13:$PH$2502,164,0))</f>
        <v/>
      </c>
      <c r="U9" s="9" t="str">
        <f>IF($B9="","",VLOOKUP($B9,TA!$D$13:$PH$2502,351,0))</f>
        <v/>
      </c>
      <c r="V9" s="8" t="str">
        <f>IF($B9="","",VLOOKUP($B9,TA!$D$13:$PH$2502,172,0))</f>
        <v/>
      </c>
      <c r="W9" s="9" t="str">
        <f>IF($B9="","",VLOOKUP($B9,TA!$D$13:$PH$2502,173,0))</f>
        <v/>
      </c>
      <c r="X9" s="9" t="str">
        <f>IF($B9="","",VLOOKUP($B9,TA!$D$13:$PH$2502,177,0))</f>
        <v/>
      </c>
      <c r="Y9" s="9" t="str">
        <f>IF($B9="","",VLOOKUP($B9,TA!$D$13:$PH$2502,353,0))</f>
        <v/>
      </c>
      <c r="Z9" s="9" t="str">
        <f>IF($B9="","",VLOOKUP($B9,TA!$D$13:$PH$2502,178,0))</f>
        <v/>
      </c>
      <c r="AA9" s="9" t="str">
        <f>IF($B9="","",VLOOKUP($B9,TA!$D$13:$PH$2502,181,0))</f>
        <v/>
      </c>
      <c r="AB9" s="9" t="str">
        <f>IF($B9="","",VLOOKUP($B9,TA!$D$13:$PH$2502,354,0))</f>
        <v/>
      </c>
      <c r="AC9" s="9" t="str">
        <f>IF($B9="","",VLOOKUP($B9,TA!$D$13:$PH$2502,221,0))</f>
        <v/>
      </c>
      <c r="AD9" s="9" t="str">
        <f>IF($B9="","",VLOOKUP($B9,TA!$D$13:$PH$2502,224,0))</f>
        <v/>
      </c>
      <c r="AE9" s="9" t="str">
        <f>IF($B9="","",VLOOKUP($B9,TA!$D$13:$PH$2502,357,0))</f>
        <v/>
      </c>
    </row>
    <row r="10" spans="3:31">
      <c r="C10" s="8" t="str">
        <f>IF($B10="","",VLOOKUP($B10,TA!$D$13:$PH$2502,335,0))</f>
        <v/>
      </c>
      <c r="D10" s="9" t="str">
        <f>IF($B10="","",VLOOKUP($B10,TA!$D$13:$PH$2502,148,0))</f>
        <v/>
      </c>
      <c r="E10" s="9" t="str">
        <f>IF($B10="","",VLOOKUP($B10,TA!$D$13:$PH$2502,149,0))</f>
        <v/>
      </c>
      <c r="F10" s="9" t="str">
        <f>IF($B10="","",VLOOKUP($B10,TA!$D$13:$PH$2502,346,0))</f>
        <v/>
      </c>
      <c r="G10" s="8" t="str">
        <f>IF($B10="","",VLOOKUP($B10,TA!$D$13:$PH$2502,342,0))</f>
        <v/>
      </c>
      <c r="H10" s="9" t="str">
        <f>IF($B10="","",VLOOKUP($B10,TA!$D$13:$PH$2502,150,0))</f>
        <v/>
      </c>
      <c r="I10" s="9" t="str">
        <f>IF($B10="","",VLOOKUP($B10,TA!$D$13:$PH$2502,151,0))</f>
        <v/>
      </c>
      <c r="J10" s="9" t="str">
        <f>IF($B10="","",VLOOKUP($B10,TA!$D$13:$PH$2502,348,0))</f>
        <v/>
      </c>
      <c r="K10" s="9" t="str">
        <f>IF($B10="","",VLOOKUP($B10,TA!$D$13:$PH$2502,152,0))</f>
        <v/>
      </c>
      <c r="L10" s="9" t="str">
        <f>IF($B10="","",VLOOKUP($B10,TA!$D$13:$PH$2502,155,0))</f>
        <v/>
      </c>
      <c r="M10" s="9" t="str">
        <f>IF($B10="","",VLOOKUP($B10,TA!$D$13:$PH$2502,157,0))</f>
        <v/>
      </c>
      <c r="N10" s="9" t="str">
        <f>IF($B10="","",VLOOKUP($B10,TA!$D$13:$PH$2502,158,0))</f>
        <v/>
      </c>
      <c r="O10" s="9" t="str">
        <f>IF($B10="","",VLOOKUP($B10,TA!$D$13:$PH$2502,349,0))</f>
        <v/>
      </c>
      <c r="P10" s="9" t="str">
        <f>IF($B10="","",VLOOKUP($B10,TA!$D$13:$PH$2502,159,0))</f>
        <v/>
      </c>
      <c r="Q10" s="9" t="str">
        <f>IF($B10="","",VLOOKUP($B10,TA!$D$13:$PH$2502,160,0))</f>
        <v/>
      </c>
      <c r="R10" s="9" t="str">
        <f>IF($B10="","",VLOOKUP($B10,TA!$D$13:$PH$2502,350,0))</f>
        <v/>
      </c>
      <c r="S10" s="9" t="str">
        <f>IF($B10="","",VLOOKUP($B10,TA!$D$13:$PH$2502,161,0))</f>
        <v/>
      </c>
      <c r="T10" s="9" t="str">
        <f>IF($B10="","",VLOOKUP($B10,TA!$D$13:$PH$2502,164,0))</f>
        <v/>
      </c>
      <c r="U10" s="9" t="str">
        <f>IF($B10="","",VLOOKUP($B10,TA!$D$13:$PH$2502,351,0))</f>
        <v/>
      </c>
      <c r="V10" s="8" t="str">
        <f>IF($B10="","",VLOOKUP($B10,TA!$D$13:$PH$2502,172,0))</f>
        <v/>
      </c>
      <c r="W10" s="9" t="str">
        <f>IF($B10="","",VLOOKUP($B10,TA!$D$13:$PH$2502,173,0))</f>
        <v/>
      </c>
      <c r="X10" s="9" t="str">
        <f>IF($B10="","",VLOOKUP($B10,TA!$D$13:$PH$2502,177,0))</f>
        <v/>
      </c>
      <c r="Y10" s="9" t="str">
        <f>IF($B10="","",VLOOKUP($B10,TA!$D$13:$PH$2502,353,0))</f>
        <v/>
      </c>
      <c r="Z10" s="9" t="str">
        <f>IF($B10="","",VLOOKUP($B10,TA!$D$13:$PH$2502,178,0))</f>
        <v/>
      </c>
      <c r="AA10" s="9" t="str">
        <f>IF($B10="","",VLOOKUP($B10,TA!$D$13:$PH$2502,181,0))</f>
        <v/>
      </c>
      <c r="AB10" s="9" t="str">
        <f>IF($B10="","",VLOOKUP($B10,TA!$D$13:$PH$2502,354,0))</f>
        <v/>
      </c>
      <c r="AC10" s="9" t="str">
        <f>IF($B10="","",VLOOKUP($B10,TA!$D$13:$PH$2502,221,0))</f>
        <v/>
      </c>
      <c r="AD10" s="9" t="str">
        <f>IF($B10="","",VLOOKUP($B10,TA!$D$13:$PH$2502,224,0))</f>
        <v/>
      </c>
      <c r="AE10" s="9" t="str">
        <f>IF($B10="","",VLOOKUP($B10,TA!$D$13:$PH$2502,357,0))</f>
        <v/>
      </c>
    </row>
    <row r="11" spans="3:31">
      <c r="C11" s="8" t="str">
        <f>IF($B11="","",VLOOKUP($B11,TA!$D$13:$PH$2502,335,0))</f>
        <v/>
      </c>
      <c r="D11" s="9" t="str">
        <f>IF($B11="","",VLOOKUP($B11,TA!$D$13:$PH$2502,148,0))</f>
        <v/>
      </c>
      <c r="E11" s="9" t="str">
        <f>IF($B11="","",VLOOKUP($B11,TA!$D$13:$PH$2502,149,0))</f>
        <v/>
      </c>
      <c r="F11" s="9" t="str">
        <f>IF($B11="","",VLOOKUP($B11,TA!$D$13:$PH$2502,346,0))</f>
        <v/>
      </c>
      <c r="G11" s="8" t="str">
        <f>IF($B11="","",VLOOKUP($B11,TA!$D$13:$PH$2502,342,0))</f>
        <v/>
      </c>
      <c r="H11" s="9" t="str">
        <f>IF($B11="","",VLOOKUP($B11,TA!$D$13:$PH$2502,150,0))</f>
        <v/>
      </c>
      <c r="I11" s="9" t="str">
        <f>IF($B11="","",VLOOKUP($B11,TA!$D$13:$PH$2502,151,0))</f>
        <v/>
      </c>
      <c r="J11" s="9" t="str">
        <f>IF($B11="","",VLOOKUP($B11,TA!$D$13:$PH$2502,348,0))</f>
        <v/>
      </c>
      <c r="K11" s="9" t="str">
        <f>IF($B11="","",VLOOKUP($B11,TA!$D$13:$PH$2502,152,0))</f>
        <v/>
      </c>
      <c r="L11" s="9" t="str">
        <f>IF($B11="","",VLOOKUP($B11,TA!$D$13:$PH$2502,155,0))</f>
        <v/>
      </c>
      <c r="M11" s="9" t="str">
        <f>IF($B11="","",VLOOKUP($B11,TA!$D$13:$PH$2502,157,0))</f>
        <v/>
      </c>
      <c r="N11" s="9" t="str">
        <f>IF($B11="","",VLOOKUP($B11,TA!$D$13:$PH$2502,158,0))</f>
        <v/>
      </c>
      <c r="O11" s="9" t="str">
        <f>IF($B11="","",VLOOKUP($B11,TA!$D$13:$PH$2502,349,0))</f>
        <v/>
      </c>
      <c r="P11" s="9" t="str">
        <f>IF($B11="","",VLOOKUP($B11,TA!$D$13:$PH$2502,159,0))</f>
        <v/>
      </c>
      <c r="Q11" s="9" t="str">
        <f>IF($B11="","",VLOOKUP($B11,TA!$D$13:$PH$2502,160,0))</f>
        <v/>
      </c>
      <c r="R11" s="9" t="str">
        <f>IF($B11="","",VLOOKUP($B11,TA!$D$13:$PH$2502,350,0))</f>
        <v/>
      </c>
      <c r="S11" s="9" t="str">
        <f>IF($B11="","",VLOOKUP($B11,TA!$D$13:$PH$2502,161,0))</f>
        <v/>
      </c>
      <c r="T11" s="9" t="str">
        <f>IF($B11="","",VLOOKUP($B11,TA!$D$13:$PH$2502,164,0))</f>
        <v/>
      </c>
      <c r="U11" s="9" t="str">
        <f>IF($B11="","",VLOOKUP($B11,TA!$D$13:$PH$2502,351,0))</f>
        <v/>
      </c>
      <c r="V11" s="8" t="str">
        <f>IF($B11="","",VLOOKUP($B11,TA!$D$13:$PH$2502,172,0))</f>
        <v/>
      </c>
      <c r="W11" s="9" t="str">
        <f>IF($B11="","",VLOOKUP($B11,TA!$D$13:$PH$2502,173,0))</f>
        <v/>
      </c>
      <c r="X11" s="9" t="str">
        <f>IF($B11="","",VLOOKUP($B11,TA!$D$13:$PH$2502,177,0))</f>
        <v/>
      </c>
      <c r="Y11" s="9" t="str">
        <f>IF($B11="","",VLOOKUP($B11,TA!$D$13:$PH$2502,353,0))</f>
        <v/>
      </c>
      <c r="Z11" s="9" t="str">
        <f>IF($B11="","",VLOOKUP($B11,TA!$D$13:$PH$2502,178,0))</f>
        <v/>
      </c>
      <c r="AA11" s="9" t="str">
        <f>IF($B11="","",VLOOKUP($B11,TA!$D$13:$PH$2502,181,0))</f>
        <v/>
      </c>
      <c r="AB11" s="9" t="str">
        <f>IF($B11="","",VLOOKUP($B11,TA!$D$13:$PH$2502,354,0))</f>
        <v/>
      </c>
      <c r="AC11" s="9" t="str">
        <f>IF($B11="","",VLOOKUP($B11,TA!$D$13:$PH$2502,221,0))</f>
        <v/>
      </c>
      <c r="AD11" s="9" t="str">
        <f>IF($B11="","",VLOOKUP($B11,TA!$D$13:$PH$2502,224,0))</f>
        <v/>
      </c>
      <c r="AE11" s="9" t="str">
        <f>IF($B11="","",VLOOKUP($B11,TA!$D$13:$PH$2502,357,0))</f>
        <v/>
      </c>
    </row>
    <row r="12" spans="3:31">
      <c r="C12" s="8" t="str">
        <f>IF($B12="","",VLOOKUP($B12,TA!$D$13:$PH$2502,335,0))</f>
        <v/>
      </c>
      <c r="D12" s="9" t="str">
        <f>IF($B12="","",VLOOKUP($B12,TA!$D$13:$PH$2502,148,0))</f>
        <v/>
      </c>
      <c r="E12" s="9" t="str">
        <f>IF($B12="","",VLOOKUP($B12,TA!$D$13:$PH$2502,149,0))</f>
        <v/>
      </c>
      <c r="F12" s="9" t="str">
        <f>IF($B12="","",VLOOKUP($B12,TA!$D$13:$PH$2502,346,0))</f>
        <v/>
      </c>
      <c r="G12" s="8" t="str">
        <f>IF($B12="","",VLOOKUP($B12,TA!$D$13:$PH$2502,342,0))</f>
        <v/>
      </c>
      <c r="H12" s="9" t="str">
        <f>IF($B12="","",VLOOKUP($B12,TA!$D$13:$PH$2502,150,0))</f>
        <v/>
      </c>
      <c r="I12" s="9" t="str">
        <f>IF($B12="","",VLOOKUP($B12,TA!$D$13:$PH$2502,151,0))</f>
        <v/>
      </c>
      <c r="J12" s="9" t="str">
        <f>IF($B12="","",VLOOKUP($B12,TA!$D$13:$PH$2502,348,0))</f>
        <v/>
      </c>
      <c r="K12" s="9" t="str">
        <f>IF($B12="","",VLOOKUP($B12,TA!$D$13:$PH$2502,152,0))</f>
        <v/>
      </c>
      <c r="L12" s="9" t="str">
        <f>IF($B12="","",VLOOKUP($B12,TA!$D$13:$PH$2502,155,0))</f>
        <v/>
      </c>
      <c r="M12" s="9" t="str">
        <f>IF($B12="","",VLOOKUP($B12,TA!$D$13:$PH$2502,157,0))</f>
        <v/>
      </c>
      <c r="N12" s="9" t="str">
        <f>IF($B12="","",VLOOKUP($B12,TA!$D$13:$PH$2502,158,0))</f>
        <v/>
      </c>
      <c r="O12" s="9" t="str">
        <f>IF($B12="","",VLOOKUP($B12,TA!$D$13:$PH$2502,349,0))</f>
        <v/>
      </c>
      <c r="P12" s="9" t="str">
        <f>IF($B12="","",VLOOKUP($B12,TA!$D$13:$PH$2502,159,0))</f>
        <v/>
      </c>
      <c r="Q12" s="9" t="str">
        <f>IF($B12="","",VLOOKUP($B12,TA!$D$13:$PH$2502,160,0))</f>
        <v/>
      </c>
      <c r="R12" s="9" t="str">
        <f>IF($B12="","",VLOOKUP($B12,TA!$D$13:$PH$2502,350,0))</f>
        <v/>
      </c>
      <c r="S12" s="9" t="str">
        <f>IF($B12="","",VLOOKUP($B12,TA!$D$13:$PH$2502,161,0))</f>
        <v/>
      </c>
      <c r="T12" s="9" t="str">
        <f>IF($B12="","",VLOOKUP($B12,TA!$D$13:$PH$2502,164,0))</f>
        <v/>
      </c>
      <c r="U12" s="9" t="str">
        <f>IF($B12="","",VLOOKUP($B12,TA!$D$13:$PH$2502,351,0))</f>
        <v/>
      </c>
      <c r="V12" s="8" t="str">
        <f>IF($B12="","",VLOOKUP($B12,TA!$D$13:$PH$2502,172,0))</f>
        <v/>
      </c>
      <c r="W12" s="9" t="str">
        <f>IF($B12="","",VLOOKUP($B12,TA!$D$13:$PH$2502,173,0))</f>
        <v/>
      </c>
      <c r="X12" s="9" t="str">
        <f>IF($B12="","",VLOOKUP($B12,TA!$D$13:$PH$2502,177,0))</f>
        <v/>
      </c>
      <c r="Y12" s="9" t="str">
        <f>IF($B12="","",VLOOKUP($B12,TA!$D$13:$PH$2502,353,0))</f>
        <v/>
      </c>
      <c r="Z12" s="9" t="str">
        <f>IF($B12="","",VLOOKUP($B12,TA!$D$13:$PH$2502,178,0))</f>
        <v/>
      </c>
      <c r="AA12" s="9" t="str">
        <f>IF($B12="","",VLOOKUP($B12,TA!$D$13:$PH$2502,181,0))</f>
        <v/>
      </c>
      <c r="AB12" s="9" t="str">
        <f>IF($B12="","",VLOOKUP($B12,TA!$D$13:$PH$2502,354,0))</f>
        <v/>
      </c>
      <c r="AC12" s="9" t="str">
        <f>IF($B12="","",VLOOKUP($B12,TA!$D$13:$PH$2502,221,0))</f>
        <v/>
      </c>
      <c r="AD12" s="9" t="str">
        <f>IF($B12="","",VLOOKUP($B12,TA!$D$13:$PH$2502,224,0))</f>
        <v/>
      </c>
      <c r="AE12" s="9" t="str">
        <f>IF($B12="","",VLOOKUP($B12,TA!$D$13:$PH$2502,357,0))</f>
        <v/>
      </c>
    </row>
    <row r="13" spans="3:31">
      <c r="C13" s="8" t="str">
        <f>IF($B13="","",VLOOKUP($B13,TA!$D$13:$PH$2502,335,0))</f>
        <v/>
      </c>
      <c r="D13" s="9" t="str">
        <f>IF($B13="","",VLOOKUP($B13,TA!$D$13:$PH$2502,148,0))</f>
        <v/>
      </c>
      <c r="E13" s="9" t="str">
        <f>IF($B13="","",VLOOKUP($B13,TA!$D$13:$PH$2502,149,0))</f>
        <v/>
      </c>
      <c r="F13" s="9" t="str">
        <f>IF($B13="","",VLOOKUP($B13,TA!$D$13:$PH$2502,346,0))</f>
        <v/>
      </c>
      <c r="G13" s="8" t="str">
        <f>IF($B13="","",VLOOKUP($B13,TA!$D$13:$PH$2502,342,0))</f>
        <v/>
      </c>
      <c r="H13" s="9" t="str">
        <f>IF($B13="","",VLOOKUP($B13,TA!$D$13:$PH$2502,150,0))</f>
        <v/>
      </c>
      <c r="I13" s="9" t="str">
        <f>IF($B13="","",VLOOKUP($B13,TA!$D$13:$PH$2502,151,0))</f>
        <v/>
      </c>
      <c r="J13" s="9" t="str">
        <f>IF($B13="","",VLOOKUP($B13,TA!$D$13:$PH$2502,348,0))</f>
        <v/>
      </c>
      <c r="K13" s="9" t="str">
        <f>IF($B13="","",VLOOKUP($B13,TA!$D$13:$PH$2502,152,0))</f>
        <v/>
      </c>
      <c r="L13" s="9" t="str">
        <f>IF($B13="","",VLOOKUP($B13,TA!$D$13:$PH$2502,155,0))</f>
        <v/>
      </c>
      <c r="M13" s="9" t="str">
        <f>IF($B13="","",VLOOKUP($B13,TA!$D$13:$PH$2502,157,0))</f>
        <v/>
      </c>
      <c r="N13" s="9" t="str">
        <f>IF($B13="","",VLOOKUP($B13,TA!$D$13:$PH$2502,158,0))</f>
        <v/>
      </c>
      <c r="O13" s="9" t="str">
        <f>IF($B13="","",VLOOKUP($B13,TA!$D$13:$PH$2502,349,0))</f>
        <v/>
      </c>
      <c r="P13" s="9" t="str">
        <f>IF($B13="","",VLOOKUP($B13,TA!$D$13:$PH$2502,159,0))</f>
        <v/>
      </c>
      <c r="Q13" s="9" t="str">
        <f>IF($B13="","",VLOOKUP($B13,TA!$D$13:$PH$2502,160,0))</f>
        <v/>
      </c>
      <c r="R13" s="9" t="str">
        <f>IF($B13="","",VLOOKUP($B13,TA!$D$13:$PH$2502,350,0))</f>
        <v/>
      </c>
      <c r="S13" s="9" t="str">
        <f>IF($B13="","",VLOOKUP($B13,TA!$D$13:$PH$2502,161,0))</f>
        <v/>
      </c>
      <c r="T13" s="9" t="str">
        <f>IF($B13="","",VLOOKUP($B13,TA!$D$13:$PH$2502,164,0))</f>
        <v/>
      </c>
      <c r="U13" s="9" t="str">
        <f>IF($B13="","",VLOOKUP($B13,TA!$D$13:$PH$2502,351,0))</f>
        <v/>
      </c>
      <c r="V13" s="8" t="str">
        <f>IF($B13="","",VLOOKUP($B13,TA!$D$13:$PH$2502,172,0))</f>
        <v/>
      </c>
      <c r="W13" s="9" t="str">
        <f>IF($B13="","",VLOOKUP($B13,TA!$D$13:$PH$2502,173,0))</f>
        <v/>
      </c>
      <c r="X13" s="9" t="str">
        <f>IF($B13="","",VLOOKUP($B13,TA!$D$13:$PH$2502,177,0))</f>
        <v/>
      </c>
      <c r="Y13" s="9" t="str">
        <f>IF($B13="","",VLOOKUP($B13,TA!$D$13:$PH$2502,353,0))</f>
        <v/>
      </c>
      <c r="Z13" s="9" t="str">
        <f>IF($B13="","",VLOOKUP($B13,TA!$D$13:$PH$2502,178,0))</f>
        <v/>
      </c>
      <c r="AA13" s="9" t="str">
        <f>IF($B13="","",VLOOKUP($B13,TA!$D$13:$PH$2502,181,0))</f>
        <v/>
      </c>
      <c r="AB13" s="9" t="str">
        <f>IF($B13="","",VLOOKUP($B13,TA!$D$13:$PH$2502,354,0))</f>
        <v/>
      </c>
      <c r="AC13" s="9" t="str">
        <f>IF($B13="","",VLOOKUP($B13,TA!$D$13:$PH$2502,221,0))</f>
        <v/>
      </c>
      <c r="AD13" s="9" t="str">
        <f>IF($B13="","",VLOOKUP($B13,TA!$D$13:$PH$2502,224,0))</f>
        <v/>
      </c>
      <c r="AE13" s="9" t="str">
        <f>IF($B13="","",VLOOKUP($B13,TA!$D$13:$PH$2502,357,0))</f>
        <v/>
      </c>
    </row>
    <row r="14" spans="3:31">
      <c r="C14" s="8" t="str">
        <f>IF($B14="","",VLOOKUP($B14,TA!$D$13:$PH$2502,335,0))</f>
        <v/>
      </c>
      <c r="D14" s="9" t="str">
        <f>IF($B14="","",VLOOKUP($B14,TA!$D$13:$PH$2502,148,0))</f>
        <v/>
      </c>
      <c r="E14" s="9" t="str">
        <f>IF($B14="","",VLOOKUP($B14,TA!$D$13:$PH$2502,149,0))</f>
        <v/>
      </c>
      <c r="F14" s="9" t="str">
        <f>IF($B14="","",VLOOKUP($B14,TA!$D$13:$PH$2502,346,0))</f>
        <v/>
      </c>
      <c r="G14" s="8" t="str">
        <f>IF($B14="","",VLOOKUP($B14,TA!$D$13:$PH$2502,342,0))</f>
        <v/>
      </c>
      <c r="H14" s="9" t="str">
        <f>IF($B14="","",VLOOKUP($B14,TA!$D$13:$PH$2502,150,0))</f>
        <v/>
      </c>
      <c r="I14" s="9" t="str">
        <f>IF($B14="","",VLOOKUP($B14,TA!$D$13:$PH$2502,151,0))</f>
        <v/>
      </c>
      <c r="J14" s="9" t="str">
        <f>IF($B14="","",VLOOKUP($B14,TA!$D$13:$PH$2502,348,0))</f>
        <v/>
      </c>
      <c r="K14" s="9" t="str">
        <f>IF($B14="","",VLOOKUP($B14,TA!$D$13:$PH$2502,152,0))</f>
        <v/>
      </c>
      <c r="L14" s="9" t="str">
        <f>IF($B14="","",VLOOKUP($B14,TA!$D$13:$PH$2502,155,0))</f>
        <v/>
      </c>
      <c r="M14" s="9" t="str">
        <f>IF($B14="","",VLOOKUP($B14,TA!$D$13:$PH$2502,157,0))</f>
        <v/>
      </c>
      <c r="N14" s="9" t="str">
        <f>IF($B14="","",VLOOKUP($B14,TA!$D$13:$PH$2502,158,0))</f>
        <v/>
      </c>
      <c r="O14" s="9" t="str">
        <f>IF($B14="","",VLOOKUP($B14,TA!$D$13:$PH$2502,349,0))</f>
        <v/>
      </c>
      <c r="P14" s="9" t="str">
        <f>IF($B14="","",VLOOKUP($B14,TA!$D$13:$PH$2502,159,0))</f>
        <v/>
      </c>
      <c r="Q14" s="9" t="str">
        <f>IF($B14="","",VLOOKUP($B14,TA!$D$13:$PH$2502,160,0))</f>
        <v/>
      </c>
      <c r="R14" s="9" t="str">
        <f>IF($B14="","",VLOOKUP($B14,TA!$D$13:$PH$2502,350,0))</f>
        <v/>
      </c>
      <c r="S14" s="9" t="str">
        <f>IF($B14="","",VLOOKUP($B14,TA!$D$13:$PH$2502,161,0))</f>
        <v/>
      </c>
      <c r="T14" s="9" t="str">
        <f>IF($B14="","",VLOOKUP($B14,TA!$D$13:$PH$2502,164,0))</f>
        <v/>
      </c>
      <c r="U14" s="9" t="str">
        <f>IF($B14="","",VLOOKUP($B14,TA!$D$13:$PH$2502,351,0))</f>
        <v/>
      </c>
      <c r="V14" s="8" t="str">
        <f>IF($B14="","",VLOOKUP($B14,TA!$D$13:$PH$2502,172,0))</f>
        <v/>
      </c>
      <c r="W14" s="9" t="str">
        <f>IF($B14="","",VLOOKUP($B14,TA!$D$13:$PH$2502,173,0))</f>
        <v/>
      </c>
      <c r="X14" s="9" t="str">
        <f>IF($B14="","",VLOOKUP($B14,TA!$D$13:$PH$2502,177,0))</f>
        <v/>
      </c>
      <c r="Y14" s="9" t="str">
        <f>IF($B14="","",VLOOKUP($B14,TA!$D$13:$PH$2502,353,0))</f>
        <v/>
      </c>
      <c r="Z14" s="9" t="str">
        <f>IF($B14="","",VLOOKUP($B14,TA!$D$13:$PH$2502,178,0))</f>
        <v/>
      </c>
      <c r="AA14" s="9" t="str">
        <f>IF($B14="","",VLOOKUP($B14,TA!$D$13:$PH$2502,181,0))</f>
        <v/>
      </c>
      <c r="AB14" s="9" t="str">
        <f>IF($B14="","",VLOOKUP($B14,TA!$D$13:$PH$2502,354,0))</f>
        <v/>
      </c>
      <c r="AC14" s="9" t="str">
        <f>IF($B14="","",VLOOKUP($B14,TA!$D$13:$PH$2502,221,0))</f>
        <v/>
      </c>
      <c r="AD14" s="9" t="str">
        <f>IF($B14="","",VLOOKUP($B14,TA!$D$13:$PH$2502,224,0))</f>
        <v/>
      </c>
      <c r="AE14" s="9" t="str">
        <f>IF($B14="","",VLOOKUP($B14,TA!$D$13:$PH$2502,357,0))</f>
        <v/>
      </c>
    </row>
    <row r="15" spans="3:31">
      <c r="C15" s="8" t="str">
        <f>IF($B15="","",VLOOKUP($B15,TA!$D$13:$PH$2502,335,0))</f>
        <v/>
      </c>
      <c r="D15" s="9" t="str">
        <f>IF($B15="","",VLOOKUP($B15,TA!$D$13:$PH$2502,148,0))</f>
        <v/>
      </c>
      <c r="E15" s="9" t="str">
        <f>IF($B15="","",VLOOKUP($B15,TA!$D$13:$PH$2502,149,0))</f>
        <v/>
      </c>
      <c r="F15" s="9" t="str">
        <f>IF($B15="","",VLOOKUP($B15,TA!$D$13:$PH$2502,346,0))</f>
        <v/>
      </c>
      <c r="G15" s="8" t="str">
        <f>IF($B15="","",VLOOKUP($B15,TA!$D$13:$PH$2502,342,0))</f>
        <v/>
      </c>
      <c r="H15" s="9" t="str">
        <f>IF($B15="","",VLOOKUP($B15,TA!$D$13:$PH$2502,150,0))</f>
        <v/>
      </c>
      <c r="I15" s="9" t="str">
        <f>IF($B15="","",VLOOKUP($B15,TA!$D$13:$PH$2502,151,0))</f>
        <v/>
      </c>
      <c r="J15" s="9" t="str">
        <f>IF($B15="","",VLOOKUP($B15,TA!$D$13:$PH$2502,348,0))</f>
        <v/>
      </c>
      <c r="K15" s="9" t="str">
        <f>IF($B15="","",VLOOKUP($B15,TA!$D$13:$PH$2502,152,0))</f>
        <v/>
      </c>
      <c r="L15" s="9" t="str">
        <f>IF($B15="","",VLOOKUP($B15,TA!$D$13:$PH$2502,155,0))</f>
        <v/>
      </c>
      <c r="M15" s="9" t="str">
        <f>IF($B15="","",VLOOKUP($B15,TA!$D$13:$PH$2502,157,0))</f>
        <v/>
      </c>
      <c r="N15" s="9" t="str">
        <f>IF($B15="","",VLOOKUP($B15,TA!$D$13:$PH$2502,158,0))</f>
        <v/>
      </c>
      <c r="O15" s="9" t="str">
        <f>IF($B15="","",VLOOKUP($B15,TA!$D$13:$PH$2502,349,0))</f>
        <v/>
      </c>
      <c r="P15" s="9" t="str">
        <f>IF($B15="","",VLOOKUP($B15,TA!$D$13:$PH$2502,159,0))</f>
        <v/>
      </c>
      <c r="Q15" s="9" t="str">
        <f>IF($B15="","",VLOOKUP($B15,TA!$D$13:$PH$2502,160,0))</f>
        <v/>
      </c>
      <c r="R15" s="9" t="str">
        <f>IF($B15="","",VLOOKUP($B15,TA!$D$13:$PH$2502,350,0))</f>
        <v/>
      </c>
      <c r="S15" s="9" t="str">
        <f>IF($B15="","",VLOOKUP($B15,TA!$D$13:$PH$2502,161,0))</f>
        <v/>
      </c>
      <c r="T15" s="9" t="str">
        <f>IF($B15="","",VLOOKUP($B15,TA!$D$13:$PH$2502,164,0))</f>
        <v/>
      </c>
      <c r="U15" s="9" t="str">
        <f>IF($B15="","",VLOOKUP($B15,TA!$D$13:$PH$2502,351,0))</f>
        <v/>
      </c>
      <c r="V15" s="8" t="str">
        <f>IF($B15="","",VLOOKUP($B15,TA!$D$13:$PH$2502,172,0))</f>
        <v/>
      </c>
      <c r="W15" s="9" t="str">
        <f>IF($B15="","",VLOOKUP($B15,TA!$D$13:$PH$2502,173,0))</f>
        <v/>
      </c>
      <c r="X15" s="9" t="str">
        <f>IF($B15="","",VLOOKUP($B15,TA!$D$13:$PH$2502,177,0))</f>
        <v/>
      </c>
      <c r="Y15" s="9" t="str">
        <f>IF($B15="","",VLOOKUP($B15,TA!$D$13:$PH$2502,353,0))</f>
        <v/>
      </c>
      <c r="Z15" s="9" t="str">
        <f>IF($B15="","",VLOOKUP($B15,TA!$D$13:$PH$2502,178,0))</f>
        <v/>
      </c>
      <c r="AA15" s="9" t="str">
        <f>IF($B15="","",VLOOKUP($B15,TA!$D$13:$PH$2502,181,0))</f>
        <v/>
      </c>
      <c r="AB15" s="9" t="str">
        <f>IF($B15="","",VLOOKUP($B15,TA!$D$13:$PH$2502,354,0))</f>
        <v/>
      </c>
      <c r="AC15" s="9" t="str">
        <f>IF($B15="","",VLOOKUP($B15,TA!$D$13:$PH$2502,221,0))</f>
        <v/>
      </c>
      <c r="AD15" s="9" t="str">
        <f>IF($B15="","",VLOOKUP($B15,TA!$D$13:$PH$2502,224,0))</f>
        <v/>
      </c>
      <c r="AE15" s="9" t="str">
        <f>IF($B15="","",VLOOKUP($B15,TA!$D$13:$PH$2502,357,0))</f>
        <v/>
      </c>
    </row>
    <row r="16" spans="3:31">
      <c r="C16" s="8" t="str">
        <f>IF($B16="","",VLOOKUP($B16,TA!$D$13:$PH$2502,335,0))</f>
        <v/>
      </c>
      <c r="D16" s="9" t="str">
        <f>IF($B16="","",VLOOKUP($B16,TA!$D$13:$PH$2502,148,0))</f>
        <v/>
      </c>
      <c r="E16" s="9" t="str">
        <f>IF($B16="","",VLOOKUP($B16,TA!$D$13:$PH$2502,149,0))</f>
        <v/>
      </c>
      <c r="F16" s="9" t="str">
        <f>IF($B16="","",VLOOKUP($B16,TA!$D$13:$PH$2502,346,0))</f>
        <v/>
      </c>
      <c r="G16" s="8" t="str">
        <f>IF($B16="","",VLOOKUP($B16,TA!$D$13:$PH$2502,342,0))</f>
        <v/>
      </c>
      <c r="H16" s="9" t="str">
        <f>IF($B16="","",VLOOKUP($B16,TA!$D$13:$PH$2502,150,0))</f>
        <v/>
      </c>
      <c r="I16" s="9" t="str">
        <f>IF($B16="","",VLOOKUP($B16,TA!$D$13:$PH$2502,151,0))</f>
        <v/>
      </c>
      <c r="J16" s="9" t="str">
        <f>IF($B16="","",VLOOKUP($B16,TA!$D$13:$PH$2502,348,0))</f>
        <v/>
      </c>
      <c r="K16" s="9" t="str">
        <f>IF($B16="","",VLOOKUP($B16,TA!$D$13:$PH$2502,152,0))</f>
        <v/>
      </c>
      <c r="L16" s="9" t="str">
        <f>IF($B16="","",VLOOKUP($B16,TA!$D$13:$PH$2502,155,0))</f>
        <v/>
      </c>
      <c r="M16" s="9" t="str">
        <f>IF($B16="","",VLOOKUP($B16,TA!$D$13:$PH$2502,157,0))</f>
        <v/>
      </c>
      <c r="N16" s="9" t="str">
        <f>IF($B16="","",VLOOKUP($B16,TA!$D$13:$PH$2502,158,0))</f>
        <v/>
      </c>
      <c r="O16" s="9" t="str">
        <f>IF($B16="","",VLOOKUP($B16,TA!$D$13:$PH$2502,349,0))</f>
        <v/>
      </c>
      <c r="P16" s="9" t="str">
        <f>IF($B16="","",VLOOKUP($B16,TA!$D$13:$PH$2502,159,0))</f>
        <v/>
      </c>
      <c r="Q16" s="9" t="str">
        <f>IF($B16="","",VLOOKUP($B16,TA!$D$13:$PH$2502,160,0))</f>
        <v/>
      </c>
      <c r="R16" s="9" t="str">
        <f>IF($B16="","",VLOOKUP($B16,TA!$D$13:$PH$2502,350,0))</f>
        <v/>
      </c>
      <c r="S16" s="9" t="str">
        <f>IF($B16="","",VLOOKUP($B16,TA!$D$13:$PH$2502,161,0))</f>
        <v/>
      </c>
      <c r="T16" s="9" t="str">
        <f>IF($B16="","",VLOOKUP($B16,TA!$D$13:$PH$2502,164,0))</f>
        <v/>
      </c>
      <c r="U16" s="9" t="str">
        <f>IF($B16="","",VLOOKUP($B16,TA!$D$13:$PH$2502,351,0))</f>
        <v/>
      </c>
      <c r="V16" s="8" t="str">
        <f>IF($B16="","",VLOOKUP($B16,TA!$D$13:$PH$2502,172,0))</f>
        <v/>
      </c>
      <c r="W16" s="9" t="str">
        <f>IF($B16="","",VLOOKUP($B16,TA!$D$13:$PH$2502,173,0))</f>
        <v/>
      </c>
      <c r="X16" s="9" t="str">
        <f>IF($B16="","",VLOOKUP($B16,TA!$D$13:$PH$2502,177,0))</f>
        <v/>
      </c>
      <c r="Y16" s="9" t="str">
        <f>IF($B16="","",VLOOKUP($B16,TA!$D$13:$PH$2502,353,0))</f>
        <v/>
      </c>
      <c r="Z16" s="9" t="str">
        <f>IF($B16="","",VLOOKUP($B16,TA!$D$13:$PH$2502,178,0))</f>
        <v/>
      </c>
      <c r="AA16" s="9" t="str">
        <f>IF($B16="","",VLOOKUP($B16,TA!$D$13:$PH$2502,181,0))</f>
        <v/>
      </c>
      <c r="AB16" s="9" t="str">
        <f>IF($B16="","",VLOOKUP($B16,TA!$D$13:$PH$2502,354,0))</f>
        <v/>
      </c>
      <c r="AC16" s="9" t="str">
        <f>IF($B16="","",VLOOKUP($B16,TA!$D$13:$PH$2502,221,0))</f>
        <v/>
      </c>
      <c r="AD16" s="9" t="str">
        <f>IF($B16="","",VLOOKUP($B16,TA!$D$13:$PH$2502,224,0))</f>
        <v/>
      </c>
      <c r="AE16" s="9" t="str">
        <f>IF($B16="","",VLOOKUP($B16,TA!$D$13:$PH$2502,357,0))</f>
        <v/>
      </c>
    </row>
    <row r="17" spans="3:31">
      <c r="C17" s="8" t="str">
        <f>IF($B17="","",VLOOKUP($B17,TA!$D$13:$PH$2502,335,0))</f>
        <v/>
      </c>
      <c r="D17" s="9" t="str">
        <f>IF($B17="","",VLOOKUP($B17,TA!$D$13:$PH$2502,148,0))</f>
        <v/>
      </c>
      <c r="E17" s="9" t="str">
        <f>IF($B17="","",VLOOKUP($B17,TA!$D$13:$PH$2502,149,0))</f>
        <v/>
      </c>
      <c r="F17" s="9" t="str">
        <f>IF($B17="","",VLOOKUP($B17,TA!$D$13:$PH$2502,346,0))</f>
        <v/>
      </c>
      <c r="G17" s="8" t="str">
        <f>IF($B17="","",VLOOKUP($B17,TA!$D$13:$PH$2502,342,0))</f>
        <v/>
      </c>
      <c r="H17" s="9" t="str">
        <f>IF($B17="","",VLOOKUP($B17,TA!$D$13:$PH$2502,150,0))</f>
        <v/>
      </c>
      <c r="I17" s="9" t="str">
        <f>IF($B17="","",VLOOKUP($B17,TA!$D$13:$PH$2502,151,0))</f>
        <v/>
      </c>
      <c r="J17" s="9" t="str">
        <f>IF($B17="","",VLOOKUP($B17,TA!$D$13:$PH$2502,348,0))</f>
        <v/>
      </c>
      <c r="K17" s="9" t="str">
        <f>IF($B17="","",VLOOKUP($B17,TA!$D$13:$PH$2502,152,0))</f>
        <v/>
      </c>
      <c r="L17" s="9" t="str">
        <f>IF($B17="","",VLOOKUP($B17,TA!$D$13:$PH$2502,155,0))</f>
        <v/>
      </c>
      <c r="M17" s="9" t="str">
        <f>IF($B17="","",VLOOKUP($B17,TA!$D$13:$PH$2502,157,0))</f>
        <v/>
      </c>
      <c r="N17" s="9" t="str">
        <f>IF($B17="","",VLOOKUP($B17,TA!$D$13:$PH$2502,158,0))</f>
        <v/>
      </c>
      <c r="O17" s="9" t="str">
        <f>IF($B17="","",VLOOKUP($B17,TA!$D$13:$PH$2502,349,0))</f>
        <v/>
      </c>
      <c r="P17" s="9" t="str">
        <f>IF($B17="","",VLOOKUP($B17,TA!$D$13:$PH$2502,159,0))</f>
        <v/>
      </c>
      <c r="Q17" s="9" t="str">
        <f>IF($B17="","",VLOOKUP($B17,TA!$D$13:$PH$2502,160,0))</f>
        <v/>
      </c>
      <c r="R17" s="9" t="str">
        <f>IF($B17="","",VLOOKUP($B17,TA!$D$13:$PH$2502,350,0))</f>
        <v/>
      </c>
      <c r="S17" s="9" t="str">
        <f>IF($B17="","",VLOOKUP($B17,TA!$D$13:$PH$2502,161,0))</f>
        <v/>
      </c>
      <c r="T17" s="9" t="str">
        <f>IF($B17="","",VLOOKUP($B17,TA!$D$13:$PH$2502,164,0))</f>
        <v/>
      </c>
      <c r="U17" s="9" t="str">
        <f>IF($B17="","",VLOOKUP($B17,TA!$D$13:$PH$2502,351,0))</f>
        <v/>
      </c>
      <c r="V17" s="8" t="str">
        <f>IF($B17="","",VLOOKUP($B17,TA!$D$13:$PH$2502,172,0))</f>
        <v/>
      </c>
      <c r="W17" s="9" t="str">
        <f>IF($B17="","",VLOOKUP($B17,TA!$D$13:$PH$2502,173,0))</f>
        <v/>
      </c>
      <c r="X17" s="9" t="str">
        <f>IF($B17="","",VLOOKUP($B17,TA!$D$13:$PH$2502,177,0))</f>
        <v/>
      </c>
      <c r="Y17" s="9" t="str">
        <f>IF($B17="","",VLOOKUP($B17,TA!$D$13:$PH$2502,353,0))</f>
        <v/>
      </c>
      <c r="Z17" s="9" t="str">
        <f>IF($B17="","",VLOOKUP($B17,TA!$D$13:$PH$2502,178,0))</f>
        <v/>
      </c>
      <c r="AA17" s="9" t="str">
        <f>IF($B17="","",VLOOKUP($B17,TA!$D$13:$PH$2502,181,0))</f>
        <v/>
      </c>
      <c r="AB17" s="9" t="str">
        <f>IF($B17="","",VLOOKUP($B17,TA!$D$13:$PH$2502,354,0))</f>
        <v/>
      </c>
      <c r="AC17" s="9" t="str">
        <f>IF($B17="","",VLOOKUP($B17,TA!$D$13:$PH$2502,221,0))</f>
        <v/>
      </c>
      <c r="AD17" s="9" t="str">
        <f>IF($B17="","",VLOOKUP($B17,TA!$D$13:$PH$2502,224,0))</f>
        <v/>
      </c>
      <c r="AE17" s="9" t="str">
        <f>IF($B17="","",VLOOKUP($B17,TA!$D$13:$PH$2502,357,0))</f>
        <v/>
      </c>
    </row>
    <row r="18" spans="3:31">
      <c r="C18" s="8" t="str">
        <f>IF($B18="","",VLOOKUP($B18,TA!$D$13:$PH$2502,335,0))</f>
        <v/>
      </c>
      <c r="D18" s="9" t="str">
        <f>IF($B18="","",VLOOKUP($B18,TA!$D$13:$PH$2502,148,0))</f>
        <v/>
      </c>
      <c r="E18" s="9" t="str">
        <f>IF($B18="","",VLOOKUP($B18,TA!$D$13:$PH$2502,149,0))</f>
        <v/>
      </c>
      <c r="F18" s="9" t="str">
        <f>IF($B18="","",VLOOKUP($B18,TA!$D$13:$PH$2502,346,0))</f>
        <v/>
      </c>
      <c r="G18" s="8" t="str">
        <f>IF($B18="","",VLOOKUP($B18,TA!$D$13:$PH$2502,342,0))</f>
        <v/>
      </c>
      <c r="H18" s="9" t="str">
        <f>IF($B18="","",VLOOKUP($B18,TA!$D$13:$PH$2502,150,0))</f>
        <v/>
      </c>
      <c r="I18" s="9" t="str">
        <f>IF($B18="","",VLOOKUP($B18,TA!$D$13:$PH$2502,151,0))</f>
        <v/>
      </c>
      <c r="J18" s="9" t="str">
        <f>IF($B18="","",VLOOKUP($B18,TA!$D$13:$PH$2502,348,0))</f>
        <v/>
      </c>
      <c r="K18" s="9" t="str">
        <f>IF($B18="","",VLOOKUP($B18,TA!$D$13:$PH$2502,152,0))</f>
        <v/>
      </c>
      <c r="L18" s="9" t="str">
        <f>IF($B18="","",VLOOKUP($B18,TA!$D$13:$PH$2502,155,0))</f>
        <v/>
      </c>
      <c r="M18" s="9" t="str">
        <f>IF($B18="","",VLOOKUP($B18,TA!$D$13:$PH$2502,157,0))</f>
        <v/>
      </c>
      <c r="N18" s="9" t="str">
        <f>IF($B18="","",VLOOKUP($B18,TA!$D$13:$PH$2502,158,0))</f>
        <v/>
      </c>
      <c r="O18" s="9" t="str">
        <f>IF($B18="","",VLOOKUP($B18,TA!$D$13:$PH$2502,349,0))</f>
        <v/>
      </c>
      <c r="P18" s="9" t="str">
        <f>IF($B18="","",VLOOKUP($B18,TA!$D$13:$PH$2502,159,0))</f>
        <v/>
      </c>
      <c r="Q18" s="9" t="str">
        <f>IF($B18="","",VLOOKUP($B18,TA!$D$13:$PH$2502,160,0))</f>
        <v/>
      </c>
      <c r="R18" s="9" t="str">
        <f>IF($B18="","",VLOOKUP($B18,TA!$D$13:$PH$2502,350,0))</f>
        <v/>
      </c>
      <c r="S18" s="9" t="str">
        <f>IF($B18="","",VLOOKUP($B18,TA!$D$13:$PH$2502,161,0))</f>
        <v/>
      </c>
      <c r="T18" s="9" t="str">
        <f>IF($B18="","",VLOOKUP($B18,TA!$D$13:$PH$2502,164,0))</f>
        <v/>
      </c>
      <c r="U18" s="9" t="str">
        <f>IF($B18="","",VLOOKUP($B18,TA!$D$13:$PH$2502,351,0))</f>
        <v/>
      </c>
      <c r="V18" s="8" t="str">
        <f>IF($B18="","",VLOOKUP($B18,TA!$D$13:$PH$2502,172,0))</f>
        <v/>
      </c>
      <c r="W18" s="9" t="str">
        <f>IF($B18="","",VLOOKUP($B18,TA!$D$13:$PH$2502,173,0))</f>
        <v/>
      </c>
      <c r="X18" s="9" t="str">
        <f>IF($B18="","",VLOOKUP($B18,TA!$D$13:$PH$2502,177,0))</f>
        <v/>
      </c>
      <c r="Y18" s="9" t="str">
        <f>IF($B18="","",VLOOKUP($B18,TA!$D$13:$PH$2502,353,0))</f>
        <v/>
      </c>
      <c r="Z18" s="9" t="str">
        <f>IF($B18="","",VLOOKUP($B18,TA!$D$13:$PH$2502,178,0))</f>
        <v/>
      </c>
      <c r="AA18" s="9" t="str">
        <f>IF($B18="","",VLOOKUP($B18,TA!$D$13:$PH$2502,181,0))</f>
        <v/>
      </c>
      <c r="AB18" s="9" t="str">
        <f>IF($B18="","",VLOOKUP($B18,TA!$D$13:$PH$2502,354,0))</f>
        <v/>
      </c>
      <c r="AC18" s="9" t="str">
        <f>IF($B18="","",VLOOKUP($B18,TA!$D$13:$PH$2502,221,0))</f>
        <v/>
      </c>
      <c r="AD18" s="9" t="str">
        <f>IF($B18="","",VLOOKUP($B18,TA!$D$13:$PH$2502,224,0))</f>
        <v/>
      </c>
      <c r="AE18" s="9" t="str">
        <f>IF($B18="","",VLOOKUP($B18,TA!$D$13:$PH$2502,357,0))</f>
        <v/>
      </c>
    </row>
    <row r="19" spans="3:31">
      <c r="C19" s="8" t="str">
        <f>IF($B19="","",VLOOKUP($B19,TA!$D$13:$PH$2502,335,0))</f>
        <v/>
      </c>
      <c r="D19" s="9" t="str">
        <f>IF($B19="","",VLOOKUP($B19,TA!$D$13:$PH$2502,148,0))</f>
        <v/>
      </c>
      <c r="E19" s="9" t="str">
        <f>IF($B19="","",VLOOKUP($B19,TA!$D$13:$PH$2502,149,0))</f>
        <v/>
      </c>
      <c r="F19" s="9" t="str">
        <f>IF($B19="","",VLOOKUP($B19,TA!$D$13:$PH$2502,346,0))</f>
        <v/>
      </c>
      <c r="G19" s="8" t="str">
        <f>IF($B19="","",VLOOKUP($B19,TA!$D$13:$PH$2502,342,0))</f>
        <v/>
      </c>
      <c r="H19" s="9" t="str">
        <f>IF($B19="","",VLOOKUP($B19,TA!$D$13:$PH$2502,150,0))</f>
        <v/>
      </c>
      <c r="I19" s="9" t="str">
        <f>IF($B19="","",VLOOKUP($B19,TA!$D$13:$PH$2502,151,0))</f>
        <v/>
      </c>
      <c r="J19" s="9" t="str">
        <f>IF($B19="","",VLOOKUP($B19,TA!$D$13:$PH$2502,348,0))</f>
        <v/>
      </c>
      <c r="K19" s="9" t="str">
        <f>IF($B19="","",VLOOKUP($B19,TA!$D$13:$PH$2502,152,0))</f>
        <v/>
      </c>
      <c r="L19" s="9" t="str">
        <f>IF($B19="","",VLOOKUP($B19,TA!$D$13:$PH$2502,155,0))</f>
        <v/>
      </c>
      <c r="M19" s="9" t="str">
        <f>IF($B19="","",VLOOKUP($B19,TA!$D$13:$PH$2502,157,0))</f>
        <v/>
      </c>
      <c r="N19" s="9" t="str">
        <f>IF($B19="","",VLOOKUP($B19,TA!$D$13:$PH$2502,158,0))</f>
        <v/>
      </c>
      <c r="O19" s="9" t="str">
        <f>IF($B19="","",VLOOKUP($B19,TA!$D$13:$PH$2502,349,0))</f>
        <v/>
      </c>
      <c r="P19" s="9" t="str">
        <f>IF($B19="","",VLOOKUP($B19,TA!$D$13:$PH$2502,159,0))</f>
        <v/>
      </c>
      <c r="Q19" s="9" t="str">
        <f>IF($B19="","",VLOOKUP($B19,TA!$D$13:$PH$2502,160,0))</f>
        <v/>
      </c>
      <c r="R19" s="9" t="str">
        <f>IF($B19="","",VLOOKUP($B19,TA!$D$13:$PH$2502,350,0))</f>
        <v/>
      </c>
      <c r="S19" s="9" t="str">
        <f>IF($B19="","",VLOOKUP($B19,TA!$D$13:$PH$2502,161,0))</f>
        <v/>
      </c>
      <c r="T19" s="9" t="str">
        <f>IF($B19="","",VLOOKUP($B19,TA!$D$13:$PH$2502,164,0))</f>
        <v/>
      </c>
      <c r="U19" s="9" t="str">
        <f>IF($B19="","",VLOOKUP($B19,TA!$D$13:$PH$2502,351,0))</f>
        <v/>
      </c>
      <c r="V19" s="8" t="str">
        <f>IF($B19="","",VLOOKUP($B19,TA!$D$13:$PH$2502,172,0))</f>
        <v/>
      </c>
      <c r="W19" s="9" t="str">
        <f>IF($B19="","",VLOOKUP($B19,TA!$D$13:$PH$2502,173,0))</f>
        <v/>
      </c>
      <c r="X19" s="9" t="str">
        <f>IF($B19="","",VLOOKUP($B19,TA!$D$13:$PH$2502,177,0))</f>
        <v/>
      </c>
      <c r="Y19" s="9" t="str">
        <f>IF($B19="","",VLOOKUP($B19,TA!$D$13:$PH$2502,353,0))</f>
        <v/>
      </c>
      <c r="Z19" s="9" t="str">
        <f>IF($B19="","",VLOOKUP($B19,TA!$D$13:$PH$2502,178,0))</f>
        <v/>
      </c>
      <c r="AA19" s="9" t="str">
        <f>IF($B19="","",VLOOKUP($B19,TA!$D$13:$PH$2502,181,0))</f>
        <v/>
      </c>
      <c r="AB19" s="9" t="str">
        <f>IF($B19="","",VLOOKUP($B19,TA!$D$13:$PH$2502,354,0))</f>
        <v/>
      </c>
      <c r="AC19" s="9" t="str">
        <f>IF($B19="","",VLOOKUP($B19,TA!$D$13:$PH$2502,221,0))</f>
        <v/>
      </c>
      <c r="AD19" s="9" t="str">
        <f>IF($B19="","",VLOOKUP($B19,TA!$D$13:$PH$2502,224,0))</f>
        <v/>
      </c>
      <c r="AE19" s="9" t="str">
        <f>IF($B19="","",VLOOKUP($B19,TA!$D$13:$PH$2502,357,0))</f>
        <v/>
      </c>
    </row>
    <row r="20" spans="3:31">
      <c r="C20" s="8" t="str">
        <f>IF($B20="","",VLOOKUP($B20,TA!$D$13:$PH$2502,335,0))</f>
        <v/>
      </c>
      <c r="D20" s="9" t="str">
        <f>IF($B20="","",VLOOKUP($B20,TA!$D$13:$PH$2502,148,0))</f>
        <v/>
      </c>
      <c r="E20" s="9" t="str">
        <f>IF($B20="","",VLOOKUP($B20,TA!$D$13:$PH$2502,149,0))</f>
        <v/>
      </c>
      <c r="F20" s="9" t="str">
        <f>IF($B20="","",VLOOKUP($B20,TA!$D$13:$PH$2502,346,0))</f>
        <v/>
      </c>
      <c r="G20" s="8" t="str">
        <f>IF($B20="","",VLOOKUP($B20,TA!$D$13:$PH$2502,342,0))</f>
        <v/>
      </c>
      <c r="H20" s="9" t="str">
        <f>IF($B20="","",VLOOKUP($B20,TA!$D$13:$PH$2502,150,0))</f>
        <v/>
      </c>
      <c r="I20" s="9" t="str">
        <f>IF($B20="","",VLOOKUP($B20,TA!$D$13:$PH$2502,151,0))</f>
        <v/>
      </c>
      <c r="J20" s="9" t="str">
        <f>IF($B20="","",VLOOKUP($B20,TA!$D$13:$PH$2502,348,0))</f>
        <v/>
      </c>
      <c r="K20" s="9" t="str">
        <f>IF($B20="","",VLOOKUP($B20,TA!$D$13:$PH$2502,152,0))</f>
        <v/>
      </c>
      <c r="L20" s="9" t="str">
        <f>IF($B20="","",VLOOKUP($B20,TA!$D$13:$PH$2502,155,0))</f>
        <v/>
      </c>
      <c r="M20" s="9" t="str">
        <f>IF($B20="","",VLOOKUP($B20,TA!$D$13:$PH$2502,157,0))</f>
        <v/>
      </c>
      <c r="N20" s="9" t="str">
        <f>IF($B20="","",VLOOKUP($B20,TA!$D$13:$PH$2502,158,0))</f>
        <v/>
      </c>
      <c r="O20" s="9" t="str">
        <f>IF($B20="","",VLOOKUP($B20,TA!$D$13:$PH$2502,349,0))</f>
        <v/>
      </c>
      <c r="P20" s="9" t="str">
        <f>IF($B20="","",VLOOKUP($B20,TA!$D$13:$PH$2502,159,0))</f>
        <v/>
      </c>
      <c r="Q20" s="9" t="str">
        <f>IF($B20="","",VLOOKUP($B20,TA!$D$13:$PH$2502,160,0))</f>
        <v/>
      </c>
      <c r="R20" s="9" t="str">
        <f>IF($B20="","",VLOOKUP($B20,TA!$D$13:$PH$2502,350,0))</f>
        <v/>
      </c>
      <c r="S20" s="9" t="str">
        <f>IF($B20="","",VLOOKUP($B20,TA!$D$13:$PH$2502,161,0))</f>
        <v/>
      </c>
      <c r="T20" s="9" t="str">
        <f>IF($B20="","",VLOOKUP($B20,TA!$D$13:$PH$2502,164,0))</f>
        <v/>
      </c>
      <c r="U20" s="9" t="str">
        <f>IF($B20="","",VLOOKUP($B20,TA!$D$13:$PH$2502,351,0))</f>
        <v/>
      </c>
      <c r="V20" s="8" t="str">
        <f>IF($B20="","",VLOOKUP($B20,TA!$D$13:$PH$2502,172,0))</f>
        <v/>
      </c>
      <c r="W20" s="9" t="str">
        <f>IF($B20="","",VLOOKUP($B20,TA!$D$13:$PH$2502,173,0))</f>
        <v/>
      </c>
      <c r="X20" s="9" t="str">
        <f>IF($B20="","",VLOOKUP($B20,TA!$D$13:$PH$2502,177,0))</f>
        <v/>
      </c>
      <c r="Y20" s="9" t="str">
        <f>IF($B20="","",VLOOKUP($B20,TA!$D$13:$PH$2502,353,0))</f>
        <v/>
      </c>
      <c r="Z20" s="9" t="str">
        <f>IF($B20="","",VLOOKUP($B20,TA!$D$13:$PH$2502,178,0))</f>
        <v/>
      </c>
      <c r="AA20" s="9" t="str">
        <f>IF($B20="","",VLOOKUP($B20,TA!$D$13:$PH$2502,181,0))</f>
        <v/>
      </c>
      <c r="AB20" s="9" t="str">
        <f>IF($B20="","",VLOOKUP($B20,TA!$D$13:$PH$2502,354,0))</f>
        <v/>
      </c>
      <c r="AC20" s="9" t="str">
        <f>IF($B20="","",VLOOKUP($B20,TA!$D$13:$PH$2502,221,0))</f>
        <v/>
      </c>
      <c r="AD20" s="9" t="str">
        <f>IF($B20="","",VLOOKUP($B20,TA!$D$13:$PH$2502,224,0))</f>
        <v/>
      </c>
      <c r="AE20" s="9" t="str">
        <f>IF($B20="","",VLOOKUP($B20,TA!$D$13:$PH$2502,357,0))</f>
        <v/>
      </c>
    </row>
  </sheetData>
  <mergeCells count="12">
    <mergeCell ref="C2:L2"/>
    <mergeCell ref="M2:T2"/>
    <mergeCell ref="C3:E3"/>
    <mergeCell ref="G3:I3"/>
    <mergeCell ref="K3:L3"/>
    <mergeCell ref="M3:O3"/>
    <mergeCell ref="P3:R3"/>
    <mergeCell ref="S3:T3"/>
    <mergeCell ref="B2:B4"/>
    <mergeCell ref="V2:Y3"/>
    <mergeCell ref="Z2:AB3"/>
    <mergeCell ref="AC2:AE3"/>
  </mergeCells>
  <conditionalFormatting sqref="C3">
    <cfRule type="expression" dxfId="1" priority="17">
      <formula>($C3+$G3)*1&lt;&gt;$K3*1</formula>
    </cfRule>
  </conditionalFormatting>
  <conditionalFormatting sqref="K5">
    <cfRule type="expression" dxfId="1" priority="16">
      <formula>($D5+$H5)*1&lt;&gt;$K5*1</formula>
    </cfRule>
  </conditionalFormatting>
  <conditionalFormatting sqref="K6">
    <cfRule type="expression" dxfId="1" priority="15">
      <formula>($D6+$H6)*1&lt;&gt;$K6*1</formula>
    </cfRule>
  </conditionalFormatting>
  <conditionalFormatting sqref="K7">
    <cfRule type="expression" dxfId="1" priority="14">
      <formula>($D7+$H7)*1&lt;&gt;$K7*1</formula>
    </cfRule>
  </conditionalFormatting>
  <conditionalFormatting sqref="K8">
    <cfRule type="expression" dxfId="1" priority="13">
      <formula>($D8+$H8)*1&lt;&gt;$K8*1</formula>
    </cfRule>
  </conditionalFormatting>
  <conditionalFormatting sqref="K9">
    <cfRule type="expression" dxfId="1" priority="12">
      <formula>($D9+$H9)*1&lt;&gt;$K9*1</formula>
    </cfRule>
  </conditionalFormatting>
  <conditionalFormatting sqref="K10">
    <cfRule type="expression" dxfId="1" priority="11">
      <formula>($D10+$H10)*1&lt;&gt;$K10*1</formula>
    </cfRule>
  </conditionalFormatting>
  <conditionalFormatting sqref="K11">
    <cfRule type="expression" dxfId="1" priority="10">
      <formula>($D11+$H11)*1&lt;&gt;$K11*1</formula>
    </cfRule>
  </conditionalFormatting>
  <conditionalFormatting sqref="K12">
    <cfRule type="expression" dxfId="1" priority="9">
      <formula>($D12+$H12)*1&lt;&gt;$K12*1</formula>
    </cfRule>
  </conditionalFormatting>
  <conditionalFormatting sqref="K13">
    <cfRule type="expression" dxfId="1" priority="8">
      <formula>($D13+$H13)*1&lt;&gt;$K13*1</formula>
    </cfRule>
  </conditionalFormatting>
  <conditionalFormatting sqref="K14">
    <cfRule type="expression" dxfId="1" priority="7">
      <formula>($D14+$H14)*1&lt;&gt;$K14*1</formula>
    </cfRule>
  </conditionalFormatting>
  <conditionalFormatting sqref="K15">
    <cfRule type="expression" dxfId="1" priority="6">
      <formula>($D15+$H15)*1&lt;&gt;$K15*1</formula>
    </cfRule>
  </conditionalFormatting>
  <conditionalFormatting sqref="K16">
    <cfRule type="expression" dxfId="1" priority="5">
      <formula>($D16+$H16)*1&lt;&gt;$K16*1</formula>
    </cfRule>
  </conditionalFormatting>
  <conditionalFormatting sqref="K17">
    <cfRule type="expression" dxfId="1" priority="4">
      <formula>($D17+$H17)*1&lt;&gt;$K17*1</formula>
    </cfRule>
  </conditionalFormatting>
  <conditionalFormatting sqref="K18">
    <cfRule type="expression" dxfId="1" priority="3">
      <formula>($D18+$H18)*1&lt;&gt;$K18*1</formula>
    </cfRule>
  </conditionalFormatting>
  <conditionalFormatting sqref="K19">
    <cfRule type="expression" dxfId="1" priority="2">
      <formula>($D19+$H19)*1&lt;&gt;$K19*1</formula>
    </cfRule>
  </conditionalFormatting>
  <conditionalFormatting sqref="K20">
    <cfRule type="expression" dxfId="1" priority="1">
      <formula>($D20+$H20)*1&lt;&gt;$K20*1</formula>
    </cfRule>
  </conditionalFormatting>
  <conditionalFormatting sqref="K21:K653">
    <cfRule type="expression" dxfId="1" priority="18">
      <formula>($D21+$H21)*1&lt;&gt;$K21*1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57"/>
  <dimension ref="A1"/>
  <sheetViews>
    <sheetView workbookViewId="0">
      <selection activeCell="DK63" sqref="DK63"/>
    </sheetView>
  </sheetViews>
  <sheetFormatPr defaultColWidth="9" defaultRowHeight="14.25"/>
  <sheetData/>
  <pageMargins left="0.75" right="0.75" top="1" bottom="1" header="0.5" footer="0.5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《倍数表》</vt:lpstr>
      <vt:lpstr>型号目录</vt:lpstr>
      <vt:lpstr>各项系数</vt:lpstr>
      <vt:lpstr>TA</vt:lpstr>
      <vt:lpstr>YJV材料参数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泽洋电缆有限公司【国标保检】</cp:lastModifiedBy>
  <cp:revision>1</cp:revision>
  <dcterms:created xsi:type="dcterms:W3CDTF">2015-09-16T06:13:00Z</dcterms:created>
  <cp:lastPrinted>2020-03-13T06:17:00Z</cp:lastPrinted>
  <dcterms:modified xsi:type="dcterms:W3CDTF">2023-12-20T08:49:57Z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KSOReadingLayout">
    <vt:bool>false</vt:bool>
  </property>
  <property fmtid="{D5CDD505-2E9C-101B-9397-08002B2CF9AE}" pid="4" name="ICV">
    <vt:lpwstr>B929E4E66EE643D597A8EED598C1AF09_13</vt:lpwstr>
  </property>
  <property fmtid="{D5CDD505-2E9C-101B-9397-08002B2CF9AE}" pid="5" name="commondata">
    <vt:lpwstr>eyJoZGlkIjoiZTE0NDBkYTM0ZGE4ZTJmODk4N2VkMDk2OTc4ZjMzNjQifQ==</vt:lpwstr>
  </property>
</Properties>
</file>